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95" yWindow="-270" windowWidth="12060" windowHeight="8130" tabRatio="887" activeTab="3"/>
  </bookViews>
  <sheets>
    <sheet name="pile data ( M30 grade) (2)" sheetId="50" r:id="rId1"/>
    <sheet name="  Coastal  Elec.Data  (2)" sheetId="69" r:id="rId2"/>
    <sheet name="Abstract " sheetId="68" r:id="rId3"/>
    <sheet name="G. Abstract" sheetId="67" r:id="rId4"/>
    <sheet name="2 in 1 incl. F.E." sheetId="64" r:id="rId5"/>
    <sheet name="pile data " sheetId="32" state="hidden" r:id="rId6"/>
    <sheet name="  Coastal  Elec.Data " sheetId="27" state="hidden" r:id="rId7"/>
    <sheet name="lead  charge" sheetId="4" r:id="rId8"/>
    <sheet name="Elec.Data" sheetId="11" r:id="rId9"/>
    <sheet name="Sliding and french window" sheetId="25" state="hidden" r:id="rId10"/>
    <sheet name="Data" sheetId="1" r:id="rId11"/>
    <sheet name="buildingfinal" sheetId="55" r:id="rId12"/>
    <sheet name="Sheet1" sheetId="70"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___A65539">#REF!</definedName>
    <definedName name="___A65539">#REF!</definedName>
    <definedName name="__A65539">#REF!</definedName>
    <definedName name="_A65539">#REF!</definedName>
    <definedName name="_Fill" hidden="1">#REF!</definedName>
    <definedName name="_xlnm._FilterDatabase" localSheetId="2" hidden="1">'Abstract '!$A$5:$F$1440</definedName>
    <definedName name="_xlnm._FilterDatabase" localSheetId="11" hidden="1">buildingfinal!$A$4:$W$13785</definedName>
    <definedName name="a">#REF!</definedName>
    <definedName name="a3424\">#REF!</definedName>
    <definedName name="aaaaaaa">#REF!</definedName>
    <definedName name="Abstract">#REF!</definedName>
    <definedName name="ahfk" localSheetId="1">#REF!</definedName>
    <definedName name="ahfk" localSheetId="2">#REF!</definedName>
    <definedName name="ahfk" localSheetId="3">#REF!</definedName>
    <definedName name="ahfk">#REF!</definedName>
    <definedName name="ahh">#REF!</definedName>
    <definedName name="ass">#REF!</definedName>
    <definedName name="bc">#REF!</definedName>
    <definedName name="Beg_Bal">#REF!</definedName>
    <definedName name="c641.">#REF!</definedName>
    <definedName name="Data">#REF!</definedName>
    <definedName name="dd">#REF!</definedName>
    <definedName name="Details_furnished_by_the__CE__TNPHC_to_DIG">#REF!</definedName>
    <definedName name="detpada">#REF!</definedName>
    <definedName name="df">#REF!</definedName>
    <definedName name="electri" localSheetId="1">#REF!</definedName>
    <definedName name="electri" localSheetId="2">#REF!</definedName>
    <definedName name="electri" localSheetId="3">#REF!</definedName>
    <definedName name="electri">#REF!</definedName>
    <definedName name="End_Bal">#REF!</definedName>
    <definedName name="er">#REF!</definedName>
    <definedName name="Extra_Pay">#REF!</definedName>
    <definedName name="fhd" localSheetId="1">#REF!</definedName>
    <definedName name="fhd" localSheetId="2">#REF!</definedName>
    <definedName name="fhd" localSheetId="3">#REF!</definedName>
    <definedName name="fhd">#REF!</definedName>
    <definedName name="Full_Print">#REF!</definedName>
    <definedName name="Header_Row">ROW(#REF!)</definedName>
    <definedName name="hha">#REF!</definedName>
    <definedName name="hia" localSheetId="1">#REF!</definedName>
    <definedName name="hia" localSheetId="2">#REF!</definedName>
    <definedName name="hia" localSheetId="11">#REF!</definedName>
    <definedName name="hia" localSheetId="3">#REF!</definedName>
    <definedName name="hia" localSheetId="0">#REF!</definedName>
    <definedName name="hia">#REF!</definedName>
    <definedName name="hj">#REF!</definedName>
    <definedName name="hvbglb">#REF!</definedName>
    <definedName name="i">#REF!</definedName>
    <definedName name="ins" localSheetId="1">#REF!</definedName>
    <definedName name="ins" localSheetId="2">#REF!</definedName>
    <definedName name="ins" localSheetId="3">#REF!</definedName>
    <definedName name="ins">#REF!</definedName>
    <definedName name="Int">#REF!</definedName>
    <definedName name="Interest_Rate">#REF!</definedName>
    <definedName name="k404." localSheetId="1">#REF!</definedName>
    <definedName name="k404." localSheetId="2">#REF!</definedName>
    <definedName name="k404." localSheetId="3">#REF!</definedName>
    <definedName name="k404.">#REF!</definedName>
    <definedName name="kasper">#REF!</definedName>
    <definedName name="Last_Row">IF([0]!Values_Entered,Header_Row+[0]!Number_of_Payments,Header_Row)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 localSheetId="1">#REF!</definedName>
    <definedName name="pc" localSheetId="2">#REF!</definedName>
    <definedName name="pc" localSheetId="3">#REF!</definedName>
    <definedName name="pc">#REF!</definedName>
    <definedName name="PRA">#REF!</definedName>
    <definedName name="PRABHU">#REF!</definedName>
    <definedName name="Princ">#REF!</definedName>
    <definedName name="print" localSheetId="1">#REF!</definedName>
    <definedName name="print" localSheetId="2">#REF!</definedName>
    <definedName name="print" localSheetId="11">#REF!</definedName>
    <definedName name="print" localSheetId="3">#REF!</definedName>
    <definedName name="print" localSheetId="0">#REF!</definedName>
    <definedName name="print">#REF!</definedName>
    <definedName name="_xlnm.Print_Area" localSheetId="6">'  Coastal  Elec.Data '!$F$2832:$K$2988</definedName>
    <definedName name="_xlnm.Print_Area" localSheetId="1">'  Coastal  Elec.Data  (2)'!$F$1070:$K$1093</definedName>
    <definedName name="_xlnm.Print_Area" localSheetId="4">'2 in 1 incl. F.E.'!$303:$303</definedName>
    <definedName name="_xlnm.Print_Area" localSheetId="2">'Abstract '!$A$1:$F$1076</definedName>
    <definedName name="_xlnm.Print_Area" localSheetId="11">buildingfinal!$A$1:$R$1075</definedName>
    <definedName name="_xlnm.Print_Area" localSheetId="10">Data!$F$3778:$K$3800,Data!$M$3778:$R$3797</definedName>
    <definedName name="_xlnm.Print_Area" localSheetId="8">Elec.Data!$764:$764</definedName>
    <definedName name="_xlnm.Print_Area" localSheetId="3">'G. Abstract'!$A$1:$F$26</definedName>
    <definedName name="_xlnm.Print_Area" localSheetId="7">'lead  charge'!$A$1:$S$27</definedName>
    <definedName name="_xlnm.Print_Area" localSheetId="5">'pile data '!$A$164:$F$199</definedName>
    <definedName name="_xlnm.Print_Area" localSheetId="0">'pile data ( M30 grade) (2)'!$A$1:$H$162</definedName>
    <definedName name="_xlnm.Print_Area" localSheetId="9">'Sliding and french window'!$A$80:$G$127</definedName>
    <definedName name="_xlnm.Print_Area">#REF!</definedName>
    <definedName name="Print_Area_MI" localSheetId="6">'  Coastal  Elec.Data '!$F$1:$K$213</definedName>
    <definedName name="Print_Area_MI" localSheetId="1">'  Coastal  Elec.Data  (2)'!#REF!</definedName>
    <definedName name="PRINT_AREA_MI" localSheetId="2">#REF!</definedName>
    <definedName name="Print_Area_MI" localSheetId="10">Data!$F$1:$K$214</definedName>
    <definedName name="Print_Area_MI" localSheetId="8">Elec.Data!#REF!</definedName>
    <definedName name="PRINT_AREA_MI" localSheetId="3">#REF!</definedName>
    <definedName name="PRINT_AREA_MI" localSheetId="5">#REF!</definedName>
    <definedName name="PRINT_AREA_MI" localSheetId="0">#REF!</definedName>
    <definedName name="PRINT_AREA_MI">#REF!</definedName>
    <definedName name="Print_Area_Reset">OFFSET(Full_Print,0,0,Last_Row)</definedName>
    <definedName name="_xlnm.Print_Titles" localSheetId="6">#REF!</definedName>
    <definedName name="_xlnm.Print_Titles" localSheetId="1">#REF!</definedName>
    <definedName name="_xlnm.Print_Titles" localSheetId="2">'Abstract '!$4:$4</definedName>
    <definedName name="_xlnm.Print_Titles" localSheetId="11">buildingfinal!$2:$3</definedName>
    <definedName name="_xlnm.Print_Titles" localSheetId="3">#REF!</definedName>
    <definedName name="_xlnm.Print_Titles" localSheetId="5">#REF!</definedName>
    <definedName name="_xlnm.Print_Titles" localSheetId="0">#REF!</definedName>
    <definedName name="_xlnm.Print_Titles">#REF!</definedName>
    <definedName name="PRINT_TITLES_MI" localSheetId="6">'  Coastal  Elec.Data '!$GJ$7:$IG$7608</definedName>
    <definedName name="PRINT_TITLES_MI" localSheetId="1">'  Coastal  Elec.Data  (2)'!$GJ$1:$IG$4774</definedName>
    <definedName name="PRINT_TITLES_MI" localSheetId="2">#REF!</definedName>
    <definedName name="PRINT_TITLES_MI" localSheetId="10">Data!$GJ$7:$IG$7593</definedName>
    <definedName name="PRINT_TITLES_MI" localSheetId="8">Elec.Data!$GJ$1:$IG$4788</definedName>
    <definedName name="PRINT_TITLES_MI" localSheetId="3">#REF!</definedName>
    <definedName name="PRINT_TITLES_MI" localSheetId="5">#REF!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#REF!</definedName>
    <definedName name="QQE" localSheetId="1">#REF!</definedName>
    <definedName name="QQE" localSheetId="2">#REF!</definedName>
    <definedName name="QQE" localSheetId="3">#REF!</definedName>
    <definedName name="QQE">#REF!</definedName>
    <definedName name="QWE" localSheetId="1">#REF!</definedName>
    <definedName name="QWE" localSheetId="2">#REF!</definedName>
    <definedName name="QWE" localSheetId="3">#REF!</definedName>
    <definedName name="QWE">#REF!</definedName>
    <definedName name="roya">#REF!</definedName>
    <definedName name="sasi">#REF!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24519" fullPrecision="0"/>
</workbook>
</file>

<file path=xl/calcChain.xml><?xml version="1.0" encoding="utf-8"?>
<calcChain xmlns="http://schemas.openxmlformats.org/spreadsheetml/2006/main">
  <c r="F18" i="67"/>
  <c r="F19"/>
  <c r="F17"/>
  <c r="F16"/>
  <c r="G25"/>
  <c r="F1415" i="68"/>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F1284"/>
  <c r="F1283"/>
  <c r="F1282"/>
  <c r="F1281"/>
  <c r="F1280"/>
  <c r="F1279"/>
  <c r="F1278"/>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5"/>
  <c r="F1074"/>
  <c r="F1073"/>
  <c r="F1072"/>
  <c r="F1071"/>
  <c r="F1070"/>
  <c r="F1068"/>
  <c r="F1067"/>
  <c r="F1066"/>
  <c r="F1065"/>
  <c r="F1064"/>
  <c r="F1063"/>
  <c r="F1062"/>
  <c r="F1061"/>
  <c r="F1060"/>
  <c r="F1059"/>
  <c r="F1058"/>
  <c r="F1057"/>
  <c r="F1056"/>
  <c r="F1055"/>
  <c r="F1054"/>
  <c r="F1053"/>
  <c r="F1051"/>
  <c r="F1050"/>
  <c r="F1049"/>
  <c r="F1048"/>
  <c r="F1047"/>
  <c r="F1046"/>
  <c r="F1045"/>
  <c r="F1044"/>
  <c r="F1043"/>
  <c r="F1042"/>
  <c r="F1041"/>
  <c r="F1040"/>
  <c r="F1039"/>
  <c r="F1038"/>
  <c r="F1036"/>
  <c r="F1033"/>
  <c r="F1032"/>
  <c r="F1031"/>
  <c r="F1030"/>
  <c r="F1029"/>
  <c r="F1028"/>
  <c r="F1027"/>
  <c r="F1026"/>
  <c r="F1025"/>
  <c r="F1023"/>
  <c r="F1021"/>
  <c r="F1019"/>
  <c r="F1018"/>
  <c r="F1017"/>
  <c r="F1016"/>
  <c r="F1015"/>
  <c r="F1013"/>
  <c r="F1012"/>
  <c r="F1011"/>
  <c r="F1010"/>
  <c r="F1007"/>
  <c r="F1006"/>
  <c r="F1005"/>
  <c r="F1004"/>
  <c r="F1002"/>
  <c r="F1001"/>
  <c r="F1000"/>
  <c r="F999"/>
  <c r="F998"/>
  <c r="F997"/>
  <c r="F996"/>
  <c r="F995"/>
  <c r="F994"/>
  <c r="F993"/>
  <c r="F992"/>
  <c r="F990"/>
  <c r="F989"/>
  <c r="F988"/>
  <c r="F987"/>
  <c r="F986"/>
  <c r="F985"/>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3"/>
  <c r="F882"/>
  <c r="F880"/>
  <c r="F879"/>
  <c r="F877"/>
  <c r="F876"/>
  <c r="F875"/>
  <c r="F874"/>
  <c r="F873"/>
  <c r="F872"/>
  <c r="F871"/>
  <c r="F870"/>
  <c r="F869"/>
  <c r="F868"/>
  <c r="F867"/>
  <c r="F866"/>
  <c r="F865"/>
  <c r="F864"/>
  <c r="F863"/>
  <c r="F862"/>
  <c r="F861"/>
  <c r="F860"/>
  <c r="F859"/>
  <c r="F858"/>
  <c r="F857"/>
  <c r="F856"/>
  <c r="F855"/>
  <c r="F854"/>
  <c r="F853"/>
  <c r="F852"/>
  <c r="F851"/>
  <c r="F850"/>
  <c r="F849"/>
  <c r="F848"/>
  <c r="F847"/>
  <c r="F846"/>
  <c r="F845"/>
  <c r="F844"/>
  <c r="F843"/>
  <c r="F842"/>
  <c r="F841"/>
  <c r="F840"/>
  <c r="F839"/>
  <c r="F838"/>
  <c r="F837"/>
  <c r="F836"/>
  <c r="F835"/>
  <c r="F834"/>
  <c r="F833"/>
  <c r="F832"/>
  <c r="F831"/>
  <c r="F830"/>
  <c r="F829"/>
  <c r="F828"/>
  <c r="F827"/>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F734"/>
  <c r="F733"/>
  <c r="F732"/>
  <c r="F731"/>
  <c r="F730"/>
  <c r="F729"/>
  <c r="F727"/>
  <c r="F726"/>
  <c r="F725"/>
  <c r="F724"/>
  <c r="F723"/>
  <c r="F722"/>
  <c r="F721"/>
  <c r="F720"/>
  <c r="F719"/>
  <c r="F718"/>
  <c r="F717"/>
  <c r="F715"/>
  <c r="F714"/>
  <c r="F713"/>
  <c r="F712"/>
  <c r="F711"/>
  <c r="F710"/>
  <c r="F709"/>
  <c r="F708"/>
  <c r="F706"/>
  <c r="F705"/>
  <c r="F704"/>
  <c r="F703"/>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2"/>
  <c r="F651"/>
  <c r="F650"/>
  <c r="F649"/>
  <c r="F648"/>
  <c r="F647"/>
  <c r="F646"/>
  <c r="F645"/>
  <c r="F644"/>
  <c r="F643"/>
  <c r="F642"/>
  <c r="F641"/>
  <c r="F640"/>
  <c r="F639"/>
  <c r="F638"/>
  <c r="F637"/>
  <c r="F636"/>
  <c r="F635"/>
  <c r="F634"/>
  <c r="F632"/>
  <c r="F631"/>
  <c r="F630"/>
  <c r="F629"/>
  <c r="F628"/>
  <c r="F627"/>
  <c r="F626"/>
  <c r="F625"/>
  <c r="F624"/>
  <c r="F623"/>
  <c r="F622"/>
  <c r="F621"/>
  <c r="F620"/>
  <c r="F619"/>
  <c r="F618"/>
  <c r="F617"/>
  <c r="F616"/>
  <c r="F615"/>
  <c r="F613"/>
  <c r="F612"/>
  <c r="F611"/>
  <c r="F610"/>
  <c r="F609"/>
  <c r="F608"/>
  <c r="F607"/>
  <c r="F605"/>
  <c r="F604"/>
  <c r="F603"/>
  <c r="F602"/>
  <c r="F601"/>
  <c r="F600"/>
  <c r="F599"/>
  <c r="F598"/>
  <c r="F597"/>
  <c r="F595"/>
  <c r="F594"/>
  <c r="F593"/>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3"/>
  <c r="F522"/>
  <c r="F521"/>
  <c r="F520"/>
  <c r="F519"/>
  <c r="F518"/>
  <c r="F517"/>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5"/>
  <c r="F474"/>
  <c r="F473"/>
  <c r="F472"/>
  <c r="F471"/>
  <c r="F469"/>
  <c r="F468"/>
  <c r="F467"/>
  <c r="F466"/>
  <c r="F465"/>
  <c r="F464"/>
  <c r="F463"/>
  <c r="F462"/>
  <c r="F461"/>
  <c r="F460"/>
  <c r="F459"/>
  <c r="F458"/>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5"/>
  <c r="F414"/>
  <c r="F413"/>
  <c r="F412"/>
  <c r="F411"/>
  <c r="F410"/>
  <c r="F409"/>
  <c r="F408"/>
  <c r="F407"/>
  <c r="F406"/>
  <c r="F405"/>
  <c r="F404"/>
  <c r="F403"/>
  <c r="F402"/>
  <c r="F401"/>
  <c r="F400"/>
  <c r="F399"/>
  <c r="F398"/>
  <c r="F397"/>
  <c r="F396"/>
  <c r="F395"/>
  <c r="F394"/>
  <c r="F393"/>
  <c r="F392"/>
  <c r="F391"/>
  <c r="F390"/>
  <c r="F389"/>
  <c r="F388"/>
  <c r="F387"/>
  <c r="F386"/>
  <c r="F385"/>
  <c r="F384"/>
  <c r="F383"/>
  <c r="F382"/>
  <c r="F381"/>
  <c r="F380"/>
  <c r="F379"/>
  <c r="F378"/>
  <c r="F377"/>
  <c r="F376"/>
  <c r="F374"/>
  <c r="F373"/>
  <c r="F372"/>
  <c r="F371"/>
  <c r="F370"/>
  <c r="F369"/>
  <c r="F368"/>
  <c r="F367"/>
  <c r="F366"/>
  <c r="F365"/>
  <c r="F364"/>
  <c r="F363"/>
  <c r="F362"/>
  <c r="F361"/>
  <c r="F360"/>
  <c r="F359"/>
  <c r="F358"/>
  <c r="F357"/>
  <c r="F356"/>
  <c r="F355"/>
  <c r="F354"/>
  <c r="F353"/>
  <c r="F352"/>
  <c r="F351"/>
  <c r="F350"/>
  <c r="F349"/>
  <c r="F348"/>
  <c r="F347"/>
  <c r="F346"/>
  <c r="F344"/>
  <c r="F343"/>
  <c r="F342"/>
  <c r="F341"/>
  <c r="F340"/>
  <c r="F339"/>
  <c r="F338"/>
  <c r="F337"/>
  <c r="F336"/>
  <c r="F335"/>
  <c r="F334"/>
  <c r="F333"/>
  <c r="F332"/>
  <c r="F331"/>
  <c r="F330"/>
  <c r="F329"/>
  <c r="F328"/>
  <c r="F327"/>
  <c r="F326"/>
  <c r="F325"/>
  <c r="F324"/>
  <c r="F323"/>
  <c r="F322"/>
  <c r="F321"/>
  <c r="F320"/>
  <c r="F319"/>
  <c r="F318"/>
  <c r="F317"/>
  <c r="F316"/>
  <c r="F315"/>
  <c r="F314"/>
  <c r="F313"/>
  <c r="F312"/>
  <c r="F311"/>
  <c r="F310"/>
  <c r="F309"/>
  <c r="F308"/>
  <c r="F307"/>
  <c r="F306"/>
  <c r="F305"/>
  <c r="F304"/>
  <c r="F303"/>
  <c r="F302"/>
  <c r="F301"/>
  <c r="F300"/>
  <c r="F299"/>
  <c r="F298"/>
  <c r="F297"/>
  <c r="F296"/>
  <c r="F295"/>
  <c r="F294"/>
  <c r="F293"/>
  <c r="F292"/>
  <c r="F291"/>
  <c r="F289"/>
  <c r="F288"/>
  <c r="F287"/>
  <c r="F286"/>
  <c r="F285"/>
  <c r="F284"/>
  <c r="F283"/>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0"/>
  <c r="F89"/>
  <c r="F88"/>
  <c r="F87"/>
  <c r="F86"/>
  <c r="F85"/>
  <c r="F84"/>
  <c r="F83"/>
  <c r="F82"/>
  <c r="F81"/>
  <c r="F80"/>
  <c r="F79"/>
  <c r="F78"/>
  <c r="F77"/>
  <c r="F76"/>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F23"/>
  <c r="F22"/>
  <c r="F21"/>
  <c r="F20"/>
  <c r="F19"/>
  <c r="F17"/>
  <c r="F16"/>
  <c r="F15"/>
  <c r="F14"/>
  <c r="F13"/>
  <c r="F12"/>
  <c r="F11"/>
  <c r="F10"/>
  <c r="F9"/>
  <c r="F8"/>
  <c r="A7"/>
  <c r="B7"/>
  <c r="C7"/>
  <c r="D7"/>
  <c r="E7"/>
  <c r="A8"/>
  <c r="B8"/>
  <c r="C8"/>
  <c r="D8"/>
  <c r="E8"/>
  <c r="A9"/>
  <c r="B9"/>
  <c r="C9"/>
  <c r="D9"/>
  <c r="E9"/>
  <c r="A10"/>
  <c r="B10"/>
  <c r="C10"/>
  <c r="D10"/>
  <c r="E10"/>
  <c r="A11"/>
  <c r="B11"/>
  <c r="C11"/>
  <c r="D11"/>
  <c r="E11"/>
  <c r="A12"/>
  <c r="B12"/>
  <c r="C12"/>
  <c r="D12"/>
  <c r="E12"/>
  <c r="A13"/>
  <c r="B13"/>
  <c r="C13"/>
  <c r="D13"/>
  <c r="E13"/>
  <c r="A14"/>
  <c r="B14"/>
  <c r="C14"/>
  <c r="D14"/>
  <c r="E14"/>
  <c r="A15"/>
  <c r="B15"/>
  <c r="C15"/>
  <c r="D15"/>
  <c r="E15"/>
  <c r="A16"/>
  <c r="B16"/>
  <c r="C16"/>
  <c r="D16"/>
  <c r="E16"/>
  <c r="A17"/>
  <c r="B17"/>
  <c r="C17"/>
  <c r="D17"/>
  <c r="E17"/>
  <c r="A18"/>
  <c r="B18"/>
  <c r="C18"/>
  <c r="D18"/>
  <c r="E18"/>
  <c r="A19"/>
  <c r="B19"/>
  <c r="C19"/>
  <c r="D19"/>
  <c r="E19"/>
  <c r="A20"/>
  <c r="B20"/>
  <c r="C20"/>
  <c r="D20"/>
  <c r="E20"/>
  <c r="A21"/>
  <c r="B21"/>
  <c r="C21"/>
  <c r="D21"/>
  <c r="E21"/>
  <c r="A22"/>
  <c r="B22"/>
  <c r="C22"/>
  <c r="D22"/>
  <c r="E22"/>
  <c r="A23"/>
  <c r="B23"/>
  <c r="C23"/>
  <c r="D23"/>
  <c r="E23"/>
  <c r="A24"/>
  <c r="B24"/>
  <c r="C24"/>
  <c r="D24"/>
  <c r="E24"/>
  <c r="A25"/>
  <c r="B25"/>
  <c r="C25"/>
  <c r="D25"/>
  <c r="E25"/>
  <c r="A26"/>
  <c r="B26"/>
  <c r="C26"/>
  <c r="D26"/>
  <c r="E26"/>
  <c r="A27"/>
  <c r="B27"/>
  <c r="C27"/>
  <c r="D27"/>
  <c r="E27"/>
  <c r="A28"/>
  <c r="B28"/>
  <c r="C28"/>
  <c r="D28"/>
  <c r="E28"/>
  <c r="A29"/>
  <c r="B29"/>
  <c r="C29"/>
  <c r="D29"/>
  <c r="E29"/>
  <c r="A30"/>
  <c r="B30"/>
  <c r="C30"/>
  <c r="D30"/>
  <c r="E30"/>
  <c r="A31"/>
  <c r="B31"/>
  <c r="C31"/>
  <c r="D31"/>
  <c r="E31"/>
  <c r="A32"/>
  <c r="B32"/>
  <c r="C32"/>
  <c r="D32"/>
  <c r="E32"/>
  <c r="A33"/>
  <c r="B33"/>
  <c r="C33"/>
  <c r="D33"/>
  <c r="E33"/>
  <c r="A34"/>
  <c r="B34"/>
  <c r="C34"/>
  <c r="D34"/>
  <c r="E34"/>
  <c r="A35"/>
  <c r="B35"/>
  <c r="C35"/>
  <c r="D35"/>
  <c r="E35"/>
  <c r="A36"/>
  <c r="B36"/>
  <c r="C36"/>
  <c r="D36"/>
  <c r="E36"/>
  <c r="A37"/>
  <c r="B37"/>
  <c r="C37"/>
  <c r="D37"/>
  <c r="E37"/>
  <c r="A38"/>
  <c r="B38"/>
  <c r="C38"/>
  <c r="D38"/>
  <c r="E38"/>
  <c r="A39"/>
  <c r="B39"/>
  <c r="C39"/>
  <c r="D39"/>
  <c r="E39"/>
  <c r="A40"/>
  <c r="B40"/>
  <c r="C40"/>
  <c r="D40"/>
  <c r="E40"/>
  <c r="A41"/>
  <c r="B41"/>
  <c r="C41"/>
  <c r="D41"/>
  <c r="E41"/>
  <c r="A42"/>
  <c r="B42"/>
  <c r="C42"/>
  <c r="D42"/>
  <c r="E42"/>
  <c r="A43"/>
  <c r="B43"/>
  <c r="C43"/>
  <c r="D43"/>
  <c r="E43"/>
  <c r="A44"/>
  <c r="B44"/>
  <c r="C44"/>
  <c r="D44"/>
  <c r="E44"/>
  <c r="A45"/>
  <c r="B45"/>
  <c r="C45"/>
  <c r="D45"/>
  <c r="E45"/>
  <c r="A46"/>
  <c r="B46"/>
  <c r="C46"/>
  <c r="D46"/>
  <c r="E46"/>
  <c r="A47"/>
  <c r="B47"/>
  <c r="C47"/>
  <c r="D47"/>
  <c r="E47"/>
  <c r="A48"/>
  <c r="B48"/>
  <c r="C48"/>
  <c r="D48"/>
  <c r="E48"/>
  <c r="A49"/>
  <c r="B49"/>
  <c r="C49"/>
  <c r="D49"/>
  <c r="E49"/>
  <c r="A50"/>
  <c r="B50"/>
  <c r="C50"/>
  <c r="D50"/>
  <c r="E50"/>
  <c r="A51"/>
  <c r="B51"/>
  <c r="C51"/>
  <c r="D51"/>
  <c r="E51"/>
  <c r="A52"/>
  <c r="B52"/>
  <c r="C52"/>
  <c r="D52"/>
  <c r="E52"/>
  <c r="A53"/>
  <c r="B53"/>
  <c r="C53"/>
  <c r="D53"/>
  <c r="E53"/>
  <c r="A54"/>
  <c r="B54"/>
  <c r="C54"/>
  <c r="D54"/>
  <c r="E54"/>
  <c r="A55"/>
  <c r="B55"/>
  <c r="C55"/>
  <c r="D55"/>
  <c r="E55"/>
  <c r="A56"/>
  <c r="B56"/>
  <c r="C56"/>
  <c r="D56"/>
  <c r="E56"/>
  <c r="A57"/>
  <c r="B57"/>
  <c r="C57"/>
  <c r="D57"/>
  <c r="E57"/>
  <c r="A58"/>
  <c r="B58"/>
  <c r="C58"/>
  <c r="D58"/>
  <c r="E58"/>
  <c r="A59"/>
  <c r="B59"/>
  <c r="C59"/>
  <c r="D59"/>
  <c r="E59"/>
  <c r="A60"/>
  <c r="B60"/>
  <c r="C60"/>
  <c r="D60"/>
  <c r="E60"/>
  <c r="A61"/>
  <c r="B61"/>
  <c r="C61"/>
  <c r="D61"/>
  <c r="E61"/>
  <c r="A62"/>
  <c r="B62"/>
  <c r="C62"/>
  <c r="D62"/>
  <c r="E62"/>
  <c r="A63"/>
  <c r="B63"/>
  <c r="C63"/>
  <c r="D63"/>
  <c r="E63"/>
  <c r="A64"/>
  <c r="B64"/>
  <c r="C64"/>
  <c r="D64"/>
  <c r="E64"/>
  <c r="A65"/>
  <c r="B65"/>
  <c r="C65"/>
  <c r="D65"/>
  <c r="E65"/>
  <c r="A66"/>
  <c r="B66"/>
  <c r="C66"/>
  <c r="D66"/>
  <c r="E66"/>
  <c r="A67"/>
  <c r="B67"/>
  <c r="C67"/>
  <c r="D67"/>
  <c r="E67"/>
  <c r="A68"/>
  <c r="B68"/>
  <c r="C68"/>
  <c r="D68"/>
  <c r="E68"/>
  <c r="A69"/>
  <c r="B69"/>
  <c r="C69"/>
  <c r="D69"/>
  <c r="E69"/>
  <c r="A70"/>
  <c r="B70"/>
  <c r="C70"/>
  <c r="D70"/>
  <c r="E70"/>
  <c r="A71"/>
  <c r="B71"/>
  <c r="C71"/>
  <c r="D71"/>
  <c r="E71"/>
  <c r="A72"/>
  <c r="B72"/>
  <c r="C72"/>
  <c r="D72"/>
  <c r="E72"/>
  <c r="A73"/>
  <c r="B73"/>
  <c r="C73"/>
  <c r="D73"/>
  <c r="E73"/>
  <c r="A74"/>
  <c r="B74"/>
  <c r="C74"/>
  <c r="D74"/>
  <c r="E74"/>
  <c r="A75"/>
  <c r="B75"/>
  <c r="C75"/>
  <c r="D75"/>
  <c r="E75"/>
  <c r="A76"/>
  <c r="B76"/>
  <c r="C76"/>
  <c r="D76"/>
  <c r="E76"/>
  <c r="A77"/>
  <c r="B77"/>
  <c r="C77"/>
  <c r="D77"/>
  <c r="E77"/>
  <c r="A78"/>
  <c r="B78"/>
  <c r="C78"/>
  <c r="D78"/>
  <c r="E78"/>
  <c r="A79"/>
  <c r="B79"/>
  <c r="C79"/>
  <c r="D79"/>
  <c r="E79"/>
  <c r="A80"/>
  <c r="B80"/>
  <c r="C80"/>
  <c r="D80"/>
  <c r="E80"/>
  <c r="A81"/>
  <c r="B81"/>
  <c r="C81"/>
  <c r="D81"/>
  <c r="E81"/>
  <c r="A82"/>
  <c r="B82"/>
  <c r="C82"/>
  <c r="D82"/>
  <c r="E82"/>
  <c r="A83"/>
  <c r="B83"/>
  <c r="C83"/>
  <c r="D83"/>
  <c r="E83"/>
  <c r="A84"/>
  <c r="B84"/>
  <c r="C84"/>
  <c r="D84"/>
  <c r="E84"/>
  <c r="A85"/>
  <c r="B85"/>
  <c r="C85"/>
  <c r="D85"/>
  <c r="E85"/>
  <c r="A86"/>
  <c r="B86"/>
  <c r="C86"/>
  <c r="D86"/>
  <c r="E86"/>
  <c r="A87"/>
  <c r="B87"/>
  <c r="C87"/>
  <c r="D87"/>
  <c r="E87"/>
  <c r="A88"/>
  <c r="B88"/>
  <c r="C88"/>
  <c r="D88"/>
  <c r="E88"/>
  <c r="A89"/>
  <c r="B89"/>
  <c r="C89"/>
  <c r="D89"/>
  <c r="E89"/>
  <c r="A90"/>
  <c r="B90"/>
  <c r="C90"/>
  <c r="D90"/>
  <c r="E90"/>
  <c r="A91"/>
  <c r="B91"/>
  <c r="C91"/>
  <c r="D91"/>
  <c r="E91"/>
  <c r="A92"/>
  <c r="B92"/>
  <c r="C92"/>
  <c r="D92"/>
  <c r="E92"/>
  <c r="A93"/>
  <c r="B93"/>
  <c r="C93"/>
  <c r="D93"/>
  <c r="E93"/>
  <c r="A94"/>
  <c r="B94"/>
  <c r="C94"/>
  <c r="D94"/>
  <c r="E94"/>
  <c r="A95"/>
  <c r="B95"/>
  <c r="C95"/>
  <c r="D95"/>
  <c r="E95"/>
  <c r="A96"/>
  <c r="B96"/>
  <c r="C96"/>
  <c r="D96"/>
  <c r="E96"/>
  <c r="A97"/>
  <c r="B97"/>
  <c r="C97"/>
  <c r="D97"/>
  <c r="E97"/>
  <c r="A98"/>
  <c r="B98"/>
  <c r="C98"/>
  <c r="D98"/>
  <c r="E98"/>
  <c r="A99"/>
  <c r="B99"/>
  <c r="C99"/>
  <c r="D99"/>
  <c r="E99"/>
  <c r="A100"/>
  <c r="B100"/>
  <c r="C100"/>
  <c r="D100"/>
  <c r="E100"/>
  <c r="A101"/>
  <c r="B101"/>
  <c r="C101"/>
  <c r="D101"/>
  <c r="E101"/>
  <c r="A102"/>
  <c r="B102"/>
  <c r="C102"/>
  <c r="D102"/>
  <c r="E102"/>
  <c r="A103"/>
  <c r="B103"/>
  <c r="C103"/>
  <c r="D103"/>
  <c r="E103"/>
  <c r="A104"/>
  <c r="B104"/>
  <c r="C104"/>
  <c r="D104"/>
  <c r="E104"/>
  <c r="A105"/>
  <c r="B105"/>
  <c r="C105"/>
  <c r="D105"/>
  <c r="E105"/>
  <c r="A106"/>
  <c r="B106"/>
  <c r="C106"/>
  <c r="D106"/>
  <c r="E106"/>
  <c r="A107"/>
  <c r="B107"/>
  <c r="C107"/>
  <c r="D107"/>
  <c r="E107"/>
  <c r="A108"/>
  <c r="B108"/>
  <c r="C108"/>
  <c r="D108"/>
  <c r="E108"/>
  <c r="A109"/>
  <c r="B109"/>
  <c r="C109"/>
  <c r="D109"/>
  <c r="E109"/>
  <c r="A110"/>
  <c r="B110"/>
  <c r="C110"/>
  <c r="D110"/>
  <c r="E110"/>
  <c r="A111"/>
  <c r="B111"/>
  <c r="C111"/>
  <c r="D111"/>
  <c r="E111"/>
  <c r="A112"/>
  <c r="B112"/>
  <c r="C112"/>
  <c r="D112"/>
  <c r="E112"/>
  <c r="A113"/>
  <c r="B113"/>
  <c r="C113"/>
  <c r="D113"/>
  <c r="E113"/>
  <c r="A114"/>
  <c r="B114"/>
  <c r="C114"/>
  <c r="D114"/>
  <c r="E114"/>
  <c r="A115"/>
  <c r="B115"/>
  <c r="C115"/>
  <c r="D115"/>
  <c r="E115"/>
  <c r="A116"/>
  <c r="B116"/>
  <c r="C116"/>
  <c r="D116"/>
  <c r="E116"/>
  <c r="A117"/>
  <c r="B117"/>
  <c r="C117"/>
  <c r="D117"/>
  <c r="E117"/>
  <c r="A118"/>
  <c r="B118"/>
  <c r="C118"/>
  <c r="D118"/>
  <c r="E118"/>
  <c r="A119"/>
  <c r="B119"/>
  <c r="C119"/>
  <c r="D119"/>
  <c r="E119"/>
  <c r="A120"/>
  <c r="B120"/>
  <c r="C120"/>
  <c r="D120"/>
  <c r="E120"/>
  <c r="A121"/>
  <c r="B121"/>
  <c r="C121"/>
  <c r="D121"/>
  <c r="E121"/>
  <c r="A122"/>
  <c r="B122"/>
  <c r="C122"/>
  <c r="D122"/>
  <c r="E122"/>
  <c r="A123"/>
  <c r="B123"/>
  <c r="C123"/>
  <c r="D123"/>
  <c r="E123"/>
  <c r="A124"/>
  <c r="B124"/>
  <c r="C124"/>
  <c r="D124"/>
  <c r="E124"/>
  <c r="A125"/>
  <c r="B125"/>
  <c r="C125"/>
  <c r="D125"/>
  <c r="E125"/>
  <c r="A126"/>
  <c r="B126"/>
  <c r="C126"/>
  <c r="D126"/>
  <c r="E126"/>
  <c r="A127"/>
  <c r="B127"/>
  <c r="C127"/>
  <c r="D127"/>
  <c r="E127"/>
  <c r="A128"/>
  <c r="B128"/>
  <c r="C128"/>
  <c r="D128"/>
  <c r="E128"/>
  <c r="A129"/>
  <c r="B129"/>
  <c r="C129"/>
  <c r="D129"/>
  <c r="E129"/>
  <c r="A130"/>
  <c r="B130"/>
  <c r="C130"/>
  <c r="D130"/>
  <c r="E130"/>
  <c r="A131"/>
  <c r="B131"/>
  <c r="C131"/>
  <c r="D131"/>
  <c r="E131"/>
  <c r="A132"/>
  <c r="B132"/>
  <c r="C132"/>
  <c r="D132"/>
  <c r="E132"/>
  <c r="A133"/>
  <c r="B133"/>
  <c r="C133"/>
  <c r="D133"/>
  <c r="E133"/>
  <c r="A134"/>
  <c r="B134"/>
  <c r="C134"/>
  <c r="D134"/>
  <c r="E134"/>
  <c r="A135"/>
  <c r="B135"/>
  <c r="C135"/>
  <c r="D135"/>
  <c r="E135"/>
  <c r="A136"/>
  <c r="B136"/>
  <c r="C136"/>
  <c r="D136"/>
  <c r="E136"/>
  <c r="A137"/>
  <c r="B137"/>
  <c r="C137"/>
  <c r="D137"/>
  <c r="E137"/>
  <c r="A138"/>
  <c r="B138"/>
  <c r="C138"/>
  <c r="D138"/>
  <c r="E138"/>
  <c r="A139"/>
  <c r="B139"/>
  <c r="C139"/>
  <c r="D139"/>
  <c r="E139"/>
  <c r="A140"/>
  <c r="B140"/>
  <c r="C140"/>
  <c r="D140"/>
  <c r="E140"/>
  <c r="A141"/>
  <c r="B141"/>
  <c r="C141"/>
  <c r="D141"/>
  <c r="E141"/>
  <c r="A142"/>
  <c r="B142"/>
  <c r="C142"/>
  <c r="D142"/>
  <c r="E142"/>
  <c r="A143"/>
  <c r="B143"/>
  <c r="C143"/>
  <c r="D143"/>
  <c r="E143"/>
  <c r="A144"/>
  <c r="B144"/>
  <c r="C144"/>
  <c r="D144"/>
  <c r="E144"/>
  <c r="A145"/>
  <c r="B145"/>
  <c r="C145"/>
  <c r="D145"/>
  <c r="E145"/>
  <c r="A146"/>
  <c r="B146"/>
  <c r="C146"/>
  <c r="D146"/>
  <c r="E146"/>
  <c r="A147"/>
  <c r="B147"/>
  <c r="C147"/>
  <c r="D147"/>
  <c r="E147"/>
  <c r="A148"/>
  <c r="B148"/>
  <c r="C148"/>
  <c r="D148"/>
  <c r="E148"/>
  <c r="A149"/>
  <c r="B149"/>
  <c r="C149"/>
  <c r="D149"/>
  <c r="E149"/>
  <c r="A150"/>
  <c r="B150"/>
  <c r="C150"/>
  <c r="D150"/>
  <c r="E150"/>
  <c r="A151"/>
  <c r="B151"/>
  <c r="C151"/>
  <c r="D151"/>
  <c r="E151"/>
  <c r="A152"/>
  <c r="B152"/>
  <c r="C152"/>
  <c r="D152"/>
  <c r="E152"/>
  <c r="A153"/>
  <c r="B153"/>
  <c r="C153"/>
  <c r="D153"/>
  <c r="E153"/>
  <c r="A154"/>
  <c r="B154"/>
  <c r="C154"/>
  <c r="D154"/>
  <c r="E154"/>
  <c r="A155"/>
  <c r="B155"/>
  <c r="C155"/>
  <c r="D155"/>
  <c r="E155"/>
  <c r="A156"/>
  <c r="B156"/>
  <c r="C156"/>
  <c r="D156"/>
  <c r="E156"/>
  <c r="A157"/>
  <c r="B157"/>
  <c r="C157"/>
  <c r="D157"/>
  <c r="E157"/>
  <c r="A158"/>
  <c r="B158"/>
  <c r="C158"/>
  <c r="D158"/>
  <c r="E158"/>
  <c r="A159"/>
  <c r="B159"/>
  <c r="C159"/>
  <c r="D159"/>
  <c r="E159"/>
  <c r="A160"/>
  <c r="B160"/>
  <c r="C160"/>
  <c r="D160"/>
  <c r="E160"/>
  <c r="A161"/>
  <c r="B161"/>
  <c r="C161"/>
  <c r="D161"/>
  <c r="E161"/>
  <c r="A162"/>
  <c r="B162"/>
  <c r="C162"/>
  <c r="D162"/>
  <c r="E162"/>
  <c r="A163"/>
  <c r="B163"/>
  <c r="C163"/>
  <c r="D163"/>
  <c r="E163"/>
  <c r="A164"/>
  <c r="B164"/>
  <c r="C164"/>
  <c r="D164"/>
  <c r="E164"/>
  <c r="A165"/>
  <c r="B165"/>
  <c r="C165"/>
  <c r="D165"/>
  <c r="E165"/>
  <c r="A166"/>
  <c r="B166"/>
  <c r="C166"/>
  <c r="D166"/>
  <c r="E166"/>
  <c r="A167"/>
  <c r="B167"/>
  <c r="C167"/>
  <c r="D167"/>
  <c r="E167"/>
  <c r="A168"/>
  <c r="B168"/>
  <c r="C168"/>
  <c r="D168"/>
  <c r="E168"/>
  <c r="A169"/>
  <c r="B169"/>
  <c r="C169"/>
  <c r="D169"/>
  <c r="E169"/>
  <c r="A170"/>
  <c r="B170"/>
  <c r="C170"/>
  <c r="D170"/>
  <c r="E170"/>
  <c r="A171"/>
  <c r="B171"/>
  <c r="C171"/>
  <c r="D171"/>
  <c r="E171"/>
  <c r="A172"/>
  <c r="B172"/>
  <c r="C172"/>
  <c r="D172"/>
  <c r="E172"/>
  <c r="A173"/>
  <c r="B173"/>
  <c r="C173"/>
  <c r="D173"/>
  <c r="E173"/>
  <c r="A174"/>
  <c r="B174"/>
  <c r="C174"/>
  <c r="D174"/>
  <c r="E174"/>
  <c r="A175"/>
  <c r="B175"/>
  <c r="C175"/>
  <c r="D175"/>
  <c r="E175"/>
  <c r="A176"/>
  <c r="B176"/>
  <c r="C176"/>
  <c r="D176"/>
  <c r="E176"/>
  <c r="A177"/>
  <c r="B177"/>
  <c r="C177"/>
  <c r="D177"/>
  <c r="E177"/>
  <c r="A178"/>
  <c r="B178"/>
  <c r="C178"/>
  <c r="D178"/>
  <c r="E178"/>
  <c r="A179"/>
  <c r="B179"/>
  <c r="C179"/>
  <c r="D179"/>
  <c r="E179"/>
  <c r="A180"/>
  <c r="B180"/>
  <c r="C180"/>
  <c r="D180"/>
  <c r="E180"/>
  <c r="A181"/>
  <c r="B181"/>
  <c r="C181"/>
  <c r="D181"/>
  <c r="E181"/>
  <c r="A182"/>
  <c r="B182"/>
  <c r="C182"/>
  <c r="D182"/>
  <c r="E182"/>
  <c r="A183"/>
  <c r="B183"/>
  <c r="C183"/>
  <c r="D183"/>
  <c r="E183"/>
  <c r="A184"/>
  <c r="B184"/>
  <c r="C184"/>
  <c r="D184"/>
  <c r="E184"/>
  <c r="A185"/>
  <c r="B185"/>
  <c r="C185"/>
  <c r="D185"/>
  <c r="E185"/>
  <c r="A186"/>
  <c r="B186"/>
  <c r="C186"/>
  <c r="D186"/>
  <c r="E186"/>
  <c r="A187"/>
  <c r="B187"/>
  <c r="C187"/>
  <c r="D187"/>
  <c r="E187"/>
  <c r="A188"/>
  <c r="B188"/>
  <c r="C188"/>
  <c r="D188"/>
  <c r="E188"/>
  <c r="A189"/>
  <c r="B189"/>
  <c r="C189"/>
  <c r="D189"/>
  <c r="E189"/>
  <c r="A190"/>
  <c r="B190"/>
  <c r="C190"/>
  <c r="D190"/>
  <c r="E190"/>
  <c r="A191"/>
  <c r="B191"/>
  <c r="C191"/>
  <c r="D191"/>
  <c r="E191"/>
  <c r="A192"/>
  <c r="B192"/>
  <c r="C192"/>
  <c r="D192"/>
  <c r="E192"/>
  <c r="A193"/>
  <c r="B193"/>
  <c r="C193"/>
  <c r="D193"/>
  <c r="E193"/>
  <c r="A194"/>
  <c r="B194"/>
  <c r="C194"/>
  <c r="D194"/>
  <c r="E194"/>
  <c r="A195"/>
  <c r="B195"/>
  <c r="C195"/>
  <c r="D195"/>
  <c r="E195"/>
  <c r="A196"/>
  <c r="B196"/>
  <c r="C196"/>
  <c r="D196"/>
  <c r="E196"/>
  <c r="A197"/>
  <c r="B197"/>
  <c r="C197"/>
  <c r="D197"/>
  <c r="E197"/>
  <c r="A198"/>
  <c r="B198"/>
  <c r="C198"/>
  <c r="D198"/>
  <c r="E198"/>
  <c r="A199"/>
  <c r="B199"/>
  <c r="C199"/>
  <c r="D199"/>
  <c r="E199"/>
  <c r="A200"/>
  <c r="B200"/>
  <c r="C200"/>
  <c r="D200"/>
  <c r="E200"/>
  <c r="A201"/>
  <c r="B201"/>
  <c r="C201"/>
  <c r="D201"/>
  <c r="E201"/>
  <c r="A202"/>
  <c r="B202"/>
  <c r="C202"/>
  <c r="D202"/>
  <c r="E202"/>
  <c r="A203"/>
  <c r="B203"/>
  <c r="C203"/>
  <c r="D203"/>
  <c r="E203"/>
  <c r="A204"/>
  <c r="B204"/>
  <c r="C204"/>
  <c r="D204"/>
  <c r="E204"/>
  <c r="A205"/>
  <c r="B205"/>
  <c r="C205"/>
  <c r="D205"/>
  <c r="E205"/>
  <c r="A206"/>
  <c r="B206"/>
  <c r="C206"/>
  <c r="D206"/>
  <c r="E206"/>
  <c r="A207"/>
  <c r="B207"/>
  <c r="C207"/>
  <c r="D207"/>
  <c r="E207"/>
  <c r="A208"/>
  <c r="B208"/>
  <c r="C208"/>
  <c r="D208"/>
  <c r="E208"/>
  <c r="A209"/>
  <c r="B209"/>
  <c r="C209"/>
  <c r="D209"/>
  <c r="E209"/>
  <c r="A210"/>
  <c r="B210"/>
  <c r="C210"/>
  <c r="D210"/>
  <c r="E210"/>
  <c r="A211"/>
  <c r="B211"/>
  <c r="C211"/>
  <c r="D211"/>
  <c r="E211"/>
  <c r="A212"/>
  <c r="B212"/>
  <c r="C212"/>
  <c r="D212"/>
  <c r="E212"/>
  <c r="A213"/>
  <c r="B213"/>
  <c r="C213"/>
  <c r="D213"/>
  <c r="E213"/>
  <c r="A214"/>
  <c r="B214"/>
  <c r="C214"/>
  <c r="D214"/>
  <c r="E214"/>
  <c r="A215"/>
  <c r="B215"/>
  <c r="C215"/>
  <c r="D215"/>
  <c r="E215"/>
  <c r="A216"/>
  <c r="B216"/>
  <c r="C216"/>
  <c r="D216"/>
  <c r="E216"/>
  <c r="A217"/>
  <c r="B217"/>
  <c r="C217"/>
  <c r="D217"/>
  <c r="E217"/>
  <c r="A218"/>
  <c r="B218"/>
  <c r="C218"/>
  <c r="D218"/>
  <c r="E218"/>
  <c r="A219"/>
  <c r="B219"/>
  <c r="C219"/>
  <c r="D219"/>
  <c r="E219"/>
  <c r="A220"/>
  <c r="B220"/>
  <c r="C220"/>
  <c r="D220"/>
  <c r="E220"/>
  <c r="A221"/>
  <c r="B221"/>
  <c r="C221"/>
  <c r="D221"/>
  <c r="E221"/>
  <c r="A222"/>
  <c r="B222"/>
  <c r="C222"/>
  <c r="D222"/>
  <c r="E222"/>
  <c r="A223"/>
  <c r="B223"/>
  <c r="C223"/>
  <c r="D223"/>
  <c r="E223"/>
  <c r="A224"/>
  <c r="B224"/>
  <c r="C224"/>
  <c r="D224"/>
  <c r="E224"/>
  <c r="A225"/>
  <c r="B225"/>
  <c r="C225"/>
  <c r="D225"/>
  <c r="E225"/>
  <c r="A226"/>
  <c r="B226"/>
  <c r="C226"/>
  <c r="D226"/>
  <c r="E226"/>
  <c r="A227"/>
  <c r="B227"/>
  <c r="C227"/>
  <c r="D227"/>
  <c r="E227"/>
  <c r="A228"/>
  <c r="B228"/>
  <c r="C228"/>
  <c r="D228"/>
  <c r="E228"/>
  <c r="A229"/>
  <c r="B229"/>
  <c r="C229"/>
  <c r="D229"/>
  <c r="E229"/>
  <c r="A230"/>
  <c r="B230"/>
  <c r="C230"/>
  <c r="D230"/>
  <c r="E230"/>
  <c r="A231"/>
  <c r="B231"/>
  <c r="C231"/>
  <c r="D231"/>
  <c r="E231"/>
  <c r="A232"/>
  <c r="B232"/>
  <c r="C232"/>
  <c r="D232"/>
  <c r="E232"/>
  <c r="A233"/>
  <c r="B233"/>
  <c r="C233"/>
  <c r="D233"/>
  <c r="E233"/>
  <c r="A234"/>
  <c r="B234"/>
  <c r="C234"/>
  <c r="D234"/>
  <c r="E234"/>
  <c r="A235"/>
  <c r="B235"/>
  <c r="C235"/>
  <c r="D235"/>
  <c r="E235"/>
  <c r="A236"/>
  <c r="B236"/>
  <c r="C236"/>
  <c r="D236"/>
  <c r="E236"/>
  <c r="A237"/>
  <c r="B237"/>
  <c r="C237"/>
  <c r="D237"/>
  <c r="E237"/>
  <c r="A238"/>
  <c r="B238"/>
  <c r="C238"/>
  <c r="D238"/>
  <c r="E238"/>
  <c r="A239"/>
  <c r="B239"/>
  <c r="C239"/>
  <c r="D239"/>
  <c r="E239"/>
  <c r="A240"/>
  <c r="B240"/>
  <c r="C240"/>
  <c r="D240"/>
  <c r="E240"/>
  <c r="A241"/>
  <c r="B241"/>
  <c r="C241"/>
  <c r="D241"/>
  <c r="E241"/>
  <c r="A242"/>
  <c r="B242"/>
  <c r="C242"/>
  <c r="D242"/>
  <c r="E242"/>
  <c r="A243"/>
  <c r="B243"/>
  <c r="C243"/>
  <c r="D243"/>
  <c r="E243"/>
  <c r="A244"/>
  <c r="B244"/>
  <c r="C244"/>
  <c r="D244"/>
  <c r="E244"/>
  <c r="A245"/>
  <c r="B245"/>
  <c r="C245"/>
  <c r="D245"/>
  <c r="E245"/>
  <c r="A246"/>
  <c r="B246"/>
  <c r="C246"/>
  <c r="D246"/>
  <c r="E246"/>
  <c r="A247"/>
  <c r="B247"/>
  <c r="C247"/>
  <c r="D247"/>
  <c r="E247"/>
  <c r="A248"/>
  <c r="B248"/>
  <c r="C248"/>
  <c r="D248"/>
  <c r="E248"/>
  <c r="A249"/>
  <c r="B249"/>
  <c r="C249"/>
  <c r="D249"/>
  <c r="E249"/>
  <c r="A250"/>
  <c r="B250"/>
  <c r="C250"/>
  <c r="D250"/>
  <c r="E250"/>
  <c r="A251"/>
  <c r="B251"/>
  <c r="C251"/>
  <c r="D251"/>
  <c r="E251"/>
  <c r="A252"/>
  <c r="B252"/>
  <c r="C252"/>
  <c r="D252"/>
  <c r="E252"/>
  <c r="A253"/>
  <c r="B253"/>
  <c r="C253"/>
  <c r="D253"/>
  <c r="E253"/>
  <c r="A254"/>
  <c r="B254"/>
  <c r="C254"/>
  <c r="D254"/>
  <c r="E254"/>
  <c r="A255"/>
  <c r="B255"/>
  <c r="C255"/>
  <c r="D255"/>
  <c r="E255"/>
  <c r="A256"/>
  <c r="B256"/>
  <c r="C256"/>
  <c r="D256"/>
  <c r="E256"/>
  <c r="A257"/>
  <c r="B257"/>
  <c r="C257"/>
  <c r="D257"/>
  <c r="E257"/>
  <c r="A258"/>
  <c r="B258"/>
  <c r="C258"/>
  <c r="D258"/>
  <c r="E258"/>
  <c r="A259"/>
  <c r="B259"/>
  <c r="C259"/>
  <c r="D259"/>
  <c r="E259"/>
  <c r="A260"/>
  <c r="B260"/>
  <c r="C260"/>
  <c r="D260"/>
  <c r="E260"/>
  <c r="A261"/>
  <c r="B261"/>
  <c r="C261"/>
  <c r="D261"/>
  <c r="E261"/>
  <c r="A262"/>
  <c r="B262"/>
  <c r="C262"/>
  <c r="D262"/>
  <c r="E262"/>
  <c r="A263"/>
  <c r="B263"/>
  <c r="C263"/>
  <c r="D263"/>
  <c r="E263"/>
  <c r="A264"/>
  <c r="B264"/>
  <c r="C264"/>
  <c r="D264"/>
  <c r="E264"/>
  <c r="A265"/>
  <c r="B265"/>
  <c r="C265"/>
  <c r="D265"/>
  <c r="E265"/>
  <c r="A266"/>
  <c r="B266"/>
  <c r="C266"/>
  <c r="D266"/>
  <c r="E266"/>
  <c r="A267"/>
  <c r="B267"/>
  <c r="C267"/>
  <c r="D267"/>
  <c r="E267"/>
  <c r="A268"/>
  <c r="B268"/>
  <c r="C268"/>
  <c r="D268"/>
  <c r="E268"/>
  <c r="A269"/>
  <c r="B269"/>
  <c r="C269"/>
  <c r="D269"/>
  <c r="E269"/>
  <c r="A270"/>
  <c r="B270"/>
  <c r="C270"/>
  <c r="D270"/>
  <c r="E270"/>
  <c r="A271"/>
  <c r="B271"/>
  <c r="C271"/>
  <c r="D271"/>
  <c r="E271"/>
  <c r="A272"/>
  <c r="B272"/>
  <c r="C272"/>
  <c r="D272"/>
  <c r="E272"/>
  <c r="A273"/>
  <c r="B273"/>
  <c r="C273"/>
  <c r="D273"/>
  <c r="E273"/>
  <c r="A274"/>
  <c r="B274"/>
  <c r="C274"/>
  <c r="D274"/>
  <c r="E274"/>
  <c r="A275"/>
  <c r="B275"/>
  <c r="C275"/>
  <c r="D275"/>
  <c r="E275"/>
  <c r="A276"/>
  <c r="B276"/>
  <c r="C276"/>
  <c r="D276"/>
  <c r="E276"/>
  <c r="A277"/>
  <c r="B277"/>
  <c r="C277"/>
  <c r="D277"/>
  <c r="E277"/>
  <c r="A278"/>
  <c r="B278"/>
  <c r="C278"/>
  <c r="D278"/>
  <c r="E278"/>
  <c r="A279"/>
  <c r="B279"/>
  <c r="C279"/>
  <c r="D279"/>
  <c r="E279"/>
  <c r="A280"/>
  <c r="B280"/>
  <c r="C280"/>
  <c r="D280"/>
  <c r="E280"/>
  <c r="A281"/>
  <c r="B281"/>
  <c r="C281"/>
  <c r="D281"/>
  <c r="E281"/>
  <c r="A282"/>
  <c r="B282"/>
  <c r="C282"/>
  <c r="D282"/>
  <c r="E282"/>
  <c r="A283"/>
  <c r="B283"/>
  <c r="C283"/>
  <c r="D283"/>
  <c r="E283"/>
  <c r="A284"/>
  <c r="B284"/>
  <c r="C284"/>
  <c r="D284"/>
  <c r="E284"/>
  <c r="A285"/>
  <c r="B285"/>
  <c r="C285"/>
  <c r="D285"/>
  <c r="E285"/>
  <c r="A286"/>
  <c r="B286"/>
  <c r="C286"/>
  <c r="D286"/>
  <c r="E286"/>
  <c r="A287"/>
  <c r="B287"/>
  <c r="C287"/>
  <c r="D287"/>
  <c r="E287"/>
  <c r="A288"/>
  <c r="B288"/>
  <c r="C288"/>
  <c r="D288"/>
  <c r="E288"/>
  <c r="A289"/>
  <c r="B289"/>
  <c r="C289"/>
  <c r="D289"/>
  <c r="E289"/>
  <c r="A290"/>
  <c r="B290"/>
  <c r="C290"/>
  <c r="D290"/>
  <c r="E290"/>
  <c r="A291"/>
  <c r="B291"/>
  <c r="C291"/>
  <c r="D291"/>
  <c r="E291"/>
  <c r="A292"/>
  <c r="B292"/>
  <c r="C292"/>
  <c r="D292"/>
  <c r="E292"/>
  <c r="A293"/>
  <c r="B293"/>
  <c r="C293"/>
  <c r="D293"/>
  <c r="E293"/>
  <c r="A294"/>
  <c r="B294"/>
  <c r="C294"/>
  <c r="D294"/>
  <c r="E294"/>
  <c r="A295"/>
  <c r="B295"/>
  <c r="C295"/>
  <c r="D295"/>
  <c r="E295"/>
  <c r="A296"/>
  <c r="B296"/>
  <c r="C296"/>
  <c r="D296"/>
  <c r="E296"/>
  <c r="A297"/>
  <c r="B297"/>
  <c r="C297"/>
  <c r="D297"/>
  <c r="E297"/>
  <c r="A298"/>
  <c r="B298"/>
  <c r="C298"/>
  <c r="D298"/>
  <c r="E298"/>
  <c r="A299"/>
  <c r="B299"/>
  <c r="C299"/>
  <c r="D299"/>
  <c r="E299"/>
  <c r="A300"/>
  <c r="B300"/>
  <c r="C300"/>
  <c r="D300"/>
  <c r="E300"/>
  <c r="A301"/>
  <c r="B301"/>
  <c r="C301"/>
  <c r="D301"/>
  <c r="E301"/>
  <c r="A302"/>
  <c r="B302"/>
  <c r="C302"/>
  <c r="D302"/>
  <c r="E302"/>
  <c r="A303"/>
  <c r="B303"/>
  <c r="C303"/>
  <c r="D303"/>
  <c r="E303"/>
  <c r="A304"/>
  <c r="B304"/>
  <c r="C304"/>
  <c r="D304"/>
  <c r="E304"/>
  <c r="A305"/>
  <c r="B305"/>
  <c r="C305"/>
  <c r="D305"/>
  <c r="E305"/>
  <c r="A306"/>
  <c r="B306"/>
  <c r="C306"/>
  <c r="D306"/>
  <c r="E306"/>
  <c r="A307"/>
  <c r="B307"/>
  <c r="C307"/>
  <c r="D307"/>
  <c r="E307"/>
  <c r="A308"/>
  <c r="B308"/>
  <c r="C308"/>
  <c r="D308"/>
  <c r="E308"/>
  <c r="A309"/>
  <c r="B309"/>
  <c r="C309"/>
  <c r="D309"/>
  <c r="E309"/>
  <c r="A310"/>
  <c r="B310"/>
  <c r="C310"/>
  <c r="D310"/>
  <c r="E310"/>
  <c r="A311"/>
  <c r="B311"/>
  <c r="C311"/>
  <c r="D311"/>
  <c r="E311"/>
  <c r="A312"/>
  <c r="B312"/>
  <c r="C312"/>
  <c r="D312"/>
  <c r="E312"/>
  <c r="A313"/>
  <c r="B313"/>
  <c r="C313"/>
  <c r="D313"/>
  <c r="E313"/>
  <c r="A314"/>
  <c r="B314"/>
  <c r="C314"/>
  <c r="D314"/>
  <c r="E314"/>
  <c r="A315"/>
  <c r="B315"/>
  <c r="C315"/>
  <c r="D315"/>
  <c r="E315"/>
  <c r="A316"/>
  <c r="B316"/>
  <c r="C316"/>
  <c r="D316"/>
  <c r="E316"/>
  <c r="A317"/>
  <c r="B317"/>
  <c r="C317"/>
  <c r="D317"/>
  <c r="E317"/>
  <c r="A318"/>
  <c r="B318"/>
  <c r="C318"/>
  <c r="D318"/>
  <c r="E318"/>
  <c r="A319"/>
  <c r="B319"/>
  <c r="C319"/>
  <c r="D319"/>
  <c r="E319"/>
  <c r="A320"/>
  <c r="B320"/>
  <c r="C320"/>
  <c r="D320"/>
  <c r="E320"/>
  <c r="A321"/>
  <c r="B321"/>
  <c r="C321"/>
  <c r="D321"/>
  <c r="E321"/>
  <c r="A322"/>
  <c r="B322"/>
  <c r="C322"/>
  <c r="D322"/>
  <c r="E322"/>
  <c r="A323"/>
  <c r="B323"/>
  <c r="C323"/>
  <c r="D323"/>
  <c r="E323"/>
  <c r="A324"/>
  <c r="B324"/>
  <c r="C324"/>
  <c r="D324"/>
  <c r="E324"/>
  <c r="A325"/>
  <c r="B325"/>
  <c r="C325"/>
  <c r="D325"/>
  <c r="E325"/>
  <c r="A326"/>
  <c r="B326"/>
  <c r="C326"/>
  <c r="D326"/>
  <c r="E326"/>
  <c r="A327"/>
  <c r="B327"/>
  <c r="C327"/>
  <c r="D327"/>
  <c r="E327"/>
  <c r="A328"/>
  <c r="B328"/>
  <c r="C328"/>
  <c r="D328"/>
  <c r="E328"/>
  <c r="A329"/>
  <c r="B329"/>
  <c r="C329"/>
  <c r="D329"/>
  <c r="E329"/>
  <c r="A330"/>
  <c r="B330"/>
  <c r="C330"/>
  <c r="D330"/>
  <c r="E330"/>
  <c r="A331"/>
  <c r="B331"/>
  <c r="C331"/>
  <c r="D331"/>
  <c r="E331"/>
  <c r="A332"/>
  <c r="B332"/>
  <c r="C332"/>
  <c r="D332"/>
  <c r="E332"/>
  <c r="A333"/>
  <c r="B333"/>
  <c r="C333"/>
  <c r="D333"/>
  <c r="E333"/>
  <c r="A334"/>
  <c r="B334"/>
  <c r="C334"/>
  <c r="D334"/>
  <c r="E334"/>
  <c r="A335"/>
  <c r="B335"/>
  <c r="C335"/>
  <c r="D335"/>
  <c r="E335"/>
  <c r="A336"/>
  <c r="B336"/>
  <c r="C336"/>
  <c r="D336"/>
  <c r="E336"/>
  <c r="A337"/>
  <c r="B337"/>
  <c r="C337"/>
  <c r="D337"/>
  <c r="E337"/>
  <c r="A338"/>
  <c r="B338"/>
  <c r="C338"/>
  <c r="D338"/>
  <c r="E338"/>
  <c r="A339"/>
  <c r="B339"/>
  <c r="C339"/>
  <c r="D339"/>
  <c r="E339"/>
  <c r="A340"/>
  <c r="B340"/>
  <c r="C340"/>
  <c r="D340"/>
  <c r="E340"/>
  <c r="A341"/>
  <c r="B341"/>
  <c r="C341"/>
  <c r="D341"/>
  <c r="E341"/>
  <c r="A342"/>
  <c r="B342"/>
  <c r="C342"/>
  <c r="D342"/>
  <c r="E342"/>
  <c r="A343"/>
  <c r="B343"/>
  <c r="C343"/>
  <c r="D343"/>
  <c r="E343"/>
  <c r="A344"/>
  <c r="B344"/>
  <c r="C344"/>
  <c r="D344"/>
  <c r="E344"/>
  <c r="A345"/>
  <c r="B345"/>
  <c r="C345"/>
  <c r="D345"/>
  <c r="E345"/>
  <c r="A346"/>
  <c r="B346"/>
  <c r="C346"/>
  <c r="D346"/>
  <c r="E346"/>
  <c r="A347"/>
  <c r="B347"/>
  <c r="C347"/>
  <c r="D347"/>
  <c r="E347"/>
  <c r="A348"/>
  <c r="B348"/>
  <c r="C348"/>
  <c r="D348"/>
  <c r="E348"/>
  <c r="A349"/>
  <c r="B349"/>
  <c r="C349"/>
  <c r="D349"/>
  <c r="E349"/>
  <c r="A350"/>
  <c r="B350"/>
  <c r="C350"/>
  <c r="D350"/>
  <c r="E350"/>
  <c r="A351"/>
  <c r="B351"/>
  <c r="C351"/>
  <c r="D351"/>
  <c r="E351"/>
  <c r="A352"/>
  <c r="B352"/>
  <c r="C352"/>
  <c r="D352"/>
  <c r="E352"/>
  <c r="A353"/>
  <c r="B353"/>
  <c r="C353"/>
  <c r="D353"/>
  <c r="E353"/>
  <c r="A354"/>
  <c r="B354"/>
  <c r="C354"/>
  <c r="D354"/>
  <c r="E354"/>
  <c r="A355"/>
  <c r="B355"/>
  <c r="C355"/>
  <c r="D355"/>
  <c r="E355"/>
  <c r="A356"/>
  <c r="B356"/>
  <c r="C356"/>
  <c r="D356"/>
  <c r="E356"/>
  <c r="A357"/>
  <c r="B357"/>
  <c r="C357"/>
  <c r="D357"/>
  <c r="E357"/>
  <c r="A358"/>
  <c r="B358"/>
  <c r="C358"/>
  <c r="D358"/>
  <c r="E358"/>
  <c r="A359"/>
  <c r="B359"/>
  <c r="C359"/>
  <c r="D359"/>
  <c r="E359"/>
  <c r="A360"/>
  <c r="B360"/>
  <c r="C360"/>
  <c r="D360"/>
  <c r="E360"/>
  <c r="A361"/>
  <c r="B361"/>
  <c r="C361"/>
  <c r="D361"/>
  <c r="E361"/>
  <c r="A362"/>
  <c r="B362"/>
  <c r="C362"/>
  <c r="D362"/>
  <c r="E362"/>
  <c r="A363"/>
  <c r="B363"/>
  <c r="C363"/>
  <c r="D363"/>
  <c r="E363"/>
  <c r="A364"/>
  <c r="B364"/>
  <c r="C364"/>
  <c r="D364"/>
  <c r="E364"/>
  <c r="A365"/>
  <c r="B365"/>
  <c r="C365"/>
  <c r="D365"/>
  <c r="E365"/>
  <c r="A366"/>
  <c r="B366"/>
  <c r="C366"/>
  <c r="D366"/>
  <c r="E366"/>
  <c r="A367"/>
  <c r="B367"/>
  <c r="C367"/>
  <c r="D367"/>
  <c r="E367"/>
  <c r="A368"/>
  <c r="B368"/>
  <c r="C368"/>
  <c r="D368"/>
  <c r="E368"/>
  <c r="A369"/>
  <c r="B369"/>
  <c r="C369"/>
  <c r="D369"/>
  <c r="E369"/>
  <c r="A370"/>
  <c r="B370"/>
  <c r="C370"/>
  <c r="D370"/>
  <c r="E370"/>
  <c r="A371"/>
  <c r="B371"/>
  <c r="C371"/>
  <c r="D371"/>
  <c r="E371"/>
  <c r="A372"/>
  <c r="B372"/>
  <c r="C372"/>
  <c r="D372"/>
  <c r="E372"/>
  <c r="A373"/>
  <c r="B373"/>
  <c r="C373"/>
  <c r="D373"/>
  <c r="E373"/>
  <c r="A374"/>
  <c r="B374"/>
  <c r="C374"/>
  <c r="D374"/>
  <c r="E374"/>
  <c r="A375"/>
  <c r="B375"/>
  <c r="C375"/>
  <c r="D375"/>
  <c r="E375"/>
  <c r="A376"/>
  <c r="B376"/>
  <c r="C376"/>
  <c r="D376"/>
  <c r="E376"/>
  <c r="A377"/>
  <c r="B377"/>
  <c r="C377"/>
  <c r="D377"/>
  <c r="E377"/>
  <c r="A378"/>
  <c r="B378"/>
  <c r="C378"/>
  <c r="D378"/>
  <c r="E378"/>
  <c r="A379"/>
  <c r="B379"/>
  <c r="C379"/>
  <c r="D379"/>
  <c r="E379"/>
  <c r="A380"/>
  <c r="B380"/>
  <c r="C380"/>
  <c r="D380"/>
  <c r="E380"/>
  <c r="A381"/>
  <c r="B381"/>
  <c r="C381"/>
  <c r="D381"/>
  <c r="E381"/>
  <c r="A382"/>
  <c r="B382"/>
  <c r="C382"/>
  <c r="D382"/>
  <c r="E382"/>
  <c r="A383"/>
  <c r="B383"/>
  <c r="C383"/>
  <c r="D383"/>
  <c r="E383"/>
  <c r="A384"/>
  <c r="B384"/>
  <c r="C384"/>
  <c r="D384"/>
  <c r="E384"/>
  <c r="A385"/>
  <c r="B385"/>
  <c r="C385"/>
  <c r="D385"/>
  <c r="E385"/>
  <c r="A386"/>
  <c r="B386"/>
  <c r="C386"/>
  <c r="D386"/>
  <c r="E386"/>
  <c r="A387"/>
  <c r="B387"/>
  <c r="C387"/>
  <c r="D387"/>
  <c r="E387"/>
  <c r="A388"/>
  <c r="B388"/>
  <c r="C388"/>
  <c r="D388"/>
  <c r="E388"/>
  <c r="A389"/>
  <c r="B389"/>
  <c r="C389"/>
  <c r="D389"/>
  <c r="E389"/>
  <c r="A390"/>
  <c r="B390"/>
  <c r="C390"/>
  <c r="D390"/>
  <c r="E390"/>
  <c r="A391"/>
  <c r="B391"/>
  <c r="C391"/>
  <c r="D391"/>
  <c r="E391"/>
  <c r="A392"/>
  <c r="B392"/>
  <c r="C392"/>
  <c r="D392"/>
  <c r="E392"/>
  <c r="A393"/>
  <c r="B393"/>
  <c r="C393"/>
  <c r="D393"/>
  <c r="E393"/>
  <c r="A394"/>
  <c r="B394"/>
  <c r="C394"/>
  <c r="D394"/>
  <c r="E394"/>
  <c r="A395"/>
  <c r="B395"/>
  <c r="C395"/>
  <c r="D395"/>
  <c r="E395"/>
  <c r="A396"/>
  <c r="B396"/>
  <c r="C396"/>
  <c r="D396"/>
  <c r="E396"/>
  <c r="A397"/>
  <c r="B397"/>
  <c r="C397"/>
  <c r="D397"/>
  <c r="E397"/>
  <c r="A398"/>
  <c r="B398"/>
  <c r="C398"/>
  <c r="D398"/>
  <c r="E398"/>
  <c r="A399"/>
  <c r="B399"/>
  <c r="C399"/>
  <c r="D399"/>
  <c r="E399"/>
  <c r="A400"/>
  <c r="B400"/>
  <c r="C400"/>
  <c r="D400"/>
  <c r="E400"/>
  <c r="A401"/>
  <c r="B401"/>
  <c r="C401"/>
  <c r="D401"/>
  <c r="E401"/>
  <c r="A402"/>
  <c r="B402"/>
  <c r="C402"/>
  <c r="D402"/>
  <c r="E402"/>
  <c r="A403"/>
  <c r="B403"/>
  <c r="C403"/>
  <c r="D403"/>
  <c r="E403"/>
  <c r="A404"/>
  <c r="B404"/>
  <c r="C404"/>
  <c r="D404"/>
  <c r="E404"/>
  <c r="A405"/>
  <c r="B405"/>
  <c r="C405"/>
  <c r="D405"/>
  <c r="E405"/>
  <c r="A406"/>
  <c r="B406"/>
  <c r="C406"/>
  <c r="D406"/>
  <c r="E406"/>
  <c r="A407"/>
  <c r="B407"/>
  <c r="C407"/>
  <c r="D407"/>
  <c r="E407"/>
  <c r="A408"/>
  <c r="B408"/>
  <c r="C408"/>
  <c r="D408"/>
  <c r="E408"/>
  <c r="A409"/>
  <c r="B409"/>
  <c r="C409"/>
  <c r="D409"/>
  <c r="E409"/>
  <c r="A410"/>
  <c r="B410"/>
  <c r="C410"/>
  <c r="D410"/>
  <c r="E410"/>
  <c r="A411"/>
  <c r="B411"/>
  <c r="C411"/>
  <c r="D411"/>
  <c r="E411"/>
  <c r="A412"/>
  <c r="B412"/>
  <c r="C412"/>
  <c r="D412"/>
  <c r="E412"/>
  <c r="A413"/>
  <c r="B413"/>
  <c r="C413"/>
  <c r="D413"/>
  <c r="E413"/>
  <c r="A414"/>
  <c r="B414"/>
  <c r="C414"/>
  <c r="D414"/>
  <c r="E414"/>
  <c r="A415"/>
  <c r="B415"/>
  <c r="C415"/>
  <c r="D415"/>
  <c r="E415"/>
  <c r="A416"/>
  <c r="B416"/>
  <c r="C416"/>
  <c r="D416"/>
  <c r="E416"/>
  <c r="A417"/>
  <c r="B417"/>
  <c r="C417"/>
  <c r="D417"/>
  <c r="E417"/>
  <c r="A418"/>
  <c r="B418"/>
  <c r="C418"/>
  <c r="D418"/>
  <c r="E418"/>
  <c r="A419"/>
  <c r="B419"/>
  <c r="C419"/>
  <c r="D419"/>
  <c r="E419"/>
  <c r="A420"/>
  <c r="B420"/>
  <c r="C420"/>
  <c r="D420"/>
  <c r="E420"/>
  <c r="A421"/>
  <c r="B421"/>
  <c r="C421"/>
  <c r="D421"/>
  <c r="E421"/>
  <c r="A422"/>
  <c r="B422"/>
  <c r="C422"/>
  <c r="D422"/>
  <c r="E422"/>
  <c r="A423"/>
  <c r="B423"/>
  <c r="C423"/>
  <c r="D423"/>
  <c r="E423"/>
  <c r="A424"/>
  <c r="B424"/>
  <c r="C424"/>
  <c r="D424"/>
  <c r="E424"/>
  <c r="A425"/>
  <c r="B425"/>
  <c r="C425"/>
  <c r="D425"/>
  <c r="E425"/>
  <c r="A426"/>
  <c r="B426"/>
  <c r="C426"/>
  <c r="D426"/>
  <c r="E426"/>
  <c r="A427"/>
  <c r="B427"/>
  <c r="C427"/>
  <c r="D427"/>
  <c r="E427"/>
  <c r="A428"/>
  <c r="B428"/>
  <c r="C428"/>
  <c r="D428"/>
  <c r="E428"/>
  <c r="A429"/>
  <c r="B429"/>
  <c r="C429"/>
  <c r="D429"/>
  <c r="E429"/>
  <c r="A430"/>
  <c r="B430"/>
  <c r="C430"/>
  <c r="D430"/>
  <c r="E430"/>
  <c r="A431"/>
  <c r="B431"/>
  <c r="C431"/>
  <c r="D431"/>
  <c r="E431"/>
  <c r="A432"/>
  <c r="B432"/>
  <c r="C432"/>
  <c r="D432"/>
  <c r="E432"/>
  <c r="A433"/>
  <c r="B433"/>
  <c r="C433"/>
  <c r="D433"/>
  <c r="E433"/>
  <c r="A434"/>
  <c r="B434"/>
  <c r="C434"/>
  <c r="D434"/>
  <c r="E434"/>
  <c r="A435"/>
  <c r="B435"/>
  <c r="C435"/>
  <c r="D435"/>
  <c r="E435"/>
  <c r="A436"/>
  <c r="B436"/>
  <c r="C436"/>
  <c r="D436"/>
  <c r="E436"/>
  <c r="A437"/>
  <c r="B437"/>
  <c r="C437"/>
  <c r="D437"/>
  <c r="E437"/>
  <c r="A438"/>
  <c r="B438"/>
  <c r="C438"/>
  <c r="D438"/>
  <c r="E438"/>
  <c r="A439"/>
  <c r="B439"/>
  <c r="C439"/>
  <c r="D439"/>
  <c r="E439"/>
  <c r="A440"/>
  <c r="B440"/>
  <c r="C440"/>
  <c r="D440"/>
  <c r="E440"/>
  <c r="A441"/>
  <c r="B441"/>
  <c r="C441"/>
  <c r="D441"/>
  <c r="E441"/>
  <c r="A442"/>
  <c r="B442"/>
  <c r="C442"/>
  <c r="D442"/>
  <c r="E442"/>
  <c r="A443"/>
  <c r="B443"/>
  <c r="C443"/>
  <c r="D443"/>
  <c r="E443"/>
  <c r="A444"/>
  <c r="B444"/>
  <c r="C444"/>
  <c r="D444"/>
  <c r="E444"/>
  <c r="A445"/>
  <c r="B445"/>
  <c r="C445"/>
  <c r="D445"/>
  <c r="E445"/>
  <c r="A446"/>
  <c r="B446"/>
  <c r="C446"/>
  <c r="D446"/>
  <c r="E446"/>
  <c r="A447"/>
  <c r="B447"/>
  <c r="C447"/>
  <c r="D447"/>
  <c r="E447"/>
  <c r="A448"/>
  <c r="B448"/>
  <c r="C448"/>
  <c r="D448"/>
  <c r="E448"/>
  <c r="A449"/>
  <c r="B449"/>
  <c r="C449"/>
  <c r="D449"/>
  <c r="E449"/>
  <c r="A450"/>
  <c r="B450"/>
  <c r="C450"/>
  <c r="D450"/>
  <c r="E450"/>
  <c r="A451"/>
  <c r="B451"/>
  <c r="C451"/>
  <c r="D451"/>
  <c r="E451"/>
  <c r="A452"/>
  <c r="B452"/>
  <c r="C452"/>
  <c r="D452"/>
  <c r="E452"/>
  <c r="A453"/>
  <c r="B453"/>
  <c r="C453"/>
  <c r="D453"/>
  <c r="E453"/>
  <c r="A454"/>
  <c r="B454"/>
  <c r="C454"/>
  <c r="D454"/>
  <c r="E454"/>
  <c r="A455"/>
  <c r="B455"/>
  <c r="C455"/>
  <c r="D455"/>
  <c r="E455"/>
  <c r="A456"/>
  <c r="B456"/>
  <c r="C456"/>
  <c r="D456"/>
  <c r="E456"/>
  <c r="A457"/>
  <c r="B457"/>
  <c r="C457"/>
  <c r="D457"/>
  <c r="E457"/>
  <c r="A458"/>
  <c r="B458"/>
  <c r="C458"/>
  <c r="D458"/>
  <c r="E458"/>
  <c r="A459"/>
  <c r="B459"/>
  <c r="C459"/>
  <c r="D459"/>
  <c r="E459"/>
  <c r="A460"/>
  <c r="B460"/>
  <c r="C460"/>
  <c r="D460"/>
  <c r="E460"/>
  <c r="A461"/>
  <c r="B461"/>
  <c r="C461"/>
  <c r="D461"/>
  <c r="E461"/>
  <c r="A462"/>
  <c r="B462"/>
  <c r="C462"/>
  <c r="D462"/>
  <c r="E462"/>
  <c r="A463"/>
  <c r="B463"/>
  <c r="C463"/>
  <c r="D463"/>
  <c r="E463"/>
  <c r="A464"/>
  <c r="B464"/>
  <c r="C464"/>
  <c r="D464"/>
  <c r="E464"/>
  <c r="A465"/>
  <c r="B465"/>
  <c r="C465"/>
  <c r="D465"/>
  <c r="E465"/>
  <c r="A466"/>
  <c r="B466"/>
  <c r="C466"/>
  <c r="D466"/>
  <c r="E466"/>
  <c r="A467"/>
  <c r="B467"/>
  <c r="C467"/>
  <c r="D467"/>
  <c r="E467"/>
  <c r="A468"/>
  <c r="B468"/>
  <c r="C468"/>
  <c r="D468"/>
  <c r="E468"/>
  <c r="A469"/>
  <c r="B469"/>
  <c r="C469"/>
  <c r="D469"/>
  <c r="E469"/>
  <c r="A470"/>
  <c r="B470"/>
  <c r="C470"/>
  <c r="D470"/>
  <c r="E470"/>
  <c r="A471"/>
  <c r="B471"/>
  <c r="C471"/>
  <c r="D471"/>
  <c r="E471"/>
  <c r="A472"/>
  <c r="B472"/>
  <c r="C472"/>
  <c r="D472"/>
  <c r="E472"/>
  <c r="A473"/>
  <c r="B473"/>
  <c r="C473"/>
  <c r="D473"/>
  <c r="E473"/>
  <c r="A474"/>
  <c r="B474"/>
  <c r="C474"/>
  <c r="D474"/>
  <c r="E474"/>
  <c r="A475"/>
  <c r="B475"/>
  <c r="C475"/>
  <c r="D475"/>
  <c r="E475"/>
  <c r="A476"/>
  <c r="B476"/>
  <c r="C476"/>
  <c r="D476"/>
  <c r="E476"/>
  <c r="A477"/>
  <c r="B477"/>
  <c r="C477"/>
  <c r="D477"/>
  <c r="E477"/>
  <c r="A478"/>
  <c r="B478"/>
  <c r="C478"/>
  <c r="D478"/>
  <c r="E478"/>
  <c r="A479"/>
  <c r="B479"/>
  <c r="C479"/>
  <c r="D479"/>
  <c r="E479"/>
  <c r="A480"/>
  <c r="B480"/>
  <c r="C480"/>
  <c r="D480"/>
  <c r="E480"/>
  <c r="A481"/>
  <c r="B481"/>
  <c r="C481"/>
  <c r="D481"/>
  <c r="E481"/>
  <c r="A482"/>
  <c r="B482"/>
  <c r="C482"/>
  <c r="D482"/>
  <c r="E482"/>
  <c r="A483"/>
  <c r="B483"/>
  <c r="C483"/>
  <c r="D483"/>
  <c r="E483"/>
  <c r="A484"/>
  <c r="B484"/>
  <c r="C484"/>
  <c r="D484"/>
  <c r="E484"/>
  <c r="A485"/>
  <c r="B485"/>
  <c r="C485"/>
  <c r="D485"/>
  <c r="E485"/>
  <c r="A486"/>
  <c r="B486"/>
  <c r="C486"/>
  <c r="D486"/>
  <c r="E486"/>
  <c r="A487"/>
  <c r="B487"/>
  <c r="C487"/>
  <c r="D487"/>
  <c r="E487"/>
  <c r="A488"/>
  <c r="B488"/>
  <c r="C488"/>
  <c r="D488"/>
  <c r="E488"/>
  <c r="A489"/>
  <c r="B489"/>
  <c r="C489"/>
  <c r="D489"/>
  <c r="E489"/>
  <c r="A490"/>
  <c r="B490"/>
  <c r="C490"/>
  <c r="D490"/>
  <c r="E490"/>
  <c r="A491"/>
  <c r="B491"/>
  <c r="C491"/>
  <c r="D491"/>
  <c r="E491"/>
  <c r="A492"/>
  <c r="B492"/>
  <c r="C492"/>
  <c r="D492"/>
  <c r="E492"/>
  <c r="A493"/>
  <c r="B493"/>
  <c r="C493"/>
  <c r="D493"/>
  <c r="E493"/>
  <c r="A494"/>
  <c r="B494"/>
  <c r="C494"/>
  <c r="D494"/>
  <c r="E494"/>
  <c r="A495"/>
  <c r="B495"/>
  <c r="C495"/>
  <c r="D495"/>
  <c r="E495"/>
  <c r="A496"/>
  <c r="B496"/>
  <c r="C496"/>
  <c r="D496"/>
  <c r="E496"/>
  <c r="A497"/>
  <c r="B497"/>
  <c r="C497"/>
  <c r="D497"/>
  <c r="E497"/>
  <c r="A498"/>
  <c r="B498"/>
  <c r="C498"/>
  <c r="D498"/>
  <c r="E498"/>
  <c r="A499"/>
  <c r="B499"/>
  <c r="C499"/>
  <c r="D499"/>
  <c r="E499"/>
  <c r="A500"/>
  <c r="B500"/>
  <c r="C500"/>
  <c r="D500"/>
  <c r="E500"/>
  <c r="A501"/>
  <c r="B501"/>
  <c r="C501"/>
  <c r="D501"/>
  <c r="E501"/>
  <c r="A502"/>
  <c r="B502"/>
  <c r="C502"/>
  <c r="D502"/>
  <c r="E502"/>
  <c r="A503"/>
  <c r="B503"/>
  <c r="C503"/>
  <c r="D503"/>
  <c r="E503"/>
  <c r="A504"/>
  <c r="B504"/>
  <c r="C504"/>
  <c r="D504"/>
  <c r="E504"/>
  <c r="A505"/>
  <c r="B505"/>
  <c r="C505"/>
  <c r="D505"/>
  <c r="E505"/>
  <c r="A506"/>
  <c r="B506"/>
  <c r="C506"/>
  <c r="D506"/>
  <c r="E506"/>
  <c r="A507"/>
  <c r="B507"/>
  <c r="C507"/>
  <c r="D507"/>
  <c r="E507"/>
  <c r="A508"/>
  <c r="B508"/>
  <c r="C508"/>
  <c r="D508"/>
  <c r="E508"/>
  <c r="A509"/>
  <c r="B509"/>
  <c r="C509"/>
  <c r="D509"/>
  <c r="E509"/>
  <c r="A510"/>
  <c r="B510"/>
  <c r="C510"/>
  <c r="D510"/>
  <c r="E510"/>
  <c r="A511"/>
  <c r="B511"/>
  <c r="C511"/>
  <c r="D511"/>
  <c r="E511"/>
  <c r="A512"/>
  <c r="B512"/>
  <c r="C512"/>
  <c r="D512"/>
  <c r="E512"/>
  <c r="A513"/>
  <c r="B513"/>
  <c r="C513"/>
  <c r="D513"/>
  <c r="E513"/>
  <c r="A514"/>
  <c r="B514"/>
  <c r="C514"/>
  <c r="D514"/>
  <c r="E514"/>
  <c r="A515"/>
  <c r="B515"/>
  <c r="C515"/>
  <c r="D515"/>
  <c r="E515"/>
  <c r="A516"/>
  <c r="B516"/>
  <c r="C516"/>
  <c r="D516"/>
  <c r="E516"/>
  <c r="A517"/>
  <c r="B517"/>
  <c r="C517"/>
  <c r="D517"/>
  <c r="E517"/>
  <c r="A518"/>
  <c r="B518"/>
  <c r="C518"/>
  <c r="D518"/>
  <c r="E518"/>
  <c r="A519"/>
  <c r="B519"/>
  <c r="C519"/>
  <c r="D519"/>
  <c r="E519"/>
  <c r="A520"/>
  <c r="B520"/>
  <c r="C520"/>
  <c r="D520"/>
  <c r="E520"/>
  <c r="A521"/>
  <c r="B521"/>
  <c r="C521"/>
  <c r="D521"/>
  <c r="E521"/>
  <c r="A522"/>
  <c r="B522"/>
  <c r="C522"/>
  <c r="D522"/>
  <c r="E522"/>
  <c r="A523"/>
  <c r="B523"/>
  <c r="C523"/>
  <c r="D523"/>
  <c r="E523"/>
  <c r="A524"/>
  <c r="B524"/>
  <c r="C524"/>
  <c r="D524"/>
  <c r="E524"/>
  <c r="A525"/>
  <c r="B525"/>
  <c r="C525"/>
  <c r="D525"/>
  <c r="E525"/>
  <c r="A526"/>
  <c r="B526"/>
  <c r="C526"/>
  <c r="D526"/>
  <c r="E526"/>
  <c r="A527"/>
  <c r="B527"/>
  <c r="C527"/>
  <c r="D527"/>
  <c r="E527"/>
  <c r="A528"/>
  <c r="B528"/>
  <c r="C528"/>
  <c r="D528"/>
  <c r="E528"/>
  <c r="A529"/>
  <c r="B529"/>
  <c r="C529"/>
  <c r="D529"/>
  <c r="E529"/>
  <c r="A530"/>
  <c r="B530"/>
  <c r="C530"/>
  <c r="D530"/>
  <c r="E530"/>
  <c r="A531"/>
  <c r="B531"/>
  <c r="C531"/>
  <c r="D531"/>
  <c r="E531"/>
  <c r="A532"/>
  <c r="B532"/>
  <c r="C532"/>
  <c r="D532"/>
  <c r="E532"/>
  <c r="A533"/>
  <c r="B533"/>
  <c r="C533"/>
  <c r="D533"/>
  <c r="E533"/>
  <c r="A534"/>
  <c r="B534"/>
  <c r="C534"/>
  <c r="D534"/>
  <c r="E534"/>
  <c r="A535"/>
  <c r="B535"/>
  <c r="C535"/>
  <c r="D535"/>
  <c r="E535"/>
  <c r="A536"/>
  <c r="B536"/>
  <c r="C536"/>
  <c r="D536"/>
  <c r="E536"/>
  <c r="A537"/>
  <c r="B537"/>
  <c r="C537"/>
  <c r="D537"/>
  <c r="E537"/>
  <c r="A538"/>
  <c r="B538"/>
  <c r="C538"/>
  <c r="D538"/>
  <c r="E538"/>
  <c r="A539"/>
  <c r="B539"/>
  <c r="C539"/>
  <c r="D539"/>
  <c r="E539"/>
  <c r="A540"/>
  <c r="B540"/>
  <c r="C540"/>
  <c r="D540"/>
  <c r="E540"/>
  <c r="A541"/>
  <c r="B541"/>
  <c r="C541"/>
  <c r="D541"/>
  <c r="E541"/>
  <c r="A542"/>
  <c r="B542"/>
  <c r="C542"/>
  <c r="D542"/>
  <c r="E542"/>
  <c r="A543"/>
  <c r="B543"/>
  <c r="C543"/>
  <c r="D543"/>
  <c r="E543"/>
  <c r="A544"/>
  <c r="B544"/>
  <c r="C544"/>
  <c r="D544"/>
  <c r="E544"/>
  <c r="A545"/>
  <c r="B545"/>
  <c r="C545"/>
  <c r="D545"/>
  <c r="E545"/>
  <c r="A546"/>
  <c r="B546"/>
  <c r="C546"/>
  <c r="D546"/>
  <c r="E546"/>
  <c r="A547"/>
  <c r="B547"/>
  <c r="C547"/>
  <c r="D547"/>
  <c r="E547"/>
  <c r="A548"/>
  <c r="B548"/>
  <c r="C548"/>
  <c r="D548"/>
  <c r="E548"/>
  <c r="A549"/>
  <c r="B549"/>
  <c r="C549"/>
  <c r="D549"/>
  <c r="E549"/>
  <c r="A550"/>
  <c r="B550"/>
  <c r="C550"/>
  <c r="D550"/>
  <c r="E550"/>
  <c r="A551"/>
  <c r="B551"/>
  <c r="C551"/>
  <c r="D551"/>
  <c r="E551"/>
  <c r="A552"/>
  <c r="B552"/>
  <c r="C552"/>
  <c r="D552"/>
  <c r="E552"/>
  <c r="A553"/>
  <c r="B553"/>
  <c r="C553"/>
  <c r="D553"/>
  <c r="E553"/>
  <c r="A554"/>
  <c r="B554"/>
  <c r="C554"/>
  <c r="D554"/>
  <c r="E554"/>
  <c r="A555"/>
  <c r="B555"/>
  <c r="C555"/>
  <c r="D555"/>
  <c r="E555"/>
  <c r="A556"/>
  <c r="B556"/>
  <c r="C556"/>
  <c r="D556"/>
  <c r="E556"/>
  <c r="A557"/>
  <c r="B557"/>
  <c r="C557"/>
  <c r="D557"/>
  <c r="E557"/>
  <c r="A558"/>
  <c r="B558"/>
  <c r="C558"/>
  <c r="D558"/>
  <c r="E558"/>
  <c r="A559"/>
  <c r="B559"/>
  <c r="C559"/>
  <c r="D559"/>
  <c r="E559"/>
  <c r="A560"/>
  <c r="B560"/>
  <c r="C560"/>
  <c r="D560"/>
  <c r="E560"/>
  <c r="A561"/>
  <c r="B561"/>
  <c r="C561"/>
  <c r="D561"/>
  <c r="E561"/>
  <c r="A562"/>
  <c r="B562"/>
  <c r="C562"/>
  <c r="D562"/>
  <c r="E562"/>
  <c r="A563"/>
  <c r="B563"/>
  <c r="C563"/>
  <c r="D563"/>
  <c r="E563"/>
  <c r="A564"/>
  <c r="B564"/>
  <c r="C564"/>
  <c r="D564"/>
  <c r="E564"/>
  <c r="A565"/>
  <c r="B565"/>
  <c r="C565"/>
  <c r="D565"/>
  <c r="E565"/>
  <c r="A566"/>
  <c r="B566"/>
  <c r="C566"/>
  <c r="D566"/>
  <c r="E566"/>
  <c r="A567"/>
  <c r="B567"/>
  <c r="C567"/>
  <c r="D567"/>
  <c r="E567"/>
  <c r="A568"/>
  <c r="B568"/>
  <c r="C568"/>
  <c r="D568"/>
  <c r="E568"/>
  <c r="A569"/>
  <c r="B569"/>
  <c r="C569"/>
  <c r="D569"/>
  <c r="E569"/>
  <c r="A570"/>
  <c r="B570"/>
  <c r="C570"/>
  <c r="D570"/>
  <c r="E570"/>
  <c r="A571"/>
  <c r="B571"/>
  <c r="C571"/>
  <c r="D571"/>
  <c r="E571"/>
  <c r="A572"/>
  <c r="B572"/>
  <c r="C572"/>
  <c r="D572"/>
  <c r="E572"/>
  <c r="A573"/>
  <c r="B573"/>
  <c r="C573"/>
  <c r="D573"/>
  <c r="E573"/>
  <c r="A574"/>
  <c r="B574"/>
  <c r="C574"/>
  <c r="D574"/>
  <c r="E574"/>
  <c r="A575"/>
  <c r="B575"/>
  <c r="C575"/>
  <c r="D575"/>
  <c r="E575"/>
  <c r="A576"/>
  <c r="B576"/>
  <c r="C576"/>
  <c r="D576"/>
  <c r="E576"/>
  <c r="A577"/>
  <c r="B577"/>
  <c r="C577"/>
  <c r="D577"/>
  <c r="E577"/>
  <c r="A578"/>
  <c r="B578"/>
  <c r="C578"/>
  <c r="D578"/>
  <c r="E578"/>
  <c r="A579"/>
  <c r="B579"/>
  <c r="C579"/>
  <c r="D579"/>
  <c r="E579"/>
  <c r="A580"/>
  <c r="B580"/>
  <c r="C580"/>
  <c r="D580"/>
  <c r="E580"/>
  <c r="A581"/>
  <c r="B581"/>
  <c r="C581"/>
  <c r="D581"/>
  <c r="E581"/>
  <c r="A582"/>
  <c r="B582"/>
  <c r="C582"/>
  <c r="D582"/>
  <c r="E582"/>
  <c r="A583"/>
  <c r="B583"/>
  <c r="C583"/>
  <c r="D583"/>
  <c r="E583"/>
  <c r="A584"/>
  <c r="B584"/>
  <c r="C584"/>
  <c r="D584"/>
  <c r="E584"/>
  <c r="A585"/>
  <c r="B585"/>
  <c r="C585"/>
  <c r="D585"/>
  <c r="E585"/>
  <c r="A586"/>
  <c r="B586"/>
  <c r="C586"/>
  <c r="D586"/>
  <c r="E586"/>
  <c r="A587"/>
  <c r="B587"/>
  <c r="C587"/>
  <c r="D587"/>
  <c r="E587"/>
  <c r="A588"/>
  <c r="B588"/>
  <c r="C588"/>
  <c r="D588"/>
  <c r="E588"/>
  <c r="A589"/>
  <c r="B589"/>
  <c r="C589"/>
  <c r="D589"/>
  <c r="E589"/>
  <c r="A590"/>
  <c r="B590"/>
  <c r="C590"/>
  <c r="D590"/>
  <c r="E590"/>
  <c r="A591"/>
  <c r="B591"/>
  <c r="C591"/>
  <c r="D591"/>
  <c r="E591"/>
  <c r="A592"/>
  <c r="B592"/>
  <c r="C592"/>
  <c r="D592"/>
  <c r="E592"/>
  <c r="A593"/>
  <c r="B593"/>
  <c r="C593"/>
  <c r="D593"/>
  <c r="E593"/>
  <c r="A594"/>
  <c r="B594"/>
  <c r="C594"/>
  <c r="D594"/>
  <c r="E594"/>
  <c r="A595"/>
  <c r="B595"/>
  <c r="C595"/>
  <c r="D595"/>
  <c r="E595"/>
  <c r="A596"/>
  <c r="B596"/>
  <c r="C596"/>
  <c r="D596"/>
  <c r="E596"/>
  <c r="A597"/>
  <c r="B597"/>
  <c r="C597"/>
  <c r="D597"/>
  <c r="E597"/>
  <c r="A598"/>
  <c r="B598"/>
  <c r="C598"/>
  <c r="D598"/>
  <c r="E598"/>
  <c r="A599"/>
  <c r="B599"/>
  <c r="C599"/>
  <c r="D599"/>
  <c r="E599"/>
  <c r="A600"/>
  <c r="B600"/>
  <c r="C600"/>
  <c r="D600"/>
  <c r="E600"/>
  <c r="A601"/>
  <c r="B601"/>
  <c r="C601"/>
  <c r="D601"/>
  <c r="E601"/>
  <c r="A602"/>
  <c r="B602"/>
  <c r="C602"/>
  <c r="D602"/>
  <c r="E602"/>
  <c r="A603"/>
  <c r="B603"/>
  <c r="C603"/>
  <c r="D603"/>
  <c r="E603"/>
  <c r="A604"/>
  <c r="B604"/>
  <c r="C604"/>
  <c r="D604"/>
  <c r="E604"/>
  <c r="A605"/>
  <c r="B605"/>
  <c r="C605"/>
  <c r="D605"/>
  <c r="E605"/>
  <c r="A606"/>
  <c r="B606"/>
  <c r="C606"/>
  <c r="D606"/>
  <c r="E606"/>
  <c r="A607"/>
  <c r="B607"/>
  <c r="C607"/>
  <c r="D607"/>
  <c r="E607"/>
  <c r="A608"/>
  <c r="B608"/>
  <c r="C608"/>
  <c r="D608"/>
  <c r="E608"/>
  <c r="A609"/>
  <c r="B609"/>
  <c r="C609"/>
  <c r="D609"/>
  <c r="E609"/>
  <c r="A610"/>
  <c r="B610"/>
  <c r="C610"/>
  <c r="D610"/>
  <c r="E610"/>
  <c r="A611"/>
  <c r="B611"/>
  <c r="C611"/>
  <c r="D611"/>
  <c r="E611"/>
  <c r="A612"/>
  <c r="B612"/>
  <c r="C612"/>
  <c r="D612"/>
  <c r="E612"/>
  <c r="A613"/>
  <c r="B613"/>
  <c r="C613"/>
  <c r="D613"/>
  <c r="E613"/>
  <c r="A614"/>
  <c r="B614"/>
  <c r="C614"/>
  <c r="D614"/>
  <c r="E614"/>
  <c r="A615"/>
  <c r="B615"/>
  <c r="C615"/>
  <c r="D615"/>
  <c r="E615"/>
  <c r="A616"/>
  <c r="B616"/>
  <c r="C616"/>
  <c r="D616"/>
  <c r="E616"/>
  <c r="A617"/>
  <c r="B617"/>
  <c r="C617"/>
  <c r="D617"/>
  <c r="E617"/>
  <c r="A618"/>
  <c r="B618"/>
  <c r="C618"/>
  <c r="D618"/>
  <c r="E618"/>
  <c r="A619"/>
  <c r="B619"/>
  <c r="C619"/>
  <c r="D619"/>
  <c r="E619"/>
  <c r="A620"/>
  <c r="B620"/>
  <c r="C620"/>
  <c r="D620"/>
  <c r="E620"/>
  <c r="A621"/>
  <c r="B621"/>
  <c r="C621"/>
  <c r="D621"/>
  <c r="E621"/>
  <c r="A622"/>
  <c r="B622"/>
  <c r="C622"/>
  <c r="D622"/>
  <c r="E622"/>
  <c r="A623"/>
  <c r="B623"/>
  <c r="C623"/>
  <c r="D623"/>
  <c r="E623"/>
  <c r="A624"/>
  <c r="B624"/>
  <c r="C624"/>
  <c r="D624"/>
  <c r="E624"/>
  <c r="A625"/>
  <c r="B625"/>
  <c r="C625"/>
  <c r="D625"/>
  <c r="E625"/>
  <c r="A626"/>
  <c r="B626"/>
  <c r="C626"/>
  <c r="D626"/>
  <c r="E626"/>
  <c r="A627"/>
  <c r="B627"/>
  <c r="C627"/>
  <c r="D627"/>
  <c r="E627"/>
  <c r="A628"/>
  <c r="B628"/>
  <c r="C628"/>
  <c r="D628"/>
  <c r="E628"/>
  <c r="A629"/>
  <c r="B629"/>
  <c r="C629"/>
  <c r="D629"/>
  <c r="E629"/>
  <c r="A630"/>
  <c r="B630"/>
  <c r="C630"/>
  <c r="D630"/>
  <c r="E630"/>
  <c r="A631"/>
  <c r="B631"/>
  <c r="C631"/>
  <c r="D631"/>
  <c r="E631"/>
  <c r="A632"/>
  <c r="B632"/>
  <c r="C632"/>
  <c r="D632"/>
  <c r="E632"/>
  <c r="A633"/>
  <c r="B633"/>
  <c r="C633"/>
  <c r="D633"/>
  <c r="E633"/>
  <c r="A634"/>
  <c r="B634"/>
  <c r="C634"/>
  <c r="D634"/>
  <c r="E634"/>
  <c r="A635"/>
  <c r="B635"/>
  <c r="C635"/>
  <c r="D635"/>
  <c r="E635"/>
  <c r="A636"/>
  <c r="B636"/>
  <c r="C636"/>
  <c r="D636"/>
  <c r="E636"/>
  <c r="A637"/>
  <c r="B637"/>
  <c r="C637"/>
  <c r="D637"/>
  <c r="E637"/>
  <c r="A638"/>
  <c r="B638"/>
  <c r="C638"/>
  <c r="D638"/>
  <c r="E638"/>
  <c r="A639"/>
  <c r="B639"/>
  <c r="C639"/>
  <c r="D639"/>
  <c r="E639"/>
  <c r="A640"/>
  <c r="B640"/>
  <c r="C640"/>
  <c r="D640"/>
  <c r="E640"/>
  <c r="A641"/>
  <c r="B641"/>
  <c r="C641"/>
  <c r="D641"/>
  <c r="E641"/>
  <c r="A642"/>
  <c r="B642"/>
  <c r="C642"/>
  <c r="D642"/>
  <c r="E642"/>
  <c r="A643"/>
  <c r="B643"/>
  <c r="C643"/>
  <c r="D643"/>
  <c r="E643"/>
  <c r="A644"/>
  <c r="B644"/>
  <c r="C644"/>
  <c r="D644"/>
  <c r="E644"/>
  <c r="A645"/>
  <c r="B645"/>
  <c r="C645"/>
  <c r="D645"/>
  <c r="E645"/>
  <c r="A646"/>
  <c r="B646"/>
  <c r="C646"/>
  <c r="D646"/>
  <c r="E646"/>
  <c r="A647"/>
  <c r="B647"/>
  <c r="C647"/>
  <c r="D647"/>
  <c r="E647"/>
  <c r="A648"/>
  <c r="B648"/>
  <c r="C648"/>
  <c r="D648"/>
  <c r="E648"/>
  <c r="A649"/>
  <c r="B649"/>
  <c r="C649"/>
  <c r="D649"/>
  <c r="E649"/>
  <c r="A650"/>
  <c r="B650"/>
  <c r="C650"/>
  <c r="D650"/>
  <c r="E650"/>
  <c r="A651"/>
  <c r="B651"/>
  <c r="C651"/>
  <c r="D651"/>
  <c r="E651"/>
  <c r="A652"/>
  <c r="B652"/>
  <c r="C652"/>
  <c r="D652"/>
  <c r="E652"/>
  <c r="A653"/>
  <c r="B653"/>
  <c r="C653"/>
  <c r="E653"/>
  <c r="A654"/>
  <c r="B654"/>
  <c r="C654"/>
  <c r="D654"/>
  <c r="E654"/>
  <c r="A655"/>
  <c r="B655"/>
  <c r="C655"/>
  <c r="D655"/>
  <c r="E655"/>
  <c r="A656"/>
  <c r="B656"/>
  <c r="C656"/>
  <c r="D656"/>
  <c r="E656"/>
  <c r="A657"/>
  <c r="B657"/>
  <c r="C657"/>
  <c r="D657"/>
  <c r="E657"/>
  <c r="A658"/>
  <c r="B658"/>
  <c r="C658"/>
  <c r="D658"/>
  <c r="E658"/>
  <c r="A659"/>
  <c r="B659"/>
  <c r="C659"/>
  <c r="D659"/>
  <c r="E659"/>
  <c r="A660"/>
  <c r="B660"/>
  <c r="C660"/>
  <c r="D660"/>
  <c r="E660"/>
  <c r="A661"/>
  <c r="B661"/>
  <c r="C661"/>
  <c r="D661"/>
  <c r="E661"/>
  <c r="A662"/>
  <c r="B662"/>
  <c r="C662"/>
  <c r="D662"/>
  <c r="E662"/>
  <c r="A663"/>
  <c r="B663"/>
  <c r="C663"/>
  <c r="D663"/>
  <c r="E663"/>
  <c r="A664"/>
  <c r="B664"/>
  <c r="C664"/>
  <c r="D664"/>
  <c r="E664"/>
  <c r="A665"/>
  <c r="B665"/>
  <c r="C665"/>
  <c r="D665"/>
  <c r="E665"/>
  <c r="A666"/>
  <c r="B666"/>
  <c r="C666"/>
  <c r="D666"/>
  <c r="E666"/>
  <c r="A667"/>
  <c r="B667"/>
  <c r="C667"/>
  <c r="D667"/>
  <c r="E667"/>
  <c r="A668"/>
  <c r="B668"/>
  <c r="C668"/>
  <c r="D668"/>
  <c r="E668"/>
  <c r="A669"/>
  <c r="B669"/>
  <c r="C669"/>
  <c r="D669"/>
  <c r="E669"/>
  <c r="A670"/>
  <c r="B670"/>
  <c r="C670"/>
  <c r="D670"/>
  <c r="E670"/>
  <c r="A671"/>
  <c r="B671"/>
  <c r="C671"/>
  <c r="D671"/>
  <c r="E671"/>
  <c r="A672"/>
  <c r="B672"/>
  <c r="C672"/>
  <c r="D672"/>
  <c r="E672"/>
  <c r="A673"/>
  <c r="B673"/>
  <c r="C673"/>
  <c r="D673"/>
  <c r="E673"/>
  <c r="A674"/>
  <c r="B674"/>
  <c r="C674"/>
  <c r="D674"/>
  <c r="E674"/>
  <c r="A675"/>
  <c r="B675"/>
  <c r="C675"/>
  <c r="D675"/>
  <c r="E675"/>
  <c r="A676"/>
  <c r="B676"/>
  <c r="C676"/>
  <c r="D676"/>
  <c r="E676"/>
  <c r="A677"/>
  <c r="B677"/>
  <c r="C677"/>
  <c r="D677"/>
  <c r="E677"/>
  <c r="A678"/>
  <c r="B678"/>
  <c r="C678"/>
  <c r="D678"/>
  <c r="E678"/>
  <c r="A679"/>
  <c r="B679"/>
  <c r="C679"/>
  <c r="D679"/>
  <c r="E679"/>
  <c r="A680"/>
  <c r="B680"/>
  <c r="C680"/>
  <c r="D680"/>
  <c r="E680"/>
  <c r="A681"/>
  <c r="B681"/>
  <c r="C681"/>
  <c r="D681"/>
  <c r="E681"/>
  <c r="A682"/>
  <c r="B682"/>
  <c r="C682"/>
  <c r="D682"/>
  <c r="E682"/>
  <c r="A683"/>
  <c r="B683"/>
  <c r="C683"/>
  <c r="D683"/>
  <c r="E683"/>
  <c r="A684"/>
  <c r="B684"/>
  <c r="C684"/>
  <c r="D684"/>
  <c r="E684"/>
  <c r="A685"/>
  <c r="B685"/>
  <c r="C685"/>
  <c r="D685"/>
  <c r="E685"/>
  <c r="A686"/>
  <c r="B686"/>
  <c r="C686"/>
  <c r="D686"/>
  <c r="E686"/>
  <c r="A687"/>
  <c r="B687"/>
  <c r="C687"/>
  <c r="D687"/>
  <c r="E687"/>
  <c r="A688"/>
  <c r="B688"/>
  <c r="C688"/>
  <c r="D688"/>
  <c r="E688"/>
  <c r="A689"/>
  <c r="B689"/>
  <c r="C689"/>
  <c r="D689"/>
  <c r="E689"/>
  <c r="A690"/>
  <c r="B690"/>
  <c r="C690"/>
  <c r="D690"/>
  <c r="E690"/>
  <c r="A691"/>
  <c r="B691"/>
  <c r="C691"/>
  <c r="D691"/>
  <c r="E691"/>
  <c r="A692"/>
  <c r="B692"/>
  <c r="C692"/>
  <c r="D692"/>
  <c r="E692"/>
  <c r="A693"/>
  <c r="B693"/>
  <c r="C693"/>
  <c r="D693"/>
  <c r="E693"/>
  <c r="A694"/>
  <c r="B694"/>
  <c r="C694"/>
  <c r="D694"/>
  <c r="E694"/>
  <c r="A695"/>
  <c r="B695"/>
  <c r="C695"/>
  <c r="D695"/>
  <c r="E695"/>
  <c r="A696"/>
  <c r="B696"/>
  <c r="C696"/>
  <c r="D696"/>
  <c r="E696"/>
  <c r="A697"/>
  <c r="B697"/>
  <c r="C697"/>
  <c r="D697"/>
  <c r="E697"/>
  <c r="A698"/>
  <c r="B698"/>
  <c r="C698"/>
  <c r="D698"/>
  <c r="E698"/>
  <c r="A699"/>
  <c r="B699"/>
  <c r="C699"/>
  <c r="D699"/>
  <c r="E699"/>
  <c r="A700"/>
  <c r="B700"/>
  <c r="C700"/>
  <c r="D700"/>
  <c r="E700"/>
  <c r="A701"/>
  <c r="B701"/>
  <c r="C701"/>
  <c r="D701"/>
  <c r="E701"/>
  <c r="A702"/>
  <c r="B702"/>
  <c r="C702"/>
  <c r="D702"/>
  <c r="E702"/>
  <c r="A703"/>
  <c r="B703"/>
  <c r="C703"/>
  <c r="D703"/>
  <c r="E703"/>
  <c r="A704"/>
  <c r="B704"/>
  <c r="C704"/>
  <c r="D704"/>
  <c r="E704"/>
  <c r="A705"/>
  <c r="B705"/>
  <c r="C705"/>
  <c r="D705"/>
  <c r="E705"/>
  <c r="A706"/>
  <c r="B706"/>
  <c r="C706"/>
  <c r="D706"/>
  <c r="E706"/>
  <c r="A707"/>
  <c r="B707"/>
  <c r="C707"/>
  <c r="D707"/>
  <c r="E707"/>
  <c r="A708"/>
  <c r="B708"/>
  <c r="C708"/>
  <c r="D708"/>
  <c r="E708"/>
  <c r="A709"/>
  <c r="B709"/>
  <c r="C709"/>
  <c r="D709"/>
  <c r="E709"/>
  <c r="A710"/>
  <c r="B710"/>
  <c r="C710"/>
  <c r="D710"/>
  <c r="E710"/>
  <c r="A711"/>
  <c r="B711"/>
  <c r="C711"/>
  <c r="D711"/>
  <c r="E711"/>
  <c r="A712"/>
  <c r="B712"/>
  <c r="C712"/>
  <c r="D712"/>
  <c r="E712"/>
  <c r="A713"/>
  <c r="B713"/>
  <c r="C713"/>
  <c r="D713"/>
  <c r="E713"/>
  <c r="A714"/>
  <c r="B714"/>
  <c r="C714"/>
  <c r="D714"/>
  <c r="E714"/>
  <c r="A715"/>
  <c r="B715"/>
  <c r="C715"/>
  <c r="D715"/>
  <c r="E715"/>
  <c r="A716"/>
  <c r="B716"/>
  <c r="C716"/>
  <c r="E716"/>
  <c r="A717"/>
  <c r="B717"/>
  <c r="C717"/>
  <c r="D717"/>
  <c r="E717"/>
  <c r="A718"/>
  <c r="B718"/>
  <c r="C718"/>
  <c r="D718"/>
  <c r="E718"/>
  <c r="A719"/>
  <c r="B719"/>
  <c r="C719"/>
  <c r="D719"/>
  <c r="E719"/>
  <c r="A720"/>
  <c r="B720"/>
  <c r="C720"/>
  <c r="D720"/>
  <c r="E720"/>
  <c r="A721"/>
  <c r="B721"/>
  <c r="C721"/>
  <c r="D721"/>
  <c r="E721"/>
  <c r="A722"/>
  <c r="B722"/>
  <c r="C722"/>
  <c r="D722"/>
  <c r="E722"/>
  <c r="A723"/>
  <c r="B723"/>
  <c r="C723"/>
  <c r="D723"/>
  <c r="E723"/>
  <c r="A724"/>
  <c r="B724"/>
  <c r="C724"/>
  <c r="D724"/>
  <c r="E724"/>
  <c r="A725"/>
  <c r="B725"/>
  <c r="C725"/>
  <c r="D725"/>
  <c r="E725"/>
  <c r="A726"/>
  <c r="B726"/>
  <c r="C726"/>
  <c r="D726"/>
  <c r="E726"/>
  <c r="A727"/>
  <c r="B727"/>
  <c r="C727"/>
  <c r="D727"/>
  <c r="E727"/>
  <c r="A728"/>
  <c r="B728"/>
  <c r="C728"/>
  <c r="D728"/>
  <c r="E728"/>
  <c r="A729"/>
  <c r="B729"/>
  <c r="C729"/>
  <c r="D729"/>
  <c r="E729"/>
  <c r="A730"/>
  <c r="B730"/>
  <c r="C730"/>
  <c r="D730"/>
  <c r="E730"/>
  <c r="A731"/>
  <c r="B731"/>
  <c r="C731"/>
  <c r="D731"/>
  <c r="E731"/>
  <c r="A732"/>
  <c r="B732"/>
  <c r="C732"/>
  <c r="D732"/>
  <c r="E732"/>
  <c r="A733"/>
  <c r="B733"/>
  <c r="C733"/>
  <c r="D733"/>
  <c r="E733"/>
  <c r="A734"/>
  <c r="B734"/>
  <c r="C734"/>
  <c r="D734"/>
  <c r="E734"/>
  <c r="A735"/>
  <c r="B735"/>
  <c r="C735"/>
  <c r="D735"/>
  <c r="E735"/>
  <c r="A736"/>
  <c r="B736"/>
  <c r="C736"/>
  <c r="D736"/>
  <c r="E736"/>
  <c r="A737"/>
  <c r="B737"/>
  <c r="C737"/>
  <c r="D737"/>
  <c r="E737"/>
  <c r="A738"/>
  <c r="B738"/>
  <c r="C738"/>
  <c r="D738"/>
  <c r="E738"/>
  <c r="A739"/>
  <c r="B739"/>
  <c r="C739"/>
  <c r="D739"/>
  <c r="E739"/>
  <c r="A740"/>
  <c r="B740"/>
  <c r="C740"/>
  <c r="D740"/>
  <c r="E740"/>
  <c r="A741"/>
  <c r="B741"/>
  <c r="C741"/>
  <c r="D741"/>
  <c r="E741"/>
  <c r="A742"/>
  <c r="B742"/>
  <c r="C742"/>
  <c r="D742"/>
  <c r="E742"/>
  <c r="A743"/>
  <c r="B743"/>
  <c r="C743"/>
  <c r="D743"/>
  <c r="E743"/>
  <c r="A744"/>
  <c r="B744"/>
  <c r="C744"/>
  <c r="D744"/>
  <c r="E744"/>
  <c r="A745"/>
  <c r="B745"/>
  <c r="C745"/>
  <c r="D745"/>
  <c r="E745"/>
  <c r="A746"/>
  <c r="B746"/>
  <c r="C746"/>
  <c r="D746"/>
  <c r="E746"/>
  <c r="A747"/>
  <c r="B747"/>
  <c r="C747"/>
  <c r="D747"/>
  <c r="E747"/>
  <c r="A748"/>
  <c r="B748"/>
  <c r="C748"/>
  <c r="D748"/>
  <c r="E748"/>
  <c r="A749"/>
  <c r="B749"/>
  <c r="C749"/>
  <c r="D749"/>
  <c r="E749"/>
  <c r="A750"/>
  <c r="B750"/>
  <c r="C750"/>
  <c r="D750"/>
  <c r="E750"/>
  <c r="A751"/>
  <c r="B751"/>
  <c r="C751"/>
  <c r="D751"/>
  <c r="E751"/>
  <c r="A752"/>
  <c r="B752"/>
  <c r="C752"/>
  <c r="D752"/>
  <c r="E752"/>
  <c r="A753"/>
  <c r="B753"/>
  <c r="C753"/>
  <c r="D753"/>
  <c r="E753"/>
  <c r="A754"/>
  <c r="B754"/>
  <c r="C754"/>
  <c r="D754"/>
  <c r="E754"/>
  <c r="A755"/>
  <c r="B755"/>
  <c r="C755"/>
  <c r="D755"/>
  <c r="E755"/>
  <c r="A756"/>
  <c r="B756"/>
  <c r="C756"/>
  <c r="D756"/>
  <c r="E756"/>
  <c r="A757"/>
  <c r="B757"/>
  <c r="C757"/>
  <c r="D757"/>
  <c r="E757"/>
  <c r="A758"/>
  <c r="B758"/>
  <c r="C758"/>
  <c r="D758"/>
  <c r="E758"/>
  <c r="A759"/>
  <c r="B759"/>
  <c r="C759"/>
  <c r="D759"/>
  <c r="E759"/>
  <c r="A760"/>
  <c r="B760"/>
  <c r="C760"/>
  <c r="D760"/>
  <c r="E760"/>
  <c r="A761"/>
  <c r="B761"/>
  <c r="C761"/>
  <c r="D761"/>
  <c r="E761"/>
  <c r="A762"/>
  <c r="B762"/>
  <c r="C762"/>
  <c r="D762"/>
  <c r="E762"/>
  <c r="A763"/>
  <c r="B763"/>
  <c r="C763"/>
  <c r="D763"/>
  <c r="E763"/>
  <c r="A764"/>
  <c r="B764"/>
  <c r="C764"/>
  <c r="D764"/>
  <c r="E764"/>
  <c r="A765"/>
  <c r="B765"/>
  <c r="C765"/>
  <c r="D765"/>
  <c r="E765"/>
  <c r="A766"/>
  <c r="B766"/>
  <c r="C766"/>
  <c r="D766"/>
  <c r="E766"/>
  <c r="A767"/>
  <c r="B767"/>
  <c r="C767"/>
  <c r="D767"/>
  <c r="E767"/>
  <c r="A768"/>
  <c r="B768"/>
  <c r="C768"/>
  <c r="D768"/>
  <c r="E768"/>
  <c r="A769"/>
  <c r="B769"/>
  <c r="C769"/>
  <c r="D769"/>
  <c r="E769"/>
  <c r="A770"/>
  <c r="B770"/>
  <c r="C770"/>
  <c r="D770"/>
  <c r="E770"/>
  <c r="A771"/>
  <c r="B771"/>
  <c r="C771"/>
  <c r="D771"/>
  <c r="E771"/>
  <c r="A772"/>
  <c r="B772"/>
  <c r="C772"/>
  <c r="D772"/>
  <c r="E772"/>
  <c r="A773"/>
  <c r="B773"/>
  <c r="C773"/>
  <c r="D773"/>
  <c r="E773"/>
  <c r="A774"/>
  <c r="B774"/>
  <c r="C774"/>
  <c r="D774"/>
  <c r="E774"/>
  <c r="A775"/>
  <c r="B775"/>
  <c r="C775"/>
  <c r="D775"/>
  <c r="E775"/>
  <c r="A776"/>
  <c r="B776"/>
  <c r="C776"/>
  <c r="D776"/>
  <c r="E776"/>
  <c r="A777"/>
  <c r="B777"/>
  <c r="C777"/>
  <c r="D777"/>
  <c r="E777"/>
  <c r="A778"/>
  <c r="B778"/>
  <c r="C778"/>
  <c r="D778"/>
  <c r="E778"/>
  <c r="A779"/>
  <c r="B779"/>
  <c r="C779"/>
  <c r="D779"/>
  <c r="E779"/>
  <c r="A780"/>
  <c r="B780"/>
  <c r="C780"/>
  <c r="D780"/>
  <c r="E780"/>
  <c r="A781"/>
  <c r="B781"/>
  <c r="C781"/>
  <c r="D781"/>
  <c r="E781"/>
  <c r="A782"/>
  <c r="B782"/>
  <c r="C782"/>
  <c r="D782"/>
  <c r="E782"/>
  <c r="A783"/>
  <c r="B783"/>
  <c r="C783"/>
  <c r="D783"/>
  <c r="E783"/>
  <c r="A784"/>
  <c r="B784"/>
  <c r="C784"/>
  <c r="D784"/>
  <c r="E784"/>
  <c r="A785"/>
  <c r="B785"/>
  <c r="C785"/>
  <c r="D785"/>
  <c r="E785"/>
  <c r="A786"/>
  <c r="B786"/>
  <c r="C786"/>
  <c r="D786"/>
  <c r="E786"/>
  <c r="A787"/>
  <c r="B787"/>
  <c r="C787"/>
  <c r="D787"/>
  <c r="E787"/>
  <c r="A788"/>
  <c r="B788"/>
  <c r="C788"/>
  <c r="D788"/>
  <c r="E788"/>
  <c r="A789"/>
  <c r="B789"/>
  <c r="C789"/>
  <c r="D789"/>
  <c r="E789"/>
  <c r="A790"/>
  <c r="B790"/>
  <c r="C790"/>
  <c r="D790"/>
  <c r="E790"/>
  <c r="A791"/>
  <c r="B791"/>
  <c r="C791"/>
  <c r="D791"/>
  <c r="E791"/>
  <c r="A792"/>
  <c r="B792"/>
  <c r="C792"/>
  <c r="D792"/>
  <c r="E792"/>
  <c r="A793"/>
  <c r="B793"/>
  <c r="C793"/>
  <c r="D793"/>
  <c r="E793"/>
  <c r="A794"/>
  <c r="B794"/>
  <c r="C794"/>
  <c r="D794"/>
  <c r="E794"/>
  <c r="A795"/>
  <c r="B795"/>
  <c r="C795"/>
  <c r="D795"/>
  <c r="E795"/>
  <c r="A796"/>
  <c r="B796"/>
  <c r="C796"/>
  <c r="D796"/>
  <c r="E796"/>
  <c r="A797"/>
  <c r="B797"/>
  <c r="C797"/>
  <c r="D797"/>
  <c r="E797"/>
  <c r="A798"/>
  <c r="B798"/>
  <c r="C798"/>
  <c r="D798"/>
  <c r="E798"/>
  <c r="A799"/>
  <c r="B799"/>
  <c r="C799"/>
  <c r="D799"/>
  <c r="E799"/>
  <c r="A800"/>
  <c r="B800"/>
  <c r="C800"/>
  <c r="D800"/>
  <c r="E800"/>
  <c r="A801"/>
  <c r="B801"/>
  <c r="C801"/>
  <c r="D801"/>
  <c r="E801"/>
  <c r="A802"/>
  <c r="B802"/>
  <c r="C802"/>
  <c r="D802"/>
  <c r="E802"/>
  <c r="A803"/>
  <c r="B803"/>
  <c r="C803"/>
  <c r="D803"/>
  <c r="E803"/>
  <c r="A804"/>
  <c r="B804"/>
  <c r="C804"/>
  <c r="D804"/>
  <c r="E804"/>
  <c r="A805"/>
  <c r="B805"/>
  <c r="C805"/>
  <c r="D805"/>
  <c r="E805"/>
  <c r="A806"/>
  <c r="B806"/>
  <c r="C806"/>
  <c r="D806"/>
  <c r="E806"/>
  <c r="A807"/>
  <c r="B807"/>
  <c r="C807"/>
  <c r="D807"/>
  <c r="E807"/>
  <c r="A808"/>
  <c r="B808"/>
  <c r="C808"/>
  <c r="D808"/>
  <c r="E808"/>
  <c r="A809"/>
  <c r="B809"/>
  <c r="C809"/>
  <c r="D809"/>
  <c r="E809"/>
  <c r="A810"/>
  <c r="B810"/>
  <c r="C810"/>
  <c r="D810"/>
  <c r="E810"/>
  <c r="A811"/>
  <c r="B811"/>
  <c r="C811"/>
  <c r="D811"/>
  <c r="E811"/>
  <c r="A812"/>
  <c r="B812"/>
  <c r="C812"/>
  <c r="D812"/>
  <c r="E812"/>
  <c r="A813"/>
  <c r="B813"/>
  <c r="C813"/>
  <c r="D813"/>
  <c r="E813"/>
  <c r="A814"/>
  <c r="B814"/>
  <c r="C814"/>
  <c r="D814"/>
  <c r="E814"/>
  <c r="A815"/>
  <c r="B815"/>
  <c r="C815"/>
  <c r="D815"/>
  <c r="E815"/>
  <c r="A816"/>
  <c r="B816"/>
  <c r="C816"/>
  <c r="D816"/>
  <c r="E816"/>
  <c r="A817"/>
  <c r="B817"/>
  <c r="C817"/>
  <c r="D817"/>
  <c r="E817"/>
  <c r="A818"/>
  <c r="B818"/>
  <c r="C818"/>
  <c r="D818"/>
  <c r="E818"/>
  <c r="A819"/>
  <c r="B819"/>
  <c r="C819"/>
  <c r="D819"/>
  <c r="E819"/>
  <c r="A820"/>
  <c r="B820"/>
  <c r="C820"/>
  <c r="D820"/>
  <c r="E820"/>
  <c r="A821"/>
  <c r="B821"/>
  <c r="C821"/>
  <c r="D821"/>
  <c r="E821"/>
  <c r="A822"/>
  <c r="B822"/>
  <c r="C822"/>
  <c r="D822"/>
  <c r="E822"/>
  <c r="A823"/>
  <c r="B823"/>
  <c r="C823"/>
  <c r="D823"/>
  <c r="E823"/>
  <c r="A824"/>
  <c r="B824"/>
  <c r="C824"/>
  <c r="D824"/>
  <c r="E824"/>
  <c r="A825"/>
  <c r="B825"/>
  <c r="C825"/>
  <c r="D825"/>
  <c r="E825"/>
  <c r="A826"/>
  <c r="B826"/>
  <c r="C826"/>
  <c r="D826"/>
  <c r="E826"/>
  <c r="A827"/>
  <c r="B827"/>
  <c r="C827"/>
  <c r="D827"/>
  <c r="E827"/>
  <c r="A828"/>
  <c r="B828"/>
  <c r="C828"/>
  <c r="D828"/>
  <c r="E828"/>
  <c r="A829"/>
  <c r="B829"/>
  <c r="C829"/>
  <c r="D829"/>
  <c r="E829"/>
  <c r="A830"/>
  <c r="B830"/>
  <c r="C830"/>
  <c r="D830"/>
  <c r="E830"/>
  <c r="A831"/>
  <c r="B831"/>
  <c r="C831"/>
  <c r="D831"/>
  <c r="E831"/>
  <c r="A832"/>
  <c r="B832"/>
  <c r="C832"/>
  <c r="D832"/>
  <c r="E832"/>
  <c r="A833"/>
  <c r="B833"/>
  <c r="C833"/>
  <c r="D833"/>
  <c r="E833"/>
  <c r="A834"/>
  <c r="B834"/>
  <c r="C834"/>
  <c r="D834"/>
  <c r="E834"/>
  <c r="A835"/>
  <c r="B835"/>
  <c r="C835"/>
  <c r="D835"/>
  <c r="E835"/>
  <c r="A836"/>
  <c r="B836"/>
  <c r="C836"/>
  <c r="D836"/>
  <c r="E836"/>
  <c r="A837"/>
  <c r="B837"/>
  <c r="C837"/>
  <c r="D837"/>
  <c r="E837"/>
  <c r="A838"/>
  <c r="B838"/>
  <c r="C838"/>
  <c r="D838"/>
  <c r="E838"/>
  <c r="A839"/>
  <c r="B839"/>
  <c r="C839"/>
  <c r="D839"/>
  <c r="E839"/>
  <c r="A840"/>
  <c r="B840"/>
  <c r="C840"/>
  <c r="D840"/>
  <c r="E840"/>
  <c r="A841"/>
  <c r="B841"/>
  <c r="C841"/>
  <c r="D841"/>
  <c r="E841"/>
  <c r="A842"/>
  <c r="B842"/>
  <c r="C842"/>
  <c r="D842"/>
  <c r="E842"/>
  <c r="A843"/>
  <c r="B843"/>
  <c r="C843"/>
  <c r="D843"/>
  <c r="E843"/>
  <c r="A844"/>
  <c r="B844"/>
  <c r="C844"/>
  <c r="D844"/>
  <c r="E844"/>
  <c r="A845"/>
  <c r="B845"/>
  <c r="C845"/>
  <c r="D845"/>
  <c r="E845"/>
  <c r="A846"/>
  <c r="B846"/>
  <c r="C846"/>
  <c r="D846"/>
  <c r="E846"/>
  <c r="A847"/>
  <c r="B847"/>
  <c r="C847"/>
  <c r="D847"/>
  <c r="E847"/>
  <c r="A848"/>
  <c r="B848"/>
  <c r="C848"/>
  <c r="D848"/>
  <c r="E848"/>
  <c r="A849"/>
  <c r="B849"/>
  <c r="C849"/>
  <c r="D849"/>
  <c r="E849"/>
  <c r="A850"/>
  <c r="B850"/>
  <c r="C850"/>
  <c r="D850"/>
  <c r="E850"/>
  <c r="A851"/>
  <c r="B851"/>
  <c r="C851"/>
  <c r="D851"/>
  <c r="E851"/>
  <c r="A852"/>
  <c r="B852"/>
  <c r="C852"/>
  <c r="D852"/>
  <c r="E852"/>
  <c r="A853"/>
  <c r="B853"/>
  <c r="C853"/>
  <c r="D853"/>
  <c r="E853"/>
  <c r="A854"/>
  <c r="B854"/>
  <c r="D854"/>
  <c r="E854"/>
  <c r="A855"/>
  <c r="B855"/>
  <c r="C855"/>
  <c r="D855"/>
  <c r="E855"/>
  <c r="A856"/>
  <c r="B856"/>
  <c r="C856"/>
  <c r="D856"/>
  <c r="E856"/>
  <c r="A857"/>
  <c r="B857"/>
  <c r="C857"/>
  <c r="D857"/>
  <c r="E857"/>
  <c r="A858"/>
  <c r="B858"/>
  <c r="C858"/>
  <c r="D858"/>
  <c r="E858"/>
  <c r="A859"/>
  <c r="B859"/>
  <c r="C859"/>
  <c r="D859"/>
  <c r="E859"/>
  <c r="A860"/>
  <c r="B860"/>
  <c r="C860"/>
  <c r="D860"/>
  <c r="E860"/>
  <c r="A861"/>
  <c r="B861"/>
  <c r="C861"/>
  <c r="D861"/>
  <c r="E861"/>
  <c r="A862"/>
  <c r="B862"/>
  <c r="C862"/>
  <c r="D862"/>
  <c r="E862"/>
  <c r="A863"/>
  <c r="B863"/>
  <c r="C863"/>
  <c r="D863"/>
  <c r="E863"/>
  <c r="A864"/>
  <c r="B864"/>
  <c r="C864"/>
  <c r="D864"/>
  <c r="E864"/>
  <c r="A865"/>
  <c r="B865"/>
  <c r="C865"/>
  <c r="D865"/>
  <c r="E865"/>
  <c r="A866"/>
  <c r="B866"/>
  <c r="C866"/>
  <c r="D866"/>
  <c r="E866"/>
  <c r="A867"/>
  <c r="B867"/>
  <c r="C867"/>
  <c r="D867"/>
  <c r="E867"/>
  <c r="A868"/>
  <c r="B868"/>
  <c r="C868"/>
  <c r="D868"/>
  <c r="E868"/>
  <c r="A869"/>
  <c r="B869"/>
  <c r="C869"/>
  <c r="D869"/>
  <c r="E869"/>
  <c r="A870"/>
  <c r="B870"/>
  <c r="C870"/>
  <c r="D870"/>
  <c r="E870"/>
  <c r="A871"/>
  <c r="B871"/>
  <c r="C871"/>
  <c r="D871"/>
  <c r="E871"/>
  <c r="A872"/>
  <c r="B872"/>
  <c r="C872"/>
  <c r="D872"/>
  <c r="E872"/>
  <c r="A873"/>
  <c r="B873"/>
  <c r="C873"/>
  <c r="D873"/>
  <c r="E873"/>
  <c r="A874"/>
  <c r="B874"/>
  <c r="C874"/>
  <c r="D874"/>
  <c r="E874"/>
  <c r="A875"/>
  <c r="B875"/>
  <c r="C875"/>
  <c r="D875"/>
  <c r="E875"/>
  <c r="A876"/>
  <c r="B876"/>
  <c r="C876"/>
  <c r="D876"/>
  <c r="E876"/>
  <c r="A877"/>
  <c r="B877"/>
  <c r="C877"/>
  <c r="D877"/>
  <c r="E877"/>
  <c r="A878"/>
  <c r="B878"/>
  <c r="C878"/>
  <c r="D878"/>
  <c r="E878"/>
  <c r="A879"/>
  <c r="B879"/>
  <c r="C879"/>
  <c r="D879"/>
  <c r="E879"/>
  <c r="A880"/>
  <c r="B880"/>
  <c r="C880"/>
  <c r="D880"/>
  <c r="E880"/>
  <c r="A881"/>
  <c r="B881"/>
  <c r="C881"/>
  <c r="D881"/>
  <c r="E881"/>
  <c r="A882"/>
  <c r="B882"/>
  <c r="C882"/>
  <c r="D882"/>
  <c r="E882"/>
  <c r="A883"/>
  <c r="B883"/>
  <c r="C883"/>
  <c r="D883"/>
  <c r="E883"/>
  <c r="A884"/>
  <c r="B884"/>
  <c r="C884"/>
  <c r="D884"/>
  <c r="E884"/>
  <c r="A885"/>
  <c r="B885"/>
  <c r="C885"/>
  <c r="D885"/>
  <c r="E885"/>
  <c r="A886"/>
  <c r="B886"/>
  <c r="C886"/>
  <c r="D886"/>
  <c r="E886"/>
  <c r="A887"/>
  <c r="B887"/>
  <c r="C887"/>
  <c r="D887"/>
  <c r="E887"/>
  <c r="A888"/>
  <c r="B888"/>
  <c r="C888"/>
  <c r="D888"/>
  <c r="E888"/>
  <c r="A889"/>
  <c r="B889"/>
  <c r="C889"/>
  <c r="D889"/>
  <c r="E889"/>
  <c r="A890"/>
  <c r="B890"/>
  <c r="C890"/>
  <c r="D890"/>
  <c r="E890"/>
  <c r="A891"/>
  <c r="B891"/>
  <c r="C891"/>
  <c r="D891"/>
  <c r="E891"/>
  <c r="A892"/>
  <c r="B892"/>
  <c r="C892"/>
  <c r="D892"/>
  <c r="E892"/>
  <c r="A893"/>
  <c r="B893"/>
  <c r="C893"/>
  <c r="D893"/>
  <c r="E893"/>
  <c r="A894"/>
  <c r="B894"/>
  <c r="C894"/>
  <c r="D894"/>
  <c r="E894"/>
  <c r="A895"/>
  <c r="B895"/>
  <c r="C895"/>
  <c r="D895"/>
  <c r="E895"/>
  <c r="A896"/>
  <c r="B896"/>
  <c r="C896"/>
  <c r="D896"/>
  <c r="E896"/>
  <c r="A897"/>
  <c r="B897"/>
  <c r="C897"/>
  <c r="D897"/>
  <c r="E897"/>
  <c r="A898"/>
  <c r="B898"/>
  <c r="C898"/>
  <c r="D898"/>
  <c r="E898"/>
  <c r="A899"/>
  <c r="B899"/>
  <c r="C899"/>
  <c r="D899"/>
  <c r="E899"/>
  <c r="A900"/>
  <c r="B900"/>
  <c r="C900"/>
  <c r="D900"/>
  <c r="E900"/>
  <c r="A901"/>
  <c r="B901"/>
  <c r="C901"/>
  <c r="D901"/>
  <c r="E901"/>
  <c r="A902"/>
  <c r="B902"/>
  <c r="C902"/>
  <c r="D902"/>
  <c r="E902"/>
  <c r="A903"/>
  <c r="B903"/>
  <c r="C903"/>
  <c r="D903"/>
  <c r="E903"/>
  <c r="A904"/>
  <c r="B904"/>
  <c r="C904"/>
  <c r="D904"/>
  <c r="E904"/>
  <c r="A905"/>
  <c r="B905"/>
  <c r="C905"/>
  <c r="D905"/>
  <c r="E905"/>
  <c r="A906"/>
  <c r="B906"/>
  <c r="C906"/>
  <c r="D906"/>
  <c r="E906"/>
  <c r="A907"/>
  <c r="B907"/>
  <c r="C907"/>
  <c r="D907"/>
  <c r="E907"/>
  <c r="A908"/>
  <c r="B908"/>
  <c r="C908"/>
  <c r="D908"/>
  <c r="E908"/>
  <c r="A909"/>
  <c r="B909"/>
  <c r="C909"/>
  <c r="D909"/>
  <c r="E909"/>
  <c r="A910"/>
  <c r="B910"/>
  <c r="C910"/>
  <c r="D910"/>
  <c r="E910"/>
  <c r="A911"/>
  <c r="B911"/>
  <c r="C911"/>
  <c r="D911"/>
  <c r="E911"/>
  <c r="A912"/>
  <c r="B912"/>
  <c r="C912"/>
  <c r="D912"/>
  <c r="E912"/>
  <c r="A913"/>
  <c r="B913"/>
  <c r="C913"/>
  <c r="D913"/>
  <c r="E913"/>
  <c r="A914"/>
  <c r="B914"/>
  <c r="C914"/>
  <c r="D914"/>
  <c r="E914"/>
  <c r="A915"/>
  <c r="B915"/>
  <c r="C915"/>
  <c r="D915"/>
  <c r="E915"/>
  <c r="A916"/>
  <c r="B916"/>
  <c r="C916"/>
  <c r="D916"/>
  <c r="E916"/>
  <c r="A917"/>
  <c r="B917"/>
  <c r="C917"/>
  <c r="D917"/>
  <c r="E917"/>
  <c r="A918"/>
  <c r="B918"/>
  <c r="C918"/>
  <c r="D918"/>
  <c r="E918"/>
  <c r="A919"/>
  <c r="B919"/>
  <c r="C919"/>
  <c r="D919"/>
  <c r="E919"/>
  <c r="A920"/>
  <c r="B920"/>
  <c r="C920"/>
  <c r="D920"/>
  <c r="E920"/>
  <c r="A921"/>
  <c r="B921"/>
  <c r="C921"/>
  <c r="D921"/>
  <c r="E921"/>
  <c r="A922"/>
  <c r="B922"/>
  <c r="C922"/>
  <c r="D922"/>
  <c r="E922"/>
  <c r="A923"/>
  <c r="B923"/>
  <c r="C923"/>
  <c r="D923"/>
  <c r="E923"/>
  <c r="A924"/>
  <c r="B924"/>
  <c r="C924"/>
  <c r="D924"/>
  <c r="E924"/>
  <c r="A925"/>
  <c r="B925"/>
  <c r="C925"/>
  <c r="D925"/>
  <c r="E925"/>
  <c r="A926"/>
  <c r="B926"/>
  <c r="C926"/>
  <c r="D926"/>
  <c r="E926"/>
  <c r="A927"/>
  <c r="B927"/>
  <c r="C927"/>
  <c r="D927"/>
  <c r="E927"/>
  <c r="A928"/>
  <c r="B928"/>
  <c r="C928"/>
  <c r="D928"/>
  <c r="E928"/>
  <c r="A929"/>
  <c r="B929"/>
  <c r="C929"/>
  <c r="D929"/>
  <c r="E929"/>
  <c r="A930"/>
  <c r="B930"/>
  <c r="C930"/>
  <c r="D930"/>
  <c r="E930"/>
  <c r="A931"/>
  <c r="B931"/>
  <c r="C931"/>
  <c r="D931"/>
  <c r="E931"/>
  <c r="A932"/>
  <c r="B932"/>
  <c r="C932"/>
  <c r="D932"/>
  <c r="E932"/>
  <c r="A933"/>
  <c r="B933"/>
  <c r="C933"/>
  <c r="D933"/>
  <c r="E933"/>
  <c r="A934"/>
  <c r="B934"/>
  <c r="C934"/>
  <c r="D934"/>
  <c r="E934"/>
  <c r="A935"/>
  <c r="B935"/>
  <c r="C935"/>
  <c r="D935"/>
  <c r="E935"/>
  <c r="A936"/>
  <c r="B936"/>
  <c r="C936"/>
  <c r="D936"/>
  <c r="E936"/>
  <c r="A937"/>
  <c r="B937"/>
  <c r="C937"/>
  <c r="D937"/>
  <c r="E937"/>
  <c r="A938"/>
  <c r="B938"/>
  <c r="C938"/>
  <c r="D938"/>
  <c r="E938"/>
  <c r="A939"/>
  <c r="B939"/>
  <c r="C939"/>
  <c r="D939"/>
  <c r="E939"/>
  <c r="A940"/>
  <c r="B940"/>
  <c r="C940"/>
  <c r="D940"/>
  <c r="E940"/>
  <c r="A941"/>
  <c r="B941"/>
  <c r="C941"/>
  <c r="D941"/>
  <c r="E941"/>
  <c r="A942"/>
  <c r="B942"/>
  <c r="C942"/>
  <c r="D942"/>
  <c r="E942"/>
  <c r="A943"/>
  <c r="B943"/>
  <c r="C943"/>
  <c r="D943"/>
  <c r="E943"/>
  <c r="A944"/>
  <c r="B944"/>
  <c r="C944"/>
  <c r="D944"/>
  <c r="E944"/>
  <c r="A945"/>
  <c r="B945"/>
  <c r="C945"/>
  <c r="D945"/>
  <c r="E945"/>
  <c r="A946"/>
  <c r="B946"/>
  <c r="C946"/>
  <c r="D946"/>
  <c r="E946"/>
  <c r="A947"/>
  <c r="B947"/>
  <c r="C947"/>
  <c r="D947"/>
  <c r="E947"/>
  <c r="A948"/>
  <c r="B948"/>
  <c r="C948"/>
  <c r="D948"/>
  <c r="E948"/>
  <c r="A949"/>
  <c r="B949"/>
  <c r="C949"/>
  <c r="D949"/>
  <c r="E949"/>
  <c r="A950"/>
  <c r="B950"/>
  <c r="C950"/>
  <c r="D950"/>
  <c r="E950"/>
  <c r="A951"/>
  <c r="B951"/>
  <c r="C951"/>
  <c r="D951"/>
  <c r="E951"/>
  <c r="A952"/>
  <c r="B952"/>
  <c r="C952"/>
  <c r="D952"/>
  <c r="E952"/>
  <c r="A953"/>
  <c r="B953"/>
  <c r="C953"/>
  <c r="D953"/>
  <c r="E953"/>
  <c r="A954"/>
  <c r="B954"/>
  <c r="C954"/>
  <c r="D954"/>
  <c r="E954"/>
  <c r="A955"/>
  <c r="B955"/>
  <c r="C955"/>
  <c r="D955"/>
  <c r="E955"/>
  <c r="A956"/>
  <c r="B956"/>
  <c r="C956"/>
  <c r="D956"/>
  <c r="E956"/>
  <c r="A957"/>
  <c r="B957"/>
  <c r="C957"/>
  <c r="D957"/>
  <c r="E957"/>
  <c r="A958"/>
  <c r="B958"/>
  <c r="C958"/>
  <c r="D958"/>
  <c r="E958"/>
  <c r="A959"/>
  <c r="B959"/>
  <c r="C959"/>
  <c r="D959"/>
  <c r="E959"/>
  <c r="A960"/>
  <c r="B960"/>
  <c r="C960"/>
  <c r="D960"/>
  <c r="E960"/>
  <c r="A961"/>
  <c r="B961"/>
  <c r="C961"/>
  <c r="D961"/>
  <c r="E961"/>
  <c r="A962"/>
  <c r="B962"/>
  <c r="C962"/>
  <c r="D962"/>
  <c r="E962"/>
  <c r="A963"/>
  <c r="B963"/>
  <c r="C963"/>
  <c r="D963"/>
  <c r="E963"/>
  <c r="A964"/>
  <c r="B964"/>
  <c r="C964"/>
  <c r="D964"/>
  <c r="E964"/>
  <c r="A965"/>
  <c r="B965"/>
  <c r="C965"/>
  <c r="D965"/>
  <c r="E965"/>
  <c r="A966"/>
  <c r="B966"/>
  <c r="C966"/>
  <c r="D966"/>
  <c r="E966"/>
  <c r="A967"/>
  <c r="B967"/>
  <c r="C967"/>
  <c r="D967"/>
  <c r="E967"/>
  <c r="A968"/>
  <c r="B968"/>
  <c r="C968"/>
  <c r="D968"/>
  <c r="E968"/>
  <c r="A969"/>
  <c r="B969"/>
  <c r="C969"/>
  <c r="D969"/>
  <c r="E969"/>
  <c r="A970"/>
  <c r="B970"/>
  <c r="C970"/>
  <c r="D970"/>
  <c r="E970"/>
  <c r="A971"/>
  <c r="B971"/>
  <c r="C971"/>
  <c r="D971"/>
  <c r="E971"/>
  <c r="A972"/>
  <c r="B972"/>
  <c r="C972"/>
  <c r="D972"/>
  <c r="E972"/>
  <c r="A973"/>
  <c r="B973"/>
  <c r="C973"/>
  <c r="D973"/>
  <c r="E973"/>
  <c r="A974"/>
  <c r="B974"/>
  <c r="C974"/>
  <c r="D974"/>
  <c r="E974"/>
  <c r="A975"/>
  <c r="B975"/>
  <c r="C975"/>
  <c r="D975"/>
  <c r="E975"/>
  <c r="A976"/>
  <c r="B976"/>
  <c r="C976"/>
  <c r="D976"/>
  <c r="E976"/>
  <c r="A977"/>
  <c r="B977"/>
  <c r="C977"/>
  <c r="D977"/>
  <c r="E977"/>
  <c r="A978"/>
  <c r="B978"/>
  <c r="C978"/>
  <c r="D978"/>
  <c r="E978"/>
  <c r="A979"/>
  <c r="B979"/>
  <c r="C979"/>
  <c r="D979"/>
  <c r="E979"/>
  <c r="A980"/>
  <c r="B980"/>
  <c r="C980"/>
  <c r="D980"/>
  <c r="E980"/>
  <c r="A981"/>
  <c r="B981"/>
  <c r="C981"/>
  <c r="D981"/>
  <c r="E981"/>
  <c r="A982"/>
  <c r="B982"/>
  <c r="C982"/>
  <c r="D982"/>
  <c r="E982"/>
  <c r="A983"/>
  <c r="B983"/>
  <c r="C983"/>
  <c r="D983"/>
  <c r="E983"/>
  <c r="A984"/>
  <c r="B984"/>
  <c r="C984"/>
  <c r="D984"/>
  <c r="E984"/>
  <c r="A985"/>
  <c r="B985"/>
  <c r="C985"/>
  <c r="D985"/>
  <c r="E985"/>
  <c r="A986"/>
  <c r="B986"/>
  <c r="C986"/>
  <c r="D986"/>
  <c r="E986"/>
  <c r="A987"/>
  <c r="B987"/>
  <c r="C987"/>
  <c r="D987"/>
  <c r="E987"/>
  <c r="A988"/>
  <c r="B988"/>
  <c r="C988"/>
  <c r="D988"/>
  <c r="E988"/>
  <c r="A989"/>
  <c r="B989"/>
  <c r="C989"/>
  <c r="D989"/>
  <c r="E989"/>
  <c r="A990"/>
  <c r="B990"/>
  <c r="C990"/>
  <c r="D990"/>
  <c r="E990"/>
  <c r="A991"/>
  <c r="B991"/>
  <c r="C991"/>
  <c r="D991"/>
  <c r="E991"/>
  <c r="A992"/>
  <c r="B992"/>
  <c r="C992"/>
  <c r="D992"/>
  <c r="E992"/>
  <c r="A993"/>
  <c r="B993"/>
  <c r="C993"/>
  <c r="D993"/>
  <c r="E993"/>
  <c r="A994"/>
  <c r="B994"/>
  <c r="C994"/>
  <c r="D994"/>
  <c r="E994"/>
  <c r="A995"/>
  <c r="B995"/>
  <c r="C995"/>
  <c r="D995"/>
  <c r="E995"/>
  <c r="A996"/>
  <c r="B996"/>
  <c r="C996"/>
  <c r="D996"/>
  <c r="E996"/>
  <c r="A997"/>
  <c r="B997"/>
  <c r="C997"/>
  <c r="D997"/>
  <c r="E997"/>
  <c r="A998"/>
  <c r="B998"/>
  <c r="C998"/>
  <c r="D998"/>
  <c r="E998"/>
  <c r="A999"/>
  <c r="B999"/>
  <c r="C999"/>
  <c r="D999"/>
  <c r="E999"/>
  <c r="A1000"/>
  <c r="B1000"/>
  <c r="C1000"/>
  <c r="D1000"/>
  <c r="E1000"/>
  <c r="A1001"/>
  <c r="B1001"/>
  <c r="C1001"/>
  <c r="D1001"/>
  <c r="E1001"/>
  <c r="A1002"/>
  <c r="B1002"/>
  <c r="C1002"/>
  <c r="D1002"/>
  <c r="E1002"/>
  <c r="A1003"/>
  <c r="B1003"/>
  <c r="C1003"/>
  <c r="D1003"/>
  <c r="E1003"/>
  <c r="A1004"/>
  <c r="B1004"/>
  <c r="C1004"/>
  <c r="D1004"/>
  <c r="E1004"/>
  <c r="A1005"/>
  <c r="B1005"/>
  <c r="C1005"/>
  <c r="D1005"/>
  <c r="E1005"/>
  <c r="A1006"/>
  <c r="B1006"/>
  <c r="C1006"/>
  <c r="D1006"/>
  <c r="E1006"/>
  <c r="A1007"/>
  <c r="B1007"/>
  <c r="C1007"/>
  <c r="D1007"/>
  <c r="E1007"/>
  <c r="A1008"/>
  <c r="B1008"/>
  <c r="C1008"/>
  <c r="D1008"/>
  <c r="E1008"/>
  <c r="A1009"/>
  <c r="B1009"/>
  <c r="C1009"/>
  <c r="D1009"/>
  <c r="E1009"/>
  <c r="A1010"/>
  <c r="B1010"/>
  <c r="C1010"/>
  <c r="D1010"/>
  <c r="E1010"/>
  <c r="A1011"/>
  <c r="B1011"/>
  <c r="C1011"/>
  <c r="D1011"/>
  <c r="E1011"/>
  <c r="A1012"/>
  <c r="B1012"/>
  <c r="C1012"/>
  <c r="D1012"/>
  <c r="E1012"/>
  <c r="A1013"/>
  <c r="B1013"/>
  <c r="C1013"/>
  <c r="D1013"/>
  <c r="E1013"/>
  <c r="A1014"/>
  <c r="B1014"/>
  <c r="C1014"/>
  <c r="D1014"/>
  <c r="E1014"/>
  <c r="A1015"/>
  <c r="B1015"/>
  <c r="C1015"/>
  <c r="D1015"/>
  <c r="E1015"/>
  <c r="A1016"/>
  <c r="B1016"/>
  <c r="C1016"/>
  <c r="D1016"/>
  <c r="E1016"/>
  <c r="A1017"/>
  <c r="B1017"/>
  <c r="C1017"/>
  <c r="D1017"/>
  <c r="E1017"/>
  <c r="A1018"/>
  <c r="B1018"/>
  <c r="C1018"/>
  <c r="D1018"/>
  <c r="E1018"/>
  <c r="A1019"/>
  <c r="B1019"/>
  <c r="C1019"/>
  <c r="D1019"/>
  <c r="E1019"/>
  <c r="A1020"/>
  <c r="B1020"/>
  <c r="C1020"/>
  <c r="D1020"/>
  <c r="E1020"/>
  <c r="A1021"/>
  <c r="B1021"/>
  <c r="C1021"/>
  <c r="D1021"/>
  <c r="E1021"/>
  <c r="A1022"/>
  <c r="B1022"/>
  <c r="C1022"/>
  <c r="D1022"/>
  <c r="E1022"/>
  <c r="A1023"/>
  <c r="B1023"/>
  <c r="C1023"/>
  <c r="D1023"/>
  <c r="E1023"/>
  <c r="A1024"/>
  <c r="B1024"/>
  <c r="C1024"/>
  <c r="D1024"/>
  <c r="E1024"/>
  <c r="A1025"/>
  <c r="B1025"/>
  <c r="C1025"/>
  <c r="D1025"/>
  <c r="E1025"/>
  <c r="A1026"/>
  <c r="B1026"/>
  <c r="C1026"/>
  <c r="D1026"/>
  <c r="E1026"/>
  <c r="A1027"/>
  <c r="B1027"/>
  <c r="C1027"/>
  <c r="D1027"/>
  <c r="E1027"/>
  <c r="A1028"/>
  <c r="B1028"/>
  <c r="C1028"/>
  <c r="D1028"/>
  <c r="E1028"/>
  <c r="A1029"/>
  <c r="B1029"/>
  <c r="C1029"/>
  <c r="D1029"/>
  <c r="E1029"/>
  <c r="A1030"/>
  <c r="B1030"/>
  <c r="C1030"/>
  <c r="D1030"/>
  <c r="E1030"/>
  <c r="A1031"/>
  <c r="B1031"/>
  <c r="C1031"/>
  <c r="D1031"/>
  <c r="E1031"/>
  <c r="A1032"/>
  <c r="B1032"/>
  <c r="C1032"/>
  <c r="D1032"/>
  <c r="E1032"/>
  <c r="A1033"/>
  <c r="B1033"/>
  <c r="C1033"/>
  <c r="D1033"/>
  <c r="E1033"/>
  <c r="A1034"/>
  <c r="B1034"/>
  <c r="C1034"/>
  <c r="D1034"/>
  <c r="E1034"/>
  <c r="A1035"/>
  <c r="B1035"/>
  <c r="C1035"/>
  <c r="D1035"/>
  <c r="E1035"/>
  <c r="A1036"/>
  <c r="B1036"/>
  <c r="C1036"/>
  <c r="D1036"/>
  <c r="E1036"/>
  <c r="A1037"/>
  <c r="B1037"/>
  <c r="C1037"/>
  <c r="D1037"/>
  <c r="E1037"/>
  <c r="A1038"/>
  <c r="B1038"/>
  <c r="C1038"/>
  <c r="D1038"/>
  <c r="E1038"/>
  <c r="A1039"/>
  <c r="B1039"/>
  <c r="C1039"/>
  <c r="D1039"/>
  <c r="E1039"/>
  <c r="A1040"/>
  <c r="B1040"/>
  <c r="C1040"/>
  <c r="D1040"/>
  <c r="E1040"/>
  <c r="A1041"/>
  <c r="B1041"/>
  <c r="C1041"/>
  <c r="D1041"/>
  <c r="E1041"/>
  <c r="A1042"/>
  <c r="B1042"/>
  <c r="C1042"/>
  <c r="D1042"/>
  <c r="E1042"/>
  <c r="A1043"/>
  <c r="B1043"/>
  <c r="C1043"/>
  <c r="D1043"/>
  <c r="E1043"/>
  <c r="A1044"/>
  <c r="B1044"/>
  <c r="C1044"/>
  <c r="D1044"/>
  <c r="E1044"/>
  <c r="A1045"/>
  <c r="B1045"/>
  <c r="C1045"/>
  <c r="D1045"/>
  <c r="E1045"/>
  <c r="A1046"/>
  <c r="B1046"/>
  <c r="C1046"/>
  <c r="D1046"/>
  <c r="E1046"/>
  <c r="A1047"/>
  <c r="B1047"/>
  <c r="C1047"/>
  <c r="D1047"/>
  <c r="E1047"/>
  <c r="A1048"/>
  <c r="B1048"/>
  <c r="C1048"/>
  <c r="D1048"/>
  <c r="E1048"/>
  <c r="A1049"/>
  <c r="B1049"/>
  <c r="C1049"/>
  <c r="D1049"/>
  <c r="E1049"/>
  <c r="A1050"/>
  <c r="B1050"/>
  <c r="C1050"/>
  <c r="D1050"/>
  <c r="E1050"/>
  <c r="A1051"/>
  <c r="B1051"/>
  <c r="C1051"/>
  <c r="D1051"/>
  <c r="E1051"/>
  <c r="A1052"/>
  <c r="B1052"/>
  <c r="C1052"/>
  <c r="D1052"/>
  <c r="E1052"/>
  <c r="A1053"/>
  <c r="B1053"/>
  <c r="C1053"/>
  <c r="D1053"/>
  <c r="E1053"/>
  <c r="A1054"/>
  <c r="B1054"/>
  <c r="C1054"/>
  <c r="D1054"/>
  <c r="E1054"/>
  <c r="A1055"/>
  <c r="B1055"/>
  <c r="C1055"/>
  <c r="D1055"/>
  <c r="E1055"/>
  <c r="A1056"/>
  <c r="B1056"/>
  <c r="C1056"/>
  <c r="D1056"/>
  <c r="E1056"/>
  <c r="A1057"/>
  <c r="B1057"/>
  <c r="C1057"/>
  <c r="D1057"/>
  <c r="E1057"/>
  <c r="A1058"/>
  <c r="B1058"/>
  <c r="C1058"/>
  <c r="D1058"/>
  <c r="E1058"/>
  <c r="A1059"/>
  <c r="B1059"/>
  <c r="C1059"/>
  <c r="D1059"/>
  <c r="E1059"/>
  <c r="A1060"/>
  <c r="B1060"/>
  <c r="C1060"/>
  <c r="D1060"/>
  <c r="E1060"/>
  <c r="A1061"/>
  <c r="B1061"/>
  <c r="C1061"/>
  <c r="D1061"/>
  <c r="E1061"/>
  <c r="A1062"/>
  <c r="B1062"/>
  <c r="C1062"/>
  <c r="D1062"/>
  <c r="E1062"/>
  <c r="A1063"/>
  <c r="B1063"/>
  <c r="C1063"/>
  <c r="D1063"/>
  <c r="E1063"/>
  <c r="A1064"/>
  <c r="B1064"/>
  <c r="C1064"/>
  <c r="D1064"/>
  <c r="E1064"/>
  <c r="A1065"/>
  <c r="B1065"/>
  <c r="C1065"/>
  <c r="D1065"/>
  <c r="E1065"/>
  <c r="A1066"/>
  <c r="B1066"/>
  <c r="C1066"/>
  <c r="D1066"/>
  <c r="E1066"/>
  <c r="A1067"/>
  <c r="B1067"/>
  <c r="C1067"/>
  <c r="D1067"/>
  <c r="E1067"/>
  <c r="A1068"/>
  <c r="B1068"/>
  <c r="C1068"/>
  <c r="D1068"/>
  <c r="E1068"/>
  <c r="A1069"/>
  <c r="B1069"/>
  <c r="C1069"/>
  <c r="D1069"/>
  <c r="E1069"/>
  <c r="A1070"/>
  <c r="B1070"/>
  <c r="C1070"/>
  <c r="D1070"/>
  <c r="E1070"/>
  <c r="A1071"/>
  <c r="B1071"/>
  <c r="C1071"/>
  <c r="D1071"/>
  <c r="E1071"/>
  <c r="A1072"/>
  <c r="B1072"/>
  <c r="C1072"/>
  <c r="D1072"/>
  <c r="E1072"/>
  <c r="A1073"/>
  <c r="B1073"/>
  <c r="C1073"/>
  <c r="D1073"/>
  <c r="E1073"/>
  <c r="A1074"/>
  <c r="B1074"/>
  <c r="C1074"/>
  <c r="D1074"/>
  <c r="E1074"/>
  <c r="A1075"/>
  <c r="B1075"/>
  <c r="C1075"/>
  <c r="D1075"/>
  <c r="E1075"/>
  <c r="A1076"/>
  <c r="B1076"/>
  <c r="C1076"/>
  <c r="D1076"/>
  <c r="E1076"/>
  <c r="A1077"/>
  <c r="B1077"/>
  <c r="C1077"/>
  <c r="D1077"/>
  <c r="E1077"/>
  <c r="A1078"/>
  <c r="B1078"/>
  <c r="C1078"/>
  <c r="D1078"/>
  <c r="E1078"/>
  <c r="A1079"/>
  <c r="B1079"/>
  <c r="C1079"/>
  <c r="D1079"/>
  <c r="E1079"/>
  <c r="A1080"/>
  <c r="B1080"/>
  <c r="C1080"/>
  <c r="D1080"/>
  <c r="E1080"/>
  <c r="A1081"/>
  <c r="B1081"/>
  <c r="C1081"/>
  <c r="D1081"/>
  <c r="E1081"/>
  <c r="A1082"/>
  <c r="B1082"/>
  <c r="C1082"/>
  <c r="D1082"/>
  <c r="E1082"/>
  <c r="A1083"/>
  <c r="B1083"/>
  <c r="C1083"/>
  <c r="D1083"/>
  <c r="E1083"/>
  <c r="A1084"/>
  <c r="B1084"/>
  <c r="C1084"/>
  <c r="D1084"/>
  <c r="E1084"/>
  <c r="A1085"/>
  <c r="B1085"/>
  <c r="C1085"/>
  <c r="D1085"/>
  <c r="E1085"/>
  <c r="A1086"/>
  <c r="B1086"/>
  <c r="C1086"/>
  <c r="D1086"/>
  <c r="E1086"/>
  <c r="A1087"/>
  <c r="B1087"/>
  <c r="C1087"/>
  <c r="D1087"/>
  <c r="E1087"/>
  <c r="A1088"/>
  <c r="B1088"/>
  <c r="C1088"/>
  <c r="D1088"/>
  <c r="E1088"/>
  <c r="A1089"/>
  <c r="B1089"/>
  <c r="C1089"/>
  <c r="D1089"/>
  <c r="E1089"/>
  <c r="A1090"/>
  <c r="B1090"/>
  <c r="C1090"/>
  <c r="D1090"/>
  <c r="E1090"/>
  <c r="A1091"/>
  <c r="B1091"/>
  <c r="C1091"/>
  <c r="D1091"/>
  <c r="E1091"/>
  <c r="A1092"/>
  <c r="B1092"/>
  <c r="C1092"/>
  <c r="D1092"/>
  <c r="E1092"/>
  <c r="A1093"/>
  <c r="B1093"/>
  <c r="C1093"/>
  <c r="D1093"/>
  <c r="E1093"/>
  <c r="A1094"/>
  <c r="B1094"/>
  <c r="C1094"/>
  <c r="D1094"/>
  <c r="E1094"/>
  <c r="A1095"/>
  <c r="B1095"/>
  <c r="C1095"/>
  <c r="D1095"/>
  <c r="E1095"/>
  <c r="A1096"/>
  <c r="B1096"/>
  <c r="C1096"/>
  <c r="D1096"/>
  <c r="E1096"/>
  <c r="A1097"/>
  <c r="B1097"/>
  <c r="C1097"/>
  <c r="D1097"/>
  <c r="E1097"/>
  <c r="A1098"/>
  <c r="B1098"/>
  <c r="C1098"/>
  <c r="D1098"/>
  <c r="E1098"/>
  <c r="A1099"/>
  <c r="B1099"/>
  <c r="C1099"/>
  <c r="D1099"/>
  <c r="E1099"/>
  <c r="A1100"/>
  <c r="B1100"/>
  <c r="C1100"/>
  <c r="D1100"/>
  <c r="E1100"/>
  <c r="A1101"/>
  <c r="B1101"/>
  <c r="C1101"/>
  <c r="D1101"/>
  <c r="E1101"/>
  <c r="A1102"/>
  <c r="B1102"/>
  <c r="C1102"/>
  <c r="D1102"/>
  <c r="E1102"/>
  <c r="A1103"/>
  <c r="B1103"/>
  <c r="C1103"/>
  <c r="D1103"/>
  <c r="E1103"/>
  <c r="A1104"/>
  <c r="B1104"/>
  <c r="C1104"/>
  <c r="D1104"/>
  <c r="E1104"/>
  <c r="A1105"/>
  <c r="B1105"/>
  <c r="C1105"/>
  <c r="D1105"/>
  <c r="E1105"/>
  <c r="A1106"/>
  <c r="B1106"/>
  <c r="C1106"/>
  <c r="D1106"/>
  <c r="E1106"/>
  <c r="A1107"/>
  <c r="B1107"/>
  <c r="C1107"/>
  <c r="D1107"/>
  <c r="E1107"/>
  <c r="A1108"/>
  <c r="B1108"/>
  <c r="C1108"/>
  <c r="D1108"/>
  <c r="E1108"/>
  <c r="A1109"/>
  <c r="B1109"/>
  <c r="C1109"/>
  <c r="D1109"/>
  <c r="E1109"/>
  <c r="A1110"/>
  <c r="B1110"/>
  <c r="C1110"/>
  <c r="D1110"/>
  <c r="E1110"/>
  <c r="A1111"/>
  <c r="B1111"/>
  <c r="C1111"/>
  <c r="D1111"/>
  <c r="E1111"/>
  <c r="A1112"/>
  <c r="B1112"/>
  <c r="C1112"/>
  <c r="D1112"/>
  <c r="E1112"/>
  <c r="A1113"/>
  <c r="B1113"/>
  <c r="C1113"/>
  <c r="D1113"/>
  <c r="E1113"/>
  <c r="A1114"/>
  <c r="B1114"/>
  <c r="C1114"/>
  <c r="D1114"/>
  <c r="E1114"/>
  <c r="A1115"/>
  <c r="B1115"/>
  <c r="C1115"/>
  <c r="D1115"/>
  <c r="E1115"/>
  <c r="A1116"/>
  <c r="B1116"/>
  <c r="C1116"/>
  <c r="D1116"/>
  <c r="E1116"/>
  <c r="A1117"/>
  <c r="B1117"/>
  <c r="C1117"/>
  <c r="D1117"/>
  <c r="E1117"/>
  <c r="A1118"/>
  <c r="B1118"/>
  <c r="C1118"/>
  <c r="D1118"/>
  <c r="E1118"/>
  <c r="A1119"/>
  <c r="B1119"/>
  <c r="C1119"/>
  <c r="D1119"/>
  <c r="E1119"/>
  <c r="A1120"/>
  <c r="B1120"/>
  <c r="C1120"/>
  <c r="D1120"/>
  <c r="E1120"/>
  <c r="A1121"/>
  <c r="B1121"/>
  <c r="C1121"/>
  <c r="D1121"/>
  <c r="E1121"/>
  <c r="A1122"/>
  <c r="B1122"/>
  <c r="C1122"/>
  <c r="D1122"/>
  <c r="E1122"/>
  <c r="A1123"/>
  <c r="B1123"/>
  <c r="C1123"/>
  <c r="D1123"/>
  <c r="E1123"/>
  <c r="A1124"/>
  <c r="B1124"/>
  <c r="C1124"/>
  <c r="D1124"/>
  <c r="E1124"/>
  <c r="A1125"/>
  <c r="B1125"/>
  <c r="C1125"/>
  <c r="D1125"/>
  <c r="E1125"/>
  <c r="A1126"/>
  <c r="B1126"/>
  <c r="C1126"/>
  <c r="D1126"/>
  <c r="E1126"/>
  <c r="A1127"/>
  <c r="B1127"/>
  <c r="C1127"/>
  <c r="D1127"/>
  <c r="E1127"/>
  <c r="A1128"/>
  <c r="B1128"/>
  <c r="C1128"/>
  <c r="D1128"/>
  <c r="E1128"/>
  <c r="A1129"/>
  <c r="B1129"/>
  <c r="C1129"/>
  <c r="D1129"/>
  <c r="E1129"/>
  <c r="A1130"/>
  <c r="B1130"/>
  <c r="C1130"/>
  <c r="D1130"/>
  <c r="E1130"/>
  <c r="A1131"/>
  <c r="B1131"/>
  <c r="C1131"/>
  <c r="D1131"/>
  <c r="E1131"/>
  <c r="A1132"/>
  <c r="B1132"/>
  <c r="C1132"/>
  <c r="D1132"/>
  <c r="E1132"/>
  <c r="A1133"/>
  <c r="B1133"/>
  <c r="C1133"/>
  <c r="D1133"/>
  <c r="E1133"/>
  <c r="A1134"/>
  <c r="B1134"/>
  <c r="C1134"/>
  <c r="D1134"/>
  <c r="E1134"/>
  <c r="A1135"/>
  <c r="B1135"/>
  <c r="C1135"/>
  <c r="D1135"/>
  <c r="E1135"/>
  <c r="A1136"/>
  <c r="B1136"/>
  <c r="C1136"/>
  <c r="D1136"/>
  <c r="E1136"/>
  <c r="A1137"/>
  <c r="B1137"/>
  <c r="C1137"/>
  <c r="D1137"/>
  <c r="E1137"/>
  <c r="A1138"/>
  <c r="B1138"/>
  <c r="C1138"/>
  <c r="D1138"/>
  <c r="E1138"/>
  <c r="A1139"/>
  <c r="B1139"/>
  <c r="C1139"/>
  <c r="D1139"/>
  <c r="E1139"/>
  <c r="A1140"/>
  <c r="B1140"/>
  <c r="C1140"/>
  <c r="D1140"/>
  <c r="E1140"/>
  <c r="A1141"/>
  <c r="B1141"/>
  <c r="C1141"/>
  <c r="D1141"/>
  <c r="E1141"/>
  <c r="A1142"/>
  <c r="B1142"/>
  <c r="C1142"/>
  <c r="D1142"/>
  <c r="E1142"/>
  <c r="A1143"/>
  <c r="B1143"/>
  <c r="C1143"/>
  <c r="D1143"/>
  <c r="E1143"/>
  <c r="A1144"/>
  <c r="B1144"/>
  <c r="C1144"/>
  <c r="D1144"/>
  <c r="E1144"/>
  <c r="A1145"/>
  <c r="B1145"/>
  <c r="C1145"/>
  <c r="D1145"/>
  <c r="E1145"/>
  <c r="A1146"/>
  <c r="B1146"/>
  <c r="C1146"/>
  <c r="D1146"/>
  <c r="E1146"/>
  <c r="A1147"/>
  <c r="B1147"/>
  <c r="C1147"/>
  <c r="D1147"/>
  <c r="E1147"/>
  <c r="A1148"/>
  <c r="B1148"/>
  <c r="C1148"/>
  <c r="D1148"/>
  <c r="E1148"/>
  <c r="A1149"/>
  <c r="B1149"/>
  <c r="C1149"/>
  <c r="D1149"/>
  <c r="E1149"/>
  <c r="A1150"/>
  <c r="B1150"/>
  <c r="C1150"/>
  <c r="D1150"/>
  <c r="E1150"/>
  <c r="A1151"/>
  <c r="B1151"/>
  <c r="C1151"/>
  <c r="D1151"/>
  <c r="E1151"/>
  <c r="A1152"/>
  <c r="B1152"/>
  <c r="C1152"/>
  <c r="D1152"/>
  <c r="E1152"/>
  <c r="A1153"/>
  <c r="B1153"/>
  <c r="C1153"/>
  <c r="D1153"/>
  <c r="E1153"/>
  <c r="A1154"/>
  <c r="B1154"/>
  <c r="C1154"/>
  <c r="D1154"/>
  <c r="E1154"/>
  <c r="A1155"/>
  <c r="B1155"/>
  <c r="C1155"/>
  <c r="D1155"/>
  <c r="E1155"/>
  <c r="A1156"/>
  <c r="B1156"/>
  <c r="C1156"/>
  <c r="D1156"/>
  <c r="E1156"/>
  <c r="A1157"/>
  <c r="B1157"/>
  <c r="C1157"/>
  <c r="D1157"/>
  <c r="E1157"/>
  <c r="A1158"/>
  <c r="B1158"/>
  <c r="C1158"/>
  <c r="D1158"/>
  <c r="E1158"/>
  <c r="A1159"/>
  <c r="B1159"/>
  <c r="C1159"/>
  <c r="D1159"/>
  <c r="E1159"/>
  <c r="A1160"/>
  <c r="B1160"/>
  <c r="C1160"/>
  <c r="D1160"/>
  <c r="E1160"/>
  <c r="A1161"/>
  <c r="B1161"/>
  <c r="C1161"/>
  <c r="D1161"/>
  <c r="E1161"/>
  <c r="A1162"/>
  <c r="B1162"/>
  <c r="C1162"/>
  <c r="D1162"/>
  <c r="E1162"/>
  <c r="A1163"/>
  <c r="B1163"/>
  <c r="C1163"/>
  <c r="D1163"/>
  <c r="E1163"/>
  <c r="A1164"/>
  <c r="B1164"/>
  <c r="C1164"/>
  <c r="D1164"/>
  <c r="E1164"/>
  <c r="A1165"/>
  <c r="B1165"/>
  <c r="C1165"/>
  <c r="D1165"/>
  <c r="E1165"/>
  <c r="A1166"/>
  <c r="B1166"/>
  <c r="C1166"/>
  <c r="D1166"/>
  <c r="E1166"/>
  <c r="A1167"/>
  <c r="B1167"/>
  <c r="C1167"/>
  <c r="D1167"/>
  <c r="E1167"/>
  <c r="A1168"/>
  <c r="B1168"/>
  <c r="C1168"/>
  <c r="D1168"/>
  <c r="E1168"/>
  <c r="A1169"/>
  <c r="B1169"/>
  <c r="C1169"/>
  <c r="D1169"/>
  <c r="E1169"/>
  <c r="A1170"/>
  <c r="B1170"/>
  <c r="C1170"/>
  <c r="D1170"/>
  <c r="E1170"/>
  <c r="A1171"/>
  <c r="B1171"/>
  <c r="C1171"/>
  <c r="D1171"/>
  <c r="E1171"/>
  <c r="A1172"/>
  <c r="B1172"/>
  <c r="C1172"/>
  <c r="D1172"/>
  <c r="E1172"/>
  <c r="A1173"/>
  <c r="B1173"/>
  <c r="C1173"/>
  <c r="D1173"/>
  <c r="E1173"/>
  <c r="A1174"/>
  <c r="B1174"/>
  <c r="C1174"/>
  <c r="D1174"/>
  <c r="E1174"/>
  <c r="A1175"/>
  <c r="B1175"/>
  <c r="C1175"/>
  <c r="D1175"/>
  <c r="E1175"/>
  <c r="A1176"/>
  <c r="B1176"/>
  <c r="C1176"/>
  <c r="D1176"/>
  <c r="E1176"/>
  <c r="A1177"/>
  <c r="B1177"/>
  <c r="C1177"/>
  <c r="D1177"/>
  <c r="E1177"/>
  <c r="A1178"/>
  <c r="B1178"/>
  <c r="C1178"/>
  <c r="D1178"/>
  <c r="E1178"/>
  <c r="A1179"/>
  <c r="B1179"/>
  <c r="C1179"/>
  <c r="D1179"/>
  <c r="E1179"/>
  <c r="A1180"/>
  <c r="B1180"/>
  <c r="C1180"/>
  <c r="D1180"/>
  <c r="E1180"/>
  <c r="A1181"/>
  <c r="B1181"/>
  <c r="C1181"/>
  <c r="D1181"/>
  <c r="E1181"/>
  <c r="A1182"/>
  <c r="B1182"/>
  <c r="C1182"/>
  <c r="D1182"/>
  <c r="E1182"/>
  <c r="A1183"/>
  <c r="B1183"/>
  <c r="C1183"/>
  <c r="D1183"/>
  <c r="E1183"/>
  <c r="A1184"/>
  <c r="B1184"/>
  <c r="C1184"/>
  <c r="D1184"/>
  <c r="E1184"/>
  <c r="A1185"/>
  <c r="B1185"/>
  <c r="C1185"/>
  <c r="D1185"/>
  <c r="E1185"/>
  <c r="A1186"/>
  <c r="B1186"/>
  <c r="C1186"/>
  <c r="D1186"/>
  <c r="E1186"/>
  <c r="A1187"/>
  <c r="B1187"/>
  <c r="C1187"/>
  <c r="D1187"/>
  <c r="E1187"/>
  <c r="A1188"/>
  <c r="B1188"/>
  <c r="C1188"/>
  <c r="D1188"/>
  <c r="E1188"/>
  <c r="A1189"/>
  <c r="B1189"/>
  <c r="C1189"/>
  <c r="D1189"/>
  <c r="E1189"/>
  <c r="A1190"/>
  <c r="B1190"/>
  <c r="C1190"/>
  <c r="D1190"/>
  <c r="E1190"/>
  <c r="A1191"/>
  <c r="B1191"/>
  <c r="C1191"/>
  <c r="D1191"/>
  <c r="E1191"/>
  <c r="A1192"/>
  <c r="B1192"/>
  <c r="C1192"/>
  <c r="D1192"/>
  <c r="E1192"/>
  <c r="A1193"/>
  <c r="B1193"/>
  <c r="C1193"/>
  <c r="D1193"/>
  <c r="E1193"/>
  <c r="A1194"/>
  <c r="B1194"/>
  <c r="C1194"/>
  <c r="D1194"/>
  <c r="E1194"/>
  <c r="A1195"/>
  <c r="B1195"/>
  <c r="C1195"/>
  <c r="D1195"/>
  <c r="E1195"/>
  <c r="A1196"/>
  <c r="B1196"/>
  <c r="C1196"/>
  <c r="D1196"/>
  <c r="E1196"/>
  <c r="A1197"/>
  <c r="B1197"/>
  <c r="C1197"/>
  <c r="D1197"/>
  <c r="E1197"/>
  <c r="A1198"/>
  <c r="B1198"/>
  <c r="C1198"/>
  <c r="D1198"/>
  <c r="E1198"/>
  <c r="A1199"/>
  <c r="B1199"/>
  <c r="C1199"/>
  <c r="D1199"/>
  <c r="E1199"/>
  <c r="A1200"/>
  <c r="B1200"/>
  <c r="C1200"/>
  <c r="D1200"/>
  <c r="E1200"/>
  <c r="A1201"/>
  <c r="B1201"/>
  <c r="C1201"/>
  <c r="D1201"/>
  <c r="E1201"/>
  <c r="A1202"/>
  <c r="B1202"/>
  <c r="C1202"/>
  <c r="D1202"/>
  <c r="E1202"/>
  <c r="A1203"/>
  <c r="B1203"/>
  <c r="C1203"/>
  <c r="D1203"/>
  <c r="E1203"/>
  <c r="A1204"/>
  <c r="B1204"/>
  <c r="C1204"/>
  <c r="D1204"/>
  <c r="E1204"/>
  <c r="A1205"/>
  <c r="B1205"/>
  <c r="C1205"/>
  <c r="D1205"/>
  <c r="E1205"/>
  <c r="A1206"/>
  <c r="B1206"/>
  <c r="C1206"/>
  <c r="D1206"/>
  <c r="E1206"/>
  <c r="A1207"/>
  <c r="B1207"/>
  <c r="C1207"/>
  <c r="D1207"/>
  <c r="E1207"/>
  <c r="A1208"/>
  <c r="B1208"/>
  <c r="C1208"/>
  <c r="D1208"/>
  <c r="E1208"/>
  <c r="A1209"/>
  <c r="B1209"/>
  <c r="C1209"/>
  <c r="D1209"/>
  <c r="E1209"/>
  <c r="A1210"/>
  <c r="B1210"/>
  <c r="C1210"/>
  <c r="D1210"/>
  <c r="E1210"/>
  <c r="A1211"/>
  <c r="B1211"/>
  <c r="C1211"/>
  <c r="D1211"/>
  <c r="E1211"/>
  <c r="A1212"/>
  <c r="B1212"/>
  <c r="C1212"/>
  <c r="D1212"/>
  <c r="E1212"/>
  <c r="A1213"/>
  <c r="B1213"/>
  <c r="C1213"/>
  <c r="D1213"/>
  <c r="E1213"/>
  <c r="A1214"/>
  <c r="B1214"/>
  <c r="C1214"/>
  <c r="D1214"/>
  <c r="E1214"/>
  <c r="A1215"/>
  <c r="B1215"/>
  <c r="C1215"/>
  <c r="D1215"/>
  <c r="E1215"/>
  <c r="A1216"/>
  <c r="B1216"/>
  <c r="C1216"/>
  <c r="D1216"/>
  <c r="E1216"/>
  <c r="A1217"/>
  <c r="B1217"/>
  <c r="C1217"/>
  <c r="D1217"/>
  <c r="E1217"/>
  <c r="A1218"/>
  <c r="B1218"/>
  <c r="C1218"/>
  <c r="D1218"/>
  <c r="E1218"/>
  <c r="A1219"/>
  <c r="B1219"/>
  <c r="C1219"/>
  <c r="D1219"/>
  <c r="E1219"/>
  <c r="A1220"/>
  <c r="B1220"/>
  <c r="C1220"/>
  <c r="D1220"/>
  <c r="E1220"/>
  <c r="A1221"/>
  <c r="B1221"/>
  <c r="C1221"/>
  <c r="D1221"/>
  <c r="E1221"/>
  <c r="A1222"/>
  <c r="B1222"/>
  <c r="C1222"/>
  <c r="D1222"/>
  <c r="E1222"/>
  <c r="A1223"/>
  <c r="B1223"/>
  <c r="C1223"/>
  <c r="D1223"/>
  <c r="E1223"/>
  <c r="A1224"/>
  <c r="B1224"/>
  <c r="C1224"/>
  <c r="D1224"/>
  <c r="E1224"/>
  <c r="A1225"/>
  <c r="B1225"/>
  <c r="C1225"/>
  <c r="D1225"/>
  <c r="E1225"/>
  <c r="A1226"/>
  <c r="B1226"/>
  <c r="C1226"/>
  <c r="D1226"/>
  <c r="E1226"/>
  <c r="A1227"/>
  <c r="B1227"/>
  <c r="C1227"/>
  <c r="D1227"/>
  <c r="E1227"/>
  <c r="A1228"/>
  <c r="B1228"/>
  <c r="C1228"/>
  <c r="D1228"/>
  <c r="E1228"/>
  <c r="A1229"/>
  <c r="B1229"/>
  <c r="C1229"/>
  <c r="D1229"/>
  <c r="E1229"/>
  <c r="A1230"/>
  <c r="B1230"/>
  <c r="C1230"/>
  <c r="D1230"/>
  <c r="E1230"/>
  <c r="A1231"/>
  <c r="B1231"/>
  <c r="C1231"/>
  <c r="D1231"/>
  <c r="E1231"/>
  <c r="A1232"/>
  <c r="B1232"/>
  <c r="C1232"/>
  <c r="D1232"/>
  <c r="E1232"/>
  <c r="A1233"/>
  <c r="B1233"/>
  <c r="C1233"/>
  <c r="D1233"/>
  <c r="E1233"/>
  <c r="A1234"/>
  <c r="B1234"/>
  <c r="C1234"/>
  <c r="D1234"/>
  <c r="E1234"/>
  <c r="A1235"/>
  <c r="B1235"/>
  <c r="C1235"/>
  <c r="D1235"/>
  <c r="E1235"/>
  <c r="A1236"/>
  <c r="B1236"/>
  <c r="C1236"/>
  <c r="D1236"/>
  <c r="E1236"/>
  <c r="A1237"/>
  <c r="B1237"/>
  <c r="C1237"/>
  <c r="D1237"/>
  <c r="E1237"/>
  <c r="A1238"/>
  <c r="B1238"/>
  <c r="C1238"/>
  <c r="D1238"/>
  <c r="E1238"/>
  <c r="A1239"/>
  <c r="B1239"/>
  <c r="C1239"/>
  <c r="D1239"/>
  <c r="E1239"/>
  <c r="A1240"/>
  <c r="B1240"/>
  <c r="C1240"/>
  <c r="D1240"/>
  <c r="E1240"/>
  <c r="A1241"/>
  <c r="B1241"/>
  <c r="C1241"/>
  <c r="D1241"/>
  <c r="E1241"/>
  <c r="A1242"/>
  <c r="B1242"/>
  <c r="C1242"/>
  <c r="D1242"/>
  <c r="E1242"/>
  <c r="A1243"/>
  <c r="B1243"/>
  <c r="C1243"/>
  <c r="D1243"/>
  <c r="E1243"/>
  <c r="A1244"/>
  <c r="B1244"/>
  <c r="C1244"/>
  <c r="D1244"/>
  <c r="E1244"/>
  <c r="A1245"/>
  <c r="B1245"/>
  <c r="C1245"/>
  <c r="D1245"/>
  <c r="E1245"/>
  <c r="A1246"/>
  <c r="B1246"/>
  <c r="C1246"/>
  <c r="D1246"/>
  <c r="E1246"/>
  <c r="A1247"/>
  <c r="B1247"/>
  <c r="C1247"/>
  <c r="D1247"/>
  <c r="E1247"/>
  <c r="A1248"/>
  <c r="B1248"/>
  <c r="C1248"/>
  <c r="D1248"/>
  <c r="E1248"/>
  <c r="A1249"/>
  <c r="B1249"/>
  <c r="C1249"/>
  <c r="D1249"/>
  <c r="E1249"/>
  <c r="A1250"/>
  <c r="B1250"/>
  <c r="C1250"/>
  <c r="D1250"/>
  <c r="E1250"/>
  <c r="A1251"/>
  <c r="B1251"/>
  <c r="C1251"/>
  <c r="D1251"/>
  <c r="E1251"/>
  <c r="A1252"/>
  <c r="B1252"/>
  <c r="C1252"/>
  <c r="D1252"/>
  <c r="E1252"/>
  <c r="A1253"/>
  <c r="B1253"/>
  <c r="C1253"/>
  <c r="D1253"/>
  <c r="E1253"/>
  <c r="A1254"/>
  <c r="B1254"/>
  <c r="C1254"/>
  <c r="D1254"/>
  <c r="E1254"/>
  <c r="A1255"/>
  <c r="B1255"/>
  <c r="C1255"/>
  <c r="D1255"/>
  <c r="E1255"/>
  <c r="A1256"/>
  <c r="B1256"/>
  <c r="C1256"/>
  <c r="D1256"/>
  <c r="E1256"/>
  <c r="A1257"/>
  <c r="B1257"/>
  <c r="C1257"/>
  <c r="D1257"/>
  <c r="E1257"/>
  <c r="A1258"/>
  <c r="B1258"/>
  <c r="C1258"/>
  <c r="D1258"/>
  <c r="E1258"/>
  <c r="A1259"/>
  <c r="B1259"/>
  <c r="C1259"/>
  <c r="D1259"/>
  <c r="E1259"/>
  <c r="A1260"/>
  <c r="B1260"/>
  <c r="C1260"/>
  <c r="D1260"/>
  <c r="E1260"/>
  <c r="A1261"/>
  <c r="B1261"/>
  <c r="C1261"/>
  <c r="D1261"/>
  <c r="E1261"/>
  <c r="A1262"/>
  <c r="B1262"/>
  <c r="C1262"/>
  <c r="D1262"/>
  <c r="E1262"/>
  <c r="C999" i="55"/>
  <c r="T455"/>
  <c r="F1440" i="68" l="1"/>
  <c r="F1439"/>
  <c r="F1438"/>
  <c r="F1437"/>
  <c r="F1436"/>
  <c r="F1435"/>
  <c r="F1434"/>
  <c r="F1433"/>
  <c r="F1432"/>
  <c r="F1431"/>
  <c r="F1430"/>
  <c r="F1429"/>
  <c r="F1428"/>
  <c r="F1427"/>
  <c r="F1426"/>
  <c r="F1425"/>
  <c r="F1424"/>
  <c r="F1423"/>
  <c r="F1422"/>
  <c r="F1421"/>
  <c r="F1420"/>
  <c r="F1419"/>
  <c r="F1418"/>
  <c r="F1417"/>
  <c r="F1416"/>
  <c r="A1263"/>
  <c r="B1263"/>
  <c r="C1263"/>
  <c r="D1263"/>
  <c r="E1263"/>
  <c r="A1264"/>
  <c r="B1264"/>
  <c r="C1264"/>
  <c r="D1264"/>
  <c r="E1264"/>
  <c r="A1265"/>
  <c r="B1265"/>
  <c r="C1265"/>
  <c r="D1265"/>
  <c r="E1265"/>
  <c r="A1266"/>
  <c r="B1266"/>
  <c r="C1266"/>
  <c r="D1266"/>
  <c r="E1266"/>
  <c r="A1267"/>
  <c r="B1267"/>
  <c r="C1267"/>
  <c r="D1267"/>
  <c r="E1267"/>
  <c r="A1268"/>
  <c r="B1268"/>
  <c r="C1268"/>
  <c r="D1268"/>
  <c r="E1268"/>
  <c r="A1269"/>
  <c r="B1269"/>
  <c r="C1269"/>
  <c r="D1269"/>
  <c r="E1269"/>
  <c r="A1270"/>
  <c r="B1270"/>
  <c r="C1270"/>
  <c r="D1270"/>
  <c r="E1270"/>
  <c r="A1271"/>
  <c r="B1271"/>
  <c r="C1271"/>
  <c r="D1271"/>
  <c r="E1271"/>
  <c r="A1272"/>
  <c r="B1272"/>
  <c r="C1272"/>
  <c r="D1272"/>
  <c r="E1272"/>
  <c r="A1273"/>
  <c r="B1273"/>
  <c r="C1273"/>
  <c r="D1273"/>
  <c r="E1273"/>
  <c r="A1274"/>
  <c r="B1274"/>
  <c r="C1274"/>
  <c r="D1274"/>
  <c r="E1274"/>
  <c r="A1275"/>
  <c r="B1275"/>
  <c r="C1275"/>
  <c r="D1275"/>
  <c r="E1275"/>
  <c r="A1276"/>
  <c r="B1276"/>
  <c r="C1276"/>
  <c r="D1276"/>
  <c r="E1276"/>
  <c r="A1277"/>
  <c r="B1277"/>
  <c r="C1277"/>
  <c r="D1277"/>
  <c r="E1277"/>
  <c r="A1278"/>
  <c r="B1278"/>
  <c r="C1278"/>
  <c r="D1278"/>
  <c r="E1278"/>
  <c r="A1279"/>
  <c r="B1279"/>
  <c r="C1279"/>
  <c r="D1279"/>
  <c r="E1279"/>
  <c r="A1280"/>
  <c r="B1280"/>
  <c r="C1280"/>
  <c r="D1280"/>
  <c r="E1280"/>
  <c r="A1281"/>
  <c r="B1281"/>
  <c r="C1281"/>
  <c r="D1281"/>
  <c r="E1281"/>
  <c r="A1282"/>
  <c r="B1282"/>
  <c r="C1282"/>
  <c r="D1282"/>
  <c r="E1282"/>
  <c r="A1283"/>
  <c r="B1283"/>
  <c r="C1283"/>
  <c r="D1283"/>
  <c r="E1283"/>
  <c r="A1284"/>
  <c r="B1284"/>
  <c r="C1284"/>
  <c r="D1284"/>
  <c r="E1284"/>
  <c r="A1285"/>
  <c r="B1285"/>
  <c r="C1285"/>
  <c r="D1285"/>
  <c r="E1285"/>
  <c r="A1286"/>
  <c r="B1286"/>
  <c r="C1286"/>
  <c r="D1286"/>
  <c r="E1286"/>
  <c r="A1287"/>
  <c r="B1287"/>
  <c r="C1287"/>
  <c r="D1287"/>
  <c r="E1287"/>
  <c r="A1288"/>
  <c r="B1288"/>
  <c r="C1288"/>
  <c r="D1288"/>
  <c r="E1288"/>
  <c r="A1289"/>
  <c r="B1289"/>
  <c r="C1289"/>
  <c r="D1289"/>
  <c r="E1289"/>
  <c r="A1290"/>
  <c r="B1290"/>
  <c r="C1290"/>
  <c r="D1290"/>
  <c r="E1290"/>
  <c r="A1291"/>
  <c r="B1291"/>
  <c r="C1291"/>
  <c r="D1291"/>
  <c r="E1291"/>
  <c r="A1292"/>
  <c r="B1292"/>
  <c r="C1292"/>
  <c r="D1292"/>
  <c r="E1292"/>
  <c r="A1293"/>
  <c r="B1293"/>
  <c r="C1293"/>
  <c r="D1293"/>
  <c r="E1293"/>
  <c r="A1294"/>
  <c r="B1294"/>
  <c r="C1294"/>
  <c r="D1294"/>
  <c r="E1294"/>
  <c r="A1295"/>
  <c r="B1295"/>
  <c r="C1295"/>
  <c r="D1295"/>
  <c r="E1295"/>
  <c r="A1296"/>
  <c r="B1296"/>
  <c r="C1296"/>
  <c r="D1296"/>
  <c r="E1296"/>
  <c r="A1297"/>
  <c r="B1297"/>
  <c r="C1297"/>
  <c r="D1297"/>
  <c r="E1297"/>
  <c r="A1298"/>
  <c r="B1298"/>
  <c r="C1298"/>
  <c r="D1298"/>
  <c r="E1298"/>
  <c r="A1299"/>
  <c r="B1299"/>
  <c r="C1299"/>
  <c r="D1299"/>
  <c r="E1299"/>
  <c r="D6"/>
  <c r="B6"/>
  <c r="A73" i="50"/>
  <c r="O1074" i="55"/>
  <c r="P1074" s="1"/>
  <c r="O1073"/>
  <c r="P1073" s="1"/>
  <c r="O1072"/>
  <c r="P1072" s="1"/>
  <c r="O1071"/>
  <c r="P1071" s="1"/>
  <c r="O1070"/>
  <c r="P1070" s="1"/>
  <c r="O1069"/>
  <c r="P1069" s="1"/>
  <c r="O1068"/>
  <c r="P1068" s="1"/>
  <c r="O1067"/>
  <c r="P1067" s="1"/>
  <c r="O1066"/>
  <c r="P1066" s="1"/>
  <c r="O1065"/>
  <c r="P1065" s="1"/>
  <c r="O1064"/>
  <c r="P1064" s="1"/>
  <c r="O1063"/>
  <c r="P1063" s="1"/>
  <c r="O1062"/>
  <c r="P1062" s="1"/>
  <c r="O1061"/>
  <c r="P1061" s="1"/>
  <c r="O1060"/>
  <c r="P1060" s="1"/>
  <c r="O1059"/>
  <c r="P1059" s="1"/>
  <c r="O1058"/>
  <c r="P1058" s="1"/>
  <c r="O1057"/>
  <c r="P1057" s="1"/>
  <c r="O1056"/>
  <c r="P1056" s="1"/>
  <c r="O1055"/>
  <c r="P1055" s="1"/>
  <c r="O1054"/>
  <c r="P1054" s="1"/>
  <c r="O1053"/>
  <c r="P1053" s="1"/>
  <c r="O1052"/>
  <c r="O1051"/>
  <c r="O1050"/>
  <c r="O1049"/>
  <c r="O1048"/>
  <c r="O1047"/>
  <c r="O1046"/>
  <c r="O1045"/>
  <c r="O1044"/>
  <c r="O1043"/>
  <c r="O1042"/>
  <c r="O1041"/>
  <c r="O1040"/>
  <c r="O1039"/>
  <c r="O1038"/>
  <c r="O1037"/>
  <c r="O1036"/>
  <c r="O1035"/>
  <c r="O1034"/>
  <c r="O1033"/>
  <c r="O1032"/>
  <c r="O1031"/>
  <c r="O1030"/>
  <c r="O1029"/>
  <c r="O1028"/>
  <c r="O1027"/>
  <c r="O1026"/>
  <c r="O1025"/>
  <c r="O1024"/>
  <c r="O1023"/>
  <c r="O1022"/>
  <c r="O1021"/>
  <c r="O1020"/>
  <c r="O1019"/>
  <c r="O1018"/>
  <c r="O1017"/>
  <c r="O1016"/>
  <c r="O1015"/>
  <c r="O1014"/>
  <c r="O1013"/>
  <c r="O1012"/>
  <c r="O1011"/>
  <c r="O1010"/>
  <c r="O1009"/>
  <c r="O1008"/>
  <c r="O1007"/>
  <c r="O1006"/>
  <c r="O1005"/>
  <c r="O1004"/>
  <c r="O1003"/>
  <c r="O1002"/>
  <c r="O1001"/>
  <c r="O1000"/>
  <c r="O999"/>
  <c r="O998"/>
  <c r="O997"/>
  <c r="O996"/>
  <c r="O995"/>
  <c r="O994"/>
  <c r="O993"/>
  <c r="O992"/>
  <c r="O991"/>
  <c r="O990"/>
  <c r="O989"/>
  <c r="O988"/>
  <c r="O987"/>
  <c r="O986"/>
  <c r="O985"/>
  <c r="O984"/>
  <c r="O983"/>
  <c r="O982"/>
  <c r="P982" s="1"/>
  <c r="O981"/>
  <c r="P981" s="1"/>
  <c r="O980"/>
  <c r="P980" s="1"/>
  <c r="O979"/>
  <c r="P979" s="1"/>
  <c r="O978"/>
  <c r="P978" s="1"/>
  <c r="O977"/>
  <c r="P977" s="1"/>
  <c r="O976"/>
  <c r="P976" s="1"/>
  <c r="O975"/>
  <c r="P975" s="1"/>
  <c r="O974"/>
  <c r="P974" s="1"/>
  <c r="O973"/>
  <c r="P973" s="1"/>
  <c r="O972"/>
  <c r="P972" s="1"/>
  <c r="O971"/>
  <c r="P971" s="1"/>
  <c r="O970"/>
  <c r="P970" s="1"/>
  <c r="O969"/>
  <c r="P969" s="1"/>
  <c r="O968"/>
  <c r="P968" s="1"/>
  <c r="O967"/>
  <c r="P967" s="1"/>
  <c r="O966"/>
  <c r="P966" s="1"/>
  <c r="O965"/>
  <c r="P965" s="1"/>
  <c r="O964"/>
  <c r="P964" s="1"/>
  <c r="O963"/>
  <c r="P963" s="1"/>
  <c r="O962"/>
  <c r="P962" s="1"/>
  <c r="O961"/>
  <c r="P961" s="1"/>
  <c r="O960"/>
  <c r="P960" s="1"/>
  <c r="O959"/>
  <c r="P959" s="1"/>
  <c r="O958"/>
  <c r="P958" s="1"/>
  <c r="O957"/>
  <c r="P957" s="1"/>
  <c r="O956"/>
  <c r="P956" s="1"/>
  <c r="O955"/>
  <c r="P955" s="1"/>
  <c r="O954"/>
  <c r="P954" s="1"/>
  <c r="O953"/>
  <c r="P953" s="1"/>
  <c r="O952"/>
  <c r="P952" s="1"/>
  <c r="O951"/>
  <c r="P951" s="1"/>
  <c r="O950"/>
  <c r="P950" s="1"/>
  <c r="O949"/>
  <c r="P949" s="1"/>
  <c r="O948"/>
  <c r="P948" s="1"/>
  <c r="O947"/>
  <c r="P947" s="1"/>
  <c r="O946"/>
  <c r="P946" s="1"/>
  <c r="O945"/>
  <c r="P945" s="1"/>
  <c r="O944"/>
  <c r="P944" s="1"/>
  <c r="O943"/>
  <c r="P943" s="1"/>
  <c r="O942"/>
  <c r="P942" s="1"/>
  <c r="O941"/>
  <c r="P941" s="1"/>
  <c r="O940"/>
  <c r="P940" s="1"/>
  <c r="O939"/>
  <c r="P939" s="1"/>
  <c r="O938"/>
  <c r="P938" s="1"/>
  <c r="O937"/>
  <c r="P937" s="1"/>
  <c r="O936"/>
  <c r="P936" s="1"/>
  <c r="O935"/>
  <c r="P935" s="1"/>
  <c r="O934"/>
  <c r="P934" s="1"/>
  <c r="O933"/>
  <c r="P933" s="1"/>
  <c r="O932"/>
  <c r="P932" s="1"/>
  <c r="O931"/>
  <c r="P931" s="1"/>
  <c r="O930"/>
  <c r="P930" s="1"/>
  <c r="O929"/>
  <c r="P929" s="1"/>
  <c r="O928"/>
  <c r="P928" s="1"/>
  <c r="O927"/>
  <c r="P927" s="1"/>
  <c r="O926"/>
  <c r="P926" s="1"/>
  <c r="O925"/>
  <c r="P925" s="1"/>
  <c r="O924"/>
  <c r="P924" s="1"/>
  <c r="O923"/>
  <c r="P923" s="1"/>
  <c r="O922"/>
  <c r="O921"/>
  <c r="P921" s="1"/>
  <c r="O920"/>
  <c r="P920" s="1"/>
  <c r="O919"/>
  <c r="P919" s="1"/>
  <c r="O918"/>
  <c r="P918" s="1"/>
  <c r="O917"/>
  <c r="P917" s="1"/>
  <c r="O916"/>
  <c r="P916" s="1"/>
  <c r="O915"/>
  <c r="P915" s="1"/>
  <c r="O914"/>
  <c r="P914" s="1"/>
  <c r="O913"/>
  <c r="P913" s="1"/>
  <c r="O912"/>
  <c r="P912" s="1"/>
  <c r="O911"/>
  <c r="P911" s="1"/>
  <c r="O910"/>
  <c r="P910" s="1"/>
  <c r="O909"/>
  <c r="P909" s="1"/>
  <c r="O908"/>
  <c r="P908" s="1"/>
  <c r="O907"/>
  <c r="P907" s="1"/>
  <c r="O906"/>
  <c r="P906" s="1"/>
  <c r="O905"/>
  <c r="P905" s="1"/>
  <c r="O904"/>
  <c r="P904" s="1"/>
  <c r="O903"/>
  <c r="P903" s="1"/>
  <c r="O902"/>
  <c r="P902" s="1"/>
  <c r="O901"/>
  <c r="P901" s="1"/>
  <c r="O900"/>
  <c r="P900" s="1"/>
  <c r="O899"/>
  <c r="P899" s="1"/>
  <c r="O898"/>
  <c r="P898" s="1"/>
  <c r="O897"/>
  <c r="P897" s="1"/>
  <c r="O896"/>
  <c r="P896" s="1"/>
  <c r="O895"/>
  <c r="P895" s="1"/>
  <c r="O894"/>
  <c r="P894" s="1"/>
  <c r="O893"/>
  <c r="P893" s="1"/>
  <c r="O892"/>
  <c r="P892" s="1"/>
  <c r="O891"/>
  <c r="P891" s="1"/>
  <c r="O890"/>
  <c r="P890" s="1"/>
  <c r="O889"/>
  <c r="P889" s="1"/>
  <c r="O888"/>
  <c r="P888" s="1"/>
  <c r="O887"/>
  <c r="P887" s="1"/>
  <c r="O886"/>
  <c r="P886" s="1"/>
  <c r="O885"/>
  <c r="P885" s="1"/>
  <c r="O884"/>
  <c r="P884" s="1"/>
  <c r="O883"/>
  <c r="P883" s="1"/>
  <c r="O882"/>
  <c r="P882" s="1"/>
  <c r="O881"/>
  <c r="P881" s="1"/>
  <c r="O880"/>
  <c r="P880" s="1"/>
  <c r="O879"/>
  <c r="P879" s="1"/>
  <c r="O878"/>
  <c r="P878" s="1"/>
  <c r="O877"/>
  <c r="P877" s="1"/>
  <c r="O876"/>
  <c r="P876" s="1"/>
  <c r="O875"/>
  <c r="O874"/>
  <c r="O873"/>
  <c r="P873" s="1"/>
  <c r="O872"/>
  <c r="P872" s="1"/>
  <c r="O871"/>
  <c r="P871" s="1"/>
  <c r="O870"/>
  <c r="P870" s="1"/>
  <c r="O869"/>
  <c r="P869" s="1"/>
  <c r="O868"/>
  <c r="P868" s="1"/>
  <c r="O867"/>
  <c r="P867" s="1"/>
  <c r="O866"/>
  <c r="P866" s="1"/>
  <c r="O865"/>
  <c r="P865" s="1"/>
  <c r="O864"/>
  <c r="P864" s="1"/>
  <c r="O863"/>
  <c r="O862"/>
  <c r="O861"/>
  <c r="O860"/>
  <c r="P860" s="1"/>
  <c r="O859"/>
  <c r="P859" s="1"/>
  <c r="O858"/>
  <c r="P858" s="1"/>
  <c r="O857"/>
  <c r="P857" s="1"/>
  <c r="O856"/>
  <c r="P856" s="1"/>
  <c r="O855"/>
  <c r="P855" s="1"/>
  <c r="O854"/>
  <c r="P854" s="1"/>
  <c r="O853"/>
  <c r="P853" s="1"/>
  <c r="O852"/>
  <c r="P852" s="1"/>
  <c r="O851"/>
  <c r="P851" s="1"/>
  <c r="O850"/>
  <c r="P850" s="1"/>
  <c r="O849"/>
  <c r="P849" s="1"/>
  <c r="O848"/>
  <c r="P848" s="1"/>
  <c r="O847"/>
  <c r="P847" s="1"/>
  <c r="O846"/>
  <c r="P846" s="1"/>
  <c r="O845"/>
  <c r="P845" s="1"/>
  <c r="O844"/>
  <c r="P844" s="1"/>
  <c r="O843"/>
  <c r="P843" s="1"/>
  <c r="O842"/>
  <c r="P842" s="1"/>
  <c r="O841"/>
  <c r="P841" s="1"/>
  <c r="O840"/>
  <c r="P840" s="1"/>
  <c r="O839"/>
  <c r="P839" s="1"/>
  <c r="O838"/>
  <c r="P838" s="1"/>
  <c r="O837"/>
  <c r="P837" s="1"/>
  <c r="O836"/>
  <c r="P836" s="1"/>
  <c r="O835"/>
  <c r="P835" s="1"/>
  <c r="O834"/>
  <c r="P834" s="1"/>
  <c r="O833"/>
  <c r="P833" s="1"/>
  <c r="O832"/>
  <c r="P832" s="1"/>
  <c r="O831"/>
  <c r="O830"/>
  <c r="P830" s="1"/>
  <c r="O829"/>
  <c r="O828"/>
  <c r="P828" s="1"/>
  <c r="O827"/>
  <c r="O826"/>
  <c r="P826" s="1"/>
  <c r="O825"/>
  <c r="O824"/>
  <c r="P824" s="1"/>
  <c r="O823"/>
  <c r="O822"/>
  <c r="P822" s="1"/>
  <c r="O821"/>
  <c r="O820"/>
  <c r="P820" s="1"/>
  <c r="O819"/>
  <c r="O818"/>
  <c r="O817"/>
  <c r="O816"/>
  <c r="O815"/>
  <c r="O814"/>
  <c r="O813"/>
  <c r="O812"/>
  <c r="O811"/>
  <c r="O810"/>
  <c r="O809"/>
  <c r="O808"/>
  <c r="O807"/>
  <c r="O806"/>
  <c r="O805"/>
  <c r="O804"/>
  <c r="O803"/>
  <c r="O802"/>
  <c r="O801"/>
  <c r="O800"/>
  <c r="O799"/>
  <c r="O798"/>
  <c r="O797"/>
  <c r="O796"/>
  <c r="O795"/>
  <c r="O794"/>
  <c r="O793"/>
  <c r="O792"/>
  <c r="O791"/>
  <c r="O790"/>
  <c r="O789"/>
  <c r="O788"/>
  <c r="O787"/>
  <c r="O786"/>
  <c r="O785"/>
  <c r="O784"/>
  <c r="O783"/>
  <c r="O782"/>
  <c r="O781"/>
  <c r="O780"/>
  <c r="O779"/>
  <c r="O778"/>
  <c r="O777"/>
  <c r="O776"/>
  <c r="O775"/>
  <c r="O774"/>
  <c r="O773"/>
  <c r="O772"/>
  <c r="O771"/>
  <c r="O770"/>
  <c r="O769"/>
  <c r="O768"/>
  <c r="O767"/>
  <c r="O766"/>
  <c r="O765"/>
  <c r="O764"/>
  <c r="O763"/>
  <c r="O762"/>
  <c r="O761"/>
  <c r="O760"/>
  <c r="O759"/>
  <c r="O758"/>
  <c r="O757"/>
  <c r="O756"/>
  <c r="O755"/>
  <c r="O754"/>
  <c r="O753"/>
  <c r="O752"/>
  <c r="O751"/>
  <c r="O750"/>
  <c r="O749"/>
  <c r="O748"/>
  <c r="O747"/>
  <c r="O746"/>
  <c r="O745"/>
  <c r="O744"/>
  <c r="O743"/>
  <c r="O742"/>
  <c r="O741"/>
  <c r="O740"/>
  <c r="O739"/>
  <c r="O738"/>
  <c r="O737"/>
  <c r="O736"/>
  <c r="O735"/>
  <c r="O734"/>
  <c r="O733"/>
  <c r="O732"/>
  <c r="O731"/>
  <c r="O730"/>
  <c r="O729"/>
  <c r="O728"/>
  <c r="O727"/>
  <c r="O726"/>
  <c r="O725"/>
  <c r="O724"/>
  <c r="O723"/>
  <c r="O722"/>
  <c r="O721"/>
  <c r="O720"/>
  <c r="O719"/>
  <c r="O718"/>
  <c r="O717"/>
  <c r="O716"/>
  <c r="O715"/>
  <c r="O714"/>
  <c r="O713"/>
  <c r="O712"/>
  <c r="O711"/>
  <c r="O710"/>
  <c r="O709"/>
  <c r="O708"/>
  <c r="O707"/>
  <c r="O706"/>
  <c r="O705"/>
  <c r="O704"/>
  <c r="O703"/>
  <c r="O702"/>
  <c r="O701"/>
  <c r="O700"/>
  <c r="O699"/>
  <c r="O698"/>
  <c r="O697"/>
  <c r="O696"/>
  <c r="O695"/>
  <c r="O694"/>
  <c r="O693"/>
  <c r="O692"/>
  <c r="O691"/>
  <c r="O690"/>
  <c r="O689"/>
  <c r="O688"/>
  <c r="O687"/>
  <c r="O686"/>
  <c r="O685"/>
  <c r="O684"/>
  <c r="O683"/>
  <c r="O682"/>
  <c r="O681"/>
  <c r="O680"/>
  <c r="O679"/>
  <c r="O678"/>
  <c r="O677"/>
  <c r="O676"/>
  <c r="O675"/>
  <c r="O674"/>
  <c r="O673"/>
  <c r="O672"/>
  <c r="O671"/>
  <c r="O670"/>
  <c r="O669"/>
  <c r="O668"/>
  <c r="O667"/>
  <c r="O666"/>
  <c r="O665"/>
  <c r="O664"/>
  <c r="O663"/>
  <c r="O662"/>
  <c r="O661"/>
  <c r="O660"/>
  <c r="O659"/>
  <c r="O658"/>
  <c r="O657"/>
  <c r="O656"/>
  <c r="O655"/>
  <c r="O654"/>
  <c r="O653"/>
  <c r="O652"/>
  <c r="O651"/>
  <c r="O650"/>
  <c r="O649"/>
  <c r="O648"/>
  <c r="O647"/>
  <c r="O646"/>
  <c r="O645"/>
  <c r="O644"/>
  <c r="O643"/>
  <c r="O642"/>
  <c r="O641"/>
  <c r="O640"/>
  <c r="O639"/>
  <c r="O638"/>
  <c r="O637"/>
  <c r="O636"/>
  <c r="O635"/>
  <c r="O634"/>
  <c r="O633"/>
  <c r="O632"/>
  <c r="O631"/>
  <c r="O630"/>
  <c r="O629"/>
  <c r="O628"/>
  <c r="O627"/>
  <c r="O626"/>
  <c r="O625"/>
  <c r="O624"/>
  <c r="O623"/>
  <c r="O622"/>
  <c r="O621"/>
  <c r="O620"/>
  <c r="O619"/>
  <c r="O618"/>
  <c r="O617"/>
  <c r="O616"/>
  <c r="O615"/>
  <c r="O614"/>
  <c r="O613"/>
  <c r="O612"/>
  <c r="O611"/>
  <c r="O610"/>
  <c r="O609"/>
  <c r="O608"/>
  <c r="O607"/>
  <c r="O606"/>
  <c r="O605"/>
  <c r="O604"/>
  <c r="O603"/>
  <c r="O602"/>
  <c r="O601"/>
  <c r="Q601" s="1"/>
  <c r="R601" s="1"/>
  <c r="O600"/>
  <c r="Q600" s="1"/>
  <c r="R600" s="1"/>
  <c r="O599"/>
  <c r="Q599" s="1"/>
  <c r="R599" s="1"/>
  <c r="O598"/>
  <c r="Q598" s="1"/>
  <c r="R598" s="1"/>
  <c r="O597"/>
  <c r="Q597" s="1"/>
  <c r="R597" s="1"/>
  <c r="O596"/>
  <c r="Q596" s="1"/>
  <c r="R596" s="1"/>
  <c r="O595"/>
  <c r="P594"/>
  <c r="O594"/>
  <c r="Q594" s="1"/>
  <c r="R594" s="1"/>
  <c r="O593"/>
  <c r="Q593" s="1"/>
  <c r="O592"/>
  <c r="Q592" s="1"/>
  <c r="R592" s="1"/>
  <c r="O591"/>
  <c r="O590"/>
  <c r="Q590" s="1"/>
  <c r="R590" s="1"/>
  <c r="O589"/>
  <c r="Q589" s="1"/>
  <c r="R589" s="1"/>
  <c r="O588"/>
  <c r="Q588" s="1"/>
  <c r="R588" s="1"/>
  <c r="O587"/>
  <c r="Q587" s="1"/>
  <c r="R587" s="1"/>
  <c r="O586"/>
  <c r="Q586" s="1"/>
  <c r="R586" s="1"/>
  <c r="O585"/>
  <c r="Q585" s="1"/>
  <c r="R585" s="1"/>
  <c r="O584"/>
  <c r="Q584" s="1"/>
  <c r="R584" s="1"/>
  <c r="O583"/>
  <c r="Q583" s="1"/>
  <c r="R583" s="1"/>
  <c r="O582"/>
  <c r="Q582" s="1"/>
  <c r="R582" s="1"/>
  <c r="O581"/>
  <c r="Q581" s="1"/>
  <c r="R581" s="1"/>
  <c r="O580"/>
  <c r="Q580" s="1"/>
  <c r="R580" s="1"/>
  <c r="O579"/>
  <c r="Q579" s="1"/>
  <c r="R579" s="1"/>
  <c r="O578"/>
  <c r="Q578" s="1"/>
  <c r="R578" s="1"/>
  <c r="O577"/>
  <c r="Q577" s="1"/>
  <c r="R577" s="1"/>
  <c r="O576"/>
  <c r="Q576" s="1"/>
  <c r="R576" s="1"/>
  <c r="O575"/>
  <c r="Q575" s="1"/>
  <c r="R575" s="1"/>
  <c r="O574"/>
  <c r="Q574" s="1"/>
  <c r="R574" s="1"/>
  <c r="O573"/>
  <c r="Q573" s="1"/>
  <c r="R573" s="1"/>
  <c r="O572"/>
  <c r="Q572" s="1"/>
  <c r="R572" s="1"/>
  <c r="O571"/>
  <c r="Q571" s="1"/>
  <c r="R571" s="1"/>
  <c r="O570"/>
  <c r="Q570" s="1"/>
  <c r="R570" s="1"/>
  <c r="O569"/>
  <c r="Q569" s="1"/>
  <c r="R569" s="1"/>
  <c r="O568"/>
  <c r="Q568" s="1"/>
  <c r="R568" s="1"/>
  <c r="O567"/>
  <c r="Q567" s="1"/>
  <c r="R567" s="1"/>
  <c r="O566"/>
  <c r="Q566" s="1"/>
  <c r="R566" s="1"/>
  <c r="O565"/>
  <c r="Q565" s="1"/>
  <c r="R565" s="1"/>
  <c r="O564"/>
  <c r="Q564" s="1"/>
  <c r="R564" s="1"/>
  <c r="O563"/>
  <c r="Q563" s="1"/>
  <c r="R563" s="1"/>
  <c r="O562"/>
  <c r="Q562" s="1"/>
  <c r="R562" s="1"/>
  <c r="O561"/>
  <c r="P561" s="1"/>
  <c r="O560"/>
  <c r="Q560" s="1"/>
  <c r="R560" s="1"/>
  <c r="O559"/>
  <c r="P559" s="1"/>
  <c r="O558"/>
  <c r="P558" s="1"/>
  <c r="O557"/>
  <c r="P557" s="1"/>
  <c r="O556"/>
  <c r="Q556" s="1"/>
  <c r="R556" s="1"/>
  <c r="O555"/>
  <c r="P555" s="1"/>
  <c r="O554"/>
  <c r="P554" s="1"/>
  <c r="O553"/>
  <c r="P553" s="1"/>
  <c r="O552"/>
  <c r="Q552" s="1"/>
  <c r="R552" s="1"/>
  <c r="O551"/>
  <c r="P551" s="1"/>
  <c r="P550"/>
  <c r="O550"/>
  <c r="Q550" s="1"/>
  <c r="R550" s="1"/>
  <c r="O549"/>
  <c r="P549" s="1"/>
  <c r="O548"/>
  <c r="Q548" s="1"/>
  <c r="R548" s="1"/>
  <c r="O547"/>
  <c r="P547" s="1"/>
  <c r="O546"/>
  <c r="P546" s="1"/>
  <c r="Q545"/>
  <c r="R545" s="1"/>
  <c r="O545"/>
  <c r="P545" s="1"/>
  <c r="O544"/>
  <c r="Q544" s="1"/>
  <c r="R544" s="1"/>
  <c r="O543"/>
  <c r="P543" s="1"/>
  <c r="O542"/>
  <c r="P542" s="1"/>
  <c r="O541"/>
  <c r="P541" s="1"/>
  <c r="O540"/>
  <c r="Q540" s="1"/>
  <c r="R540" s="1"/>
  <c r="O539"/>
  <c r="P539" s="1"/>
  <c r="O538"/>
  <c r="P538" s="1"/>
  <c r="O537"/>
  <c r="P537" s="1"/>
  <c r="O536"/>
  <c r="Q536" s="1"/>
  <c r="R536" s="1"/>
  <c r="O535"/>
  <c r="P535" s="1"/>
  <c r="O534"/>
  <c r="P534" s="1"/>
  <c r="O533"/>
  <c r="P533" s="1"/>
  <c r="O532"/>
  <c r="Q532" s="1"/>
  <c r="R532" s="1"/>
  <c r="O531"/>
  <c r="P531" s="1"/>
  <c r="O530"/>
  <c r="P530" s="1"/>
  <c r="O529"/>
  <c r="P529" s="1"/>
  <c r="O528"/>
  <c r="Q528" s="1"/>
  <c r="R528" s="1"/>
  <c r="O527"/>
  <c r="P527" s="1"/>
  <c r="O526"/>
  <c r="P526" s="1"/>
  <c r="O525"/>
  <c r="P525" s="1"/>
  <c r="O524"/>
  <c r="Q524" s="1"/>
  <c r="R524" s="1"/>
  <c r="O523"/>
  <c r="P523" s="1"/>
  <c r="O522"/>
  <c r="P522" s="1"/>
  <c r="O521"/>
  <c r="P521" s="1"/>
  <c r="O520"/>
  <c r="Q520" s="1"/>
  <c r="R520" s="1"/>
  <c r="O519"/>
  <c r="P519" s="1"/>
  <c r="O518"/>
  <c r="Q518" s="1"/>
  <c r="R518" s="1"/>
  <c r="O517"/>
  <c r="P517" s="1"/>
  <c r="O516"/>
  <c r="Q516" s="1"/>
  <c r="R516" s="1"/>
  <c r="O515"/>
  <c r="P515" s="1"/>
  <c r="O514"/>
  <c r="P514" s="1"/>
  <c r="O513"/>
  <c r="P513" s="1"/>
  <c r="O512"/>
  <c r="Q512" s="1"/>
  <c r="R512" s="1"/>
  <c r="O511"/>
  <c r="P511" s="1"/>
  <c r="O510"/>
  <c r="P510" s="1"/>
  <c r="O509"/>
  <c r="P509" s="1"/>
  <c r="O508"/>
  <c r="Q508" s="1"/>
  <c r="R508" s="1"/>
  <c r="O507"/>
  <c r="P507" s="1"/>
  <c r="O506"/>
  <c r="P506" s="1"/>
  <c r="O505"/>
  <c r="P505" s="1"/>
  <c r="O504"/>
  <c r="Q504" s="1"/>
  <c r="R504" s="1"/>
  <c r="O503"/>
  <c r="P503" s="1"/>
  <c r="O502"/>
  <c r="Q502" s="1"/>
  <c r="R502" s="1"/>
  <c r="O501"/>
  <c r="P501" s="1"/>
  <c r="O500"/>
  <c r="Q500" s="1"/>
  <c r="R500" s="1"/>
  <c r="O499"/>
  <c r="P499" s="1"/>
  <c r="Q498"/>
  <c r="R498" s="1"/>
  <c r="O498"/>
  <c r="P498" s="1"/>
  <c r="P497"/>
  <c r="O497"/>
  <c r="Q497" s="1"/>
  <c r="R497" s="1"/>
  <c r="P496"/>
  <c r="O496"/>
  <c r="Q496" s="1"/>
  <c r="R496" s="1"/>
  <c r="O495"/>
  <c r="P495" s="1"/>
  <c r="O494"/>
  <c r="P494" s="1"/>
  <c r="Q493"/>
  <c r="R493" s="1"/>
  <c r="O493"/>
  <c r="P493" s="1"/>
  <c r="O492"/>
  <c r="Q492" s="1"/>
  <c r="R492" s="1"/>
  <c r="O491"/>
  <c r="P491" s="1"/>
  <c r="O490"/>
  <c r="P490" s="1"/>
  <c r="O489"/>
  <c r="Q489" s="1"/>
  <c r="R489" s="1"/>
  <c r="O488"/>
  <c r="Q488" s="1"/>
  <c r="R488" s="1"/>
  <c r="O487"/>
  <c r="P487" s="1"/>
  <c r="P486"/>
  <c r="O486"/>
  <c r="Q486" s="1"/>
  <c r="R486" s="1"/>
  <c r="O485"/>
  <c r="P485" s="1"/>
  <c r="O484"/>
  <c r="Q484" s="1"/>
  <c r="R484" s="1"/>
  <c r="O483"/>
  <c r="P483" s="1"/>
  <c r="O482"/>
  <c r="P482" s="1"/>
  <c r="O481"/>
  <c r="Q481" s="1"/>
  <c r="R481" s="1"/>
  <c r="O480"/>
  <c r="Q480" s="1"/>
  <c r="R480" s="1"/>
  <c r="O479"/>
  <c r="P479" s="1"/>
  <c r="O478"/>
  <c r="P478" s="1"/>
  <c r="O477"/>
  <c r="P477" s="1"/>
  <c r="O476"/>
  <c r="Q476" s="1"/>
  <c r="R476" s="1"/>
  <c r="O475"/>
  <c r="P475" s="1"/>
  <c r="O474"/>
  <c r="P474" s="1"/>
  <c r="O473"/>
  <c r="Q473" s="1"/>
  <c r="R473" s="1"/>
  <c r="O472"/>
  <c r="Q472" s="1"/>
  <c r="R472" s="1"/>
  <c r="O471"/>
  <c r="P471" s="1"/>
  <c r="O470"/>
  <c r="Q470" s="1"/>
  <c r="R470" s="1"/>
  <c r="O469"/>
  <c r="P469" s="1"/>
  <c r="O468"/>
  <c r="Q468" s="1"/>
  <c r="R468" s="1"/>
  <c r="O467"/>
  <c r="P467" s="1"/>
  <c r="O466"/>
  <c r="P466" s="1"/>
  <c r="O465"/>
  <c r="Q465" s="1"/>
  <c r="R465" s="1"/>
  <c r="P464"/>
  <c r="O464"/>
  <c r="Q464" s="1"/>
  <c r="R464" s="1"/>
  <c r="O463"/>
  <c r="P463" s="1"/>
  <c r="O462"/>
  <c r="Q462" s="1"/>
  <c r="R462" s="1"/>
  <c r="O461"/>
  <c r="P461" s="1"/>
  <c r="O460"/>
  <c r="Q460" s="1"/>
  <c r="R460" s="1"/>
  <c r="O459"/>
  <c r="P459" s="1"/>
  <c r="O458"/>
  <c r="P458" s="1"/>
  <c r="P457"/>
  <c r="O457"/>
  <c r="Q457" s="1"/>
  <c r="R457" s="1"/>
  <c r="O456"/>
  <c r="P456" s="1"/>
  <c r="O455"/>
  <c r="P455" s="1"/>
  <c r="O454"/>
  <c r="Q454" s="1"/>
  <c r="R454" s="1"/>
  <c r="O453"/>
  <c r="P453" s="1"/>
  <c r="O452"/>
  <c r="Q452" s="1"/>
  <c r="R452" s="1"/>
  <c r="O451"/>
  <c r="P451" s="1"/>
  <c r="Q450"/>
  <c r="R450" s="1"/>
  <c r="O450"/>
  <c r="P450" s="1"/>
  <c r="O449"/>
  <c r="Q449" s="1"/>
  <c r="R449" s="1"/>
  <c r="O448"/>
  <c r="Q448" s="1"/>
  <c r="R448" s="1"/>
  <c r="O447"/>
  <c r="P447" s="1"/>
  <c r="O446"/>
  <c r="Q446" s="1"/>
  <c r="R446" s="1"/>
  <c r="O445"/>
  <c r="P445" s="1"/>
  <c r="O444"/>
  <c r="Q444" s="1"/>
  <c r="R444" s="1"/>
  <c r="O443"/>
  <c r="P443" s="1"/>
  <c r="O442"/>
  <c r="P442" s="1"/>
  <c r="O441"/>
  <c r="Q441" s="1"/>
  <c r="R441" s="1"/>
  <c r="O440"/>
  <c r="Q440" s="1"/>
  <c r="R440" s="1"/>
  <c r="O439"/>
  <c r="P439" s="1"/>
  <c r="O438"/>
  <c r="Q438" s="1"/>
  <c r="R438" s="1"/>
  <c r="O437"/>
  <c r="P437" s="1"/>
  <c r="O436"/>
  <c r="Q436" s="1"/>
  <c r="R436" s="1"/>
  <c r="O435"/>
  <c r="P435" s="1"/>
  <c r="Q434"/>
  <c r="R434" s="1"/>
  <c r="O434"/>
  <c r="P434" s="1"/>
  <c r="P433"/>
  <c r="O433"/>
  <c r="Q433" s="1"/>
  <c r="R433" s="1"/>
  <c r="P432"/>
  <c r="O432"/>
  <c r="Q432" s="1"/>
  <c r="R432" s="1"/>
  <c r="O431"/>
  <c r="P431" s="1"/>
  <c r="O430"/>
  <c r="Q430" s="1"/>
  <c r="R430" s="1"/>
  <c r="O429"/>
  <c r="P429" s="1"/>
  <c r="O428"/>
  <c r="Q428" s="1"/>
  <c r="R428" s="1"/>
  <c r="O427"/>
  <c r="P427" s="1"/>
  <c r="O426"/>
  <c r="P426" s="1"/>
  <c r="O425"/>
  <c r="Q425" s="1"/>
  <c r="R425" s="1"/>
  <c r="O424"/>
  <c r="Q424" s="1"/>
  <c r="R424" s="1"/>
  <c r="O423"/>
  <c r="P423" s="1"/>
  <c r="O422"/>
  <c r="Q422" s="1"/>
  <c r="R422" s="1"/>
  <c r="O421"/>
  <c r="P421" s="1"/>
  <c r="O420"/>
  <c r="Q420" s="1"/>
  <c r="R420" s="1"/>
  <c r="O419"/>
  <c r="P419" s="1"/>
  <c r="O418"/>
  <c r="P418" s="1"/>
  <c r="O417"/>
  <c r="Q417" s="1"/>
  <c r="R417" s="1"/>
  <c r="O416"/>
  <c r="Q416" s="1"/>
  <c r="R416" s="1"/>
  <c r="O415"/>
  <c r="P415" s="1"/>
  <c r="O414"/>
  <c r="Q414" s="1"/>
  <c r="R414" s="1"/>
  <c r="O413"/>
  <c r="P413" s="1"/>
  <c r="O412"/>
  <c r="Q412" s="1"/>
  <c r="R412" s="1"/>
  <c r="O411"/>
  <c r="P411" s="1"/>
  <c r="O410"/>
  <c r="P410" s="1"/>
  <c r="O409"/>
  <c r="Q409" s="1"/>
  <c r="R409" s="1"/>
  <c r="O408"/>
  <c r="Q408" s="1"/>
  <c r="R408" s="1"/>
  <c r="O407"/>
  <c r="P407" s="1"/>
  <c r="O406"/>
  <c r="Q406" s="1"/>
  <c r="R406" s="1"/>
  <c r="O405"/>
  <c r="P405" s="1"/>
  <c r="O404"/>
  <c r="P404" s="1"/>
  <c r="O403"/>
  <c r="P403" s="1"/>
  <c r="O402"/>
  <c r="Q402" s="1"/>
  <c r="R402" s="1"/>
  <c r="O401"/>
  <c r="P401" s="1"/>
  <c r="O400"/>
  <c r="P400" s="1"/>
  <c r="O399"/>
  <c r="P399" s="1"/>
  <c r="O398"/>
  <c r="Q398" s="1"/>
  <c r="R398" s="1"/>
  <c r="O397"/>
  <c r="P397" s="1"/>
  <c r="O396"/>
  <c r="P396" s="1"/>
  <c r="O395"/>
  <c r="P395" s="1"/>
  <c r="O394"/>
  <c r="Q394" s="1"/>
  <c r="R394" s="1"/>
  <c r="O393"/>
  <c r="P393" s="1"/>
  <c r="O392"/>
  <c r="P392" s="1"/>
  <c r="O391"/>
  <c r="P391" s="1"/>
  <c r="O390"/>
  <c r="Q390" s="1"/>
  <c r="R390" s="1"/>
  <c r="O389"/>
  <c r="P389" s="1"/>
  <c r="O388"/>
  <c r="P388" s="1"/>
  <c r="O387"/>
  <c r="P387" s="1"/>
  <c r="O386"/>
  <c r="Q386" s="1"/>
  <c r="R386" s="1"/>
  <c r="O385"/>
  <c r="P385" s="1"/>
  <c r="O384"/>
  <c r="P384" s="1"/>
  <c r="O383"/>
  <c r="P383" s="1"/>
  <c r="O382"/>
  <c r="Q382" s="1"/>
  <c r="R382" s="1"/>
  <c r="O381"/>
  <c r="P381" s="1"/>
  <c r="O380"/>
  <c r="P380" s="1"/>
  <c r="O379"/>
  <c r="P379" s="1"/>
  <c r="O378"/>
  <c r="Q378" s="1"/>
  <c r="R378" s="1"/>
  <c r="O377"/>
  <c r="P377" s="1"/>
  <c r="O376"/>
  <c r="P376" s="1"/>
  <c r="O375"/>
  <c r="P375" s="1"/>
  <c r="O374"/>
  <c r="P374" s="1"/>
  <c r="O373"/>
  <c r="P373" s="1"/>
  <c r="O372"/>
  <c r="P372" s="1"/>
  <c r="O371"/>
  <c r="P371" s="1"/>
  <c r="O370"/>
  <c r="Q370" s="1"/>
  <c r="R370" s="1"/>
  <c r="O369"/>
  <c r="P369" s="1"/>
  <c r="O368"/>
  <c r="P368" s="1"/>
  <c r="O367"/>
  <c r="P367" s="1"/>
  <c r="O366"/>
  <c r="Q366" s="1"/>
  <c r="R366" s="1"/>
  <c r="O365"/>
  <c r="P365" s="1"/>
  <c r="O364"/>
  <c r="P364" s="1"/>
  <c r="O363"/>
  <c r="P363" s="1"/>
  <c r="O362"/>
  <c r="Q362" s="1"/>
  <c r="R362" s="1"/>
  <c r="O361"/>
  <c r="P361" s="1"/>
  <c r="O360"/>
  <c r="P360" s="1"/>
  <c r="Q359"/>
  <c r="R359" s="1"/>
  <c r="O359"/>
  <c r="P359" s="1"/>
  <c r="O358"/>
  <c r="Q358" s="1"/>
  <c r="R358" s="1"/>
  <c r="O357"/>
  <c r="P357" s="1"/>
  <c r="O356"/>
  <c r="P356" s="1"/>
  <c r="O355"/>
  <c r="P355" s="1"/>
  <c r="O354"/>
  <c r="Q354" s="1"/>
  <c r="R354" s="1"/>
  <c r="O353"/>
  <c r="P353" s="1"/>
  <c r="O352"/>
  <c r="P352" s="1"/>
  <c r="O351"/>
  <c r="P351" s="1"/>
  <c r="O350"/>
  <c r="Q350" s="1"/>
  <c r="R350" s="1"/>
  <c r="O349"/>
  <c r="P349" s="1"/>
  <c r="O348"/>
  <c r="P348" s="1"/>
  <c r="O347"/>
  <c r="P347" s="1"/>
  <c r="O346"/>
  <c r="Q346" s="1"/>
  <c r="R346" s="1"/>
  <c r="O345"/>
  <c r="P345" s="1"/>
  <c r="O344"/>
  <c r="P344" s="1"/>
  <c r="O343"/>
  <c r="P343" s="1"/>
  <c r="O342"/>
  <c r="Q342" s="1"/>
  <c r="R342" s="1"/>
  <c r="O341"/>
  <c r="P341" s="1"/>
  <c r="O340"/>
  <c r="P340" s="1"/>
  <c r="O339"/>
  <c r="P339" s="1"/>
  <c r="P338"/>
  <c r="O338"/>
  <c r="Q338" s="1"/>
  <c r="R338" s="1"/>
  <c r="O337"/>
  <c r="P337" s="1"/>
  <c r="O336"/>
  <c r="P336" s="1"/>
  <c r="O335"/>
  <c r="Q335" s="1"/>
  <c r="P334"/>
  <c r="O334"/>
  <c r="Q334" s="1"/>
  <c r="R334" s="1"/>
  <c r="O333"/>
  <c r="P333" s="1"/>
  <c r="O332"/>
  <c r="Q332" s="1"/>
  <c r="R332" s="1"/>
  <c r="O331"/>
  <c r="P331" s="1"/>
  <c r="O330"/>
  <c r="Q330" s="1"/>
  <c r="R330" s="1"/>
  <c r="O329"/>
  <c r="P329" s="1"/>
  <c r="O328"/>
  <c r="Q328" s="1"/>
  <c r="R328" s="1"/>
  <c r="O327"/>
  <c r="P327" s="1"/>
  <c r="O326"/>
  <c r="Q326" s="1"/>
  <c r="R326" s="1"/>
  <c r="O325"/>
  <c r="P325" s="1"/>
  <c r="O324"/>
  <c r="P324" s="1"/>
  <c r="O323"/>
  <c r="P323" s="1"/>
  <c r="P322"/>
  <c r="O322"/>
  <c r="Q322" s="1"/>
  <c r="R322" s="1"/>
  <c r="O321"/>
  <c r="P321" s="1"/>
  <c r="O320"/>
  <c r="P320" s="1"/>
  <c r="O319"/>
  <c r="P319" s="1"/>
  <c r="O318"/>
  <c r="Q318" s="1"/>
  <c r="R318" s="1"/>
  <c r="O317"/>
  <c r="P317" s="1"/>
  <c r="O316"/>
  <c r="P316" s="1"/>
  <c r="O315"/>
  <c r="P315" s="1"/>
  <c r="O314"/>
  <c r="Q314" s="1"/>
  <c r="R314" s="1"/>
  <c r="O313"/>
  <c r="P313" s="1"/>
  <c r="O312"/>
  <c r="P312" s="1"/>
  <c r="O311"/>
  <c r="P311" s="1"/>
  <c r="O310"/>
  <c r="Q310" s="1"/>
  <c r="R310" s="1"/>
  <c r="O309"/>
  <c r="P309" s="1"/>
  <c r="O308"/>
  <c r="P308" s="1"/>
  <c r="O307"/>
  <c r="P307" s="1"/>
  <c r="O306"/>
  <c r="Q306" s="1"/>
  <c r="R306" s="1"/>
  <c r="O305"/>
  <c r="P305" s="1"/>
  <c r="Q304"/>
  <c r="R304" s="1"/>
  <c r="O304"/>
  <c r="P304" s="1"/>
  <c r="O303"/>
  <c r="P303" s="1"/>
  <c r="O302"/>
  <c r="Q302" s="1"/>
  <c r="R302" s="1"/>
  <c r="O301"/>
  <c r="P301" s="1"/>
  <c r="O300"/>
  <c r="P300" s="1"/>
  <c r="O299"/>
  <c r="P299" s="1"/>
  <c r="O298"/>
  <c r="Q298" s="1"/>
  <c r="R298" s="1"/>
  <c r="O297"/>
  <c r="P297" s="1"/>
  <c r="O296"/>
  <c r="P296" s="1"/>
  <c r="O295"/>
  <c r="P295" s="1"/>
  <c r="O294"/>
  <c r="Q294" s="1"/>
  <c r="R294" s="1"/>
  <c r="O293"/>
  <c r="P293" s="1"/>
  <c r="O292"/>
  <c r="P292" s="1"/>
  <c r="O291"/>
  <c r="P291" s="1"/>
  <c r="O290"/>
  <c r="Q290" s="1"/>
  <c r="R290" s="1"/>
  <c r="O289"/>
  <c r="P289" s="1"/>
  <c r="O288"/>
  <c r="P288" s="1"/>
  <c r="O287"/>
  <c r="P287" s="1"/>
  <c r="O286"/>
  <c r="Q286" s="1"/>
  <c r="R286" s="1"/>
  <c r="O285"/>
  <c r="P285" s="1"/>
  <c r="O284"/>
  <c r="P284" s="1"/>
  <c r="O283"/>
  <c r="P283" s="1"/>
  <c r="O282"/>
  <c r="Q282" s="1"/>
  <c r="R282" s="1"/>
  <c r="O281"/>
  <c r="P281" s="1"/>
  <c r="Q280"/>
  <c r="R280" s="1"/>
  <c r="O280"/>
  <c r="P280" s="1"/>
  <c r="O279"/>
  <c r="P279" s="1"/>
  <c r="O278"/>
  <c r="Q278" s="1"/>
  <c r="R278" s="1"/>
  <c r="O277"/>
  <c r="P277" s="1"/>
  <c r="O276"/>
  <c r="P276" s="1"/>
  <c r="O275"/>
  <c r="P275" s="1"/>
  <c r="O274"/>
  <c r="Q274" s="1"/>
  <c r="R274" s="1"/>
  <c r="O273"/>
  <c r="P273" s="1"/>
  <c r="O272"/>
  <c r="P272" s="1"/>
  <c r="O271"/>
  <c r="P271" s="1"/>
  <c r="O270"/>
  <c r="Q270" s="1"/>
  <c r="R270" s="1"/>
  <c r="O269"/>
  <c r="P269" s="1"/>
  <c r="O268"/>
  <c r="P268" s="1"/>
  <c r="O267"/>
  <c r="P267" s="1"/>
  <c r="O266"/>
  <c r="Q266" s="1"/>
  <c r="R266" s="1"/>
  <c r="O265"/>
  <c r="P265" s="1"/>
  <c r="Q264"/>
  <c r="R264" s="1"/>
  <c r="O264"/>
  <c r="P264" s="1"/>
  <c r="O263"/>
  <c r="P263" s="1"/>
  <c r="O262"/>
  <c r="Q262" s="1"/>
  <c r="R262" s="1"/>
  <c r="O261"/>
  <c r="P261" s="1"/>
  <c r="O260"/>
  <c r="P260" s="1"/>
  <c r="O259"/>
  <c r="P259" s="1"/>
  <c r="O258"/>
  <c r="Q258" s="1"/>
  <c r="R258" s="1"/>
  <c r="O257"/>
  <c r="P257" s="1"/>
  <c r="O256"/>
  <c r="P256" s="1"/>
  <c r="O255"/>
  <c r="P255" s="1"/>
  <c r="O254"/>
  <c r="Q254" s="1"/>
  <c r="R254" s="1"/>
  <c r="O253"/>
  <c r="P253" s="1"/>
  <c r="O252"/>
  <c r="P252" s="1"/>
  <c r="O251"/>
  <c r="P251" s="1"/>
  <c r="O250"/>
  <c r="Q250" s="1"/>
  <c r="R250" s="1"/>
  <c r="O249"/>
  <c r="P249" s="1"/>
  <c r="Q248"/>
  <c r="R248" s="1"/>
  <c r="O248"/>
  <c r="P248" s="1"/>
  <c r="O247"/>
  <c r="P247" s="1"/>
  <c r="O246"/>
  <c r="Q246" s="1"/>
  <c r="R246" s="1"/>
  <c r="O245"/>
  <c r="P245" s="1"/>
  <c r="O244"/>
  <c r="P244" s="1"/>
  <c r="O243"/>
  <c r="P243" s="1"/>
  <c r="O242"/>
  <c r="Q242" s="1"/>
  <c r="R242" s="1"/>
  <c r="O241"/>
  <c r="P241" s="1"/>
  <c r="O240"/>
  <c r="P240" s="1"/>
  <c r="O239"/>
  <c r="P239" s="1"/>
  <c r="O238"/>
  <c r="Q238" s="1"/>
  <c r="R238" s="1"/>
  <c r="O237"/>
  <c r="P237" s="1"/>
  <c r="O236"/>
  <c r="P236" s="1"/>
  <c r="O235"/>
  <c r="P235" s="1"/>
  <c r="O234"/>
  <c r="Q234" s="1"/>
  <c r="R234" s="1"/>
  <c r="O233"/>
  <c r="P233" s="1"/>
  <c r="Q232"/>
  <c r="R232" s="1"/>
  <c r="O232"/>
  <c r="P232" s="1"/>
  <c r="O231"/>
  <c r="P231" s="1"/>
  <c r="O230"/>
  <c r="Q230" s="1"/>
  <c r="R230" s="1"/>
  <c r="O229"/>
  <c r="P229" s="1"/>
  <c r="O228"/>
  <c r="P228" s="1"/>
  <c r="P227"/>
  <c r="O227"/>
  <c r="Q227" s="1"/>
  <c r="R227" s="1"/>
  <c r="P226"/>
  <c r="O226"/>
  <c r="Q226" s="1"/>
  <c r="R226" s="1"/>
  <c r="O225"/>
  <c r="P225" s="1"/>
  <c r="O224"/>
  <c r="Q224" s="1"/>
  <c r="R224" s="1"/>
  <c r="O223"/>
  <c r="P223" s="1"/>
  <c r="O222"/>
  <c r="Q222" s="1"/>
  <c r="R222" s="1"/>
  <c r="O221"/>
  <c r="P221" s="1"/>
  <c r="O220"/>
  <c r="P220" s="1"/>
  <c r="P219"/>
  <c r="O219"/>
  <c r="Q219" s="1"/>
  <c r="R219" s="1"/>
  <c r="P218"/>
  <c r="O218"/>
  <c r="Q218" s="1"/>
  <c r="R218" s="1"/>
  <c r="O217"/>
  <c r="P217" s="1"/>
  <c r="O216"/>
  <c r="Q216" s="1"/>
  <c r="R216" s="1"/>
  <c r="O215"/>
  <c r="P215" s="1"/>
  <c r="O214"/>
  <c r="Q214" s="1"/>
  <c r="R214" s="1"/>
  <c r="O213"/>
  <c r="P213" s="1"/>
  <c r="O212"/>
  <c r="P212" s="1"/>
  <c r="O211"/>
  <c r="Q211" s="1"/>
  <c r="R211" s="1"/>
  <c r="O210"/>
  <c r="Q210" s="1"/>
  <c r="R210" s="1"/>
  <c r="O209"/>
  <c r="P209" s="1"/>
  <c r="O208"/>
  <c r="Q208" s="1"/>
  <c r="R208" s="1"/>
  <c r="O207"/>
  <c r="P207" s="1"/>
  <c r="O206"/>
  <c r="Q206" s="1"/>
  <c r="R206" s="1"/>
  <c r="O205"/>
  <c r="P205" s="1"/>
  <c r="O204"/>
  <c r="P204" s="1"/>
  <c r="O203"/>
  <c r="Q203" s="1"/>
  <c r="R203" s="1"/>
  <c r="O202"/>
  <c r="Q202" s="1"/>
  <c r="R202" s="1"/>
  <c r="O201"/>
  <c r="P201" s="1"/>
  <c r="P200"/>
  <c r="O200"/>
  <c r="Q200" s="1"/>
  <c r="R200" s="1"/>
  <c r="O199"/>
  <c r="P199" s="1"/>
  <c r="O198"/>
  <c r="Q198" s="1"/>
  <c r="R198" s="1"/>
  <c r="O197"/>
  <c r="P197" s="1"/>
  <c r="O196"/>
  <c r="P196" s="1"/>
  <c r="O195"/>
  <c r="Q195" s="1"/>
  <c r="R195" s="1"/>
  <c r="O194"/>
  <c r="Q194" s="1"/>
  <c r="R194" s="1"/>
  <c r="O193"/>
  <c r="P193" s="1"/>
  <c r="O192"/>
  <c r="Q192" s="1"/>
  <c r="R192" s="1"/>
  <c r="O191"/>
  <c r="P191" s="1"/>
  <c r="O190"/>
  <c r="Q190" s="1"/>
  <c r="R190" s="1"/>
  <c r="O189"/>
  <c r="P189" s="1"/>
  <c r="O188"/>
  <c r="P188" s="1"/>
  <c r="O187"/>
  <c r="Q187" s="1"/>
  <c r="R187" s="1"/>
  <c r="O186"/>
  <c r="P186" s="1"/>
  <c r="O185"/>
  <c r="P185" s="1"/>
  <c r="Q184"/>
  <c r="R184" s="1"/>
  <c r="O184"/>
  <c r="P184" s="1"/>
  <c r="O183"/>
  <c r="P183" s="1"/>
  <c r="O182"/>
  <c r="Q182" s="1"/>
  <c r="R182" s="1"/>
  <c r="O181"/>
  <c r="P181" s="1"/>
  <c r="O180"/>
  <c r="P180" s="1"/>
  <c r="P179"/>
  <c r="O179"/>
  <c r="Q179" s="1"/>
  <c r="R179" s="1"/>
  <c r="P178"/>
  <c r="O178"/>
  <c r="Q178" s="1"/>
  <c r="R178" s="1"/>
  <c r="O177"/>
  <c r="P177" s="1"/>
  <c r="O176"/>
  <c r="Q176" s="1"/>
  <c r="R176" s="1"/>
  <c r="O175"/>
  <c r="P175" s="1"/>
  <c r="O174"/>
  <c r="Q174" s="1"/>
  <c r="R174" s="1"/>
  <c r="O173"/>
  <c r="P173" s="1"/>
  <c r="O172"/>
  <c r="P172" s="1"/>
  <c r="P171"/>
  <c r="O171"/>
  <c r="Q171" s="1"/>
  <c r="R171" s="1"/>
  <c r="P170"/>
  <c r="O170"/>
  <c r="Q170" s="1"/>
  <c r="R170" s="1"/>
  <c r="O169"/>
  <c r="P169" s="1"/>
  <c r="O168"/>
  <c r="P168" s="1"/>
  <c r="O167"/>
  <c r="P167" s="1"/>
  <c r="O166"/>
  <c r="Q166" s="1"/>
  <c r="R166" s="1"/>
  <c r="O165"/>
  <c r="P165" s="1"/>
  <c r="O164"/>
  <c r="P164" s="1"/>
  <c r="P163"/>
  <c r="O163"/>
  <c r="Q163" s="1"/>
  <c r="R163" s="1"/>
  <c r="P162"/>
  <c r="O162"/>
  <c r="Q162" s="1"/>
  <c r="R162" s="1"/>
  <c r="O161"/>
  <c r="P161" s="1"/>
  <c r="O160"/>
  <c r="Q160" s="1"/>
  <c r="R160" s="1"/>
  <c r="O159"/>
  <c r="P159" s="1"/>
  <c r="O158"/>
  <c r="Q158" s="1"/>
  <c r="R158" s="1"/>
  <c r="O157"/>
  <c r="P157" s="1"/>
  <c r="O156"/>
  <c r="P156" s="1"/>
  <c r="P155"/>
  <c r="O155"/>
  <c r="Q155" s="1"/>
  <c r="R155" s="1"/>
  <c r="P154"/>
  <c r="O154"/>
  <c r="Q154" s="1"/>
  <c r="R154" s="1"/>
  <c r="O153"/>
  <c r="P153" s="1"/>
  <c r="P152"/>
  <c r="O152"/>
  <c r="Q152" s="1"/>
  <c r="R152" s="1"/>
  <c r="O151"/>
  <c r="P151" s="1"/>
  <c r="O150"/>
  <c r="Q150" s="1"/>
  <c r="R150" s="1"/>
  <c r="O149"/>
  <c r="P149" s="1"/>
  <c r="O148"/>
  <c r="P148" s="1"/>
  <c r="O147"/>
  <c r="P147" s="1"/>
  <c r="O146"/>
  <c r="Q146" s="1"/>
  <c r="R146" s="1"/>
  <c r="O145"/>
  <c r="P145" s="1"/>
  <c r="O144"/>
  <c r="Q144" s="1"/>
  <c r="R144" s="1"/>
  <c r="O143"/>
  <c r="P143" s="1"/>
  <c r="O142"/>
  <c r="Q142" s="1"/>
  <c r="R142" s="1"/>
  <c r="O141"/>
  <c r="P141" s="1"/>
  <c r="O140"/>
  <c r="P140" s="1"/>
  <c r="O139"/>
  <c r="Q139" s="1"/>
  <c r="R139" s="1"/>
  <c r="O138"/>
  <c r="Q138" s="1"/>
  <c r="R138" s="1"/>
  <c r="O137"/>
  <c r="P137" s="1"/>
  <c r="O136"/>
  <c r="P136" s="1"/>
  <c r="O135"/>
  <c r="Q135" s="1"/>
  <c r="R135" s="1"/>
  <c r="P134"/>
  <c r="O134"/>
  <c r="Q134" s="1"/>
  <c r="R134" s="1"/>
  <c r="O133"/>
  <c r="P133" s="1"/>
  <c r="P132"/>
  <c r="O132"/>
  <c r="Q132" s="1"/>
  <c r="R132" s="1"/>
  <c r="O131"/>
  <c r="P131" s="1"/>
  <c r="O130"/>
  <c r="Q130" s="1"/>
  <c r="R130" s="1"/>
  <c r="O129"/>
  <c r="P129" s="1"/>
  <c r="O128"/>
  <c r="P128" s="1"/>
  <c r="O127"/>
  <c r="P127" s="1"/>
  <c r="O126"/>
  <c r="Q126" s="1"/>
  <c r="R126" s="1"/>
  <c r="O125"/>
  <c r="P125" s="1"/>
  <c r="O124"/>
  <c r="Q124" s="1"/>
  <c r="R124" s="1"/>
  <c r="Q123"/>
  <c r="R123" s="1"/>
  <c r="O123"/>
  <c r="P123" s="1"/>
  <c r="O122"/>
  <c r="Q122" s="1"/>
  <c r="R122" s="1"/>
  <c r="O121"/>
  <c r="P121" s="1"/>
  <c r="O120"/>
  <c r="P120" s="1"/>
  <c r="O119"/>
  <c r="Q119" s="1"/>
  <c r="R119" s="1"/>
  <c r="O118"/>
  <c r="Q118" s="1"/>
  <c r="R118" s="1"/>
  <c r="O117"/>
  <c r="P117" s="1"/>
  <c r="O116"/>
  <c r="P116" s="1"/>
  <c r="O115"/>
  <c r="P115" s="1"/>
  <c r="O114"/>
  <c r="Q114" s="1"/>
  <c r="R114" s="1"/>
  <c r="O113"/>
  <c r="P113" s="1"/>
  <c r="O112"/>
  <c r="P112" s="1"/>
  <c r="O111"/>
  <c r="P111" s="1"/>
  <c r="P110"/>
  <c r="O110"/>
  <c r="Q110" s="1"/>
  <c r="R110" s="1"/>
  <c r="O109"/>
  <c r="P109" s="1"/>
  <c r="O108"/>
  <c r="Q108" s="1"/>
  <c r="R108" s="1"/>
  <c r="O107"/>
  <c r="P107" s="1"/>
  <c r="O106"/>
  <c r="Q106" s="1"/>
  <c r="R106" s="1"/>
  <c r="O105"/>
  <c r="P105" s="1"/>
  <c r="O104"/>
  <c r="P104" s="1"/>
  <c r="O103"/>
  <c r="Q103" s="1"/>
  <c r="R103" s="1"/>
  <c r="P102"/>
  <c r="O102"/>
  <c r="Q102" s="1"/>
  <c r="R102" s="1"/>
  <c r="O101"/>
  <c r="P101" s="1"/>
  <c r="O100"/>
  <c r="P100" s="1"/>
  <c r="O99"/>
  <c r="P99" s="1"/>
  <c r="O98"/>
  <c r="Q98" s="1"/>
  <c r="R98" s="1"/>
  <c r="O97"/>
  <c r="P97" s="1"/>
  <c r="O96"/>
  <c r="P96" s="1"/>
  <c r="O95"/>
  <c r="P95" s="1"/>
  <c r="O94"/>
  <c r="Q94" s="1"/>
  <c r="R94" s="1"/>
  <c r="O93"/>
  <c r="P93" s="1"/>
  <c r="O92"/>
  <c r="Q92" s="1"/>
  <c r="R92" s="1"/>
  <c r="Q91"/>
  <c r="R91" s="1"/>
  <c r="O91"/>
  <c r="P91" s="1"/>
  <c r="O90"/>
  <c r="P90" s="1"/>
  <c r="O89"/>
  <c r="P89" s="1"/>
  <c r="O88"/>
  <c r="P88" s="1"/>
  <c r="O87"/>
  <c r="Q87" s="1"/>
  <c r="R87" s="1"/>
  <c r="O86"/>
  <c r="Q86" s="1"/>
  <c r="R86" s="1"/>
  <c r="O85"/>
  <c r="P85" s="1"/>
  <c r="O84"/>
  <c r="P84" s="1"/>
  <c r="O83"/>
  <c r="P83" s="1"/>
  <c r="O82"/>
  <c r="Q82" s="1"/>
  <c r="R82" s="1"/>
  <c r="O81"/>
  <c r="P81" s="1"/>
  <c r="O80"/>
  <c r="P80" s="1"/>
  <c r="O79"/>
  <c r="P79" s="1"/>
  <c r="O78"/>
  <c r="Q78" s="1"/>
  <c r="R78" s="1"/>
  <c r="O77"/>
  <c r="P77" s="1"/>
  <c r="P76"/>
  <c r="O76"/>
  <c r="Q76" s="1"/>
  <c r="R76" s="1"/>
  <c r="Q75"/>
  <c r="R75" s="1"/>
  <c r="O75"/>
  <c r="P75" s="1"/>
  <c r="O74"/>
  <c r="Q74" s="1"/>
  <c r="R74" s="1"/>
  <c r="O73"/>
  <c r="P73" s="1"/>
  <c r="O72"/>
  <c r="P72" s="1"/>
  <c r="O71"/>
  <c r="Q71" s="1"/>
  <c r="R71" s="1"/>
  <c r="O70"/>
  <c r="Q70" s="1"/>
  <c r="R70" s="1"/>
  <c r="O69"/>
  <c r="P69" s="1"/>
  <c r="Q68"/>
  <c r="R68" s="1"/>
  <c r="O68"/>
  <c r="P68" s="1"/>
  <c r="O67"/>
  <c r="P67" s="1"/>
  <c r="O66"/>
  <c r="Q66" s="1"/>
  <c r="R66" s="1"/>
  <c r="O65"/>
  <c r="P65" s="1"/>
  <c r="O64"/>
  <c r="P64" s="1"/>
  <c r="O63"/>
  <c r="P63" s="1"/>
  <c r="O62"/>
  <c r="Q62" s="1"/>
  <c r="R62" s="1"/>
  <c r="O61"/>
  <c r="P61" s="1"/>
  <c r="O60"/>
  <c r="Q60" s="1"/>
  <c r="R60" s="1"/>
  <c r="O59"/>
  <c r="P59" s="1"/>
  <c r="O58"/>
  <c r="Q58" s="1"/>
  <c r="R58" s="1"/>
  <c r="O57"/>
  <c r="P57" s="1"/>
  <c r="O56"/>
  <c r="P56" s="1"/>
  <c r="O55"/>
  <c r="Q55" s="1"/>
  <c r="R55" s="1"/>
  <c r="O54"/>
  <c r="Q54" s="1"/>
  <c r="R54" s="1"/>
  <c r="O53"/>
  <c r="P53" s="1"/>
  <c r="O52"/>
  <c r="P52" s="1"/>
  <c r="O51"/>
  <c r="P51" s="1"/>
  <c r="O50"/>
  <c r="Q50" s="1"/>
  <c r="R50" s="1"/>
  <c r="O49"/>
  <c r="P49" s="1"/>
  <c r="O48"/>
  <c r="P48" s="1"/>
  <c r="O47"/>
  <c r="P47" s="1"/>
  <c r="O46"/>
  <c r="Q46" s="1"/>
  <c r="R46" s="1"/>
  <c r="O45"/>
  <c r="P45" s="1"/>
  <c r="P44"/>
  <c r="O44"/>
  <c r="Q44" s="1"/>
  <c r="R44" s="1"/>
  <c r="Q43"/>
  <c r="R43" s="1"/>
  <c r="O43"/>
  <c r="P43" s="1"/>
  <c r="O42"/>
  <c r="Q42" s="1"/>
  <c r="R42" s="1"/>
  <c r="O41"/>
  <c r="P41" s="1"/>
  <c r="O40"/>
  <c r="P40" s="1"/>
  <c r="O39"/>
  <c r="Q39" s="1"/>
  <c r="R39" s="1"/>
  <c r="O38"/>
  <c r="Q38" s="1"/>
  <c r="R38" s="1"/>
  <c r="O37"/>
  <c r="P37" s="1"/>
  <c r="Q36"/>
  <c r="R36" s="1"/>
  <c r="O36"/>
  <c r="P36" s="1"/>
  <c r="O35"/>
  <c r="P35" s="1"/>
  <c r="O34"/>
  <c r="Q34" s="1"/>
  <c r="R34" s="1"/>
  <c r="O33"/>
  <c r="P33" s="1"/>
  <c r="O32"/>
  <c r="P32" s="1"/>
  <c r="O31"/>
  <c r="P31" s="1"/>
  <c r="O30"/>
  <c r="Q30" s="1"/>
  <c r="R30" s="1"/>
  <c r="O29"/>
  <c r="P29" s="1"/>
  <c r="O28"/>
  <c r="Q28" s="1"/>
  <c r="R28" s="1"/>
  <c r="O27"/>
  <c r="P27" s="1"/>
  <c r="O26"/>
  <c r="Q26" s="1"/>
  <c r="R26" s="1"/>
  <c r="O25"/>
  <c r="P25" s="1"/>
  <c r="O24"/>
  <c r="P24" s="1"/>
  <c r="O23"/>
  <c r="Q23" s="1"/>
  <c r="R23" s="1"/>
  <c r="O22"/>
  <c r="Q22" s="1"/>
  <c r="R22" s="1"/>
  <c r="O21"/>
  <c r="P21" s="1"/>
  <c r="O20"/>
  <c r="P20" s="1"/>
  <c r="O19"/>
  <c r="P19" s="1"/>
  <c r="O18"/>
  <c r="Q18" s="1"/>
  <c r="R18" s="1"/>
  <c r="O17"/>
  <c r="P17" s="1"/>
  <c r="O16"/>
  <c r="P16" s="1"/>
  <c r="O15"/>
  <c r="P15" s="1"/>
  <c r="O14"/>
  <c r="Q14" s="1"/>
  <c r="R14" s="1"/>
  <c r="O13"/>
  <c r="P13" s="1"/>
  <c r="P12"/>
  <c r="O12"/>
  <c r="Q12" s="1"/>
  <c r="R12" s="1"/>
  <c r="Q11"/>
  <c r="R11" s="1"/>
  <c r="O11"/>
  <c r="P11" s="1"/>
  <c r="O10"/>
  <c r="Q10" s="1"/>
  <c r="R10" s="1"/>
  <c r="O9"/>
  <c r="P9" s="1"/>
  <c r="O8"/>
  <c r="P8" s="1"/>
  <c r="O7"/>
  <c r="Q7" s="1"/>
  <c r="R7" s="1"/>
  <c r="O6"/>
  <c r="P6" s="1"/>
  <c r="N1074"/>
  <c r="N1073"/>
  <c r="N1072"/>
  <c r="N1071"/>
  <c r="N1070"/>
  <c r="N1069"/>
  <c r="N1068"/>
  <c r="N1067"/>
  <c r="N1066"/>
  <c r="N1065"/>
  <c r="N1064"/>
  <c r="N1063"/>
  <c r="N1062"/>
  <c r="N1061"/>
  <c r="N1060"/>
  <c r="N1059"/>
  <c r="N1058"/>
  <c r="N1057"/>
  <c r="N1056"/>
  <c r="N1055"/>
  <c r="N1054"/>
  <c r="N1053"/>
  <c r="N1052"/>
  <c r="N1051"/>
  <c r="N1050"/>
  <c r="N1049"/>
  <c r="N1048"/>
  <c r="N1047"/>
  <c r="N1046"/>
  <c r="N1045"/>
  <c r="N1044"/>
  <c r="N1043"/>
  <c r="N1042"/>
  <c r="N1041"/>
  <c r="N1040"/>
  <c r="N1039"/>
  <c r="N1038"/>
  <c r="N1037"/>
  <c r="N1036"/>
  <c r="N1035"/>
  <c r="N1034"/>
  <c r="N1033"/>
  <c r="N1032"/>
  <c r="N1031"/>
  <c r="N1030"/>
  <c r="N1029"/>
  <c r="N1028"/>
  <c r="N1027"/>
  <c r="N1026"/>
  <c r="N1025"/>
  <c r="N1024"/>
  <c r="N1023"/>
  <c r="N1022"/>
  <c r="N1021"/>
  <c r="N1020"/>
  <c r="N1019"/>
  <c r="N1018"/>
  <c r="N1017"/>
  <c r="N1016"/>
  <c r="N1015"/>
  <c r="N1014"/>
  <c r="N1013"/>
  <c r="N1012"/>
  <c r="N1011"/>
  <c r="N1010"/>
  <c r="N1009"/>
  <c r="N1008"/>
  <c r="N1007"/>
  <c r="N1006"/>
  <c r="N1005"/>
  <c r="N1004"/>
  <c r="N1003"/>
  <c r="N1002"/>
  <c r="N1001"/>
  <c r="N1000"/>
  <c r="N999"/>
  <c r="N998"/>
  <c r="N997"/>
  <c r="N996"/>
  <c r="N995"/>
  <c r="N994"/>
  <c r="N993"/>
  <c r="N992"/>
  <c r="N991"/>
  <c r="N990"/>
  <c r="N989"/>
  <c r="N988"/>
  <c r="N987"/>
  <c r="N986"/>
  <c r="N985"/>
  <c r="N984"/>
  <c r="N983"/>
  <c r="N982"/>
  <c r="N981"/>
  <c r="N980"/>
  <c r="N979"/>
  <c r="N978"/>
  <c r="N977"/>
  <c r="N976"/>
  <c r="N975"/>
  <c r="N974"/>
  <c r="N973"/>
  <c r="N972"/>
  <c r="N971"/>
  <c r="N970"/>
  <c r="N969"/>
  <c r="N968"/>
  <c r="N967"/>
  <c r="N966"/>
  <c r="N965"/>
  <c r="N964"/>
  <c r="N963"/>
  <c r="N962"/>
  <c r="N961"/>
  <c r="N960"/>
  <c r="N959"/>
  <c r="N958"/>
  <c r="N957"/>
  <c r="N956"/>
  <c r="N955"/>
  <c r="N954"/>
  <c r="N953"/>
  <c r="N952"/>
  <c r="N951"/>
  <c r="N950"/>
  <c r="N949"/>
  <c r="N948"/>
  <c r="N947"/>
  <c r="N946"/>
  <c r="N945"/>
  <c r="N944"/>
  <c r="N943"/>
  <c r="N942"/>
  <c r="N941"/>
  <c r="N940"/>
  <c r="N939"/>
  <c r="N938"/>
  <c r="N937"/>
  <c r="N936"/>
  <c r="N935"/>
  <c r="N934"/>
  <c r="N933"/>
  <c r="N932"/>
  <c r="N931"/>
  <c r="N930"/>
  <c r="N929"/>
  <c r="N928"/>
  <c r="N927"/>
  <c r="N926"/>
  <c r="N925"/>
  <c r="N924"/>
  <c r="N923"/>
  <c r="N921"/>
  <c r="N920"/>
  <c r="N919"/>
  <c r="N918"/>
  <c r="N917"/>
  <c r="N916"/>
  <c r="N915"/>
  <c r="N914"/>
  <c r="N913"/>
  <c r="N912"/>
  <c r="N911"/>
  <c r="N910"/>
  <c r="N909"/>
  <c r="N908"/>
  <c r="N907"/>
  <c r="N906"/>
  <c r="N905"/>
  <c r="N904"/>
  <c r="N903"/>
  <c r="N902"/>
  <c r="N901"/>
  <c r="N900"/>
  <c r="N899"/>
  <c r="N898"/>
  <c r="N897"/>
  <c r="N896"/>
  <c r="N895"/>
  <c r="N894"/>
  <c r="N893"/>
  <c r="N892"/>
  <c r="N891"/>
  <c r="N890"/>
  <c r="N889"/>
  <c r="N888"/>
  <c r="N887"/>
  <c r="N886"/>
  <c r="N885"/>
  <c r="N884"/>
  <c r="N883"/>
  <c r="N882"/>
  <c r="N881"/>
  <c r="N880"/>
  <c r="N879"/>
  <c r="N878"/>
  <c r="N877"/>
  <c r="N876"/>
  <c r="N873"/>
  <c r="N872"/>
  <c r="N871"/>
  <c r="N870"/>
  <c r="N869"/>
  <c r="N868"/>
  <c r="N867"/>
  <c r="N866"/>
  <c r="N865"/>
  <c r="N864"/>
  <c r="N860"/>
  <c r="N859"/>
  <c r="N858"/>
  <c r="N857"/>
  <c r="N856"/>
  <c r="N855"/>
  <c r="N854"/>
  <c r="N853"/>
  <c r="N852"/>
  <c r="N851"/>
  <c r="N850"/>
  <c r="N849"/>
  <c r="N848"/>
  <c r="N847"/>
  <c r="N846"/>
  <c r="N845"/>
  <c r="N844"/>
  <c r="N843"/>
  <c r="N842"/>
  <c r="N841"/>
  <c r="N840"/>
  <c r="N839"/>
  <c r="N838"/>
  <c r="N837"/>
  <c r="N836"/>
  <c r="N835"/>
  <c r="N834"/>
  <c r="N833"/>
  <c r="N832"/>
  <c r="N831"/>
  <c r="N830"/>
  <c r="N829"/>
  <c r="N828"/>
  <c r="N827"/>
  <c r="N826"/>
  <c r="N825"/>
  <c r="N824"/>
  <c r="N823"/>
  <c r="N822"/>
  <c r="N821"/>
  <c r="N820"/>
  <c r="N819"/>
  <c r="N818"/>
  <c r="N817"/>
  <c r="N816"/>
  <c r="N815"/>
  <c r="N814"/>
  <c r="N813"/>
  <c r="N812"/>
  <c r="N811"/>
  <c r="N810"/>
  <c r="N809"/>
  <c r="N808"/>
  <c r="N807"/>
  <c r="N806"/>
  <c r="N805"/>
  <c r="N804"/>
  <c r="N803"/>
  <c r="N802"/>
  <c r="N801"/>
  <c r="N800"/>
  <c r="N799"/>
  <c r="N798"/>
  <c r="N797"/>
  <c r="N796"/>
  <c r="N795"/>
  <c r="N794"/>
  <c r="N793"/>
  <c r="N792"/>
  <c r="N791"/>
  <c r="N790"/>
  <c r="N789"/>
  <c r="N788"/>
  <c r="N787"/>
  <c r="N786"/>
  <c r="N785"/>
  <c r="N784"/>
  <c r="N783"/>
  <c r="N782"/>
  <c r="N781"/>
  <c r="N780"/>
  <c r="N779"/>
  <c r="N778"/>
  <c r="N777"/>
  <c r="N776"/>
  <c r="N775"/>
  <c r="N774"/>
  <c r="N773"/>
  <c r="N772"/>
  <c r="N771"/>
  <c r="N770"/>
  <c r="N769"/>
  <c r="N768"/>
  <c r="N767"/>
  <c r="N766"/>
  <c r="N765"/>
  <c r="N764"/>
  <c r="N763"/>
  <c r="N762"/>
  <c r="N761"/>
  <c r="N760"/>
  <c r="N759"/>
  <c r="N758"/>
  <c r="N757"/>
  <c r="N756"/>
  <c r="N755"/>
  <c r="N754"/>
  <c r="N753"/>
  <c r="N752"/>
  <c r="N751"/>
  <c r="N750"/>
  <c r="N748"/>
  <c r="N747"/>
  <c r="N746"/>
  <c r="N745"/>
  <c r="N743"/>
  <c r="N742"/>
  <c r="N741"/>
  <c r="N739"/>
  <c r="N738"/>
  <c r="N737"/>
  <c r="N736"/>
  <c r="N735"/>
  <c r="N734"/>
  <c r="N733"/>
  <c r="N732"/>
  <c r="N731"/>
  <c r="N730"/>
  <c r="N729"/>
  <c r="N728"/>
  <c r="N727"/>
  <c r="N726"/>
  <c r="N725"/>
  <c r="N724"/>
  <c r="N723"/>
  <c r="N722"/>
  <c r="N721"/>
  <c r="N720"/>
  <c r="N719"/>
  <c r="N717"/>
  <c r="N716"/>
  <c r="N714"/>
  <c r="N713"/>
  <c r="N712"/>
  <c r="N711"/>
  <c r="N710"/>
  <c r="N709"/>
  <c r="N708"/>
  <c r="N707"/>
  <c r="N706"/>
  <c r="N705"/>
  <c r="N704"/>
  <c r="N703"/>
  <c r="N702"/>
  <c r="N701"/>
  <c r="N700"/>
  <c r="N699"/>
  <c r="N698"/>
  <c r="N697"/>
  <c r="N696"/>
  <c r="N695"/>
  <c r="N694"/>
  <c r="N693"/>
  <c r="N692"/>
  <c r="N691"/>
  <c r="N690"/>
  <c r="N689"/>
  <c r="N688"/>
  <c r="N687"/>
  <c r="N686"/>
  <c r="N685"/>
  <c r="N684"/>
  <c r="N683"/>
  <c r="N682"/>
  <c r="N681"/>
  <c r="N680"/>
  <c r="N679"/>
  <c r="N678"/>
  <c r="N677"/>
  <c r="N676"/>
  <c r="N675"/>
  <c r="N674"/>
  <c r="N673"/>
  <c r="N672"/>
  <c r="N671"/>
  <c r="N670"/>
  <c r="N669"/>
  <c r="N668"/>
  <c r="N667"/>
  <c r="N666"/>
  <c r="N665"/>
  <c r="N664"/>
  <c r="N663"/>
  <c r="N662"/>
  <c r="N661"/>
  <c r="N660"/>
  <c r="N659"/>
  <c r="N658"/>
  <c r="N657"/>
  <c r="N656"/>
  <c r="N655"/>
  <c r="N654"/>
  <c r="N653"/>
  <c r="N651"/>
  <c r="N650"/>
  <c r="N649"/>
  <c r="N648"/>
  <c r="N647"/>
  <c r="N646"/>
  <c r="N645"/>
  <c r="N644"/>
  <c r="N643"/>
  <c r="N642"/>
  <c r="N641"/>
  <c r="N640"/>
  <c r="N639"/>
  <c r="N638"/>
  <c r="N637"/>
  <c r="N636"/>
  <c r="N635"/>
  <c r="N634"/>
  <c r="N633"/>
  <c r="N632"/>
  <c r="N631"/>
  <c r="N630"/>
  <c r="N629"/>
  <c r="N628"/>
  <c r="N627"/>
  <c r="N626"/>
  <c r="N625"/>
  <c r="N624"/>
  <c r="N623"/>
  <c r="N622"/>
  <c r="N621"/>
  <c r="N620"/>
  <c r="N619"/>
  <c r="N618"/>
  <c r="N617"/>
  <c r="N616"/>
  <c r="N615"/>
  <c r="N614"/>
  <c r="N613"/>
  <c r="N609"/>
  <c r="N608"/>
  <c r="N607"/>
  <c r="N606"/>
  <c r="N605"/>
  <c r="N604"/>
  <c r="N603"/>
  <c r="N602"/>
  <c r="N601"/>
  <c r="N600"/>
  <c r="N599"/>
  <c r="N598"/>
  <c r="N597"/>
  <c r="N596"/>
  <c r="N595"/>
  <c r="N594"/>
  <c r="N592"/>
  <c r="N591"/>
  <c r="N590"/>
  <c r="N589"/>
  <c r="N588"/>
  <c r="N587"/>
  <c r="N586"/>
  <c r="N585"/>
  <c r="N584"/>
  <c r="N583"/>
  <c r="N582"/>
  <c r="N581"/>
  <c r="N580"/>
  <c r="N579"/>
  <c r="N578"/>
  <c r="N577"/>
  <c r="N576"/>
  <c r="N575"/>
  <c r="N574"/>
  <c r="N573"/>
  <c r="N572"/>
  <c r="N571"/>
  <c r="N570"/>
  <c r="N569"/>
  <c r="N568"/>
  <c r="N567"/>
  <c r="N566"/>
  <c r="N565"/>
  <c r="N564"/>
  <c r="N563"/>
  <c r="N562"/>
  <c r="N561"/>
  <c r="N560"/>
  <c r="N559"/>
  <c r="N558"/>
  <c r="N557"/>
  <c r="N556"/>
  <c r="N555"/>
  <c r="N554"/>
  <c r="N553"/>
  <c r="N552"/>
  <c r="N551"/>
  <c r="N550"/>
  <c r="N549"/>
  <c r="N548"/>
  <c r="N547"/>
  <c r="N546"/>
  <c r="N545"/>
  <c r="N544"/>
  <c r="N543"/>
  <c r="N542"/>
  <c r="N541"/>
  <c r="N540"/>
  <c r="N539"/>
  <c r="N538"/>
  <c r="N537"/>
  <c r="N536"/>
  <c r="N535"/>
  <c r="N534"/>
  <c r="N533"/>
  <c r="N532"/>
  <c r="N531"/>
  <c r="N530"/>
  <c r="N529"/>
  <c r="N528"/>
  <c r="N527"/>
  <c r="N526"/>
  <c r="N525"/>
  <c r="N524"/>
  <c r="N523"/>
  <c r="N522"/>
  <c r="N521"/>
  <c r="N520"/>
  <c r="N519"/>
  <c r="N518"/>
  <c r="N517"/>
  <c r="N516"/>
  <c r="N515"/>
  <c r="N514"/>
  <c r="N513"/>
  <c r="N512"/>
  <c r="N511"/>
  <c r="N510"/>
  <c r="N509"/>
  <c r="N508"/>
  <c r="N507"/>
  <c r="N506"/>
  <c r="N505"/>
  <c r="N504"/>
  <c r="N503"/>
  <c r="N502"/>
  <c r="N501"/>
  <c r="N500"/>
  <c r="N499"/>
  <c r="N498"/>
  <c r="N497"/>
  <c r="N496"/>
  <c r="N495"/>
  <c r="N494"/>
  <c r="N493"/>
  <c r="N492"/>
  <c r="N491"/>
  <c r="N490"/>
  <c r="N489"/>
  <c r="N488"/>
  <c r="N487"/>
  <c r="N486"/>
  <c r="N485"/>
  <c r="N484"/>
  <c r="N483"/>
  <c r="N482"/>
  <c r="N481"/>
  <c r="N480"/>
  <c r="N479"/>
  <c r="N478"/>
  <c r="N477"/>
  <c r="N476"/>
  <c r="N475"/>
  <c r="N474"/>
  <c r="N473"/>
  <c r="N472"/>
  <c r="N471"/>
  <c r="N470"/>
  <c r="N469"/>
  <c r="N468"/>
  <c r="N467"/>
  <c r="N466"/>
  <c r="N465"/>
  <c r="N464"/>
  <c r="N463"/>
  <c r="N462"/>
  <c r="N461"/>
  <c r="N460"/>
  <c r="N459"/>
  <c r="N458"/>
  <c r="N457"/>
  <c r="N456"/>
  <c r="N455"/>
  <c r="N454"/>
  <c r="N453"/>
  <c r="N452"/>
  <c r="N451"/>
  <c r="N450"/>
  <c r="N449"/>
  <c r="N448"/>
  <c r="N447"/>
  <c r="N446"/>
  <c r="N445"/>
  <c r="N444"/>
  <c r="N443"/>
  <c r="N442"/>
  <c r="N441"/>
  <c r="N440"/>
  <c r="N439"/>
  <c r="N438"/>
  <c r="N437"/>
  <c r="N436"/>
  <c r="N435"/>
  <c r="N434"/>
  <c r="N433"/>
  <c r="N432"/>
  <c r="N431"/>
  <c r="N430"/>
  <c r="N429"/>
  <c r="N428"/>
  <c r="N427"/>
  <c r="N426"/>
  <c r="N425"/>
  <c r="N424"/>
  <c r="N423"/>
  <c r="N422"/>
  <c r="N421"/>
  <c r="N420"/>
  <c r="N419"/>
  <c r="N418"/>
  <c r="N417"/>
  <c r="N416"/>
  <c r="N415"/>
  <c r="N414"/>
  <c r="N413"/>
  <c r="N412"/>
  <c r="N411"/>
  <c r="N410"/>
  <c r="N409"/>
  <c r="N408"/>
  <c r="N407"/>
  <c r="N406"/>
  <c r="N405"/>
  <c r="N404"/>
  <c r="N403"/>
  <c r="N402"/>
  <c r="N401"/>
  <c r="N400"/>
  <c r="N399"/>
  <c r="N398"/>
  <c r="N397"/>
  <c r="N396"/>
  <c r="N395"/>
  <c r="N394"/>
  <c r="N393"/>
  <c r="N392"/>
  <c r="N391"/>
  <c r="N390"/>
  <c r="N389"/>
  <c r="N388"/>
  <c r="N387"/>
  <c r="N386"/>
  <c r="N385"/>
  <c r="N384"/>
  <c r="N383"/>
  <c r="N382"/>
  <c r="N381"/>
  <c r="N380"/>
  <c r="N379"/>
  <c r="N378"/>
  <c r="N377"/>
  <c r="N376"/>
  <c r="N375"/>
  <c r="N374"/>
  <c r="N373"/>
  <c r="N372"/>
  <c r="N371"/>
  <c r="N370"/>
  <c r="N369"/>
  <c r="N368"/>
  <c r="N367"/>
  <c r="N366"/>
  <c r="N365"/>
  <c r="N364"/>
  <c r="N363"/>
  <c r="N362"/>
  <c r="N361"/>
  <c r="N360"/>
  <c r="N359"/>
  <c r="N358"/>
  <c r="N357"/>
  <c r="N356"/>
  <c r="N355"/>
  <c r="N354"/>
  <c r="N353"/>
  <c r="N352"/>
  <c r="N351"/>
  <c r="N350"/>
  <c r="N349"/>
  <c r="N348"/>
  <c r="N347"/>
  <c r="N346"/>
  <c r="N345"/>
  <c r="N344"/>
  <c r="N343"/>
  <c r="N342"/>
  <c r="N341"/>
  <c r="N340"/>
  <c r="N339"/>
  <c r="N338"/>
  <c r="N337"/>
  <c r="N336"/>
  <c r="N334"/>
  <c r="N333"/>
  <c r="N332"/>
  <c r="N331"/>
  <c r="N330"/>
  <c r="N329"/>
  <c r="N328"/>
  <c r="N327"/>
  <c r="N326"/>
  <c r="N325"/>
  <c r="N324"/>
  <c r="N323"/>
  <c r="N322"/>
  <c r="N321"/>
  <c r="N320"/>
  <c r="N319"/>
  <c r="N318"/>
  <c r="N317"/>
  <c r="N316"/>
  <c r="N315"/>
  <c r="N314"/>
  <c r="N313"/>
  <c r="N312"/>
  <c r="N311"/>
  <c r="N310"/>
  <c r="N309"/>
  <c r="N308"/>
  <c r="N307"/>
  <c r="N306"/>
  <c r="N305"/>
  <c r="N304"/>
  <c r="N303"/>
  <c r="N302"/>
  <c r="N301"/>
  <c r="N300"/>
  <c r="N299"/>
  <c r="N298"/>
  <c r="N297"/>
  <c r="N296"/>
  <c r="N295"/>
  <c r="N294"/>
  <c r="N293"/>
  <c r="N292"/>
  <c r="N291"/>
  <c r="N290"/>
  <c r="N289"/>
  <c r="N288"/>
  <c r="N287"/>
  <c r="N286"/>
  <c r="N285"/>
  <c r="N284"/>
  <c r="N283"/>
  <c r="N282"/>
  <c r="N281"/>
  <c r="N280"/>
  <c r="N279"/>
  <c r="N278"/>
  <c r="N277"/>
  <c r="N276"/>
  <c r="N275"/>
  <c r="N274"/>
  <c r="N273"/>
  <c r="N272"/>
  <c r="N271"/>
  <c r="N270"/>
  <c r="N269"/>
  <c r="N268"/>
  <c r="N267"/>
  <c r="N266"/>
  <c r="N265"/>
  <c r="N264"/>
  <c r="N263"/>
  <c r="N262"/>
  <c r="N261"/>
  <c r="N260"/>
  <c r="N259"/>
  <c r="N258"/>
  <c r="N257"/>
  <c r="N256"/>
  <c r="N255"/>
  <c r="N254"/>
  <c r="N253"/>
  <c r="N252"/>
  <c r="N251"/>
  <c r="N250"/>
  <c r="N249"/>
  <c r="N248"/>
  <c r="N247"/>
  <c r="N246"/>
  <c r="N245"/>
  <c r="N244"/>
  <c r="N243"/>
  <c r="N242"/>
  <c r="N241"/>
  <c r="N240"/>
  <c r="N239"/>
  <c r="N238"/>
  <c r="N237"/>
  <c r="N236"/>
  <c r="N235"/>
  <c r="N234"/>
  <c r="N233"/>
  <c r="N232"/>
  <c r="N231"/>
  <c r="N230"/>
  <c r="N229"/>
  <c r="N228"/>
  <c r="N227"/>
  <c r="N226"/>
  <c r="N225"/>
  <c r="N224"/>
  <c r="N223"/>
  <c r="N222"/>
  <c r="N221"/>
  <c r="N220"/>
  <c r="N219"/>
  <c r="N218"/>
  <c r="N217"/>
  <c r="N216"/>
  <c r="N215"/>
  <c r="N214"/>
  <c r="N213"/>
  <c r="N212"/>
  <c r="N211"/>
  <c r="N210"/>
  <c r="N209"/>
  <c r="N208"/>
  <c r="N207"/>
  <c r="N206"/>
  <c r="N205"/>
  <c r="N204"/>
  <c r="N203"/>
  <c r="N202"/>
  <c r="N201"/>
  <c r="N200"/>
  <c r="N199"/>
  <c r="N198"/>
  <c r="N197"/>
  <c r="N196"/>
  <c r="N195"/>
  <c r="N194"/>
  <c r="N193"/>
  <c r="N192"/>
  <c r="N191"/>
  <c r="N190"/>
  <c r="N189"/>
  <c r="N188"/>
  <c r="N187"/>
  <c r="N186"/>
  <c r="N185"/>
  <c r="N184"/>
  <c r="N183"/>
  <c r="N182"/>
  <c r="N181"/>
  <c r="N180"/>
  <c r="N179"/>
  <c r="N178"/>
  <c r="N177"/>
  <c r="N176"/>
  <c r="N175"/>
  <c r="N174"/>
  <c r="N173"/>
  <c r="N172"/>
  <c r="N171"/>
  <c r="N170"/>
  <c r="N169"/>
  <c r="N168"/>
  <c r="N167"/>
  <c r="N166"/>
  <c r="N165"/>
  <c r="N164"/>
  <c r="N163"/>
  <c r="N162"/>
  <c r="N161"/>
  <c r="N160"/>
  <c r="N159"/>
  <c r="N158"/>
  <c r="N157"/>
  <c r="N156"/>
  <c r="N155"/>
  <c r="N154"/>
  <c r="N153"/>
  <c r="N152"/>
  <c r="N151"/>
  <c r="N150"/>
  <c r="N149"/>
  <c r="N148"/>
  <c r="N147"/>
  <c r="N146"/>
  <c r="N145"/>
  <c r="N144"/>
  <c r="N143"/>
  <c r="N142"/>
  <c r="N141"/>
  <c r="N140"/>
  <c r="N139"/>
  <c r="N138"/>
  <c r="N137"/>
  <c r="N136"/>
  <c r="N135"/>
  <c r="N134"/>
  <c r="N133"/>
  <c r="N132"/>
  <c r="N131"/>
  <c r="N130"/>
  <c r="N129"/>
  <c r="N128"/>
  <c r="N127"/>
  <c r="N126"/>
  <c r="N125"/>
  <c r="N124"/>
  <c r="N123"/>
  <c r="N122"/>
  <c r="N121"/>
  <c r="N120"/>
  <c r="N119"/>
  <c r="N118"/>
  <c r="N117"/>
  <c r="N116"/>
  <c r="N115"/>
  <c r="N114"/>
  <c r="N113"/>
  <c r="N112"/>
  <c r="N111"/>
  <c r="N110"/>
  <c r="N109"/>
  <c r="N108"/>
  <c r="N107"/>
  <c r="N106"/>
  <c r="N105"/>
  <c r="N104"/>
  <c r="N103"/>
  <c r="N102"/>
  <c r="N101"/>
  <c r="N100"/>
  <c r="N99"/>
  <c r="N98"/>
  <c r="N97"/>
  <c r="N96"/>
  <c r="N95"/>
  <c r="N94"/>
  <c r="N93"/>
  <c r="N92"/>
  <c r="N91"/>
  <c r="N90"/>
  <c r="N89"/>
  <c r="N88"/>
  <c r="N87"/>
  <c r="N86"/>
  <c r="N85"/>
  <c r="N84"/>
  <c r="N83"/>
  <c r="N82"/>
  <c r="N81"/>
  <c r="N80"/>
  <c r="N79"/>
  <c r="N78"/>
  <c r="N77"/>
  <c r="N76"/>
  <c r="N75"/>
  <c r="N74"/>
  <c r="N73"/>
  <c r="N72"/>
  <c r="N71"/>
  <c r="N70"/>
  <c r="N69"/>
  <c r="N68"/>
  <c r="N67"/>
  <c r="N66"/>
  <c r="N65"/>
  <c r="N64"/>
  <c r="N63"/>
  <c r="N62"/>
  <c r="N61"/>
  <c r="N60"/>
  <c r="N59"/>
  <c r="N58"/>
  <c r="N57"/>
  <c r="N56"/>
  <c r="N55"/>
  <c r="N54"/>
  <c r="N53"/>
  <c r="N52"/>
  <c r="N51"/>
  <c r="N50"/>
  <c r="N49"/>
  <c r="N48"/>
  <c r="N47"/>
  <c r="N46"/>
  <c r="N45"/>
  <c r="N44"/>
  <c r="N43"/>
  <c r="N42"/>
  <c r="N41"/>
  <c r="N40"/>
  <c r="N39"/>
  <c r="N38"/>
  <c r="N37"/>
  <c r="N36"/>
  <c r="N35"/>
  <c r="N34"/>
  <c r="N33"/>
  <c r="N32"/>
  <c r="N31"/>
  <c r="N30"/>
  <c r="N29"/>
  <c r="N28"/>
  <c r="N27"/>
  <c r="N26"/>
  <c r="N25"/>
  <c r="N24"/>
  <c r="N23"/>
  <c r="N22"/>
  <c r="N21"/>
  <c r="N20"/>
  <c r="N19"/>
  <c r="N18"/>
  <c r="N17"/>
  <c r="N16"/>
  <c r="N15"/>
  <c r="N14"/>
  <c r="N13"/>
  <c r="N12"/>
  <c r="N11"/>
  <c r="N10"/>
  <c r="N9"/>
  <c r="N8"/>
  <c r="N7"/>
  <c r="N6"/>
  <c r="L1074"/>
  <c r="L1073"/>
  <c r="L1072"/>
  <c r="L1071"/>
  <c r="L1070"/>
  <c r="L1069"/>
  <c r="L1068"/>
  <c r="L1067"/>
  <c r="L1066"/>
  <c r="L1065"/>
  <c r="L1064"/>
  <c r="L1063"/>
  <c r="L1062"/>
  <c r="L1061"/>
  <c r="L1060"/>
  <c r="L1059"/>
  <c r="L1058"/>
  <c r="L1057"/>
  <c r="L1056"/>
  <c r="L1055"/>
  <c r="L1054"/>
  <c r="L1053"/>
  <c r="L1052"/>
  <c r="L1051"/>
  <c r="L1050"/>
  <c r="L1049"/>
  <c r="L1048"/>
  <c r="L1047"/>
  <c r="L1046"/>
  <c r="L1045"/>
  <c r="L1044"/>
  <c r="L1043"/>
  <c r="L1042"/>
  <c r="L1041"/>
  <c r="L1040"/>
  <c r="L1039"/>
  <c r="L1038"/>
  <c r="L1037"/>
  <c r="L1036"/>
  <c r="L1035"/>
  <c r="L1034"/>
  <c r="L1033"/>
  <c r="L1032"/>
  <c r="L1031"/>
  <c r="L1030"/>
  <c r="L1029"/>
  <c r="L1028"/>
  <c r="L1027"/>
  <c r="L1026"/>
  <c r="L1025"/>
  <c r="L1024"/>
  <c r="L1023"/>
  <c r="L1022"/>
  <c r="L1021"/>
  <c r="L1020"/>
  <c r="L1019"/>
  <c r="L1018"/>
  <c r="L1017"/>
  <c r="L1016"/>
  <c r="L1015"/>
  <c r="L1014"/>
  <c r="L1013"/>
  <c r="L1012"/>
  <c r="L1011"/>
  <c r="L1010"/>
  <c r="L1009"/>
  <c r="L1008"/>
  <c r="L1007"/>
  <c r="L1006"/>
  <c r="L1005"/>
  <c r="L1004"/>
  <c r="L1003"/>
  <c r="L1002"/>
  <c r="L1001"/>
  <c r="L1000"/>
  <c r="L999"/>
  <c r="L998"/>
  <c r="L997"/>
  <c r="L996"/>
  <c r="L995"/>
  <c r="L994"/>
  <c r="L993"/>
  <c r="L992"/>
  <c r="L991"/>
  <c r="L990"/>
  <c r="L989"/>
  <c r="L988"/>
  <c r="L987"/>
  <c r="L986"/>
  <c r="L985"/>
  <c r="L984"/>
  <c r="L983"/>
  <c r="L982"/>
  <c r="L981"/>
  <c r="L980"/>
  <c r="L979"/>
  <c r="L978"/>
  <c r="L977"/>
  <c r="L976"/>
  <c r="L975"/>
  <c r="L974"/>
  <c r="L973"/>
  <c r="L972"/>
  <c r="L971"/>
  <c r="L970"/>
  <c r="L969"/>
  <c r="L968"/>
  <c r="L967"/>
  <c r="L966"/>
  <c r="L965"/>
  <c r="L964"/>
  <c r="L963"/>
  <c r="L962"/>
  <c r="L961"/>
  <c r="L960"/>
  <c r="L959"/>
  <c r="L958"/>
  <c r="L957"/>
  <c r="L956"/>
  <c r="L955"/>
  <c r="L954"/>
  <c r="L953"/>
  <c r="L952"/>
  <c r="L951"/>
  <c r="L950"/>
  <c r="L949"/>
  <c r="L948"/>
  <c r="L947"/>
  <c r="L946"/>
  <c r="L945"/>
  <c r="L944"/>
  <c r="L943"/>
  <c r="L942"/>
  <c r="L941"/>
  <c r="L940"/>
  <c r="L939"/>
  <c r="L938"/>
  <c r="L937"/>
  <c r="L936"/>
  <c r="L935"/>
  <c r="L934"/>
  <c r="L933"/>
  <c r="L932"/>
  <c r="L931"/>
  <c r="L930"/>
  <c r="L929"/>
  <c r="L928"/>
  <c r="L927"/>
  <c r="L926"/>
  <c r="L925"/>
  <c r="L924"/>
  <c r="L923"/>
  <c r="L921"/>
  <c r="L920"/>
  <c r="L919"/>
  <c r="L918"/>
  <c r="L917"/>
  <c r="L916"/>
  <c r="L915"/>
  <c r="L914"/>
  <c r="L913"/>
  <c r="L912"/>
  <c r="L911"/>
  <c r="L910"/>
  <c r="L909"/>
  <c r="L908"/>
  <c r="L907"/>
  <c r="L906"/>
  <c r="L905"/>
  <c r="L904"/>
  <c r="L903"/>
  <c r="L902"/>
  <c r="L901"/>
  <c r="L900"/>
  <c r="L899"/>
  <c r="L898"/>
  <c r="L897"/>
  <c r="L896"/>
  <c r="L895"/>
  <c r="L894"/>
  <c r="L893"/>
  <c r="L892"/>
  <c r="L891"/>
  <c r="L890"/>
  <c r="L889"/>
  <c r="L888"/>
  <c r="L887"/>
  <c r="L886"/>
  <c r="L885"/>
  <c r="L884"/>
  <c r="L883"/>
  <c r="L882"/>
  <c r="L881"/>
  <c r="L880"/>
  <c r="L879"/>
  <c r="L878"/>
  <c r="L877"/>
  <c r="L876"/>
  <c r="L873"/>
  <c r="L872"/>
  <c r="L871"/>
  <c r="L870"/>
  <c r="L869"/>
  <c r="L868"/>
  <c r="L867"/>
  <c r="L866"/>
  <c r="L865"/>
  <c r="L864"/>
  <c r="L860"/>
  <c r="L859"/>
  <c r="L858"/>
  <c r="L857"/>
  <c r="L856"/>
  <c r="L855"/>
  <c r="L854"/>
  <c r="L853"/>
  <c r="L852"/>
  <c r="L851"/>
  <c r="L850"/>
  <c r="L849"/>
  <c r="L848"/>
  <c r="L847"/>
  <c r="L846"/>
  <c r="L845"/>
  <c r="L844"/>
  <c r="L843"/>
  <c r="L842"/>
  <c r="L841"/>
  <c r="L840"/>
  <c r="L839"/>
  <c r="L838"/>
  <c r="L837"/>
  <c r="L836"/>
  <c r="L835"/>
  <c r="L834"/>
  <c r="L833"/>
  <c r="L832"/>
  <c r="L831"/>
  <c r="L830"/>
  <c r="L829"/>
  <c r="L828"/>
  <c r="L827"/>
  <c r="L826"/>
  <c r="L825"/>
  <c r="L824"/>
  <c r="L823"/>
  <c r="L822"/>
  <c r="L821"/>
  <c r="L820"/>
  <c r="L819"/>
  <c r="L818"/>
  <c r="L817"/>
  <c r="L816"/>
  <c r="L815"/>
  <c r="L814"/>
  <c r="L813"/>
  <c r="L812"/>
  <c r="L811"/>
  <c r="L810"/>
  <c r="L809"/>
  <c r="L808"/>
  <c r="L807"/>
  <c r="L806"/>
  <c r="L805"/>
  <c r="L804"/>
  <c r="L803"/>
  <c r="L802"/>
  <c r="L801"/>
  <c r="L800"/>
  <c r="L799"/>
  <c r="L798"/>
  <c r="L797"/>
  <c r="L796"/>
  <c r="L795"/>
  <c r="L794"/>
  <c r="L793"/>
  <c r="L792"/>
  <c r="L791"/>
  <c r="L790"/>
  <c r="L789"/>
  <c r="L788"/>
  <c r="L787"/>
  <c r="L786"/>
  <c r="L785"/>
  <c r="L784"/>
  <c r="L783"/>
  <c r="L782"/>
  <c r="L781"/>
  <c r="L780"/>
  <c r="L779"/>
  <c r="L778"/>
  <c r="L777"/>
  <c r="L776"/>
  <c r="L775"/>
  <c r="L774"/>
  <c r="L773"/>
  <c r="L772"/>
  <c r="L771"/>
  <c r="L770"/>
  <c r="L769"/>
  <c r="L768"/>
  <c r="L767"/>
  <c r="L766"/>
  <c r="L765"/>
  <c r="L764"/>
  <c r="L763"/>
  <c r="L762"/>
  <c r="L761"/>
  <c r="L760"/>
  <c r="L759"/>
  <c r="L758"/>
  <c r="L757"/>
  <c r="L756"/>
  <c r="L755"/>
  <c r="L754"/>
  <c r="L753"/>
  <c r="L752"/>
  <c r="L751"/>
  <c r="L750"/>
  <c r="L748"/>
  <c r="L747"/>
  <c r="L746"/>
  <c r="L745"/>
  <c r="L743"/>
  <c r="L742"/>
  <c r="L741"/>
  <c r="L739"/>
  <c r="L738"/>
  <c r="L737"/>
  <c r="L736"/>
  <c r="L735"/>
  <c r="L734"/>
  <c r="L733"/>
  <c r="L732"/>
  <c r="L731"/>
  <c r="L730"/>
  <c r="L729"/>
  <c r="L728"/>
  <c r="L727"/>
  <c r="L726"/>
  <c r="L725"/>
  <c r="L724"/>
  <c r="L723"/>
  <c r="L722"/>
  <c r="L721"/>
  <c r="L720"/>
  <c r="L719"/>
  <c r="L717"/>
  <c r="L716"/>
  <c r="L714"/>
  <c r="L713"/>
  <c r="L712"/>
  <c r="L711"/>
  <c r="L710"/>
  <c r="L709"/>
  <c r="L708"/>
  <c r="L707"/>
  <c r="L706"/>
  <c r="L705"/>
  <c r="L704"/>
  <c r="L703"/>
  <c r="L702"/>
  <c r="L701"/>
  <c r="L700"/>
  <c r="L699"/>
  <c r="L698"/>
  <c r="L697"/>
  <c r="L696"/>
  <c r="L695"/>
  <c r="L694"/>
  <c r="L693"/>
  <c r="L692"/>
  <c r="L691"/>
  <c r="L690"/>
  <c r="L689"/>
  <c r="L688"/>
  <c r="L687"/>
  <c r="L686"/>
  <c r="L685"/>
  <c r="L684"/>
  <c r="L683"/>
  <c r="L682"/>
  <c r="L681"/>
  <c r="L680"/>
  <c r="L679"/>
  <c r="L678"/>
  <c r="L677"/>
  <c r="L676"/>
  <c r="L675"/>
  <c r="L674"/>
  <c r="L673"/>
  <c r="L672"/>
  <c r="L671"/>
  <c r="L670"/>
  <c r="L669"/>
  <c r="L668"/>
  <c r="L667"/>
  <c r="L666"/>
  <c r="L665"/>
  <c r="L664"/>
  <c r="L663"/>
  <c r="L662"/>
  <c r="L661"/>
  <c r="L660"/>
  <c r="L659"/>
  <c r="L658"/>
  <c r="L657"/>
  <c r="L656"/>
  <c r="L655"/>
  <c r="L654"/>
  <c r="L653"/>
  <c r="L651"/>
  <c r="L650"/>
  <c r="L649"/>
  <c r="L648"/>
  <c r="L647"/>
  <c r="L646"/>
  <c r="L645"/>
  <c r="L644"/>
  <c r="L643"/>
  <c r="L642"/>
  <c r="L641"/>
  <c r="L640"/>
  <c r="L639"/>
  <c r="L638"/>
  <c r="L637"/>
  <c r="L636"/>
  <c r="L635"/>
  <c r="L634"/>
  <c r="L633"/>
  <c r="L632"/>
  <c r="L631"/>
  <c r="L630"/>
  <c r="L629"/>
  <c r="L628"/>
  <c r="L627"/>
  <c r="L626"/>
  <c r="L625"/>
  <c r="L624"/>
  <c r="L623"/>
  <c r="L622"/>
  <c r="L621"/>
  <c r="L620"/>
  <c r="L619"/>
  <c r="L618"/>
  <c r="L617"/>
  <c r="L616"/>
  <c r="L615"/>
  <c r="L614"/>
  <c r="L613"/>
  <c r="L609"/>
  <c r="L608"/>
  <c r="L607"/>
  <c r="L606"/>
  <c r="L605"/>
  <c r="L604"/>
  <c r="L603"/>
  <c r="L602"/>
  <c r="L601"/>
  <c r="L600"/>
  <c r="L599"/>
  <c r="L598"/>
  <c r="L597"/>
  <c r="L596"/>
  <c r="L595"/>
  <c r="L594"/>
  <c r="L592"/>
  <c r="L591"/>
  <c r="L590"/>
  <c r="L589"/>
  <c r="L588"/>
  <c r="L587"/>
  <c r="L586"/>
  <c r="L585"/>
  <c r="L584"/>
  <c r="L583"/>
  <c r="L582"/>
  <c r="L581"/>
  <c r="L580"/>
  <c r="L579"/>
  <c r="L578"/>
  <c r="L577"/>
  <c r="L576"/>
  <c r="L575"/>
  <c r="L574"/>
  <c r="L573"/>
  <c r="L572"/>
  <c r="L571"/>
  <c r="L570"/>
  <c r="L569"/>
  <c r="L568"/>
  <c r="L567"/>
  <c r="L566"/>
  <c r="L565"/>
  <c r="L564"/>
  <c r="L563"/>
  <c r="L562"/>
  <c r="L561"/>
  <c r="L560"/>
  <c r="L559"/>
  <c r="L558"/>
  <c r="L557"/>
  <c r="L556"/>
  <c r="L555"/>
  <c r="L554"/>
  <c r="L553"/>
  <c r="L552"/>
  <c r="L551"/>
  <c r="L550"/>
  <c r="L549"/>
  <c r="L548"/>
  <c r="L547"/>
  <c r="L546"/>
  <c r="L545"/>
  <c r="L544"/>
  <c r="L543"/>
  <c r="L542"/>
  <c r="L541"/>
  <c r="L540"/>
  <c r="L539"/>
  <c r="L538"/>
  <c r="L537"/>
  <c r="L536"/>
  <c r="L535"/>
  <c r="L534"/>
  <c r="L533"/>
  <c r="L532"/>
  <c r="L531"/>
  <c r="L530"/>
  <c r="L529"/>
  <c r="L528"/>
  <c r="L527"/>
  <c r="L526"/>
  <c r="L525"/>
  <c r="L524"/>
  <c r="L523"/>
  <c r="L522"/>
  <c r="L521"/>
  <c r="L520"/>
  <c r="L519"/>
  <c r="L518"/>
  <c r="L517"/>
  <c r="L516"/>
  <c r="L515"/>
  <c r="L514"/>
  <c r="L513"/>
  <c r="L512"/>
  <c r="L511"/>
  <c r="L510"/>
  <c r="L509"/>
  <c r="L508"/>
  <c r="L507"/>
  <c r="L506"/>
  <c r="L505"/>
  <c r="L504"/>
  <c r="L503"/>
  <c r="L502"/>
  <c r="L501"/>
  <c r="L500"/>
  <c r="L499"/>
  <c r="L498"/>
  <c r="L497"/>
  <c r="L496"/>
  <c r="L495"/>
  <c r="L494"/>
  <c r="L493"/>
  <c r="L492"/>
  <c r="L491"/>
  <c r="L490"/>
  <c r="L489"/>
  <c r="L488"/>
  <c r="L487"/>
  <c r="L486"/>
  <c r="L485"/>
  <c r="L484"/>
  <c r="L483"/>
  <c r="L482"/>
  <c r="L481"/>
  <c r="L480"/>
  <c r="L479"/>
  <c r="L478"/>
  <c r="L477"/>
  <c r="L476"/>
  <c r="L475"/>
  <c r="L474"/>
  <c r="L473"/>
  <c r="L472"/>
  <c r="L471"/>
  <c r="L470"/>
  <c r="L469"/>
  <c r="L468"/>
  <c r="L467"/>
  <c r="L466"/>
  <c r="L465"/>
  <c r="L464"/>
  <c r="L463"/>
  <c r="L462"/>
  <c r="L461"/>
  <c r="L460"/>
  <c r="L459"/>
  <c r="L458"/>
  <c r="L457"/>
  <c r="L456"/>
  <c r="L455"/>
  <c r="L454"/>
  <c r="L453"/>
  <c r="L452"/>
  <c r="L451"/>
  <c r="L450"/>
  <c r="L449"/>
  <c r="L448"/>
  <c r="L447"/>
  <c r="L446"/>
  <c r="L445"/>
  <c r="L444"/>
  <c r="L443"/>
  <c r="L442"/>
  <c r="L441"/>
  <c r="L440"/>
  <c r="L439"/>
  <c r="L438"/>
  <c r="L437"/>
  <c r="L436"/>
  <c r="L435"/>
  <c r="L434"/>
  <c r="L433"/>
  <c r="L432"/>
  <c r="L431"/>
  <c r="L430"/>
  <c r="L429"/>
  <c r="L428"/>
  <c r="L427"/>
  <c r="L426"/>
  <c r="L425"/>
  <c r="L424"/>
  <c r="L423"/>
  <c r="L422"/>
  <c r="L421"/>
  <c r="L420"/>
  <c r="L419"/>
  <c r="L418"/>
  <c r="L417"/>
  <c r="L416"/>
  <c r="L415"/>
  <c r="L414"/>
  <c r="L413"/>
  <c r="L412"/>
  <c r="L411"/>
  <c r="L410"/>
  <c r="L409"/>
  <c r="L408"/>
  <c r="L407"/>
  <c r="L406"/>
  <c r="L405"/>
  <c r="L404"/>
  <c r="L403"/>
  <c r="L402"/>
  <c r="L401"/>
  <c r="L400"/>
  <c r="L399"/>
  <c r="L398"/>
  <c r="L397"/>
  <c r="L396"/>
  <c r="L395"/>
  <c r="L394"/>
  <c r="L393"/>
  <c r="L392"/>
  <c r="L391"/>
  <c r="L390"/>
  <c r="L389"/>
  <c r="L388"/>
  <c r="L387"/>
  <c r="L386"/>
  <c r="L385"/>
  <c r="L384"/>
  <c r="L383"/>
  <c r="L382"/>
  <c r="L381"/>
  <c r="L380"/>
  <c r="L379"/>
  <c r="L378"/>
  <c r="L377"/>
  <c r="L376"/>
  <c r="L375"/>
  <c r="L374"/>
  <c r="L373"/>
  <c r="L372"/>
  <c r="L371"/>
  <c r="L370"/>
  <c r="L369"/>
  <c r="L368"/>
  <c r="L367"/>
  <c r="L366"/>
  <c r="L365"/>
  <c r="L364"/>
  <c r="L363"/>
  <c r="L362"/>
  <c r="L361"/>
  <c r="L360"/>
  <c r="L359"/>
  <c r="L358"/>
  <c r="L357"/>
  <c r="L356"/>
  <c r="L355"/>
  <c r="L354"/>
  <c r="L353"/>
  <c r="L352"/>
  <c r="L351"/>
  <c r="L350"/>
  <c r="L349"/>
  <c r="L348"/>
  <c r="L347"/>
  <c r="L346"/>
  <c r="L345"/>
  <c r="L344"/>
  <c r="L343"/>
  <c r="L342"/>
  <c r="L341"/>
  <c r="L340"/>
  <c r="L339"/>
  <c r="L338"/>
  <c r="L337"/>
  <c r="L336"/>
  <c r="L334"/>
  <c r="L333"/>
  <c r="L332"/>
  <c r="L331"/>
  <c r="L330"/>
  <c r="L329"/>
  <c r="L328"/>
  <c r="L327"/>
  <c r="L326"/>
  <c r="L325"/>
  <c r="L324"/>
  <c r="L323"/>
  <c r="L322"/>
  <c r="L321"/>
  <c r="L320"/>
  <c r="L319"/>
  <c r="L318"/>
  <c r="L317"/>
  <c r="L316"/>
  <c r="L315"/>
  <c r="L314"/>
  <c r="L313"/>
  <c r="L312"/>
  <c r="L311"/>
  <c r="L310"/>
  <c r="L309"/>
  <c r="L308"/>
  <c r="L307"/>
  <c r="L306"/>
  <c r="L305"/>
  <c r="L304"/>
  <c r="L303"/>
  <c r="L302"/>
  <c r="L301"/>
  <c r="L300"/>
  <c r="L299"/>
  <c r="L298"/>
  <c r="L297"/>
  <c r="L296"/>
  <c r="L295"/>
  <c r="L294"/>
  <c r="L293"/>
  <c r="L292"/>
  <c r="L291"/>
  <c r="L290"/>
  <c r="L289"/>
  <c r="L288"/>
  <c r="L287"/>
  <c r="L286"/>
  <c r="L285"/>
  <c r="L284"/>
  <c r="L283"/>
  <c r="L282"/>
  <c r="L281"/>
  <c r="L280"/>
  <c r="L279"/>
  <c r="L278"/>
  <c r="L277"/>
  <c r="L276"/>
  <c r="L275"/>
  <c r="L274"/>
  <c r="L273"/>
  <c r="L272"/>
  <c r="L271"/>
  <c r="L270"/>
  <c r="L269"/>
  <c r="L268"/>
  <c r="L267"/>
  <c r="L266"/>
  <c r="L265"/>
  <c r="L264"/>
  <c r="L263"/>
  <c r="L262"/>
  <c r="L261"/>
  <c r="L260"/>
  <c r="L259"/>
  <c r="L258"/>
  <c r="L257"/>
  <c r="L256"/>
  <c r="L255"/>
  <c r="L254"/>
  <c r="L253"/>
  <c r="L252"/>
  <c r="L251"/>
  <c r="L250"/>
  <c r="L249"/>
  <c r="L248"/>
  <c r="L247"/>
  <c r="L246"/>
  <c r="L245"/>
  <c r="L244"/>
  <c r="L243"/>
  <c r="L242"/>
  <c r="L241"/>
  <c r="L240"/>
  <c r="L239"/>
  <c r="L238"/>
  <c r="L237"/>
  <c r="L236"/>
  <c r="L235"/>
  <c r="L234"/>
  <c r="L233"/>
  <c r="L232"/>
  <c r="L231"/>
  <c r="L230"/>
  <c r="L229"/>
  <c r="L228"/>
  <c r="L227"/>
  <c r="L226"/>
  <c r="L225"/>
  <c r="L224"/>
  <c r="L223"/>
  <c r="L222"/>
  <c r="L221"/>
  <c r="L220"/>
  <c r="L219"/>
  <c r="L218"/>
  <c r="L217"/>
  <c r="L216"/>
  <c r="L215"/>
  <c r="L214"/>
  <c r="L213"/>
  <c r="L212"/>
  <c r="L211"/>
  <c r="L210"/>
  <c r="L209"/>
  <c r="L208"/>
  <c r="L207"/>
  <c r="L206"/>
  <c r="L205"/>
  <c r="L204"/>
  <c r="L203"/>
  <c r="L202"/>
  <c r="L201"/>
  <c r="L200"/>
  <c r="L199"/>
  <c r="L198"/>
  <c r="L197"/>
  <c r="L196"/>
  <c r="L195"/>
  <c r="L194"/>
  <c r="L193"/>
  <c r="L192"/>
  <c r="L191"/>
  <c r="L190"/>
  <c r="L189"/>
  <c r="L188"/>
  <c r="L187"/>
  <c r="L186"/>
  <c r="L185"/>
  <c r="L184"/>
  <c r="L183"/>
  <c r="L182"/>
  <c r="L181"/>
  <c r="L180"/>
  <c r="L179"/>
  <c r="L178"/>
  <c r="L177"/>
  <c r="L176"/>
  <c r="L175"/>
  <c r="L174"/>
  <c r="L173"/>
  <c r="L172"/>
  <c r="L171"/>
  <c r="L170"/>
  <c r="L169"/>
  <c r="L168"/>
  <c r="L167"/>
  <c r="L166"/>
  <c r="L165"/>
  <c r="L164"/>
  <c r="L163"/>
  <c r="L162"/>
  <c r="L161"/>
  <c r="L160"/>
  <c r="L159"/>
  <c r="L158"/>
  <c r="L157"/>
  <c r="L156"/>
  <c r="L155"/>
  <c r="L154"/>
  <c r="L153"/>
  <c r="L152"/>
  <c r="L151"/>
  <c r="L150"/>
  <c r="L149"/>
  <c r="L148"/>
  <c r="L147"/>
  <c r="L146"/>
  <c r="L145"/>
  <c r="L144"/>
  <c r="L143"/>
  <c r="L142"/>
  <c r="L141"/>
  <c r="L140"/>
  <c r="L139"/>
  <c r="L138"/>
  <c r="L137"/>
  <c r="L136"/>
  <c r="L135"/>
  <c r="L134"/>
  <c r="L133"/>
  <c r="L132"/>
  <c r="L131"/>
  <c r="L130"/>
  <c r="L129"/>
  <c r="L128"/>
  <c r="L127"/>
  <c r="L126"/>
  <c r="L125"/>
  <c r="L124"/>
  <c r="L123"/>
  <c r="L122"/>
  <c r="L121"/>
  <c r="L120"/>
  <c r="L119"/>
  <c r="L118"/>
  <c r="L117"/>
  <c r="L116"/>
  <c r="L115"/>
  <c r="L114"/>
  <c r="L113"/>
  <c r="L112"/>
  <c r="L111"/>
  <c r="L110"/>
  <c r="L109"/>
  <c r="L108"/>
  <c r="L107"/>
  <c r="L106"/>
  <c r="L105"/>
  <c r="L104"/>
  <c r="L103"/>
  <c r="L102"/>
  <c r="L101"/>
  <c r="L100"/>
  <c r="L99"/>
  <c r="L98"/>
  <c r="L97"/>
  <c r="L96"/>
  <c r="L95"/>
  <c r="L94"/>
  <c r="L93"/>
  <c r="L92"/>
  <c r="L91"/>
  <c r="L90"/>
  <c r="L89"/>
  <c r="L88"/>
  <c r="L87"/>
  <c r="L86"/>
  <c r="L85"/>
  <c r="L84"/>
  <c r="L83"/>
  <c r="L82"/>
  <c r="L81"/>
  <c r="L80"/>
  <c r="L79"/>
  <c r="L78"/>
  <c r="L77"/>
  <c r="L76"/>
  <c r="L75"/>
  <c r="L74"/>
  <c r="L73"/>
  <c r="L72"/>
  <c r="L71"/>
  <c r="L70"/>
  <c r="L69"/>
  <c r="L68"/>
  <c r="L67"/>
  <c r="L66"/>
  <c r="L65"/>
  <c r="L64"/>
  <c r="L63"/>
  <c r="L62"/>
  <c r="L61"/>
  <c r="L60"/>
  <c r="L59"/>
  <c r="L58"/>
  <c r="L57"/>
  <c r="L56"/>
  <c r="L55"/>
  <c r="L54"/>
  <c r="L53"/>
  <c r="L52"/>
  <c r="L51"/>
  <c r="L50"/>
  <c r="L49"/>
  <c r="L48"/>
  <c r="L47"/>
  <c r="L46"/>
  <c r="L45"/>
  <c r="L44"/>
  <c r="L43"/>
  <c r="L42"/>
  <c r="L41"/>
  <c r="L40"/>
  <c r="L39"/>
  <c r="L38"/>
  <c r="L37"/>
  <c r="L36"/>
  <c r="L35"/>
  <c r="L34"/>
  <c r="L33"/>
  <c r="L32"/>
  <c r="L31"/>
  <c r="L30"/>
  <c r="L29"/>
  <c r="L28"/>
  <c r="L27"/>
  <c r="L26"/>
  <c r="L25"/>
  <c r="L24"/>
  <c r="L23"/>
  <c r="L22"/>
  <c r="L21"/>
  <c r="L20"/>
  <c r="L19"/>
  <c r="L18"/>
  <c r="L17"/>
  <c r="L16"/>
  <c r="L15"/>
  <c r="L14"/>
  <c r="L13"/>
  <c r="L12"/>
  <c r="L11"/>
  <c r="L10"/>
  <c r="L9"/>
  <c r="L8"/>
  <c r="L7"/>
  <c r="L6"/>
  <c r="H1074"/>
  <c r="H1073"/>
  <c r="H1072"/>
  <c r="H1071"/>
  <c r="H1070"/>
  <c r="H1069"/>
  <c r="H1068"/>
  <c r="H1067"/>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5"/>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70"/>
  <c r="H969"/>
  <c r="H968"/>
  <c r="H967"/>
  <c r="H966"/>
  <c r="H965"/>
  <c r="H964"/>
  <c r="H963"/>
  <c r="H962"/>
  <c r="H961"/>
  <c r="H960"/>
  <c r="H959"/>
  <c r="H958"/>
  <c r="H957"/>
  <c r="H956"/>
  <c r="H955"/>
  <c r="H954"/>
  <c r="H953"/>
  <c r="H952"/>
  <c r="H951"/>
  <c r="H950"/>
  <c r="H949"/>
  <c r="H948"/>
  <c r="H947"/>
  <c r="H946"/>
  <c r="H945"/>
  <c r="H944"/>
  <c r="H943"/>
  <c r="H942"/>
  <c r="H941"/>
  <c r="H940"/>
  <c r="H939"/>
  <c r="H938"/>
  <c r="H937"/>
  <c r="H936"/>
  <c r="H935"/>
  <c r="H934"/>
  <c r="H933"/>
  <c r="H932"/>
  <c r="H931"/>
  <c r="H930"/>
  <c r="H929"/>
  <c r="H928"/>
  <c r="H927"/>
  <c r="H926"/>
  <c r="H925"/>
  <c r="H924"/>
  <c r="H923"/>
  <c r="H921"/>
  <c r="H920"/>
  <c r="H919"/>
  <c r="H918"/>
  <c r="H917"/>
  <c r="H916"/>
  <c r="H915"/>
  <c r="H914"/>
  <c r="H913"/>
  <c r="H912"/>
  <c r="H911"/>
  <c r="H910"/>
  <c r="H909"/>
  <c r="H908"/>
  <c r="H907"/>
  <c r="H906"/>
  <c r="H905"/>
  <c r="H904"/>
  <c r="H903"/>
  <c r="H902"/>
  <c r="H901"/>
  <c r="H900"/>
  <c r="H899"/>
  <c r="H898"/>
  <c r="H897"/>
  <c r="H896"/>
  <c r="H895"/>
  <c r="H894"/>
  <c r="H893"/>
  <c r="H892"/>
  <c r="H891"/>
  <c r="H890"/>
  <c r="H889"/>
  <c r="H888"/>
  <c r="H887"/>
  <c r="H886"/>
  <c r="H885"/>
  <c r="H884"/>
  <c r="H883"/>
  <c r="H882"/>
  <c r="H881"/>
  <c r="H880"/>
  <c r="H879"/>
  <c r="H878"/>
  <c r="H877"/>
  <c r="H876"/>
  <c r="H873"/>
  <c r="H872"/>
  <c r="H871"/>
  <c r="H870"/>
  <c r="H869"/>
  <c r="H868"/>
  <c r="H867"/>
  <c r="H866"/>
  <c r="H865"/>
  <c r="H864"/>
  <c r="H860"/>
  <c r="H859"/>
  <c r="H858"/>
  <c r="H857"/>
  <c r="H856"/>
  <c r="H855"/>
  <c r="H854"/>
  <c r="H853"/>
  <c r="H852"/>
  <c r="H851"/>
  <c r="H850"/>
  <c r="H849"/>
  <c r="H848"/>
  <c r="H847"/>
  <c r="H846"/>
  <c r="H845"/>
  <c r="H844"/>
  <c r="H843"/>
  <c r="H842"/>
  <c r="H841"/>
  <c r="H840"/>
  <c r="H839"/>
  <c r="H838"/>
  <c r="H837"/>
  <c r="H836"/>
  <c r="H835"/>
  <c r="H834"/>
  <c r="H833"/>
  <c r="H832"/>
  <c r="H831"/>
  <c r="H830"/>
  <c r="H829"/>
  <c r="H828"/>
  <c r="H827"/>
  <c r="H826"/>
  <c r="H825"/>
  <c r="H824"/>
  <c r="H823"/>
  <c r="H822"/>
  <c r="H821"/>
  <c r="H820"/>
  <c r="H819"/>
  <c r="H818"/>
  <c r="H817"/>
  <c r="H816"/>
  <c r="H815"/>
  <c r="H814"/>
  <c r="H813"/>
  <c r="H812"/>
  <c r="H811"/>
  <c r="H810"/>
  <c r="H809"/>
  <c r="H808"/>
  <c r="H807"/>
  <c r="H806"/>
  <c r="H805"/>
  <c r="H804"/>
  <c r="H803"/>
  <c r="H802"/>
  <c r="H801"/>
  <c r="H800"/>
  <c r="H799"/>
  <c r="H798"/>
  <c r="H797"/>
  <c r="H796"/>
  <c r="H795"/>
  <c r="H794"/>
  <c r="H793"/>
  <c r="H792"/>
  <c r="H791"/>
  <c r="H790"/>
  <c r="H789"/>
  <c r="H788"/>
  <c r="H787"/>
  <c r="H786"/>
  <c r="H785"/>
  <c r="H784"/>
  <c r="H783"/>
  <c r="H782"/>
  <c r="H781"/>
  <c r="H780"/>
  <c r="H779"/>
  <c r="H778"/>
  <c r="H777"/>
  <c r="H776"/>
  <c r="H775"/>
  <c r="H774"/>
  <c r="H773"/>
  <c r="H772"/>
  <c r="H771"/>
  <c r="H770"/>
  <c r="H769"/>
  <c r="H768"/>
  <c r="H767"/>
  <c r="H766"/>
  <c r="H765"/>
  <c r="H764"/>
  <c r="H763"/>
  <c r="H762"/>
  <c r="H761"/>
  <c r="H760"/>
  <c r="H759"/>
  <c r="H758"/>
  <c r="H757"/>
  <c r="H756"/>
  <c r="H755"/>
  <c r="H754"/>
  <c r="H753"/>
  <c r="H752"/>
  <c r="H751"/>
  <c r="H750"/>
  <c r="H748"/>
  <c r="H747"/>
  <c r="H746"/>
  <c r="H745"/>
  <c r="H743"/>
  <c r="H742"/>
  <c r="H741"/>
  <c r="H739"/>
  <c r="H738"/>
  <c r="H737"/>
  <c r="H736"/>
  <c r="H735"/>
  <c r="H734"/>
  <c r="H733"/>
  <c r="H732"/>
  <c r="H731"/>
  <c r="H730"/>
  <c r="H729"/>
  <c r="H728"/>
  <c r="H727"/>
  <c r="H726"/>
  <c r="H725"/>
  <c r="H724"/>
  <c r="H723"/>
  <c r="H722"/>
  <c r="H721"/>
  <c r="H720"/>
  <c r="H719"/>
  <c r="H717"/>
  <c r="H716"/>
  <c r="H714"/>
  <c r="H713"/>
  <c r="H712"/>
  <c r="H711"/>
  <c r="H710"/>
  <c r="H709"/>
  <c r="H708"/>
  <c r="H707"/>
  <c r="H706"/>
  <c r="H705"/>
  <c r="H704"/>
  <c r="H703"/>
  <c r="H702"/>
  <c r="H701"/>
  <c r="H700"/>
  <c r="H699"/>
  <c r="H698"/>
  <c r="H697"/>
  <c r="H696"/>
  <c r="H695"/>
  <c r="H694"/>
  <c r="H693"/>
  <c r="H692"/>
  <c r="H691"/>
  <c r="H690"/>
  <c r="H689"/>
  <c r="H688"/>
  <c r="H687"/>
  <c r="H686"/>
  <c r="H685"/>
  <c r="H684"/>
  <c r="H683"/>
  <c r="H682"/>
  <c r="H681"/>
  <c r="H680"/>
  <c r="H679"/>
  <c r="H678"/>
  <c r="H677"/>
  <c r="H676"/>
  <c r="H675"/>
  <c r="H674"/>
  <c r="H673"/>
  <c r="H672"/>
  <c r="H671"/>
  <c r="H670"/>
  <c r="H669"/>
  <c r="H668"/>
  <c r="H667"/>
  <c r="H666"/>
  <c r="H665"/>
  <c r="H664"/>
  <c r="H663"/>
  <c r="H662"/>
  <c r="H661"/>
  <c r="H660"/>
  <c r="H659"/>
  <c r="H658"/>
  <c r="H657"/>
  <c r="H656"/>
  <c r="H655"/>
  <c r="H654"/>
  <c r="H653"/>
  <c r="H651"/>
  <c r="H650"/>
  <c r="H649"/>
  <c r="H648"/>
  <c r="H647"/>
  <c r="H646"/>
  <c r="H645"/>
  <c r="H644"/>
  <c r="H643"/>
  <c r="H642"/>
  <c r="H641"/>
  <c r="H640"/>
  <c r="H639"/>
  <c r="H638"/>
  <c r="H637"/>
  <c r="H636"/>
  <c r="H635"/>
  <c r="H634"/>
  <c r="H633"/>
  <c r="H632"/>
  <c r="H631"/>
  <c r="H630"/>
  <c r="H629"/>
  <c r="H628"/>
  <c r="H627"/>
  <c r="H626"/>
  <c r="H625"/>
  <c r="H624"/>
  <c r="H623"/>
  <c r="H622"/>
  <c r="H621"/>
  <c r="H620"/>
  <c r="H619"/>
  <c r="H618"/>
  <c r="H617"/>
  <c r="H616"/>
  <c r="H615"/>
  <c r="H614"/>
  <c r="H613"/>
  <c r="H609"/>
  <c r="H608"/>
  <c r="H607"/>
  <c r="H606"/>
  <c r="H605"/>
  <c r="H604"/>
  <c r="H603"/>
  <c r="H602"/>
  <c r="H601"/>
  <c r="H600"/>
  <c r="H599"/>
  <c r="H598"/>
  <c r="H597"/>
  <c r="H596"/>
  <c r="H595"/>
  <c r="H594"/>
  <c r="H592"/>
  <c r="H591"/>
  <c r="H590"/>
  <c r="H589"/>
  <c r="H588"/>
  <c r="H587"/>
  <c r="H586"/>
  <c r="H585"/>
  <c r="H584"/>
  <c r="H583"/>
  <c r="H582"/>
  <c r="H581"/>
  <c r="H580"/>
  <c r="H579"/>
  <c r="H578"/>
  <c r="H577"/>
  <c r="H576"/>
  <c r="H575"/>
  <c r="H574"/>
  <c r="H573"/>
  <c r="H572"/>
  <c r="H571"/>
  <c r="H570"/>
  <c r="H569"/>
  <c r="H568"/>
  <c r="H567"/>
  <c r="H566"/>
  <c r="H565"/>
  <c r="H564"/>
  <c r="H563"/>
  <c r="H562"/>
  <c r="H561"/>
  <c r="H560"/>
  <c r="H559"/>
  <c r="H558"/>
  <c r="H557"/>
  <c r="H556"/>
  <c r="H555"/>
  <c r="H554"/>
  <c r="H553"/>
  <c r="H552"/>
  <c r="H551"/>
  <c r="H550"/>
  <c r="H549"/>
  <c r="H548"/>
  <c r="H547"/>
  <c r="H546"/>
  <c r="H545"/>
  <c r="H544"/>
  <c r="H543"/>
  <c r="H542"/>
  <c r="H541"/>
  <c r="H540"/>
  <c r="H539"/>
  <c r="H538"/>
  <c r="H537"/>
  <c r="H536"/>
  <c r="H535"/>
  <c r="H534"/>
  <c r="H533"/>
  <c r="H532"/>
  <c r="H531"/>
  <c r="H530"/>
  <c r="H529"/>
  <c r="H528"/>
  <c r="H527"/>
  <c r="H526"/>
  <c r="H525"/>
  <c r="H524"/>
  <c r="H523"/>
  <c r="H522"/>
  <c r="H521"/>
  <c r="H520"/>
  <c r="H519"/>
  <c r="H518"/>
  <c r="H517"/>
  <c r="H516"/>
  <c r="H515"/>
  <c r="H514"/>
  <c r="H513"/>
  <c r="H512"/>
  <c r="H511"/>
  <c r="H510"/>
  <c r="H509"/>
  <c r="H508"/>
  <c r="H507"/>
  <c r="H506"/>
  <c r="H505"/>
  <c r="H504"/>
  <c r="H503"/>
  <c r="H502"/>
  <c r="H501"/>
  <c r="H500"/>
  <c r="H499"/>
  <c r="H498"/>
  <c r="H497"/>
  <c r="H496"/>
  <c r="H495"/>
  <c r="H494"/>
  <c r="H493"/>
  <c r="H492"/>
  <c r="H491"/>
  <c r="H490"/>
  <c r="H489"/>
  <c r="H488"/>
  <c r="H487"/>
  <c r="H486"/>
  <c r="H485"/>
  <c r="H484"/>
  <c r="H483"/>
  <c r="H482"/>
  <c r="H481"/>
  <c r="H480"/>
  <c r="H479"/>
  <c r="H478"/>
  <c r="H477"/>
  <c r="H476"/>
  <c r="H475"/>
  <c r="H474"/>
  <c r="H473"/>
  <c r="H472"/>
  <c r="H471"/>
  <c r="H470"/>
  <c r="H469"/>
  <c r="H468"/>
  <c r="H467"/>
  <c r="H466"/>
  <c r="H465"/>
  <c r="H464"/>
  <c r="H463"/>
  <c r="H462"/>
  <c r="H461"/>
  <c r="H460"/>
  <c r="H459"/>
  <c r="H458"/>
  <c r="H457"/>
  <c r="H456"/>
  <c r="H455"/>
  <c r="H454"/>
  <c r="H453"/>
  <c r="H452"/>
  <c r="H451"/>
  <c r="H450"/>
  <c r="H449"/>
  <c r="H448"/>
  <c r="H447"/>
  <c r="H446"/>
  <c r="H445"/>
  <c r="H444"/>
  <c r="H443"/>
  <c r="H442"/>
  <c r="H441"/>
  <c r="H440"/>
  <c r="H439"/>
  <c r="H438"/>
  <c r="H437"/>
  <c r="H436"/>
  <c r="H435"/>
  <c r="H434"/>
  <c r="H433"/>
  <c r="H432"/>
  <c r="H431"/>
  <c r="H430"/>
  <c r="H429"/>
  <c r="H428"/>
  <c r="H427"/>
  <c r="H426"/>
  <c r="H425"/>
  <c r="H424"/>
  <c r="H423"/>
  <c r="H422"/>
  <c r="H421"/>
  <c r="H420"/>
  <c r="H419"/>
  <c r="H418"/>
  <c r="H417"/>
  <c r="H416"/>
  <c r="H415"/>
  <c r="H414"/>
  <c r="H413"/>
  <c r="H412"/>
  <c r="H411"/>
  <c r="H410"/>
  <c r="H409"/>
  <c r="H408"/>
  <c r="H407"/>
  <c r="H406"/>
  <c r="H405"/>
  <c r="H404"/>
  <c r="H403"/>
  <c r="H402"/>
  <c r="H401"/>
  <c r="H400"/>
  <c r="H399"/>
  <c r="H398"/>
  <c r="H397"/>
  <c r="H396"/>
  <c r="H395"/>
  <c r="H394"/>
  <c r="H393"/>
  <c r="H392"/>
  <c r="H391"/>
  <c r="H390"/>
  <c r="H389"/>
  <c r="H388"/>
  <c r="H387"/>
  <c r="H386"/>
  <c r="H385"/>
  <c r="H384"/>
  <c r="H383"/>
  <c r="H382"/>
  <c r="H381"/>
  <c r="H380"/>
  <c r="H379"/>
  <c r="H378"/>
  <c r="H377"/>
  <c r="H376"/>
  <c r="H375"/>
  <c r="H374"/>
  <c r="H373"/>
  <c r="H372"/>
  <c r="H371"/>
  <c r="H370"/>
  <c r="H369"/>
  <c r="H368"/>
  <c r="H367"/>
  <c r="H366"/>
  <c r="H365"/>
  <c r="H364"/>
  <c r="H363"/>
  <c r="H362"/>
  <c r="H361"/>
  <c r="H360"/>
  <c r="H359"/>
  <c r="H358"/>
  <c r="H357"/>
  <c r="H356"/>
  <c r="H355"/>
  <c r="H354"/>
  <c r="H353"/>
  <c r="H352"/>
  <c r="H351"/>
  <c r="H350"/>
  <c r="H349"/>
  <c r="H348"/>
  <c r="H347"/>
  <c r="H346"/>
  <c r="H345"/>
  <c r="H344"/>
  <c r="H343"/>
  <c r="H342"/>
  <c r="H341"/>
  <c r="H340"/>
  <c r="H339"/>
  <c r="H338"/>
  <c r="H337"/>
  <c r="H336"/>
  <c r="H334"/>
  <c r="H333"/>
  <c r="H332"/>
  <c r="H331"/>
  <c r="H330"/>
  <c r="H329"/>
  <c r="H328"/>
  <c r="H327"/>
  <c r="H326"/>
  <c r="H325"/>
  <c r="H324"/>
  <c r="H323"/>
  <c r="H322"/>
  <c r="H321"/>
  <c r="H320"/>
  <c r="H319"/>
  <c r="H318"/>
  <c r="H317"/>
  <c r="H316"/>
  <c r="H315"/>
  <c r="H314"/>
  <c r="H313"/>
  <c r="H312"/>
  <c r="H311"/>
  <c r="H310"/>
  <c r="H309"/>
  <c r="H308"/>
  <c r="H307"/>
  <c r="H306"/>
  <c r="H305"/>
  <c r="H304"/>
  <c r="H303"/>
  <c r="H302"/>
  <c r="H301"/>
  <c r="H300"/>
  <c r="H299"/>
  <c r="H298"/>
  <c r="H297"/>
  <c r="H296"/>
  <c r="H295"/>
  <c r="H294"/>
  <c r="H293"/>
  <c r="H292"/>
  <c r="H291"/>
  <c r="H290"/>
  <c r="H289"/>
  <c r="H288"/>
  <c r="H287"/>
  <c r="H286"/>
  <c r="H285"/>
  <c r="H284"/>
  <c r="H283"/>
  <c r="H282"/>
  <c r="H281"/>
  <c r="H280"/>
  <c r="H279"/>
  <c r="H278"/>
  <c r="H277"/>
  <c r="H276"/>
  <c r="H275"/>
  <c r="H274"/>
  <c r="H273"/>
  <c r="H272"/>
  <c r="H271"/>
  <c r="H270"/>
  <c r="H269"/>
  <c r="H268"/>
  <c r="H267"/>
  <c r="H266"/>
  <c r="H265"/>
  <c r="H264"/>
  <c r="H263"/>
  <c r="H262"/>
  <c r="H261"/>
  <c r="H260"/>
  <c r="H259"/>
  <c r="H258"/>
  <c r="H257"/>
  <c r="H256"/>
  <c r="H255"/>
  <c r="H254"/>
  <c r="H253"/>
  <c r="H252"/>
  <c r="H251"/>
  <c r="H250"/>
  <c r="H249"/>
  <c r="H248"/>
  <c r="H247"/>
  <c r="H246"/>
  <c r="H245"/>
  <c r="H244"/>
  <c r="H243"/>
  <c r="H242"/>
  <c r="H241"/>
  <c r="H240"/>
  <c r="H239"/>
  <c r="H238"/>
  <c r="H237"/>
  <c r="H236"/>
  <c r="H235"/>
  <c r="H234"/>
  <c r="H233"/>
  <c r="H232"/>
  <c r="H231"/>
  <c r="H230"/>
  <c r="H229"/>
  <c r="H228"/>
  <c r="H227"/>
  <c r="H226"/>
  <c r="H225"/>
  <c r="H224"/>
  <c r="H223"/>
  <c r="H222"/>
  <c r="H221"/>
  <c r="H220"/>
  <c r="H219"/>
  <c r="H218"/>
  <c r="H217"/>
  <c r="H216"/>
  <c r="H215"/>
  <c r="H214"/>
  <c r="H213"/>
  <c r="H212"/>
  <c r="H211"/>
  <c r="H210"/>
  <c r="H209"/>
  <c r="H208"/>
  <c r="H207"/>
  <c r="H206"/>
  <c r="H205"/>
  <c r="H204"/>
  <c r="H203"/>
  <c r="H202"/>
  <c r="H201"/>
  <c r="H200"/>
  <c r="H199"/>
  <c r="H198"/>
  <c r="H197"/>
  <c r="H196"/>
  <c r="H195"/>
  <c r="H194"/>
  <c r="H193"/>
  <c r="H192"/>
  <c r="H191"/>
  <c r="H190"/>
  <c r="H189"/>
  <c r="H188"/>
  <c r="H187"/>
  <c r="H186"/>
  <c r="H185"/>
  <c r="H184"/>
  <c r="H183"/>
  <c r="H182"/>
  <c r="H181"/>
  <c r="H180"/>
  <c r="H179"/>
  <c r="H178"/>
  <c r="H177"/>
  <c r="H176"/>
  <c r="H175"/>
  <c r="H174"/>
  <c r="H173"/>
  <c r="H172"/>
  <c r="H171"/>
  <c r="H170"/>
  <c r="H169"/>
  <c r="H168"/>
  <c r="H167"/>
  <c r="H166"/>
  <c r="H165"/>
  <c r="H164"/>
  <c r="H163"/>
  <c r="H162"/>
  <c r="H161"/>
  <c r="H160"/>
  <c r="H159"/>
  <c r="H158"/>
  <c r="H157"/>
  <c r="H156"/>
  <c r="H155"/>
  <c r="H154"/>
  <c r="H153"/>
  <c r="H152"/>
  <c r="H151"/>
  <c r="H150"/>
  <c r="H149"/>
  <c r="H148"/>
  <c r="H147"/>
  <c r="H146"/>
  <c r="H145"/>
  <c r="H144"/>
  <c r="H143"/>
  <c r="H142"/>
  <c r="H141"/>
  <c r="H140"/>
  <c r="H139"/>
  <c r="H138"/>
  <c r="H137"/>
  <c r="H136"/>
  <c r="H135"/>
  <c r="H134"/>
  <c r="H133"/>
  <c r="H132"/>
  <c r="H131"/>
  <c r="H130"/>
  <c r="H129"/>
  <c r="H128"/>
  <c r="H127"/>
  <c r="H126"/>
  <c r="H125"/>
  <c r="H124"/>
  <c r="H123"/>
  <c r="H122"/>
  <c r="H121"/>
  <c r="H120"/>
  <c r="H119"/>
  <c r="H118"/>
  <c r="H117"/>
  <c r="H116"/>
  <c r="H115"/>
  <c r="H114"/>
  <c r="H113"/>
  <c r="H112"/>
  <c r="H111"/>
  <c r="H110"/>
  <c r="H109"/>
  <c r="H108"/>
  <c r="H107"/>
  <c r="H106"/>
  <c r="H105"/>
  <c r="H104"/>
  <c r="H103"/>
  <c r="H102"/>
  <c r="H101"/>
  <c r="H100"/>
  <c r="H99"/>
  <c r="H98"/>
  <c r="H97"/>
  <c r="H96"/>
  <c r="H95"/>
  <c r="H94"/>
  <c r="H93"/>
  <c r="H92"/>
  <c r="H91"/>
  <c r="H90"/>
  <c r="H89"/>
  <c r="H88"/>
  <c r="H87"/>
  <c r="H86"/>
  <c r="H85"/>
  <c r="H84"/>
  <c r="H83"/>
  <c r="H82"/>
  <c r="H81"/>
  <c r="H80"/>
  <c r="H79"/>
  <c r="H78"/>
  <c r="H77"/>
  <c r="H76"/>
  <c r="H75"/>
  <c r="H74"/>
  <c r="H73"/>
  <c r="H72"/>
  <c r="H71"/>
  <c r="H70"/>
  <c r="H69"/>
  <c r="H68"/>
  <c r="H67"/>
  <c r="H66"/>
  <c r="H65"/>
  <c r="H64"/>
  <c r="H63"/>
  <c r="H62"/>
  <c r="H61"/>
  <c r="H60"/>
  <c r="H59"/>
  <c r="H58"/>
  <c r="H57"/>
  <c r="H56"/>
  <c r="H55"/>
  <c r="H54"/>
  <c r="H53"/>
  <c r="H52"/>
  <c r="H51"/>
  <c r="H50"/>
  <c r="H49"/>
  <c r="H48"/>
  <c r="H47"/>
  <c r="H46"/>
  <c r="H45"/>
  <c r="H44"/>
  <c r="H43"/>
  <c r="H42"/>
  <c r="H41"/>
  <c r="H40"/>
  <c r="H39"/>
  <c r="H38"/>
  <c r="H37"/>
  <c r="H36"/>
  <c r="H35"/>
  <c r="H34"/>
  <c r="H33"/>
  <c r="H32"/>
  <c r="H31"/>
  <c r="H30"/>
  <c r="H29"/>
  <c r="H28"/>
  <c r="H27"/>
  <c r="H26"/>
  <c r="H25"/>
  <c r="H24"/>
  <c r="H23"/>
  <c r="H22"/>
  <c r="H21"/>
  <c r="H20"/>
  <c r="H19"/>
  <c r="H18"/>
  <c r="H17"/>
  <c r="H16"/>
  <c r="H15"/>
  <c r="H14"/>
  <c r="H13"/>
  <c r="H12"/>
  <c r="H11"/>
  <c r="H10"/>
  <c r="H9"/>
  <c r="H8"/>
  <c r="H7"/>
  <c r="H6"/>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3"/>
  <c r="F872"/>
  <c r="F871"/>
  <c r="F870"/>
  <c r="F869"/>
  <c r="F868"/>
  <c r="F867"/>
  <c r="F866"/>
  <c r="F865"/>
  <c r="F864"/>
  <c r="F860"/>
  <c r="F859"/>
  <c r="F858"/>
  <c r="F857"/>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8"/>
  <c r="F747"/>
  <c r="F746"/>
  <c r="F745"/>
  <c r="F743"/>
  <c r="F742"/>
  <c r="F741"/>
  <c r="F739"/>
  <c r="F738"/>
  <c r="F737"/>
  <c r="F736"/>
  <c r="F735"/>
  <c r="F734"/>
  <c r="F733"/>
  <c r="F732"/>
  <c r="F731"/>
  <c r="F730"/>
  <c r="F729"/>
  <c r="F728"/>
  <c r="F727"/>
  <c r="F726"/>
  <c r="F725"/>
  <c r="F724"/>
  <c r="F723"/>
  <c r="F722"/>
  <c r="F721"/>
  <c r="F720"/>
  <c r="F719"/>
  <c r="F717"/>
  <c r="F716"/>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09"/>
  <c r="F608"/>
  <c r="F607"/>
  <c r="F606"/>
  <c r="F605"/>
  <c r="F604"/>
  <c r="F603"/>
  <c r="F602"/>
  <c r="F601"/>
  <c r="F600"/>
  <c r="F599"/>
  <c r="F598"/>
  <c r="F597"/>
  <c r="F596"/>
  <c r="F595"/>
  <c r="F594"/>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F392"/>
  <c r="F391"/>
  <c r="F390"/>
  <c r="F389"/>
  <c r="F388"/>
  <c r="F387"/>
  <c r="F386"/>
  <c r="F385"/>
  <c r="F384"/>
  <c r="F383"/>
  <c r="F382"/>
  <c r="F381"/>
  <c r="F380"/>
  <c r="F379"/>
  <c r="F378"/>
  <c r="F377"/>
  <c r="F376"/>
  <c r="F375"/>
  <c r="F374"/>
  <c r="F373"/>
  <c r="F372"/>
  <c r="F371"/>
  <c r="F370"/>
  <c r="F369"/>
  <c r="F368"/>
  <c r="F367"/>
  <c r="F366"/>
  <c r="F365"/>
  <c r="F364"/>
  <c r="F363"/>
  <c r="F362"/>
  <c r="F361"/>
  <c r="F360"/>
  <c r="F359"/>
  <c r="F358"/>
  <c r="F357"/>
  <c r="F356"/>
  <c r="F355"/>
  <c r="F354"/>
  <c r="F353"/>
  <c r="F352"/>
  <c r="F351"/>
  <c r="F350"/>
  <c r="F349"/>
  <c r="F348"/>
  <c r="F347"/>
  <c r="F346"/>
  <c r="F345"/>
  <c r="F344"/>
  <c r="F343"/>
  <c r="F342"/>
  <c r="F341"/>
  <c r="F340"/>
  <c r="F339"/>
  <c r="F338"/>
  <c r="F337"/>
  <c r="F336"/>
  <c r="F334"/>
  <c r="F333"/>
  <c r="F332"/>
  <c r="F331"/>
  <c r="F330"/>
  <c r="F329"/>
  <c r="F328"/>
  <c r="F327"/>
  <c r="F326"/>
  <c r="F325"/>
  <c r="F324"/>
  <c r="F323"/>
  <c r="F322"/>
  <c r="F321"/>
  <c r="F320"/>
  <c r="F319"/>
  <c r="F318"/>
  <c r="F317"/>
  <c r="F316"/>
  <c r="F315"/>
  <c r="F314"/>
  <c r="F313"/>
  <c r="F312"/>
  <c r="F311"/>
  <c r="F310"/>
  <c r="F309"/>
  <c r="F308"/>
  <c r="F307"/>
  <c r="F306"/>
  <c r="F305"/>
  <c r="F304"/>
  <c r="F303"/>
  <c r="F302"/>
  <c r="F301"/>
  <c r="F300"/>
  <c r="F299"/>
  <c r="F298"/>
  <c r="F297"/>
  <c r="F296"/>
  <c r="F295"/>
  <c r="F294"/>
  <c r="F293"/>
  <c r="F292"/>
  <c r="F291"/>
  <c r="F290"/>
  <c r="F289"/>
  <c r="F288"/>
  <c r="F287"/>
  <c r="F286"/>
  <c r="F285"/>
  <c r="F284"/>
  <c r="F283"/>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F23"/>
  <c r="F22"/>
  <c r="F21"/>
  <c r="F20"/>
  <c r="F19"/>
  <c r="F18"/>
  <c r="F17"/>
  <c r="F16"/>
  <c r="F15"/>
  <c r="F14"/>
  <c r="F13"/>
  <c r="F12"/>
  <c r="F11"/>
  <c r="F10"/>
  <c r="F9"/>
  <c r="F8"/>
  <c r="F7"/>
  <c r="Q16" l="1"/>
  <c r="R16" s="1"/>
  <c r="Q27"/>
  <c r="R27" s="1"/>
  <c r="Q32"/>
  <c r="R32" s="1"/>
  <c r="Q48"/>
  <c r="R48" s="1"/>
  <c r="Q59"/>
  <c r="R59" s="1"/>
  <c r="Q64"/>
  <c r="R64" s="1"/>
  <c r="Q80"/>
  <c r="R80" s="1"/>
  <c r="P87"/>
  <c r="Q100"/>
  <c r="R100" s="1"/>
  <c r="Q112"/>
  <c r="R112" s="1"/>
  <c r="P119"/>
  <c r="P139"/>
  <c r="P146"/>
  <c r="P195"/>
  <c r="P203"/>
  <c r="P210"/>
  <c r="P216"/>
  <c r="Q256"/>
  <c r="R256" s="1"/>
  <c r="Q288"/>
  <c r="R288" s="1"/>
  <c r="P332"/>
  <c r="Q375"/>
  <c r="R375" s="1"/>
  <c r="Q466"/>
  <c r="R466" s="1"/>
  <c r="P520"/>
  <c r="P576"/>
  <c r="Q127"/>
  <c r="R127" s="1"/>
  <c r="Q147"/>
  <c r="R147" s="1"/>
  <c r="P28"/>
  <c r="Q31"/>
  <c r="R31" s="1"/>
  <c r="P60"/>
  <c r="Q63"/>
  <c r="R63" s="1"/>
  <c r="Q95"/>
  <c r="R95" s="1"/>
  <c r="P108"/>
  <c r="P138"/>
  <c r="P187"/>
  <c r="P194"/>
  <c r="P202"/>
  <c r="P211"/>
  <c r="Q240"/>
  <c r="R240" s="1"/>
  <c r="Q272"/>
  <c r="R272" s="1"/>
  <c r="Q320"/>
  <c r="R320" s="1"/>
  <c r="Q336"/>
  <c r="R336" s="1"/>
  <c r="P424"/>
  <c r="P448"/>
  <c r="Q529"/>
  <c r="R529" s="1"/>
  <c r="Q143"/>
  <c r="R143" s="1"/>
  <c r="P160"/>
  <c r="Q164"/>
  <c r="R164" s="1"/>
  <c r="Q175"/>
  <c r="R175" s="1"/>
  <c r="P192"/>
  <c r="Q196"/>
  <c r="R196" s="1"/>
  <c r="Q207"/>
  <c r="R207" s="1"/>
  <c r="P224"/>
  <c r="Q228"/>
  <c r="R228" s="1"/>
  <c r="Q244"/>
  <c r="R244" s="1"/>
  <c r="Q260"/>
  <c r="R260" s="1"/>
  <c r="Q276"/>
  <c r="R276" s="1"/>
  <c r="Q292"/>
  <c r="R292" s="1"/>
  <c r="Q308"/>
  <c r="R308" s="1"/>
  <c r="P328"/>
  <c r="P330"/>
  <c r="Q347"/>
  <c r="R347" s="1"/>
  <c r="Q363"/>
  <c r="R363" s="1"/>
  <c r="Q379"/>
  <c r="R379" s="1"/>
  <c r="Q400"/>
  <c r="R400" s="1"/>
  <c r="Q509"/>
  <c r="R509" s="1"/>
  <c r="P552"/>
  <c r="P566"/>
  <c r="P584"/>
  <c r="Q6"/>
  <c r="R6" s="1"/>
  <c r="P14"/>
  <c r="P23"/>
  <c r="P38"/>
  <c r="P46"/>
  <c r="P55"/>
  <c r="P70"/>
  <c r="P78"/>
  <c r="P441"/>
  <c r="P472"/>
  <c r="Q15"/>
  <c r="R15" s="1"/>
  <c r="Q20"/>
  <c r="R20" s="1"/>
  <c r="Q47"/>
  <c r="R47" s="1"/>
  <c r="Q52"/>
  <c r="R52" s="1"/>
  <c r="Q79"/>
  <c r="R79" s="1"/>
  <c r="Q84"/>
  <c r="R84" s="1"/>
  <c r="P92"/>
  <c r="Q96"/>
  <c r="R96" s="1"/>
  <c r="Q107"/>
  <c r="R107" s="1"/>
  <c r="Q111"/>
  <c r="R111" s="1"/>
  <c r="Q116"/>
  <c r="R116" s="1"/>
  <c r="P124"/>
  <c r="Q128"/>
  <c r="R128" s="1"/>
  <c r="P144"/>
  <c r="Q148"/>
  <c r="R148" s="1"/>
  <c r="Q159"/>
  <c r="R159" s="1"/>
  <c r="Q168"/>
  <c r="R168" s="1"/>
  <c r="P176"/>
  <c r="Q180"/>
  <c r="R180" s="1"/>
  <c r="Q191"/>
  <c r="R191" s="1"/>
  <c r="P208"/>
  <c r="Q212"/>
  <c r="R212" s="1"/>
  <c r="Q223"/>
  <c r="R223" s="1"/>
  <c r="Q236"/>
  <c r="R236" s="1"/>
  <c r="Q252"/>
  <c r="R252" s="1"/>
  <c r="Q268"/>
  <c r="R268" s="1"/>
  <c r="Q284"/>
  <c r="R284" s="1"/>
  <c r="Q300"/>
  <c r="R300" s="1"/>
  <c r="Q316"/>
  <c r="R316" s="1"/>
  <c r="Q324"/>
  <c r="R324" s="1"/>
  <c r="Q340"/>
  <c r="R340" s="1"/>
  <c r="Q355"/>
  <c r="R355" s="1"/>
  <c r="Q371"/>
  <c r="R371" s="1"/>
  <c r="Q387"/>
  <c r="R387" s="1"/>
  <c r="P416"/>
  <c r="P425"/>
  <c r="P465"/>
  <c r="P504"/>
  <c r="Q514"/>
  <c r="R514" s="1"/>
  <c r="Q534"/>
  <c r="R534" s="1"/>
  <c r="Q557"/>
  <c r="R557" s="1"/>
  <c r="P7"/>
  <c r="P22"/>
  <c r="P30"/>
  <c r="P39"/>
  <c r="P54"/>
  <c r="P62"/>
  <c r="P71"/>
  <c r="P86"/>
  <c r="P94"/>
  <c r="P103"/>
  <c r="P118"/>
  <c r="P126"/>
  <c r="P135"/>
  <c r="Q296"/>
  <c r="R296" s="1"/>
  <c r="Q312"/>
  <c r="R312" s="1"/>
  <c r="P326"/>
  <c r="P342"/>
  <c r="Q351"/>
  <c r="R351" s="1"/>
  <c r="Q367"/>
  <c r="R367" s="1"/>
  <c r="Q383"/>
  <c r="R383" s="1"/>
  <c r="P408"/>
  <c r="Q418"/>
  <c r="R418" s="1"/>
  <c r="P440"/>
  <c r="P449"/>
  <c r="P473"/>
  <c r="Q530"/>
  <c r="R530" s="1"/>
  <c r="Q525"/>
  <c r="R525" s="1"/>
  <c r="Q391"/>
  <c r="R391" s="1"/>
  <c r="Q395"/>
  <c r="R395" s="1"/>
  <c r="Q399"/>
  <c r="R399" s="1"/>
  <c r="Q403"/>
  <c r="R403" s="1"/>
  <c r="Q413"/>
  <c r="R413" s="1"/>
  <c r="Q429"/>
  <c r="R429" s="1"/>
  <c r="Q445"/>
  <c r="R445" s="1"/>
  <c r="Q461"/>
  <c r="R461" s="1"/>
  <c r="Q477"/>
  <c r="R477" s="1"/>
  <c r="P480"/>
  <c r="Q482"/>
  <c r="R482" s="1"/>
  <c r="P488"/>
  <c r="P502"/>
  <c r="P536"/>
  <c r="P578"/>
  <c r="P598"/>
  <c r="P18"/>
  <c r="P34"/>
  <c r="P50"/>
  <c r="P66"/>
  <c r="P82"/>
  <c r="P98"/>
  <c r="P114"/>
  <c r="P130"/>
  <c r="P150"/>
  <c r="P166"/>
  <c r="P182"/>
  <c r="P198"/>
  <c r="P214"/>
  <c r="P230"/>
  <c r="P234"/>
  <c r="P238"/>
  <c r="P242"/>
  <c r="P246"/>
  <c r="P250"/>
  <c r="P254"/>
  <c r="P258"/>
  <c r="P262"/>
  <c r="P266"/>
  <c r="P270"/>
  <c r="P274"/>
  <c r="P278"/>
  <c r="P282"/>
  <c r="P286"/>
  <c r="P290"/>
  <c r="P294"/>
  <c r="P298"/>
  <c r="P302"/>
  <c r="P306"/>
  <c r="P310"/>
  <c r="P314"/>
  <c r="P318"/>
  <c r="Q348"/>
  <c r="R348" s="1"/>
  <c r="Q352"/>
  <c r="R352" s="1"/>
  <c r="Q356"/>
  <c r="R356" s="1"/>
  <c r="Q360"/>
  <c r="R360" s="1"/>
  <c r="Q364"/>
  <c r="R364" s="1"/>
  <c r="Q368"/>
  <c r="R368" s="1"/>
  <c r="Q372"/>
  <c r="R372" s="1"/>
  <c r="Q376"/>
  <c r="R376" s="1"/>
  <c r="Q380"/>
  <c r="R380" s="1"/>
  <c r="Q384"/>
  <c r="R384" s="1"/>
  <c r="Q388"/>
  <c r="R388" s="1"/>
  <c r="Q392"/>
  <c r="R392" s="1"/>
  <c r="Q396"/>
  <c r="R396" s="1"/>
  <c r="Q404"/>
  <c r="R404" s="1"/>
  <c r="P409"/>
  <c r="P417"/>
  <c r="Q513"/>
  <c r="R513" s="1"/>
  <c r="Q561"/>
  <c r="R561" s="1"/>
  <c r="Q8"/>
  <c r="R8" s="1"/>
  <c r="Q19"/>
  <c r="R19" s="1"/>
  <c r="Q24"/>
  <c r="R24" s="1"/>
  <c r="Q35"/>
  <c r="R35" s="1"/>
  <c r="Q40"/>
  <c r="R40" s="1"/>
  <c r="Q51"/>
  <c r="R51" s="1"/>
  <c r="Q56"/>
  <c r="R56" s="1"/>
  <c r="Q67"/>
  <c r="R67" s="1"/>
  <c r="Q72"/>
  <c r="R72" s="1"/>
  <c r="Q83"/>
  <c r="R83" s="1"/>
  <c r="Q88"/>
  <c r="R88" s="1"/>
  <c r="Q99"/>
  <c r="R99" s="1"/>
  <c r="Q104"/>
  <c r="R104" s="1"/>
  <c r="Q115"/>
  <c r="R115" s="1"/>
  <c r="Q120"/>
  <c r="R120" s="1"/>
  <c r="Q131"/>
  <c r="R131" s="1"/>
  <c r="Q140"/>
  <c r="R140" s="1"/>
  <c r="Q151"/>
  <c r="R151" s="1"/>
  <c r="Q156"/>
  <c r="R156" s="1"/>
  <c r="Q167"/>
  <c r="R167" s="1"/>
  <c r="Q172"/>
  <c r="R172" s="1"/>
  <c r="Q183"/>
  <c r="R183" s="1"/>
  <c r="Q188"/>
  <c r="R188" s="1"/>
  <c r="Q199"/>
  <c r="R199" s="1"/>
  <c r="Q204"/>
  <c r="R204" s="1"/>
  <c r="Q215"/>
  <c r="R215" s="1"/>
  <c r="Q220"/>
  <c r="R220" s="1"/>
  <c r="P346"/>
  <c r="P350"/>
  <c r="P354"/>
  <c r="P358"/>
  <c r="P362"/>
  <c r="P366"/>
  <c r="P370"/>
  <c r="P378"/>
  <c r="P382"/>
  <c r="P386"/>
  <c r="P390"/>
  <c r="P394"/>
  <c r="P398"/>
  <c r="P402"/>
  <c r="P406"/>
  <c r="P414"/>
  <c r="P422"/>
  <c r="P430"/>
  <c r="P438"/>
  <c r="P446"/>
  <c r="P454"/>
  <c r="P462"/>
  <c r="P470"/>
  <c r="P481"/>
  <c r="P489"/>
  <c r="P518"/>
  <c r="Q541"/>
  <c r="R541" s="1"/>
  <c r="Q546"/>
  <c r="R546" s="1"/>
  <c r="P570"/>
  <c r="P586"/>
  <c r="P10"/>
  <c r="P26"/>
  <c r="P42"/>
  <c r="P58"/>
  <c r="P74"/>
  <c r="P106"/>
  <c r="P122"/>
  <c r="P142"/>
  <c r="P158"/>
  <c r="P174"/>
  <c r="P190"/>
  <c r="P206"/>
  <c r="P222"/>
  <c r="Q231"/>
  <c r="R231" s="1"/>
  <c r="Q235"/>
  <c r="R235" s="1"/>
  <c r="Q239"/>
  <c r="R239" s="1"/>
  <c r="Q243"/>
  <c r="R243" s="1"/>
  <c r="Q247"/>
  <c r="R247" s="1"/>
  <c r="Q251"/>
  <c r="R251" s="1"/>
  <c r="Q255"/>
  <c r="R255" s="1"/>
  <c r="Q259"/>
  <c r="R259" s="1"/>
  <c r="Q263"/>
  <c r="R263" s="1"/>
  <c r="Q267"/>
  <c r="R267" s="1"/>
  <c r="Q271"/>
  <c r="R271" s="1"/>
  <c r="Q275"/>
  <c r="R275" s="1"/>
  <c r="Q279"/>
  <c r="R279" s="1"/>
  <c r="Q283"/>
  <c r="R283" s="1"/>
  <c r="Q287"/>
  <c r="R287" s="1"/>
  <c r="Q291"/>
  <c r="R291" s="1"/>
  <c r="Q295"/>
  <c r="R295" s="1"/>
  <c r="Q299"/>
  <c r="R299" s="1"/>
  <c r="Q303"/>
  <c r="R303" s="1"/>
  <c r="Q307"/>
  <c r="R307" s="1"/>
  <c r="Q311"/>
  <c r="R311" s="1"/>
  <c r="Q315"/>
  <c r="R315" s="1"/>
  <c r="Q319"/>
  <c r="R319" s="1"/>
  <c r="Q323"/>
  <c r="R323" s="1"/>
  <c r="Q327"/>
  <c r="R327" s="1"/>
  <c r="Q331"/>
  <c r="R331" s="1"/>
  <c r="Q339"/>
  <c r="R339" s="1"/>
  <c r="Q343"/>
  <c r="R343" s="1"/>
  <c r="P420"/>
  <c r="P436"/>
  <c r="P452"/>
  <c r="P468"/>
  <c r="Q478"/>
  <c r="R478" s="1"/>
  <c r="P484"/>
  <c r="Q494"/>
  <c r="R494" s="1"/>
  <c r="P500"/>
  <c r="Q505"/>
  <c r="R505" s="1"/>
  <c r="Q510"/>
  <c r="R510" s="1"/>
  <c r="P516"/>
  <c r="Q521"/>
  <c r="R521" s="1"/>
  <c r="Q526"/>
  <c r="R526" s="1"/>
  <c r="P532"/>
  <c r="Q537"/>
  <c r="R537" s="1"/>
  <c r="Q542"/>
  <c r="R542" s="1"/>
  <c r="P548"/>
  <c r="Q553"/>
  <c r="R553" s="1"/>
  <c r="Q558"/>
  <c r="R558" s="1"/>
  <c r="P562"/>
  <c r="P564"/>
  <c r="P572"/>
  <c r="P580"/>
  <c r="P588"/>
  <c r="P596"/>
  <c r="Q9"/>
  <c r="R9" s="1"/>
  <c r="Q13"/>
  <c r="R13" s="1"/>
  <c r="Q21"/>
  <c r="R21" s="1"/>
  <c r="Q25"/>
  <c r="R25" s="1"/>
  <c r="Q29"/>
  <c r="R29" s="1"/>
  <c r="Q33"/>
  <c r="R33" s="1"/>
  <c r="Q37"/>
  <c r="R37" s="1"/>
  <c r="Q41"/>
  <c r="R41" s="1"/>
  <c r="Q45"/>
  <c r="R45" s="1"/>
  <c r="Q49"/>
  <c r="R49" s="1"/>
  <c r="Q53"/>
  <c r="R53" s="1"/>
  <c r="Q57"/>
  <c r="R57" s="1"/>
  <c r="Q61"/>
  <c r="R61" s="1"/>
  <c r="Q65"/>
  <c r="R65" s="1"/>
  <c r="Q69"/>
  <c r="R69" s="1"/>
  <c r="Q73"/>
  <c r="R73" s="1"/>
  <c r="Q77"/>
  <c r="R77" s="1"/>
  <c r="Q81"/>
  <c r="R81" s="1"/>
  <c r="Q85"/>
  <c r="R85" s="1"/>
  <c r="Q89"/>
  <c r="R89" s="1"/>
  <c r="Q93"/>
  <c r="R93" s="1"/>
  <c r="Q97"/>
  <c r="R97" s="1"/>
  <c r="Q101"/>
  <c r="R101" s="1"/>
  <c r="Q105"/>
  <c r="R105" s="1"/>
  <c r="Q109"/>
  <c r="R109" s="1"/>
  <c r="Q113"/>
  <c r="R113" s="1"/>
  <c r="Q117"/>
  <c r="R117" s="1"/>
  <c r="Q121"/>
  <c r="R121" s="1"/>
  <c r="Q125"/>
  <c r="R125" s="1"/>
  <c r="Q129"/>
  <c r="R129" s="1"/>
  <c r="Q133"/>
  <c r="R133" s="1"/>
  <c r="Q137"/>
  <c r="R137" s="1"/>
  <c r="Q141"/>
  <c r="R141" s="1"/>
  <c r="Q145"/>
  <c r="R145" s="1"/>
  <c r="Q149"/>
  <c r="R149" s="1"/>
  <c r="Q153"/>
  <c r="R153" s="1"/>
  <c r="Q157"/>
  <c r="R157" s="1"/>
  <c r="Q161"/>
  <c r="R161" s="1"/>
  <c r="Q165"/>
  <c r="R165" s="1"/>
  <c r="Q169"/>
  <c r="R169" s="1"/>
  <c r="Q173"/>
  <c r="R173" s="1"/>
  <c r="Q177"/>
  <c r="R177" s="1"/>
  <c r="Q181"/>
  <c r="R181" s="1"/>
  <c r="Q185"/>
  <c r="R185" s="1"/>
  <c r="Q189"/>
  <c r="R189" s="1"/>
  <c r="Q193"/>
  <c r="R193" s="1"/>
  <c r="Q197"/>
  <c r="R197" s="1"/>
  <c r="Q201"/>
  <c r="R201" s="1"/>
  <c r="Q205"/>
  <c r="R205" s="1"/>
  <c r="Q209"/>
  <c r="R209" s="1"/>
  <c r="Q213"/>
  <c r="R213" s="1"/>
  <c r="Q217"/>
  <c r="R217" s="1"/>
  <c r="Q221"/>
  <c r="R221" s="1"/>
  <c r="Q225"/>
  <c r="R225" s="1"/>
  <c r="Q229"/>
  <c r="R229" s="1"/>
  <c r="Q233"/>
  <c r="R233" s="1"/>
  <c r="Q237"/>
  <c r="R237" s="1"/>
  <c r="Q241"/>
  <c r="R241" s="1"/>
  <c r="Q245"/>
  <c r="R245" s="1"/>
  <c r="Q249"/>
  <c r="R249" s="1"/>
  <c r="Q253"/>
  <c r="R253" s="1"/>
  <c r="Q257"/>
  <c r="R257" s="1"/>
  <c r="Q261"/>
  <c r="R261" s="1"/>
  <c r="Q265"/>
  <c r="R265" s="1"/>
  <c r="Q269"/>
  <c r="R269" s="1"/>
  <c r="Q273"/>
  <c r="R273" s="1"/>
  <c r="Q277"/>
  <c r="R277" s="1"/>
  <c r="Q281"/>
  <c r="R281" s="1"/>
  <c r="Q285"/>
  <c r="R285" s="1"/>
  <c r="Q293"/>
  <c r="R293" s="1"/>
  <c r="Q297"/>
  <c r="R297" s="1"/>
  <c r="Q301"/>
  <c r="R301" s="1"/>
  <c r="Q305"/>
  <c r="R305" s="1"/>
  <c r="Q309"/>
  <c r="R309" s="1"/>
  <c r="Q313"/>
  <c r="R313" s="1"/>
  <c r="Q317"/>
  <c r="R317" s="1"/>
  <c r="Q321"/>
  <c r="R321" s="1"/>
  <c r="Q325"/>
  <c r="R325" s="1"/>
  <c r="Q329"/>
  <c r="R329" s="1"/>
  <c r="Q333"/>
  <c r="R333" s="1"/>
  <c r="Q337"/>
  <c r="R337" s="1"/>
  <c r="Q341"/>
  <c r="R341" s="1"/>
  <c r="Q345"/>
  <c r="R345" s="1"/>
  <c r="Q349"/>
  <c r="R349" s="1"/>
  <c r="Q353"/>
  <c r="R353" s="1"/>
  <c r="Q357"/>
  <c r="R357" s="1"/>
  <c r="Q361"/>
  <c r="R361" s="1"/>
  <c r="Q365"/>
  <c r="R365" s="1"/>
  <c r="Q369"/>
  <c r="Q373"/>
  <c r="R373" s="1"/>
  <c r="Q377"/>
  <c r="R377" s="1"/>
  <c r="Q381"/>
  <c r="R381" s="1"/>
  <c r="Q385"/>
  <c r="R385" s="1"/>
  <c r="Q389"/>
  <c r="R389" s="1"/>
  <c r="Q393"/>
  <c r="R393" s="1"/>
  <c r="Q397"/>
  <c r="R397" s="1"/>
  <c r="Q401"/>
  <c r="R401" s="1"/>
  <c r="Q405"/>
  <c r="R405" s="1"/>
  <c r="Q410"/>
  <c r="R410" s="1"/>
  <c r="Q421"/>
  <c r="R421" s="1"/>
  <c r="Q426"/>
  <c r="R426" s="1"/>
  <c r="Q437"/>
  <c r="R437" s="1"/>
  <c r="Q442"/>
  <c r="R442" s="1"/>
  <c r="Q453"/>
  <c r="R453" s="1"/>
  <c r="Q458"/>
  <c r="R458" s="1"/>
  <c r="Q474"/>
  <c r="R474" s="1"/>
  <c r="Q485"/>
  <c r="R485" s="1"/>
  <c r="Q490"/>
  <c r="R490" s="1"/>
  <c r="Q501"/>
  <c r="R501" s="1"/>
  <c r="Q506"/>
  <c r="R506" s="1"/>
  <c r="P512"/>
  <c r="Q517"/>
  <c r="R517" s="1"/>
  <c r="Q522"/>
  <c r="R522" s="1"/>
  <c r="P528"/>
  <c r="Q533"/>
  <c r="R533" s="1"/>
  <c r="Q538"/>
  <c r="R538" s="1"/>
  <c r="P544"/>
  <c r="Q549"/>
  <c r="R549" s="1"/>
  <c r="Q554"/>
  <c r="R554" s="1"/>
  <c r="P560"/>
  <c r="P574"/>
  <c r="P582"/>
  <c r="P590"/>
  <c r="P412"/>
  <c r="P428"/>
  <c r="P444"/>
  <c r="P460"/>
  <c r="P476"/>
  <c r="P492"/>
  <c r="P508"/>
  <c r="P524"/>
  <c r="P540"/>
  <c r="P556"/>
  <c r="P568"/>
  <c r="P592"/>
  <c r="P600"/>
  <c r="P602"/>
  <c r="Q602"/>
  <c r="R602" s="1"/>
  <c r="P606"/>
  <c r="Q606"/>
  <c r="R606" s="1"/>
  <c r="Q610"/>
  <c r="P614"/>
  <c r="Q614"/>
  <c r="R614" s="1"/>
  <c r="P618"/>
  <c r="Q618"/>
  <c r="R618" s="1"/>
  <c r="P622"/>
  <c r="Q622"/>
  <c r="R622" s="1"/>
  <c r="P626"/>
  <c r="Q626"/>
  <c r="R626" s="1"/>
  <c r="P630"/>
  <c r="Q630"/>
  <c r="R630" s="1"/>
  <c r="P634"/>
  <c r="Q634"/>
  <c r="R634" s="1"/>
  <c r="P638"/>
  <c r="Q638"/>
  <c r="R638" s="1"/>
  <c r="P642"/>
  <c r="Q642"/>
  <c r="R642" s="1"/>
  <c r="P646"/>
  <c r="Q646"/>
  <c r="R646" s="1"/>
  <c r="P650"/>
  <c r="Q650"/>
  <c r="R650" s="1"/>
  <c r="P654"/>
  <c r="Q654"/>
  <c r="R654" s="1"/>
  <c r="P658"/>
  <c r="Q658"/>
  <c r="R658" s="1"/>
  <c r="P662"/>
  <c r="Q662"/>
  <c r="R662" s="1"/>
  <c r="P666"/>
  <c r="Q666"/>
  <c r="R666" s="1"/>
  <c r="P670"/>
  <c r="Q670"/>
  <c r="R670" s="1"/>
  <c r="P674"/>
  <c r="Q674"/>
  <c r="R674" s="1"/>
  <c r="P678"/>
  <c r="Q678"/>
  <c r="R678" s="1"/>
  <c r="P682"/>
  <c r="Q682"/>
  <c r="R682" s="1"/>
  <c r="P686"/>
  <c r="Q686"/>
  <c r="R686" s="1"/>
  <c r="P690"/>
  <c r="Q690"/>
  <c r="R690" s="1"/>
  <c r="P694"/>
  <c r="Q694"/>
  <c r="R694" s="1"/>
  <c r="P698"/>
  <c r="Q698"/>
  <c r="R698" s="1"/>
  <c r="P702"/>
  <c r="Q702"/>
  <c r="R702" s="1"/>
  <c r="P706"/>
  <c r="P710"/>
  <c r="Q710"/>
  <c r="R710" s="1"/>
  <c r="P714"/>
  <c r="Q714"/>
  <c r="R714" s="1"/>
  <c r="Q718"/>
  <c r="P722"/>
  <c r="Q722"/>
  <c r="R722" s="1"/>
  <c r="P726"/>
  <c r="Q726"/>
  <c r="R726" s="1"/>
  <c r="P730"/>
  <c r="Q730"/>
  <c r="R730" s="1"/>
  <c r="P734"/>
  <c r="Q734"/>
  <c r="R734" s="1"/>
  <c r="P738"/>
  <c r="Q738"/>
  <c r="R738" s="1"/>
  <c r="P742"/>
  <c r="Q742"/>
  <c r="R742" s="1"/>
  <c r="P746"/>
  <c r="Q746"/>
  <c r="R746" s="1"/>
  <c r="P750"/>
  <c r="Q750"/>
  <c r="R750" s="1"/>
  <c r="P754"/>
  <c r="Q754"/>
  <c r="R754" s="1"/>
  <c r="P758"/>
  <c r="Q758"/>
  <c r="R758" s="1"/>
  <c r="P762"/>
  <c r="Q762"/>
  <c r="R762" s="1"/>
  <c r="P766"/>
  <c r="Q766"/>
  <c r="R766" s="1"/>
  <c r="P770"/>
  <c r="Q770"/>
  <c r="R770" s="1"/>
  <c r="P774"/>
  <c r="Q774"/>
  <c r="R774" s="1"/>
  <c r="P778"/>
  <c r="Q778"/>
  <c r="R778" s="1"/>
  <c r="P782"/>
  <c r="Q782"/>
  <c r="R782" s="1"/>
  <c r="P786"/>
  <c r="Q786"/>
  <c r="R786" s="1"/>
  <c r="P790"/>
  <c r="Q790"/>
  <c r="R790" s="1"/>
  <c r="P794"/>
  <c r="Q794"/>
  <c r="R794" s="1"/>
  <c r="P798"/>
  <c r="Q798"/>
  <c r="R798" s="1"/>
  <c r="P802"/>
  <c r="Q802"/>
  <c r="R802" s="1"/>
  <c r="P806"/>
  <c r="Q806"/>
  <c r="R806" s="1"/>
  <c r="P810"/>
  <c r="Q810"/>
  <c r="R810" s="1"/>
  <c r="P814"/>
  <c r="Q814"/>
  <c r="R814" s="1"/>
  <c r="P818"/>
  <c r="Q818"/>
  <c r="R818" s="1"/>
  <c r="Q407"/>
  <c r="R407" s="1"/>
  <c r="Q411"/>
  <c r="R411" s="1"/>
  <c r="Q419"/>
  <c r="R419" s="1"/>
  <c r="Q423"/>
  <c r="R423" s="1"/>
  <c r="Q427"/>
  <c r="R427" s="1"/>
  <c r="Q431"/>
  <c r="R431" s="1"/>
  <c r="Q435"/>
  <c r="R435" s="1"/>
  <c r="Q439"/>
  <c r="R439" s="1"/>
  <c r="Q443"/>
  <c r="R443" s="1"/>
  <c r="Q447"/>
  <c r="R447" s="1"/>
  <c r="Q451"/>
  <c r="R451" s="1"/>
  <c r="Q455"/>
  <c r="R455" s="1"/>
  <c r="Q459"/>
  <c r="R459" s="1"/>
  <c r="Q463"/>
  <c r="R463" s="1"/>
  <c r="Q467"/>
  <c r="R467" s="1"/>
  <c r="Q471"/>
  <c r="R471" s="1"/>
  <c r="Q479"/>
  <c r="R479" s="1"/>
  <c r="Q483"/>
  <c r="R483" s="1"/>
  <c r="Q487"/>
  <c r="R487" s="1"/>
  <c r="Q491"/>
  <c r="R491" s="1"/>
  <c r="Q495"/>
  <c r="R495" s="1"/>
  <c r="Q499"/>
  <c r="R499" s="1"/>
  <c r="Q503"/>
  <c r="R503" s="1"/>
  <c r="Q507"/>
  <c r="R507" s="1"/>
  <c r="Q511"/>
  <c r="R511" s="1"/>
  <c r="Q519"/>
  <c r="R519" s="1"/>
  <c r="Q527"/>
  <c r="R527" s="1"/>
  <c r="Q531"/>
  <c r="R531" s="1"/>
  <c r="Q535"/>
  <c r="R535" s="1"/>
  <c r="Q539"/>
  <c r="R539" s="1"/>
  <c r="Q543"/>
  <c r="R543" s="1"/>
  <c r="Q547"/>
  <c r="R547" s="1"/>
  <c r="Q551"/>
  <c r="R551" s="1"/>
  <c r="Q555"/>
  <c r="R555" s="1"/>
  <c r="Q559"/>
  <c r="R559" s="1"/>
  <c r="P605"/>
  <c r="P609"/>
  <c r="Q609"/>
  <c r="R609" s="1"/>
  <c r="P613"/>
  <c r="P617"/>
  <c r="Q617"/>
  <c r="R617" s="1"/>
  <c r="P621"/>
  <c r="Q621"/>
  <c r="R621" s="1"/>
  <c r="P625"/>
  <c r="Q625"/>
  <c r="R625" s="1"/>
  <c r="P629"/>
  <c r="Q629"/>
  <c r="R629" s="1"/>
  <c r="P633"/>
  <c r="Q633"/>
  <c r="R633" s="1"/>
  <c r="P637"/>
  <c r="Q637"/>
  <c r="R637" s="1"/>
  <c r="P641"/>
  <c r="Q641"/>
  <c r="R641" s="1"/>
  <c r="P645"/>
  <c r="Q645"/>
  <c r="R645" s="1"/>
  <c r="P649"/>
  <c r="Q649"/>
  <c r="R649" s="1"/>
  <c r="P653"/>
  <c r="Q653"/>
  <c r="R653" s="1"/>
  <c r="P657"/>
  <c r="Q657"/>
  <c r="R657" s="1"/>
  <c r="P661"/>
  <c r="Q661"/>
  <c r="R661" s="1"/>
  <c r="P665"/>
  <c r="Q665"/>
  <c r="R665" s="1"/>
  <c r="P669"/>
  <c r="Q669"/>
  <c r="R669" s="1"/>
  <c r="P673"/>
  <c r="Q673"/>
  <c r="R673" s="1"/>
  <c r="P677"/>
  <c r="Q677"/>
  <c r="R677" s="1"/>
  <c r="P681"/>
  <c r="Q681"/>
  <c r="R681" s="1"/>
  <c r="P685"/>
  <c r="Q685"/>
  <c r="R685" s="1"/>
  <c r="P689"/>
  <c r="Q689"/>
  <c r="R689" s="1"/>
  <c r="P693"/>
  <c r="Q693"/>
  <c r="R693" s="1"/>
  <c r="P697"/>
  <c r="Q697"/>
  <c r="R697" s="1"/>
  <c r="P701"/>
  <c r="P705"/>
  <c r="Q705"/>
  <c r="R705" s="1"/>
  <c r="P709"/>
  <c r="Q709"/>
  <c r="R709" s="1"/>
  <c r="P713"/>
  <c r="Q713"/>
  <c r="R713" s="1"/>
  <c r="P717"/>
  <c r="Q717"/>
  <c r="R717" s="1"/>
  <c r="P721"/>
  <c r="Q721"/>
  <c r="R721" s="1"/>
  <c r="P725"/>
  <c r="Q725"/>
  <c r="R725" s="1"/>
  <c r="P729"/>
  <c r="Q729"/>
  <c r="R729" s="1"/>
  <c r="P733"/>
  <c r="Q733"/>
  <c r="R733" s="1"/>
  <c r="P737"/>
  <c r="Q737"/>
  <c r="R737" s="1"/>
  <c r="P741"/>
  <c r="Q741"/>
  <c r="R741" s="1"/>
  <c r="P745"/>
  <c r="Q745"/>
  <c r="R745" s="1"/>
  <c r="Q749"/>
  <c r="P753"/>
  <c r="Q753"/>
  <c r="R753" s="1"/>
  <c r="P757"/>
  <c r="Q757"/>
  <c r="R757" s="1"/>
  <c r="P761"/>
  <c r="Q761"/>
  <c r="R761" s="1"/>
  <c r="P765"/>
  <c r="Q765"/>
  <c r="R765" s="1"/>
  <c r="P769"/>
  <c r="Q769"/>
  <c r="R769" s="1"/>
  <c r="P773"/>
  <c r="Q773"/>
  <c r="R773" s="1"/>
  <c r="P777"/>
  <c r="Q777"/>
  <c r="R777" s="1"/>
  <c r="P781"/>
  <c r="Q781"/>
  <c r="R781" s="1"/>
  <c r="P785"/>
  <c r="Q785"/>
  <c r="R785" s="1"/>
  <c r="P789"/>
  <c r="Q789"/>
  <c r="R789" s="1"/>
  <c r="P793"/>
  <c r="Q793"/>
  <c r="R793" s="1"/>
  <c r="P797"/>
  <c r="Q797"/>
  <c r="R797" s="1"/>
  <c r="P801"/>
  <c r="Q801"/>
  <c r="R801" s="1"/>
  <c r="P805"/>
  <c r="Q805"/>
  <c r="R805" s="1"/>
  <c r="P809"/>
  <c r="Q809"/>
  <c r="R809" s="1"/>
  <c r="P813"/>
  <c r="Q813"/>
  <c r="R813" s="1"/>
  <c r="P817"/>
  <c r="Q817"/>
  <c r="R817" s="1"/>
  <c r="P821"/>
  <c r="Q821"/>
  <c r="R821" s="1"/>
  <c r="P825"/>
  <c r="P829"/>
  <c r="Q829"/>
  <c r="R829" s="1"/>
  <c r="P563"/>
  <c r="P565"/>
  <c r="P567"/>
  <c r="P569"/>
  <c r="P571"/>
  <c r="P573"/>
  <c r="P575"/>
  <c r="P577"/>
  <c r="P579"/>
  <c r="P581"/>
  <c r="P583"/>
  <c r="P585"/>
  <c r="P587"/>
  <c r="P589"/>
  <c r="P591"/>
  <c r="P595"/>
  <c r="P597"/>
  <c r="P599"/>
  <c r="P601"/>
  <c r="P604"/>
  <c r="Q604"/>
  <c r="R604" s="1"/>
  <c r="P608"/>
  <c r="Q608"/>
  <c r="R608" s="1"/>
  <c r="Q612"/>
  <c r="P616"/>
  <c r="Q616"/>
  <c r="R616" s="1"/>
  <c r="P620"/>
  <c r="Q620"/>
  <c r="R620" s="1"/>
  <c r="P624"/>
  <c r="Q624"/>
  <c r="R624" s="1"/>
  <c r="P628"/>
  <c r="Q628"/>
  <c r="R628" s="1"/>
  <c r="P632"/>
  <c r="P636"/>
  <c r="Q636"/>
  <c r="R636" s="1"/>
  <c r="P640"/>
  <c r="Q640"/>
  <c r="R640" s="1"/>
  <c r="P644"/>
  <c r="Q644"/>
  <c r="R644" s="1"/>
  <c r="P648"/>
  <c r="Q648"/>
  <c r="R648" s="1"/>
  <c r="Q652"/>
  <c r="P656"/>
  <c r="Q656"/>
  <c r="R656" s="1"/>
  <c r="P660"/>
  <c r="Q660"/>
  <c r="R660" s="1"/>
  <c r="P664"/>
  <c r="Q664"/>
  <c r="R664" s="1"/>
  <c r="P668"/>
  <c r="Q668"/>
  <c r="R668" s="1"/>
  <c r="P672"/>
  <c r="Q672"/>
  <c r="R672" s="1"/>
  <c r="P676"/>
  <c r="Q676"/>
  <c r="R676" s="1"/>
  <c r="P680"/>
  <c r="Q680"/>
  <c r="R680" s="1"/>
  <c r="P684"/>
  <c r="Q684"/>
  <c r="R684" s="1"/>
  <c r="P688"/>
  <c r="Q688"/>
  <c r="R688" s="1"/>
  <c r="P692"/>
  <c r="Q692"/>
  <c r="R692" s="1"/>
  <c r="P696"/>
  <c r="Q696"/>
  <c r="R696" s="1"/>
  <c r="P700"/>
  <c r="Q700"/>
  <c r="R700" s="1"/>
  <c r="P704"/>
  <c r="Q704"/>
  <c r="R704" s="1"/>
  <c r="P708"/>
  <c r="Q708"/>
  <c r="R708" s="1"/>
  <c r="P712"/>
  <c r="Q712"/>
  <c r="R712" s="1"/>
  <c r="P716"/>
  <c r="Q716"/>
  <c r="R716" s="1"/>
  <c r="P720"/>
  <c r="Q720"/>
  <c r="R720" s="1"/>
  <c r="P724"/>
  <c r="Q724"/>
  <c r="R724" s="1"/>
  <c r="P728"/>
  <c r="Q728"/>
  <c r="R728" s="1"/>
  <c r="P732"/>
  <c r="Q732"/>
  <c r="R732" s="1"/>
  <c r="P736"/>
  <c r="Q736"/>
  <c r="R736" s="1"/>
  <c r="Q740"/>
  <c r="Q744"/>
  <c r="P748"/>
  <c r="Q748"/>
  <c r="R748" s="1"/>
  <c r="P752"/>
  <c r="Q752"/>
  <c r="R752" s="1"/>
  <c r="P756"/>
  <c r="Q756"/>
  <c r="R756" s="1"/>
  <c r="P760"/>
  <c r="Q760"/>
  <c r="R760" s="1"/>
  <c r="P764"/>
  <c r="Q764"/>
  <c r="R764" s="1"/>
  <c r="P768"/>
  <c r="Q768"/>
  <c r="R768" s="1"/>
  <c r="P772"/>
  <c r="Q772"/>
  <c r="R772" s="1"/>
  <c r="P776"/>
  <c r="Q776"/>
  <c r="R776" s="1"/>
  <c r="P780"/>
  <c r="Q780"/>
  <c r="R780" s="1"/>
  <c r="P784"/>
  <c r="Q784"/>
  <c r="R784" s="1"/>
  <c r="P788"/>
  <c r="Q788"/>
  <c r="R788" s="1"/>
  <c r="P792"/>
  <c r="Q792"/>
  <c r="R792" s="1"/>
  <c r="P796"/>
  <c r="Q796"/>
  <c r="R796" s="1"/>
  <c r="P800"/>
  <c r="Q800"/>
  <c r="R800" s="1"/>
  <c r="P804"/>
  <c r="Q804"/>
  <c r="R804" s="1"/>
  <c r="P808"/>
  <c r="Q808"/>
  <c r="R808" s="1"/>
  <c r="P812"/>
  <c r="Q812"/>
  <c r="R812" s="1"/>
  <c r="P816"/>
  <c r="Q816"/>
  <c r="R816" s="1"/>
  <c r="P603"/>
  <c r="Q603"/>
  <c r="R603" s="1"/>
  <c r="P607"/>
  <c r="Q607"/>
  <c r="R607" s="1"/>
  <c r="Q611"/>
  <c r="P615"/>
  <c r="Q615"/>
  <c r="R615" s="1"/>
  <c r="P619"/>
  <c r="Q619"/>
  <c r="R619" s="1"/>
  <c r="P623"/>
  <c r="Q623"/>
  <c r="R623" s="1"/>
  <c r="P627"/>
  <c r="Q627"/>
  <c r="R627" s="1"/>
  <c r="P631"/>
  <c r="Q631"/>
  <c r="R631" s="1"/>
  <c r="P635"/>
  <c r="Q635"/>
  <c r="R635" s="1"/>
  <c r="P639"/>
  <c r="Q639"/>
  <c r="R639" s="1"/>
  <c r="P643"/>
  <c r="Q643"/>
  <c r="R643" s="1"/>
  <c r="P647"/>
  <c r="Q647"/>
  <c r="R647" s="1"/>
  <c r="P651"/>
  <c r="Q651"/>
  <c r="R651" s="1"/>
  <c r="P655"/>
  <c r="Q655"/>
  <c r="R655" s="1"/>
  <c r="P659"/>
  <c r="Q659"/>
  <c r="R659" s="1"/>
  <c r="P663"/>
  <c r="Q663"/>
  <c r="R663" s="1"/>
  <c r="P667"/>
  <c r="Q667"/>
  <c r="R667" s="1"/>
  <c r="P671"/>
  <c r="Q671"/>
  <c r="R671" s="1"/>
  <c r="P675"/>
  <c r="Q675"/>
  <c r="R675" s="1"/>
  <c r="P679"/>
  <c r="Q679"/>
  <c r="R679" s="1"/>
  <c r="P683"/>
  <c r="Q683"/>
  <c r="R683" s="1"/>
  <c r="P687"/>
  <c r="Q687"/>
  <c r="R687" s="1"/>
  <c r="P691"/>
  <c r="Q691"/>
  <c r="R691" s="1"/>
  <c r="P695"/>
  <c r="Q695"/>
  <c r="R695" s="1"/>
  <c r="P699"/>
  <c r="Q699"/>
  <c r="R699" s="1"/>
  <c r="P703"/>
  <c r="Q703"/>
  <c r="R703" s="1"/>
  <c r="P707"/>
  <c r="Q707"/>
  <c r="R707" s="1"/>
  <c r="P711"/>
  <c r="Q711"/>
  <c r="R711" s="1"/>
  <c r="Q715"/>
  <c r="P719"/>
  <c r="Q719"/>
  <c r="R719" s="1"/>
  <c r="P723"/>
  <c r="Q723"/>
  <c r="R723" s="1"/>
  <c r="P727"/>
  <c r="P731"/>
  <c r="Q731"/>
  <c r="R731" s="1"/>
  <c r="P735"/>
  <c r="Q735"/>
  <c r="R735" s="1"/>
  <c r="P739"/>
  <c r="Q739"/>
  <c r="R739" s="1"/>
  <c r="P743"/>
  <c r="Q743"/>
  <c r="R743" s="1"/>
  <c r="P747"/>
  <c r="Q747"/>
  <c r="R747" s="1"/>
  <c r="P751"/>
  <c r="Q751"/>
  <c r="R751" s="1"/>
  <c r="P755"/>
  <c r="Q755"/>
  <c r="R755" s="1"/>
  <c r="P759"/>
  <c r="Q759"/>
  <c r="R759" s="1"/>
  <c r="P763"/>
  <c r="Q763"/>
  <c r="R763" s="1"/>
  <c r="P767"/>
  <c r="Q767"/>
  <c r="R767" s="1"/>
  <c r="P771"/>
  <c r="Q771"/>
  <c r="R771" s="1"/>
  <c r="P775"/>
  <c r="Q775"/>
  <c r="R775" s="1"/>
  <c r="P779"/>
  <c r="Q779"/>
  <c r="R779" s="1"/>
  <c r="P783"/>
  <c r="Q783"/>
  <c r="R783" s="1"/>
  <c r="P787"/>
  <c r="Q787"/>
  <c r="R787" s="1"/>
  <c r="P791"/>
  <c r="Q791"/>
  <c r="R791" s="1"/>
  <c r="P795"/>
  <c r="Q795"/>
  <c r="R795" s="1"/>
  <c r="P799"/>
  <c r="Q799"/>
  <c r="R799" s="1"/>
  <c r="P803"/>
  <c r="Q803"/>
  <c r="R803" s="1"/>
  <c r="P807"/>
  <c r="Q807"/>
  <c r="R807" s="1"/>
  <c r="P811"/>
  <c r="Q811"/>
  <c r="R811" s="1"/>
  <c r="P815"/>
  <c r="Q815"/>
  <c r="R815" s="1"/>
  <c r="P819"/>
  <c r="Q819"/>
  <c r="R819" s="1"/>
  <c r="P823"/>
  <c r="Q823"/>
  <c r="R823" s="1"/>
  <c r="P827"/>
  <c r="Q827"/>
  <c r="R827" s="1"/>
  <c r="P831"/>
  <c r="Q831"/>
  <c r="R831" s="1"/>
  <c r="P986"/>
  <c r="Q986"/>
  <c r="R986" s="1"/>
  <c r="P990"/>
  <c r="P994"/>
  <c r="Q994"/>
  <c r="R994" s="1"/>
  <c r="P998"/>
  <c r="Q998"/>
  <c r="R998" s="1"/>
  <c r="P1002"/>
  <c r="P1006"/>
  <c r="Q1006"/>
  <c r="R1006" s="1"/>
  <c r="P1010"/>
  <c r="Q1010"/>
  <c r="R1010" s="1"/>
  <c r="P1014"/>
  <c r="Q1014"/>
  <c r="R1014" s="1"/>
  <c r="P1018"/>
  <c r="Q1018"/>
  <c r="R1018" s="1"/>
  <c r="P1022"/>
  <c r="Q1022"/>
  <c r="R1022" s="1"/>
  <c r="P1026"/>
  <c r="Q1026"/>
  <c r="R1026" s="1"/>
  <c r="P1030"/>
  <c r="Q1030"/>
  <c r="R1030" s="1"/>
  <c r="P1034"/>
  <c r="P1038"/>
  <c r="Q1038"/>
  <c r="R1038" s="1"/>
  <c r="P1042"/>
  <c r="Q1042"/>
  <c r="R1042" s="1"/>
  <c r="P1046"/>
  <c r="Q1046"/>
  <c r="R1046" s="1"/>
  <c r="P1050"/>
  <c r="Q1050"/>
  <c r="R1050" s="1"/>
  <c r="Q820"/>
  <c r="R820" s="1"/>
  <c r="Q822"/>
  <c r="R822" s="1"/>
  <c r="Q824"/>
  <c r="R824" s="1"/>
  <c r="Q826"/>
  <c r="R826" s="1"/>
  <c r="Q828"/>
  <c r="R828" s="1"/>
  <c r="Q830"/>
  <c r="R830" s="1"/>
  <c r="Q832"/>
  <c r="R832" s="1"/>
  <c r="Q834"/>
  <c r="R834" s="1"/>
  <c r="Q836"/>
  <c r="R836" s="1"/>
  <c r="Q838"/>
  <c r="R838" s="1"/>
  <c r="Q840"/>
  <c r="R840" s="1"/>
  <c r="Q842"/>
  <c r="R842" s="1"/>
  <c r="Q844"/>
  <c r="R844" s="1"/>
  <c r="Q846"/>
  <c r="R846" s="1"/>
  <c r="Q848"/>
  <c r="R848" s="1"/>
  <c r="Q850"/>
  <c r="R850" s="1"/>
  <c r="Q852"/>
  <c r="R852" s="1"/>
  <c r="Q854"/>
  <c r="R854" s="1"/>
  <c r="Q856"/>
  <c r="R856" s="1"/>
  <c r="Q858"/>
  <c r="R858" s="1"/>
  <c r="Q860"/>
  <c r="R860" s="1"/>
  <c r="Q862"/>
  <c r="Q864"/>
  <c r="R864" s="1"/>
  <c r="Q866"/>
  <c r="R866" s="1"/>
  <c r="Q868"/>
  <c r="R868" s="1"/>
  <c r="Q870"/>
  <c r="R870" s="1"/>
  <c r="Q872"/>
  <c r="R872" s="1"/>
  <c r="Q874"/>
  <c r="Q876"/>
  <c r="R876" s="1"/>
  <c r="Q878"/>
  <c r="R878" s="1"/>
  <c r="Q882"/>
  <c r="R882" s="1"/>
  <c r="Q884"/>
  <c r="R884" s="1"/>
  <c r="Q886"/>
  <c r="R886" s="1"/>
  <c r="Q888"/>
  <c r="R888" s="1"/>
  <c r="Q890"/>
  <c r="R890" s="1"/>
  <c r="Q892"/>
  <c r="R892" s="1"/>
  <c r="Q894"/>
  <c r="R894" s="1"/>
  <c r="Q896"/>
  <c r="R896" s="1"/>
  <c r="Q898"/>
  <c r="R898" s="1"/>
  <c r="Q900"/>
  <c r="R900" s="1"/>
  <c r="Q902"/>
  <c r="R902" s="1"/>
  <c r="Q904"/>
  <c r="R904" s="1"/>
  <c r="Q906"/>
  <c r="R906" s="1"/>
  <c r="Q908"/>
  <c r="R908" s="1"/>
  <c r="Q910"/>
  <c r="R910" s="1"/>
  <c r="Q912"/>
  <c r="R912" s="1"/>
  <c r="Q914"/>
  <c r="R914" s="1"/>
  <c r="Q916"/>
  <c r="R916" s="1"/>
  <c r="Q918"/>
  <c r="R918" s="1"/>
  <c r="Q920"/>
  <c r="R920" s="1"/>
  <c r="Q922"/>
  <c r="Q924"/>
  <c r="R924" s="1"/>
  <c r="Q926"/>
  <c r="R926" s="1"/>
  <c r="Q928"/>
  <c r="R928" s="1"/>
  <c r="Q930"/>
  <c r="R930" s="1"/>
  <c r="Q932"/>
  <c r="R932" s="1"/>
  <c r="Q934"/>
  <c r="R934" s="1"/>
  <c r="Q936"/>
  <c r="R936" s="1"/>
  <c r="Q938"/>
  <c r="R938" s="1"/>
  <c r="Q940"/>
  <c r="R940" s="1"/>
  <c r="Q942"/>
  <c r="R942" s="1"/>
  <c r="Q944"/>
  <c r="R944" s="1"/>
  <c r="Q946"/>
  <c r="R946" s="1"/>
  <c r="Q948"/>
  <c r="R948" s="1"/>
  <c r="Q950"/>
  <c r="R950" s="1"/>
  <c r="Q952"/>
  <c r="R952" s="1"/>
  <c r="Q954"/>
  <c r="R954" s="1"/>
  <c r="Q956"/>
  <c r="R956" s="1"/>
  <c r="Q958"/>
  <c r="R958" s="1"/>
  <c r="Q960"/>
  <c r="R960" s="1"/>
  <c r="Q962"/>
  <c r="R962" s="1"/>
  <c r="Q964"/>
  <c r="R964" s="1"/>
  <c r="Q966"/>
  <c r="R966" s="1"/>
  <c r="Q968"/>
  <c r="R968" s="1"/>
  <c r="Q970"/>
  <c r="R970" s="1"/>
  <c r="Q972"/>
  <c r="R972" s="1"/>
  <c r="Q974"/>
  <c r="R974" s="1"/>
  <c r="Q976"/>
  <c r="R976" s="1"/>
  <c r="Q978"/>
  <c r="R978" s="1"/>
  <c r="Q980"/>
  <c r="R980" s="1"/>
  <c r="Q982"/>
  <c r="R982" s="1"/>
  <c r="P985"/>
  <c r="Q985"/>
  <c r="R985" s="1"/>
  <c r="P989"/>
  <c r="Q989"/>
  <c r="R989" s="1"/>
  <c r="P993"/>
  <c r="Q993"/>
  <c r="R993" s="1"/>
  <c r="P997"/>
  <c r="Q997"/>
  <c r="R997" s="1"/>
  <c r="P1001"/>
  <c r="Q1001"/>
  <c r="R1001" s="1"/>
  <c r="P1005"/>
  <c r="Q1005"/>
  <c r="R1005" s="1"/>
  <c r="P1009"/>
  <c r="Q1009"/>
  <c r="R1009" s="1"/>
  <c r="P1013"/>
  <c r="P1017"/>
  <c r="Q1017"/>
  <c r="R1017" s="1"/>
  <c r="P1021"/>
  <c r="P1025"/>
  <c r="Q1025"/>
  <c r="R1025" s="1"/>
  <c r="P1029"/>
  <c r="Q1029"/>
  <c r="R1029" s="1"/>
  <c r="P1033"/>
  <c r="P1037"/>
  <c r="Q1037"/>
  <c r="R1037" s="1"/>
  <c r="P1041"/>
  <c r="Q1041"/>
  <c r="R1041" s="1"/>
  <c r="P1045"/>
  <c r="Q1045"/>
  <c r="R1045" s="1"/>
  <c r="P1049"/>
  <c r="Q1049"/>
  <c r="R1049" s="1"/>
  <c r="P984"/>
  <c r="Q984"/>
  <c r="R984" s="1"/>
  <c r="P988"/>
  <c r="Q988"/>
  <c r="R988" s="1"/>
  <c r="P992"/>
  <c r="Q992"/>
  <c r="R992" s="1"/>
  <c r="P996"/>
  <c r="Q996"/>
  <c r="R996" s="1"/>
  <c r="P1000"/>
  <c r="Q1000"/>
  <c r="R1000" s="1"/>
  <c r="P1004"/>
  <c r="Q1004"/>
  <c r="R1004" s="1"/>
  <c r="P1008"/>
  <c r="P1012"/>
  <c r="Q1012"/>
  <c r="R1012" s="1"/>
  <c r="P1016"/>
  <c r="Q1016"/>
  <c r="R1016" s="1"/>
  <c r="P1020"/>
  <c r="Q1020"/>
  <c r="R1020" s="1"/>
  <c r="P1024"/>
  <c r="Q1024"/>
  <c r="R1024" s="1"/>
  <c r="P1028"/>
  <c r="Q1028"/>
  <c r="R1028" s="1"/>
  <c r="P1032"/>
  <c r="Q1032"/>
  <c r="R1032" s="1"/>
  <c r="P1036"/>
  <c r="P1040"/>
  <c r="Q1040"/>
  <c r="R1040" s="1"/>
  <c r="P1044"/>
  <c r="Q1044"/>
  <c r="R1044" s="1"/>
  <c r="P1048"/>
  <c r="Q1048"/>
  <c r="R1048" s="1"/>
  <c r="P1052"/>
  <c r="Q1052"/>
  <c r="R1052" s="1"/>
  <c r="Q833"/>
  <c r="R833" s="1"/>
  <c r="Q835"/>
  <c r="R835" s="1"/>
  <c r="Q837"/>
  <c r="R837" s="1"/>
  <c r="Q839"/>
  <c r="R839" s="1"/>
  <c r="Q841"/>
  <c r="R841" s="1"/>
  <c r="Q843"/>
  <c r="R843" s="1"/>
  <c r="Q845"/>
  <c r="R845" s="1"/>
  <c r="Q847"/>
  <c r="R847" s="1"/>
  <c r="Q849"/>
  <c r="R849" s="1"/>
  <c r="Q851"/>
  <c r="R851" s="1"/>
  <c r="Q853"/>
  <c r="R853" s="1"/>
  <c r="Q855"/>
  <c r="R855" s="1"/>
  <c r="Q857"/>
  <c r="R857" s="1"/>
  <c r="Q859"/>
  <c r="R859" s="1"/>
  <c r="Q861"/>
  <c r="Q863"/>
  <c r="Q865"/>
  <c r="R865" s="1"/>
  <c r="Q867"/>
  <c r="R867" s="1"/>
  <c r="Q869"/>
  <c r="R869" s="1"/>
  <c r="Q871"/>
  <c r="R871" s="1"/>
  <c r="Q873"/>
  <c r="R873" s="1"/>
  <c r="Q875"/>
  <c r="Q879"/>
  <c r="R879" s="1"/>
  <c r="Q881"/>
  <c r="R881" s="1"/>
  <c r="Q885"/>
  <c r="R885" s="1"/>
  <c r="Q887"/>
  <c r="R887" s="1"/>
  <c r="Q889"/>
  <c r="R889" s="1"/>
  <c r="Q891"/>
  <c r="R891" s="1"/>
  <c r="Q893"/>
  <c r="R893" s="1"/>
  <c r="Q895"/>
  <c r="R895" s="1"/>
  <c r="Q897"/>
  <c r="R897" s="1"/>
  <c r="Q899"/>
  <c r="R899" s="1"/>
  <c r="Q901"/>
  <c r="R901" s="1"/>
  <c r="Q903"/>
  <c r="R903" s="1"/>
  <c r="Q905"/>
  <c r="R905" s="1"/>
  <c r="Q907"/>
  <c r="R907" s="1"/>
  <c r="Q909"/>
  <c r="R909" s="1"/>
  <c r="Q911"/>
  <c r="R911" s="1"/>
  <c r="Q913"/>
  <c r="R913" s="1"/>
  <c r="Q915"/>
  <c r="R915" s="1"/>
  <c r="Q917"/>
  <c r="R917" s="1"/>
  <c r="Q919"/>
  <c r="R919" s="1"/>
  <c r="Q921"/>
  <c r="R921" s="1"/>
  <c r="Q923"/>
  <c r="R923" s="1"/>
  <c r="Q925"/>
  <c r="R925" s="1"/>
  <c r="Q927"/>
  <c r="R927" s="1"/>
  <c r="Q929"/>
  <c r="R929" s="1"/>
  <c r="Q931"/>
  <c r="R931" s="1"/>
  <c r="Q933"/>
  <c r="R933" s="1"/>
  <c r="Q935"/>
  <c r="R935" s="1"/>
  <c r="Q937"/>
  <c r="R937" s="1"/>
  <c r="Q939"/>
  <c r="R939" s="1"/>
  <c r="Q941"/>
  <c r="R941" s="1"/>
  <c r="Q943"/>
  <c r="R943" s="1"/>
  <c r="Q945"/>
  <c r="R945" s="1"/>
  <c r="Q947"/>
  <c r="R947" s="1"/>
  <c r="Q949"/>
  <c r="R949" s="1"/>
  <c r="Q951"/>
  <c r="R951" s="1"/>
  <c r="Q953"/>
  <c r="R953" s="1"/>
  <c r="Q955"/>
  <c r="R955" s="1"/>
  <c r="Q957"/>
  <c r="R957" s="1"/>
  <c r="Q959"/>
  <c r="R959" s="1"/>
  <c r="Q961"/>
  <c r="R961" s="1"/>
  <c r="Q963"/>
  <c r="R963" s="1"/>
  <c r="Q965"/>
  <c r="R965" s="1"/>
  <c r="Q967"/>
  <c r="R967" s="1"/>
  <c r="Q969"/>
  <c r="R969" s="1"/>
  <c r="Q971"/>
  <c r="R971" s="1"/>
  <c r="Q973"/>
  <c r="R973" s="1"/>
  <c r="Q975"/>
  <c r="R975" s="1"/>
  <c r="Q977"/>
  <c r="R977" s="1"/>
  <c r="Q979"/>
  <c r="R979" s="1"/>
  <c r="Q981"/>
  <c r="R981" s="1"/>
  <c r="P983"/>
  <c r="P987"/>
  <c r="Q987"/>
  <c r="R987" s="1"/>
  <c r="P991"/>
  <c r="Q991"/>
  <c r="R991" s="1"/>
  <c r="P995"/>
  <c r="Q995"/>
  <c r="R995" s="1"/>
  <c r="P999"/>
  <c r="Q999"/>
  <c r="R999" s="1"/>
  <c r="P1003"/>
  <c r="Q1003"/>
  <c r="R1003" s="1"/>
  <c r="P1007"/>
  <c r="P1011"/>
  <c r="Q1011"/>
  <c r="R1011" s="1"/>
  <c r="P1015"/>
  <c r="Q1015"/>
  <c r="R1015" s="1"/>
  <c r="P1019"/>
  <c r="P1023"/>
  <c r="P1027"/>
  <c r="Q1027"/>
  <c r="R1027" s="1"/>
  <c r="P1031"/>
  <c r="Q1031"/>
  <c r="P1035"/>
  <c r="Q1035"/>
  <c r="R1035" s="1"/>
  <c r="P1039"/>
  <c r="Q1039"/>
  <c r="R1039" s="1"/>
  <c r="P1043"/>
  <c r="Q1043"/>
  <c r="R1043" s="1"/>
  <c r="P1047"/>
  <c r="Q1047"/>
  <c r="R1047" s="1"/>
  <c r="P1051"/>
  <c r="Q1053"/>
  <c r="R1053" s="1"/>
  <c r="Q1054"/>
  <c r="R1054" s="1"/>
  <c r="Q1055"/>
  <c r="R1055" s="1"/>
  <c r="Q1056"/>
  <c r="R1056" s="1"/>
  <c r="Q1057"/>
  <c r="R1057" s="1"/>
  <c r="Q1058"/>
  <c r="R1058" s="1"/>
  <c r="Q1059"/>
  <c r="R1059" s="1"/>
  <c r="Q1060"/>
  <c r="R1060" s="1"/>
  <c r="Q1061"/>
  <c r="R1061" s="1"/>
  <c r="Q1062"/>
  <c r="R1062" s="1"/>
  <c r="Q1063"/>
  <c r="R1063" s="1"/>
  <c r="Q1064"/>
  <c r="R1064" s="1"/>
  <c r="Q1065"/>
  <c r="R1065" s="1"/>
  <c r="Q1066"/>
  <c r="R1066" s="1"/>
  <c r="Q1067"/>
  <c r="R1067" s="1"/>
  <c r="Q1069"/>
  <c r="R1069" s="1"/>
  <c r="Q1070"/>
  <c r="R1070" s="1"/>
  <c r="Q1071"/>
  <c r="R1071" s="1"/>
  <c r="Q1072"/>
  <c r="R1072" s="1"/>
  <c r="Q1073"/>
  <c r="R1073" s="1"/>
  <c r="Q1074"/>
  <c r="R1074" s="1"/>
  <c r="R1031" l="1"/>
  <c r="R369"/>
  <c r="P2347" i="1"/>
  <c r="C642" i="55"/>
  <c r="K3322" i="1"/>
  <c r="K3323"/>
  <c r="K3324"/>
  <c r="K3325"/>
  <c r="K3326"/>
  <c r="K3327"/>
  <c r="K3328"/>
  <c r="C618" i="55"/>
  <c r="C597"/>
  <c r="C1053"/>
  <c r="R590" i="1"/>
  <c r="W906" i="55"/>
  <c r="W908" s="1"/>
  <c r="V906"/>
  <c r="V908" s="1"/>
  <c r="U906"/>
  <c r="U908" s="1"/>
  <c r="AA10"/>
  <c r="C634"/>
  <c r="H12" i="67"/>
  <c r="I7"/>
  <c r="G880" i="68"/>
  <c r="H880" s="1"/>
  <c r="F122" i="70"/>
  <c r="F123"/>
  <c r="F121"/>
  <c r="G121"/>
  <c r="I476" i="69"/>
  <c r="I477"/>
  <c r="I478"/>
  <c r="I479"/>
  <c r="I480"/>
  <c r="I481"/>
  <c r="I483"/>
  <c r="I484"/>
  <c r="I485"/>
  <c r="I475"/>
  <c r="L114"/>
  <c r="L68"/>
  <c r="I63"/>
  <c r="J63"/>
  <c r="H63"/>
  <c r="G1053" i="68"/>
  <c r="H1053" s="1"/>
  <c r="G996"/>
  <c r="H996" s="1"/>
  <c r="G900"/>
  <c r="H900" s="1"/>
  <c r="G524"/>
  <c r="H524" s="1"/>
  <c r="G457"/>
  <c r="H457" s="1"/>
  <c r="G416"/>
  <c r="H416" s="1"/>
  <c r="G345"/>
  <c r="H345" s="1"/>
  <c r="G290"/>
  <c r="H290" s="1"/>
  <c r="J1003" i="55"/>
  <c r="E103" i="70"/>
  <c r="G103" s="1"/>
  <c r="E102"/>
  <c r="G102" s="1"/>
  <c r="E97"/>
  <c r="G97" s="1"/>
  <c r="E111"/>
  <c r="G111" s="1"/>
  <c r="G110"/>
  <c r="G101"/>
  <c r="G100"/>
  <c r="G99"/>
  <c r="G98"/>
  <c r="E85"/>
  <c r="G85" s="1"/>
  <c r="G84"/>
  <c r="G77"/>
  <c r="E77"/>
  <c r="E76"/>
  <c r="G76" s="1"/>
  <c r="G75"/>
  <c r="G74"/>
  <c r="G73"/>
  <c r="G72"/>
  <c r="E71"/>
  <c r="G71" s="1"/>
  <c r="G58"/>
  <c r="G57"/>
  <c r="G56"/>
  <c r="G55"/>
  <c r="G54"/>
  <c r="G47"/>
  <c r="G46"/>
  <c r="G45"/>
  <c r="G44"/>
  <c r="G43"/>
  <c r="V909" i="55" l="1"/>
  <c r="G137" i="68"/>
  <c r="H137" s="1"/>
  <c r="G91"/>
  <c r="H91" s="1"/>
  <c r="G187"/>
  <c r="H187" s="1"/>
  <c r="G18"/>
  <c r="H18" s="1"/>
  <c r="G59" i="70"/>
  <c r="G60" s="1"/>
  <c r="G62" s="1"/>
  <c r="G48"/>
  <c r="G49" s="1"/>
  <c r="G51" s="1"/>
  <c r="G217" i="68" l="1"/>
  <c r="H217" s="1"/>
  <c r="G1034"/>
  <c r="H1034" s="1"/>
  <c r="G1026"/>
  <c r="H1026" s="1"/>
  <c r="G1008"/>
  <c r="H1008" s="1"/>
  <c r="G671"/>
  <c r="H671" s="1"/>
  <c r="G614"/>
  <c r="H614" s="1"/>
  <c r="G606"/>
  <c r="H606" s="1"/>
  <c r="G1038"/>
  <c r="H1038" s="1"/>
  <c r="G1019"/>
  <c r="H1019" s="1"/>
  <c r="G840"/>
  <c r="H840" s="1"/>
  <c r="G700"/>
  <c r="H700" s="1"/>
  <c r="G665"/>
  <c r="H665" s="1"/>
  <c r="G1024"/>
  <c r="H1024" s="1"/>
  <c r="G1020"/>
  <c r="H1020" s="1"/>
  <c r="G1016"/>
  <c r="H1016" s="1"/>
  <c r="G912"/>
  <c r="H912" s="1"/>
  <c r="G990"/>
  <c r="H990" s="1"/>
  <c r="G999"/>
  <c r="H999" s="1"/>
  <c r="G726"/>
  <c r="H726" s="1"/>
  <c r="G1017"/>
  <c r="H1017" s="1"/>
  <c r="G828"/>
  <c r="H828" s="1"/>
  <c r="G631"/>
  <c r="H631" s="1"/>
  <c r="G1009"/>
  <c r="I104" i="69"/>
  <c r="K104" s="1"/>
  <c r="I3692" i="1"/>
  <c r="I3685"/>
  <c r="K3671"/>
  <c r="I3670"/>
  <c r="I3691" s="1"/>
  <c r="I3664"/>
  <c r="K3664" s="1"/>
  <c r="K3662"/>
  <c r="L3677"/>
  <c r="J657" i="55"/>
  <c r="E34" i="70"/>
  <c r="G34" s="1"/>
  <c r="E33"/>
  <c r="G33" s="1"/>
  <c r="E32"/>
  <c r="G32" s="1"/>
  <c r="E31"/>
  <c r="G31" s="1"/>
  <c r="E30"/>
  <c r="G30" s="1"/>
  <c r="E29"/>
  <c r="G29" s="1"/>
  <c r="E28"/>
  <c r="G28" s="1"/>
  <c r="D28"/>
  <c r="E27"/>
  <c r="E26"/>
  <c r="E25"/>
  <c r="E24"/>
  <c r="E18"/>
  <c r="E17"/>
  <c r="E19" s="1"/>
  <c r="B26" s="1"/>
  <c r="E14"/>
  <c r="B25" s="1"/>
  <c r="E12"/>
  <c r="B24" s="1"/>
  <c r="E11"/>
  <c r="B27" s="1"/>
  <c r="G24" l="1"/>
  <c r="G27"/>
  <c r="G25"/>
  <c r="G26"/>
  <c r="H1009" i="68"/>
  <c r="G656"/>
  <c r="K3670" i="1"/>
  <c r="S657" i="55"/>
  <c r="G36" i="70" l="1"/>
  <c r="G38" s="1"/>
  <c r="C652" i="55" s="1"/>
  <c r="D653" i="68" s="1"/>
  <c r="F653" s="1"/>
  <c r="H656"/>
  <c r="T657" i="55"/>
  <c r="H652" l="1"/>
  <c r="L652"/>
  <c r="N652"/>
  <c r="F652"/>
  <c r="P652"/>
  <c r="R652"/>
  <c r="J1070"/>
  <c r="J1069"/>
  <c r="J1068"/>
  <c r="J1067"/>
  <c r="J1066"/>
  <c r="J1065"/>
  <c r="J1064"/>
  <c r="J1063"/>
  <c r="J1062"/>
  <c r="J1061"/>
  <c r="J1060"/>
  <c r="J1059"/>
  <c r="J1058"/>
  <c r="J1057"/>
  <c r="J1056"/>
  <c r="J1055"/>
  <c r="J1054"/>
  <c r="J1052"/>
  <c r="J1051"/>
  <c r="J1050"/>
  <c r="J1049"/>
  <c r="J1048"/>
  <c r="J1047"/>
  <c r="J1046"/>
  <c r="J1045"/>
  <c r="J1044"/>
  <c r="J1043"/>
  <c r="J1042"/>
  <c r="J1041"/>
  <c r="J1040"/>
  <c r="J1039"/>
  <c r="J1038"/>
  <c r="J1037"/>
  <c r="J1036"/>
  <c r="J1035"/>
  <c r="J1034"/>
  <c r="J1033"/>
  <c r="J1008"/>
  <c r="J1007"/>
  <c r="J1006"/>
  <c r="J1004"/>
  <c r="J1002"/>
  <c r="J1001"/>
  <c r="J1000"/>
  <c r="J999"/>
  <c r="J998"/>
  <c r="J997"/>
  <c r="J996"/>
  <c r="J995"/>
  <c r="J994"/>
  <c r="J993"/>
  <c r="J992"/>
  <c r="J991"/>
  <c r="J990"/>
  <c r="J989"/>
  <c r="J988"/>
  <c r="J987"/>
  <c r="J986"/>
  <c r="J985"/>
  <c r="J984"/>
  <c r="J983"/>
  <c r="J982"/>
  <c r="J980"/>
  <c r="J978"/>
  <c r="J977"/>
  <c r="J976"/>
  <c r="J968"/>
  <c r="J967"/>
  <c r="J966"/>
  <c r="J965"/>
  <c r="J963"/>
  <c r="J962"/>
  <c r="J957"/>
  <c r="J952"/>
  <c r="J949"/>
  <c r="J947"/>
  <c r="J942"/>
  <c r="J941"/>
  <c r="J932"/>
  <c r="J931"/>
  <c r="J930"/>
  <c r="J929"/>
  <c r="J925"/>
  <c r="J924"/>
  <c r="J920"/>
  <c r="J918"/>
  <c r="J909"/>
  <c r="J897"/>
  <c r="J890"/>
  <c r="J885"/>
  <c r="J884"/>
  <c r="J883"/>
  <c r="J882"/>
  <c r="J881"/>
  <c r="J880"/>
  <c r="J877"/>
  <c r="J867"/>
  <c r="J866"/>
  <c r="J865"/>
  <c r="J864"/>
  <c r="J856"/>
  <c r="J853"/>
  <c r="J847"/>
  <c r="J842"/>
  <c r="J837"/>
  <c r="J825"/>
  <c r="J824"/>
  <c r="J823"/>
  <c r="J822"/>
  <c r="J821"/>
  <c r="J820"/>
  <c r="J819"/>
  <c r="J818"/>
  <c r="J817"/>
  <c r="J816"/>
  <c r="J815"/>
  <c r="J814"/>
  <c r="J813"/>
  <c r="J812"/>
  <c r="J811"/>
  <c r="J810"/>
  <c r="J809"/>
  <c r="J808"/>
  <c r="J807"/>
  <c r="J806"/>
  <c r="J805"/>
  <c r="J804"/>
  <c r="J803"/>
  <c r="J802"/>
  <c r="J801"/>
  <c r="J800"/>
  <c r="J799"/>
  <c r="J798"/>
  <c r="J797"/>
  <c r="J787"/>
  <c r="J786"/>
  <c r="J785"/>
  <c r="J784"/>
  <c r="J783"/>
  <c r="J782"/>
  <c r="J781"/>
  <c r="J780"/>
  <c r="J779"/>
  <c r="J778"/>
  <c r="J777"/>
  <c r="J776"/>
  <c r="J775"/>
  <c r="J774"/>
  <c r="J773"/>
  <c r="J772"/>
  <c r="J771"/>
  <c r="J770"/>
  <c r="J762"/>
  <c r="J752"/>
  <c r="J751"/>
  <c r="J750"/>
  <c r="J734"/>
  <c r="J733"/>
  <c r="J727"/>
  <c r="J723"/>
  <c r="J706"/>
  <c r="J701"/>
  <c r="J697"/>
  <c r="J678"/>
  <c r="J672"/>
  <c r="J666"/>
  <c r="J660"/>
  <c r="J655"/>
  <c r="J652"/>
  <c r="J650"/>
  <c r="J649"/>
  <c r="J648"/>
  <c r="J647"/>
  <c r="J642"/>
  <c r="J639"/>
  <c r="J634"/>
  <c r="J632"/>
  <c r="J631"/>
  <c r="J628"/>
  <c r="J624"/>
  <c r="J621"/>
  <c r="J619"/>
  <c r="J613"/>
  <c r="J605"/>
  <c r="J600"/>
  <c r="J599"/>
  <c r="J595"/>
  <c r="J591"/>
  <c r="J587"/>
  <c r="J582"/>
  <c r="J565"/>
  <c r="J557"/>
  <c r="J550"/>
  <c r="J533"/>
  <c r="J530"/>
  <c r="J523"/>
  <c r="J515"/>
  <c r="J508"/>
  <c r="J501"/>
  <c r="J495"/>
  <c r="J488"/>
  <c r="J482"/>
  <c r="J475"/>
  <c r="J469"/>
  <c r="J463"/>
  <c r="J457"/>
  <c r="J456"/>
  <c r="J452"/>
  <c r="J450"/>
  <c r="J443"/>
  <c r="J439"/>
  <c r="J435"/>
  <c r="J434"/>
  <c r="J433"/>
  <c r="J425"/>
  <c r="J415"/>
  <c r="J411"/>
  <c r="J408"/>
  <c r="J405"/>
  <c r="J402"/>
  <c r="J400"/>
  <c r="J398"/>
  <c r="J397"/>
  <c r="J395"/>
  <c r="J391"/>
  <c r="J380"/>
  <c r="J374"/>
  <c r="J368"/>
  <c r="J362"/>
  <c r="J358"/>
  <c r="J355"/>
  <c r="J344"/>
  <c r="J340"/>
  <c r="J338"/>
  <c r="J331"/>
  <c r="J329"/>
  <c r="J327"/>
  <c r="J326"/>
  <c r="J308"/>
  <c r="J304"/>
  <c r="J303"/>
  <c r="J300"/>
  <c r="J298"/>
  <c r="J293"/>
  <c r="J289"/>
  <c r="J285"/>
  <c r="J284"/>
  <c r="J283"/>
  <c r="J282"/>
  <c r="J281"/>
  <c r="J275"/>
  <c r="J269"/>
  <c r="J263"/>
  <c r="J257"/>
  <c r="J251"/>
  <c r="J244"/>
  <c r="J231"/>
  <c r="J230"/>
  <c r="J228"/>
  <c r="J227"/>
  <c r="J226"/>
  <c r="J225"/>
  <c r="J224"/>
  <c r="J223"/>
  <c r="J222"/>
  <c r="J216"/>
  <c r="J215"/>
  <c r="J214"/>
  <c r="J213"/>
  <c r="J212"/>
  <c r="J211"/>
  <c r="J210"/>
  <c r="J204"/>
  <c r="J203"/>
  <c r="J202"/>
  <c r="J201"/>
  <c r="J200"/>
  <c r="J199"/>
  <c r="J198"/>
  <c r="J197"/>
  <c r="J196"/>
  <c r="J195"/>
  <c r="J194"/>
  <c r="J193"/>
  <c r="J192"/>
  <c r="J186"/>
  <c r="J180"/>
  <c r="J179"/>
  <c r="J178"/>
  <c r="J177"/>
  <c r="J176"/>
  <c r="J175"/>
  <c r="J174"/>
  <c r="J173"/>
  <c r="J166"/>
  <c r="J165"/>
  <c r="J164"/>
  <c r="J163"/>
  <c r="J162"/>
  <c r="J161"/>
  <c r="J160"/>
  <c r="J159"/>
  <c r="J158"/>
  <c r="J157"/>
  <c r="J156"/>
  <c r="J155"/>
  <c r="J154"/>
  <c r="J153"/>
  <c r="J152"/>
  <c r="J136"/>
  <c r="J129"/>
  <c r="J128"/>
  <c r="J127"/>
  <c r="J126"/>
  <c r="J125"/>
  <c r="J124"/>
  <c r="J123"/>
  <c r="J117"/>
  <c r="J116"/>
  <c r="J115"/>
  <c r="J114"/>
  <c r="J113"/>
  <c r="J112"/>
  <c r="J111"/>
  <c r="J110"/>
  <c r="J109"/>
  <c r="J108"/>
  <c r="J107"/>
  <c r="J106"/>
  <c r="J105"/>
  <c r="J90"/>
  <c r="J84"/>
  <c r="J70"/>
  <c r="J64"/>
  <c r="J61"/>
  <c r="J60"/>
  <c r="J58"/>
  <c r="J57"/>
  <c r="J49"/>
  <c r="J48"/>
  <c r="J37"/>
  <c r="J36"/>
  <c r="J35"/>
  <c r="J34"/>
  <c r="J33"/>
  <c r="J32"/>
  <c r="J31"/>
  <c r="J28"/>
  <c r="J25"/>
  <c r="J22"/>
  <c r="J17"/>
  <c r="J14"/>
  <c r="J11"/>
  <c r="J8"/>
  <c r="S1003"/>
  <c r="T1003" s="1"/>
  <c r="C1075"/>
  <c r="C1086"/>
  <c r="C1093"/>
  <c r="S17" l="1"/>
  <c r="T17" s="1"/>
  <c r="S90"/>
  <c r="T90" s="1"/>
  <c r="S456"/>
  <c r="T456" s="1"/>
  <c r="S613"/>
  <c r="T613" s="1"/>
  <c r="S727"/>
  <c r="T727" s="1"/>
  <c r="S751"/>
  <c r="S775"/>
  <c r="S820"/>
  <c r="S909"/>
  <c r="T909" s="1"/>
  <c r="S1063"/>
  <c r="S1067"/>
  <c r="G1005" i="68"/>
  <c r="S344" i="55"/>
  <c r="T344" s="1"/>
  <c r="S415"/>
  <c r="T415" s="1"/>
  <c r="S452"/>
  <c r="S523"/>
  <c r="T523" s="1"/>
  <c r="S605"/>
  <c r="T605" s="1"/>
  <c r="S750"/>
  <c r="S774"/>
  <c r="S877"/>
  <c r="T877" s="1"/>
  <c r="S897"/>
  <c r="T897" s="1"/>
  <c r="S1062"/>
  <c r="S1066"/>
  <c r="S289"/>
  <c r="T289" s="1"/>
  <c r="S632"/>
  <c r="T632" s="1"/>
  <c r="S652"/>
  <c r="S672"/>
  <c r="T672" s="1"/>
  <c r="S773"/>
  <c r="S837"/>
  <c r="T837" s="1"/>
  <c r="S1065"/>
  <c r="S136"/>
  <c r="T136" s="1"/>
  <c r="S186"/>
  <c r="T186" s="1"/>
  <c r="S216"/>
  <c r="T216" s="1"/>
  <c r="S666"/>
  <c r="T666" s="1"/>
  <c r="S701"/>
  <c r="T701" s="1"/>
  <c r="S733"/>
  <c r="S752"/>
  <c r="S821"/>
  <c r="S825"/>
  <c r="T825" s="1"/>
  <c r="S1064"/>
  <c r="S968"/>
  <c r="S983"/>
  <c r="T983" s="1"/>
  <c r="S987"/>
  <c r="S991"/>
  <c r="S995"/>
  <c r="S996"/>
  <c r="T996" s="1"/>
  <c r="S997"/>
  <c r="S1001"/>
  <c r="S1006"/>
  <c r="S1036"/>
  <c r="T1036" s="1"/>
  <c r="S1040"/>
  <c r="S1044"/>
  <c r="S1057"/>
  <c r="S1061"/>
  <c r="S947"/>
  <c r="S967"/>
  <c r="S978"/>
  <c r="S982"/>
  <c r="S986"/>
  <c r="S990"/>
  <c r="T990" s="1"/>
  <c r="S994"/>
  <c r="S1000"/>
  <c r="S1004"/>
  <c r="S1035"/>
  <c r="S1039"/>
  <c r="S1043"/>
  <c r="T1043" s="1"/>
  <c r="S1051"/>
  <c r="T1051" s="1"/>
  <c r="S1056"/>
  <c r="T1056" s="1"/>
  <c r="S1060"/>
  <c r="S962"/>
  <c r="S985"/>
  <c r="S989"/>
  <c r="S993"/>
  <c r="S999"/>
  <c r="S1008"/>
  <c r="S1034"/>
  <c r="T1034" s="1"/>
  <c r="S1038"/>
  <c r="S1042"/>
  <c r="S1046"/>
  <c r="S1055"/>
  <c r="S1059"/>
  <c r="S957"/>
  <c r="S965"/>
  <c r="S984"/>
  <c r="S988"/>
  <c r="S992"/>
  <c r="S998"/>
  <c r="S1002"/>
  <c r="T1002" s="1"/>
  <c r="S1007"/>
  <c r="S1033"/>
  <c r="T1033" s="1"/>
  <c r="S1037"/>
  <c r="T1037" s="1"/>
  <c r="S1041"/>
  <c r="T1041" s="1"/>
  <c r="S1045"/>
  <c r="S1054"/>
  <c r="S1058"/>
  <c r="T1000" l="1"/>
  <c r="T999"/>
  <c r="H1005" i="68"/>
  <c r="G1048"/>
  <c r="G1012"/>
  <c r="G1045"/>
  <c r="G1046"/>
  <c r="T988" i="55"/>
  <c r="T965"/>
  <c r="G1041" i="68"/>
  <c r="G1025"/>
  <c r="G1001"/>
  <c r="G993"/>
  <c r="T985" i="55"/>
  <c r="G965" i="68"/>
  <c r="G982"/>
  <c r="G950"/>
  <c r="G1011"/>
  <c r="T997" i="55"/>
  <c r="G1003" i="68"/>
  <c r="H1003" s="1"/>
  <c r="G971"/>
  <c r="G751"/>
  <c r="G823"/>
  <c r="T1066" i="55"/>
  <c r="G1044" i="68"/>
  <c r="G992"/>
  <c r="G1047"/>
  <c r="G1040"/>
  <c r="G1000"/>
  <c r="G960"/>
  <c r="G824"/>
  <c r="G1018"/>
  <c r="G1010"/>
  <c r="G994"/>
  <c r="T978" i="55"/>
  <c r="G651" i="68"/>
  <c r="G1039"/>
  <c r="G1023"/>
  <c r="G995"/>
  <c r="T987" i="55"/>
  <c r="T773"/>
  <c r="T984"/>
  <c r="G1037" i="68"/>
  <c r="G1029"/>
  <c r="G1021"/>
  <c r="G997"/>
  <c r="T989" i="55"/>
  <c r="G1042" i="68"/>
  <c r="T986" i="55"/>
  <c r="G1015" i="68"/>
  <c r="G1007"/>
  <c r="G774"/>
  <c r="G773"/>
  <c r="G732"/>
  <c r="G453"/>
  <c r="G1049"/>
  <c r="G1036"/>
  <c r="G1028"/>
  <c r="G1013"/>
  <c r="G1022"/>
  <c r="G1014"/>
  <c r="G998"/>
  <c r="G970"/>
  <c r="G1043"/>
  <c r="G1027"/>
  <c r="G991"/>
  <c r="G749"/>
  <c r="T998" i="55"/>
  <c r="T652"/>
  <c r="G977" i="68"/>
  <c r="T1064" i="55" l="1"/>
  <c r="T1062"/>
  <c r="H977" i="68"/>
  <c r="T733" i="55"/>
  <c r="T775"/>
  <c r="T821"/>
  <c r="T1065"/>
  <c r="T1067"/>
  <c r="T774"/>
  <c r="T752"/>
  <c r="T452"/>
  <c r="G750" i="68"/>
  <c r="H750" s="1"/>
  <c r="T751" i="55"/>
  <c r="H991" i="68"/>
  <c r="H970"/>
  <c r="H1014"/>
  <c r="H1013"/>
  <c r="H1043"/>
  <c r="H1036"/>
  <c r="H995"/>
  <c r="H651"/>
  <c r="H1018"/>
  <c r="H824"/>
  <c r="H960"/>
  <c r="H1047"/>
  <c r="H992"/>
  <c r="H982"/>
  <c r="H965"/>
  <c r="H993"/>
  <c r="H1025"/>
  <c r="H1041"/>
  <c r="H1045"/>
  <c r="H1012"/>
  <c r="H1001"/>
  <c r="H1046"/>
  <c r="H1048"/>
  <c r="T1063" i="55"/>
  <c r="T820"/>
  <c r="H751" i="68"/>
  <c r="H971"/>
  <c r="H1011"/>
  <c r="H950"/>
  <c r="H749"/>
  <c r="H1027"/>
  <c r="H998"/>
  <c r="H1022"/>
  <c r="H1028"/>
  <c r="H1049"/>
  <c r="H1007"/>
  <c r="H1042"/>
  <c r="H1023"/>
  <c r="H1039"/>
  <c r="H994"/>
  <c r="H1010"/>
  <c r="H1000"/>
  <c r="H1040"/>
  <c r="H1044"/>
  <c r="T967" i="55"/>
  <c r="T1059"/>
  <c r="T1045"/>
  <c r="T1055"/>
  <c r="T1006"/>
  <c r="T1035"/>
  <c r="H732" i="68"/>
  <c r="H997"/>
  <c r="H1029"/>
  <c r="T1061" i="55"/>
  <c r="T962"/>
  <c r="T1042"/>
  <c r="T1008"/>
  <c r="T1038"/>
  <c r="T1057"/>
  <c r="T968"/>
  <c r="T1004"/>
  <c r="T1058"/>
  <c r="H823" i="68"/>
  <c r="T1044" i="55"/>
  <c r="T1001"/>
  <c r="T1039"/>
  <c r="T1007"/>
  <c r="T1040"/>
  <c r="T1060"/>
  <c r="T992"/>
  <c r="T982"/>
  <c r="T750"/>
  <c r="H453" i="68"/>
  <c r="H773"/>
  <c r="H774"/>
  <c r="H1015"/>
  <c r="H1021"/>
  <c r="H1037"/>
  <c r="T991" i="55"/>
  <c r="T993"/>
  <c r="T1054"/>
  <c r="T995"/>
  <c r="T994"/>
  <c r="T1046"/>
  <c r="T947"/>
  <c r="T957"/>
  <c r="J979"/>
  <c r="S977"/>
  <c r="G978" i="68"/>
  <c r="H978" s="1"/>
  <c r="J981" i="55"/>
  <c r="G975" i="68"/>
  <c r="H975" s="1"/>
  <c r="S976" i="55"/>
  <c r="S980"/>
  <c r="G979" i="68"/>
  <c r="H979" s="1"/>
  <c r="S981" i="55" l="1"/>
  <c r="T981" s="1"/>
  <c r="S979"/>
  <c r="T979" s="1"/>
  <c r="T980"/>
  <c r="G972" i="68"/>
  <c r="G973"/>
  <c r="R425" i="11"/>
  <c r="R424"/>
  <c r="R423"/>
  <c r="R422"/>
  <c r="R421"/>
  <c r="R420"/>
  <c r="R426" l="1"/>
  <c r="R429" s="1"/>
  <c r="H972" i="68"/>
  <c r="H973"/>
  <c r="T977" i="55"/>
  <c r="T976"/>
  <c r="AE77" i="1"/>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2" i="67"/>
  <c r="R410" i="11"/>
  <c r="AD1320" i="1" l="1"/>
  <c r="AD1319"/>
  <c r="AE1315"/>
  <c r="AE1316"/>
  <c r="AE1317"/>
  <c r="AE1318"/>
  <c r="AE1319"/>
  <c r="AE1320"/>
  <c r="AE1321"/>
  <c r="AE1322"/>
  <c r="AE1323"/>
  <c r="AE1324"/>
  <c r="AE1325"/>
  <c r="AE1326"/>
  <c r="AE1327"/>
  <c r="AE1328"/>
  <c r="E6" i="68"/>
  <c r="C6"/>
  <c r="A6"/>
  <c r="R3791" i="1"/>
  <c r="R3790"/>
  <c r="R3789"/>
  <c r="R3788"/>
  <c r="R3787"/>
  <c r="R3786"/>
  <c r="R3785"/>
  <c r="R3784"/>
  <c r="R3783"/>
  <c r="R3782"/>
  <c r="R3781"/>
  <c r="R1278"/>
  <c r="AF70" l="1"/>
  <c r="AF69"/>
  <c r="AF68"/>
  <c r="K1150" i="69"/>
  <c r="K1149"/>
  <c r="I1118"/>
  <c r="K1118" s="1"/>
  <c r="I1104"/>
  <c r="K1104" s="1"/>
  <c r="I1103"/>
  <c r="K1103" s="1"/>
  <c r="I1102"/>
  <c r="K1102" s="1"/>
  <c r="I1092"/>
  <c r="K1092" s="1"/>
  <c r="I1091"/>
  <c r="K1091" s="1"/>
  <c r="I1090"/>
  <c r="K1090" s="1"/>
  <c r="I1089"/>
  <c r="K1089" s="1"/>
  <c r="L1087"/>
  <c r="H1080"/>
  <c r="K1063"/>
  <c r="M1062"/>
  <c r="I1062"/>
  <c r="K1062" s="1"/>
  <c r="K1059"/>
  <c r="L1048"/>
  <c r="K1045"/>
  <c r="K1044"/>
  <c r="N1025"/>
  <c r="K1023"/>
  <c r="K1022"/>
  <c r="N1021"/>
  <c r="K1021"/>
  <c r="L1010"/>
  <c r="K1007"/>
  <c r="I996"/>
  <c r="K996" s="1"/>
  <c r="I995"/>
  <c r="K995" s="1"/>
  <c r="I994"/>
  <c r="K994" s="1"/>
  <c r="I993"/>
  <c r="K993" s="1"/>
  <c r="K980"/>
  <c r="K977"/>
  <c r="K976"/>
  <c r="K1042" s="1"/>
  <c r="K975"/>
  <c r="K974"/>
  <c r="K973"/>
  <c r="K969"/>
  <c r="K967"/>
  <c r="P947"/>
  <c r="R947" s="1"/>
  <c r="O947"/>
  <c r="H947"/>
  <c r="R946"/>
  <c r="I946"/>
  <c r="K946" s="1"/>
  <c r="H946"/>
  <c r="R940"/>
  <c r="I940"/>
  <c r="I947" s="1"/>
  <c r="K947" s="1"/>
  <c r="R939"/>
  <c r="I939"/>
  <c r="K939" s="1"/>
  <c r="H939"/>
  <c r="I935"/>
  <c r="K935" s="1"/>
  <c r="I934"/>
  <c r="K934" s="1"/>
  <c r="H934"/>
  <c r="K928"/>
  <c r="I927"/>
  <c r="K927" s="1"/>
  <c r="K926"/>
  <c r="K909"/>
  <c r="K908"/>
  <c r="L893"/>
  <c r="I891"/>
  <c r="K891" s="1"/>
  <c r="I890"/>
  <c r="K890" s="1"/>
  <c r="K889"/>
  <c r="I888"/>
  <c r="K888" s="1"/>
  <c r="H888"/>
  <c r="I887"/>
  <c r="K887" s="1"/>
  <c r="H887"/>
  <c r="I879"/>
  <c r="K879" s="1"/>
  <c r="I877"/>
  <c r="K877" s="1"/>
  <c r="H877"/>
  <c r="I868"/>
  <c r="K868" s="1"/>
  <c r="H868"/>
  <c r="I863"/>
  <c r="K863" s="1"/>
  <c r="H863"/>
  <c r="L858"/>
  <c r="I854"/>
  <c r="K854" s="1"/>
  <c r="I852"/>
  <c r="K852" s="1"/>
  <c r="K844"/>
  <c r="D843"/>
  <c r="K841"/>
  <c r="K840"/>
  <c r="I839"/>
  <c r="K839" s="1"/>
  <c r="H839"/>
  <c r="I836"/>
  <c r="K836" s="1"/>
  <c r="I835"/>
  <c r="K835" s="1"/>
  <c r="I833"/>
  <c r="K833" s="1"/>
  <c r="I831"/>
  <c r="I838" s="1"/>
  <c r="K838" s="1"/>
  <c r="K818"/>
  <c r="I813"/>
  <c r="K813" s="1"/>
  <c r="I812"/>
  <c r="K812" s="1"/>
  <c r="H812"/>
  <c r="K806"/>
  <c r="R804"/>
  <c r="I804"/>
  <c r="K804" s="1"/>
  <c r="H804"/>
  <c r="I803"/>
  <c r="K803" s="1"/>
  <c r="H803"/>
  <c r="R795"/>
  <c r="R794"/>
  <c r="R793"/>
  <c r="R792"/>
  <c r="K787"/>
  <c r="P783"/>
  <c r="R783" s="1"/>
  <c r="I783"/>
  <c r="K783" s="1"/>
  <c r="R782"/>
  <c r="K782"/>
  <c r="I781"/>
  <c r="K781" s="1"/>
  <c r="H781"/>
  <c r="L774"/>
  <c r="K774"/>
  <c r="J774"/>
  <c r="I774"/>
  <c r="I749"/>
  <c r="K749" s="1"/>
  <c r="H749"/>
  <c r="I748"/>
  <c r="K748" s="1"/>
  <c r="H748"/>
  <c r="I747"/>
  <c r="K747" s="1"/>
  <c r="H747"/>
  <c r="I732"/>
  <c r="K732" s="1"/>
  <c r="K731"/>
  <c r="O730"/>
  <c r="K730"/>
  <c r="I722"/>
  <c r="K722" s="1"/>
  <c r="K725" s="1"/>
  <c r="H722"/>
  <c r="I714"/>
  <c r="K714" s="1"/>
  <c r="K716" s="1"/>
  <c r="H714"/>
  <c r="I702"/>
  <c r="K702" s="1"/>
  <c r="K692"/>
  <c r="K690"/>
  <c r="K683"/>
  <c r="K682"/>
  <c r="I675"/>
  <c r="I794" s="1"/>
  <c r="I674"/>
  <c r="I758" s="1"/>
  <c r="K758" s="1"/>
  <c r="I673"/>
  <c r="I740" s="1"/>
  <c r="K740" s="1"/>
  <c r="I672"/>
  <c r="I791" s="1"/>
  <c r="K791" s="1"/>
  <c r="R670"/>
  <c r="I666"/>
  <c r="I704" s="1"/>
  <c r="K704" s="1"/>
  <c r="I665"/>
  <c r="K665" s="1"/>
  <c r="P664"/>
  <c r="R664" s="1"/>
  <c r="K664"/>
  <c r="K649"/>
  <c r="I647"/>
  <c r="K647" s="1"/>
  <c r="H634"/>
  <c r="H633"/>
  <c r="I624"/>
  <c r="I634" s="1"/>
  <c r="K634" s="1"/>
  <c r="H624"/>
  <c r="I623"/>
  <c r="K623" s="1"/>
  <c r="K607"/>
  <c r="K605"/>
  <c r="L587"/>
  <c r="L568"/>
  <c r="M568" s="1"/>
  <c r="N568" s="1"/>
  <c r="O568" s="1"/>
  <c r="O565"/>
  <c r="N565"/>
  <c r="M565"/>
  <c r="L565"/>
  <c r="L584" s="1"/>
  <c r="I565"/>
  <c r="I584" s="1"/>
  <c r="K584" s="1"/>
  <c r="I558"/>
  <c r="K558" s="1"/>
  <c r="I633" s="1"/>
  <c r="K633" s="1"/>
  <c r="I553"/>
  <c r="K553" s="1"/>
  <c r="H553"/>
  <c r="K545"/>
  <c r="J537"/>
  <c r="H523"/>
  <c r="I522"/>
  <c r="I576" s="1"/>
  <c r="I521"/>
  <c r="K521" s="1"/>
  <c r="I520"/>
  <c r="I574" s="1"/>
  <c r="K514"/>
  <c r="K500"/>
  <c r="K485"/>
  <c r="K484"/>
  <c r="K483"/>
  <c r="K481"/>
  <c r="K478"/>
  <c r="K477"/>
  <c r="K476"/>
  <c r="K475"/>
  <c r="K459"/>
  <c r="K458"/>
  <c r="I428"/>
  <c r="I443" s="1"/>
  <c r="K443" s="1"/>
  <c r="I427"/>
  <c r="K427" s="1"/>
  <c r="K426"/>
  <c r="I418"/>
  <c r="I436" s="1"/>
  <c r="I417"/>
  <c r="K417" s="1"/>
  <c r="I416"/>
  <c r="I434" s="1"/>
  <c r="K410"/>
  <c r="K409"/>
  <c r="K401"/>
  <c r="I400"/>
  <c r="K400" s="1"/>
  <c r="K399"/>
  <c r="N391"/>
  <c r="I391" s="1"/>
  <c r="I504" s="1"/>
  <c r="I537" s="1"/>
  <c r="M391"/>
  <c r="J391"/>
  <c r="K388"/>
  <c r="K386"/>
  <c r="I376"/>
  <c r="K376" s="1"/>
  <c r="K375"/>
  <c r="K361"/>
  <c r="K360"/>
  <c r="K351"/>
  <c r="K349"/>
  <c r="I339"/>
  <c r="I350" s="1"/>
  <c r="K350" s="1"/>
  <c r="K338"/>
  <c r="I327"/>
  <c r="I367" s="1"/>
  <c r="K367" s="1"/>
  <c r="K320"/>
  <c r="K319"/>
  <c r="I309"/>
  <c r="I328" s="1"/>
  <c r="I368" s="1"/>
  <c r="K368" s="1"/>
  <c r="I308"/>
  <c r="K308" s="1"/>
  <c r="K301"/>
  <c r="R295"/>
  <c r="L288"/>
  <c r="S287"/>
  <c r="P282"/>
  <c r="P296" s="1"/>
  <c r="R296" s="1"/>
  <c r="K282"/>
  <c r="P281"/>
  <c r="R281" s="1"/>
  <c r="I281"/>
  <c r="I663" s="1"/>
  <c r="L274"/>
  <c r="I270"/>
  <c r="I785" s="1"/>
  <c r="K267"/>
  <c r="L261"/>
  <c r="K259"/>
  <c r="K257"/>
  <c r="L249"/>
  <c r="R243"/>
  <c r="R240"/>
  <c r="L232"/>
  <c r="K230"/>
  <c r="L213"/>
  <c r="K211"/>
  <c r="I204"/>
  <c r="K204" s="1"/>
  <c r="M192"/>
  <c r="K190"/>
  <c r="K189"/>
  <c r="L180"/>
  <c r="K178"/>
  <c r="I172"/>
  <c r="K172" s="1"/>
  <c r="I168"/>
  <c r="K168" s="1"/>
  <c r="I153"/>
  <c r="K153" s="1"/>
  <c r="L134"/>
  <c r="L126"/>
  <c r="M126" s="1"/>
  <c r="N126" s="1"/>
  <c r="I126"/>
  <c r="I1079" s="1"/>
  <c r="K1079" s="1"/>
  <c r="M104"/>
  <c r="I222"/>
  <c r="I92"/>
  <c r="K94" s="1"/>
  <c r="L90"/>
  <c r="K81"/>
  <c r="H80"/>
  <c r="H79"/>
  <c r="H105" s="1"/>
  <c r="I78"/>
  <c r="I106" s="1"/>
  <c r="K106" s="1"/>
  <c r="H78"/>
  <c r="H106" s="1"/>
  <c r="H74"/>
  <c r="S65"/>
  <c r="K64"/>
  <c r="R58"/>
  <c r="P57"/>
  <c r="R57" s="1"/>
  <c r="L53"/>
  <c r="P50"/>
  <c r="R50" s="1"/>
  <c r="P42"/>
  <c r="R42" s="1"/>
  <c r="P41"/>
  <c r="R41" s="1"/>
  <c r="K41"/>
  <c r="P40"/>
  <c r="R40" s="1"/>
  <c r="K40"/>
  <c r="P39"/>
  <c r="R39" s="1"/>
  <c r="K38"/>
  <c r="K37"/>
  <c r="K36"/>
  <c r="K35"/>
  <c r="T32"/>
  <c r="R29"/>
  <c r="L29"/>
  <c r="R25"/>
  <c r="I25"/>
  <c r="I979" s="1"/>
  <c r="K979" s="1"/>
  <c r="R24"/>
  <c r="I24"/>
  <c r="P23"/>
  <c r="I23"/>
  <c r="I22"/>
  <c r="P21"/>
  <c r="K21"/>
  <c r="K61" s="1"/>
  <c r="K1019" s="1"/>
  <c r="P20"/>
  <c r="P53" s="1"/>
  <c r="R53" s="1"/>
  <c r="I20"/>
  <c r="I972" s="1"/>
  <c r="K972" s="1"/>
  <c r="K1006" s="1"/>
  <c r="K1018" s="1"/>
  <c r="I19"/>
  <c r="I971" s="1"/>
  <c r="K971" s="1"/>
  <c r="I18"/>
  <c r="I970" s="1"/>
  <c r="K970" s="1"/>
  <c r="R17"/>
  <c r="K16"/>
  <c r="I15"/>
  <c r="I167" s="1"/>
  <c r="K167" s="1"/>
  <c r="I14"/>
  <c r="P18" s="1"/>
  <c r="P51" s="1"/>
  <c r="R51" s="1"/>
  <c r="K13"/>
  <c r="I13"/>
  <c r="I965" s="1"/>
  <c r="K965" s="1"/>
  <c r="I12"/>
  <c r="K1152" l="1"/>
  <c r="K684"/>
  <c r="K339"/>
  <c r="K693"/>
  <c r="L693" s="1"/>
  <c r="K15"/>
  <c r="I894"/>
  <c r="K894" s="1"/>
  <c r="I100"/>
  <c r="K12"/>
  <c r="K14"/>
  <c r="P16"/>
  <c r="R16" s="1"/>
  <c r="P19"/>
  <c r="P52" s="1"/>
  <c r="R52" s="1"/>
  <c r="R282"/>
  <c r="I834"/>
  <c r="K834" s="1"/>
  <c r="K998"/>
  <c r="K270"/>
  <c r="K428"/>
  <c r="I80"/>
  <c r="I203" s="1"/>
  <c r="K203" s="1"/>
  <c r="K936"/>
  <c r="K18"/>
  <c r="R19"/>
  <c r="R20"/>
  <c r="P22"/>
  <c r="K391"/>
  <c r="I387" s="1"/>
  <c r="K387" s="1"/>
  <c r="P673"/>
  <c r="R673" s="1"/>
  <c r="P675"/>
  <c r="R675" s="1"/>
  <c r="R796"/>
  <c r="R797" s="1"/>
  <c r="I125"/>
  <c r="I1078" s="1"/>
  <c r="K1078" s="1"/>
  <c r="P15"/>
  <c r="K19"/>
  <c r="K62" s="1"/>
  <c r="K1020" s="1"/>
  <c r="K20"/>
  <c r="K49" s="1"/>
  <c r="K60" s="1"/>
  <c r="K25"/>
  <c r="K42"/>
  <c r="K111" s="1"/>
  <c r="I218"/>
  <c r="I1054" s="1"/>
  <c r="K309"/>
  <c r="K310" s="1"/>
  <c r="K311" s="1"/>
  <c r="K303" s="1"/>
  <c r="K304" s="1"/>
  <c r="K565"/>
  <c r="K624"/>
  <c r="P672"/>
  <c r="R672" s="1"/>
  <c r="P674"/>
  <c r="R674" s="1"/>
  <c r="K1093"/>
  <c r="I1107" s="1"/>
  <c r="K1107" s="1"/>
  <c r="K144"/>
  <c r="I291"/>
  <c r="K285" s="1"/>
  <c r="R285" s="1"/>
  <c r="R299" s="1"/>
  <c r="H292"/>
  <c r="K229"/>
  <c r="K245" s="1"/>
  <c r="K271" s="1"/>
  <c r="R244" s="1"/>
  <c r="K26"/>
  <c r="K177" s="1"/>
  <c r="R22"/>
  <c r="P55"/>
  <c r="R55" s="1"/>
  <c r="I1058"/>
  <c r="K1058" s="1"/>
  <c r="K222"/>
  <c r="I901"/>
  <c r="K794"/>
  <c r="R18"/>
  <c r="R44"/>
  <c r="R46" s="1"/>
  <c r="I173"/>
  <c r="K173" s="1"/>
  <c r="P26"/>
  <c r="I85"/>
  <c r="I109" s="1"/>
  <c r="K109" s="1"/>
  <c r="K22"/>
  <c r="I978"/>
  <c r="K978" s="1"/>
  <c r="K1043" s="1"/>
  <c r="I175"/>
  <c r="K175" s="1"/>
  <c r="K24"/>
  <c r="P786"/>
  <c r="R786" s="1"/>
  <c r="I816"/>
  <c r="K816" s="1"/>
  <c r="K785"/>
  <c r="I449"/>
  <c r="K436"/>
  <c r="I571"/>
  <c r="K537"/>
  <c r="I532" s="1"/>
  <c r="K532" s="1"/>
  <c r="I595"/>
  <c r="K576"/>
  <c r="K1000"/>
  <c r="K1065"/>
  <c r="P54"/>
  <c r="R54" s="1"/>
  <c r="R21"/>
  <c r="P56"/>
  <c r="R56" s="1"/>
  <c r="R23"/>
  <c r="I201"/>
  <c r="K201" s="1"/>
  <c r="K78"/>
  <c r="K663"/>
  <c r="I701"/>
  <c r="K701" s="1"/>
  <c r="K369"/>
  <c r="K370" s="1"/>
  <c r="I174"/>
  <c r="K174" s="1"/>
  <c r="I83"/>
  <c r="I107" s="1"/>
  <c r="K107" s="1"/>
  <c r="K23"/>
  <c r="I447"/>
  <c r="K434"/>
  <c r="I593"/>
  <c r="K574"/>
  <c r="P787"/>
  <c r="R787"/>
  <c r="I74"/>
  <c r="I76"/>
  <c r="I102" s="1"/>
  <c r="K102" s="1"/>
  <c r="I79"/>
  <c r="I105" s="1"/>
  <c r="K105" s="1"/>
  <c r="I164"/>
  <c r="K164" s="1"/>
  <c r="I166"/>
  <c r="K166" s="1"/>
  <c r="I170"/>
  <c r="K170" s="1"/>
  <c r="I176"/>
  <c r="K176" s="1"/>
  <c r="I284"/>
  <c r="K328"/>
  <c r="K416"/>
  <c r="K418"/>
  <c r="I435"/>
  <c r="K504"/>
  <c r="I499" s="1"/>
  <c r="K499" s="1"/>
  <c r="K520"/>
  <c r="K522"/>
  <c r="I575"/>
  <c r="I645"/>
  <c r="K645" s="1"/>
  <c r="P663"/>
  <c r="R663" s="1"/>
  <c r="K672"/>
  <c r="K673"/>
  <c r="K674"/>
  <c r="K675"/>
  <c r="I703"/>
  <c r="K703" s="1"/>
  <c r="I757"/>
  <c r="K757" s="1"/>
  <c r="I759"/>
  <c r="I792"/>
  <c r="I814"/>
  <c r="K814" s="1"/>
  <c r="K940"/>
  <c r="I964"/>
  <c r="K964" s="1"/>
  <c r="I966"/>
  <c r="K966" s="1"/>
  <c r="I143"/>
  <c r="K143" s="1"/>
  <c r="P665"/>
  <c r="R665" s="1"/>
  <c r="P666"/>
  <c r="R666" s="1"/>
  <c r="I739"/>
  <c r="K739" s="1"/>
  <c r="I741"/>
  <c r="K741" s="1"/>
  <c r="I793"/>
  <c r="J911"/>
  <c r="K911" s="1"/>
  <c r="K929" s="1"/>
  <c r="I968"/>
  <c r="K968" s="1"/>
  <c r="I75"/>
  <c r="I101" s="1"/>
  <c r="K101" s="1"/>
  <c r="I77"/>
  <c r="I103" s="1"/>
  <c r="K103" s="1"/>
  <c r="I82"/>
  <c r="I108" s="1"/>
  <c r="K108" s="1"/>
  <c r="I86"/>
  <c r="K126"/>
  <c r="I165"/>
  <c r="I169"/>
  <c r="I171"/>
  <c r="K171" s="1"/>
  <c r="K188" s="1"/>
  <c r="K281"/>
  <c r="K327"/>
  <c r="K666"/>
  <c r="K831"/>
  <c r="I120"/>
  <c r="A3" i="68"/>
  <c r="G1177"/>
  <c r="G1151"/>
  <c r="H1004"/>
  <c r="G1004"/>
  <c r="H1002"/>
  <c r="G1002"/>
  <c r="H989"/>
  <c r="G989"/>
  <c r="H988"/>
  <c r="G988"/>
  <c r="H987"/>
  <c r="G987"/>
  <c r="H985"/>
  <c r="G985"/>
  <c r="H984"/>
  <c r="G984"/>
  <c r="G983"/>
  <c r="H981"/>
  <c r="G981"/>
  <c r="H958"/>
  <c r="G958"/>
  <c r="H956"/>
  <c r="G956"/>
  <c r="H948"/>
  <c r="G948"/>
  <c r="H944"/>
  <c r="G944"/>
  <c r="H936"/>
  <c r="H934"/>
  <c r="G934"/>
  <c r="H933"/>
  <c r="G933"/>
  <c r="H932"/>
  <c r="G932"/>
  <c r="H928"/>
  <c r="G928"/>
  <c r="H927"/>
  <c r="G927"/>
  <c r="H926"/>
  <c r="G926"/>
  <c r="H925"/>
  <c r="G925"/>
  <c r="H924"/>
  <c r="G924"/>
  <c r="H918"/>
  <c r="G918"/>
  <c r="H884"/>
  <c r="G884"/>
  <c r="H883"/>
  <c r="G883"/>
  <c r="H878"/>
  <c r="G878"/>
  <c r="H877"/>
  <c r="G877"/>
  <c r="H876"/>
  <c r="G876"/>
  <c r="H875"/>
  <c r="G875"/>
  <c r="H874"/>
  <c r="G874"/>
  <c r="H873"/>
  <c r="G873"/>
  <c r="H870"/>
  <c r="G870"/>
  <c r="H869"/>
  <c r="G869"/>
  <c r="H868"/>
  <c r="G868"/>
  <c r="H859"/>
  <c r="G859"/>
  <c r="H858"/>
  <c r="G858"/>
  <c r="H856"/>
  <c r="G856"/>
  <c r="H855"/>
  <c r="G855"/>
  <c r="H854"/>
  <c r="G854"/>
  <c r="H853"/>
  <c r="G853"/>
  <c r="H852"/>
  <c r="G852"/>
  <c r="H851"/>
  <c r="G851"/>
  <c r="H850"/>
  <c r="G850"/>
  <c r="H849"/>
  <c r="G849"/>
  <c r="H848"/>
  <c r="G848"/>
  <c r="H846"/>
  <c r="G846"/>
  <c r="H843"/>
  <c r="G843"/>
  <c r="H842"/>
  <c r="G842"/>
  <c r="H814"/>
  <c r="G814"/>
  <c r="H813"/>
  <c r="G813"/>
  <c r="H811"/>
  <c r="G811"/>
  <c r="H806"/>
  <c r="G806"/>
  <c r="H799"/>
  <c r="G799"/>
  <c r="H796"/>
  <c r="G796"/>
  <c r="H795"/>
  <c r="G795"/>
  <c r="H777"/>
  <c r="G777"/>
  <c r="H761"/>
  <c r="G761"/>
  <c r="H731"/>
  <c r="G731"/>
  <c r="H729"/>
  <c r="G729"/>
  <c r="H724"/>
  <c r="G724"/>
  <c r="H713"/>
  <c r="G713"/>
  <c r="H712"/>
  <c r="G712"/>
  <c r="H710"/>
  <c r="G710"/>
  <c r="H708"/>
  <c r="G708"/>
  <c r="H707"/>
  <c r="G707"/>
  <c r="H706"/>
  <c r="G706"/>
  <c r="H704"/>
  <c r="G704"/>
  <c r="H696"/>
  <c r="G696"/>
  <c r="H692"/>
  <c r="G692"/>
  <c r="H690"/>
  <c r="G690"/>
  <c r="H689"/>
  <c r="G689"/>
  <c r="H678"/>
  <c r="G678"/>
  <c r="H677"/>
  <c r="G677"/>
  <c r="H676"/>
  <c r="G676"/>
  <c r="H670"/>
  <c r="G670"/>
  <c r="H664"/>
  <c r="G664"/>
  <c r="H662"/>
  <c r="G662"/>
  <c r="H661"/>
  <c r="G661"/>
  <c r="H659"/>
  <c r="G659"/>
  <c r="H650"/>
  <c r="G650"/>
  <c r="H649"/>
  <c r="G649"/>
  <c r="H648"/>
  <c r="G648"/>
  <c r="H647"/>
  <c r="G647"/>
  <c r="H644"/>
  <c r="G644"/>
  <c r="H643"/>
  <c r="G643"/>
  <c r="H642"/>
  <c r="G642"/>
  <c r="H641"/>
  <c r="G641"/>
  <c r="H633"/>
  <c r="G633"/>
  <c r="H630"/>
  <c r="G630"/>
  <c r="H598"/>
  <c r="G598"/>
  <c r="H596"/>
  <c r="G596"/>
  <c r="H595"/>
  <c r="G595"/>
  <c r="H594"/>
  <c r="G594"/>
  <c r="H593"/>
  <c r="G593"/>
  <c r="H591"/>
  <c r="G591"/>
  <c r="H590"/>
  <c r="G590"/>
  <c r="H589"/>
  <c r="G589"/>
  <c r="H588"/>
  <c r="G588"/>
  <c r="H587"/>
  <c r="G587"/>
  <c r="H585"/>
  <c r="G585"/>
  <c r="H554"/>
  <c r="G554"/>
  <c r="H553"/>
  <c r="G553"/>
  <c r="H552"/>
  <c r="G552"/>
  <c r="H513"/>
  <c r="G513"/>
  <c r="H512"/>
  <c r="G512"/>
  <c r="H511"/>
  <c r="G511"/>
  <c r="H510"/>
  <c r="G510"/>
  <c r="H509"/>
  <c r="G509"/>
  <c r="H508"/>
  <c r="G508"/>
  <c r="H492"/>
  <c r="G492"/>
  <c r="H491"/>
  <c r="G491"/>
  <c r="H490"/>
  <c r="G490"/>
  <c r="H489"/>
  <c r="G489"/>
  <c r="H488"/>
  <c r="G488"/>
  <c r="H482"/>
  <c r="G482"/>
  <c r="H481"/>
  <c r="G481"/>
  <c r="H461"/>
  <c r="G461"/>
  <c r="H460"/>
  <c r="G460"/>
  <c r="H459"/>
  <c r="G459"/>
  <c r="H452"/>
  <c r="G452"/>
  <c r="H447"/>
  <c r="G447"/>
  <c r="H446"/>
  <c r="G446"/>
  <c r="H445"/>
  <c r="G445"/>
  <c r="H436"/>
  <c r="G436"/>
  <c r="H434"/>
  <c r="G434"/>
  <c r="H420"/>
  <c r="G420"/>
  <c r="H406"/>
  <c r="G406"/>
  <c r="H404"/>
  <c r="G404"/>
  <c r="H386"/>
  <c r="G386"/>
  <c r="H383"/>
  <c r="G383"/>
  <c r="H376"/>
  <c r="G376"/>
  <c r="H375"/>
  <c r="G375"/>
  <c r="H374"/>
  <c r="G374"/>
  <c r="H369"/>
  <c r="G369"/>
  <c r="H358"/>
  <c r="G358"/>
  <c r="H357"/>
  <c r="G357"/>
  <c r="H356"/>
  <c r="G356"/>
  <c r="H220"/>
  <c r="G220"/>
  <c r="H39"/>
  <c r="G39"/>
  <c r="H8"/>
  <c r="G8"/>
  <c r="H26" i="67"/>
  <c r="I13"/>
  <c r="G13"/>
  <c r="I241" i="69" l="1"/>
  <c r="K218"/>
  <c r="P49"/>
  <c r="R49" s="1"/>
  <c r="K80"/>
  <c r="K87"/>
  <c r="K131" s="1"/>
  <c r="I110"/>
  <c r="K110" s="1"/>
  <c r="K100"/>
  <c r="K419"/>
  <c r="K420" s="1"/>
  <c r="K412" s="1"/>
  <c r="K413" s="1"/>
  <c r="R941" s="1"/>
  <c r="K329"/>
  <c r="K330" s="1"/>
  <c r="K352" s="1"/>
  <c r="K353" s="1"/>
  <c r="L353" s="1"/>
  <c r="K125"/>
  <c r="R789"/>
  <c r="P805" s="1"/>
  <c r="R805" s="1"/>
  <c r="R807" s="1"/>
  <c r="P27"/>
  <c r="R27" s="1"/>
  <c r="R15"/>
  <c r="P48"/>
  <c r="R48" s="1"/>
  <c r="I128"/>
  <c r="K128" s="1"/>
  <c r="I155"/>
  <c r="K155" s="1"/>
  <c r="K28"/>
  <c r="L30" s="1"/>
  <c r="R676"/>
  <c r="R667" s="1"/>
  <c r="K322"/>
  <c r="K323" s="1"/>
  <c r="I855"/>
  <c r="K855" s="1"/>
  <c r="K759"/>
  <c r="I467"/>
  <c r="K449"/>
  <c r="I869"/>
  <c r="K169"/>
  <c r="I209"/>
  <c r="K209" s="1"/>
  <c r="K86"/>
  <c r="I853"/>
  <c r="K853" s="1"/>
  <c r="K792"/>
  <c r="I899"/>
  <c r="K85"/>
  <c r="I208"/>
  <c r="K208" s="1"/>
  <c r="K742"/>
  <c r="K733" s="1"/>
  <c r="K735" s="1"/>
  <c r="K736" s="1"/>
  <c r="I851"/>
  <c r="K165"/>
  <c r="L980"/>
  <c r="L981" s="1"/>
  <c r="I202"/>
  <c r="K202" s="1"/>
  <c r="K79"/>
  <c r="K83"/>
  <c r="I206"/>
  <c r="K206" s="1"/>
  <c r="K389"/>
  <c r="K390" s="1"/>
  <c r="K378"/>
  <c r="K379" s="1"/>
  <c r="L379" s="1"/>
  <c r="K363"/>
  <c r="K364" s="1"/>
  <c r="L364" s="1"/>
  <c r="I228"/>
  <c r="K228" s="1"/>
  <c r="I198"/>
  <c r="K198" s="1"/>
  <c r="K75"/>
  <c r="I448"/>
  <c r="K435"/>
  <c r="K284"/>
  <c r="P284"/>
  <c r="I197"/>
  <c r="K197" s="1"/>
  <c r="K74"/>
  <c r="I506"/>
  <c r="K506" s="1"/>
  <c r="I466"/>
  <c r="K447"/>
  <c r="K1084"/>
  <c r="K981"/>
  <c r="K983" s="1"/>
  <c r="I590"/>
  <c r="K571"/>
  <c r="I566" s="1"/>
  <c r="K566" s="1"/>
  <c r="K1054"/>
  <c r="I1064"/>
  <c r="K1064" s="1"/>
  <c r="P61"/>
  <c r="R61" s="1"/>
  <c r="P28"/>
  <c r="R28" s="1"/>
  <c r="K210"/>
  <c r="K676"/>
  <c r="I205"/>
  <c r="K205" s="1"/>
  <c r="I84"/>
  <c r="K82"/>
  <c r="I1073"/>
  <c r="K1073" s="1"/>
  <c r="K120"/>
  <c r="I141"/>
  <c r="K141" s="1"/>
  <c r="I130"/>
  <c r="I200"/>
  <c r="K200" s="1"/>
  <c r="K77"/>
  <c r="I900"/>
  <c r="K900" s="1"/>
  <c r="K793"/>
  <c r="I594"/>
  <c r="K594" s="1"/>
  <c r="K575"/>
  <c r="K577" s="1"/>
  <c r="K578" s="1"/>
  <c r="K567" s="1"/>
  <c r="L567" s="1"/>
  <c r="M567" s="1"/>
  <c r="N567" s="1"/>
  <c r="O567" s="1"/>
  <c r="I199"/>
  <c r="K199" s="1"/>
  <c r="K76"/>
  <c r="I224"/>
  <c r="K224" s="1"/>
  <c r="I244"/>
  <c r="K241"/>
  <c r="I1100"/>
  <c r="I917"/>
  <c r="K917" s="1"/>
  <c r="K901"/>
  <c r="K437"/>
  <c r="K438" s="1"/>
  <c r="K430" s="1"/>
  <c r="K431" s="1"/>
  <c r="I615"/>
  <c r="K593"/>
  <c r="L304"/>
  <c r="I616"/>
  <c r="K595"/>
  <c r="P59"/>
  <c r="R59" s="1"/>
  <c r="R26"/>
  <c r="Q1148" i="55"/>
  <c r="Q1147"/>
  <c r="Q1146"/>
  <c r="Q1145"/>
  <c r="Q1144"/>
  <c r="Q1143"/>
  <c r="K341" i="69" l="1"/>
  <c r="K342" s="1"/>
  <c r="L342" s="1"/>
  <c r="K179"/>
  <c r="K113"/>
  <c r="K114" s="1"/>
  <c r="I1081"/>
  <c r="K1081" s="1"/>
  <c r="K941"/>
  <c r="K948" s="1"/>
  <c r="K950" s="1"/>
  <c r="L31"/>
  <c r="K29"/>
  <c r="C898" i="55" s="1"/>
  <c r="K48" i="69"/>
  <c r="R64"/>
  <c r="S66" s="1"/>
  <c r="R31"/>
  <c r="R32" s="1"/>
  <c r="K1005"/>
  <c r="K984"/>
  <c r="L984" s="1"/>
  <c r="K1041"/>
  <c r="K1047" s="1"/>
  <c r="I656"/>
  <c r="K656" s="1"/>
  <c r="K616"/>
  <c r="K130"/>
  <c r="I1083"/>
  <c r="K1083" s="1"/>
  <c r="L566"/>
  <c r="K569"/>
  <c r="K448"/>
  <c r="I507"/>
  <c r="K507" s="1"/>
  <c r="K508" s="1"/>
  <c r="K509" s="1"/>
  <c r="K398"/>
  <c r="K402" s="1"/>
  <c r="L390"/>
  <c r="K869"/>
  <c r="K871" s="1"/>
  <c r="I878"/>
  <c r="K878" s="1"/>
  <c r="K881" s="1"/>
  <c r="I492"/>
  <c r="K492" s="1"/>
  <c r="K467"/>
  <c r="K450"/>
  <c r="K451" s="1"/>
  <c r="K444" s="1"/>
  <c r="K446" s="1"/>
  <c r="K943"/>
  <c r="I655"/>
  <c r="K655" s="1"/>
  <c r="K657" s="1"/>
  <c r="K658" s="1"/>
  <c r="K648" s="1"/>
  <c r="K615"/>
  <c r="I258"/>
  <c r="K258" s="1"/>
  <c r="K244"/>
  <c r="I1106"/>
  <c r="K1106" s="1"/>
  <c r="I220"/>
  <c r="I122"/>
  <c r="I221"/>
  <c r="I123"/>
  <c r="K667"/>
  <c r="K669" s="1"/>
  <c r="K705"/>
  <c r="K707" s="1"/>
  <c r="K708" s="1"/>
  <c r="I219"/>
  <c r="I121"/>
  <c r="I129"/>
  <c r="I227"/>
  <c r="R948"/>
  <c r="R950" s="1"/>
  <c r="R943"/>
  <c r="K795"/>
  <c r="K796" s="1"/>
  <c r="I226"/>
  <c r="K180"/>
  <c r="L181"/>
  <c r="K187"/>
  <c r="K191" s="1"/>
  <c r="K851"/>
  <c r="K857" s="1"/>
  <c r="I862"/>
  <c r="K862" s="1"/>
  <c r="K899"/>
  <c r="K902" s="1"/>
  <c r="K895" s="1"/>
  <c r="K896" s="1"/>
  <c r="M896" s="1"/>
  <c r="I916"/>
  <c r="K916" s="1"/>
  <c r="K918" s="1"/>
  <c r="K919" s="1"/>
  <c r="K912" s="1"/>
  <c r="K596"/>
  <c r="K597" s="1"/>
  <c r="K586" s="1"/>
  <c r="L586" s="1"/>
  <c r="K52"/>
  <c r="K59"/>
  <c r="K1100"/>
  <c r="I1119"/>
  <c r="K1119" s="1"/>
  <c r="I207"/>
  <c r="K207" s="1"/>
  <c r="K212" s="1"/>
  <c r="K84"/>
  <c r="K89" s="1"/>
  <c r="I612"/>
  <c r="K590"/>
  <c r="I585" s="1"/>
  <c r="K585" s="1"/>
  <c r="K466"/>
  <c r="I491"/>
  <c r="K491" s="1"/>
  <c r="K493" s="1"/>
  <c r="K487" s="1"/>
  <c r="P298"/>
  <c r="R298" s="1"/>
  <c r="R284"/>
  <c r="I124"/>
  <c r="I225"/>
  <c r="K225" s="1"/>
  <c r="I223"/>
  <c r="L323"/>
  <c r="B514" i="5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F1078"/>
  <c r="F1077"/>
  <c r="F1076"/>
  <c r="P1193" i="1"/>
  <c r="P1192"/>
  <c r="R1192" s="1"/>
  <c r="R1193"/>
  <c r="R1191"/>
  <c r="J898" i="55" l="1"/>
  <c r="G901" i="68"/>
  <c r="T33" i="69"/>
  <c r="K617"/>
  <c r="K618" s="1"/>
  <c r="K608" s="1"/>
  <c r="R65"/>
  <c r="K468"/>
  <c r="K460" s="1"/>
  <c r="K462" s="1"/>
  <c r="K463" s="1"/>
  <c r="K213"/>
  <c r="L214"/>
  <c r="K90"/>
  <c r="L95"/>
  <c r="K534"/>
  <c r="K535" s="1"/>
  <c r="K501"/>
  <c r="K502" s="1"/>
  <c r="L502" s="1"/>
  <c r="I243"/>
  <c r="K227"/>
  <c r="I242"/>
  <c r="I1055"/>
  <c r="K1055" s="1"/>
  <c r="K219"/>
  <c r="I1076"/>
  <c r="K1076" s="1"/>
  <c r="K123"/>
  <c r="I1075"/>
  <c r="K1075" s="1"/>
  <c r="K122"/>
  <c r="L446"/>
  <c r="M881"/>
  <c r="K1017"/>
  <c r="K1025" s="1"/>
  <c r="K1026" s="1"/>
  <c r="K1009"/>
  <c r="I652"/>
  <c r="K612"/>
  <c r="I606" s="1"/>
  <c r="K606" s="1"/>
  <c r="K610" s="1"/>
  <c r="K53"/>
  <c r="L54"/>
  <c r="K858"/>
  <c r="K861" s="1"/>
  <c r="K864" s="1"/>
  <c r="L859"/>
  <c r="I1061"/>
  <c r="K1061" s="1"/>
  <c r="K226"/>
  <c r="K786"/>
  <c r="K817"/>
  <c r="K843"/>
  <c r="I142"/>
  <c r="K142" s="1"/>
  <c r="K146" s="1"/>
  <c r="C903" i="55" s="1"/>
  <c r="I1074" i="69"/>
  <c r="K1074" s="1"/>
  <c r="K121"/>
  <c r="I1060"/>
  <c r="K1060" s="1"/>
  <c r="K223"/>
  <c r="L585"/>
  <c r="L588" s="1"/>
  <c r="K588"/>
  <c r="K930"/>
  <c r="K931" s="1"/>
  <c r="K913"/>
  <c r="M566"/>
  <c r="L569"/>
  <c r="K1048"/>
  <c r="L1049"/>
  <c r="I1077"/>
  <c r="I154"/>
  <c r="K154" s="1"/>
  <c r="K157" s="1"/>
  <c r="C905" i="55" s="1"/>
  <c r="I127" i="69"/>
  <c r="K127" s="1"/>
  <c r="K124"/>
  <c r="K192"/>
  <c r="N192"/>
  <c r="M193"/>
  <c r="I1082"/>
  <c r="K1082" s="1"/>
  <c r="K129"/>
  <c r="L671"/>
  <c r="K670"/>
  <c r="I1057"/>
  <c r="K1057" s="1"/>
  <c r="K221"/>
  <c r="I1056"/>
  <c r="K1056" s="1"/>
  <c r="K220"/>
  <c r="H1218" i="68"/>
  <c r="Q1077" i="55"/>
  <c r="Q1081"/>
  <c r="Q1085"/>
  <c r="Q1089"/>
  <c r="Q1093"/>
  <c r="Q1097"/>
  <c r="Q1101"/>
  <c r="Q1105"/>
  <c r="Q1109"/>
  <c r="Q1113"/>
  <c r="Q1117"/>
  <c r="Q1121"/>
  <c r="Q1125"/>
  <c r="Q1129"/>
  <c r="Q1133"/>
  <c r="Q1137"/>
  <c r="Q1141"/>
  <c r="R1076"/>
  <c r="Q1080"/>
  <c r="Q1084"/>
  <c r="Q1088"/>
  <c r="Q1092"/>
  <c r="Q1096"/>
  <c r="Q1100"/>
  <c r="Q1104"/>
  <c r="Q1108"/>
  <c r="Q1112"/>
  <c r="Q1116"/>
  <c r="Q1120"/>
  <c r="Q1124"/>
  <c r="Q1128"/>
  <c r="Q1132"/>
  <c r="Q1136"/>
  <c r="Q1140"/>
  <c r="Q1079"/>
  <c r="Q1083"/>
  <c r="Q1087"/>
  <c r="Q1091"/>
  <c r="Q1095"/>
  <c r="Q1099"/>
  <c r="Q1103"/>
  <c r="Q1107"/>
  <c r="Q1111"/>
  <c r="Q1115"/>
  <c r="Q1119"/>
  <c r="Q1123"/>
  <c r="Q1127"/>
  <c r="Q1131"/>
  <c r="Q1135"/>
  <c r="Q1139"/>
  <c r="Q1078"/>
  <c r="Q1082"/>
  <c r="Q1086"/>
  <c r="Q1090"/>
  <c r="Q1094"/>
  <c r="Q1098"/>
  <c r="Q1102"/>
  <c r="Q1106"/>
  <c r="Q1110"/>
  <c r="Q1114"/>
  <c r="Q1118"/>
  <c r="Q1122"/>
  <c r="Q1126"/>
  <c r="Q1130"/>
  <c r="Q1134"/>
  <c r="Q1138"/>
  <c r="Q1142"/>
  <c r="I1072" i="11"/>
  <c r="L1058"/>
  <c r="K1055"/>
  <c r="L1036"/>
  <c r="K1032"/>
  <c r="L994"/>
  <c r="P433" i="1"/>
  <c r="R3521"/>
  <c r="AH66"/>
  <c r="AH67"/>
  <c r="AH68"/>
  <c r="AH69"/>
  <c r="AH70"/>
  <c r="AH71"/>
  <c r="AH72"/>
  <c r="AH73"/>
  <c r="AH74"/>
  <c r="AG66"/>
  <c r="AE66" s="1"/>
  <c r="AG67"/>
  <c r="AE67" s="1"/>
  <c r="AG68"/>
  <c r="AG69"/>
  <c r="AE69" s="1"/>
  <c r="AG70"/>
  <c r="AG71"/>
  <c r="AG72"/>
  <c r="AE72" s="1"/>
  <c r="AG73"/>
  <c r="AE73" s="1"/>
  <c r="AG74"/>
  <c r="AG75"/>
  <c r="AG76"/>
  <c r="AE76" s="1"/>
  <c r="AG77"/>
  <c r="I3389"/>
  <c r="H992"/>
  <c r="H1022" s="1"/>
  <c r="H1057" s="1"/>
  <c r="H993"/>
  <c r="H1023" s="1"/>
  <c r="H994"/>
  <c r="H1024" s="1"/>
  <c r="H995"/>
  <c r="H1025" s="1"/>
  <c r="H996"/>
  <c r="H1026" s="1"/>
  <c r="H991"/>
  <c r="H1021" s="1"/>
  <c r="L670" i="11"/>
  <c r="I3759" i="1"/>
  <c r="L1120" i="11"/>
  <c r="L1097"/>
  <c r="E15" i="4"/>
  <c r="E14"/>
  <c r="N12"/>
  <c r="K12"/>
  <c r="K11"/>
  <c r="H11"/>
  <c r="C661" i="1" l="1"/>
  <c r="I1840" s="1"/>
  <c r="AE68"/>
  <c r="AE75"/>
  <c r="D672" s="1"/>
  <c r="AE74"/>
  <c r="C672" s="1"/>
  <c r="H901" i="68"/>
  <c r="AE70" i="1"/>
  <c r="C663" s="1"/>
  <c r="AE71"/>
  <c r="D663" s="1"/>
  <c r="I1842" s="1"/>
  <c r="S898" i="55"/>
  <c r="T898" s="1"/>
  <c r="J905"/>
  <c r="G908" i="68"/>
  <c r="J903" i="55"/>
  <c r="G906" i="68"/>
  <c r="I3508" i="1"/>
  <c r="I1843"/>
  <c r="C677"/>
  <c r="C662"/>
  <c r="E661"/>
  <c r="R1085" i="55"/>
  <c r="R1082"/>
  <c r="R1083"/>
  <c r="R1084"/>
  <c r="D677" i="1"/>
  <c r="C899" i="55"/>
  <c r="L115" i="69"/>
  <c r="K1010"/>
  <c r="L1011"/>
  <c r="I1101"/>
  <c r="K1101" s="1"/>
  <c r="I268"/>
  <c r="K242"/>
  <c r="K1077"/>
  <c r="I1080"/>
  <c r="K1080" s="1"/>
  <c r="L146"/>
  <c r="K1067"/>
  <c r="K1068" s="1"/>
  <c r="L157"/>
  <c r="M913"/>
  <c r="I797"/>
  <c r="K652"/>
  <c r="I646" s="1"/>
  <c r="K646" s="1"/>
  <c r="K650" s="1"/>
  <c r="L650" s="1"/>
  <c r="I1105"/>
  <c r="K1105" s="1"/>
  <c r="K243"/>
  <c r="I269"/>
  <c r="K231"/>
  <c r="N566"/>
  <c r="M569"/>
  <c r="K133"/>
  <c r="K3736" i="1"/>
  <c r="L1081" i="69" l="1"/>
  <c r="L1082" s="1"/>
  <c r="H906" i="68"/>
  <c r="H908"/>
  <c r="S905" i="55"/>
  <c r="T905" s="1"/>
  <c r="S903"/>
  <c r="T903" s="1"/>
  <c r="K1086" i="69"/>
  <c r="L1088" s="1"/>
  <c r="J899" i="55"/>
  <c r="G902" i="68"/>
  <c r="C902" i="55"/>
  <c r="K1087" i="69"/>
  <c r="K134"/>
  <c r="L135"/>
  <c r="K269"/>
  <c r="I283"/>
  <c r="P242"/>
  <c r="R242" s="1"/>
  <c r="K797"/>
  <c r="I784" s="1"/>
  <c r="I846"/>
  <c r="K846" s="1"/>
  <c r="K1108"/>
  <c r="K1110" s="1"/>
  <c r="K268"/>
  <c r="P241"/>
  <c r="R241" s="1"/>
  <c r="K246"/>
  <c r="K232"/>
  <c r="L233"/>
  <c r="O566"/>
  <c r="O569" s="1"/>
  <c r="N569"/>
  <c r="S65" i="11"/>
  <c r="S66" s="1"/>
  <c r="M3023" i="27"/>
  <c r="H3020"/>
  <c r="L3011"/>
  <c r="H902" i="68" l="1"/>
  <c r="K273" i="69"/>
  <c r="S899" i="55"/>
  <c r="T899" s="1"/>
  <c r="R246" i="69"/>
  <c r="R247" s="1"/>
  <c r="J902" i="55"/>
  <c r="G905" i="68"/>
  <c r="C904" i="55"/>
  <c r="K1111" i="69"/>
  <c r="K1117"/>
  <c r="K1121" s="1"/>
  <c r="K1122" s="1"/>
  <c r="K274"/>
  <c r="L275"/>
  <c r="I832"/>
  <c r="K832" s="1"/>
  <c r="I842"/>
  <c r="K842" s="1"/>
  <c r="K256"/>
  <c r="K260" s="1"/>
  <c r="K248"/>
  <c r="K283"/>
  <c r="K287" s="1"/>
  <c r="P283"/>
  <c r="I815"/>
  <c r="K815" s="1"/>
  <c r="K819" s="1"/>
  <c r="K784"/>
  <c r="K788" s="1"/>
  <c r="G7" i="32"/>
  <c r="G907" i="68" l="1"/>
  <c r="H905"/>
  <c r="S902" i="55"/>
  <c r="T902" s="1"/>
  <c r="J904"/>
  <c r="K261" i="69"/>
  <c r="L262"/>
  <c r="I805"/>
  <c r="K805" s="1"/>
  <c r="K807" s="1"/>
  <c r="L788"/>
  <c r="P297"/>
  <c r="R297" s="1"/>
  <c r="R301" s="1"/>
  <c r="R302" s="1"/>
  <c r="R283"/>
  <c r="R287" s="1"/>
  <c r="K249"/>
  <c r="L250"/>
  <c r="L289"/>
  <c r="K288"/>
  <c r="K845"/>
  <c r="M845" s="1"/>
  <c r="K979" i="11"/>
  <c r="B512" i="55"/>
  <c r="B513"/>
  <c r="B511"/>
  <c r="H907" i="68" l="1"/>
  <c r="S904" i="55"/>
  <c r="T904" s="1"/>
  <c r="R288" i="69"/>
  <c r="S288"/>
  <c r="L807"/>
  <c r="E886" i="64"/>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E819"/>
  <c r="G819" s="1"/>
  <c r="C819"/>
  <c r="E814"/>
  <c r="G814" s="1"/>
  <c r="E813"/>
  <c r="G813" s="1"/>
  <c r="C813"/>
  <c r="E812"/>
  <c r="G812" s="1"/>
  <c r="C812"/>
  <c r="A837"/>
  <c r="G822"/>
  <c r="E869" l="1"/>
  <c r="G869" s="1"/>
  <c r="E867"/>
  <c r="G867" s="1"/>
  <c r="E874"/>
  <c r="G874" s="1"/>
  <c r="E868"/>
  <c r="G868" s="1"/>
  <c r="E820"/>
  <c r="G820" l="1"/>
  <c r="E875"/>
  <c r="G875" s="1"/>
  <c r="S288" i="11" l="1"/>
  <c r="P2113" i="1"/>
  <c r="R2113" s="1"/>
  <c r="E1498" i="55"/>
  <c r="E1499"/>
  <c r="E1500"/>
  <c r="F1500" s="1"/>
  <c r="E1501"/>
  <c r="E1502"/>
  <c r="E1503"/>
  <c r="E1504"/>
  <c r="F1504" s="1"/>
  <c r="E1505"/>
  <c r="E1506"/>
  <c r="E1507"/>
  <c r="E1508"/>
  <c r="F1508" s="1"/>
  <c r="E1509"/>
  <c r="E1510"/>
  <c r="E1511"/>
  <c r="E1512"/>
  <c r="E1513"/>
  <c r="E1514"/>
  <c r="E1515"/>
  <c r="E1516"/>
  <c r="E1517"/>
  <c r="E1518"/>
  <c r="E1519"/>
  <c r="E1520"/>
  <c r="F1520" s="1"/>
  <c r="E1521"/>
  <c r="E1522"/>
  <c r="E1523"/>
  <c r="E1524"/>
  <c r="F1524" s="1"/>
  <c r="E1525"/>
  <c r="E1526"/>
  <c r="E1527"/>
  <c r="E1528"/>
  <c r="F1528" s="1"/>
  <c r="E1529"/>
  <c r="E1530"/>
  <c r="E1531"/>
  <c r="E1532"/>
  <c r="E1533"/>
  <c r="E1534"/>
  <c r="E1535"/>
  <c r="E1536"/>
  <c r="F1536" s="1"/>
  <c r="E1537"/>
  <c r="E1538"/>
  <c r="E1539"/>
  <c r="E1540"/>
  <c r="F1540" s="1"/>
  <c r="E1541"/>
  <c r="E1542"/>
  <c r="E1543"/>
  <c r="E1544"/>
  <c r="F1544" s="1"/>
  <c r="E1545"/>
  <c r="E1546"/>
  <c r="E1547"/>
  <c r="E1548"/>
  <c r="F1548" s="1"/>
  <c r="E1549"/>
  <c r="E1550"/>
  <c r="E1551"/>
  <c r="E1552"/>
  <c r="E1553"/>
  <c r="E1554"/>
  <c r="E1555"/>
  <c r="E1556"/>
  <c r="F1556" s="1"/>
  <c r="E1557"/>
  <c r="E1558"/>
  <c r="E1559"/>
  <c r="E1560"/>
  <c r="F1560" s="1"/>
  <c r="E1561"/>
  <c r="E1562"/>
  <c r="E1563"/>
  <c r="E1564"/>
  <c r="F1564" s="1"/>
  <c r="E1565"/>
  <c r="E1566"/>
  <c r="E1567"/>
  <c r="E1568"/>
  <c r="E1569"/>
  <c r="E1570"/>
  <c r="E1571"/>
  <c r="E1572"/>
  <c r="F1572" s="1"/>
  <c r="E1573"/>
  <c r="E1574"/>
  <c r="E1575"/>
  <c r="E1576"/>
  <c r="F1576" s="1"/>
  <c r="E1577"/>
  <c r="E1578"/>
  <c r="E1579"/>
  <c r="E1580"/>
  <c r="F1580" s="1"/>
  <c r="E1581"/>
  <c r="E1582"/>
  <c r="E1583"/>
  <c r="E1584"/>
  <c r="F1584" s="1"/>
  <c r="E1585"/>
  <c r="E1586"/>
  <c r="E1587"/>
  <c r="E1588"/>
  <c r="E1589"/>
  <c r="E1590"/>
  <c r="E1591"/>
  <c r="E1592"/>
  <c r="F1592" s="1"/>
  <c r="E1593"/>
  <c r="E1594"/>
  <c r="E1595"/>
  <c r="E1596"/>
  <c r="F1596" s="1"/>
  <c r="E1597"/>
  <c r="E1598"/>
  <c r="E1599"/>
  <c r="E1600"/>
  <c r="F1600" s="1"/>
  <c r="E1601"/>
  <c r="E1602"/>
  <c r="E1603"/>
  <c r="E1604"/>
  <c r="F1604" s="1"/>
  <c r="E1605"/>
  <c r="E1606"/>
  <c r="E1607"/>
  <c r="E1608"/>
  <c r="E1609"/>
  <c r="E1610"/>
  <c r="E1611"/>
  <c r="E1612"/>
  <c r="F1612" s="1"/>
  <c r="E1613"/>
  <c r="E1614"/>
  <c r="E1615"/>
  <c r="E1616"/>
  <c r="F1616" s="1"/>
  <c r="E1617"/>
  <c r="E1618"/>
  <c r="E1619"/>
  <c r="E1620"/>
  <c r="F1620" s="1"/>
  <c r="E1621"/>
  <c r="E1622"/>
  <c r="E1623"/>
  <c r="E1624"/>
  <c r="F1624" s="1"/>
  <c r="E1625"/>
  <c r="E1626"/>
  <c r="E1627"/>
  <c r="E1628"/>
  <c r="F1628" s="1"/>
  <c r="E1629"/>
  <c r="E1630"/>
  <c r="E1631"/>
  <c r="E1632"/>
  <c r="F1632" s="1"/>
  <c r="E1633"/>
  <c r="E1634"/>
  <c r="E1635"/>
  <c r="E1636"/>
  <c r="F1636" s="1"/>
  <c r="E1637"/>
  <c r="E1638"/>
  <c r="E1639"/>
  <c r="E1640"/>
  <c r="F1640" s="1"/>
  <c r="E1641"/>
  <c r="E1642"/>
  <c r="E1643"/>
  <c r="E1644"/>
  <c r="F1644" s="1"/>
  <c r="E1645"/>
  <c r="E1646"/>
  <c r="E1647"/>
  <c r="E1648"/>
  <c r="F1648" s="1"/>
  <c r="E1649"/>
  <c r="E1650"/>
  <c r="E1651"/>
  <c r="E1652"/>
  <c r="F1652" s="1"/>
  <c r="E1653"/>
  <c r="E1654"/>
  <c r="E1655"/>
  <c r="E1656"/>
  <c r="F1656" s="1"/>
  <c r="E1657"/>
  <c r="E1658"/>
  <c r="E1659"/>
  <c r="E1660"/>
  <c r="F1660" s="1"/>
  <c r="E1661"/>
  <c r="E1662"/>
  <c r="E1663"/>
  <c r="E1664"/>
  <c r="F1664" s="1"/>
  <c r="E1665"/>
  <c r="E1666"/>
  <c r="E1667"/>
  <c r="E1668"/>
  <c r="F1668" s="1"/>
  <c r="E1669"/>
  <c r="E1670"/>
  <c r="E1671"/>
  <c r="E1672"/>
  <c r="F1672" s="1"/>
  <c r="E1673"/>
  <c r="E1674"/>
  <c r="E1675"/>
  <c r="E1676"/>
  <c r="F1676" s="1"/>
  <c r="E1677"/>
  <c r="E1678"/>
  <c r="E1679"/>
  <c r="E1680"/>
  <c r="F1680" s="1"/>
  <c r="E1681"/>
  <c r="E1682"/>
  <c r="E1683"/>
  <c r="E1684"/>
  <c r="F1684" s="1"/>
  <c r="E1685"/>
  <c r="E1686"/>
  <c r="E1687"/>
  <c r="E1688"/>
  <c r="F1688" s="1"/>
  <c r="E1689"/>
  <c r="E1690"/>
  <c r="E1691"/>
  <c r="E1692"/>
  <c r="E1693"/>
  <c r="E1694"/>
  <c r="E1695"/>
  <c r="E1696"/>
  <c r="F1696" s="1"/>
  <c r="E1697"/>
  <c r="E1698"/>
  <c r="E1699"/>
  <c r="E1700"/>
  <c r="F1700" s="1"/>
  <c r="E1701"/>
  <c r="E1702"/>
  <c r="E1703"/>
  <c r="E1704"/>
  <c r="F1704" s="1"/>
  <c r="E1705"/>
  <c r="E1706"/>
  <c r="E1707"/>
  <c r="E1708"/>
  <c r="F1708" s="1"/>
  <c r="E1709"/>
  <c r="E1710"/>
  <c r="E1711"/>
  <c r="E1712"/>
  <c r="F1712" s="1"/>
  <c r="E1713"/>
  <c r="E1714"/>
  <c r="E1715"/>
  <c r="E1716"/>
  <c r="F1716" s="1"/>
  <c r="E1717"/>
  <c r="E1718"/>
  <c r="E1719"/>
  <c r="E1720"/>
  <c r="F1720" s="1"/>
  <c r="E1721"/>
  <c r="E1722"/>
  <c r="E1723"/>
  <c r="E1724"/>
  <c r="E1725"/>
  <c r="E1726"/>
  <c r="E1727"/>
  <c r="E1728"/>
  <c r="F1728" s="1"/>
  <c r="E1729"/>
  <c r="E1730"/>
  <c r="E1731"/>
  <c r="E1732"/>
  <c r="F1732" s="1"/>
  <c r="E1733"/>
  <c r="E1734"/>
  <c r="E1735"/>
  <c r="E1736"/>
  <c r="F1736" s="1"/>
  <c r="E1737"/>
  <c r="E1738"/>
  <c r="E1739"/>
  <c r="E1740"/>
  <c r="F1740" s="1"/>
  <c r="E1741"/>
  <c r="E1742"/>
  <c r="E1743"/>
  <c r="E1744"/>
  <c r="F1744" s="1"/>
  <c r="E1745"/>
  <c r="E1746"/>
  <c r="E1747"/>
  <c r="E1748"/>
  <c r="F1748" s="1"/>
  <c r="E1749"/>
  <c r="E1750"/>
  <c r="E1751"/>
  <c r="E1752"/>
  <c r="F1752" s="1"/>
  <c r="E1753"/>
  <c r="E1754"/>
  <c r="E1755"/>
  <c r="E1756"/>
  <c r="E1757"/>
  <c r="E1758"/>
  <c r="E1759"/>
  <c r="E1760"/>
  <c r="F1760" s="1"/>
  <c r="E1761"/>
  <c r="E1762"/>
  <c r="E1763"/>
  <c r="E1764"/>
  <c r="F1764" s="1"/>
  <c r="E1765"/>
  <c r="E1766"/>
  <c r="E1767"/>
  <c r="E1768"/>
  <c r="F1768" s="1"/>
  <c r="E1769"/>
  <c r="E1770"/>
  <c r="E1771"/>
  <c r="E1772"/>
  <c r="F1772" s="1"/>
  <c r="E1773"/>
  <c r="E1774"/>
  <c r="E1775"/>
  <c r="E1776"/>
  <c r="F1776" s="1"/>
  <c r="E1777"/>
  <c r="E1778"/>
  <c r="E1779"/>
  <c r="E1780"/>
  <c r="E1781"/>
  <c r="E1782"/>
  <c r="E1783"/>
  <c r="E1784"/>
  <c r="F1784" s="1"/>
  <c r="E1785"/>
  <c r="E1786"/>
  <c r="E1787"/>
  <c r="E1788"/>
  <c r="F1788" s="1"/>
  <c r="E1789"/>
  <c r="E1790"/>
  <c r="E1791"/>
  <c r="E1792"/>
  <c r="F1792" s="1"/>
  <c r="E1793"/>
  <c r="E1794"/>
  <c r="E1795"/>
  <c r="E1796"/>
  <c r="F1796" s="1"/>
  <c r="E1797"/>
  <c r="E1798"/>
  <c r="E1799"/>
  <c r="E1800"/>
  <c r="F1800" s="1"/>
  <c r="E1801"/>
  <c r="E1802"/>
  <c r="E1803"/>
  <c r="E1804"/>
  <c r="F1804" s="1"/>
  <c r="E1805"/>
  <c r="E1806"/>
  <c r="E1807"/>
  <c r="E1808"/>
  <c r="F1808" s="1"/>
  <c r="E1809"/>
  <c r="E1810"/>
  <c r="E1811"/>
  <c r="E1812"/>
  <c r="E1813"/>
  <c r="E1814"/>
  <c r="E1815"/>
  <c r="E1816"/>
  <c r="F1816" s="1"/>
  <c r="E1817"/>
  <c r="E1818"/>
  <c r="E1819"/>
  <c r="E1820"/>
  <c r="F1820" s="1"/>
  <c r="E1821"/>
  <c r="E1822"/>
  <c r="E1823"/>
  <c r="E1824"/>
  <c r="F1824" s="1"/>
  <c r="E1825"/>
  <c r="E1826"/>
  <c r="E1827"/>
  <c r="E1828"/>
  <c r="F1828" s="1"/>
  <c r="E1829"/>
  <c r="E1830"/>
  <c r="E1831"/>
  <c r="E1832"/>
  <c r="F1832" s="1"/>
  <c r="E1833"/>
  <c r="E1834"/>
  <c r="E1835"/>
  <c r="E1836"/>
  <c r="F1836" s="1"/>
  <c r="E1837"/>
  <c r="E1838"/>
  <c r="E1839"/>
  <c r="E1840"/>
  <c r="F1840" s="1"/>
  <c r="E1841"/>
  <c r="E1842"/>
  <c r="E1843"/>
  <c r="E1844"/>
  <c r="E1845"/>
  <c r="E1846"/>
  <c r="E1847"/>
  <c r="E1848"/>
  <c r="F1848" s="1"/>
  <c r="E1849"/>
  <c r="E1850"/>
  <c r="E1851"/>
  <c r="E1852"/>
  <c r="F1852" s="1"/>
  <c r="E1853"/>
  <c r="E1854"/>
  <c r="E1855"/>
  <c r="E1856"/>
  <c r="F1856" s="1"/>
  <c r="E1857"/>
  <c r="E1858"/>
  <c r="E1859"/>
  <c r="E1860"/>
  <c r="F1860" s="1"/>
  <c r="E1861"/>
  <c r="E1862"/>
  <c r="E1863"/>
  <c r="E1864"/>
  <c r="F1864" s="1"/>
  <c r="E1865"/>
  <c r="E1866"/>
  <c r="E1867"/>
  <c r="E1868"/>
  <c r="F1868" s="1"/>
  <c r="E1869"/>
  <c r="E1870"/>
  <c r="E1871"/>
  <c r="E1872"/>
  <c r="F1872" s="1"/>
  <c r="E1873"/>
  <c r="E1874"/>
  <c r="E1875"/>
  <c r="E1876"/>
  <c r="F1876" s="1"/>
  <c r="E1877"/>
  <c r="E1878"/>
  <c r="E1879"/>
  <c r="E1880"/>
  <c r="F1880" s="1"/>
  <c r="E1881"/>
  <c r="E1882"/>
  <c r="E1883"/>
  <c r="E1884"/>
  <c r="F1884" s="1"/>
  <c r="E1885"/>
  <c r="E1886"/>
  <c r="E1887"/>
  <c r="E1888"/>
  <c r="F1888" s="1"/>
  <c r="E1889"/>
  <c r="E1890"/>
  <c r="E1891"/>
  <c r="E1892"/>
  <c r="E1893"/>
  <c r="E1894"/>
  <c r="E1895"/>
  <c r="E1896"/>
  <c r="F1896" s="1"/>
  <c r="E1897"/>
  <c r="E1898"/>
  <c r="E1899"/>
  <c r="E1900"/>
  <c r="F1900" s="1"/>
  <c r="E1901"/>
  <c r="E1902"/>
  <c r="E1903"/>
  <c r="E1904"/>
  <c r="F1904" s="1"/>
  <c r="E1905"/>
  <c r="E1906"/>
  <c r="E1907"/>
  <c r="E1908"/>
  <c r="F1908" s="1"/>
  <c r="E1909"/>
  <c r="E1910"/>
  <c r="E1911"/>
  <c r="E1912"/>
  <c r="F1912" s="1"/>
  <c r="E1913"/>
  <c r="E1914"/>
  <c r="E1915"/>
  <c r="E1916"/>
  <c r="F1916" s="1"/>
  <c r="E1917"/>
  <c r="E1918"/>
  <c r="E1919"/>
  <c r="E1920"/>
  <c r="F1920" s="1"/>
  <c r="E1921"/>
  <c r="E1922"/>
  <c r="E1923"/>
  <c r="E1924"/>
  <c r="E1925"/>
  <c r="E1926"/>
  <c r="E1927"/>
  <c r="E1928"/>
  <c r="F1928" s="1"/>
  <c r="E1929"/>
  <c r="E1930"/>
  <c r="E1931"/>
  <c r="E1932"/>
  <c r="F1932" s="1"/>
  <c r="E1933"/>
  <c r="E1934"/>
  <c r="E1935"/>
  <c r="E1936"/>
  <c r="F1936" s="1"/>
  <c r="E1937"/>
  <c r="E1938"/>
  <c r="E1939"/>
  <c r="E1940"/>
  <c r="F1940" s="1"/>
  <c r="E1941"/>
  <c r="E1942"/>
  <c r="E1943"/>
  <c r="E1944"/>
  <c r="F1944" s="1"/>
  <c r="E1945"/>
  <c r="E1946"/>
  <c r="E1947"/>
  <c r="E1948"/>
  <c r="F1948" s="1"/>
  <c r="E1949"/>
  <c r="E1950"/>
  <c r="E1951"/>
  <c r="E1952"/>
  <c r="F1952" s="1"/>
  <c r="E1953"/>
  <c r="E1954"/>
  <c r="E1955"/>
  <c r="E1956"/>
  <c r="E1957"/>
  <c r="E1958"/>
  <c r="E1959"/>
  <c r="E1960"/>
  <c r="F1960" s="1"/>
  <c r="E1961"/>
  <c r="E1962"/>
  <c r="E1963"/>
  <c r="E1964"/>
  <c r="F1964" s="1"/>
  <c r="E1965"/>
  <c r="E1966"/>
  <c r="E1967"/>
  <c r="E1968"/>
  <c r="F1968" s="1"/>
  <c r="E1969"/>
  <c r="E1970"/>
  <c r="E1971"/>
  <c r="E1972"/>
  <c r="F1972" s="1"/>
  <c r="E1973"/>
  <c r="E1974"/>
  <c r="E1975"/>
  <c r="E1976"/>
  <c r="F1976" s="1"/>
  <c r="E1977"/>
  <c r="E1978"/>
  <c r="E1979"/>
  <c r="E1980"/>
  <c r="F1980" s="1"/>
  <c r="E1981"/>
  <c r="E1982"/>
  <c r="E1983"/>
  <c r="E1984"/>
  <c r="F1984" s="1"/>
  <c r="E1985"/>
  <c r="E1986"/>
  <c r="E1987"/>
  <c r="E1988"/>
  <c r="E1989"/>
  <c r="E1990"/>
  <c r="E1991"/>
  <c r="E1992"/>
  <c r="F1992" s="1"/>
  <c r="E1993"/>
  <c r="E1994"/>
  <c r="E1995"/>
  <c r="E1996"/>
  <c r="F1996" s="1"/>
  <c r="E1997"/>
  <c r="E1998"/>
  <c r="E1999"/>
  <c r="E2000"/>
  <c r="F2000" s="1"/>
  <c r="E2001"/>
  <c r="E2002"/>
  <c r="E2003"/>
  <c r="E2004"/>
  <c r="F2004" s="1"/>
  <c r="E2005"/>
  <c r="E2006"/>
  <c r="E2007"/>
  <c r="E2008"/>
  <c r="F2008" s="1"/>
  <c r="E2009"/>
  <c r="E2010"/>
  <c r="E2011"/>
  <c r="E2012"/>
  <c r="F2012" s="1"/>
  <c r="E2013"/>
  <c r="E2014"/>
  <c r="E2015"/>
  <c r="E2016"/>
  <c r="F2016" s="1"/>
  <c r="E2017"/>
  <c r="E2018"/>
  <c r="E2019"/>
  <c r="E2020"/>
  <c r="F2020" s="1"/>
  <c r="E2021"/>
  <c r="E2022"/>
  <c r="E2023"/>
  <c r="E2024"/>
  <c r="E2025"/>
  <c r="E2026"/>
  <c r="E2027"/>
  <c r="E2028"/>
  <c r="F2028" s="1"/>
  <c r="E2029"/>
  <c r="E2030"/>
  <c r="E2031"/>
  <c r="E2032"/>
  <c r="F2032" s="1"/>
  <c r="E2033"/>
  <c r="E2034"/>
  <c r="E2035"/>
  <c r="E2036"/>
  <c r="F2036" s="1"/>
  <c r="E2037"/>
  <c r="E2038"/>
  <c r="E2039"/>
  <c r="E2040"/>
  <c r="F2040" s="1"/>
  <c r="E2041"/>
  <c r="E2042"/>
  <c r="E2043"/>
  <c r="E2044"/>
  <c r="F2044" s="1"/>
  <c r="E2045"/>
  <c r="E2046"/>
  <c r="E2047"/>
  <c r="E2048"/>
  <c r="F2048" s="1"/>
  <c r="E2049"/>
  <c r="E2050"/>
  <c r="E2051"/>
  <c r="E2052"/>
  <c r="F2052" s="1"/>
  <c r="E2053"/>
  <c r="E2054"/>
  <c r="E2055"/>
  <c r="E2056"/>
  <c r="E2057"/>
  <c r="E2058"/>
  <c r="E2059"/>
  <c r="E2060"/>
  <c r="F2060" s="1"/>
  <c r="E2061"/>
  <c r="E2062"/>
  <c r="E2063"/>
  <c r="E2064"/>
  <c r="F2064" s="1"/>
  <c r="E2065"/>
  <c r="E2066"/>
  <c r="E2067"/>
  <c r="E2068"/>
  <c r="F2068" s="1"/>
  <c r="E2069"/>
  <c r="E2070"/>
  <c r="E2071"/>
  <c r="E2072"/>
  <c r="F2072" s="1"/>
  <c r="E2073"/>
  <c r="E2074"/>
  <c r="E2075"/>
  <c r="E2076"/>
  <c r="F2076" s="1"/>
  <c r="E2077"/>
  <c r="E2078"/>
  <c r="E2079"/>
  <c r="E2080"/>
  <c r="F2080" s="1"/>
  <c r="E2081"/>
  <c r="E2082"/>
  <c r="E2083"/>
  <c r="E2084"/>
  <c r="F2084" s="1"/>
  <c r="E2085"/>
  <c r="E2086"/>
  <c r="E2087"/>
  <c r="E2088"/>
  <c r="F2088" s="1"/>
  <c r="E2089"/>
  <c r="E2090"/>
  <c r="E2091"/>
  <c r="E2092"/>
  <c r="F2092" s="1"/>
  <c r="E2093"/>
  <c r="E2094"/>
  <c r="E2095"/>
  <c r="E2096"/>
  <c r="F2096" s="1"/>
  <c r="E2097"/>
  <c r="E2098"/>
  <c r="E2099"/>
  <c r="E2100"/>
  <c r="F2100" s="1"/>
  <c r="E2101"/>
  <c r="E2102"/>
  <c r="E2103"/>
  <c r="E2104"/>
  <c r="F2104" s="1"/>
  <c r="E2105"/>
  <c r="E2106"/>
  <c r="E2107"/>
  <c r="E2108"/>
  <c r="F2108" s="1"/>
  <c r="E2109"/>
  <c r="E2110"/>
  <c r="E2111"/>
  <c r="E2112"/>
  <c r="F2112" s="1"/>
  <c r="E2113"/>
  <c r="E2114"/>
  <c r="E2115"/>
  <c r="E2116"/>
  <c r="F2116" s="1"/>
  <c r="E2117"/>
  <c r="E2118"/>
  <c r="E2119"/>
  <c r="E2120"/>
  <c r="F2120" s="1"/>
  <c r="E2121"/>
  <c r="E2122"/>
  <c r="E2123"/>
  <c r="E2124"/>
  <c r="E2125"/>
  <c r="E2126"/>
  <c r="E2127"/>
  <c r="E2128"/>
  <c r="F2128" s="1"/>
  <c r="E2129"/>
  <c r="E2130"/>
  <c r="E2131"/>
  <c r="E2132"/>
  <c r="F2132" s="1"/>
  <c r="E2133"/>
  <c r="E2134"/>
  <c r="E2135"/>
  <c r="E2136"/>
  <c r="F2136" s="1"/>
  <c r="E2137"/>
  <c r="E2138"/>
  <c r="E2139"/>
  <c r="E2140"/>
  <c r="F2140" s="1"/>
  <c r="E2141"/>
  <c r="E2142"/>
  <c r="E2143"/>
  <c r="E2144"/>
  <c r="E2145"/>
  <c r="E2146"/>
  <c r="E2147"/>
  <c r="E2148"/>
  <c r="F2148" s="1"/>
  <c r="E2149"/>
  <c r="E2150"/>
  <c r="E2151"/>
  <c r="E2152"/>
  <c r="F2152" s="1"/>
  <c r="E2153"/>
  <c r="E2154"/>
  <c r="E2155"/>
  <c r="E2156"/>
  <c r="F2156" s="1"/>
  <c r="E2157"/>
  <c r="E2158"/>
  <c r="E2159"/>
  <c r="E2160"/>
  <c r="F2160" s="1"/>
  <c r="E2161"/>
  <c r="E2162"/>
  <c r="E2163"/>
  <c r="E2164"/>
  <c r="F2164" s="1"/>
  <c r="E2165"/>
  <c r="E2166"/>
  <c r="E2167"/>
  <c r="E2168"/>
  <c r="F2168" s="1"/>
  <c r="E2169"/>
  <c r="E2170"/>
  <c r="E2171"/>
  <c r="E2172"/>
  <c r="F2172" s="1"/>
  <c r="E2173"/>
  <c r="E2174"/>
  <c r="E2175"/>
  <c r="E2176"/>
  <c r="F2176" s="1"/>
  <c r="E2177"/>
  <c r="E2178"/>
  <c r="E2179"/>
  <c r="E2180"/>
  <c r="F2180" s="1"/>
  <c r="E2181"/>
  <c r="E2182"/>
  <c r="E2183"/>
  <c r="E2184"/>
  <c r="F2184" s="1"/>
  <c r="E2185"/>
  <c r="E2186"/>
  <c r="E2187"/>
  <c r="E2188"/>
  <c r="F2188" s="1"/>
  <c r="E2189"/>
  <c r="E2190"/>
  <c r="E2191"/>
  <c r="E2192"/>
  <c r="E2193"/>
  <c r="E2194"/>
  <c r="E2195"/>
  <c r="E2196"/>
  <c r="F2196" s="1"/>
  <c r="E2197"/>
  <c r="E2198"/>
  <c r="E2199"/>
  <c r="E2200"/>
  <c r="F2200" s="1"/>
  <c r="E2201"/>
  <c r="E2202"/>
  <c r="E2203"/>
  <c r="E2204"/>
  <c r="E2205"/>
  <c r="E2206"/>
  <c r="E2207"/>
  <c r="E2208"/>
  <c r="E2209"/>
  <c r="E2210"/>
  <c r="E2211"/>
  <c r="E2212"/>
  <c r="F2212" s="1"/>
  <c r="E2213"/>
  <c r="E2214"/>
  <c r="E2215"/>
  <c r="E2216"/>
  <c r="F2216" s="1"/>
  <c r="E2217"/>
  <c r="E2218"/>
  <c r="E2219"/>
  <c r="E2220"/>
  <c r="F2220" s="1"/>
  <c r="E2221"/>
  <c r="E2222"/>
  <c r="E2223"/>
  <c r="E2224"/>
  <c r="F2224" s="1"/>
  <c r="E2225"/>
  <c r="E2226"/>
  <c r="E2227"/>
  <c r="E2228"/>
  <c r="F2228" s="1"/>
  <c r="E2229"/>
  <c r="E2230"/>
  <c r="E2231"/>
  <c r="E2232"/>
  <c r="E2233"/>
  <c r="E2234"/>
  <c r="E2235"/>
  <c r="E2236"/>
  <c r="F2236" s="1"/>
  <c r="E2237"/>
  <c r="E2238"/>
  <c r="E2239"/>
  <c r="E2240"/>
  <c r="E2241"/>
  <c r="E2242"/>
  <c r="E2243"/>
  <c r="E2244"/>
  <c r="F2244" s="1"/>
  <c r="E2245"/>
  <c r="E2246"/>
  <c r="E2247"/>
  <c r="E2248"/>
  <c r="F2248" s="1"/>
  <c r="E2249"/>
  <c r="E2250"/>
  <c r="E2251"/>
  <c r="E2252"/>
  <c r="F2252" s="1"/>
  <c r="E2253"/>
  <c r="E2254"/>
  <c r="E2255"/>
  <c r="E2256"/>
  <c r="E2257"/>
  <c r="E2258"/>
  <c r="E2259"/>
  <c r="E2260"/>
  <c r="F2260" s="1"/>
  <c r="E2261"/>
  <c r="E2262"/>
  <c r="E2263"/>
  <c r="E2264"/>
  <c r="E2265"/>
  <c r="E2266"/>
  <c r="E2267"/>
  <c r="E2268"/>
  <c r="F2268" s="1"/>
  <c r="E2269"/>
  <c r="E2270"/>
  <c r="E2271"/>
  <c r="E2272"/>
  <c r="E2273"/>
  <c r="E2274"/>
  <c r="E2275"/>
  <c r="E2276"/>
  <c r="F2276" s="1"/>
  <c r="E2277"/>
  <c r="E2278"/>
  <c r="E2279"/>
  <c r="E2280"/>
  <c r="F2280" s="1"/>
  <c r="E2281"/>
  <c r="E2282"/>
  <c r="E2283"/>
  <c r="E2284"/>
  <c r="E2285"/>
  <c r="E2286"/>
  <c r="E2287"/>
  <c r="E2288"/>
  <c r="F2288" s="1"/>
  <c r="E2289"/>
  <c r="E2290"/>
  <c r="E2291"/>
  <c r="E2292"/>
  <c r="F2292" s="1"/>
  <c r="E2293"/>
  <c r="E2294"/>
  <c r="E2295"/>
  <c r="E2296"/>
  <c r="E2297"/>
  <c r="E2298"/>
  <c r="E2299"/>
  <c r="E2300"/>
  <c r="F2300" s="1"/>
  <c r="E2301"/>
  <c r="E2302"/>
  <c r="E2303"/>
  <c r="E2304"/>
  <c r="F2304" s="1"/>
  <c r="E2305"/>
  <c r="E2306"/>
  <c r="E2307"/>
  <c r="E2308"/>
  <c r="F2308" s="1"/>
  <c r="E2309"/>
  <c r="E2310"/>
  <c r="E2311"/>
  <c r="E2312"/>
  <c r="F2312" s="1"/>
  <c r="E2313"/>
  <c r="E2314"/>
  <c r="E2315"/>
  <c r="E2316"/>
  <c r="F2316" s="1"/>
  <c r="E2317"/>
  <c r="E2318"/>
  <c r="E2319"/>
  <c r="E2320"/>
  <c r="F2320" s="1"/>
  <c r="E2321"/>
  <c r="E2322"/>
  <c r="E2323"/>
  <c r="E2324"/>
  <c r="E2325"/>
  <c r="E2326"/>
  <c r="E2327"/>
  <c r="E2328"/>
  <c r="F2328" s="1"/>
  <c r="E2329"/>
  <c r="E2330"/>
  <c r="E2331"/>
  <c r="E2332"/>
  <c r="E2333"/>
  <c r="E2334"/>
  <c r="E2335"/>
  <c r="E2336"/>
  <c r="F2336" s="1"/>
  <c r="E2337"/>
  <c r="E2338"/>
  <c r="E2339"/>
  <c r="E2340"/>
  <c r="E2341"/>
  <c r="E2342"/>
  <c r="E2343"/>
  <c r="E2344"/>
  <c r="F2344" s="1"/>
  <c r="E2345"/>
  <c r="E2346"/>
  <c r="E2347"/>
  <c r="E2348"/>
  <c r="E2349"/>
  <c r="E2350"/>
  <c r="E2351"/>
  <c r="E2352"/>
  <c r="E2353"/>
  <c r="E2354"/>
  <c r="E2355"/>
  <c r="E2356"/>
  <c r="F2356" s="1"/>
  <c r="E2357"/>
  <c r="E2358"/>
  <c r="E2359"/>
  <c r="E2360"/>
  <c r="F2360" s="1"/>
  <c r="E2361"/>
  <c r="E2362"/>
  <c r="E2363"/>
  <c r="E2364"/>
  <c r="F2364" s="1"/>
  <c r="E2365"/>
  <c r="E2366"/>
  <c r="E2367"/>
  <c r="E2368"/>
  <c r="E2369"/>
  <c r="E2370"/>
  <c r="E2371"/>
  <c r="E2372"/>
  <c r="F2372" s="1"/>
  <c r="E2373"/>
  <c r="E2374"/>
  <c r="E2375"/>
  <c r="E2376"/>
  <c r="F2376" s="1"/>
  <c r="E2377"/>
  <c r="E2378"/>
  <c r="E2379"/>
  <c r="E2380"/>
  <c r="F2380" s="1"/>
  <c r="E2381"/>
  <c r="E2382"/>
  <c r="E2383"/>
  <c r="E2384"/>
  <c r="F2384" s="1"/>
  <c r="E2385"/>
  <c r="E2386"/>
  <c r="E2387"/>
  <c r="E2388"/>
  <c r="F2388" s="1"/>
  <c r="E2389"/>
  <c r="E2390"/>
  <c r="E2391"/>
  <c r="E2392"/>
  <c r="F2392" s="1"/>
  <c r="E2393"/>
  <c r="E2394"/>
  <c r="E2395"/>
  <c r="E2396"/>
  <c r="F2396" s="1"/>
  <c r="E2397"/>
  <c r="E2398"/>
  <c r="E2399"/>
  <c r="E2400"/>
  <c r="F2400" s="1"/>
  <c r="E2401"/>
  <c r="E2402"/>
  <c r="E2403"/>
  <c r="E2404"/>
  <c r="E2405"/>
  <c r="E2406"/>
  <c r="E2407"/>
  <c r="E2408"/>
  <c r="E2409"/>
  <c r="E2410"/>
  <c r="E2411"/>
  <c r="E2412"/>
  <c r="E2413"/>
  <c r="E2414"/>
  <c r="E2415"/>
  <c r="E2416"/>
  <c r="F2416" s="1"/>
  <c r="E2417"/>
  <c r="E2418"/>
  <c r="E2419"/>
  <c r="E2420"/>
  <c r="E2421"/>
  <c r="E2422"/>
  <c r="E2423"/>
  <c r="E2424"/>
  <c r="F2424" s="1"/>
  <c r="E2425"/>
  <c r="E2426"/>
  <c r="E2427"/>
  <c r="E2428"/>
  <c r="F2428" s="1"/>
  <c r="E2429"/>
  <c r="E2430"/>
  <c r="E2431"/>
  <c r="E2432"/>
  <c r="F2432" s="1"/>
  <c r="E2433"/>
  <c r="E2434"/>
  <c r="E2435"/>
  <c r="E2436"/>
  <c r="E2437"/>
  <c r="E2438"/>
  <c r="E2439"/>
  <c r="E2440"/>
  <c r="F2440" s="1"/>
  <c r="E2441"/>
  <c r="E2442"/>
  <c r="E2443"/>
  <c r="E2444"/>
  <c r="F2444" s="1"/>
  <c r="E2445"/>
  <c r="E2446"/>
  <c r="E2447"/>
  <c r="E2448"/>
  <c r="F2448" s="1"/>
  <c r="E2449"/>
  <c r="E2450"/>
  <c r="E2451"/>
  <c r="E2452"/>
  <c r="F2452" s="1"/>
  <c r="E2453"/>
  <c r="E2454"/>
  <c r="E2455"/>
  <c r="E2456"/>
  <c r="F2456" s="1"/>
  <c r="E2457"/>
  <c r="E2458"/>
  <c r="E2459"/>
  <c r="E2460"/>
  <c r="F2460" s="1"/>
  <c r="E2461"/>
  <c r="E2462"/>
  <c r="E2463"/>
  <c r="E2464"/>
  <c r="F2464" s="1"/>
  <c r="E2465"/>
  <c r="E2466"/>
  <c r="E2467"/>
  <c r="E2468"/>
  <c r="F2468" s="1"/>
  <c r="E2469"/>
  <c r="E2470"/>
  <c r="E2471"/>
  <c r="E2472"/>
  <c r="F2472" s="1"/>
  <c r="E2473"/>
  <c r="E2474"/>
  <c r="E2475"/>
  <c r="E2476"/>
  <c r="F2476" s="1"/>
  <c r="E2477"/>
  <c r="E2478"/>
  <c r="E2479"/>
  <c r="E2480"/>
  <c r="F2480" s="1"/>
  <c r="E2481"/>
  <c r="E2482"/>
  <c r="E2483"/>
  <c r="E2484"/>
  <c r="F2484" s="1"/>
  <c r="E2485"/>
  <c r="E2486"/>
  <c r="E2487"/>
  <c r="E2488"/>
  <c r="F2488" s="1"/>
  <c r="E2489"/>
  <c r="E2490"/>
  <c r="E2491"/>
  <c r="E2492"/>
  <c r="F2492" s="1"/>
  <c r="E2493"/>
  <c r="E2494"/>
  <c r="E2495"/>
  <c r="E2496"/>
  <c r="F2496" s="1"/>
  <c r="E2497"/>
  <c r="E2498"/>
  <c r="E2499"/>
  <c r="E2500"/>
  <c r="F2500" s="1"/>
  <c r="E2501"/>
  <c r="E2502"/>
  <c r="E2503"/>
  <c r="E2504"/>
  <c r="F2504" s="1"/>
  <c r="E2505"/>
  <c r="E2506"/>
  <c r="E2507"/>
  <c r="E2508"/>
  <c r="F2508" s="1"/>
  <c r="E2509"/>
  <c r="E2510"/>
  <c r="E2511"/>
  <c r="E2512"/>
  <c r="F2512" s="1"/>
  <c r="E2513"/>
  <c r="E2514"/>
  <c r="E2515"/>
  <c r="E2516"/>
  <c r="F2516" s="1"/>
  <c r="E2517"/>
  <c r="E2518"/>
  <c r="E2519"/>
  <c r="E2520"/>
  <c r="F2520" s="1"/>
  <c r="E2521"/>
  <c r="E2522"/>
  <c r="E2523"/>
  <c r="E2524"/>
  <c r="F2524" s="1"/>
  <c r="E2525"/>
  <c r="E2526"/>
  <c r="E2527"/>
  <c r="E2528"/>
  <c r="F2528" s="1"/>
  <c r="E2529"/>
  <c r="E2530"/>
  <c r="E2531"/>
  <c r="E2532"/>
  <c r="F2532" s="1"/>
  <c r="E2533"/>
  <c r="E2534"/>
  <c r="E2535"/>
  <c r="E2536"/>
  <c r="F2536" s="1"/>
  <c r="E2537"/>
  <c r="E2538"/>
  <c r="E2539"/>
  <c r="E2540"/>
  <c r="F2540" s="1"/>
  <c r="E2541"/>
  <c r="E2542"/>
  <c r="E2543"/>
  <c r="E2544"/>
  <c r="F2544" s="1"/>
  <c r="E2545"/>
  <c r="E2546"/>
  <c r="E2547"/>
  <c r="E2548"/>
  <c r="F2548" s="1"/>
  <c r="E2549"/>
  <c r="E2550"/>
  <c r="E2551"/>
  <c r="E2552"/>
  <c r="F2552" s="1"/>
  <c r="E2553"/>
  <c r="E2554"/>
  <c r="E2555"/>
  <c r="E2556"/>
  <c r="F2556" s="1"/>
  <c r="E2557"/>
  <c r="E2558"/>
  <c r="E2559"/>
  <c r="E2560"/>
  <c r="F2560" s="1"/>
  <c r="E2561"/>
  <c r="E2562"/>
  <c r="E2563"/>
  <c r="E2564"/>
  <c r="F2564" s="1"/>
  <c r="E2565"/>
  <c r="E2566"/>
  <c r="E2567"/>
  <c r="E2568"/>
  <c r="F2568" s="1"/>
  <c r="E2569"/>
  <c r="E2570"/>
  <c r="E2571"/>
  <c r="E2572"/>
  <c r="F2572" s="1"/>
  <c r="E2573"/>
  <c r="E2574"/>
  <c r="E2575"/>
  <c r="E2576"/>
  <c r="F2576" s="1"/>
  <c r="E2577"/>
  <c r="E2578"/>
  <c r="E2579"/>
  <c r="E2580"/>
  <c r="F2580" s="1"/>
  <c r="E2581"/>
  <c r="E2582"/>
  <c r="E2583"/>
  <c r="E2584"/>
  <c r="F2584" s="1"/>
  <c r="E2585"/>
  <c r="E2586"/>
  <c r="E2587"/>
  <c r="E2588"/>
  <c r="F2588" s="1"/>
  <c r="E2589"/>
  <c r="E2590"/>
  <c r="E2591"/>
  <c r="E2592"/>
  <c r="F2592" s="1"/>
  <c r="E2593"/>
  <c r="E2594"/>
  <c r="E2595"/>
  <c r="E2596"/>
  <c r="F2596" s="1"/>
  <c r="E2597"/>
  <c r="E2598"/>
  <c r="E2599"/>
  <c r="E2600"/>
  <c r="F2600" s="1"/>
  <c r="E2601"/>
  <c r="E2602"/>
  <c r="E2603"/>
  <c r="E2604"/>
  <c r="F2604" s="1"/>
  <c r="E2605"/>
  <c r="E2606"/>
  <c r="E2607"/>
  <c r="E2608"/>
  <c r="F2608" s="1"/>
  <c r="E2609"/>
  <c r="E2610"/>
  <c r="E2611"/>
  <c r="E2612"/>
  <c r="F2612" s="1"/>
  <c r="E2613"/>
  <c r="E2614"/>
  <c r="E2615"/>
  <c r="E2616"/>
  <c r="F2616" s="1"/>
  <c r="E2617"/>
  <c r="E2618"/>
  <c r="E2619"/>
  <c r="E2620"/>
  <c r="F2620" s="1"/>
  <c r="E2621"/>
  <c r="E2622"/>
  <c r="E2623"/>
  <c r="E2624"/>
  <c r="F2624" s="1"/>
  <c r="E2625"/>
  <c r="E2626"/>
  <c r="E2627"/>
  <c r="E2628"/>
  <c r="F2628" s="1"/>
  <c r="E2629"/>
  <c r="E2630"/>
  <c r="E2631"/>
  <c r="E2632"/>
  <c r="F2632" s="1"/>
  <c r="E2633"/>
  <c r="E2634"/>
  <c r="E2635"/>
  <c r="E2636"/>
  <c r="F2636" s="1"/>
  <c r="E2637"/>
  <c r="E2638"/>
  <c r="E2639"/>
  <c r="E2640"/>
  <c r="F2640" s="1"/>
  <c r="E2641"/>
  <c r="E2642"/>
  <c r="E2643"/>
  <c r="E2644"/>
  <c r="E2645"/>
  <c r="E2646"/>
  <c r="E2647"/>
  <c r="E2648"/>
  <c r="F2648" s="1"/>
  <c r="E2649"/>
  <c r="E2650"/>
  <c r="E2651"/>
  <c r="E2652"/>
  <c r="E2653"/>
  <c r="E2654"/>
  <c r="E2655"/>
  <c r="E2656"/>
  <c r="F2656" s="1"/>
  <c r="E2657"/>
  <c r="E2658"/>
  <c r="E2659"/>
  <c r="E2660"/>
  <c r="E2661"/>
  <c r="E2662"/>
  <c r="E2663"/>
  <c r="E2664"/>
  <c r="F2664" s="1"/>
  <c r="E2665"/>
  <c r="E2666"/>
  <c r="E2667"/>
  <c r="E2668"/>
  <c r="E2669"/>
  <c r="E2670"/>
  <c r="E2671"/>
  <c r="E2672"/>
  <c r="F2672" s="1"/>
  <c r="E2673"/>
  <c r="E2674"/>
  <c r="E2675"/>
  <c r="E2676"/>
  <c r="F2676" s="1"/>
  <c r="E2677"/>
  <c r="E2678"/>
  <c r="E2679"/>
  <c r="E2680"/>
  <c r="F2680" s="1"/>
  <c r="E2681"/>
  <c r="E2682"/>
  <c r="E2683"/>
  <c r="E2684"/>
  <c r="F2684" s="1"/>
  <c r="E2685"/>
  <c r="E2686"/>
  <c r="E2687"/>
  <c r="E2688"/>
  <c r="F2688" s="1"/>
  <c r="E2689"/>
  <c r="E2690"/>
  <c r="E2691"/>
  <c r="E2692"/>
  <c r="F2692" s="1"/>
  <c r="E2693"/>
  <c r="E2694"/>
  <c r="E2695"/>
  <c r="E2696"/>
  <c r="F2696" s="1"/>
  <c r="E2697"/>
  <c r="E2698"/>
  <c r="E2699"/>
  <c r="E2700"/>
  <c r="F2700" s="1"/>
  <c r="E2701"/>
  <c r="E2702"/>
  <c r="E2703"/>
  <c r="E2704"/>
  <c r="F2704" s="1"/>
  <c r="E2705"/>
  <c r="E2706"/>
  <c r="E2707"/>
  <c r="E2708"/>
  <c r="F2708" s="1"/>
  <c r="E2709"/>
  <c r="E2710"/>
  <c r="E2711"/>
  <c r="E2712"/>
  <c r="F2712" s="1"/>
  <c r="E2713"/>
  <c r="E2714"/>
  <c r="E2715"/>
  <c r="E2716"/>
  <c r="F2716" s="1"/>
  <c r="E2717"/>
  <c r="E2718"/>
  <c r="E2719"/>
  <c r="E2720"/>
  <c r="F2720" s="1"/>
  <c r="E2721"/>
  <c r="E2722"/>
  <c r="E2723"/>
  <c r="E2724"/>
  <c r="F2724" s="1"/>
  <c r="E2725"/>
  <c r="E2726"/>
  <c r="E2727"/>
  <c r="E2728"/>
  <c r="F2728" s="1"/>
  <c r="E2729"/>
  <c r="E2730"/>
  <c r="E2731"/>
  <c r="E2732"/>
  <c r="F2732" s="1"/>
  <c r="E2733"/>
  <c r="E2734"/>
  <c r="E2735"/>
  <c r="E2736"/>
  <c r="F2736" s="1"/>
  <c r="E2737"/>
  <c r="E2738"/>
  <c r="E2739"/>
  <c r="E2740"/>
  <c r="F2740" s="1"/>
  <c r="E2741"/>
  <c r="E2742"/>
  <c r="E2743"/>
  <c r="E2744"/>
  <c r="F2744" s="1"/>
  <c r="E2745"/>
  <c r="E2746"/>
  <c r="E2747"/>
  <c r="E2748"/>
  <c r="F2748" s="1"/>
  <c r="E2749"/>
  <c r="E2750"/>
  <c r="E2751"/>
  <c r="E2752"/>
  <c r="F2752" s="1"/>
  <c r="E2753"/>
  <c r="E2754"/>
  <c r="E2755"/>
  <c r="E2756"/>
  <c r="F2756" s="1"/>
  <c r="E2757"/>
  <c r="E2758"/>
  <c r="E2759"/>
  <c r="E2760"/>
  <c r="F2760" s="1"/>
  <c r="E2761"/>
  <c r="E2762"/>
  <c r="E2763"/>
  <c r="E2764"/>
  <c r="F2764" s="1"/>
  <c r="E2765"/>
  <c r="E2766"/>
  <c r="E2767"/>
  <c r="E2768"/>
  <c r="F2768" s="1"/>
  <c r="E2769"/>
  <c r="E2770"/>
  <c r="E2771"/>
  <c r="E2772"/>
  <c r="F2772" s="1"/>
  <c r="E2773"/>
  <c r="E2774"/>
  <c r="E2775"/>
  <c r="E2776"/>
  <c r="F2776" s="1"/>
  <c r="E2777"/>
  <c r="E2778"/>
  <c r="E2779"/>
  <c r="E2780"/>
  <c r="F2780" s="1"/>
  <c r="E2781"/>
  <c r="E2782"/>
  <c r="E2783"/>
  <c r="E2784"/>
  <c r="F2784" s="1"/>
  <c r="E2785"/>
  <c r="E2786"/>
  <c r="E2787"/>
  <c r="E2788"/>
  <c r="F2788" s="1"/>
  <c r="E2789"/>
  <c r="E2790"/>
  <c r="E2791"/>
  <c r="E2792"/>
  <c r="F2792" s="1"/>
  <c r="E2793"/>
  <c r="E2794"/>
  <c r="E2795"/>
  <c r="E2796"/>
  <c r="F2796" s="1"/>
  <c r="E2797"/>
  <c r="E2798"/>
  <c r="E2799"/>
  <c r="E2800"/>
  <c r="F2800" s="1"/>
  <c r="E2801"/>
  <c r="E2802"/>
  <c r="E2803"/>
  <c r="E2804"/>
  <c r="F2804" s="1"/>
  <c r="E2805"/>
  <c r="E2806"/>
  <c r="E2807"/>
  <c r="E2808"/>
  <c r="F2808" s="1"/>
  <c r="E2809"/>
  <c r="E2810"/>
  <c r="E2811"/>
  <c r="E2812"/>
  <c r="F2812" s="1"/>
  <c r="E2813"/>
  <c r="E2814"/>
  <c r="E2815"/>
  <c r="E2816"/>
  <c r="F2816" s="1"/>
  <c r="E2817"/>
  <c r="E2818"/>
  <c r="E2819"/>
  <c r="E2820"/>
  <c r="F2820" s="1"/>
  <c r="E2821"/>
  <c r="E2822"/>
  <c r="E2823"/>
  <c r="E2824"/>
  <c r="F2824" s="1"/>
  <c r="E2825"/>
  <c r="E2826"/>
  <c r="E2827"/>
  <c r="E2828"/>
  <c r="F2828" s="1"/>
  <c r="E2829"/>
  <c r="E2830"/>
  <c r="E2831"/>
  <c r="E2832"/>
  <c r="F2832" s="1"/>
  <c r="E2833"/>
  <c r="E2834"/>
  <c r="E2835"/>
  <c r="E2836"/>
  <c r="F2836" s="1"/>
  <c r="E2837"/>
  <c r="E2838"/>
  <c r="E2839"/>
  <c r="E2840"/>
  <c r="F2840" s="1"/>
  <c r="E2841"/>
  <c r="E2842"/>
  <c r="E2843"/>
  <c r="E2844"/>
  <c r="F2844" s="1"/>
  <c r="E2845"/>
  <c r="E2846"/>
  <c r="E2847"/>
  <c r="E2848"/>
  <c r="F2848" s="1"/>
  <c r="E2849"/>
  <c r="E2850"/>
  <c r="E2851"/>
  <c r="E2852"/>
  <c r="F2852" s="1"/>
  <c r="E2853"/>
  <c r="E2854"/>
  <c r="E2855"/>
  <c r="E2856"/>
  <c r="F2856" s="1"/>
  <c r="E2857"/>
  <c r="E2858"/>
  <c r="E2859"/>
  <c r="E2860"/>
  <c r="F2860" s="1"/>
  <c r="E2861"/>
  <c r="E2862"/>
  <c r="E2863"/>
  <c r="E2864"/>
  <c r="F2864" s="1"/>
  <c r="E2865"/>
  <c r="E2866"/>
  <c r="E2867"/>
  <c r="E2868"/>
  <c r="E2869"/>
  <c r="E2870"/>
  <c r="E2871"/>
  <c r="E2872"/>
  <c r="F2872" s="1"/>
  <c r="E2873"/>
  <c r="E2874"/>
  <c r="E2875"/>
  <c r="E2876"/>
  <c r="F2876" s="1"/>
  <c r="E2877"/>
  <c r="E2878"/>
  <c r="E2879"/>
  <c r="E2880"/>
  <c r="F2880" s="1"/>
  <c r="E2881"/>
  <c r="E2882"/>
  <c r="E2883"/>
  <c r="E2884"/>
  <c r="F2884" s="1"/>
  <c r="E2885"/>
  <c r="E2886"/>
  <c r="E2887"/>
  <c r="E2888"/>
  <c r="F2888" s="1"/>
  <c r="E2889"/>
  <c r="E2890"/>
  <c r="E2891"/>
  <c r="E2892"/>
  <c r="F2892" s="1"/>
  <c r="E2893"/>
  <c r="E2894"/>
  <c r="E2895"/>
  <c r="E2896"/>
  <c r="F2896" s="1"/>
  <c r="E2897"/>
  <c r="E2898"/>
  <c r="E2899"/>
  <c r="E2900"/>
  <c r="F2900" s="1"/>
  <c r="E2901"/>
  <c r="E2902"/>
  <c r="E2903"/>
  <c r="E2904"/>
  <c r="F2904" s="1"/>
  <c r="E2905"/>
  <c r="E2906"/>
  <c r="E2907"/>
  <c r="E2908"/>
  <c r="F2908" s="1"/>
  <c r="E2909"/>
  <c r="E2910"/>
  <c r="E2911"/>
  <c r="E2912"/>
  <c r="F2912" s="1"/>
  <c r="E2913"/>
  <c r="E2914"/>
  <c r="E2915"/>
  <c r="E2916"/>
  <c r="F2916" s="1"/>
  <c r="E2917"/>
  <c r="E2918"/>
  <c r="E2919"/>
  <c r="E2920"/>
  <c r="F2920" s="1"/>
  <c r="E2921"/>
  <c r="E2922"/>
  <c r="E2923"/>
  <c r="E2924"/>
  <c r="F2924" s="1"/>
  <c r="E2925"/>
  <c r="E2926"/>
  <c r="E2927"/>
  <c r="E2928"/>
  <c r="F2928" s="1"/>
  <c r="E2929"/>
  <c r="E2930"/>
  <c r="E2931"/>
  <c r="E2932"/>
  <c r="E2933"/>
  <c r="E2934"/>
  <c r="E2935"/>
  <c r="E2936"/>
  <c r="F2936" s="1"/>
  <c r="E2937"/>
  <c r="E2938"/>
  <c r="E2939"/>
  <c r="E2940"/>
  <c r="F2940" s="1"/>
  <c r="E2941"/>
  <c r="E2942"/>
  <c r="E2943"/>
  <c r="E2944"/>
  <c r="F2944" s="1"/>
  <c r="E2945"/>
  <c r="E2946"/>
  <c r="E2947"/>
  <c r="E2948"/>
  <c r="F2948" s="1"/>
  <c r="E2949"/>
  <c r="E2950"/>
  <c r="E2951"/>
  <c r="E2952"/>
  <c r="F2952" s="1"/>
  <c r="E2953"/>
  <c r="E2954"/>
  <c r="E2955"/>
  <c r="E2956"/>
  <c r="F2956" s="1"/>
  <c r="E2957"/>
  <c r="E2958"/>
  <c r="E2959"/>
  <c r="E2960"/>
  <c r="F2960" s="1"/>
  <c r="E2961"/>
  <c r="E2962"/>
  <c r="E2963"/>
  <c r="E2964"/>
  <c r="F2964" s="1"/>
  <c r="E2965"/>
  <c r="E2966"/>
  <c r="E2967"/>
  <c r="E2968"/>
  <c r="F2968" s="1"/>
  <c r="E2969"/>
  <c r="E2970"/>
  <c r="E2971"/>
  <c r="E2972"/>
  <c r="F2972" s="1"/>
  <c r="E2973"/>
  <c r="E2974"/>
  <c r="E2975"/>
  <c r="E2976"/>
  <c r="F2976" s="1"/>
  <c r="E2977"/>
  <c r="E2978"/>
  <c r="E2979"/>
  <c r="E2980"/>
  <c r="F2980" s="1"/>
  <c r="E2981"/>
  <c r="E2982"/>
  <c r="E2983"/>
  <c r="E2984"/>
  <c r="F2984" s="1"/>
  <c r="E2985"/>
  <c r="E2986"/>
  <c r="E2987"/>
  <c r="E2988"/>
  <c r="F2988" s="1"/>
  <c r="E2989"/>
  <c r="E2990"/>
  <c r="E2991"/>
  <c r="E2992"/>
  <c r="F2992" s="1"/>
  <c r="E2993"/>
  <c r="E2994"/>
  <c r="E2995"/>
  <c r="E2996"/>
  <c r="E2997"/>
  <c r="E2998"/>
  <c r="E2999"/>
  <c r="E3000"/>
  <c r="F3000" s="1"/>
  <c r="E3001"/>
  <c r="E3002"/>
  <c r="E3003"/>
  <c r="E3004"/>
  <c r="F3004" s="1"/>
  <c r="E3005"/>
  <c r="E3006"/>
  <c r="E3007"/>
  <c r="E3008"/>
  <c r="F3008" s="1"/>
  <c r="E3009"/>
  <c r="E3010"/>
  <c r="E3011"/>
  <c r="E3012"/>
  <c r="F3012" s="1"/>
  <c r="E3013"/>
  <c r="E3014"/>
  <c r="E3015"/>
  <c r="E3016"/>
  <c r="F3016" s="1"/>
  <c r="E3017"/>
  <c r="E3018"/>
  <c r="E3019"/>
  <c r="E3020"/>
  <c r="F3020" s="1"/>
  <c r="E3021"/>
  <c r="E3022"/>
  <c r="E3023"/>
  <c r="E3024"/>
  <c r="F3024" s="1"/>
  <c r="E3025"/>
  <c r="E3026"/>
  <c r="E3027"/>
  <c r="E3028"/>
  <c r="F3028" s="1"/>
  <c r="E3029"/>
  <c r="E3030"/>
  <c r="E3031"/>
  <c r="E3032"/>
  <c r="F3032" s="1"/>
  <c r="E3033"/>
  <c r="E3034"/>
  <c r="E3035"/>
  <c r="E3036"/>
  <c r="F3036" s="1"/>
  <c r="E3037"/>
  <c r="E3038"/>
  <c r="E3039"/>
  <c r="E3040"/>
  <c r="F3040" s="1"/>
  <c r="E3041"/>
  <c r="E3042"/>
  <c r="E3043"/>
  <c r="E3044"/>
  <c r="F3044" s="1"/>
  <c r="E3045"/>
  <c r="E3046"/>
  <c r="E3047"/>
  <c r="E3048"/>
  <c r="F3048" s="1"/>
  <c r="E3049"/>
  <c r="E3050"/>
  <c r="E3051"/>
  <c r="E3052"/>
  <c r="F3052" s="1"/>
  <c r="E3053"/>
  <c r="E3054"/>
  <c r="E3055"/>
  <c r="E3056"/>
  <c r="F3056" s="1"/>
  <c r="E3057"/>
  <c r="E3058"/>
  <c r="E3059"/>
  <c r="E3060"/>
  <c r="E3061"/>
  <c r="E3062"/>
  <c r="E3063"/>
  <c r="E3064"/>
  <c r="F3064" s="1"/>
  <c r="E3065"/>
  <c r="E3066"/>
  <c r="E3067"/>
  <c r="E3068"/>
  <c r="F3068" s="1"/>
  <c r="E3069"/>
  <c r="E3070"/>
  <c r="E3071"/>
  <c r="E3072"/>
  <c r="F3072" s="1"/>
  <c r="E3073"/>
  <c r="E3074"/>
  <c r="E3075"/>
  <c r="E3076"/>
  <c r="F3076" s="1"/>
  <c r="E3077"/>
  <c r="E3078"/>
  <c r="E3079"/>
  <c r="E3080"/>
  <c r="F3080" s="1"/>
  <c r="E3081"/>
  <c r="E3082"/>
  <c r="E3083"/>
  <c r="E3084"/>
  <c r="F3084" s="1"/>
  <c r="E3085"/>
  <c r="E3086"/>
  <c r="E3087"/>
  <c r="E3088"/>
  <c r="F3088" s="1"/>
  <c r="E3089"/>
  <c r="E3090"/>
  <c r="E3091"/>
  <c r="E3092"/>
  <c r="F3092" s="1"/>
  <c r="E3093"/>
  <c r="E3094"/>
  <c r="E3095"/>
  <c r="E3096"/>
  <c r="F3096" s="1"/>
  <c r="E3097"/>
  <c r="E3098"/>
  <c r="E3099"/>
  <c r="E3100"/>
  <c r="F3100" s="1"/>
  <c r="E3101"/>
  <c r="E3102"/>
  <c r="E3103"/>
  <c r="E3104"/>
  <c r="F3104" s="1"/>
  <c r="E3105"/>
  <c r="E3106"/>
  <c r="E3107"/>
  <c r="E3108"/>
  <c r="F3108" s="1"/>
  <c r="E3109"/>
  <c r="E3110"/>
  <c r="E3111"/>
  <c r="E3112"/>
  <c r="E3113"/>
  <c r="E3114"/>
  <c r="E3115"/>
  <c r="E3116"/>
  <c r="F3116" s="1"/>
  <c r="E3117"/>
  <c r="E3118"/>
  <c r="E3119"/>
  <c r="E3120"/>
  <c r="F3120" s="1"/>
  <c r="E3121"/>
  <c r="E3122"/>
  <c r="E3123"/>
  <c r="E3124"/>
  <c r="F3124" s="1"/>
  <c r="E3125"/>
  <c r="E3126"/>
  <c r="E3127"/>
  <c r="E3128"/>
  <c r="F3128" s="1"/>
  <c r="E3129"/>
  <c r="E3130"/>
  <c r="E3131"/>
  <c r="E3132"/>
  <c r="F3132" s="1"/>
  <c r="E3133"/>
  <c r="E3134"/>
  <c r="E3135"/>
  <c r="E3136"/>
  <c r="F3136" s="1"/>
  <c r="E3137"/>
  <c r="E3138"/>
  <c r="E3139"/>
  <c r="E3140"/>
  <c r="F3140" s="1"/>
  <c r="E3141"/>
  <c r="E3142"/>
  <c r="E3143"/>
  <c r="E3144"/>
  <c r="E3145"/>
  <c r="E3146"/>
  <c r="E3147"/>
  <c r="E3148"/>
  <c r="F3148" s="1"/>
  <c r="E3149"/>
  <c r="E3150"/>
  <c r="E3151"/>
  <c r="E3152"/>
  <c r="F3152" s="1"/>
  <c r="E3153"/>
  <c r="E3154"/>
  <c r="E3155"/>
  <c r="E3156"/>
  <c r="F3156" s="1"/>
  <c r="E3157"/>
  <c r="E3158"/>
  <c r="E3159"/>
  <c r="E3160"/>
  <c r="F3160" s="1"/>
  <c r="E3161"/>
  <c r="E3162"/>
  <c r="E3163"/>
  <c r="E3164"/>
  <c r="F3164" s="1"/>
  <c r="E3165"/>
  <c r="E3166"/>
  <c r="E3167"/>
  <c r="E3168"/>
  <c r="F3168" s="1"/>
  <c r="E3169"/>
  <c r="E3170"/>
  <c r="E3171"/>
  <c r="E3172"/>
  <c r="F3172" s="1"/>
  <c r="E3173"/>
  <c r="E3174"/>
  <c r="E3175"/>
  <c r="E3176"/>
  <c r="F3176" s="1"/>
  <c r="E3177"/>
  <c r="E3178"/>
  <c r="E3179"/>
  <c r="E3180"/>
  <c r="F3180" s="1"/>
  <c r="E3181"/>
  <c r="E3182"/>
  <c r="E3183"/>
  <c r="E3184"/>
  <c r="F3184" s="1"/>
  <c r="E3185"/>
  <c r="E3186"/>
  <c r="E3187"/>
  <c r="E3188"/>
  <c r="F3188" s="1"/>
  <c r="E3189"/>
  <c r="E3190"/>
  <c r="E3191"/>
  <c r="E3192"/>
  <c r="F3192" s="1"/>
  <c r="E3193"/>
  <c r="E3194"/>
  <c r="E3195"/>
  <c r="E3196"/>
  <c r="F3196" s="1"/>
  <c r="E3197"/>
  <c r="E3198"/>
  <c r="E3199"/>
  <c r="E3200"/>
  <c r="F3200" s="1"/>
  <c r="E3201"/>
  <c r="E3202"/>
  <c r="E3203"/>
  <c r="E3204"/>
  <c r="F3204" s="1"/>
  <c r="E3205"/>
  <c r="E3206"/>
  <c r="E3207"/>
  <c r="E3208"/>
  <c r="F3208" s="1"/>
  <c r="E3209"/>
  <c r="E3210"/>
  <c r="E3211"/>
  <c r="E3212"/>
  <c r="F3212" s="1"/>
  <c r="E3213"/>
  <c r="E3214"/>
  <c r="E3215"/>
  <c r="E3216"/>
  <c r="F3216" s="1"/>
  <c r="E3217"/>
  <c r="E3218"/>
  <c r="E3219"/>
  <c r="E3220"/>
  <c r="F3220" s="1"/>
  <c r="E3221"/>
  <c r="E3222"/>
  <c r="E3223"/>
  <c r="E3224"/>
  <c r="F3224" s="1"/>
  <c r="E3225"/>
  <c r="E3226"/>
  <c r="E3227"/>
  <c r="E3228"/>
  <c r="F3228" s="1"/>
  <c r="E3229"/>
  <c r="E3230"/>
  <c r="E3231"/>
  <c r="E3232"/>
  <c r="F3232" s="1"/>
  <c r="E3233"/>
  <c r="E3234"/>
  <c r="E3235"/>
  <c r="E3236"/>
  <c r="F3236" s="1"/>
  <c r="E3237"/>
  <c r="E3238"/>
  <c r="E3239"/>
  <c r="E3240"/>
  <c r="F3240" s="1"/>
  <c r="E3241"/>
  <c r="E3242"/>
  <c r="E3243"/>
  <c r="E3244"/>
  <c r="F3244" s="1"/>
  <c r="E3245"/>
  <c r="E3246"/>
  <c r="E3247"/>
  <c r="E3248"/>
  <c r="F3248" s="1"/>
  <c r="E3249"/>
  <c r="E3250"/>
  <c r="E3251"/>
  <c r="E3252"/>
  <c r="F3252" s="1"/>
  <c r="E3253"/>
  <c r="E3254"/>
  <c r="E3255"/>
  <c r="E3256"/>
  <c r="F3256" s="1"/>
  <c r="E3257"/>
  <c r="E3258"/>
  <c r="E3259"/>
  <c r="E3260"/>
  <c r="F3260" s="1"/>
  <c r="E3261"/>
  <c r="E3262"/>
  <c r="E3263"/>
  <c r="E3264"/>
  <c r="E3265"/>
  <c r="E3266"/>
  <c r="E3267"/>
  <c r="E3268"/>
  <c r="F3268" s="1"/>
  <c r="E3269"/>
  <c r="E3270"/>
  <c r="E3271"/>
  <c r="E3272"/>
  <c r="F3272" s="1"/>
  <c r="E3273"/>
  <c r="E3274"/>
  <c r="E3275"/>
  <c r="E3276"/>
  <c r="F3276" s="1"/>
  <c r="E3277"/>
  <c r="E3278"/>
  <c r="E3279"/>
  <c r="E3280"/>
  <c r="E3281"/>
  <c r="E3282"/>
  <c r="E3283"/>
  <c r="E3284"/>
  <c r="E3285"/>
  <c r="E3286"/>
  <c r="E3287"/>
  <c r="E3288"/>
  <c r="F3288" s="1"/>
  <c r="E3289"/>
  <c r="E3290"/>
  <c r="E3291"/>
  <c r="E3292"/>
  <c r="F3292" s="1"/>
  <c r="E3293"/>
  <c r="E3294"/>
  <c r="E3295"/>
  <c r="E3296"/>
  <c r="F3296" s="1"/>
  <c r="E3297"/>
  <c r="E3298"/>
  <c r="E3299"/>
  <c r="E3300"/>
  <c r="F3300" s="1"/>
  <c r="E3301"/>
  <c r="E3302"/>
  <c r="E3303"/>
  <c r="E3304"/>
  <c r="E3305"/>
  <c r="E3306"/>
  <c r="E3307"/>
  <c r="E3308"/>
  <c r="F3308" s="1"/>
  <c r="E3309"/>
  <c r="E3310"/>
  <c r="E3311"/>
  <c r="E3312"/>
  <c r="F3312" s="1"/>
  <c r="E3313"/>
  <c r="E3314"/>
  <c r="E3315"/>
  <c r="E3316"/>
  <c r="F3316" s="1"/>
  <c r="E3317"/>
  <c r="E3318"/>
  <c r="E3319"/>
  <c r="E3320"/>
  <c r="F3320" s="1"/>
  <c r="E3321"/>
  <c r="E3322"/>
  <c r="E3323"/>
  <c r="E3324"/>
  <c r="F3324" s="1"/>
  <c r="E3325"/>
  <c r="E3326"/>
  <c r="E3327"/>
  <c r="E3328"/>
  <c r="E3329"/>
  <c r="E3330"/>
  <c r="E3331"/>
  <c r="E3332"/>
  <c r="E3333"/>
  <c r="E3334"/>
  <c r="E3335"/>
  <c r="E3336"/>
  <c r="F3336" s="1"/>
  <c r="E3337"/>
  <c r="E3338"/>
  <c r="E3339"/>
  <c r="E3340"/>
  <c r="F3340" s="1"/>
  <c r="E3341"/>
  <c r="E3342"/>
  <c r="E3343"/>
  <c r="E3344"/>
  <c r="F3344" s="1"/>
  <c r="E3345"/>
  <c r="E3346"/>
  <c r="E3347"/>
  <c r="E3348"/>
  <c r="E3349"/>
  <c r="E3350"/>
  <c r="E3351"/>
  <c r="E3352"/>
  <c r="E3353"/>
  <c r="E3354"/>
  <c r="E3355"/>
  <c r="E3356"/>
  <c r="F3356" s="1"/>
  <c r="E3357"/>
  <c r="E3358"/>
  <c r="E3359"/>
  <c r="E3360"/>
  <c r="F3360" s="1"/>
  <c r="E3361"/>
  <c r="E3362"/>
  <c r="E3363"/>
  <c r="E3364"/>
  <c r="E3365"/>
  <c r="E3366"/>
  <c r="E3367"/>
  <c r="E3368"/>
  <c r="F3368" s="1"/>
  <c r="E3369"/>
  <c r="E3370"/>
  <c r="E3371"/>
  <c r="E3372"/>
  <c r="F3372" s="1"/>
  <c r="E3373"/>
  <c r="E3374"/>
  <c r="E3375"/>
  <c r="E3376"/>
  <c r="F3376" s="1"/>
  <c r="E3377"/>
  <c r="E3378"/>
  <c r="E3379"/>
  <c r="E3380"/>
  <c r="F3380" s="1"/>
  <c r="E3381"/>
  <c r="E3382"/>
  <c r="E3383"/>
  <c r="E3384"/>
  <c r="F3384" s="1"/>
  <c r="E3385"/>
  <c r="E3386"/>
  <c r="E3387"/>
  <c r="E3388"/>
  <c r="F3388" s="1"/>
  <c r="E3389"/>
  <c r="E3390"/>
  <c r="E3391"/>
  <c r="E3392"/>
  <c r="E3393"/>
  <c r="E3394"/>
  <c r="E3395"/>
  <c r="E3396"/>
  <c r="F3396" s="1"/>
  <c r="E3397"/>
  <c r="E3398"/>
  <c r="E3399"/>
  <c r="E3400"/>
  <c r="F3400" s="1"/>
  <c r="E3401"/>
  <c r="E3402"/>
  <c r="E3403"/>
  <c r="E3404"/>
  <c r="E3405"/>
  <c r="E3406"/>
  <c r="E3407"/>
  <c r="E3408"/>
  <c r="F3408" s="1"/>
  <c r="E3409"/>
  <c r="E3410"/>
  <c r="E3411"/>
  <c r="E3412"/>
  <c r="E3413"/>
  <c r="E3414"/>
  <c r="E3415"/>
  <c r="E3416"/>
  <c r="F3416" s="1"/>
  <c r="E3417"/>
  <c r="E3418"/>
  <c r="E3419"/>
  <c r="E3420"/>
  <c r="E3421"/>
  <c r="E3422"/>
  <c r="E3423"/>
  <c r="E3424"/>
  <c r="F3424" s="1"/>
  <c r="E3425"/>
  <c r="E3426"/>
  <c r="E3427"/>
  <c r="E3428"/>
  <c r="E3429"/>
  <c r="E3430"/>
  <c r="E3431"/>
  <c r="E3432"/>
  <c r="F3432" s="1"/>
  <c r="E3433"/>
  <c r="E3434"/>
  <c r="E3435"/>
  <c r="E3436"/>
  <c r="E3437"/>
  <c r="E3438"/>
  <c r="E3439"/>
  <c r="E3440"/>
  <c r="F3440" s="1"/>
  <c r="E3441"/>
  <c r="E3442"/>
  <c r="E3443"/>
  <c r="E3444"/>
  <c r="E3445"/>
  <c r="E3446"/>
  <c r="E3447"/>
  <c r="E3448"/>
  <c r="F3448" s="1"/>
  <c r="E3449"/>
  <c r="E3450"/>
  <c r="E3451"/>
  <c r="E3452"/>
  <c r="E3453"/>
  <c r="E3454"/>
  <c r="E3455"/>
  <c r="E3456"/>
  <c r="F3456" s="1"/>
  <c r="E3457"/>
  <c r="E3458"/>
  <c r="E3459"/>
  <c r="E3460"/>
  <c r="E3461"/>
  <c r="E3462"/>
  <c r="E3463"/>
  <c r="E3464"/>
  <c r="F3464" s="1"/>
  <c r="E3465"/>
  <c r="E3466"/>
  <c r="E3467"/>
  <c r="E3468"/>
  <c r="E3469"/>
  <c r="E3470"/>
  <c r="E3471"/>
  <c r="E3472"/>
  <c r="F3472" s="1"/>
  <c r="E3473"/>
  <c r="E3474"/>
  <c r="E3475"/>
  <c r="E3476"/>
  <c r="F3476" s="1"/>
  <c r="E3477"/>
  <c r="E3478"/>
  <c r="E3479"/>
  <c r="E3480"/>
  <c r="F3480" s="1"/>
  <c r="E3481"/>
  <c r="E3482"/>
  <c r="E3483"/>
  <c r="E3484"/>
  <c r="F3484" s="1"/>
  <c r="E3485"/>
  <c r="E3486"/>
  <c r="E3487"/>
  <c r="E3488"/>
  <c r="F3488" s="1"/>
  <c r="E3489"/>
  <c r="E3490"/>
  <c r="E3491"/>
  <c r="E3492"/>
  <c r="F3492" s="1"/>
  <c r="E3493"/>
  <c r="E3494"/>
  <c r="E3495"/>
  <c r="E3496"/>
  <c r="F3496" s="1"/>
  <c r="E3497"/>
  <c r="E3498"/>
  <c r="E3499"/>
  <c r="E3500"/>
  <c r="F3500" s="1"/>
  <c r="E3501"/>
  <c r="E3502"/>
  <c r="E3503"/>
  <c r="E3504"/>
  <c r="F3504" s="1"/>
  <c r="E3505"/>
  <c r="E3506"/>
  <c r="E3507"/>
  <c r="E3508"/>
  <c r="F3508" s="1"/>
  <c r="E3509"/>
  <c r="E3510"/>
  <c r="E3511"/>
  <c r="E3512"/>
  <c r="F3512" s="1"/>
  <c r="E3513"/>
  <c r="E3514"/>
  <c r="E3515"/>
  <c r="E3516"/>
  <c r="F3516" s="1"/>
  <c r="E3517"/>
  <c r="E3518"/>
  <c r="E3519"/>
  <c r="E3520"/>
  <c r="F3520" s="1"/>
  <c r="E3521"/>
  <c r="E3522"/>
  <c r="E3523"/>
  <c r="E3524"/>
  <c r="F3524" s="1"/>
  <c r="E3525"/>
  <c r="E3526"/>
  <c r="E3527"/>
  <c r="E3528"/>
  <c r="F3528" s="1"/>
  <c r="E3529"/>
  <c r="E3530"/>
  <c r="E3531"/>
  <c r="E3532"/>
  <c r="F3532" s="1"/>
  <c r="E3533"/>
  <c r="E3534"/>
  <c r="E3535"/>
  <c r="E3536"/>
  <c r="F3536" s="1"/>
  <c r="E3537"/>
  <c r="E3538"/>
  <c r="E3539"/>
  <c r="E3540"/>
  <c r="F3540" s="1"/>
  <c r="E3541"/>
  <c r="E3542"/>
  <c r="E3543"/>
  <c r="E3544"/>
  <c r="F3544" s="1"/>
  <c r="E3545"/>
  <c r="E3546"/>
  <c r="E3547"/>
  <c r="E3548"/>
  <c r="F3548" s="1"/>
  <c r="E3549"/>
  <c r="E3550"/>
  <c r="E3551"/>
  <c r="E3552"/>
  <c r="F3552" s="1"/>
  <c r="E3553"/>
  <c r="E3554"/>
  <c r="E3555"/>
  <c r="E3556"/>
  <c r="F3556" s="1"/>
  <c r="E3557"/>
  <c r="E3558"/>
  <c r="E3559"/>
  <c r="E3560"/>
  <c r="F3560" s="1"/>
  <c r="E3561"/>
  <c r="E3562"/>
  <c r="E3563"/>
  <c r="E3564"/>
  <c r="F3564" s="1"/>
  <c r="E3565"/>
  <c r="E3566"/>
  <c r="E3567"/>
  <c r="E3568"/>
  <c r="F3568" s="1"/>
  <c r="E3569"/>
  <c r="E3570"/>
  <c r="E3571"/>
  <c r="E3572"/>
  <c r="F3572" s="1"/>
  <c r="E3573"/>
  <c r="E3574"/>
  <c r="E3575"/>
  <c r="E3576"/>
  <c r="F3576" s="1"/>
  <c r="E3577"/>
  <c r="E3578"/>
  <c r="E3579"/>
  <c r="E3580"/>
  <c r="F3580" s="1"/>
  <c r="E3581"/>
  <c r="E3582"/>
  <c r="E3583"/>
  <c r="E3584"/>
  <c r="F3584" s="1"/>
  <c r="E3585"/>
  <c r="E3586"/>
  <c r="E3587"/>
  <c r="E3588"/>
  <c r="F3588" s="1"/>
  <c r="E3589"/>
  <c r="E3590"/>
  <c r="E3591"/>
  <c r="E3592"/>
  <c r="F3592" s="1"/>
  <c r="E3593"/>
  <c r="E3594"/>
  <c r="E3595"/>
  <c r="E3596"/>
  <c r="F3596" s="1"/>
  <c r="E3597"/>
  <c r="E3598"/>
  <c r="E3599"/>
  <c r="E3600"/>
  <c r="F3600" s="1"/>
  <c r="E3601"/>
  <c r="E3602"/>
  <c r="E3603"/>
  <c r="E3604"/>
  <c r="F3604" s="1"/>
  <c r="E3605"/>
  <c r="E3606"/>
  <c r="E3607"/>
  <c r="E3608"/>
  <c r="F3608" s="1"/>
  <c r="E3609"/>
  <c r="E3610"/>
  <c r="E3611"/>
  <c r="E3612"/>
  <c r="F3612" s="1"/>
  <c r="E3613"/>
  <c r="E3614"/>
  <c r="E3615"/>
  <c r="E3616"/>
  <c r="F3616" s="1"/>
  <c r="E3617"/>
  <c r="E3618"/>
  <c r="E3619"/>
  <c r="E3620"/>
  <c r="F3620" s="1"/>
  <c r="E3621"/>
  <c r="E3622"/>
  <c r="E3623"/>
  <c r="E3624"/>
  <c r="F3624" s="1"/>
  <c r="E3625"/>
  <c r="E3626"/>
  <c r="E3627"/>
  <c r="E3628"/>
  <c r="F3628" s="1"/>
  <c r="E3629"/>
  <c r="E3630"/>
  <c r="E3631"/>
  <c r="E3632"/>
  <c r="F3632" s="1"/>
  <c r="E3633"/>
  <c r="E3634"/>
  <c r="E3635"/>
  <c r="E3636"/>
  <c r="F3636" s="1"/>
  <c r="E3637"/>
  <c r="E3638"/>
  <c r="E3639"/>
  <c r="E3640"/>
  <c r="F3640" s="1"/>
  <c r="E3641"/>
  <c r="E3642"/>
  <c r="E3643"/>
  <c r="E3644"/>
  <c r="F3644" s="1"/>
  <c r="E3645"/>
  <c r="E3646"/>
  <c r="E3647"/>
  <c r="E3648"/>
  <c r="F3648" s="1"/>
  <c r="E3649"/>
  <c r="E3650"/>
  <c r="E3651"/>
  <c r="E3652"/>
  <c r="F3652" s="1"/>
  <c r="E3653"/>
  <c r="E3654"/>
  <c r="E3655"/>
  <c r="E3656"/>
  <c r="F3656" s="1"/>
  <c r="E3657"/>
  <c r="E3658"/>
  <c r="E3659"/>
  <c r="E3660"/>
  <c r="F3660" s="1"/>
  <c r="E3661"/>
  <c r="E3662"/>
  <c r="E3663"/>
  <c r="E3664"/>
  <c r="F3664" s="1"/>
  <c r="E3665"/>
  <c r="E3666"/>
  <c r="E3667"/>
  <c r="E3668"/>
  <c r="F3668" s="1"/>
  <c r="E3669"/>
  <c r="E3670"/>
  <c r="E3671"/>
  <c r="E3672"/>
  <c r="F3672" s="1"/>
  <c r="E3673"/>
  <c r="E3674"/>
  <c r="E3675"/>
  <c r="E3676"/>
  <c r="F3676" s="1"/>
  <c r="E3677"/>
  <c r="E3678"/>
  <c r="E3679"/>
  <c r="E3680"/>
  <c r="F3680" s="1"/>
  <c r="E3681"/>
  <c r="E3682"/>
  <c r="E3683"/>
  <c r="E3684"/>
  <c r="F3684" s="1"/>
  <c r="E3685"/>
  <c r="E3686"/>
  <c r="E3687"/>
  <c r="E3688"/>
  <c r="F3688" s="1"/>
  <c r="E3689"/>
  <c r="E3690"/>
  <c r="E3691"/>
  <c r="E3692"/>
  <c r="F3692" s="1"/>
  <c r="E3693"/>
  <c r="E3694"/>
  <c r="E3695"/>
  <c r="E3696"/>
  <c r="F3696" s="1"/>
  <c r="E3697"/>
  <c r="E3698"/>
  <c r="E3699"/>
  <c r="E3700"/>
  <c r="F3700" s="1"/>
  <c r="E3701"/>
  <c r="E3702"/>
  <c r="E3703"/>
  <c r="E3704"/>
  <c r="F3704" s="1"/>
  <c r="E3705"/>
  <c r="E3706"/>
  <c r="E3707"/>
  <c r="E3708"/>
  <c r="F3708" s="1"/>
  <c r="E3709"/>
  <c r="E3710"/>
  <c r="E3711"/>
  <c r="E3712"/>
  <c r="F3712" s="1"/>
  <c r="E3713"/>
  <c r="E3714"/>
  <c r="E3715"/>
  <c r="E3716"/>
  <c r="F3716" s="1"/>
  <c r="E3717"/>
  <c r="E3718"/>
  <c r="E3719"/>
  <c r="E3720"/>
  <c r="F3720" s="1"/>
  <c r="E3721"/>
  <c r="E3722"/>
  <c r="E3723"/>
  <c r="E3724"/>
  <c r="F3724" s="1"/>
  <c r="E3725"/>
  <c r="E3726"/>
  <c r="E3727"/>
  <c r="E3728"/>
  <c r="F3728" s="1"/>
  <c r="E3729"/>
  <c r="E3730"/>
  <c r="E3731"/>
  <c r="E3732"/>
  <c r="F3732" s="1"/>
  <c r="E3733"/>
  <c r="E3734"/>
  <c r="E3735"/>
  <c r="E3736"/>
  <c r="F3736" s="1"/>
  <c r="E3737"/>
  <c r="E3738"/>
  <c r="E3739"/>
  <c r="E3740"/>
  <c r="F3740" s="1"/>
  <c r="E3741"/>
  <c r="E3742"/>
  <c r="E3743"/>
  <c r="E3744"/>
  <c r="F3744" s="1"/>
  <c r="E3745"/>
  <c r="E3746"/>
  <c r="E3747"/>
  <c r="E3748"/>
  <c r="F3748" s="1"/>
  <c r="E3749"/>
  <c r="E3750"/>
  <c r="E3751"/>
  <c r="E3752"/>
  <c r="F3752" s="1"/>
  <c r="E3753"/>
  <c r="E3754"/>
  <c r="E3755"/>
  <c r="E3756"/>
  <c r="F3756" s="1"/>
  <c r="E3757"/>
  <c r="E3758"/>
  <c r="E3759"/>
  <c r="E3760"/>
  <c r="F3760" s="1"/>
  <c r="E3761"/>
  <c r="E3762"/>
  <c r="E3763"/>
  <c r="E3764"/>
  <c r="F3764" s="1"/>
  <c r="E3765"/>
  <c r="E3766"/>
  <c r="E3767"/>
  <c r="E3768"/>
  <c r="F3768" s="1"/>
  <c r="E3769"/>
  <c r="E3770"/>
  <c r="E3771"/>
  <c r="E3772"/>
  <c r="F3772" s="1"/>
  <c r="E3773"/>
  <c r="E3774"/>
  <c r="E3775"/>
  <c r="E3776"/>
  <c r="F3776" s="1"/>
  <c r="E3777"/>
  <c r="E3778"/>
  <c r="E3779"/>
  <c r="E3780"/>
  <c r="F3780" s="1"/>
  <c r="E3781"/>
  <c r="E3782"/>
  <c r="E3783"/>
  <c r="E3784"/>
  <c r="F3784" s="1"/>
  <c r="E3785"/>
  <c r="E3786"/>
  <c r="E3787"/>
  <c r="E3788"/>
  <c r="F3788" s="1"/>
  <c r="E3789"/>
  <c r="E3790"/>
  <c r="E3791"/>
  <c r="E3792"/>
  <c r="F3792" s="1"/>
  <c r="E3793"/>
  <c r="E3794"/>
  <c r="E3795"/>
  <c r="E3796"/>
  <c r="F3796" s="1"/>
  <c r="E3797"/>
  <c r="E3798"/>
  <c r="E3799"/>
  <c r="E3800"/>
  <c r="E3801"/>
  <c r="E3802"/>
  <c r="E3803"/>
  <c r="E3804"/>
  <c r="F3804" s="1"/>
  <c r="E3805"/>
  <c r="E3806"/>
  <c r="E3807"/>
  <c r="E3808"/>
  <c r="F3808" s="1"/>
  <c r="E3809"/>
  <c r="E3810"/>
  <c r="E3811"/>
  <c r="E3812"/>
  <c r="F3812" s="1"/>
  <c r="E3813"/>
  <c r="E3814"/>
  <c r="E3815"/>
  <c r="E3816"/>
  <c r="F3816" s="1"/>
  <c r="E3817"/>
  <c r="E3818"/>
  <c r="E3819"/>
  <c r="E3820"/>
  <c r="E3821"/>
  <c r="E3822"/>
  <c r="E3823"/>
  <c r="E3824"/>
  <c r="E3825"/>
  <c r="E3826"/>
  <c r="E3827"/>
  <c r="E3828"/>
  <c r="E3829"/>
  <c r="E3830"/>
  <c r="E3831"/>
  <c r="E3832"/>
  <c r="F3832" s="1"/>
  <c r="E3833"/>
  <c r="E3834"/>
  <c r="E3835"/>
  <c r="E3836"/>
  <c r="F3836" s="1"/>
  <c r="E3837"/>
  <c r="E3838"/>
  <c r="E3839"/>
  <c r="E3840"/>
  <c r="F3840" s="1"/>
  <c r="E3841"/>
  <c r="E3842"/>
  <c r="E3843"/>
  <c r="E3844"/>
  <c r="F3844" s="1"/>
  <c r="E3845"/>
  <c r="E3846"/>
  <c r="E3847"/>
  <c r="E3848"/>
  <c r="F3848" s="1"/>
  <c r="E3849"/>
  <c r="E3850"/>
  <c r="E3851"/>
  <c r="E3852"/>
  <c r="F3852" s="1"/>
  <c r="E3853"/>
  <c r="E3854"/>
  <c r="E3855"/>
  <c r="E3856"/>
  <c r="F3856" s="1"/>
  <c r="E3857"/>
  <c r="E3858"/>
  <c r="E3859"/>
  <c r="E3860"/>
  <c r="F3860" s="1"/>
  <c r="E3861"/>
  <c r="E3862"/>
  <c r="E3863"/>
  <c r="E3864"/>
  <c r="E3865"/>
  <c r="E3866"/>
  <c r="E3867"/>
  <c r="E3868"/>
  <c r="F3868" s="1"/>
  <c r="E3869"/>
  <c r="E3870"/>
  <c r="E3871"/>
  <c r="E3872"/>
  <c r="F3872" s="1"/>
  <c r="E3873"/>
  <c r="E3874"/>
  <c r="E3875"/>
  <c r="E3876"/>
  <c r="F3876" s="1"/>
  <c r="E3877"/>
  <c r="E3878"/>
  <c r="E3879"/>
  <c r="E3880"/>
  <c r="F3880" s="1"/>
  <c r="E3881"/>
  <c r="E3882"/>
  <c r="E3883"/>
  <c r="E3884"/>
  <c r="F3884" s="1"/>
  <c r="E3885"/>
  <c r="E3886"/>
  <c r="E3887"/>
  <c r="E3888"/>
  <c r="F3888" s="1"/>
  <c r="E3889"/>
  <c r="E3890"/>
  <c r="E3891"/>
  <c r="E3892"/>
  <c r="F3892" s="1"/>
  <c r="E3893"/>
  <c r="E3894"/>
  <c r="E3895"/>
  <c r="E3896"/>
  <c r="F3896" s="1"/>
  <c r="E3897"/>
  <c r="E3898"/>
  <c r="E3899"/>
  <c r="E3900"/>
  <c r="F3900" s="1"/>
  <c r="E3901"/>
  <c r="E3902"/>
  <c r="E3903"/>
  <c r="E3904"/>
  <c r="E3905"/>
  <c r="E3906"/>
  <c r="E3907"/>
  <c r="E3908"/>
  <c r="E3909"/>
  <c r="E3910"/>
  <c r="E3911"/>
  <c r="E3912"/>
  <c r="F3912" s="1"/>
  <c r="E3913"/>
  <c r="E3914"/>
  <c r="E3915"/>
  <c r="E3916"/>
  <c r="F3916" s="1"/>
  <c r="E3917"/>
  <c r="E3918"/>
  <c r="E3919"/>
  <c r="E3920"/>
  <c r="F3920" s="1"/>
  <c r="E3921"/>
  <c r="E3922"/>
  <c r="E3923"/>
  <c r="E3924"/>
  <c r="F3924" s="1"/>
  <c r="E3925"/>
  <c r="E3926"/>
  <c r="E3927"/>
  <c r="E3928"/>
  <c r="E3929"/>
  <c r="E3930"/>
  <c r="E3931"/>
  <c r="E3932"/>
  <c r="F3932" s="1"/>
  <c r="E3933"/>
  <c r="E3934"/>
  <c r="E3935"/>
  <c r="E3936"/>
  <c r="F3936" s="1"/>
  <c r="E3937"/>
  <c r="E3938"/>
  <c r="E3939"/>
  <c r="E3940"/>
  <c r="F3940" s="1"/>
  <c r="E3941"/>
  <c r="E3942"/>
  <c r="E3943"/>
  <c r="E3944"/>
  <c r="F3944" s="1"/>
  <c r="E3945"/>
  <c r="E3946"/>
  <c r="E3947"/>
  <c r="E3948"/>
  <c r="F3948" s="1"/>
  <c r="E3949"/>
  <c r="E3950"/>
  <c r="E3951"/>
  <c r="E3952"/>
  <c r="E3953"/>
  <c r="E3954"/>
  <c r="E3955"/>
  <c r="E3956"/>
  <c r="F3956" s="1"/>
  <c r="E3957"/>
  <c r="E3958"/>
  <c r="E3959"/>
  <c r="E3960"/>
  <c r="F3960" s="1"/>
  <c r="E3961"/>
  <c r="E3962"/>
  <c r="E3963"/>
  <c r="E3964"/>
  <c r="F3964" s="1"/>
  <c r="E3965"/>
  <c r="E3966"/>
  <c r="E3967"/>
  <c r="E3968"/>
  <c r="E3969"/>
  <c r="E3970"/>
  <c r="E3971"/>
  <c r="E3972"/>
  <c r="F3972" s="1"/>
  <c r="E3973"/>
  <c r="E3974"/>
  <c r="E3975"/>
  <c r="E3976"/>
  <c r="F3976" s="1"/>
  <c r="E3977"/>
  <c r="E3978"/>
  <c r="E3979"/>
  <c r="E3980"/>
  <c r="E3981"/>
  <c r="E3982"/>
  <c r="E3983"/>
  <c r="E3984"/>
  <c r="E3985"/>
  <c r="E3986"/>
  <c r="E3987"/>
  <c r="E3988"/>
  <c r="F3988" s="1"/>
  <c r="E3989"/>
  <c r="E3990"/>
  <c r="E3991"/>
  <c r="E3992"/>
  <c r="F3992" s="1"/>
  <c r="E3993"/>
  <c r="E3994"/>
  <c r="E3995"/>
  <c r="E3996"/>
  <c r="F3996" s="1"/>
  <c r="E3997"/>
  <c r="E3998"/>
  <c r="E3999"/>
  <c r="E4000"/>
  <c r="F4000" s="1"/>
  <c r="E4001"/>
  <c r="E4002"/>
  <c r="E4003"/>
  <c r="E4004"/>
  <c r="F4004" s="1"/>
  <c r="E4005"/>
  <c r="E4006"/>
  <c r="E4007"/>
  <c r="E4008"/>
  <c r="F4008" s="1"/>
  <c r="E4009"/>
  <c r="E4010"/>
  <c r="E4011"/>
  <c r="E4012"/>
  <c r="F4012" s="1"/>
  <c r="E4013"/>
  <c r="E4014"/>
  <c r="E4015"/>
  <c r="E4016"/>
  <c r="F4016" s="1"/>
  <c r="E4017"/>
  <c r="E4018"/>
  <c r="E4019"/>
  <c r="E4020"/>
  <c r="F4020" s="1"/>
  <c r="E4021"/>
  <c r="E4022"/>
  <c r="E4023"/>
  <c r="E4024"/>
  <c r="F4024" s="1"/>
  <c r="E4025"/>
  <c r="E4026"/>
  <c r="E4027"/>
  <c r="E4028"/>
  <c r="F4028" s="1"/>
  <c r="E4029"/>
  <c r="E4030"/>
  <c r="E4031"/>
  <c r="E4032"/>
  <c r="E4033"/>
  <c r="E4034"/>
  <c r="E4035"/>
  <c r="E4036"/>
  <c r="F4036" s="1"/>
  <c r="E4037"/>
  <c r="E4038"/>
  <c r="E4039"/>
  <c r="E4040"/>
  <c r="F4040" s="1"/>
  <c r="E4041"/>
  <c r="E4042"/>
  <c r="E4043"/>
  <c r="E4044"/>
  <c r="F4044" s="1"/>
  <c r="E4045"/>
  <c r="E4046"/>
  <c r="E4047"/>
  <c r="E4048"/>
  <c r="E4049"/>
  <c r="E4050"/>
  <c r="E4051"/>
  <c r="E4052"/>
  <c r="F4052" s="1"/>
  <c r="E4053"/>
  <c r="E4054"/>
  <c r="E4055"/>
  <c r="E4056"/>
  <c r="F4056" s="1"/>
  <c r="E4057"/>
  <c r="E4058"/>
  <c r="E4059"/>
  <c r="E4060"/>
  <c r="F4060" s="1"/>
  <c r="E4061"/>
  <c r="E4062"/>
  <c r="E4063"/>
  <c r="E4064"/>
  <c r="E4065"/>
  <c r="E4066"/>
  <c r="E4067"/>
  <c r="E4068"/>
  <c r="F4068" s="1"/>
  <c r="E4069"/>
  <c r="E4070"/>
  <c r="E4071"/>
  <c r="E4072"/>
  <c r="F4072" s="1"/>
  <c r="E4073"/>
  <c r="E4074"/>
  <c r="E4075"/>
  <c r="E4076"/>
  <c r="F4076" s="1"/>
  <c r="E4077"/>
  <c r="E4078"/>
  <c r="E4079"/>
  <c r="E4080"/>
  <c r="E4081"/>
  <c r="E4082"/>
  <c r="E4083"/>
  <c r="E4084"/>
  <c r="F4084" s="1"/>
  <c r="E4085"/>
  <c r="E4086"/>
  <c r="E4087"/>
  <c r="E4088"/>
  <c r="E4089"/>
  <c r="E4090"/>
  <c r="E4091"/>
  <c r="E4092"/>
  <c r="F4092" s="1"/>
  <c r="E4093"/>
  <c r="E4094"/>
  <c r="E4095"/>
  <c r="E4096"/>
  <c r="E4097"/>
  <c r="E4098"/>
  <c r="E4099"/>
  <c r="E4100"/>
  <c r="F4100" s="1"/>
  <c r="E4101"/>
  <c r="E4102"/>
  <c r="E4103"/>
  <c r="E4104"/>
  <c r="F4104" s="1"/>
  <c r="E4105"/>
  <c r="E4106"/>
  <c r="E4107"/>
  <c r="E4108"/>
  <c r="F4108" s="1"/>
  <c r="E4109"/>
  <c r="E4110"/>
  <c r="E4111"/>
  <c r="E4112"/>
  <c r="E4113"/>
  <c r="E4114"/>
  <c r="E4115"/>
  <c r="E4116"/>
  <c r="F4116" s="1"/>
  <c r="E4117"/>
  <c r="E4118"/>
  <c r="E4119"/>
  <c r="E4120"/>
  <c r="E4121"/>
  <c r="E4122"/>
  <c r="E4123"/>
  <c r="E4124"/>
  <c r="F4124" s="1"/>
  <c r="E4125"/>
  <c r="E4126"/>
  <c r="E4127"/>
  <c r="E4128"/>
  <c r="F4128" s="1"/>
  <c r="E4129"/>
  <c r="E4130"/>
  <c r="E4131"/>
  <c r="E4132"/>
  <c r="F4132" s="1"/>
  <c r="E4133"/>
  <c r="E4134"/>
  <c r="E4135"/>
  <c r="E4136"/>
  <c r="F4136" s="1"/>
  <c r="E4137"/>
  <c r="E4138"/>
  <c r="E4139"/>
  <c r="E4140"/>
  <c r="F4140" s="1"/>
  <c r="E4141"/>
  <c r="E4142"/>
  <c r="E4143"/>
  <c r="E4144"/>
  <c r="E4145"/>
  <c r="E4146"/>
  <c r="E4147"/>
  <c r="E4148"/>
  <c r="F4148" s="1"/>
  <c r="E4149"/>
  <c r="E4150"/>
  <c r="E4151"/>
  <c r="E4152"/>
  <c r="E4153"/>
  <c r="E4154"/>
  <c r="E4155"/>
  <c r="E4156"/>
  <c r="F4156" s="1"/>
  <c r="E4157"/>
  <c r="E4158"/>
  <c r="E4159"/>
  <c r="E4160"/>
  <c r="F4160" s="1"/>
  <c r="E4161"/>
  <c r="E4162"/>
  <c r="E4163"/>
  <c r="E4164"/>
  <c r="F4164" s="1"/>
  <c r="E4165"/>
  <c r="E4166"/>
  <c r="E4167"/>
  <c r="E4168"/>
  <c r="F4168" s="1"/>
  <c r="E4169"/>
  <c r="E4170"/>
  <c r="E4171"/>
  <c r="E4172"/>
  <c r="F4172" s="1"/>
  <c r="E4173"/>
  <c r="E4174"/>
  <c r="E4175"/>
  <c r="E4176"/>
  <c r="E4177"/>
  <c r="E4178"/>
  <c r="E4179"/>
  <c r="E4180"/>
  <c r="F4180" s="1"/>
  <c r="E4181"/>
  <c r="E4182"/>
  <c r="E4183"/>
  <c r="E4184"/>
  <c r="F4184" s="1"/>
  <c r="E4185"/>
  <c r="E4186"/>
  <c r="E4187"/>
  <c r="E4188"/>
  <c r="F4188" s="1"/>
  <c r="E4189"/>
  <c r="E4190"/>
  <c r="E4191"/>
  <c r="E4192"/>
  <c r="E4193"/>
  <c r="E4194"/>
  <c r="E4195"/>
  <c r="E4196"/>
  <c r="F4196" s="1"/>
  <c r="E4197"/>
  <c r="E4198"/>
  <c r="E4199"/>
  <c r="E4200"/>
  <c r="F4200" s="1"/>
  <c r="E4201"/>
  <c r="E4202"/>
  <c r="E4203"/>
  <c r="E4204"/>
  <c r="F4204" s="1"/>
  <c r="E4205"/>
  <c r="E4206"/>
  <c r="E4207"/>
  <c r="E4208"/>
  <c r="E4209"/>
  <c r="E4210"/>
  <c r="E4211"/>
  <c r="E4212"/>
  <c r="F4212" s="1"/>
  <c r="E4213"/>
  <c r="E4214"/>
  <c r="E4215"/>
  <c r="E4216"/>
  <c r="F4216" s="1"/>
  <c r="E4217"/>
  <c r="E4218"/>
  <c r="E4219"/>
  <c r="E4220"/>
  <c r="F4220" s="1"/>
  <c r="E4221"/>
  <c r="E4222"/>
  <c r="E4223"/>
  <c r="E4224"/>
  <c r="E4225"/>
  <c r="E4226"/>
  <c r="E4227"/>
  <c r="E4228"/>
  <c r="F4228" s="1"/>
  <c r="E4229"/>
  <c r="E4230"/>
  <c r="E4231"/>
  <c r="E4232"/>
  <c r="F4232" s="1"/>
  <c r="E4233"/>
  <c r="E4234"/>
  <c r="E4235"/>
  <c r="E4236"/>
  <c r="F4236" s="1"/>
  <c r="E4237"/>
  <c r="E4238"/>
  <c r="E4239"/>
  <c r="E4240"/>
  <c r="F4240" s="1"/>
  <c r="E4241"/>
  <c r="E4242"/>
  <c r="E4243"/>
  <c r="E4244"/>
  <c r="F4244" s="1"/>
  <c r="E4245"/>
  <c r="E4246"/>
  <c r="E4247"/>
  <c r="E4248"/>
  <c r="F4248" s="1"/>
  <c r="E4249"/>
  <c r="E4250"/>
  <c r="E4251"/>
  <c r="E4252"/>
  <c r="F4252" s="1"/>
  <c r="E4253"/>
  <c r="E4254"/>
  <c r="E4255"/>
  <c r="E4256"/>
  <c r="F4256" s="1"/>
  <c r="E4257"/>
  <c r="E4258"/>
  <c r="E4259"/>
  <c r="E4260"/>
  <c r="F4260" s="1"/>
  <c r="E4261"/>
  <c r="E4262"/>
  <c r="E4263"/>
  <c r="E4264"/>
  <c r="F4264" s="1"/>
  <c r="E4265"/>
  <c r="E4266"/>
  <c r="E4267"/>
  <c r="E4268"/>
  <c r="F4268" s="1"/>
  <c r="E4269"/>
  <c r="E4270"/>
  <c r="E4271"/>
  <c r="E4272"/>
  <c r="F4272" s="1"/>
  <c r="E4273"/>
  <c r="E4274"/>
  <c r="E4275"/>
  <c r="E4276"/>
  <c r="F4276" s="1"/>
  <c r="E4277"/>
  <c r="E4278"/>
  <c r="E4279"/>
  <c r="E4280"/>
  <c r="F4280" s="1"/>
  <c r="E4281"/>
  <c r="E4282"/>
  <c r="E4283"/>
  <c r="E4284"/>
  <c r="F4284" s="1"/>
  <c r="E4285"/>
  <c r="E4286"/>
  <c r="E4287"/>
  <c r="E4288"/>
  <c r="F4288" s="1"/>
  <c r="E4289"/>
  <c r="E4290"/>
  <c r="E4291"/>
  <c r="E4292"/>
  <c r="F4292" s="1"/>
  <c r="E4293"/>
  <c r="E4294"/>
  <c r="E4295"/>
  <c r="E4296"/>
  <c r="F4296" s="1"/>
  <c r="E4297"/>
  <c r="E4298"/>
  <c r="E4299"/>
  <c r="E4300"/>
  <c r="F4300" s="1"/>
  <c r="E4301"/>
  <c r="E4302"/>
  <c r="E4303"/>
  <c r="E4304"/>
  <c r="F4304" s="1"/>
  <c r="E4305"/>
  <c r="E4306"/>
  <c r="E4307"/>
  <c r="E4308"/>
  <c r="F4308" s="1"/>
  <c r="E4309"/>
  <c r="E4310"/>
  <c r="E4311"/>
  <c r="E4312"/>
  <c r="F4312" s="1"/>
  <c r="E4313"/>
  <c r="E4314"/>
  <c r="E4315"/>
  <c r="E4316"/>
  <c r="F4316" s="1"/>
  <c r="E4317"/>
  <c r="E4318"/>
  <c r="E4319"/>
  <c r="E4320"/>
  <c r="F4320" s="1"/>
  <c r="E4321"/>
  <c r="E4322"/>
  <c r="E4323"/>
  <c r="E4324"/>
  <c r="F4324" s="1"/>
  <c r="E4325"/>
  <c r="E4326"/>
  <c r="E4327"/>
  <c r="E4328"/>
  <c r="F4328" s="1"/>
  <c r="E4329"/>
  <c r="E4330"/>
  <c r="E4331"/>
  <c r="E4332"/>
  <c r="F4332" s="1"/>
  <c r="E4333"/>
  <c r="E4334"/>
  <c r="E4335"/>
  <c r="E4336"/>
  <c r="F4336" s="1"/>
  <c r="E4337"/>
  <c r="E4338"/>
  <c r="E4339"/>
  <c r="E4340"/>
  <c r="F4340" s="1"/>
  <c r="E4341"/>
  <c r="E4342"/>
  <c r="E4343"/>
  <c r="E4344"/>
  <c r="F4344" s="1"/>
  <c r="E4345"/>
  <c r="E4346"/>
  <c r="E4347"/>
  <c r="E4348"/>
  <c r="F4348" s="1"/>
  <c r="E4349"/>
  <c r="E4350"/>
  <c r="E4351"/>
  <c r="E4352"/>
  <c r="F4352" s="1"/>
  <c r="E4353"/>
  <c r="E4354"/>
  <c r="E4355"/>
  <c r="E4356"/>
  <c r="F4356" s="1"/>
  <c r="E4357"/>
  <c r="E4358"/>
  <c r="E4359"/>
  <c r="E4360"/>
  <c r="F4360" s="1"/>
  <c r="E4361"/>
  <c r="E4362"/>
  <c r="E4363"/>
  <c r="E4364"/>
  <c r="F4364" s="1"/>
  <c r="E4365"/>
  <c r="E4366"/>
  <c r="E4367"/>
  <c r="E4368"/>
  <c r="F4368" s="1"/>
  <c r="E4369"/>
  <c r="E4370"/>
  <c r="E4371"/>
  <c r="E4372"/>
  <c r="F4372" s="1"/>
  <c r="E4373"/>
  <c r="E4374"/>
  <c r="E4375"/>
  <c r="E4376"/>
  <c r="F4376" s="1"/>
  <c r="E4377"/>
  <c r="E4378"/>
  <c r="E4379"/>
  <c r="E4380"/>
  <c r="F4380" s="1"/>
  <c r="E4381"/>
  <c r="E4382"/>
  <c r="E4383"/>
  <c r="E4384"/>
  <c r="F4384" s="1"/>
  <c r="E4385"/>
  <c r="E4386"/>
  <c r="E4387"/>
  <c r="E4388"/>
  <c r="F4388" s="1"/>
  <c r="E4389"/>
  <c r="E4390"/>
  <c r="E4391"/>
  <c r="E4392"/>
  <c r="F4392" s="1"/>
  <c r="E4393"/>
  <c r="E4394"/>
  <c r="E4395"/>
  <c r="E4396"/>
  <c r="F4396" s="1"/>
  <c r="E4397"/>
  <c r="E4398"/>
  <c r="E4399"/>
  <c r="E4400"/>
  <c r="F4400" s="1"/>
  <c r="E4401"/>
  <c r="E4402"/>
  <c r="E4403"/>
  <c r="E4404"/>
  <c r="F4404" s="1"/>
  <c r="E4405"/>
  <c r="E4406"/>
  <c r="E4407"/>
  <c r="E4408"/>
  <c r="F4408" s="1"/>
  <c r="E4409"/>
  <c r="E4410"/>
  <c r="E4411"/>
  <c r="E4412"/>
  <c r="F4412" s="1"/>
  <c r="E4413"/>
  <c r="E4414"/>
  <c r="E4415"/>
  <c r="E4416"/>
  <c r="F4416" s="1"/>
  <c r="E4417"/>
  <c r="E4418"/>
  <c r="E4419"/>
  <c r="E4420"/>
  <c r="F4420" s="1"/>
  <c r="E4421"/>
  <c r="E4422"/>
  <c r="E4423"/>
  <c r="E4424"/>
  <c r="F4424" s="1"/>
  <c r="E4425"/>
  <c r="E4426"/>
  <c r="E4427"/>
  <c r="E4428"/>
  <c r="F4428" s="1"/>
  <c r="E4429"/>
  <c r="E4430"/>
  <c r="E4431"/>
  <c r="E4432"/>
  <c r="F4432" s="1"/>
  <c r="E4433"/>
  <c r="E4434"/>
  <c r="E4435"/>
  <c r="E4436"/>
  <c r="F4436" s="1"/>
  <c r="E4437"/>
  <c r="E4438"/>
  <c r="E4439"/>
  <c r="E4440"/>
  <c r="F4440" s="1"/>
  <c r="E4441"/>
  <c r="E4442"/>
  <c r="E4443"/>
  <c r="E4444"/>
  <c r="F4444" s="1"/>
  <c r="E4445"/>
  <c r="E4446"/>
  <c r="E4447"/>
  <c r="E4448"/>
  <c r="F4448" s="1"/>
  <c r="E4449"/>
  <c r="E4450"/>
  <c r="E4451"/>
  <c r="E4452"/>
  <c r="F4452" s="1"/>
  <c r="E4453"/>
  <c r="E4454"/>
  <c r="E4455"/>
  <c r="E4456"/>
  <c r="F4456" s="1"/>
  <c r="E4457"/>
  <c r="E4458"/>
  <c r="E4459"/>
  <c r="E4460"/>
  <c r="F4460" s="1"/>
  <c r="E4461"/>
  <c r="E4462"/>
  <c r="E4463"/>
  <c r="E4464"/>
  <c r="F4464" s="1"/>
  <c r="E4465"/>
  <c r="E4466"/>
  <c r="E4467"/>
  <c r="E4468"/>
  <c r="F4468" s="1"/>
  <c r="E4469"/>
  <c r="E4470"/>
  <c r="E4471"/>
  <c r="E4472"/>
  <c r="F4472" s="1"/>
  <c r="E4473"/>
  <c r="E4474"/>
  <c r="E4475"/>
  <c r="E4476"/>
  <c r="F4476" s="1"/>
  <c r="E4477"/>
  <c r="E4478"/>
  <c r="E4479"/>
  <c r="E4480"/>
  <c r="F4480" s="1"/>
  <c r="E4481"/>
  <c r="E4482"/>
  <c r="E4483"/>
  <c r="E4484"/>
  <c r="F4484" s="1"/>
  <c r="E4485"/>
  <c r="E4486"/>
  <c r="E4487"/>
  <c r="E4488"/>
  <c r="F4488" s="1"/>
  <c r="E4489"/>
  <c r="E4490"/>
  <c r="E4491"/>
  <c r="E4492"/>
  <c r="F4492" s="1"/>
  <c r="E4493"/>
  <c r="E4494"/>
  <c r="E4495"/>
  <c r="E4496"/>
  <c r="F4496" s="1"/>
  <c r="E4497"/>
  <c r="E4498"/>
  <c r="E4499"/>
  <c r="E4500"/>
  <c r="F4500" s="1"/>
  <c r="E4501"/>
  <c r="E4502"/>
  <c r="E4503"/>
  <c r="E4504"/>
  <c r="F4504" s="1"/>
  <c r="E4505"/>
  <c r="E4506"/>
  <c r="E4507"/>
  <c r="E4508"/>
  <c r="F4508" s="1"/>
  <c r="E4509"/>
  <c r="E4510"/>
  <c r="E4511"/>
  <c r="E4512"/>
  <c r="F4512" s="1"/>
  <c r="E4513"/>
  <c r="E4514"/>
  <c r="E4515"/>
  <c r="E4516"/>
  <c r="F4516" s="1"/>
  <c r="E4517"/>
  <c r="E4518"/>
  <c r="E4519"/>
  <c r="E4520"/>
  <c r="F4520" s="1"/>
  <c r="E4521"/>
  <c r="E4522"/>
  <c r="E4523"/>
  <c r="E4524"/>
  <c r="F4524" s="1"/>
  <c r="E4525"/>
  <c r="E4526"/>
  <c r="E4527"/>
  <c r="E4528"/>
  <c r="F4528" s="1"/>
  <c r="E4529"/>
  <c r="E4530"/>
  <c r="E4531"/>
  <c r="E4532"/>
  <c r="F4532" s="1"/>
  <c r="E4533"/>
  <c r="E4534"/>
  <c r="E4535"/>
  <c r="E4536"/>
  <c r="F4536" s="1"/>
  <c r="E4537"/>
  <c r="E4538"/>
  <c r="E4539"/>
  <c r="E4540"/>
  <c r="F4540" s="1"/>
  <c r="E4541"/>
  <c r="E4542"/>
  <c r="E4543"/>
  <c r="E4544"/>
  <c r="F4544" s="1"/>
  <c r="E4545"/>
  <c r="E4546"/>
  <c r="E4547"/>
  <c r="E4548"/>
  <c r="F4548" s="1"/>
  <c r="E4549"/>
  <c r="E4550"/>
  <c r="E4551"/>
  <c r="E4552"/>
  <c r="F4552" s="1"/>
  <c r="E4553"/>
  <c r="E4554"/>
  <c r="E4555"/>
  <c r="E4556"/>
  <c r="F4556" s="1"/>
  <c r="E4557"/>
  <c r="E4558"/>
  <c r="E4559"/>
  <c r="E4560"/>
  <c r="F4560" s="1"/>
  <c r="E4561"/>
  <c r="E4562"/>
  <c r="E4563"/>
  <c r="E4564"/>
  <c r="F4564" s="1"/>
  <c r="E4565"/>
  <c r="E4566"/>
  <c r="E4567"/>
  <c r="E4568"/>
  <c r="F4568" s="1"/>
  <c r="E4569"/>
  <c r="E4570"/>
  <c r="E4571"/>
  <c r="E4572"/>
  <c r="F4572" s="1"/>
  <c r="E4573"/>
  <c r="E4574"/>
  <c r="E4575"/>
  <c r="E4576"/>
  <c r="F4576" s="1"/>
  <c r="E4577"/>
  <c r="E4578"/>
  <c r="E4579"/>
  <c r="E4580"/>
  <c r="F4580" s="1"/>
  <c r="E4581"/>
  <c r="E4582"/>
  <c r="E4583"/>
  <c r="E4584"/>
  <c r="F4584" s="1"/>
  <c r="E4585"/>
  <c r="E4586"/>
  <c r="E4587"/>
  <c r="E4588"/>
  <c r="F4588" s="1"/>
  <c r="E4589"/>
  <c r="E4590"/>
  <c r="E4591"/>
  <c r="E4592"/>
  <c r="F4592" s="1"/>
  <c r="E4593"/>
  <c r="E4594"/>
  <c r="E4595"/>
  <c r="E4596"/>
  <c r="F4596" s="1"/>
  <c r="E4597"/>
  <c r="E4598"/>
  <c r="E4599"/>
  <c r="E4600"/>
  <c r="F4600" s="1"/>
  <c r="E4601"/>
  <c r="E4602"/>
  <c r="E4603"/>
  <c r="E4604"/>
  <c r="F4604" s="1"/>
  <c r="E4605"/>
  <c r="E4606"/>
  <c r="E4607"/>
  <c r="E4608"/>
  <c r="F4608" s="1"/>
  <c r="E4609"/>
  <c r="E4610"/>
  <c r="E4611"/>
  <c r="E4612"/>
  <c r="F4612" s="1"/>
  <c r="E4613"/>
  <c r="E4614"/>
  <c r="E4615"/>
  <c r="E4616"/>
  <c r="F4616" s="1"/>
  <c r="E4617"/>
  <c r="E4618"/>
  <c r="E4619"/>
  <c r="E4620"/>
  <c r="F4620" s="1"/>
  <c r="E4621"/>
  <c r="E4622"/>
  <c r="E4623"/>
  <c r="E4624"/>
  <c r="F4624" s="1"/>
  <c r="E4625"/>
  <c r="E4626"/>
  <c r="E4627"/>
  <c r="E4628"/>
  <c r="F4628" s="1"/>
  <c r="E4629"/>
  <c r="E4630"/>
  <c r="E4631"/>
  <c r="E4632"/>
  <c r="F4632" s="1"/>
  <c r="E4633"/>
  <c r="E4634"/>
  <c r="E4635"/>
  <c r="E4636"/>
  <c r="F4636" s="1"/>
  <c r="E4637"/>
  <c r="E4638"/>
  <c r="E4639"/>
  <c r="E4640"/>
  <c r="F4640" s="1"/>
  <c r="E4641"/>
  <c r="E4642"/>
  <c r="E4643"/>
  <c r="E4644"/>
  <c r="F4644" s="1"/>
  <c r="E4645"/>
  <c r="E4646"/>
  <c r="E4647"/>
  <c r="E4648"/>
  <c r="F4648" s="1"/>
  <c r="E4649"/>
  <c r="E4650"/>
  <c r="E4651"/>
  <c r="E4652"/>
  <c r="F4652" s="1"/>
  <c r="E4653"/>
  <c r="E4654"/>
  <c r="E4655"/>
  <c r="E4656"/>
  <c r="F4656" s="1"/>
  <c r="E4657"/>
  <c r="E4658"/>
  <c r="E4659"/>
  <c r="E4660"/>
  <c r="F4660" s="1"/>
  <c r="E4661"/>
  <c r="E4662"/>
  <c r="E4663"/>
  <c r="E4664"/>
  <c r="F4664" s="1"/>
  <c r="E4665"/>
  <c r="E4666"/>
  <c r="E4667"/>
  <c r="E4668"/>
  <c r="F4668" s="1"/>
  <c r="E4669"/>
  <c r="E4670"/>
  <c r="E4671"/>
  <c r="E4672"/>
  <c r="F4672" s="1"/>
  <c r="E4673"/>
  <c r="E4674"/>
  <c r="E4675"/>
  <c r="E4676"/>
  <c r="F4676" s="1"/>
  <c r="E4677"/>
  <c r="E4678"/>
  <c r="E4679"/>
  <c r="E4680"/>
  <c r="F4680" s="1"/>
  <c r="E4681"/>
  <c r="E4682"/>
  <c r="E4683"/>
  <c r="E4684"/>
  <c r="F4684" s="1"/>
  <c r="E4685"/>
  <c r="E4686"/>
  <c r="E4687"/>
  <c r="E4688"/>
  <c r="F4688" s="1"/>
  <c r="E4689"/>
  <c r="E4690"/>
  <c r="E4691"/>
  <c r="E4692"/>
  <c r="F4692" s="1"/>
  <c r="E4693"/>
  <c r="E4694"/>
  <c r="E4695"/>
  <c r="E4696"/>
  <c r="F4696" s="1"/>
  <c r="E4697"/>
  <c r="E4698"/>
  <c r="E4699"/>
  <c r="E4700"/>
  <c r="F4700" s="1"/>
  <c r="E4701"/>
  <c r="E4702"/>
  <c r="E4703"/>
  <c r="E4704"/>
  <c r="F4704" s="1"/>
  <c r="E4705"/>
  <c r="E4706"/>
  <c r="E4707"/>
  <c r="E4708"/>
  <c r="F4708" s="1"/>
  <c r="E4709"/>
  <c r="E4710"/>
  <c r="E4711"/>
  <c r="E4712"/>
  <c r="F4712" s="1"/>
  <c r="E4713"/>
  <c r="E4714"/>
  <c r="E4715"/>
  <c r="E4716"/>
  <c r="F4716" s="1"/>
  <c r="E4717"/>
  <c r="E4718"/>
  <c r="E4719"/>
  <c r="E4720"/>
  <c r="F4720" s="1"/>
  <c r="E4721"/>
  <c r="E4722"/>
  <c r="E4723"/>
  <c r="E4724"/>
  <c r="F4724" s="1"/>
  <c r="E4725"/>
  <c r="E4726"/>
  <c r="E4727"/>
  <c r="E4728"/>
  <c r="F4728" s="1"/>
  <c r="E4729"/>
  <c r="E4730"/>
  <c r="E4731"/>
  <c r="E4732"/>
  <c r="F4732" s="1"/>
  <c r="E4733"/>
  <c r="E4734"/>
  <c r="E4735"/>
  <c r="E4736"/>
  <c r="F4736" s="1"/>
  <c r="E4737"/>
  <c r="E4738"/>
  <c r="E4739"/>
  <c r="E4740"/>
  <c r="F4740" s="1"/>
  <c r="E4741"/>
  <c r="E4742"/>
  <c r="E4743"/>
  <c r="E4744"/>
  <c r="F4744" s="1"/>
  <c r="E4745"/>
  <c r="E4746"/>
  <c r="E4747"/>
  <c r="E4748"/>
  <c r="F4748" s="1"/>
  <c r="E4749"/>
  <c r="E4750"/>
  <c r="E4751"/>
  <c r="E4752"/>
  <c r="F4752" s="1"/>
  <c r="E4753"/>
  <c r="E4754"/>
  <c r="E4755"/>
  <c r="E4756"/>
  <c r="F4756" s="1"/>
  <c r="E4757"/>
  <c r="E4758"/>
  <c r="E4759"/>
  <c r="E4760"/>
  <c r="F4760" s="1"/>
  <c r="E4761"/>
  <c r="E4762"/>
  <c r="E4763"/>
  <c r="E4764"/>
  <c r="F4764" s="1"/>
  <c r="E4765"/>
  <c r="E4766"/>
  <c r="E4767"/>
  <c r="E4768"/>
  <c r="F4768" s="1"/>
  <c r="E4769"/>
  <c r="E4770"/>
  <c r="E4771"/>
  <c r="E4772"/>
  <c r="F4772" s="1"/>
  <c r="E4773"/>
  <c r="E4774"/>
  <c r="E4775"/>
  <c r="E4776"/>
  <c r="F4776" s="1"/>
  <c r="E4777"/>
  <c r="E4778"/>
  <c r="E4779"/>
  <c r="E4780"/>
  <c r="F4780" s="1"/>
  <c r="E4781"/>
  <c r="E4782"/>
  <c r="E4783"/>
  <c r="E4784"/>
  <c r="F4784" s="1"/>
  <c r="E4785"/>
  <c r="E4786"/>
  <c r="E4787"/>
  <c r="E4788"/>
  <c r="F4788" s="1"/>
  <c r="E4789"/>
  <c r="E4790"/>
  <c r="E4791"/>
  <c r="E4792"/>
  <c r="F4792" s="1"/>
  <c r="E4793"/>
  <c r="E4794"/>
  <c r="E4795"/>
  <c r="E4796"/>
  <c r="F4796" s="1"/>
  <c r="E4797"/>
  <c r="E4798"/>
  <c r="E4799"/>
  <c r="E4800"/>
  <c r="F4800" s="1"/>
  <c r="E4801"/>
  <c r="E4802"/>
  <c r="E4803"/>
  <c r="E4804"/>
  <c r="F4804" s="1"/>
  <c r="E4805"/>
  <c r="E4806"/>
  <c r="E4807"/>
  <c r="E4808"/>
  <c r="F4808" s="1"/>
  <c r="E4809"/>
  <c r="E4810"/>
  <c r="E4811"/>
  <c r="E4812"/>
  <c r="F4812" s="1"/>
  <c r="E4813"/>
  <c r="E4814"/>
  <c r="E4815"/>
  <c r="E4816"/>
  <c r="F4816" s="1"/>
  <c r="E4817"/>
  <c r="E4818"/>
  <c r="E4819"/>
  <c r="E4820"/>
  <c r="F4820" s="1"/>
  <c r="E4821"/>
  <c r="E4822"/>
  <c r="E4823"/>
  <c r="E4824"/>
  <c r="F4824" s="1"/>
  <c r="E4825"/>
  <c r="E4826"/>
  <c r="E4827"/>
  <c r="E4828"/>
  <c r="F4828" s="1"/>
  <c r="E4829"/>
  <c r="E4830"/>
  <c r="E4831"/>
  <c r="E4832"/>
  <c r="F4832" s="1"/>
  <c r="E4833"/>
  <c r="E4834"/>
  <c r="E4835"/>
  <c r="E4836"/>
  <c r="F4836" s="1"/>
  <c r="E4837"/>
  <c r="E4838"/>
  <c r="E4839"/>
  <c r="E4840"/>
  <c r="F4840" s="1"/>
  <c r="E4841"/>
  <c r="E4842"/>
  <c r="E4843"/>
  <c r="E4844"/>
  <c r="F4844" s="1"/>
  <c r="E4845"/>
  <c r="E4846"/>
  <c r="E4847"/>
  <c r="E4848"/>
  <c r="F4848" s="1"/>
  <c r="E4849"/>
  <c r="E4850"/>
  <c r="E4851"/>
  <c r="E4852"/>
  <c r="F4852" s="1"/>
  <c r="E4853"/>
  <c r="E4854"/>
  <c r="E4855"/>
  <c r="E4856"/>
  <c r="F4856" s="1"/>
  <c r="E4857"/>
  <c r="E4858"/>
  <c r="E4859"/>
  <c r="E4860"/>
  <c r="F4860" s="1"/>
  <c r="E4861"/>
  <c r="E4862"/>
  <c r="E4863"/>
  <c r="E4864"/>
  <c r="F4864" s="1"/>
  <c r="E4865"/>
  <c r="E4866"/>
  <c r="E4867"/>
  <c r="E4868"/>
  <c r="E4869"/>
  <c r="E4870"/>
  <c r="E4871"/>
  <c r="E4872"/>
  <c r="F4872" s="1"/>
  <c r="E4873"/>
  <c r="E4874"/>
  <c r="E4875"/>
  <c r="E4876"/>
  <c r="F4876" s="1"/>
  <c r="E4877"/>
  <c r="E4878"/>
  <c r="E4879"/>
  <c r="E4880"/>
  <c r="F4880" s="1"/>
  <c r="E4881"/>
  <c r="E4882"/>
  <c r="E4883"/>
  <c r="E4884"/>
  <c r="E4885"/>
  <c r="E4886"/>
  <c r="E4887"/>
  <c r="E4888"/>
  <c r="F4888" s="1"/>
  <c r="E4889"/>
  <c r="E4890"/>
  <c r="E4891"/>
  <c r="E4892"/>
  <c r="F4892" s="1"/>
  <c r="E4893"/>
  <c r="E4894"/>
  <c r="E4895"/>
  <c r="E4896"/>
  <c r="F4896" s="1"/>
  <c r="E4897"/>
  <c r="E4898"/>
  <c r="E4899"/>
  <c r="E4900"/>
  <c r="E4901"/>
  <c r="E4902"/>
  <c r="E4903"/>
  <c r="E4904"/>
  <c r="F4904" s="1"/>
  <c r="E4905"/>
  <c r="E4906"/>
  <c r="E4907"/>
  <c r="E4908"/>
  <c r="F4908" s="1"/>
  <c r="E4909"/>
  <c r="E4910"/>
  <c r="E4911"/>
  <c r="E4912"/>
  <c r="E4913"/>
  <c r="E4914"/>
  <c r="E4915"/>
  <c r="E4916"/>
  <c r="F4916" s="1"/>
  <c r="E4917"/>
  <c r="E4918"/>
  <c r="E4919"/>
  <c r="E4920"/>
  <c r="E4921"/>
  <c r="E4922"/>
  <c r="E4923"/>
  <c r="E4924"/>
  <c r="F4924" s="1"/>
  <c r="E4925"/>
  <c r="E4926"/>
  <c r="E4927"/>
  <c r="E4928"/>
  <c r="E4929"/>
  <c r="E4930"/>
  <c r="E4931"/>
  <c r="E4932"/>
  <c r="F4932" s="1"/>
  <c r="E4933"/>
  <c r="E4934"/>
  <c r="E4935"/>
  <c r="E4936"/>
  <c r="E4937"/>
  <c r="E4938"/>
  <c r="E4939"/>
  <c r="E4940"/>
  <c r="F4940" s="1"/>
  <c r="E4941"/>
  <c r="E4942"/>
  <c r="E4943"/>
  <c r="E4944"/>
  <c r="E4945"/>
  <c r="E4946"/>
  <c r="E4947"/>
  <c r="E4948"/>
  <c r="F4948" s="1"/>
  <c r="E4949"/>
  <c r="E4950"/>
  <c r="E4951"/>
  <c r="E4952"/>
  <c r="E4953"/>
  <c r="E4954"/>
  <c r="E4955"/>
  <c r="E4956"/>
  <c r="F4956" s="1"/>
  <c r="E4957"/>
  <c r="E4958"/>
  <c r="E4959"/>
  <c r="E4960"/>
  <c r="E4961"/>
  <c r="E4962"/>
  <c r="E4963"/>
  <c r="E4964"/>
  <c r="F4964" s="1"/>
  <c r="E4965"/>
  <c r="E4966"/>
  <c r="E4967"/>
  <c r="E4968"/>
  <c r="E4969"/>
  <c r="E4970"/>
  <c r="E4971"/>
  <c r="E4972"/>
  <c r="F4972" s="1"/>
  <c r="E4973"/>
  <c r="E4974"/>
  <c r="E4975"/>
  <c r="E4976"/>
  <c r="E4977"/>
  <c r="E4978"/>
  <c r="E4979"/>
  <c r="E4980"/>
  <c r="F4980" s="1"/>
  <c r="E4981"/>
  <c r="E4982"/>
  <c r="E4983"/>
  <c r="E4984"/>
  <c r="E4985"/>
  <c r="E4986"/>
  <c r="E4987"/>
  <c r="E4988"/>
  <c r="F4988" s="1"/>
  <c r="E4989"/>
  <c r="E4990"/>
  <c r="E4991"/>
  <c r="E4992"/>
  <c r="E4993"/>
  <c r="E4994"/>
  <c r="E4995"/>
  <c r="E4996"/>
  <c r="F4996" s="1"/>
  <c r="E4997"/>
  <c r="E4998"/>
  <c r="E4999"/>
  <c r="E5000"/>
  <c r="E5001"/>
  <c r="E5002"/>
  <c r="E5003"/>
  <c r="E5004"/>
  <c r="E5005"/>
  <c r="E5006"/>
  <c r="E5007"/>
  <c r="E5008"/>
  <c r="F5008" s="1"/>
  <c r="E5009"/>
  <c r="E5010"/>
  <c r="E5011"/>
  <c r="E5012"/>
  <c r="E5013"/>
  <c r="E5014"/>
  <c r="E5015"/>
  <c r="E5016"/>
  <c r="F5016" s="1"/>
  <c r="E5017"/>
  <c r="E5018"/>
  <c r="E5019"/>
  <c r="E5020"/>
  <c r="F5020" s="1"/>
  <c r="E5021"/>
  <c r="E5022"/>
  <c r="E5023"/>
  <c r="E5024"/>
  <c r="F5024" s="1"/>
  <c r="E5025"/>
  <c r="E5026"/>
  <c r="E5027"/>
  <c r="E5028"/>
  <c r="F5028" s="1"/>
  <c r="E5029"/>
  <c r="E5030"/>
  <c r="E5031"/>
  <c r="E5032"/>
  <c r="E5033"/>
  <c r="E5034"/>
  <c r="E5035"/>
  <c r="E5036"/>
  <c r="F5036" s="1"/>
  <c r="E5037"/>
  <c r="E5038"/>
  <c r="E5039"/>
  <c r="E5040"/>
  <c r="F5040" s="1"/>
  <c r="E5041"/>
  <c r="E5042"/>
  <c r="E5043"/>
  <c r="E5044"/>
  <c r="F5044" s="1"/>
  <c r="E5045"/>
  <c r="E5046"/>
  <c r="E5047"/>
  <c r="E5048"/>
  <c r="F5048" s="1"/>
  <c r="E5049"/>
  <c r="E5050"/>
  <c r="E5051"/>
  <c r="E5052"/>
  <c r="F5052" s="1"/>
  <c r="E5053"/>
  <c r="E5054"/>
  <c r="E5055"/>
  <c r="E5056"/>
  <c r="F5056" s="1"/>
  <c r="E5057"/>
  <c r="E5058"/>
  <c r="E5059"/>
  <c r="E5060"/>
  <c r="F5060" s="1"/>
  <c r="E5061"/>
  <c r="E5062"/>
  <c r="E5063"/>
  <c r="E5064"/>
  <c r="F5064" s="1"/>
  <c r="E5065"/>
  <c r="E5066"/>
  <c r="E5067"/>
  <c r="E5068"/>
  <c r="F5068" s="1"/>
  <c r="E5069"/>
  <c r="E5070"/>
  <c r="E5071"/>
  <c r="E5072"/>
  <c r="F5072" s="1"/>
  <c r="E5073"/>
  <c r="E5074"/>
  <c r="E5075"/>
  <c r="E5076"/>
  <c r="F5076" s="1"/>
  <c r="E5077"/>
  <c r="E5078"/>
  <c r="E5079"/>
  <c r="E5080"/>
  <c r="E5081"/>
  <c r="E5082"/>
  <c r="E5083"/>
  <c r="E5084"/>
  <c r="F5084" s="1"/>
  <c r="E5085"/>
  <c r="E5086"/>
  <c r="E5087"/>
  <c r="E5088"/>
  <c r="F5088" s="1"/>
  <c r="E5089"/>
  <c r="E5090"/>
  <c r="E5091"/>
  <c r="E5092"/>
  <c r="F5092" s="1"/>
  <c r="E5093"/>
  <c r="E5094"/>
  <c r="E5095"/>
  <c r="E5096"/>
  <c r="F5096" s="1"/>
  <c r="E5097"/>
  <c r="E5098"/>
  <c r="E5099"/>
  <c r="E5100"/>
  <c r="F5100" s="1"/>
  <c r="E5101"/>
  <c r="E5102"/>
  <c r="E5103"/>
  <c r="E5104"/>
  <c r="F5104" s="1"/>
  <c r="E5105"/>
  <c r="E5106"/>
  <c r="E5107"/>
  <c r="E5108"/>
  <c r="F5108" s="1"/>
  <c r="E5109"/>
  <c r="E5110"/>
  <c r="E5111"/>
  <c r="E5112"/>
  <c r="F5112" s="1"/>
  <c r="E5113"/>
  <c r="E5114"/>
  <c r="E5115"/>
  <c r="E5116"/>
  <c r="F5116" s="1"/>
  <c r="E5117"/>
  <c r="E5118"/>
  <c r="E5119"/>
  <c r="E5120"/>
  <c r="F5120" s="1"/>
  <c r="E5121"/>
  <c r="E5122"/>
  <c r="E5123"/>
  <c r="E5124"/>
  <c r="F5124" s="1"/>
  <c r="E5125"/>
  <c r="E5126"/>
  <c r="E5127"/>
  <c r="E5128"/>
  <c r="F5128" s="1"/>
  <c r="E5129"/>
  <c r="E5130"/>
  <c r="E5131"/>
  <c r="E5132"/>
  <c r="F5132" s="1"/>
  <c r="E5133"/>
  <c r="E5134"/>
  <c r="E5135"/>
  <c r="E5136"/>
  <c r="F5136" s="1"/>
  <c r="E5137"/>
  <c r="E5138"/>
  <c r="E5139"/>
  <c r="E5140"/>
  <c r="F5140" s="1"/>
  <c r="E5141"/>
  <c r="E5142"/>
  <c r="E5143"/>
  <c r="E5144"/>
  <c r="F5144" s="1"/>
  <c r="E5145"/>
  <c r="E5146"/>
  <c r="E5147"/>
  <c r="E5148"/>
  <c r="F5148" s="1"/>
  <c r="E5149"/>
  <c r="E5150"/>
  <c r="E5151"/>
  <c r="E5152"/>
  <c r="F5152" s="1"/>
  <c r="E5153"/>
  <c r="E5154"/>
  <c r="E5155"/>
  <c r="E5156"/>
  <c r="F5156" s="1"/>
  <c r="E5157"/>
  <c r="E5158"/>
  <c r="E5159"/>
  <c r="E5160"/>
  <c r="F5160" s="1"/>
  <c r="E5161"/>
  <c r="E5162"/>
  <c r="E5163"/>
  <c r="E5164"/>
  <c r="F5164" s="1"/>
  <c r="E5165"/>
  <c r="E5166"/>
  <c r="E5167"/>
  <c r="E5168"/>
  <c r="F5168" s="1"/>
  <c r="E5169"/>
  <c r="E5170"/>
  <c r="E5171"/>
  <c r="E5172"/>
  <c r="F5172" s="1"/>
  <c r="E5173"/>
  <c r="E5174"/>
  <c r="E5175"/>
  <c r="E5176"/>
  <c r="F5176" s="1"/>
  <c r="E5177"/>
  <c r="E5178"/>
  <c r="E5179"/>
  <c r="E5180"/>
  <c r="F5180" s="1"/>
  <c r="E5181"/>
  <c r="E5182"/>
  <c r="E5183"/>
  <c r="E5184"/>
  <c r="F5184" s="1"/>
  <c r="E5185"/>
  <c r="E5186"/>
  <c r="E5187"/>
  <c r="E5188"/>
  <c r="F5188" s="1"/>
  <c r="E5189"/>
  <c r="E5190"/>
  <c r="E5191"/>
  <c r="E5192"/>
  <c r="F5192" s="1"/>
  <c r="E5193"/>
  <c r="E5194"/>
  <c r="E5195"/>
  <c r="E5196"/>
  <c r="F5196" s="1"/>
  <c r="E5197"/>
  <c r="E5198"/>
  <c r="E5199"/>
  <c r="E5200"/>
  <c r="F5200" s="1"/>
  <c r="E5201"/>
  <c r="E5202"/>
  <c r="E5203"/>
  <c r="E5204"/>
  <c r="F5204" s="1"/>
  <c r="E5205"/>
  <c r="E5206"/>
  <c r="E5207"/>
  <c r="E5208"/>
  <c r="F5208" s="1"/>
  <c r="E5209"/>
  <c r="E5210"/>
  <c r="E5211"/>
  <c r="E5212"/>
  <c r="F5212" s="1"/>
  <c r="E5213"/>
  <c r="E5214"/>
  <c r="E5215"/>
  <c r="E5216"/>
  <c r="F5216" s="1"/>
  <c r="E5217"/>
  <c r="E5218"/>
  <c r="E5219"/>
  <c r="E5220"/>
  <c r="F5220" s="1"/>
  <c r="E5221"/>
  <c r="E5222"/>
  <c r="E5223"/>
  <c r="E5224"/>
  <c r="F5224" s="1"/>
  <c r="E5225"/>
  <c r="E5226"/>
  <c r="E5227"/>
  <c r="E5228"/>
  <c r="E5229"/>
  <c r="E5230"/>
  <c r="E5231"/>
  <c r="E5232"/>
  <c r="F5232" s="1"/>
  <c r="E5233"/>
  <c r="E5234"/>
  <c r="E5235"/>
  <c r="E5236"/>
  <c r="F5236" s="1"/>
  <c r="E5237"/>
  <c r="E5238"/>
  <c r="E5239"/>
  <c r="E5240"/>
  <c r="F5240" s="1"/>
  <c r="E5241"/>
  <c r="E5242"/>
  <c r="E5243"/>
  <c r="E5244"/>
  <c r="F5244" s="1"/>
  <c r="E5245"/>
  <c r="E5246"/>
  <c r="E5247"/>
  <c r="E5248"/>
  <c r="F5248" s="1"/>
  <c r="E5249"/>
  <c r="E5250"/>
  <c r="E5251"/>
  <c r="E5252"/>
  <c r="F5252" s="1"/>
  <c r="E5253"/>
  <c r="E5254"/>
  <c r="E5255"/>
  <c r="E5256"/>
  <c r="F5256" s="1"/>
  <c r="E5257"/>
  <c r="E5258"/>
  <c r="E5259"/>
  <c r="E5260"/>
  <c r="E5261"/>
  <c r="E5262"/>
  <c r="E5263"/>
  <c r="E5264"/>
  <c r="F5264" s="1"/>
  <c r="E5265"/>
  <c r="E5266"/>
  <c r="E5267"/>
  <c r="E5268"/>
  <c r="F5268" s="1"/>
  <c r="E5269"/>
  <c r="E5270"/>
  <c r="E5271"/>
  <c r="E5272"/>
  <c r="F5272" s="1"/>
  <c r="E5273"/>
  <c r="E5274"/>
  <c r="E5275"/>
  <c r="E5276"/>
  <c r="E5277"/>
  <c r="E5278"/>
  <c r="E5279"/>
  <c r="E5280"/>
  <c r="F5280" s="1"/>
  <c r="E5281"/>
  <c r="E5282"/>
  <c r="E5283"/>
  <c r="E5284"/>
  <c r="F5284" s="1"/>
  <c r="E5285"/>
  <c r="E5286"/>
  <c r="E5287"/>
  <c r="E5288"/>
  <c r="F5288" s="1"/>
  <c r="E5289"/>
  <c r="E5290"/>
  <c r="E5291"/>
  <c r="E5292"/>
  <c r="F5292" s="1"/>
  <c r="E5293"/>
  <c r="E5294"/>
  <c r="E5295"/>
  <c r="E5296"/>
  <c r="E5297"/>
  <c r="E5298"/>
  <c r="E5299"/>
  <c r="E5300"/>
  <c r="F5300" s="1"/>
  <c r="E5301"/>
  <c r="E5302"/>
  <c r="E5303"/>
  <c r="E5304"/>
  <c r="F5304" s="1"/>
  <c r="E5305"/>
  <c r="E5306"/>
  <c r="E5307"/>
  <c r="E5308"/>
  <c r="F5308" s="1"/>
  <c r="E5309"/>
  <c r="E5310"/>
  <c r="E5311"/>
  <c r="E5312"/>
  <c r="F5312" s="1"/>
  <c r="E5313"/>
  <c r="E5314"/>
  <c r="E5315"/>
  <c r="E5316"/>
  <c r="F5316" s="1"/>
  <c r="E5317"/>
  <c r="E5318"/>
  <c r="E5319"/>
  <c r="E5320"/>
  <c r="F5320" s="1"/>
  <c r="E5321"/>
  <c r="E5322"/>
  <c r="E5323"/>
  <c r="E5324"/>
  <c r="F5324" s="1"/>
  <c r="E5325"/>
  <c r="E5326"/>
  <c r="E5327"/>
  <c r="E5328"/>
  <c r="F5328" s="1"/>
  <c r="E5329"/>
  <c r="E5330"/>
  <c r="E5331"/>
  <c r="E5332"/>
  <c r="F5332" s="1"/>
  <c r="E5333"/>
  <c r="E5334"/>
  <c r="E5335"/>
  <c r="E5336"/>
  <c r="F5336" s="1"/>
  <c r="E5337"/>
  <c r="E5338"/>
  <c r="E5339"/>
  <c r="E5340"/>
  <c r="F5340" s="1"/>
  <c r="E5341"/>
  <c r="E5342"/>
  <c r="E5343"/>
  <c r="E5344"/>
  <c r="F5344" s="1"/>
  <c r="E5345"/>
  <c r="E5346"/>
  <c r="E5347"/>
  <c r="E5348"/>
  <c r="F5348" s="1"/>
  <c r="E5349"/>
  <c r="E5350"/>
  <c r="E5351"/>
  <c r="E5352"/>
  <c r="F5352" s="1"/>
  <c r="E5353"/>
  <c r="E5354"/>
  <c r="E5355"/>
  <c r="E5356"/>
  <c r="F5356" s="1"/>
  <c r="E5357"/>
  <c r="E5358"/>
  <c r="E5359"/>
  <c r="E5360"/>
  <c r="F5360" s="1"/>
  <c r="E5361"/>
  <c r="E5362"/>
  <c r="E5363"/>
  <c r="E5364"/>
  <c r="F5364" s="1"/>
  <c r="E5365"/>
  <c r="E5366"/>
  <c r="E5367"/>
  <c r="E5368"/>
  <c r="F5368" s="1"/>
  <c r="E5369"/>
  <c r="E5370"/>
  <c r="E5371"/>
  <c r="E5372"/>
  <c r="F5372" s="1"/>
  <c r="E5373"/>
  <c r="E5374"/>
  <c r="E5375"/>
  <c r="E5376"/>
  <c r="F5376" s="1"/>
  <c r="E5377"/>
  <c r="E5378"/>
  <c r="E5379"/>
  <c r="E5380"/>
  <c r="F5380" s="1"/>
  <c r="E5381"/>
  <c r="E5382"/>
  <c r="E5383"/>
  <c r="E5384"/>
  <c r="F5384" s="1"/>
  <c r="E5385"/>
  <c r="E5386"/>
  <c r="E5387"/>
  <c r="E5388"/>
  <c r="F5388" s="1"/>
  <c r="E5389"/>
  <c r="E5390"/>
  <c r="E5391"/>
  <c r="E5392"/>
  <c r="F5392" s="1"/>
  <c r="E5393"/>
  <c r="E5394"/>
  <c r="E5395"/>
  <c r="E5396"/>
  <c r="F5396" s="1"/>
  <c r="E5397"/>
  <c r="E5398"/>
  <c r="E5399"/>
  <c r="E5400"/>
  <c r="F5400" s="1"/>
  <c r="E5401"/>
  <c r="E5402"/>
  <c r="E5403"/>
  <c r="E5404"/>
  <c r="F5404" s="1"/>
  <c r="E5405"/>
  <c r="E5406"/>
  <c r="E5407"/>
  <c r="E5408"/>
  <c r="F5408" s="1"/>
  <c r="E5409"/>
  <c r="E5410"/>
  <c r="E5411"/>
  <c r="E5412"/>
  <c r="F5412" s="1"/>
  <c r="E5413"/>
  <c r="E5414"/>
  <c r="E5415"/>
  <c r="E5416"/>
  <c r="F5416" s="1"/>
  <c r="E5417"/>
  <c r="E5418"/>
  <c r="E5419"/>
  <c r="E5420"/>
  <c r="F5420" s="1"/>
  <c r="E5421"/>
  <c r="E5422"/>
  <c r="E5423"/>
  <c r="E5424"/>
  <c r="F5424" s="1"/>
  <c r="E5425"/>
  <c r="E5426"/>
  <c r="E5427"/>
  <c r="E5428"/>
  <c r="F5428" s="1"/>
  <c r="E5429"/>
  <c r="E5430"/>
  <c r="E5431"/>
  <c r="E5432"/>
  <c r="F5432" s="1"/>
  <c r="E5433"/>
  <c r="E5434"/>
  <c r="E5435"/>
  <c r="E5436"/>
  <c r="F5436" s="1"/>
  <c r="E5437"/>
  <c r="E5438"/>
  <c r="E5439"/>
  <c r="E5440"/>
  <c r="F5440" s="1"/>
  <c r="E5441"/>
  <c r="E5442"/>
  <c r="E5443"/>
  <c r="E5444"/>
  <c r="F5444" s="1"/>
  <c r="E5445"/>
  <c r="E5446"/>
  <c r="E5447"/>
  <c r="E5448"/>
  <c r="E5449"/>
  <c r="E5450"/>
  <c r="E5451"/>
  <c r="E5452"/>
  <c r="F5452" s="1"/>
  <c r="E5453"/>
  <c r="E5454"/>
  <c r="E5455"/>
  <c r="E5456"/>
  <c r="E5457"/>
  <c r="E5458"/>
  <c r="E5459"/>
  <c r="E5460"/>
  <c r="F5460" s="1"/>
  <c r="E5461"/>
  <c r="E5462"/>
  <c r="E5463"/>
  <c r="E5464"/>
  <c r="F5464" s="1"/>
  <c r="E5465"/>
  <c r="E5466"/>
  <c r="E5467"/>
  <c r="E5468"/>
  <c r="F5468" s="1"/>
  <c r="E5469"/>
  <c r="E5470"/>
  <c r="E5471"/>
  <c r="E5472"/>
  <c r="F5472" s="1"/>
  <c r="E5473"/>
  <c r="E5474"/>
  <c r="E5475"/>
  <c r="E5476"/>
  <c r="F5476" s="1"/>
  <c r="E5477"/>
  <c r="E5478"/>
  <c r="E5479"/>
  <c r="E5480"/>
  <c r="F5480" s="1"/>
  <c r="E5481"/>
  <c r="E5482"/>
  <c r="E5483"/>
  <c r="E5484"/>
  <c r="F5484" s="1"/>
  <c r="E5485"/>
  <c r="E5486"/>
  <c r="E5487"/>
  <c r="E5488"/>
  <c r="F5488" s="1"/>
  <c r="E5489"/>
  <c r="E5490"/>
  <c r="E5491"/>
  <c r="E5492"/>
  <c r="F5492" s="1"/>
  <c r="E5493"/>
  <c r="E5494"/>
  <c r="E5495"/>
  <c r="E5496"/>
  <c r="E5497"/>
  <c r="E5498"/>
  <c r="E5499"/>
  <c r="E5500"/>
  <c r="F5500" s="1"/>
  <c r="E5501"/>
  <c r="E5502"/>
  <c r="E5503"/>
  <c r="E5504"/>
  <c r="F5504" s="1"/>
  <c r="E5505"/>
  <c r="E5506"/>
  <c r="E5507"/>
  <c r="E5508"/>
  <c r="E5509"/>
  <c r="E5510"/>
  <c r="E5511"/>
  <c r="E5512"/>
  <c r="F5512" s="1"/>
  <c r="E5513"/>
  <c r="E5514"/>
  <c r="E5515"/>
  <c r="E5516"/>
  <c r="F5516" s="1"/>
  <c r="E5517"/>
  <c r="E5518"/>
  <c r="E5519"/>
  <c r="E5520"/>
  <c r="F5520" s="1"/>
  <c r="E5521"/>
  <c r="E5522"/>
  <c r="E5523"/>
  <c r="E5524"/>
  <c r="F5524" s="1"/>
  <c r="E5525"/>
  <c r="E5526"/>
  <c r="E5527"/>
  <c r="E5528"/>
  <c r="F5528" s="1"/>
  <c r="E5529"/>
  <c r="E5530"/>
  <c r="E5531"/>
  <c r="E5532"/>
  <c r="F5532" s="1"/>
  <c r="E5533"/>
  <c r="E5534"/>
  <c r="E5535"/>
  <c r="E5536"/>
  <c r="E5537"/>
  <c r="E5538"/>
  <c r="E5539"/>
  <c r="E5540"/>
  <c r="F5540" s="1"/>
  <c r="E5541"/>
  <c r="E5542"/>
  <c r="E5543"/>
  <c r="E5544"/>
  <c r="F5544" s="1"/>
  <c r="E5545"/>
  <c r="E5546"/>
  <c r="E5547"/>
  <c r="E5548"/>
  <c r="F5548" s="1"/>
  <c r="E5549"/>
  <c r="E5550"/>
  <c r="E5551"/>
  <c r="E5552"/>
  <c r="F5552" s="1"/>
  <c r="E5553"/>
  <c r="E5554"/>
  <c r="E5555"/>
  <c r="E5556"/>
  <c r="F5556" s="1"/>
  <c r="E5557"/>
  <c r="E5558"/>
  <c r="E5559"/>
  <c r="E5560"/>
  <c r="F5560" s="1"/>
  <c r="E5561"/>
  <c r="E5562"/>
  <c r="E5563"/>
  <c r="E5564"/>
  <c r="F5564" s="1"/>
  <c r="E5565"/>
  <c r="E5566"/>
  <c r="E5567"/>
  <c r="E5568"/>
  <c r="E5569"/>
  <c r="E5570"/>
  <c r="E5571"/>
  <c r="E5572"/>
  <c r="F5572" s="1"/>
  <c r="E5573"/>
  <c r="E5574"/>
  <c r="E5575"/>
  <c r="E5576"/>
  <c r="F5576" s="1"/>
  <c r="E5577"/>
  <c r="E5578"/>
  <c r="E5579"/>
  <c r="E5580"/>
  <c r="E5581"/>
  <c r="E5582"/>
  <c r="E5583"/>
  <c r="E5584"/>
  <c r="F5584" s="1"/>
  <c r="E5585"/>
  <c r="E5586"/>
  <c r="E5587"/>
  <c r="E5588"/>
  <c r="F5588" s="1"/>
  <c r="E5589"/>
  <c r="E5590"/>
  <c r="E5591"/>
  <c r="E5592"/>
  <c r="F5592" s="1"/>
  <c r="E5593"/>
  <c r="E5594"/>
  <c r="E5595"/>
  <c r="E5596"/>
  <c r="E5597"/>
  <c r="E5598"/>
  <c r="E5599"/>
  <c r="E5600"/>
  <c r="E5601"/>
  <c r="E5602"/>
  <c r="E5603"/>
  <c r="E5604"/>
  <c r="F5604" s="1"/>
  <c r="E5605"/>
  <c r="E5606"/>
  <c r="E5607"/>
  <c r="E5608"/>
  <c r="F5608" s="1"/>
  <c r="E5609"/>
  <c r="E5610"/>
  <c r="E5611"/>
  <c r="E5612"/>
  <c r="F5612" s="1"/>
  <c r="E5613"/>
  <c r="E5614"/>
  <c r="E5615"/>
  <c r="E5616"/>
  <c r="F5616" s="1"/>
  <c r="E5617"/>
  <c r="E5618"/>
  <c r="E5619"/>
  <c r="E5620"/>
  <c r="F5620" s="1"/>
  <c r="E5621"/>
  <c r="E5622"/>
  <c r="E5623"/>
  <c r="E5624"/>
  <c r="F5624" s="1"/>
  <c r="E5625"/>
  <c r="E5626"/>
  <c r="E5627"/>
  <c r="E5628"/>
  <c r="F5628" s="1"/>
  <c r="E5629"/>
  <c r="E5630"/>
  <c r="E5631"/>
  <c r="E5632"/>
  <c r="E5633"/>
  <c r="E5634"/>
  <c r="E5635"/>
  <c r="E5636"/>
  <c r="F5636" s="1"/>
  <c r="E5637"/>
  <c r="E5638"/>
  <c r="E5639"/>
  <c r="E5640"/>
  <c r="F5640" s="1"/>
  <c r="E5641"/>
  <c r="E5642"/>
  <c r="E5643"/>
  <c r="E5644"/>
  <c r="F5644" s="1"/>
  <c r="E5645"/>
  <c r="E5646"/>
  <c r="E5647"/>
  <c r="E5648"/>
  <c r="E5649"/>
  <c r="E5650"/>
  <c r="E5651"/>
  <c r="E5652"/>
  <c r="F5652" s="1"/>
  <c r="E5653"/>
  <c r="E5654"/>
  <c r="E5655"/>
  <c r="E5656"/>
  <c r="F5656" s="1"/>
  <c r="E5657"/>
  <c r="E5658"/>
  <c r="E5659"/>
  <c r="E5660"/>
  <c r="F5660" s="1"/>
  <c r="E5661"/>
  <c r="E5662"/>
  <c r="E5663"/>
  <c r="E5664"/>
  <c r="F5664" s="1"/>
  <c r="E5665"/>
  <c r="E5666"/>
  <c r="E5667"/>
  <c r="E5668"/>
  <c r="F5668" s="1"/>
  <c r="E5669"/>
  <c r="E5670"/>
  <c r="E5671"/>
  <c r="E5672"/>
  <c r="F5672" s="1"/>
  <c r="E5673"/>
  <c r="E5674"/>
  <c r="E5675"/>
  <c r="E5676"/>
  <c r="F5676" s="1"/>
  <c r="E5677"/>
  <c r="E5678"/>
  <c r="E5679"/>
  <c r="E5680"/>
  <c r="F5680" s="1"/>
  <c r="E5681"/>
  <c r="E5682"/>
  <c r="E5683"/>
  <c r="E5684"/>
  <c r="E5685"/>
  <c r="E5686"/>
  <c r="E5687"/>
  <c r="E5688"/>
  <c r="E5689"/>
  <c r="E5690"/>
  <c r="E5691"/>
  <c r="E5692"/>
  <c r="F5692" s="1"/>
  <c r="E5693"/>
  <c r="E5694"/>
  <c r="E5695"/>
  <c r="E5696"/>
  <c r="F5696" s="1"/>
  <c r="E5697"/>
  <c r="E5698"/>
  <c r="E5699"/>
  <c r="E5700"/>
  <c r="F5700" s="1"/>
  <c r="E5701"/>
  <c r="E5702"/>
  <c r="E5703"/>
  <c r="E5704"/>
  <c r="F5704" s="1"/>
  <c r="E5705"/>
  <c r="E5706"/>
  <c r="E5707"/>
  <c r="E5708"/>
  <c r="F5708" s="1"/>
  <c r="E5709"/>
  <c r="E5710"/>
  <c r="E5711"/>
  <c r="E5712"/>
  <c r="F5712" s="1"/>
  <c r="E5713"/>
  <c r="E5714"/>
  <c r="E5715"/>
  <c r="E5716"/>
  <c r="F5716" s="1"/>
  <c r="E5717"/>
  <c r="E5718"/>
  <c r="E5719"/>
  <c r="E5720"/>
  <c r="E5721"/>
  <c r="E5722"/>
  <c r="E5723"/>
  <c r="E5724"/>
  <c r="F5724" s="1"/>
  <c r="E5725"/>
  <c r="E5726"/>
  <c r="E5727"/>
  <c r="E5728"/>
  <c r="F5728" s="1"/>
  <c r="E5729"/>
  <c r="E5730"/>
  <c r="E5731"/>
  <c r="E5732"/>
  <c r="F5732" s="1"/>
  <c r="E5733"/>
  <c r="E5734"/>
  <c r="E5735"/>
  <c r="E5736"/>
  <c r="F5736" s="1"/>
  <c r="E5737"/>
  <c r="E5738"/>
  <c r="E5739"/>
  <c r="E5740"/>
  <c r="F5740" s="1"/>
  <c r="E5741"/>
  <c r="E5742"/>
  <c r="E5743"/>
  <c r="E5744"/>
  <c r="F5744" s="1"/>
  <c r="E5745"/>
  <c r="E5746"/>
  <c r="E5747"/>
  <c r="E5748"/>
  <c r="F5748" s="1"/>
  <c r="E5749"/>
  <c r="E5750"/>
  <c r="E5751"/>
  <c r="E5752"/>
  <c r="F5752" s="1"/>
  <c r="E5753"/>
  <c r="E5754"/>
  <c r="E5755"/>
  <c r="E5756"/>
  <c r="F5756" s="1"/>
  <c r="E5757"/>
  <c r="E5758"/>
  <c r="E5759"/>
  <c r="E5760"/>
  <c r="F5760" s="1"/>
  <c r="E5761"/>
  <c r="E5762"/>
  <c r="E5763"/>
  <c r="E5764"/>
  <c r="F5764" s="1"/>
  <c r="E5765"/>
  <c r="E5766"/>
  <c r="E5767"/>
  <c r="E5768"/>
  <c r="E5769"/>
  <c r="E5770"/>
  <c r="E5771"/>
  <c r="E5772"/>
  <c r="F5772" s="1"/>
  <c r="E5773"/>
  <c r="E5774"/>
  <c r="E5775"/>
  <c r="E5776"/>
  <c r="F5776" s="1"/>
  <c r="E5777"/>
  <c r="E5778"/>
  <c r="E5779"/>
  <c r="E5780"/>
  <c r="F5780" s="1"/>
  <c r="E5781"/>
  <c r="E5782"/>
  <c r="E5783"/>
  <c r="E5784"/>
  <c r="F5784" s="1"/>
  <c r="E5785"/>
  <c r="E5786"/>
  <c r="E5787"/>
  <c r="E5788"/>
  <c r="F5788" s="1"/>
  <c r="E5789"/>
  <c r="E5790"/>
  <c r="E5791"/>
  <c r="E5792"/>
  <c r="F5792" s="1"/>
  <c r="E5793"/>
  <c r="E5794"/>
  <c r="E5795"/>
  <c r="E5796"/>
  <c r="F5796" s="1"/>
  <c r="E5797"/>
  <c r="E5798"/>
  <c r="E5799"/>
  <c r="E5800"/>
  <c r="F5800" s="1"/>
  <c r="E5801"/>
  <c r="E5802"/>
  <c r="E5803"/>
  <c r="E5804"/>
  <c r="F5804" s="1"/>
  <c r="E5805"/>
  <c r="E5806"/>
  <c r="E5807"/>
  <c r="E5808"/>
  <c r="F5808" s="1"/>
  <c r="E5809"/>
  <c r="E5810"/>
  <c r="E5811"/>
  <c r="E5812"/>
  <c r="F5812" s="1"/>
  <c r="E5813"/>
  <c r="E5814"/>
  <c r="E5815"/>
  <c r="E5816"/>
  <c r="E5817"/>
  <c r="E5818"/>
  <c r="E5819"/>
  <c r="E5820"/>
  <c r="E5821"/>
  <c r="E5822"/>
  <c r="E5823"/>
  <c r="E5824"/>
  <c r="F5824" s="1"/>
  <c r="E5825"/>
  <c r="E5826"/>
  <c r="E5827"/>
  <c r="E5828"/>
  <c r="F5828" s="1"/>
  <c r="E5829"/>
  <c r="E5830"/>
  <c r="E5831"/>
  <c r="E5832"/>
  <c r="F5832" s="1"/>
  <c r="E5833"/>
  <c r="E5834"/>
  <c r="E5835"/>
  <c r="E5836"/>
  <c r="F5836" s="1"/>
  <c r="E5837"/>
  <c r="E5838"/>
  <c r="E5839"/>
  <c r="E5840"/>
  <c r="F5840" s="1"/>
  <c r="E5841"/>
  <c r="E5842"/>
  <c r="E5843"/>
  <c r="E5844"/>
  <c r="F5844" s="1"/>
  <c r="E5845"/>
  <c r="E5846"/>
  <c r="E5847"/>
  <c r="E5848"/>
  <c r="E5849"/>
  <c r="E5850"/>
  <c r="E5851"/>
  <c r="E5852"/>
  <c r="E5853"/>
  <c r="E5854"/>
  <c r="E5855"/>
  <c r="E5856"/>
  <c r="F5856" s="1"/>
  <c r="E5857"/>
  <c r="E5858"/>
  <c r="E5859"/>
  <c r="E5860"/>
  <c r="F5860" s="1"/>
  <c r="E5861"/>
  <c r="E5862"/>
  <c r="E5863"/>
  <c r="E5864"/>
  <c r="F5864" s="1"/>
  <c r="E5865"/>
  <c r="E5866"/>
  <c r="E5867"/>
  <c r="E5868"/>
  <c r="F5868" s="1"/>
  <c r="E5869"/>
  <c r="E5870"/>
  <c r="E5871"/>
  <c r="E5872"/>
  <c r="E5873"/>
  <c r="E5874"/>
  <c r="E5875"/>
  <c r="E5876"/>
  <c r="F5876" s="1"/>
  <c r="E5877"/>
  <c r="E5878"/>
  <c r="E5879"/>
  <c r="E5880"/>
  <c r="F5880" s="1"/>
  <c r="E5881"/>
  <c r="E5882"/>
  <c r="E5883"/>
  <c r="E5884"/>
  <c r="F5884" s="1"/>
  <c r="E5885"/>
  <c r="E5886"/>
  <c r="E5887"/>
  <c r="E5888"/>
  <c r="E5889"/>
  <c r="E5890"/>
  <c r="E5891"/>
  <c r="E5892"/>
  <c r="F5892" s="1"/>
  <c r="E5893"/>
  <c r="E5894"/>
  <c r="E5895"/>
  <c r="E5896"/>
  <c r="F5896" s="1"/>
  <c r="E5897"/>
  <c r="E5898"/>
  <c r="E5899"/>
  <c r="E5900"/>
  <c r="F5900" s="1"/>
  <c r="E5901"/>
  <c r="E5902"/>
  <c r="E5903"/>
  <c r="E5904"/>
  <c r="E5905"/>
  <c r="E5906"/>
  <c r="E5907"/>
  <c r="E5908"/>
  <c r="F5908" s="1"/>
  <c r="E5909"/>
  <c r="E5910"/>
  <c r="E5911"/>
  <c r="E5912"/>
  <c r="F5912" s="1"/>
  <c r="E5913"/>
  <c r="E5914"/>
  <c r="E5915"/>
  <c r="E5916"/>
  <c r="F5916" s="1"/>
  <c r="E5917"/>
  <c r="E5918"/>
  <c r="E5919"/>
  <c r="E5920"/>
  <c r="E5921"/>
  <c r="E5922"/>
  <c r="E5923"/>
  <c r="E5924"/>
  <c r="F5924" s="1"/>
  <c r="E5925"/>
  <c r="E5926"/>
  <c r="E5927"/>
  <c r="E5928"/>
  <c r="F5928" s="1"/>
  <c r="E5929"/>
  <c r="E5930"/>
  <c r="E5931"/>
  <c r="E5932"/>
  <c r="F5932" s="1"/>
  <c r="E5933"/>
  <c r="E5934"/>
  <c r="E5935"/>
  <c r="E5936"/>
  <c r="E5937"/>
  <c r="E5938"/>
  <c r="E5939"/>
  <c r="E5940"/>
  <c r="F5940" s="1"/>
  <c r="E5941"/>
  <c r="E5942"/>
  <c r="E5943"/>
  <c r="E5944"/>
  <c r="F5944" s="1"/>
  <c r="E5945"/>
  <c r="E5946"/>
  <c r="E5947"/>
  <c r="E5948"/>
  <c r="F5948" s="1"/>
  <c r="E5949"/>
  <c r="E5950"/>
  <c r="E5951"/>
  <c r="E5952"/>
  <c r="E5953"/>
  <c r="E5954"/>
  <c r="E5955"/>
  <c r="E5956"/>
  <c r="F5956" s="1"/>
  <c r="E5957"/>
  <c r="E5958"/>
  <c r="E5959"/>
  <c r="E5960"/>
  <c r="F5960" s="1"/>
  <c r="E5961"/>
  <c r="E5962"/>
  <c r="E5963"/>
  <c r="E5964"/>
  <c r="F5964" s="1"/>
  <c r="E5965"/>
  <c r="E5966"/>
  <c r="E5967"/>
  <c r="E5968"/>
  <c r="F5968" s="1"/>
  <c r="E5969"/>
  <c r="E5970"/>
  <c r="E5971"/>
  <c r="E5972"/>
  <c r="F5972" s="1"/>
  <c r="E5973"/>
  <c r="E5974"/>
  <c r="E5975"/>
  <c r="E5976"/>
  <c r="F5976" s="1"/>
  <c r="E5977"/>
  <c r="E5978"/>
  <c r="E5979"/>
  <c r="E5980"/>
  <c r="F5980" s="1"/>
  <c r="E5981"/>
  <c r="E5982"/>
  <c r="E5983"/>
  <c r="E5984"/>
  <c r="E5985"/>
  <c r="E5986"/>
  <c r="E5987"/>
  <c r="E5988"/>
  <c r="F5988" s="1"/>
  <c r="E5989"/>
  <c r="E5990"/>
  <c r="E5991"/>
  <c r="E5992"/>
  <c r="F5992" s="1"/>
  <c r="E5993"/>
  <c r="E5994"/>
  <c r="E5995"/>
  <c r="E5996"/>
  <c r="F5996" s="1"/>
  <c r="E5997"/>
  <c r="E5998"/>
  <c r="E5999"/>
  <c r="E6000"/>
  <c r="F6000" s="1"/>
  <c r="E6001"/>
  <c r="E6002"/>
  <c r="E6003"/>
  <c r="E6004"/>
  <c r="F6004" s="1"/>
  <c r="E6005"/>
  <c r="E6006"/>
  <c r="E6007"/>
  <c r="E6008"/>
  <c r="F6008" s="1"/>
  <c r="E6009"/>
  <c r="E6010"/>
  <c r="E6011"/>
  <c r="E6012"/>
  <c r="E6013"/>
  <c r="E6014"/>
  <c r="E6015"/>
  <c r="E6016"/>
  <c r="F6016" s="1"/>
  <c r="E6017"/>
  <c r="E6018"/>
  <c r="E6019"/>
  <c r="E6020"/>
  <c r="E6021"/>
  <c r="E6022"/>
  <c r="E6023"/>
  <c r="E6024"/>
  <c r="F6024" s="1"/>
  <c r="E6025"/>
  <c r="E6026"/>
  <c r="E6027"/>
  <c r="E6028"/>
  <c r="F6028" s="1"/>
  <c r="E6029"/>
  <c r="E6030"/>
  <c r="E6031"/>
  <c r="E6032"/>
  <c r="F6032" s="1"/>
  <c r="E6033"/>
  <c r="E6034"/>
  <c r="E6035"/>
  <c r="E6036"/>
  <c r="F6036" s="1"/>
  <c r="E6037"/>
  <c r="E6038"/>
  <c r="E6039"/>
  <c r="E6040"/>
  <c r="F6040" s="1"/>
  <c r="E6041"/>
  <c r="E6042"/>
  <c r="E6043"/>
  <c r="E6044"/>
  <c r="F6044" s="1"/>
  <c r="E6045"/>
  <c r="E6046"/>
  <c r="E6047"/>
  <c r="E6048"/>
  <c r="F6048" s="1"/>
  <c r="E6049"/>
  <c r="E6050"/>
  <c r="E6051"/>
  <c r="E6052"/>
  <c r="E6053"/>
  <c r="E6054"/>
  <c r="E6055"/>
  <c r="E6056"/>
  <c r="F6056" s="1"/>
  <c r="E6057"/>
  <c r="E6058"/>
  <c r="E6059"/>
  <c r="E6060"/>
  <c r="F6060" s="1"/>
  <c r="E6061"/>
  <c r="E6062"/>
  <c r="E6063"/>
  <c r="E6064"/>
  <c r="F6064" s="1"/>
  <c r="E6065"/>
  <c r="E6066"/>
  <c r="E6067"/>
  <c r="E6068"/>
  <c r="F6068" s="1"/>
  <c r="E6069"/>
  <c r="E6070"/>
  <c r="E6071"/>
  <c r="E6072"/>
  <c r="F6072" s="1"/>
  <c r="E6073"/>
  <c r="E6074"/>
  <c r="E6075"/>
  <c r="E6076"/>
  <c r="F6076" s="1"/>
  <c r="E6077"/>
  <c r="E6078"/>
  <c r="E6079"/>
  <c r="E6080"/>
  <c r="F6080" s="1"/>
  <c r="E6081"/>
  <c r="E6082"/>
  <c r="E6083"/>
  <c r="E6084"/>
  <c r="E6085"/>
  <c r="E6086"/>
  <c r="E6087"/>
  <c r="E6088"/>
  <c r="F6088" s="1"/>
  <c r="E6089"/>
  <c r="E6090"/>
  <c r="E6091"/>
  <c r="E6092"/>
  <c r="F6092" s="1"/>
  <c r="E6093"/>
  <c r="E6094"/>
  <c r="E6095"/>
  <c r="E6096"/>
  <c r="F6096" s="1"/>
  <c r="E6097"/>
  <c r="E6098"/>
  <c r="E6099"/>
  <c r="E6100"/>
  <c r="F6100" s="1"/>
  <c r="E6101"/>
  <c r="E6102"/>
  <c r="E6103"/>
  <c r="E6104"/>
  <c r="F6104" s="1"/>
  <c r="E6105"/>
  <c r="E6106"/>
  <c r="E6107"/>
  <c r="E6108"/>
  <c r="F6108" s="1"/>
  <c r="E6109"/>
  <c r="E6110"/>
  <c r="E6111"/>
  <c r="E6112"/>
  <c r="F6112" s="1"/>
  <c r="E6113"/>
  <c r="E6114"/>
  <c r="E6115"/>
  <c r="E6116"/>
  <c r="E6117"/>
  <c r="E6118"/>
  <c r="E6119"/>
  <c r="E6120"/>
  <c r="F6120" s="1"/>
  <c r="E6121"/>
  <c r="E6122"/>
  <c r="E6123"/>
  <c r="E6124"/>
  <c r="F6124" s="1"/>
  <c r="E6125"/>
  <c r="E6126"/>
  <c r="E6127"/>
  <c r="E6128"/>
  <c r="F6128" s="1"/>
  <c r="E6129"/>
  <c r="E6130"/>
  <c r="E6131"/>
  <c r="E6132"/>
  <c r="F6132" s="1"/>
  <c r="E6133"/>
  <c r="E6134"/>
  <c r="E6135"/>
  <c r="E6136"/>
  <c r="F6136" s="1"/>
  <c r="E6137"/>
  <c r="E6138"/>
  <c r="E6139"/>
  <c r="E6140"/>
  <c r="F6140" s="1"/>
  <c r="E6141"/>
  <c r="E6142"/>
  <c r="E6143"/>
  <c r="E6144"/>
  <c r="F6144" s="1"/>
  <c r="E6145"/>
  <c r="E6146"/>
  <c r="E6147"/>
  <c r="E6148"/>
  <c r="E6149"/>
  <c r="E6150"/>
  <c r="E6151"/>
  <c r="E6152"/>
  <c r="F6152" s="1"/>
  <c r="E6153"/>
  <c r="E6154"/>
  <c r="E6155"/>
  <c r="E6156"/>
  <c r="F6156" s="1"/>
  <c r="E6157"/>
  <c r="E6158"/>
  <c r="E6159"/>
  <c r="E6160"/>
  <c r="F6160" s="1"/>
  <c r="E6161"/>
  <c r="E6162"/>
  <c r="E6163"/>
  <c r="E6164"/>
  <c r="F6164" s="1"/>
  <c r="E6165"/>
  <c r="E6166"/>
  <c r="E6167"/>
  <c r="E6168"/>
  <c r="F6168" s="1"/>
  <c r="E6169"/>
  <c r="E6170"/>
  <c r="E6171"/>
  <c r="E6172"/>
  <c r="F6172" s="1"/>
  <c r="E6173"/>
  <c r="E6174"/>
  <c r="E6175"/>
  <c r="E6176"/>
  <c r="F6176" s="1"/>
  <c r="E6177"/>
  <c r="E6178"/>
  <c r="E6179"/>
  <c r="E6180"/>
  <c r="E6181"/>
  <c r="E6182"/>
  <c r="E6183"/>
  <c r="E6184"/>
  <c r="F6184" s="1"/>
  <c r="E6185"/>
  <c r="E6186"/>
  <c r="E6187"/>
  <c r="E6188"/>
  <c r="F6188" s="1"/>
  <c r="E6189"/>
  <c r="E6190"/>
  <c r="E6191"/>
  <c r="E6192"/>
  <c r="F6192" s="1"/>
  <c r="E6193"/>
  <c r="E6194"/>
  <c r="E6195"/>
  <c r="E6196"/>
  <c r="F6196" s="1"/>
  <c r="E6197"/>
  <c r="E6198"/>
  <c r="E6199"/>
  <c r="E6200"/>
  <c r="F6200" s="1"/>
  <c r="E6201"/>
  <c r="E6202"/>
  <c r="E6203"/>
  <c r="E6204"/>
  <c r="F6204" s="1"/>
  <c r="E6205"/>
  <c r="E6206"/>
  <c r="E6207"/>
  <c r="E6208"/>
  <c r="F6208" s="1"/>
  <c r="E6209"/>
  <c r="E6210"/>
  <c r="E6211"/>
  <c r="E6212"/>
  <c r="E6213"/>
  <c r="E6214"/>
  <c r="E6215"/>
  <c r="E6216"/>
  <c r="F6216" s="1"/>
  <c r="E6217"/>
  <c r="E6218"/>
  <c r="E6219"/>
  <c r="E6220"/>
  <c r="F6220" s="1"/>
  <c r="E6221"/>
  <c r="E6222"/>
  <c r="E6223"/>
  <c r="E6224"/>
  <c r="F6224" s="1"/>
  <c r="E6225"/>
  <c r="E6226"/>
  <c r="E6227"/>
  <c r="E6228"/>
  <c r="F6228" s="1"/>
  <c r="E6229"/>
  <c r="E6230"/>
  <c r="E6231"/>
  <c r="E6232"/>
  <c r="F6232" s="1"/>
  <c r="E6233"/>
  <c r="E6234"/>
  <c r="E6235"/>
  <c r="E6236"/>
  <c r="F6236" s="1"/>
  <c r="E6237"/>
  <c r="E6238"/>
  <c r="E6239"/>
  <c r="E6240"/>
  <c r="F6240" s="1"/>
  <c r="E6241"/>
  <c r="E6242"/>
  <c r="E6243"/>
  <c r="E6244"/>
  <c r="E6245"/>
  <c r="E6246"/>
  <c r="E6247"/>
  <c r="E6248"/>
  <c r="F6248" s="1"/>
  <c r="E6249"/>
  <c r="E6250"/>
  <c r="E6251"/>
  <c r="E6252"/>
  <c r="F6252" s="1"/>
  <c r="E6253"/>
  <c r="E6254"/>
  <c r="E6255"/>
  <c r="E6256"/>
  <c r="F6256" s="1"/>
  <c r="E6257"/>
  <c r="E6258"/>
  <c r="E6259"/>
  <c r="E6260"/>
  <c r="F6260" s="1"/>
  <c r="E6261"/>
  <c r="E6262"/>
  <c r="E6263"/>
  <c r="E6264"/>
  <c r="F6264" s="1"/>
  <c r="E6265"/>
  <c r="E6266"/>
  <c r="E6267"/>
  <c r="E6268"/>
  <c r="F6268" s="1"/>
  <c r="E6269"/>
  <c r="E6270"/>
  <c r="E6271"/>
  <c r="E6272"/>
  <c r="F6272" s="1"/>
  <c r="E6273"/>
  <c r="E6274"/>
  <c r="E6275"/>
  <c r="E6276"/>
  <c r="E6277"/>
  <c r="E6278"/>
  <c r="E6279"/>
  <c r="E6280"/>
  <c r="F6280" s="1"/>
  <c r="E6281"/>
  <c r="E6282"/>
  <c r="E6283"/>
  <c r="E6284"/>
  <c r="F6284" s="1"/>
  <c r="E6285"/>
  <c r="E6286"/>
  <c r="E6287"/>
  <c r="E6288"/>
  <c r="F6288" s="1"/>
  <c r="E6289"/>
  <c r="E6290"/>
  <c r="E6291"/>
  <c r="E6292"/>
  <c r="F6292" s="1"/>
  <c r="E6293"/>
  <c r="E6294"/>
  <c r="E6295"/>
  <c r="E6296"/>
  <c r="F6296" s="1"/>
  <c r="E6297"/>
  <c r="E6298"/>
  <c r="E6299"/>
  <c r="E6300"/>
  <c r="F6300" s="1"/>
  <c r="E6301"/>
  <c r="E6302"/>
  <c r="E6303"/>
  <c r="E6304"/>
  <c r="F6304" s="1"/>
  <c r="E6305"/>
  <c r="E6306"/>
  <c r="E6307"/>
  <c r="E6308"/>
  <c r="E6309"/>
  <c r="E6310"/>
  <c r="E6311"/>
  <c r="E6312"/>
  <c r="F6312" s="1"/>
  <c r="E6313"/>
  <c r="E6314"/>
  <c r="E6315"/>
  <c r="E6316"/>
  <c r="F6316" s="1"/>
  <c r="E6317"/>
  <c r="E6318"/>
  <c r="E6319"/>
  <c r="E6320"/>
  <c r="F6320" s="1"/>
  <c r="E6321"/>
  <c r="E6322"/>
  <c r="E6323"/>
  <c r="E6324"/>
  <c r="F6324" s="1"/>
  <c r="E6325"/>
  <c r="E6326"/>
  <c r="E6327"/>
  <c r="E6328"/>
  <c r="F6328" s="1"/>
  <c r="E6329"/>
  <c r="E6330"/>
  <c r="E6331"/>
  <c r="E6332"/>
  <c r="F6332" s="1"/>
  <c r="E6333"/>
  <c r="E6334"/>
  <c r="E6335"/>
  <c r="E6336"/>
  <c r="F6336" s="1"/>
  <c r="E6337"/>
  <c r="E6338"/>
  <c r="E6339"/>
  <c r="E6340"/>
  <c r="E6341"/>
  <c r="E6342"/>
  <c r="E6343"/>
  <c r="E6344"/>
  <c r="F6344" s="1"/>
  <c r="E6345"/>
  <c r="E6346"/>
  <c r="E6347"/>
  <c r="E6348"/>
  <c r="F6348" s="1"/>
  <c r="E6349"/>
  <c r="E6350"/>
  <c r="E6351"/>
  <c r="E6352"/>
  <c r="F6352" s="1"/>
  <c r="E6353"/>
  <c r="E6354"/>
  <c r="E6355"/>
  <c r="E6356"/>
  <c r="F6356" s="1"/>
  <c r="E6357"/>
  <c r="E6358"/>
  <c r="E6359"/>
  <c r="E6360"/>
  <c r="F6360" s="1"/>
  <c r="E6361"/>
  <c r="E6362"/>
  <c r="E6363"/>
  <c r="E6364"/>
  <c r="F6364" s="1"/>
  <c r="E6365"/>
  <c r="E6366"/>
  <c r="E6367"/>
  <c r="E6368"/>
  <c r="F6368" s="1"/>
  <c r="E6369"/>
  <c r="E6370"/>
  <c r="E6371"/>
  <c r="E6372"/>
  <c r="E6373"/>
  <c r="E6374"/>
  <c r="E6375"/>
  <c r="E6376"/>
  <c r="F6376" s="1"/>
  <c r="E6377"/>
  <c r="E6378"/>
  <c r="E6379"/>
  <c r="E6380"/>
  <c r="F6380" s="1"/>
  <c r="E6381"/>
  <c r="E6382"/>
  <c r="E6383"/>
  <c r="E6384"/>
  <c r="F6384" s="1"/>
  <c r="E6385"/>
  <c r="E6386"/>
  <c r="E6387"/>
  <c r="E6388"/>
  <c r="F6388" s="1"/>
  <c r="E6389"/>
  <c r="E6390"/>
  <c r="E6391"/>
  <c r="E6392"/>
  <c r="F6392" s="1"/>
  <c r="E6393"/>
  <c r="E6394"/>
  <c r="E6395"/>
  <c r="E6396"/>
  <c r="F6396" s="1"/>
  <c r="E6397"/>
  <c r="E6398"/>
  <c r="E6399"/>
  <c r="E6400"/>
  <c r="F6400" s="1"/>
  <c r="E6401"/>
  <c r="E6402"/>
  <c r="E6403"/>
  <c r="E6404"/>
  <c r="E6405"/>
  <c r="E6406"/>
  <c r="E6407"/>
  <c r="E6408"/>
  <c r="F6408" s="1"/>
  <c r="E6409"/>
  <c r="E6410"/>
  <c r="E6411"/>
  <c r="E6412"/>
  <c r="F6412" s="1"/>
  <c r="E6413"/>
  <c r="E6414"/>
  <c r="E6415"/>
  <c r="E6416"/>
  <c r="F6416" s="1"/>
  <c r="E6417"/>
  <c r="E6418"/>
  <c r="E6419"/>
  <c r="E6420"/>
  <c r="F6420" s="1"/>
  <c r="E6421"/>
  <c r="E6422"/>
  <c r="E6423"/>
  <c r="E6424"/>
  <c r="F6424" s="1"/>
  <c r="E6425"/>
  <c r="E6426"/>
  <c r="E6427"/>
  <c r="E6428"/>
  <c r="F6428" s="1"/>
  <c r="E6429"/>
  <c r="E6430"/>
  <c r="E6431"/>
  <c r="E6432"/>
  <c r="F6432" s="1"/>
  <c r="E6433"/>
  <c r="E6434"/>
  <c r="E6435"/>
  <c r="E6436"/>
  <c r="E6437"/>
  <c r="E6438"/>
  <c r="E6439"/>
  <c r="E6440"/>
  <c r="F6440" s="1"/>
  <c r="E6441"/>
  <c r="E6442"/>
  <c r="E6443"/>
  <c r="E6444"/>
  <c r="F6444" s="1"/>
  <c r="E6445"/>
  <c r="E6446"/>
  <c r="E6447"/>
  <c r="E6448"/>
  <c r="F6448" s="1"/>
  <c r="E6449"/>
  <c r="E6450"/>
  <c r="E6451"/>
  <c r="E6452"/>
  <c r="F6452" s="1"/>
  <c r="E6453"/>
  <c r="E6454"/>
  <c r="E6455"/>
  <c r="E6456"/>
  <c r="F6456" s="1"/>
  <c r="E6457"/>
  <c r="E6458"/>
  <c r="E6459"/>
  <c r="E6460"/>
  <c r="F6460" s="1"/>
  <c r="E6461"/>
  <c r="E6462"/>
  <c r="E6463"/>
  <c r="E6464"/>
  <c r="F6464" s="1"/>
  <c r="E6465"/>
  <c r="E6466"/>
  <c r="E6467"/>
  <c r="E6468"/>
  <c r="E6469"/>
  <c r="E6470"/>
  <c r="E6471"/>
  <c r="E6472"/>
  <c r="F6472" s="1"/>
  <c r="E6473"/>
  <c r="E6474"/>
  <c r="E6475"/>
  <c r="E6476"/>
  <c r="F6476" s="1"/>
  <c r="E6477"/>
  <c r="E6478"/>
  <c r="E6479"/>
  <c r="E6480"/>
  <c r="F6480" s="1"/>
  <c r="E6481"/>
  <c r="E6482"/>
  <c r="E6483"/>
  <c r="E6484"/>
  <c r="F6484" s="1"/>
  <c r="E6485"/>
  <c r="E6486"/>
  <c r="E6487"/>
  <c r="E6488"/>
  <c r="F6488" s="1"/>
  <c r="E6489"/>
  <c r="E6490"/>
  <c r="E6491"/>
  <c r="E6492"/>
  <c r="F6492" s="1"/>
  <c r="E6493"/>
  <c r="E6494"/>
  <c r="E6495"/>
  <c r="E6496"/>
  <c r="F6496" s="1"/>
  <c r="E6497"/>
  <c r="E6498"/>
  <c r="E6499"/>
  <c r="E6500"/>
  <c r="E6501"/>
  <c r="E6502"/>
  <c r="E6503"/>
  <c r="E6504"/>
  <c r="F6504" s="1"/>
  <c r="E6505"/>
  <c r="E6506"/>
  <c r="E6507"/>
  <c r="E6508"/>
  <c r="F6508" s="1"/>
  <c r="E6509"/>
  <c r="E6510"/>
  <c r="E6511"/>
  <c r="E6512"/>
  <c r="F6512" s="1"/>
  <c r="E6513"/>
  <c r="E6514"/>
  <c r="E6515"/>
  <c r="E6516"/>
  <c r="F6516" s="1"/>
  <c r="E6517"/>
  <c r="E6518"/>
  <c r="E6519"/>
  <c r="E6520"/>
  <c r="F6520" s="1"/>
  <c r="E6521"/>
  <c r="E6522"/>
  <c r="E6523"/>
  <c r="E6524"/>
  <c r="F6524" s="1"/>
  <c r="E6525"/>
  <c r="E6526"/>
  <c r="E6527"/>
  <c r="E6528"/>
  <c r="F6528" s="1"/>
  <c r="E6529"/>
  <c r="E6530"/>
  <c r="E6531"/>
  <c r="E6532"/>
  <c r="E6533"/>
  <c r="E6534"/>
  <c r="E6535"/>
  <c r="E6536"/>
  <c r="F6536" s="1"/>
  <c r="E6537"/>
  <c r="E6538"/>
  <c r="E6539"/>
  <c r="E6540"/>
  <c r="F6540" s="1"/>
  <c r="E6541"/>
  <c r="E6542"/>
  <c r="E6543"/>
  <c r="E6544"/>
  <c r="F6544" s="1"/>
  <c r="E6545"/>
  <c r="E6546"/>
  <c r="E6547"/>
  <c r="E6548"/>
  <c r="F6548" s="1"/>
  <c r="E6549"/>
  <c r="E6550"/>
  <c r="E6551"/>
  <c r="E6552"/>
  <c r="F6552" s="1"/>
  <c r="E6553"/>
  <c r="E6554"/>
  <c r="E6555"/>
  <c r="E6556"/>
  <c r="F6556" s="1"/>
  <c r="E6557"/>
  <c r="E6558"/>
  <c r="E6559"/>
  <c r="E6560"/>
  <c r="F6560" s="1"/>
  <c r="E6561"/>
  <c r="E6562"/>
  <c r="E6563"/>
  <c r="E6564"/>
  <c r="E6565"/>
  <c r="E6566"/>
  <c r="E6567"/>
  <c r="E6568"/>
  <c r="F6568" s="1"/>
  <c r="E6569"/>
  <c r="E6570"/>
  <c r="E6571"/>
  <c r="E6572"/>
  <c r="F6572" s="1"/>
  <c r="E6573"/>
  <c r="E6574"/>
  <c r="E6575"/>
  <c r="E6576"/>
  <c r="F6576" s="1"/>
  <c r="E6577"/>
  <c r="E6578"/>
  <c r="E6579"/>
  <c r="E6580"/>
  <c r="F6580" s="1"/>
  <c r="E6581"/>
  <c r="E6582"/>
  <c r="E6583"/>
  <c r="E6584"/>
  <c r="F6584" s="1"/>
  <c r="E6585"/>
  <c r="E6586"/>
  <c r="E6587"/>
  <c r="E6588"/>
  <c r="F6588" s="1"/>
  <c r="E6589"/>
  <c r="E6590"/>
  <c r="E6591"/>
  <c r="E6592"/>
  <c r="F6592" s="1"/>
  <c r="E6593"/>
  <c r="E6594"/>
  <c r="E6595"/>
  <c r="E6596"/>
  <c r="E6597"/>
  <c r="E6598"/>
  <c r="E6599"/>
  <c r="E6600"/>
  <c r="F6600" s="1"/>
  <c r="E6601"/>
  <c r="E6602"/>
  <c r="E6603"/>
  <c r="E6604"/>
  <c r="F6604" s="1"/>
  <c r="E6605"/>
  <c r="E6606"/>
  <c r="E6607"/>
  <c r="E6608"/>
  <c r="F6608" s="1"/>
  <c r="E6609"/>
  <c r="E6610"/>
  <c r="E6611"/>
  <c r="E6612"/>
  <c r="F6612" s="1"/>
  <c r="E6613"/>
  <c r="E6614"/>
  <c r="E6615"/>
  <c r="E6616"/>
  <c r="F6616" s="1"/>
  <c r="E6617"/>
  <c r="E6618"/>
  <c r="E6619"/>
  <c r="E6620"/>
  <c r="F6620" s="1"/>
  <c r="E6621"/>
  <c r="E6622"/>
  <c r="E6623"/>
  <c r="E6624"/>
  <c r="F6624" s="1"/>
  <c r="E6625"/>
  <c r="E6626"/>
  <c r="E6627"/>
  <c r="E6628"/>
  <c r="E6629"/>
  <c r="E6630"/>
  <c r="E6631"/>
  <c r="E6632"/>
  <c r="F6632" s="1"/>
  <c r="E6633"/>
  <c r="E6634"/>
  <c r="E6635"/>
  <c r="E6636"/>
  <c r="F6636" s="1"/>
  <c r="E6637"/>
  <c r="E6638"/>
  <c r="E6639"/>
  <c r="E6640"/>
  <c r="F6640" s="1"/>
  <c r="E6641"/>
  <c r="E6642"/>
  <c r="E6643"/>
  <c r="E6644"/>
  <c r="F6644" s="1"/>
  <c r="E6645"/>
  <c r="E6646"/>
  <c r="E6647"/>
  <c r="E6648"/>
  <c r="F6648" s="1"/>
  <c r="E6649"/>
  <c r="E6650"/>
  <c r="E6651"/>
  <c r="E6652"/>
  <c r="F6652" s="1"/>
  <c r="E6653"/>
  <c r="E6654"/>
  <c r="E6655"/>
  <c r="E6656"/>
  <c r="F6656" s="1"/>
  <c r="E6657"/>
  <c r="E6658"/>
  <c r="E6659"/>
  <c r="E6660"/>
  <c r="E6661"/>
  <c r="E6662"/>
  <c r="E6663"/>
  <c r="E6664"/>
  <c r="F6664" s="1"/>
  <c r="E6665"/>
  <c r="E6666"/>
  <c r="E6667"/>
  <c r="E6668"/>
  <c r="F6668" s="1"/>
  <c r="E6669"/>
  <c r="E6670"/>
  <c r="E6671"/>
  <c r="E6672"/>
  <c r="F6672" s="1"/>
  <c r="E6673"/>
  <c r="E6674"/>
  <c r="E6675"/>
  <c r="E6676"/>
  <c r="F6676" s="1"/>
  <c r="E6677"/>
  <c r="E6678"/>
  <c r="E6679"/>
  <c r="E6680"/>
  <c r="F6680" s="1"/>
  <c r="E6681"/>
  <c r="E6682"/>
  <c r="E6683"/>
  <c r="E6684"/>
  <c r="F6684" s="1"/>
  <c r="E6685"/>
  <c r="E6686"/>
  <c r="E6687"/>
  <c r="E6688"/>
  <c r="F6688" s="1"/>
  <c r="E6689"/>
  <c r="E6690"/>
  <c r="E6691"/>
  <c r="E6692"/>
  <c r="E6693"/>
  <c r="E6694"/>
  <c r="E6695"/>
  <c r="E6696"/>
  <c r="F6696" s="1"/>
  <c r="E6697"/>
  <c r="E6698"/>
  <c r="E6699"/>
  <c r="E6700"/>
  <c r="F6700" s="1"/>
  <c r="E6701"/>
  <c r="E6702"/>
  <c r="E6703"/>
  <c r="E6704"/>
  <c r="F6704" s="1"/>
  <c r="E6705"/>
  <c r="E6706"/>
  <c r="E6707"/>
  <c r="E6708"/>
  <c r="F6708" s="1"/>
  <c r="E6709"/>
  <c r="E6710"/>
  <c r="E6711"/>
  <c r="E6712"/>
  <c r="F6712" s="1"/>
  <c r="E6713"/>
  <c r="E6714"/>
  <c r="E6715"/>
  <c r="E6716"/>
  <c r="F6716" s="1"/>
  <c r="E6717"/>
  <c r="E6718"/>
  <c r="E6719"/>
  <c r="E6720"/>
  <c r="F6720" s="1"/>
  <c r="E6721"/>
  <c r="E6722"/>
  <c r="E6723"/>
  <c r="E6724"/>
  <c r="E6725"/>
  <c r="E6726"/>
  <c r="E6727"/>
  <c r="E6728"/>
  <c r="F6728" s="1"/>
  <c r="E6729"/>
  <c r="E6730"/>
  <c r="E6731"/>
  <c r="E6732"/>
  <c r="F6732" s="1"/>
  <c r="E6733"/>
  <c r="E6734"/>
  <c r="E6735"/>
  <c r="E6736"/>
  <c r="F6736" s="1"/>
  <c r="E6737"/>
  <c r="E6738"/>
  <c r="E6739"/>
  <c r="E6740"/>
  <c r="F6740" s="1"/>
  <c r="E6741"/>
  <c r="E6742"/>
  <c r="E6743"/>
  <c r="E6744"/>
  <c r="F6744" s="1"/>
  <c r="E6745"/>
  <c r="E6746"/>
  <c r="E6747"/>
  <c r="E6748"/>
  <c r="F6748" s="1"/>
  <c r="E6749"/>
  <c r="E6750"/>
  <c r="E6751"/>
  <c r="E6752"/>
  <c r="F6752" s="1"/>
  <c r="E6753"/>
  <c r="E6754"/>
  <c r="E6755"/>
  <c r="E6756"/>
  <c r="E6757"/>
  <c r="E6758"/>
  <c r="E6759"/>
  <c r="E6760"/>
  <c r="F6760" s="1"/>
  <c r="E6761"/>
  <c r="E6762"/>
  <c r="E6763"/>
  <c r="E6764"/>
  <c r="F6764" s="1"/>
  <c r="E6765"/>
  <c r="E6766"/>
  <c r="E6767"/>
  <c r="E6768"/>
  <c r="F6768" s="1"/>
  <c r="E6769"/>
  <c r="E6770"/>
  <c r="E6771"/>
  <c r="E6772"/>
  <c r="F6772" s="1"/>
  <c r="E6773"/>
  <c r="E6774"/>
  <c r="E6775"/>
  <c r="E6776"/>
  <c r="F6776" s="1"/>
  <c r="E6777"/>
  <c r="E6778"/>
  <c r="E6779"/>
  <c r="E6780"/>
  <c r="F6780" s="1"/>
  <c r="E6781"/>
  <c r="E6782"/>
  <c r="E6783"/>
  <c r="E6784"/>
  <c r="F6784" s="1"/>
  <c r="E6785"/>
  <c r="E6786"/>
  <c r="E6787"/>
  <c r="E6788"/>
  <c r="F6788" s="1"/>
  <c r="E6789"/>
  <c r="E6790"/>
  <c r="E6791"/>
  <c r="E6792"/>
  <c r="F6792" s="1"/>
  <c r="E6793"/>
  <c r="E6794"/>
  <c r="E6795"/>
  <c r="E6796"/>
  <c r="F6796" s="1"/>
  <c r="E6797"/>
  <c r="E6798"/>
  <c r="E6799"/>
  <c r="E6800"/>
  <c r="F6800" s="1"/>
  <c r="E6801"/>
  <c r="E6802"/>
  <c r="E6803"/>
  <c r="E6804"/>
  <c r="F6804" s="1"/>
  <c r="E6805"/>
  <c r="E6806"/>
  <c r="E6807"/>
  <c r="E6808"/>
  <c r="F6808" s="1"/>
  <c r="E6809"/>
  <c r="E6810"/>
  <c r="E6811"/>
  <c r="E6812"/>
  <c r="F6812" s="1"/>
  <c r="E6813"/>
  <c r="E6814"/>
  <c r="E6815"/>
  <c r="E6816"/>
  <c r="F6816" s="1"/>
  <c r="E6817"/>
  <c r="E6818"/>
  <c r="E6819"/>
  <c r="E6820"/>
  <c r="F6820" s="1"/>
  <c r="E6821"/>
  <c r="E6822"/>
  <c r="E6823"/>
  <c r="E6824"/>
  <c r="F6824" s="1"/>
  <c r="E6825"/>
  <c r="E6826"/>
  <c r="E6827"/>
  <c r="E6828"/>
  <c r="F6828" s="1"/>
  <c r="E6829"/>
  <c r="E6830"/>
  <c r="E6831"/>
  <c r="E6832"/>
  <c r="F6832" s="1"/>
  <c r="E6833"/>
  <c r="E6834"/>
  <c r="E6835"/>
  <c r="E6836"/>
  <c r="F6836" s="1"/>
  <c r="E6837"/>
  <c r="E6838"/>
  <c r="E6839"/>
  <c r="E6840"/>
  <c r="F6840" s="1"/>
  <c r="E6841"/>
  <c r="E6842"/>
  <c r="E6843"/>
  <c r="E6844"/>
  <c r="F6844" s="1"/>
  <c r="E6845"/>
  <c r="E6846"/>
  <c r="E6847"/>
  <c r="E6848"/>
  <c r="F6848" s="1"/>
  <c r="E6849"/>
  <c r="E6850"/>
  <c r="E6851"/>
  <c r="E6852"/>
  <c r="F6852" s="1"/>
  <c r="E6853"/>
  <c r="E6854"/>
  <c r="E6855"/>
  <c r="E6856"/>
  <c r="F6856" s="1"/>
  <c r="E6857"/>
  <c r="E6858"/>
  <c r="E6859"/>
  <c r="E6860"/>
  <c r="F6860" s="1"/>
  <c r="E6861"/>
  <c r="E6862"/>
  <c r="E6863"/>
  <c r="E6864"/>
  <c r="F6864" s="1"/>
  <c r="E6865"/>
  <c r="E6866"/>
  <c r="E6867"/>
  <c r="E6868"/>
  <c r="F6868" s="1"/>
  <c r="E6869"/>
  <c r="E6870"/>
  <c r="E6871"/>
  <c r="E6872"/>
  <c r="F6872" s="1"/>
  <c r="E6873"/>
  <c r="E6874"/>
  <c r="E6875"/>
  <c r="E6876"/>
  <c r="F6876" s="1"/>
  <c r="E6877"/>
  <c r="E6878"/>
  <c r="E6879"/>
  <c r="E6880"/>
  <c r="F6880" s="1"/>
  <c r="E6881"/>
  <c r="E6882"/>
  <c r="E6883"/>
  <c r="E6884"/>
  <c r="F6884" s="1"/>
  <c r="E6885"/>
  <c r="E6886"/>
  <c r="E6887"/>
  <c r="E6888"/>
  <c r="F6888" s="1"/>
  <c r="E6889"/>
  <c r="E6890"/>
  <c r="E6891"/>
  <c r="E6892"/>
  <c r="F6892" s="1"/>
  <c r="E6893"/>
  <c r="E6894"/>
  <c r="E6895"/>
  <c r="E6896"/>
  <c r="F6896" s="1"/>
  <c r="E6897"/>
  <c r="E6898"/>
  <c r="E6899"/>
  <c r="E6900"/>
  <c r="F6900" s="1"/>
  <c r="E6901"/>
  <c r="E6902"/>
  <c r="E6903"/>
  <c r="E6904"/>
  <c r="F6904" s="1"/>
  <c r="E6905"/>
  <c r="E6906"/>
  <c r="E6907"/>
  <c r="E6908"/>
  <c r="F6908" s="1"/>
  <c r="E6909"/>
  <c r="E6910"/>
  <c r="E6911"/>
  <c r="E6912"/>
  <c r="F6912" s="1"/>
  <c r="E6913"/>
  <c r="E6914"/>
  <c r="E6915"/>
  <c r="E6916"/>
  <c r="F6916" s="1"/>
  <c r="E6917"/>
  <c r="E6918"/>
  <c r="E6919"/>
  <c r="E6920"/>
  <c r="F6920" s="1"/>
  <c r="E6921"/>
  <c r="E6922"/>
  <c r="E6923"/>
  <c r="E6924"/>
  <c r="F6924" s="1"/>
  <c r="E6925"/>
  <c r="E6926"/>
  <c r="E6927"/>
  <c r="E6928"/>
  <c r="F6928" s="1"/>
  <c r="E6929"/>
  <c r="E6930"/>
  <c r="E6931"/>
  <c r="E6932"/>
  <c r="F6932" s="1"/>
  <c r="E6933"/>
  <c r="E6934"/>
  <c r="E6935"/>
  <c r="E6936"/>
  <c r="F6936" s="1"/>
  <c r="E6937"/>
  <c r="E6938"/>
  <c r="E6939"/>
  <c r="E6940"/>
  <c r="F6940" s="1"/>
  <c r="E6941"/>
  <c r="E6942"/>
  <c r="E6943"/>
  <c r="E6944"/>
  <c r="F6944" s="1"/>
  <c r="E6945"/>
  <c r="E6946"/>
  <c r="E6947"/>
  <c r="E6948"/>
  <c r="F6948" s="1"/>
  <c r="E6949"/>
  <c r="E6950"/>
  <c r="E6951"/>
  <c r="E6952"/>
  <c r="F6952" s="1"/>
  <c r="E6953"/>
  <c r="E6954"/>
  <c r="E6955"/>
  <c r="E6956"/>
  <c r="F6956" s="1"/>
  <c r="E6957"/>
  <c r="E6958"/>
  <c r="E6959"/>
  <c r="E6960"/>
  <c r="F6960" s="1"/>
  <c r="E6961"/>
  <c r="E6962"/>
  <c r="E6963"/>
  <c r="E6964"/>
  <c r="F6964" s="1"/>
  <c r="E6965"/>
  <c r="E6966"/>
  <c r="E6967"/>
  <c r="E6968"/>
  <c r="F6968" s="1"/>
  <c r="E6969"/>
  <c r="E6970"/>
  <c r="E6971"/>
  <c r="E6972"/>
  <c r="F6972" s="1"/>
  <c r="E6973"/>
  <c r="E6974"/>
  <c r="E6975"/>
  <c r="E6976"/>
  <c r="F6976" s="1"/>
  <c r="E6977"/>
  <c r="E6978"/>
  <c r="E6979"/>
  <c r="E6980"/>
  <c r="F6980" s="1"/>
  <c r="E6981"/>
  <c r="E6982"/>
  <c r="E6983"/>
  <c r="E6984"/>
  <c r="F6984" s="1"/>
  <c r="E6985"/>
  <c r="E6986"/>
  <c r="E6987"/>
  <c r="E6988"/>
  <c r="F6988" s="1"/>
  <c r="E6989"/>
  <c r="E6990"/>
  <c r="E6991"/>
  <c r="E6992"/>
  <c r="F6992" s="1"/>
  <c r="E6993"/>
  <c r="E6994"/>
  <c r="E6995"/>
  <c r="E6996"/>
  <c r="F6996" s="1"/>
  <c r="E6997"/>
  <c r="E6998"/>
  <c r="E6999"/>
  <c r="E7000"/>
  <c r="F7000" s="1"/>
  <c r="E7001"/>
  <c r="E7002"/>
  <c r="E7003"/>
  <c r="E7004"/>
  <c r="F7004" s="1"/>
  <c r="E7005"/>
  <c r="E7006"/>
  <c r="E7007"/>
  <c r="E7008"/>
  <c r="F7008" s="1"/>
  <c r="E7009"/>
  <c r="E7010"/>
  <c r="E7011"/>
  <c r="E7012"/>
  <c r="F7012" s="1"/>
  <c r="E7013"/>
  <c r="E7014"/>
  <c r="E7015"/>
  <c r="E7016"/>
  <c r="F7016" s="1"/>
  <c r="E7017"/>
  <c r="E7018"/>
  <c r="E7019"/>
  <c r="E7020"/>
  <c r="F7020" s="1"/>
  <c r="E7021"/>
  <c r="E7022"/>
  <c r="E7023"/>
  <c r="E7024"/>
  <c r="F7024" s="1"/>
  <c r="E7025"/>
  <c r="E7026"/>
  <c r="E7027"/>
  <c r="E7028"/>
  <c r="F7028" s="1"/>
  <c r="E7029"/>
  <c r="E7030"/>
  <c r="E7031"/>
  <c r="E7032"/>
  <c r="F7032" s="1"/>
  <c r="E7033"/>
  <c r="E7034"/>
  <c r="E7035"/>
  <c r="E7036"/>
  <c r="F7036" s="1"/>
  <c r="E7037"/>
  <c r="E7038"/>
  <c r="E7039"/>
  <c r="E7040"/>
  <c r="F7040" s="1"/>
  <c r="E7041"/>
  <c r="E7042"/>
  <c r="E7043"/>
  <c r="E7044"/>
  <c r="F7044" s="1"/>
  <c r="E7045"/>
  <c r="E7046"/>
  <c r="E7047"/>
  <c r="E7048"/>
  <c r="F7048" s="1"/>
  <c r="E7049"/>
  <c r="E7050"/>
  <c r="E7051"/>
  <c r="E7052"/>
  <c r="F7052" s="1"/>
  <c r="E7053"/>
  <c r="E7054"/>
  <c r="E7055"/>
  <c r="E7056"/>
  <c r="F7056" s="1"/>
  <c r="E7057"/>
  <c r="E7058"/>
  <c r="E7059"/>
  <c r="E7060"/>
  <c r="F7060" s="1"/>
  <c r="E7061"/>
  <c r="E7062"/>
  <c r="E7063"/>
  <c r="E7064"/>
  <c r="F7064" s="1"/>
  <c r="E7065"/>
  <c r="E7066"/>
  <c r="E7067"/>
  <c r="E7068"/>
  <c r="F7068" s="1"/>
  <c r="E7069"/>
  <c r="E7070"/>
  <c r="E7071"/>
  <c r="E7072"/>
  <c r="F7072" s="1"/>
  <c r="E7073"/>
  <c r="E7074"/>
  <c r="E7075"/>
  <c r="E7076"/>
  <c r="F7076" s="1"/>
  <c r="E7077"/>
  <c r="E7078"/>
  <c r="E7079"/>
  <c r="E7080"/>
  <c r="F7080" s="1"/>
  <c r="E7081"/>
  <c r="E7082"/>
  <c r="E7083"/>
  <c r="E7084"/>
  <c r="F7084" s="1"/>
  <c r="E7085"/>
  <c r="E7086"/>
  <c r="E7087"/>
  <c r="E7088"/>
  <c r="F7088" s="1"/>
  <c r="E7089"/>
  <c r="E7090"/>
  <c r="E7091"/>
  <c r="E7092"/>
  <c r="F7092" s="1"/>
  <c r="E7093"/>
  <c r="E7094"/>
  <c r="E7095"/>
  <c r="E7096"/>
  <c r="F7096" s="1"/>
  <c r="E7097"/>
  <c r="E7098"/>
  <c r="E7099"/>
  <c r="E7100"/>
  <c r="F7100" s="1"/>
  <c r="E7101"/>
  <c r="E7102"/>
  <c r="E7103"/>
  <c r="E7104"/>
  <c r="F7104" s="1"/>
  <c r="E7105"/>
  <c r="E7106"/>
  <c r="E7107"/>
  <c r="E7108"/>
  <c r="F7108" s="1"/>
  <c r="E7109"/>
  <c r="E7110"/>
  <c r="E7111"/>
  <c r="E7112"/>
  <c r="F7112" s="1"/>
  <c r="E7113"/>
  <c r="E7114"/>
  <c r="E7115"/>
  <c r="E7116"/>
  <c r="F7116" s="1"/>
  <c r="E7117"/>
  <c r="E7118"/>
  <c r="E7119"/>
  <c r="E7120"/>
  <c r="F7120" s="1"/>
  <c r="E7121"/>
  <c r="E7122"/>
  <c r="E7123"/>
  <c r="E7124"/>
  <c r="F7124" s="1"/>
  <c r="E7125"/>
  <c r="E7126"/>
  <c r="E7127"/>
  <c r="E7128"/>
  <c r="F7128" s="1"/>
  <c r="E7129"/>
  <c r="E7130"/>
  <c r="E7131"/>
  <c r="E7132"/>
  <c r="F7132" s="1"/>
  <c r="E7133"/>
  <c r="E7134"/>
  <c r="E7135"/>
  <c r="E7136"/>
  <c r="F7136" s="1"/>
  <c r="E7137"/>
  <c r="E7138"/>
  <c r="E7139"/>
  <c r="E7140"/>
  <c r="F7140" s="1"/>
  <c r="E7141"/>
  <c r="E7142"/>
  <c r="E7143"/>
  <c r="E7144"/>
  <c r="E7145"/>
  <c r="E7146"/>
  <c r="E7147"/>
  <c r="E7148"/>
  <c r="F7148" s="1"/>
  <c r="E7149"/>
  <c r="E7150"/>
  <c r="E7151"/>
  <c r="E7152"/>
  <c r="F7152" s="1"/>
  <c r="E7153"/>
  <c r="E7154"/>
  <c r="E7155"/>
  <c r="E7156"/>
  <c r="F7156" s="1"/>
  <c r="E7157"/>
  <c r="E7158"/>
  <c r="E7159"/>
  <c r="E7160"/>
  <c r="F7160" s="1"/>
  <c r="E7161"/>
  <c r="E7162"/>
  <c r="E7163"/>
  <c r="E7164"/>
  <c r="F7164" s="1"/>
  <c r="E7165"/>
  <c r="E7166"/>
  <c r="E7167"/>
  <c r="E7168"/>
  <c r="F7168" s="1"/>
  <c r="E7169"/>
  <c r="E7170"/>
  <c r="E7171"/>
  <c r="E7172"/>
  <c r="F7172" s="1"/>
  <c r="E7173"/>
  <c r="E7174"/>
  <c r="E7175"/>
  <c r="E7176"/>
  <c r="F7176" s="1"/>
  <c r="E7177"/>
  <c r="E7178"/>
  <c r="E7179"/>
  <c r="E7180"/>
  <c r="F7180" s="1"/>
  <c r="E7181"/>
  <c r="E7182"/>
  <c r="E7183"/>
  <c r="E7184"/>
  <c r="F7184" s="1"/>
  <c r="E7185"/>
  <c r="E7186"/>
  <c r="E7187"/>
  <c r="E7188"/>
  <c r="F7188" s="1"/>
  <c r="E7189"/>
  <c r="E7190"/>
  <c r="E7191"/>
  <c r="E7192"/>
  <c r="F7192" s="1"/>
  <c r="E7193"/>
  <c r="E7194"/>
  <c r="E7195"/>
  <c r="E7196"/>
  <c r="F7196" s="1"/>
  <c r="E7197"/>
  <c r="E7198"/>
  <c r="E7199"/>
  <c r="E7200"/>
  <c r="E7201"/>
  <c r="E7202"/>
  <c r="E7203"/>
  <c r="E7204"/>
  <c r="F7204" s="1"/>
  <c r="E7205"/>
  <c r="E7206"/>
  <c r="E7207"/>
  <c r="E7208"/>
  <c r="F7208" s="1"/>
  <c r="E7209"/>
  <c r="E7210"/>
  <c r="E7211"/>
  <c r="E7212"/>
  <c r="F7212" s="1"/>
  <c r="E7213"/>
  <c r="E7214"/>
  <c r="E7215"/>
  <c r="E7216"/>
  <c r="F7216" s="1"/>
  <c r="E7217"/>
  <c r="E7218"/>
  <c r="E7219"/>
  <c r="E7220"/>
  <c r="F7220" s="1"/>
  <c r="E7221"/>
  <c r="E7222"/>
  <c r="E7223"/>
  <c r="E7224"/>
  <c r="F7224" s="1"/>
  <c r="E7225"/>
  <c r="E7226"/>
  <c r="E7227"/>
  <c r="E7228"/>
  <c r="F7228" s="1"/>
  <c r="E7229"/>
  <c r="E7230"/>
  <c r="E7231"/>
  <c r="E7232"/>
  <c r="F7232" s="1"/>
  <c r="E7233"/>
  <c r="E7234"/>
  <c r="E7235"/>
  <c r="E7236"/>
  <c r="F7236" s="1"/>
  <c r="E7237"/>
  <c r="E7238"/>
  <c r="E7239"/>
  <c r="E7240"/>
  <c r="F7240" s="1"/>
  <c r="E7241"/>
  <c r="E7242"/>
  <c r="E7243"/>
  <c r="E7244"/>
  <c r="F7244" s="1"/>
  <c r="E7245"/>
  <c r="E7246"/>
  <c r="E7247"/>
  <c r="E7248"/>
  <c r="F7248" s="1"/>
  <c r="E7249"/>
  <c r="E7250"/>
  <c r="E7251"/>
  <c r="E7252"/>
  <c r="F7252" s="1"/>
  <c r="E7253"/>
  <c r="E7254"/>
  <c r="E7255"/>
  <c r="E7256"/>
  <c r="F7256" s="1"/>
  <c r="E7257"/>
  <c r="E7258"/>
  <c r="E7259"/>
  <c r="E7260"/>
  <c r="F7260" s="1"/>
  <c r="E7261"/>
  <c r="E7262"/>
  <c r="E7263"/>
  <c r="E7264"/>
  <c r="F7264" s="1"/>
  <c r="E7265"/>
  <c r="E7266"/>
  <c r="E7267"/>
  <c r="E7268"/>
  <c r="F7268" s="1"/>
  <c r="E7269"/>
  <c r="E7270"/>
  <c r="E7271"/>
  <c r="E7272"/>
  <c r="F7272" s="1"/>
  <c r="E7273"/>
  <c r="E7274"/>
  <c r="E7275"/>
  <c r="E7276"/>
  <c r="F7276" s="1"/>
  <c r="E7277"/>
  <c r="E7278"/>
  <c r="E7279"/>
  <c r="E7280"/>
  <c r="F7280" s="1"/>
  <c r="E7281"/>
  <c r="E7282"/>
  <c r="E7283"/>
  <c r="E7284"/>
  <c r="E7285"/>
  <c r="E7286"/>
  <c r="E7287"/>
  <c r="E7288"/>
  <c r="F7288" s="1"/>
  <c r="E7289"/>
  <c r="E7290"/>
  <c r="E7291"/>
  <c r="E7292"/>
  <c r="E7293"/>
  <c r="E7294"/>
  <c r="E7295"/>
  <c r="E7296"/>
  <c r="F7296" s="1"/>
  <c r="E7297"/>
  <c r="E7298"/>
  <c r="E7299"/>
  <c r="E7300"/>
  <c r="F7300" s="1"/>
  <c r="E7301"/>
  <c r="E7302"/>
  <c r="E7303"/>
  <c r="E7304"/>
  <c r="F7304" s="1"/>
  <c r="E7305"/>
  <c r="E7306"/>
  <c r="E7307"/>
  <c r="E7308"/>
  <c r="F7308" s="1"/>
  <c r="E7309"/>
  <c r="E7310"/>
  <c r="E7311"/>
  <c r="E7312"/>
  <c r="F7312" s="1"/>
  <c r="E7313"/>
  <c r="E7314"/>
  <c r="E7315"/>
  <c r="E7316"/>
  <c r="F7316" s="1"/>
  <c r="E7317"/>
  <c r="E7318"/>
  <c r="E7319"/>
  <c r="E7320"/>
  <c r="F7320" s="1"/>
  <c r="E7321"/>
  <c r="E7322"/>
  <c r="E7323"/>
  <c r="E7324"/>
  <c r="F7324" s="1"/>
  <c r="E7325"/>
  <c r="E7326"/>
  <c r="E7327"/>
  <c r="E7328"/>
  <c r="F7328" s="1"/>
  <c r="E7329"/>
  <c r="E7330"/>
  <c r="E7331"/>
  <c r="E7332"/>
  <c r="F7332" s="1"/>
  <c r="E7333"/>
  <c r="E7334"/>
  <c r="E7335"/>
  <c r="E7336"/>
  <c r="F7336" s="1"/>
  <c r="E7337"/>
  <c r="E7338"/>
  <c r="E7339"/>
  <c r="E7340"/>
  <c r="F7340" s="1"/>
  <c r="E7341"/>
  <c r="E7342"/>
  <c r="E7343"/>
  <c r="E7344"/>
  <c r="F7344" s="1"/>
  <c r="E7345"/>
  <c r="E7346"/>
  <c r="E7347"/>
  <c r="E7348"/>
  <c r="F7348" s="1"/>
  <c r="E7349"/>
  <c r="E7350"/>
  <c r="E7351"/>
  <c r="E7352"/>
  <c r="F7352" s="1"/>
  <c r="E7353"/>
  <c r="E7354"/>
  <c r="E7355"/>
  <c r="E7356"/>
  <c r="F7356" s="1"/>
  <c r="E7357"/>
  <c r="E7358"/>
  <c r="E7359"/>
  <c r="E7360"/>
  <c r="F7360" s="1"/>
  <c r="E7361"/>
  <c r="E7362"/>
  <c r="E7363"/>
  <c r="E7364"/>
  <c r="F7364" s="1"/>
  <c r="E7365"/>
  <c r="E7366"/>
  <c r="E7367"/>
  <c r="E7368"/>
  <c r="F7368" s="1"/>
  <c r="E7369"/>
  <c r="E7370"/>
  <c r="E7371"/>
  <c r="E7372"/>
  <c r="F7372" s="1"/>
  <c r="E7373"/>
  <c r="E7374"/>
  <c r="E7375"/>
  <c r="E7376"/>
  <c r="F7376" s="1"/>
  <c r="E7377"/>
  <c r="E7378"/>
  <c r="E7379"/>
  <c r="E7380"/>
  <c r="F7380" s="1"/>
  <c r="E7381"/>
  <c r="E7382"/>
  <c r="E7383"/>
  <c r="E7384"/>
  <c r="F7384" s="1"/>
  <c r="E7385"/>
  <c r="E7386"/>
  <c r="E7387"/>
  <c r="E7388"/>
  <c r="F7388" s="1"/>
  <c r="E7389"/>
  <c r="E7390"/>
  <c r="E7391"/>
  <c r="E7392"/>
  <c r="F7392" s="1"/>
  <c r="E7393"/>
  <c r="E7394"/>
  <c r="E7395"/>
  <c r="E7396"/>
  <c r="F7396" s="1"/>
  <c r="E7397"/>
  <c r="E7398"/>
  <c r="E7399"/>
  <c r="E7400"/>
  <c r="F7400" s="1"/>
  <c r="E7401"/>
  <c r="E7402"/>
  <c r="E7403"/>
  <c r="E7404"/>
  <c r="F7404" s="1"/>
  <c r="E7405"/>
  <c r="E7406"/>
  <c r="E7407"/>
  <c r="E7408"/>
  <c r="F7408" s="1"/>
  <c r="E7409"/>
  <c r="E7410"/>
  <c r="E7411"/>
  <c r="E7412"/>
  <c r="F7412" s="1"/>
  <c r="E7413"/>
  <c r="E7414"/>
  <c r="E7415"/>
  <c r="E7416"/>
  <c r="F7416" s="1"/>
  <c r="E7417"/>
  <c r="E7418"/>
  <c r="E7419"/>
  <c r="E7420"/>
  <c r="F7420" s="1"/>
  <c r="E7421"/>
  <c r="E7422"/>
  <c r="E7423"/>
  <c r="E7424"/>
  <c r="E7425"/>
  <c r="E7426"/>
  <c r="E7427"/>
  <c r="E7428"/>
  <c r="F7428" s="1"/>
  <c r="E7429"/>
  <c r="E7430"/>
  <c r="E7431"/>
  <c r="E7432"/>
  <c r="F7432" s="1"/>
  <c r="E7433"/>
  <c r="E7434"/>
  <c r="E7435"/>
  <c r="E7436"/>
  <c r="F7436" s="1"/>
  <c r="E7437"/>
  <c r="E7438"/>
  <c r="E7439"/>
  <c r="E7440"/>
  <c r="F7440" s="1"/>
  <c r="E7441"/>
  <c r="E7442"/>
  <c r="E7443"/>
  <c r="E7444"/>
  <c r="F7444" s="1"/>
  <c r="E7445"/>
  <c r="E7446"/>
  <c r="E7447"/>
  <c r="E7448"/>
  <c r="F7448" s="1"/>
  <c r="E7449"/>
  <c r="E7450"/>
  <c r="E7451"/>
  <c r="E7452"/>
  <c r="E7453"/>
  <c r="E7454"/>
  <c r="E7455"/>
  <c r="E7456"/>
  <c r="F7456" s="1"/>
  <c r="E7457"/>
  <c r="E7458"/>
  <c r="E7459"/>
  <c r="E7460"/>
  <c r="F7460" s="1"/>
  <c r="E7461"/>
  <c r="E7462"/>
  <c r="E7463"/>
  <c r="E7464"/>
  <c r="F7464" s="1"/>
  <c r="E7465"/>
  <c r="E7466"/>
  <c r="E7467"/>
  <c r="E7468"/>
  <c r="F7468" s="1"/>
  <c r="E7469"/>
  <c r="E7470"/>
  <c r="E7471"/>
  <c r="E7472"/>
  <c r="F7472" s="1"/>
  <c r="E7473"/>
  <c r="E7474"/>
  <c r="E7475"/>
  <c r="E7476"/>
  <c r="E7477"/>
  <c r="E7478"/>
  <c r="E7479"/>
  <c r="E7480"/>
  <c r="F7480" s="1"/>
  <c r="E7481"/>
  <c r="E7482"/>
  <c r="E7483"/>
  <c r="E7484"/>
  <c r="F7484" s="1"/>
  <c r="E7485"/>
  <c r="E7486"/>
  <c r="E7487"/>
  <c r="E7488"/>
  <c r="F7488" s="1"/>
  <c r="E7489"/>
  <c r="E7490"/>
  <c r="E7491"/>
  <c r="E7492"/>
  <c r="F7492" s="1"/>
  <c r="E7493"/>
  <c r="E7494"/>
  <c r="E7495"/>
  <c r="E7496"/>
  <c r="F7496" s="1"/>
  <c r="E7497"/>
  <c r="E7498"/>
  <c r="E7499"/>
  <c r="E7500"/>
  <c r="F7500" s="1"/>
  <c r="E7501"/>
  <c r="E7502"/>
  <c r="E7503"/>
  <c r="E7504"/>
  <c r="F7504" s="1"/>
  <c r="E7505"/>
  <c r="E7506"/>
  <c r="E7507"/>
  <c r="E7508"/>
  <c r="F7508" s="1"/>
  <c r="E7509"/>
  <c r="E7510"/>
  <c r="E7511"/>
  <c r="E7512"/>
  <c r="F7512" s="1"/>
  <c r="E7513"/>
  <c r="E7514"/>
  <c r="E7515"/>
  <c r="E7516"/>
  <c r="F7516" s="1"/>
  <c r="E7517"/>
  <c r="E7518"/>
  <c r="E7519"/>
  <c r="E7520"/>
  <c r="F7520" s="1"/>
  <c r="E7521"/>
  <c r="E7522"/>
  <c r="E7523"/>
  <c r="E7524"/>
  <c r="F7524" s="1"/>
  <c r="E7525"/>
  <c r="E7526"/>
  <c r="E7527"/>
  <c r="E7528"/>
  <c r="F7528" s="1"/>
  <c r="E7529"/>
  <c r="E7530"/>
  <c r="E7531"/>
  <c r="E7532"/>
  <c r="F7532" s="1"/>
  <c r="E7533"/>
  <c r="E7534"/>
  <c r="E7535"/>
  <c r="E7536"/>
  <c r="F7536" s="1"/>
  <c r="E7537"/>
  <c r="E7538"/>
  <c r="E7539"/>
  <c r="E7540"/>
  <c r="F7540" s="1"/>
  <c r="E7541"/>
  <c r="E7542"/>
  <c r="E7543"/>
  <c r="E7544"/>
  <c r="F7544" s="1"/>
  <c r="E7545"/>
  <c r="E7546"/>
  <c r="E7547"/>
  <c r="E7548"/>
  <c r="F7548" s="1"/>
  <c r="E7549"/>
  <c r="E7550"/>
  <c r="E7551"/>
  <c r="E7552"/>
  <c r="F7552" s="1"/>
  <c r="E7553"/>
  <c r="E7554"/>
  <c r="E7555"/>
  <c r="E7556"/>
  <c r="E7557"/>
  <c r="E7558"/>
  <c r="E7559"/>
  <c r="E7560"/>
  <c r="F7560" s="1"/>
  <c r="E7561"/>
  <c r="E7562"/>
  <c r="E7563"/>
  <c r="E7564"/>
  <c r="F7564" s="1"/>
  <c r="E7565"/>
  <c r="E7566"/>
  <c r="E7567"/>
  <c r="E7568"/>
  <c r="F7568" s="1"/>
  <c r="E7569"/>
  <c r="E7570"/>
  <c r="E7571"/>
  <c r="E7572"/>
  <c r="F7572" s="1"/>
  <c r="E7573"/>
  <c r="E7574"/>
  <c r="E7575"/>
  <c r="E7576"/>
  <c r="F7576" s="1"/>
  <c r="E7577"/>
  <c r="E7578"/>
  <c r="E7579"/>
  <c r="E7580"/>
  <c r="F7580" s="1"/>
  <c r="E7581"/>
  <c r="E7582"/>
  <c r="E7583"/>
  <c r="E7584"/>
  <c r="F7584" s="1"/>
  <c r="E7585"/>
  <c r="E7586"/>
  <c r="E7587"/>
  <c r="E7588"/>
  <c r="F7588" s="1"/>
  <c r="E7589"/>
  <c r="E7590"/>
  <c r="E7591"/>
  <c r="E7592"/>
  <c r="F7592" s="1"/>
  <c r="E7593"/>
  <c r="E7594"/>
  <c r="E7595"/>
  <c r="E7596"/>
  <c r="F7596" s="1"/>
  <c r="E7597"/>
  <c r="E7598"/>
  <c r="E7599"/>
  <c r="E7600"/>
  <c r="F7600" s="1"/>
  <c r="E7601"/>
  <c r="E7602"/>
  <c r="E7603"/>
  <c r="E7604"/>
  <c r="F7604" s="1"/>
  <c r="E7605"/>
  <c r="E7606"/>
  <c r="E7607"/>
  <c r="E7608"/>
  <c r="F7608" s="1"/>
  <c r="E7609"/>
  <c r="E7610"/>
  <c r="E7611"/>
  <c r="E7612"/>
  <c r="F7612" s="1"/>
  <c r="E7613"/>
  <c r="E7614"/>
  <c r="E7615"/>
  <c r="E7616"/>
  <c r="F7616" s="1"/>
  <c r="E7617"/>
  <c r="E7618"/>
  <c r="E7619"/>
  <c r="E7620"/>
  <c r="F7620" s="1"/>
  <c r="E7621"/>
  <c r="E7622"/>
  <c r="E7623"/>
  <c r="E7624"/>
  <c r="F7624" s="1"/>
  <c r="E7625"/>
  <c r="E7626"/>
  <c r="E7627"/>
  <c r="E7628"/>
  <c r="F7628" s="1"/>
  <c r="E7629"/>
  <c r="E7630"/>
  <c r="E7631"/>
  <c r="E7632"/>
  <c r="F7632" s="1"/>
  <c r="E7633"/>
  <c r="E7634"/>
  <c r="E7635"/>
  <c r="E7636"/>
  <c r="F7636" s="1"/>
  <c r="E7637"/>
  <c r="E7638"/>
  <c r="E7639"/>
  <c r="E7640"/>
  <c r="F7640" s="1"/>
  <c r="E7641"/>
  <c r="E7642"/>
  <c r="E7643"/>
  <c r="E7644"/>
  <c r="F7644" s="1"/>
  <c r="E7645"/>
  <c r="E7646"/>
  <c r="E7647"/>
  <c r="E7648"/>
  <c r="F7648" s="1"/>
  <c r="E7649"/>
  <c r="E7650"/>
  <c r="E7651"/>
  <c r="E7652"/>
  <c r="F7652" s="1"/>
  <c r="E7653"/>
  <c r="E7654"/>
  <c r="E7655"/>
  <c r="E7656"/>
  <c r="F7656" s="1"/>
  <c r="E7657"/>
  <c r="E7658"/>
  <c r="E7659"/>
  <c r="E7660"/>
  <c r="F7660" s="1"/>
  <c r="E7661"/>
  <c r="E7662"/>
  <c r="E7663"/>
  <c r="E7664"/>
  <c r="F7664" s="1"/>
  <c r="E7665"/>
  <c r="E7666"/>
  <c r="E7667"/>
  <c r="E7668"/>
  <c r="F7668" s="1"/>
  <c r="E7669"/>
  <c r="E7670"/>
  <c r="E7671"/>
  <c r="E7672"/>
  <c r="F7672" s="1"/>
  <c r="E7673"/>
  <c r="E7674"/>
  <c r="E7675"/>
  <c r="E7676"/>
  <c r="F7676" s="1"/>
  <c r="E7677"/>
  <c r="E7678"/>
  <c r="E7679"/>
  <c r="E7680"/>
  <c r="F7680" s="1"/>
  <c r="E7681"/>
  <c r="E7682"/>
  <c r="E7683"/>
  <c r="E7684"/>
  <c r="F7684" s="1"/>
  <c r="E7685"/>
  <c r="E7686"/>
  <c r="E7687"/>
  <c r="E7688"/>
  <c r="F7688" s="1"/>
  <c r="E7689"/>
  <c r="E7690"/>
  <c r="E7691"/>
  <c r="E7692"/>
  <c r="F7692" s="1"/>
  <c r="E7693"/>
  <c r="E7694"/>
  <c r="E7695"/>
  <c r="E7696"/>
  <c r="F7696" s="1"/>
  <c r="E7697"/>
  <c r="E7698"/>
  <c r="E7699"/>
  <c r="E7700"/>
  <c r="F7700" s="1"/>
  <c r="E7701"/>
  <c r="E7702"/>
  <c r="E7703"/>
  <c r="E7704"/>
  <c r="F7704" s="1"/>
  <c r="E7705"/>
  <c r="E7706"/>
  <c r="E7707"/>
  <c r="E7708"/>
  <c r="F7708" s="1"/>
  <c r="E7709"/>
  <c r="E7710"/>
  <c r="E7711"/>
  <c r="E7712"/>
  <c r="F7712" s="1"/>
  <c r="E7713"/>
  <c r="E7714"/>
  <c r="E7715"/>
  <c r="E7716"/>
  <c r="F7716" s="1"/>
  <c r="E7717"/>
  <c r="E7718"/>
  <c r="E7719"/>
  <c r="E7720"/>
  <c r="E7721"/>
  <c r="E7722"/>
  <c r="E7723"/>
  <c r="E7724"/>
  <c r="F7724" s="1"/>
  <c r="E7725"/>
  <c r="E7726"/>
  <c r="E7727"/>
  <c r="E7728"/>
  <c r="F7728" s="1"/>
  <c r="E7729"/>
  <c r="E7730"/>
  <c r="E7731"/>
  <c r="E7732"/>
  <c r="F7732" s="1"/>
  <c r="E7733"/>
  <c r="E7734"/>
  <c r="E7735"/>
  <c r="E7736"/>
  <c r="E7737"/>
  <c r="E7738"/>
  <c r="E7739"/>
  <c r="E7740"/>
  <c r="F7740" s="1"/>
  <c r="E7741"/>
  <c r="E7742"/>
  <c r="E7743"/>
  <c r="E7744"/>
  <c r="F7744" s="1"/>
  <c r="E7745"/>
  <c r="E7746"/>
  <c r="E7747"/>
  <c r="E7748"/>
  <c r="F7748" s="1"/>
  <c r="E7749"/>
  <c r="E7750"/>
  <c r="E7751"/>
  <c r="E7752"/>
  <c r="E7753"/>
  <c r="E7754"/>
  <c r="E7755"/>
  <c r="E7756"/>
  <c r="F7756" s="1"/>
  <c r="E7757"/>
  <c r="E7758"/>
  <c r="E7759"/>
  <c r="E7760"/>
  <c r="F7760" s="1"/>
  <c r="E7761"/>
  <c r="E7762"/>
  <c r="E7763"/>
  <c r="E7764"/>
  <c r="F7764" s="1"/>
  <c r="E7765"/>
  <c r="E7766"/>
  <c r="E7767"/>
  <c r="E7768"/>
  <c r="E7769"/>
  <c r="E7770"/>
  <c r="E7771"/>
  <c r="E7772"/>
  <c r="F7772" s="1"/>
  <c r="E7773"/>
  <c r="E7774"/>
  <c r="E7775"/>
  <c r="E7776"/>
  <c r="F7776" s="1"/>
  <c r="E7777"/>
  <c r="E7778"/>
  <c r="E7779"/>
  <c r="E7780"/>
  <c r="F7780" s="1"/>
  <c r="E7781"/>
  <c r="E7782"/>
  <c r="E7783"/>
  <c r="E7784"/>
  <c r="E7785"/>
  <c r="E7786"/>
  <c r="E7787"/>
  <c r="E7788"/>
  <c r="F7788" s="1"/>
  <c r="E7789"/>
  <c r="E7790"/>
  <c r="E7791"/>
  <c r="E7792"/>
  <c r="F7792" s="1"/>
  <c r="E7793"/>
  <c r="E7794"/>
  <c r="E7795"/>
  <c r="E7796"/>
  <c r="F7796" s="1"/>
  <c r="E7797"/>
  <c r="E7798"/>
  <c r="E7799"/>
  <c r="E7800"/>
  <c r="E7801"/>
  <c r="E7802"/>
  <c r="E7803"/>
  <c r="E7804"/>
  <c r="F7804" s="1"/>
  <c r="E7805"/>
  <c r="E7806"/>
  <c r="E7807"/>
  <c r="E7808"/>
  <c r="F7808" s="1"/>
  <c r="E7809"/>
  <c r="E7810"/>
  <c r="E7811"/>
  <c r="E7812"/>
  <c r="F7812" s="1"/>
  <c r="E7813"/>
  <c r="E7814"/>
  <c r="E7815"/>
  <c r="E7816"/>
  <c r="E7817"/>
  <c r="E7818"/>
  <c r="E7819"/>
  <c r="E7820"/>
  <c r="F7820" s="1"/>
  <c r="E7821"/>
  <c r="E7822"/>
  <c r="E7823"/>
  <c r="E7824"/>
  <c r="F7824" s="1"/>
  <c r="E7825"/>
  <c r="E7826"/>
  <c r="E7827"/>
  <c r="E7828"/>
  <c r="F7828" s="1"/>
  <c r="E7829"/>
  <c r="E7830"/>
  <c r="E7831"/>
  <c r="E7832"/>
  <c r="E7833"/>
  <c r="E7834"/>
  <c r="E7835"/>
  <c r="E7836"/>
  <c r="F7836" s="1"/>
  <c r="E7837"/>
  <c r="E7838"/>
  <c r="E7839"/>
  <c r="E7840"/>
  <c r="F7840" s="1"/>
  <c r="E7841"/>
  <c r="E7842"/>
  <c r="E7843"/>
  <c r="E7844"/>
  <c r="F7844" s="1"/>
  <c r="E7845"/>
  <c r="E7846"/>
  <c r="E7847"/>
  <c r="E7848"/>
  <c r="E7849"/>
  <c r="E7850"/>
  <c r="E7851"/>
  <c r="E7852"/>
  <c r="F7852" s="1"/>
  <c r="E7853"/>
  <c r="E7854"/>
  <c r="E7855"/>
  <c r="E7856"/>
  <c r="F7856" s="1"/>
  <c r="E7857"/>
  <c r="E7858"/>
  <c r="E7859"/>
  <c r="E7860"/>
  <c r="F7860" s="1"/>
  <c r="E7861"/>
  <c r="E7862"/>
  <c r="E7863"/>
  <c r="E7864"/>
  <c r="E7865"/>
  <c r="E7866"/>
  <c r="E7867"/>
  <c r="E7868"/>
  <c r="F7868" s="1"/>
  <c r="E7869"/>
  <c r="E7870"/>
  <c r="E7871"/>
  <c r="E7872"/>
  <c r="F7872" s="1"/>
  <c r="E7873"/>
  <c r="E7874"/>
  <c r="E7875"/>
  <c r="E7876"/>
  <c r="F7876" s="1"/>
  <c r="E7877"/>
  <c r="E7878"/>
  <c r="E7879"/>
  <c r="E7880"/>
  <c r="E7881"/>
  <c r="E7882"/>
  <c r="E7883"/>
  <c r="E7884"/>
  <c r="F7884" s="1"/>
  <c r="E7885"/>
  <c r="E7886"/>
  <c r="E7887"/>
  <c r="E7888"/>
  <c r="F7888" s="1"/>
  <c r="E7889"/>
  <c r="E7890"/>
  <c r="E7891"/>
  <c r="E7892"/>
  <c r="F7892" s="1"/>
  <c r="E7893"/>
  <c r="E7894"/>
  <c r="E7895"/>
  <c r="E7896"/>
  <c r="E7897"/>
  <c r="E7898"/>
  <c r="E7899"/>
  <c r="E7900"/>
  <c r="F7900" s="1"/>
  <c r="E7901"/>
  <c r="E7902"/>
  <c r="E7903"/>
  <c r="E7904"/>
  <c r="F7904" s="1"/>
  <c r="E7905"/>
  <c r="E7906"/>
  <c r="E7907"/>
  <c r="E7908"/>
  <c r="F7908" s="1"/>
  <c r="E7909"/>
  <c r="E7910"/>
  <c r="E7911"/>
  <c r="E7912"/>
  <c r="E7913"/>
  <c r="E7914"/>
  <c r="E7915"/>
  <c r="E7916"/>
  <c r="F7916" s="1"/>
  <c r="E7917"/>
  <c r="E7918"/>
  <c r="E7919"/>
  <c r="E7920"/>
  <c r="F7920" s="1"/>
  <c r="E7921"/>
  <c r="E7922"/>
  <c r="E7923"/>
  <c r="E7924"/>
  <c r="F7924" s="1"/>
  <c r="E7925"/>
  <c r="E7926"/>
  <c r="E7927"/>
  <c r="E7928"/>
  <c r="E7929"/>
  <c r="E7930"/>
  <c r="E7931"/>
  <c r="E7932"/>
  <c r="F7932" s="1"/>
  <c r="E7933"/>
  <c r="E7934"/>
  <c r="E7935"/>
  <c r="E7936"/>
  <c r="F7936" s="1"/>
  <c r="E7937"/>
  <c r="E7938"/>
  <c r="E7939"/>
  <c r="E7940"/>
  <c r="F7940" s="1"/>
  <c r="E7941"/>
  <c r="E7942"/>
  <c r="E7943"/>
  <c r="E7944"/>
  <c r="E7945"/>
  <c r="E7946"/>
  <c r="E7947"/>
  <c r="E7948"/>
  <c r="F7948" s="1"/>
  <c r="E7949"/>
  <c r="E7950"/>
  <c r="E7951"/>
  <c r="E7952"/>
  <c r="F7952" s="1"/>
  <c r="E7953"/>
  <c r="E7954"/>
  <c r="E7955"/>
  <c r="E7956"/>
  <c r="F7956" s="1"/>
  <c r="E7957"/>
  <c r="E7958"/>
  <c r="E7959"/>
  <c r="E7960"/>
  <c r="E7961"/>
  <c r="E7962"/>
  <c r="E7963"/>
  <c r="E7964"/>
  <c r="F7964" s="1"/>
  <c r="E7965"/>
  <c r="E7966"/>
  <c r="E7967"/>
  <c r="E7968"/>
  <c r="F7968" s="1"/>
  <c r="E7969"/>
  <c r="E7970"/>
  <c r="E7971"/>
  <c r="E7972"/>
  <c r="F7972" s="1"/>
  <c r="E7973"/>
  <c r="E7974"/>
  <c r="E7975"/>
  <c r="E7976"/>
  <c r="E7977"/>
  <c r="E7978"/>
  <c r="E7979"/>
  <c r="E7980"/>
  <c r="F7980" s="1"/>
  <c r="E7981"/>
  <c r="E7982"/>
  <c r="E7983"/>
  <c r="E7984"/>
  <c r="F7984" s="1"/>
  <c r="E7985"/>
  <c r="E7986"/>
  <c r="E7987"/>
  <c r="E7988"/>
  <c r="F7988" s="1"/>
  <c r="E7989"/>
  <c r="E7990"/>
  <c r="E7991"/>
  <c r="E7992"/>
  <c r="E7993"/>
  <c r="E7994"/>
  <c r="E7995"/>
  <c r="E7996"/>
  <c r="F7996" s="1"/>
  <c r="E7997"/>
  <c r="E7998"/>
  <c r="E7999"/>
  <c r="E8000"/>
  <c r="F8000" s="1"/>
  <c r="E8001"/>
  <c r="E8002"/>
  <c r="E8003"/>
  <c r="E8004"/>
  <c r="F8004" s="1"/>
  <c r="E8005"/>
  <c r="E8006"/>
  <c r="E8007"/>
  <c r="E8008"/>
  <c r="E8009"/>
  <c r="E8010"/>
  <c r="E8011"/>
  <c r="E8012"/>
  <c r="F8012" s="1"/>
  <c r="E8013"/>
  <c r="E8014"/>
  <c r="E8015"/>
  <c r="E8016"/>
  <c r="F8016" s="1"/>
  <c r="E8017"/>
  <c r="E8018"/>
  <c r="E8019"/>
  <c r="E8020"/>
  <c r="F8020" s="1"/>
  <c r="E8021"/>
  <c r="E8022"/>
  <c r="E8023"/>
  <c r="E8024"/>
  <c r="E8025"/>
  <c r="E8026"/>
  <c r="E8027"/>
  <c r="E8028"/>
  <c r="F8028" s="1"/>
  <c r="E8029"/>
  <c r="E8030"/>
  <c r="E8031"/>
  <c r="E8032"/>
  <c r="F8032" s="1"/>
  <c r="E8033"/>
  <c r="E8034"/>
  <c r="E8035"/>
  <c r="E8036"/>
  <c r="F8036" s="1"/>
  <c r="E8037"/>
  <c r="E8038"/>
  <c r="E8039"/>
  <c r="E8040"/>
  <c r="E8041"/>
  <c r="E8042"/>
  <c r="E8043"/>
  <c r="E8044"/>
  <c r="F8044" s="1"/>
  <c r="E8045"/>
  <c r="E8046"/>
  <c r="E8047"/>
  <c r="E8048"/>
  <c r="F8048" s="1"/>
  <c r="E8049"/>
  <c r="E8050"/>
  <c r="E8051"/>
  <c r="E8052"/>
  <c r="F8052" s="1"/>
  <c r="E8053"/>
  <c r="E8054"/>
  <c r="E8055"/>
  <c r="E8056"/>
  <c r="E8057"/>
  <c r="E8058"/>
  <c r="E8059"/>
  <c r="E8060"/>
  <c r="F8060" s="1"/>
  <c r="E8061"/>
  <c r="E8062"/>
  <c r="E8063"/>
  <c r="E8064"/>
  <c r="F8064" s="1"/>
  <c r="E8065"/>
  <c r="E8066"/>
  <c r="E8067"/>
  <c r="E8068"/>
  <c r="F8068" s="1"/>
  <c r="E8069"/>
  <c r="E8070"/>
  <c r="E8071"/>
  <c r="E8072"/>
  <c r="E8073"/>
  <c r="E8074"/>
  <c r="E8075"/>
  <c r="E8076"/>
  <c r="F8076" s="1"/>
  <c r="E8077"/>
  <c r="E8078"/>
  <c r="E8079"/>
  <c r="E8080"/>
  <c r="F8080" s="1"/>
  <c r="E8081"/>
  <c r="E8082"/>
  <c r="E8083"/>
  <c r="E8084"/>
  <c r="F8084" s="1"/>
  <c r="E8085"/>
  <c r="E8086"/>
  <c r="E8087"/>
  <c r="E8088"/>
  <c r="E8089"/>
  <c r="E8090"/>
  <c r="E8091"/>
  <c r="E8092"/>
  <c r="F8092" s="1"/>
  <c r="E8093"/>
  <c r="E8094"/>
  <c r="E8095"/>
  <c r="E8096"/>
  <c r="F8096" s="1"/>
  <c r="E8097"/>
  <c r="E8098"/>
  <c r="E8099"/>
  <c r="E8100"/>
  <c r="F8100" s="1"/>
  <c r="E8101"/>
  <c r="E8102"/>
  <c r="E8103"/>
  <c r="E8104"/>
  <c r="E8105"/>
  <c r="E8106"/>
  <c r="E8107"/>
  <c r="E8108"/>
  <c r="F8108" s="1"/>
  <c r="E8109"/>
  <c r="E8110"/>
  <c r="E8111"/>
  <c r="E8112"/>
  <c r="F8112" s="1"/>
  <c r="E8113"/>
  <c r="E8114"/>
  <c r="E8115"/>
  <c r="E8116"/>
  <c r="F8116" s="1"/>
  <c r="E8117"/>
  <c r="E8118"/>
  <c r="E8119"/>
  <c r="E8120"/>
  <c r="E8121"/>
  <c r="E8122"/>
  <c r="E8123"/>
  <c r="E8124"/>
  <c r="F8124" s="1"/>
  <c r="E8125"/>
  <c r="E8126"/>
  <c r="E8127"/>
  <c r="E8128"/>
  <c r="F8128" s="1"/>
  <c r="E8129"/>
  <c r="E8130"/>
  <c r="E8131"/>
  <c r="E8132"/>
  <c r="F8132" s="1"/>
  <c r="E8133"/>
  <c r="E8134"/>
  <c r="E8135"/>
  <c r="E8136"/>
  <c r="E8137"/>
  <c r="E8138"/>
  <c r="E8139"/>
  <c r="E8140"/>
  <c r="F8140" s="1"/>
  <c r="E8141"/>
  <c r="E8142"/>
  <c r="E8143"/>
  <c r="E8144"/>
  <c r="F8144" s="1"/>
  <c r="E8145"/>
  <c r="E8146"/>
  <c r="E8147"/>
  <c r="E8148"/>
  <c r="F8148" s="1"/>
  <c r="E8149"/>
  <c r="E8150"/>
  <c r="E8151"/>
  <c r="E8152"/>
  <c r="E8153"/>
  <c r="E8154"/>
  <c r="E8155"/>
  <c r="E8156"/>
  <c r="F8156" s="1"/>
  <c r="E8157"/>
  <c r="E8158"/>
  <c r="E8159"/>
  <c r="E8160"/>
  <c r="F8160" s="1"/>
  <c r="E8161"/>
  <c r="E8162"/>
  <c r="E8163"/>
  <c r="E8164"/>
  <c r="F8164" s="1"/>
  <c r="E8165"/>
  <c r="E8166"/>
  <c r="E8167"/>
  <c r="E8168"/>
  <c r="E8169"/>
  <c r="E8170"/>
  <c r="E8171"/>
  <c r="E8172"/>
  <c r="F8172" s="1"/>
  <c r="E8173"/>
  <c r="E8174"/>
  <c r="E8175"/>
  <c r="E8176"/>
  <c r="F8176" s="1"/>
  <c r="E8177"/>
  <c r="E8178"/>
  <c r="E8179"/>
  <c r="E8180"/>
  <c r="F8180" s="1"/>
  <c r="E8181"/>
  <c r="E8182"/>
  <c r="E8183"/>
  <c r="E8184"/>
  <c r="E8185"/>
  <c r="E8186"/>
  <c r="E8187"/>
  <c r="E8188"/>
  <c r="F8188" s="1"/>
  <c r="E8189"/>
  <c r="E8190"/>
  <c r="E8191"/>
  <c r="E8192"/>
  <c r="F8192" s="1"/>
  <c r="E8193"/>
  <c r="E8194"/>
  <c r="E8195"/>
  <c r="E8196"/>
  <c r="F8196" s="1"/>
  <c r="E8197"/>
  <c r="E8198"/>
  <c r="E8199"/>
  <c r="E8200"/>
  <c r="E8201"/>
  <c r="E8202"/>
  <c r="E8203"/>
  <c r="E8204"/>
  <c r="F8204" s="1"/>
  <c r="E8205"/>
  <c r="E8206"/>
  <c r="E8207"/>
  <c r="E8208"/>
  <c r="F8208" s="1"/>
  <c r="E8209"/>
  <c r="E8210"/>
  <c r="E8211"/>
  <c r="E8212"/>
  <c r="F8212" s="1"/>
  <c r="E8213"/>
  <c r="E8214"/>
  <c r="E8215"/>
  <c r="E8216"/>
  <c r="E8217"/>
  <c r="E8218"/>
  <c r="E8219"/>
  <c r="E8220"/>
  <c r="F8220" s="1"/>
  <c r="E8221"/>
  <c r="E8222"/>
  <c r="E8223"/>
  <c r="E8224"/>
  <c r="F8224" s="1"/>
  <c r="E8225"/>
  <c r="E8226"/>
  <c r="E8227"/>
  <c r="E8228"/>
  <c r="F8228" s="1"/>
  <c r="E8229"/>
  <c r="E8230"/>
  <c r="E8231"/>
  <c r="E8232"/>
  <c r="E8233"/>
  <c r="E8234"/>
  <c r="E8235"/>
  <c r="E8236"/>
  <c r="F8236" s="1"/>
  <c r="E8237"/>
  <c r="E8238"/>
  <c r="E8239"/>
  <c r="E8240"/>
  <c r="F8240" s="1"/>
  <c r="E8241"/>
  <c r="E8242"/>
  <c r="E8243"/>
  <c r="E8244"/>
  <c r="F8244" s="1"/>
  <c r="E8245"/>
  <c r="E8246"/>
  <c r="E8247"/>
  <c r="E8248"/>
  <c r="E8249"/>
  <c r="E8250"/>
  <c r="E8251"/>
  <c r="E8252"/>
  <c r="F8252" s="1"/>
  <c r="E8253"/>
  <c r="E8254"/>
  <c r="E8255"/>
  <c r="E8256"/>
  <c r="F8256" s="1"/>
  <c r="E8257"/>
  <c r="E8258"/>
  <c r="E8259"/>
  <c r="E8260"/>
  <c r="F8260" s="1"/>
  <c r="E8261"/>
  <c r="E8262"/>
  <c r="E8263"/>
  <c r="E8264"/>
  <c r="E8265"/>
  <c r="E8266"/>
  <c r="E8267"/>
  <c r="E8268"/>
  <c r="F8268" s="1"/>
  <c r="E8269"/>
  <c r="E8270"/>
  <c r="E8271"/>
  <c r="E8272"/>
  <c r="F8272" s="1"/>
  <c r="E8273"/>
  <c r="E8274"/>
  <c r="E8275"/>
  <c r="E8276"/>
  <c r="F8276" s="1"/>
  <c r="E8277"/>
  <c r="E8278"/>
  <c r="E8279"/>
  <c r="E8280"/>
  <c r="E8281"/>
  <c r="E8282"/>
  <c r="E8283"/>
  <c r="E8284"/>
  <c r="F8284" s="1"/>
  <c r="E8285"/>
  <c r="E8286"/>
  <c r="E8287"/>
  <c r="E8288"/>
  <c r="F8288" s="1"/>
  <c r="E8289"/>
  <c r="E8290"/>
  <c r="E8291"/>
  <c r="E8292"/>
  <c r="F8292" s="1"/>
  <c r="E8293"/>
  <c r="E8294"/>
  <c r="E8295"/>
  <c r="E8296"/>
  <c r="E8297"/>
  <c r="E8298"/>
  <c r="E8299"/>
  <c r="E8300"/>
  <c r="F8300" s="1"/>
  <c r="E8301"/>
  <c r="E8302"/>
  <c r="E8303"/>
  <c r="E8304"/>
  <c r="F8304" s="1"/>
  <c r="E8305"/>
  <c r="E8306"/>
  <c r="E8307"/>
  <c r="E8308"/>
  <c r="F8308" s="1"/>
  <c r="E8309"/>
  <c r="E8310"/>
  <c r="E8311"/>
  <c r="E8312"/>
  <c r="E8313"/>
  <c r="E8314"/>
  <c r="E8315"/>
  <c r="E8316"/>
  <c r="F8316" s="1"/>
  <c r="E8317"/>
  <c r="E8318"/>
  <c r="E8319"/>
  <c r="E8320"/>
  <c r="F8320" s="1"/>
  <c r="E8321"/>
  <c r="E8322"/>
  <c r="E8323"/>
  <c r="E8324"/>
  <c r="F8324" s="1"/>
  <c r="E8325"/>
  <c r="E8326"/>
  <c r="E8327"/>
  <c r="E8328"/>
  <c r="E8329"/>
  <c r="E8330"/>
  <c r="E8331"/>
  <c r="E8332"/>
  <c r="F8332" s="1"/>
  <c r="E8333"/>
  <c r="E8334"/>
  <c r="E8335"/>
  <c r="E8336"/>
  <c r="F8336" s="1"/>
  <c r="E8337"/>
  <c r="E8338"/>
  <c r="E8339"/>
  <c r="E8340"/>
  <c r="F8340" s="1"/>
  <c r="E8341"/>
  <c r="E8342"/>
  <c r="E8343"/>
  <c r="E8344"/>
  <c r="E8345"/>
  <c r="E8346"/>
  <c r="E8347"/>
  <c r="E8348"/>
  <c r="F8348" s="1"/>
  <c r="E8349"/>
  <c r="E8350"/>
  <c r="E8351"/>
  <c r="E8352"/>
  <c r="F8352" s="1"/>
  <c r="E8353"/>
  <c r="E8354"/>
  <c r="E8355"/>
  <c r="E8356"/>
  <c r="F8356" s="1"/>
  <c r="E8357"/>
  <c r="E8358"/>
  <c r="E8359"/>
  <c r="E8360"/>
  <c r="E8361"/>
  <c r="E8362"/>
  <c r="E8363"/>
  <c r="E8364"/>
  <c r="F8364" s="1"/>
  <c r="E8365"/>
  <c r="E8366"/>
  <c r="E8367"/>
  <c r="E8368"/>
  <c r="F8368" s="1"/>
  <c r="E8369"/>
  <c r="E8370"/>
  <c r="E8371"/>
  <c r="E8372"/>
  <c r="F8372" s="1"/>
  <c r="E8373"/>
  <c r="E8374"/>
  <c r="E8375"/>
  <c r="E8376"/>
  <c r="E8377"/>
  <c r="E8378"/>
  <c r="E8379"/>
  <c r="E8380"/>
  <c r="F8380" s="1"/>
  <c r="E8381"/>
  <c r="E8382"/>
  <c r="E8383"/>
  <c r="E8384"/>
  <c r="F8384" s="1"/>
  <c r="E8385"/>
  <c r="E8386"/>
  <c r="E8387"/>
  <c r="E8388"/>
  <c r="F8388" s="1"/>
  <c r="E8389"/>
  <c r="E8390"/>
  <c r="E8391"/>
  <c r="E8392"/>
  <c r="E8393"/>
  <c r="E8394"/>
  <c r="E8395"/>
  <c r="E8396"/>
  <c r="F8396" s="1"/>
  <c r="E8397"/>
  <c r="E8398"/>
  <c r="E8399"/>
  <c r="E8400"/>
  <c r="F8400" s="1"/>
  <c r="E8401"/>
  <c r="E8402"/>
  <c r="E8403"/>
  <c r="E8404"/>
  <c r="F8404" s="1"/>
  <c r="E8405"/>
  <c r="E8406"/>
  <c r="E8407"/>
  <c r="E8408"/>
  <c r="E8409"/>
  <c r="E8410"/>
  <c r="E8411"/>
  <c r="E8412"/>
  <c r="F8412" s="1"/>
  <c r="E8413"/>
  <c r="E8414"/>
  <c r="E8415"/>
  <c r="E8416"/>
  <c r="F8416" s="1"/>
  <c r="E8417"/>
  <c r="E8418"/>
  <c r="E8419"/>
  <c r="E8420"/>
  <c r="F8420" s="1"/>
  <c r="E8421"/>
  <c r="E8422"/>
  <c r="E8423"/>
  <c r="E8424"/>
  <c r="E8425"/>
  <c r="E8426"/>
  <c r="E8427"/>
  <c r="E8428"/>
  <c r="F8428" s="1"/>
  <c r="E8429"/>
  <c r="E8430"/>
  <c r="E8431"/>
  <c r="E8432"/>
  <c r="F8432" s="1"/>
  <c r="E8433"/>
  <c r="E8434"/>
  <c r="E8435"/>
  <c r="E8436"/>
  <c r="F8436" s="1"/>
  <c r="E8437"/>
  <c r="E8438"/>
  <c r="E8439"/>
  <c r="E8440"/>
  <c r="F8440" s="1"/>
  <c r="E8441"/>
  <c r="E8442"/>
  <c r="E8443"/>
  <c r="E8444"/>
  <c r="F8444" s="1"/>
  <c r="E8445"/>
  <c r="E8446"/>
  <c r="E8447"/>
  <c r="E8448"/>
  <c r="F8448" s="1"/>
  <c r="E8449"/>
  <c r="E8450"/>
  <c r="E8451"/>
  <c r="E8452"/>
  <c r="F8452" s="1"/>
  <c r="E8453"/>
  <c r="E8454"/>
  <c r="E8455"/>
  <c r="E8456"/>
  <c r="F8456" s="1"/>
  <c r="E8457"/>
  <c r="E8458"/>
  <c r="E8459"/>
  <c r="E8460"/>
  <c r="E8461"/>
  <c r="E8462"/>
  <c r="E8463"/>
  <c r="E8464"/>
  <c r="F8464" s="1"/>
  <c r="E8465"/>
  <c r="E8466"/>
  <c r="E8467"/>
  <c r="E8468"/>
  <c r="F8468" s="1"/>
  <c r="E8469"/>
  <c r="E8470"/>
  <c r="E8471"/>
  <c r="E8472"/>
  <c r="F8472" s="1"/>
  <c r="E8473"/>
  <c r="E8474"/>
  <c r="E8475"/>
  <c r="E8476"/>
  <c r="F8476" s="1"/>
  <c r="E8477"/>
  <c r="E8478"/>
  <c r="E8479"/>
  <c r="E8480"/>
  <c r="F8480" s="1"/>
  <c r="E8481"/>
  <c r="E8482"/>
  <c r="E8483"/>
  <c r="E8484"/>
  <c r="F8484" s="1"/>
  <c r="E8485"/>
  <c r="E8486"/>
  <c r="E8487"/>
  <c r="E8488"/>
  <c r="F8488" s="1"/>
  <c r="E8489"/>
  <c r="E8490"/>
  <c r="E8491"/>
  <c r="E8492"/>
  <c r="F8492" s="1"/>
  <c r="E8493"/>
  <c r="E8494"/>
  <c r="E8495"/>
  <c r="E8496"/>
  <c r="F8496" s="1"/>
  <c r="E8497"/>
  <c r="E8498"/>
  <c r="E8499"/>
  <c r="E8500"/>
  <c r="F8500" s="1"/>
  <c r="E8501"/>
  <c r="E8502"/>
  <c r="E8503"/>
  <c r="E8504"/>
  <c r="F8504" s="1"/>
  <c r="E8505"/>
  <c r="E8506"/>
  <c r="E8507"/>
  <c r="E8508"/>
  <c r="F8508" s="1"/>
  <c r="E8509"/>
  <c r="E8510"/>
  <c r="E8511"/>
  <c r="E8512"/>
  <c r="F8512" s="1"/>
  <c r="E8513"/>
  <c r="E8514"/>
  <c r="E8515"/>
  <c r="E8516"/>
  <c r="F8516" s="1"/>
  <c r="E8517"/>
  <c r="E8518"/>
  <c r="E8519"/>
  <c r="E8520"/>
  <c r="E8521"/>
  <c r="E8522"/>
  <c r="E8523"/>
  <c r="E8524"/>
  <c r="F8524" s="1"/>
  <c r="E8525"/>
  <c r="E8526"/>
  <c r="E8527"/>
  <c r="E8528"/>
  <c r="F8528" s="1"/>
  <c r="E8529"/>
  <c r="E8530"/>
  <c r="E8531"/>
  <c r="E8532"/>
  <c r="F8532" s="1"/>
  <c r="E8533"/>
  <c r="E8534"/>
  <c r="E8535"/>
  <c r="E8536"/>
  <c r="F8536" s="1"/>
  <c r="E8537"/>
  <c r="E8538"/>
  <c r="E8539"/>
  <c r="E8540"/>
  <c r="F8540" s="1"/>
  <c r="E8541"/>
  <c r="E8542"/>
  <c r="E8543"/>
  <c r="E8544"/>
  <c r="F8544" s="1"/>
  <c r="E8545"/>
  <c r="E8546"/>
  <c r="E8547"/>
  <c r="E8548"/>
  <c r="F8548" s="1"/>
  <c r="E8549"/>
  <c r="E8550"/>
  <c r="E8551"/>
  <c r="E8552"/>
  <c r="F8552" s="1"/>
  <c r="E8553"/>
  <c r="E8554"/>
  <c r="E8555"/>
  <c r="E8556"/>
  <c r="F8556" s="1"/>
  <c r="E8557"/>
  <c r="E8558"/>
  <c r="E8559"/>
  <c r="E8560"/>
  <c r="F8560" s="1"/>
  <c r="E8561"/>
  <c r="E8562"/>
  <c r="E8563"/>
  <c r="E8564"/>
  <c r="F8564" s="1"/>
  <c r="E8565"/>
  <c r="E8566"/>
  <c r="E8567"/>
  <c r="E8568"/>
  <c r="F8568" s="1"/>
  <c r="E8569"/>
  <c r="E8570"/>
  <c r="E8571"/>
  <c r="E8572"/>
  <c r="E8573"/>
  <c r="E8574"/>
  <c r="E8575"/>
  <c r="E8576"/>
  <c r="F8576" s="1"/>
  <c r="E8577"/>
  <c r="E8578"/>
  <c r="E8579"/>
  <c r="E8580"/>
  <c r="F8580" s="1"/>
  <c r="E8581"/>
  <c r="E8582"/>
  <c r="E8583"/>
  <c r="E8584"/>
  <c r="F8584" s="1"/>
  <c r="E8585"/>
  <c r="E8586"/>
  <c r="E8587"/>
  <c r="E8588"/>
  <c r="F8588" s="1"/>
  <c r="E8589"/>
  <c r="E8590"/>
  <c r="E8591"/>
  <c r="E8592"/>
  <c r="F8592" s="1"/>
  <c r="E8593"/>
  <c r="E8594"/>
  <c r="E8595"/>
  <c r="E8596"/>
  <c r="F8596" s="1"/>
  <c r="E8597"/>
  <c r="E8598"/>
  <c r="E8599"/>
  <c r="E8600"/>
  <c r="F8600" s="1"/>
  <c r="E8601"/>
  <c r="E8602"/>
  <c r="E8603"/>
  <c r="E8604"/>
  <c r="F8604" s="1"/>
  <c r="E8605"/>
  <c r="E8606"/>
  <c r="E8607"/>
  <c r="E8608"/>
  <c r="F8608" s="1"/>
  <c r="E8609"/>
  <c r="E8610"/>
  <c r="E8611"/>
  <c r="E8612"/>
  <c r="F8612" s="1"/>
  <c r="E8613"/>
  <c r="E8614"/>
  <c r="E8615"/>
  <c r="E8616"/>
  <c r="F8616" s="1"/>
  <c r="E8617"/>
  <c r="E8618"/>
  <c r="E8619"/>
  <c r="E8620"/>
  <c r="F8620" s="1"/>
  <c r="E8621"/>
  <c r="E8622"/>
  <c r="E8623"/>
  <c r="E8624"/>
  <c r="F8624" s="1"/>
  <c r="E8625"/>
  <c r="E8626"/>
  <c r="E8627"/>
  <c r="E8628"/>
  <c r="E8629"/>
  <c r="E8630"/>
  <c r="E8631"/>
  <c r="E8632"/>
  <c r="F8632" s="1"/>
  <c r="E8633"/>
  <c r="E8634"/>
  <c r="E8635"/>
  <c r="E8636"/>
  <c r="F8636" s="1"/>
  <c r="E8637"/>
  <c r="E8638"/>
  <c r="E8639"/>
  <c r="E8640"/>
  <c r="F8640" s="1"/>
  <c r="E8641"/>
  <c r="E8642"/>
  <c r="E8643"/>
  <c r="E8644"/>
  <c r="F8644" s="1"/>
  <c r="E8645"/>
  <c r="E8646"/>
  <c r="E8647"/>
  <c r="E8648"/>
  <c r="F8648" s="1"/>
  <c r="E8649"/>
  <c r="E8650"/>
  <c r="E8651"/>
  <c r="E8652"/>
  <c r="F8652" s="1"/>
  <c r="E8653"/>
  <c r="E8654"/>
  <c r="E8655"/>
  <c r="E8656"/>
  <c r="F8656" s="1"/>
  <c r="E8657"/>
  <c r="E8658"/>
  <c r="E8659"/>
  <c r="E8660"/>
  <c r="F8660" s="1"/>
  <c r="E8661"/>
  <c r="E8662"/>
  <c r="E8663"/>
  <c r="E8664"/>
  <c r="F8664" s="1"/>
  <c r="E8665"/>
  <c r="E8666"/>
  <c r="E8667"/>
  <c r="E8668"/>
  <c r="F8668" s="1"/>
  <c r="E8669"/>
  <c r="E8670"/>
  <c r="E8671"/>
  <c r="E8672"/>
  <c r="F8672" s="1"/>
  <c r="E8673"/>
  <c r="E8674"/>
  <c r="E8675"/>
  <c r="E8676"/>
  <c r="F8676" s="1"/>
  <c r="E8677"/>
  <c r="E8678"/>
  <c r="E8679"/>
  <c r="E8680"/>
  <c r="F8680" s="1"/>
  <c r="E8681"/>
  <c r="E8682"/>
  <c r="E8683"/>
  <c r="E8684"/>
  <c r="F8684" s="1"/>
  <c r="E8685"/>
  <c r="E8686"/>
  <c r="E8687"/>
  <c r="E8688"/>
  <c r="F8688" s="1"/>
  <c r="E8689"/>
  <c r="E8690"/>
  <c r="E8691"/>
  <c r="E8692"/>
  <c r="F8692" s="1"/>
  <c r="E8693"/>
  <c r="E8694"/>
  <c r="E8695"/>
  <c r="E8696"/>
  <c r="F8696" s="1"/>
  <c r="E8697"/>
  <c r="E8698"/>
  <c r="E8699"/>
  <c r="E8700"/>
  <c r="F8700" s="1"/>
  <c r="E8701"/>
  <c r="E8702"/>
  <c r="E8703"/>
  <c r="E8704"/>
  <c r="F8704" s="1"/>
  <c r="E8705"/>
  <c r="E8706"/>
  <c r="E8707"/>
  <c r="E8708"/>
  <c r="F8708" s="1"/>
  <c r="E8709"/>
  <c r="E8710"/>
  <c r="E8711"/>
  <c r="E8712"/>
  <c r="F8712" s="1"/>
  <c r="E8713"/>
  <c r="E8714"/>
  <c r="E8715"/>
  <c r="E8716"/>
  <c r="F8716" s="1"/>
  <c r="E8717"/>
  <c r="E8718"/>
  <c r="E8719"/>
  <c r="E8720"/>
  <c r="F8720" s="1"/>
  <c r="E8721"/>
  <c r="E8722"/>
  <c r="E8723"/>
  <c r="E8724"/>
  <c r="F8724" s="1"/>
  <c r="E8725"/>
  <c r="E8726"/>
  <c r="E8727"/>
  <c r="E8728"/>
  <c r="F8728" s="1"/>
  <c r="E8729"/>
  <c r="E8730"/>
  <c r="E8731"/>
  <c r="E8732"/>
  <c r="F8732" s="1"/>
  <c r="E8733"/>
  <c r="E8734"/>
  <c r="E8735"/>
  <c r="E8736"/>
  <c r="F8736" s="1"/>
  <c r="E8737"/>
  <c r="E8738"/>
  <c r="E8739"/>
  <c r="E8740"/>
  <c r="F8740" s="1"/>
  <c r="E8741"/>
  <c r="E8742"/>
  <c r="E8743"/>
  <c r="E8744"/>
  <c r="F8744" s="1"/>
  <c r="E8745"/>
  <c r="E8746"/>
  <c r="E8747"/>
  <c r="E8748"/>
  <c r="F8748" s="1"/>
  <c r="E8749"/>
  <c r="E8750"/>
  <c r="E8751"/>
  <c r="E8752"/>
  <c r="F8752" s="1"/>
  <c r="E8753"/>
  <c r="E8754"/>
  <c r="E8755"/>
  <c r="E8756"/>
  <c r="F8756" s="1"/>
  <c r="E8757"/>
  <c r="E8758"/>
  <c r="E8759"/>
  <c r="E8760"/>
  <c r="F8760" s="1"/>
  <c r="E8761"/>
  <c r="E8762"/>
  <c r="E8763"/>
  <c r="E8764"/>
  <c r="F8764" s="1"/>
  <c r="E8765"/>
  <c r="E8766"/>
  <c r="E8767"/>
  <c r="E8768"/>
  <c r="F8768" s="1"/>
  <c r="E8769"/>
  <c r="E8770"/>
  <c r="E8771"/>
  <c r="E8772"/>
  <c r="F8772" s="1"/>
  <c r="E8773"/>
  <c r="E8774"/>
  <c r="E8775"/>
  <c r="E8776"/>
  <c r="F8776" s="1"/>
  <c r="E8777"/>
  <c r="E8778"/>
  <c r="E8779"/>
  <c r="E8780"/>
  <c r="F8780" s="1"/>
  <c r="E8781"/>
  <c r="E8782"/>
  <c r="E8783"/>
  <c r="E8784"/>
  <c r="F8784" s="1"/>
  <c r="E8785"/>
  <c r="E8786"/>
  <c r="E8787"/>
  <c r="E8788"/>
  <c r="F8788" s="1"/>
  <c r="E8789"/>
  <c r="E8790"/>
  <c r="E8791"/>
  <c r="E8792"/>
  <c r="F8792" s="1"/>
  <c r="E8793"/>
  <c r="E8794"/>
  <c r="E8795"/>
  <c r="E8796"/>
  <c r="F8796" s="1"/>
  <c r="E8797"/>
  <c r="E8798"/>
  <c r="E8799"/>
  <c r="E8800"/>
  <c r="F8800" s="1"/>
  <c r="E8801"/>
  <c r="E8802"/>
  <c r="E8803"/>
  <c r="E8804"/>
  <c r="F8804" s="1"/>
  <c r="E8805"/>
  <c r="E8806"/>
  <c r="E8807"/>
  <c r="E8808"/>
  <c r="F8808" s="1"/>
  <c r="E8809"/>
  <c r="E8810"/>
  <c r="E8811"/>
  <c r="E8812"/>
  <c r="F8812" s="1"/>
  <c r="E8813"/>
  <c r="E8814"/>
  <c r="E8815"/>
  <c r="E8816"/>
  <c r="F8816" s="1"/>
  <c r="E8817"/>
  <c r="E8818"/>
  <c r="E8819"/>
  <c r="E8820"/>
  <c r="F8820" s="1"/>
  <c r="E8821"/>
  <c r="E8822"/>
  <c r="E8823"/>
  <c r="E8824"/>
  <c r="F8824" s="1"/>
  <c r="E8825"/>
  <c r="E8826"/>
  <c r="E8827"/>
  <c r="E8828"/>
  <c r="F8828" s="1"/>
  <c r="E8829"/>
  <c r="E8830"/>
  <c r="E8831"/>
  <c r="E8832"/>
  <c r="F8832" s="1"/>
  <c r="E8833"/>
  <c r="E8834"/>
  <c r="E8835"/>
  <c r="E8836"/>
  <c r="F8836" s="1"/>
  <c r="E8837"/>
  <c r="E8838"/>
  <c r="E8839"/>
  <c r="E8840"/>
  <c r="F8840" s="1"/>
  <c r="E8841"/>
  <c r="E8842"/>
  <c r="E8843"/>
  <c r="E8844"/>
  <c r="F8844" s="1"/>
  <c r="E8845"/>
  <c r="E8846"/>
  <c r="E8847"/>
  <c r="E8848"/>
  <c r="F8848" s="1"/>
  <c r="E8849"/>
  <c r="E8850"/>
  <c r="E8851"/>
  <c r="E8852"/>
  <c r="F8852" s="1"/>
  <c r="E8853"/>
  <c r="E8854"/>
  <c r="E8855"/>
  <c r="E8856"/>
  <c r="E8857"/>
  <c r="E8858"/>
  <c r="E8859"/>
  <c r="E8860"/>
  <c r="F8860" s="1"/>
  <c r="E8861"/>
  <c r="E8862"/>
  <c r="E8863"/>
  <c r="E8864"/>
  <c r="F8864" s="1"/>
  <c r="E8865"/>
  <c r="E8866"/>
  <c r="E8867"/>
  <c r="E8868"/>
  <c r="F8868" s="1"/>
  <c r="E8869"/>
  <c r="E8870"/>
  <c r="E8871"/>
  <c r="E8872"/>
  <c r="F8872" s="1"/>
  <c r="E8873"/>
  <c r="E8874"/>
  <c r="E8875"/>
  <c r="E8876"/>
  <c r="F8876" s="1"/>
  <c r="E8877"/>
  <c r="E8878"/>
  <c r="E8879"/>
  <c r="E8880"/>
  <c r="F8880" s="1"/>
  <c r="E8881"/>
  <c r="E8882"/>
  <c r="E8883"/>
  <c r="E8884"/>
  <c r="F8884" s="1"/>
  <c r="E8885"/>
  <c r="E8886"/>
  <c r="E8887"/>
  <c r="E8888"/>
  <c r="F8888" s="1"/>
  <c r="E8889"/>
  <c r="E8890"/>
  <c r="E8891"/>
  <c r="E8892"/>
  <c r="F8892" s="1"/>
  <c r="E8893"/>
  <c r="E8894"/>
  <c r="E8895"/>
  <c r="E8896"/>
  <c r="F8896" s="1"/>
  <c r="E8897"/>
  <c r="E8898"/>
  <c r="E8899"/>
  <c r="E8900"/>
  <c r="F8900" s="1"/>
  <c r="E8901"/>
  <c r="E8902"/>
  <c r="E8903"/>
  <c r="E8904"/>
  <c r="F8904" s="1"/>
  <c r="E8905"/>
  <c r="E8906"/>
  <c r="E8907"/>
  <c r="E8908"/>
  <c r="F8908" s="1"/>
  <c r="E8909"/>
  <c r="E8910"/>
  <c r="E8911"/>
  <c r="E8912"/>
  <c r="F8912" s="1"/>
  <c r="E8913"/>
  <c r="E8914"/>
  <c r="E8915"/>
  <c r="E8916"/>
  <c r="E8917"/>
  <c r="E8918"/>
  <c r="E8919"/>
  <c r="E8920"/>
  <c r="F8920" s="1"/>
  <c r="E8921"/>
  <c r="E8922"/>
  <c r="E8923"/>
  <c r="E8924"/>
  <c r="F8924" s="1"/>
  <c r="E8925"/>
  <c r="E8926"/>
  <c r="E8927"/>
  <c r="E8928"/>
  <c r="F8928" s="1"/>
  <c r="E8929"/>
  <c r="E8930"/>
  <c r="E8931"/>
  <c r="E8932"/>
  <c r="F8932" s="1"/>
  <c r="E8933"/>
  <c r="E8934"/>
  <c r="E8935"/>
  <c r="E8936"/>
  <c r="F8936" s="1"/>
  <c r="E8937"/>
  <c r="E8938"/>
  <c r="E8939"/>
  <c r="E8940"/>
  <c r="F8940" s="1"/>
  <c r="E8941"/>
  <c r="E8942"/>
  <c r="E8943"/>
  <c r="E8944"/>
  <c r="F8944" s="1"/>
  <c r="E8945"/>
  <c r="E8946"/>
  <c r="E8947"/>
  <c r="E8948"/>
  <c r="F8948" s="1"/>
  <c r="E8949"/>
  <c r="E8950"/>
  <c r="E8951"/>
  <c r="E8952"/>
  <c r="F8952" s="1"/>
  <c r="E8953"/>
  <c r="E8954"/>
  <c r="E8955"/>
  <c r="E8956"/>
  <c r="F8956" s="1"/>
  <c r="E8957"/>
  <c r="E8958"/>
  <c r="E8959"/>
  <c r="E8960"/>
  <c r="F8960" s="1"/>
  <c r="E8961"/>
  <c r="E8962"/>
  <c r="E8963"/>
  <c r="E8964"/>
  <c r="F8964" s="1"/>
  <c r="E8965"/>
  <c r="E8966"/>
  <c r="E8967"/>
  <c r="E8968"/>
  <c r="F8968" s="1"/>
  <c r="E8969"/>
  <c r="E8970"/>
  <c r="E8971"/>
  <c r="E8972"/>
  <c r="F8972" s="1"/>
  <c r="E8973"/>
  <c r="E8974"/>
  <c r="E8975"/>
  <c r="E8976"/>
  <c r="F8976" s="1"/>
  <c r="E8977"/>
  <c r="E8978"/>
  <c r="E8979"/>
  <c r="E8980"/>
  <c r="F8980" s="1"/>
  <c r="E8981"/>
  <c r="E8982"/>
  <c r="E8983"/>
  <c r="E8984"/>
  <c r="F8984" s="1"/>
  <c r="E8985"/>
  <c r="E8986"/>
  <c r="E8987"/>
  <c r="E8988"/>
  <c r="F8988" s="1"/>
  <c r="E8989"/>
  <c r="E8990"/>
  <c r="E8991"/>
  <c r="E8992"/>
  <c r="F8992" s="1"/>
  <c r="E8993"/>
  <c r="E8994"/>
  <c r="E8995"/>
  <c r="E8996"/>
  <c r="F8996" s="1"/>
  <c r="E8997"/>
  <c r="E8998"/>
  <c r="E8999"/>
  <c r="E9000"/>
  <c r="F9000" s="1"/>
  <c r="E9001"/>
  <c r="E9002"/>
  <c r="E9003"/>
  <c r="E9004"/>
  <c r="F9004" s="1"/>
  <c r="E9005"/>
  <c r="E9006"/>
  <c r="E9007"/>
  <c r="E9008"/>
  <c r="F9008" s="1"/>
  <c r="E9009"/>
  <c r="E9010"/>
  <c r="E9011"/>
  <c r="E9012"/>
  <c r="F9012" s="1"/>
  <c r="E9013"/>
  <c r="E9014"/>
  <c r="E9015"/>
  <c r="E9016"/>
  <c r="F9016" s="1"/>
  <c r="E9017"/>
  <c r="E9018"/>
  <c r="E9019"/>
  <c r="E9020"/>
  <c r="F9020" s="1"/>
  <c r="E9021"/>
  <c r="E9022"/>
  <c r="E9023"/>
  <c r="E9024"/>
  <c r="F9024" s="1"/>
  <c r="E9025"/>
  <c r="E9026"/>
  <c r="E9027"/>
  <c r="E9028"/>
  <c r="F9028" s="1"/>
  <c r="E9029"/>
  <c r="E9030"/>
  <c r="E9031"/>
  <c r="E9032"/>
  <c r="F9032" s="1"/>
  <c r="E9033"/>
  <c r="E9034"/>
  <c r="E9035"/>
  <c r="E9036"/>
  <c r="F9036" s="1"/>
  <c r="E9037"/>
  <c r="E9038"/>
  <c r="E9039"/>
  <c r="E9040"/>
  <c r="E9041"/>
  <c r="E9042"/>
  <c r="E9043"/>
  <c r="E9044"/>
  <c r="F9044" s="1"/>
  <c r="E9045"/>
  <c r="E9046"/>
  <c r="E9047"/>
  <c r="E9048"/>
  <c r="F9048" s="1"/>
  <c r="E9049"/>
  <c r="E9050"/>
  <c r="E9051"/>
  <c r="E9052"/>
  <c r="F9052" s="1"/>
  <c r="E9053"/>
  <c r="E9054"/>
  <c r="E9055"/>
  <c r="E9056"/>
  <c r="E9057"/>
  <c r="E9058"/>
  <c r="E9059"/>
  <c r="E9060"/>
  <c r="F9060" s="1"/>
  <c r="E9061"/>
  <c r="E9062"/>
  <c r="E9063"/>
  <c r="E9064"/>
  <c r="F9064" s="1"/>
  <c r="E9065"/>
  <c r="E9066"/>
  <c r="E9067"/>
  <c r="E9068"/>
  <c r="F9068" s="1"/>
  <c r="E9069"/>
  <c r="E9070"/>
  <c r="E9071"/>
  <c r="E9072"/>
  <c r="F9072" s="1"/>
  <c r="E9073"/>
  <c r="E9074"/>
  <c r="E9075"/>
  <c r="E9076"/>
  <c r="F9076" s="1"/>
  <c r="E9077"/>
  <c r="E9078"/>
  <c r="E9079"/>
  <c r="E9080"/>
  <c r="F9080" s="1"/>
  <c r="E9081"/>
  <c r="E9082"/>
  <c r="E9083"/>
  <c r="E9084"/>
  <c r="F9084" s="1"/>
  <c r="E9085"/>
  <c r="E9086"/>
  <c r="E9087"/>
  <c r="E9088"/>
  <c r="F9088" s="1"/>
  <c r="E9089"/>
  <c r="E9090"/>
  <c r="E9091"/>
  <c r="E9092"/>
  <c r="F9092" s="1"/>
  <c r="E9093"/>
  <c r="E9094"/>
  <c r="E9095"/>
  <c r="E9096"/>
  <c r="F9096" s="1"/>
  <c r="E9097"/>
  <c r="E9098"/>
  <c r="E9099"/>
  <c r="E9100"/>
  <c r="F9100" s="1"/>
  <c r="E9101"/>
  <c r="E9102"/>
  <c r="E9103"/>
  <c r="E9104"/>
  <c r="F9104" s="1"/>
  <c r="E9105"/>
  <c r="E9106"/>
  <c r="E9107"/>
  <c r="E9108"/>
  <c r="F9108" s="1"/>
  <c r="E9109"/>
  <c r="E9110"/>
  <c r="E9111"/>
  <c r="E9112"/>
  <c r="F9112" s="1"/>
  <c r="E9113"/>
  <c r="E9114"/>
  <c r="E9115"/>
  <c r="E9116"/>
  <c r="F9116" s="1"/>
  <c r="E9117"/>
  <c r="E9118"/>
  <c r="E9119"/>
  <c r="E9120"/>
  <c r="F9120" s="1"/>
  <c r="E9121"/>
  <c r="E9122"/>
  <c r="E9123"/>
  <c r="E9124"/>
  <c r="F9124" s="1"/>
  <c r="E9125"/>
  <c r="E9126"/>
  <c r="E9127"/>
  <c r="E9128"/>
  <c r="F9128" s="1"/>
  <c r="E9129"/>
  <c r="E9130"/>
  <c r="E9131"/>
  <c r="E9132"/>
  <c r="F9132" s="1"/>
  <c r="E9133"/>
  <c r="E9134"/>
  <c r="E9135"/>
  <c r="E9136"/>
  <c r="F9136" s="1"/>
  <c r="E9137"/>
  <c r="E9138"/>
  <c r="E9139"/>
  <c r="E9140"/>
  <c r="F9140" s="1"/>
  <c r="E9141"/>
  <c r="E9142"/>
  <c r="E9143"/>
  <c r="E9144"/>
  <c r="F9144" s="1"/>
  <c r="E9145"/>
  <c r="E9146"/>
  <c r="E9147"/>
  <c r="E9148"/>
  <c r="F9148" s="1"/>
  <c r="E9149"/>
  <c r="E9150"/>
  <c r="E9151"/>
  <c r="E9152"/>
  <c r="F9152" s="1"/>
  <c r="E9153"/>
  <c r="E9154"/>
  <c r="E9155"/>
  <c r="E9156"/>
  <c r="F9156" s="1"/>
  <c r="E9157"/>
  <c r="E9158"/>
  <c r="E9159"/>
  <c r="E9160"/>
  <c r="F9160" s="1"/>
  <c r="E9161"/>
  <c r="E9162"/>
  <c r="E9163"/>
  <c r="E9164"/>
  <c r="F9164" s="1"/>
  <c r="E9165"/>
  <c r="E9166"/>
  <c r="E9167"/>
  <c r="E9168"/>
  <c r="F9168" s="1"/>
  <c r="E9169"/>
  <c r="E9170"/>
  <c r="E9171"/>
  <c r="E9172"/>
  <c r="F9172" s="1"/>
  <c r="E9173"/>
  <c r="E9174"/>
  <c r="E9175"/>
  <c r="E9176"/>
  <c r="E9177"/>
  <c r="E9178"/>
  <c r="E9179"/>
  <c r="E9180"/>
  <c r="F9180" s="1"/>
  <c r="E9181"/>
  <c r="E9182"/>
  <c r="E9183"/>
  <c r="E9184"/>
  <c r="F9184" s="1"/>
  <c r="E9185"/>
  <c r="E9186"/>
  <c r="E9187"/>
  <c r="E9188"/>
  <c r="F9188" s="1"/>
  <c r="E9189"/>
  <c r="E9190"/>
  <c r="E9191"/>
  <c r="E9192"/>
  <c r="F9192" s="1"/>
  <c r="E9193"/>
  <c r="E9194"/>
  <c r="E9195"/>
  <c r="E9196"/>
  <c r="F9196" s="1"/>
  <c r="E9197"/>
  <c r="E9198"/>
  <c r="E9199"/>
  <c r="E9200"/>
  <c r="F9200" s="1"/>
  <c r="E9201"/>
  <c r="E9202"/>
  <c r="E9203"/>
  <c r="E9204"/>
  <c r="F9204" s="1"/>
  <c r="E9205"/>
  <c r="E9206"/>
  <c r="E9207"/>
  <c r="E9208"/>
  <c r="F9208" s="1"/>
  <c r="E9209"/>
  <c r="E9210"/>
  <c r="E9211"/>
  <c r="E9212"/>
  <c r="F9212" s="1"/>
  <c r="E9213"/>
  <c r="E9214"/>
  <c r="E9215"/>
  <c r="E9216"/>
  <c r="F9216" s="1"/>
  <c r="E9217"/>
  <c r="E9218"/>
  <c r="E9219"/>
  <c r="E9220"/>
  <c r="F9220" s="1"/>
  <c r="E9221"/>
  <c r="E9222"/>
  <c r="E9223"/>
  <c r="E9224"/>
  <c r="F9224" s="1"/>
  <c r="E9225"/>
  <c r="E9226"/>
  <c r="E9227"/>
  <c r="E9228"/>
  <c r="F9228" s="1"/>
  <c r="E9229"/>
  <c r="E9230"/>
  <c r="E9231"/>
  <c r="E9232"/>
  <c r="E9233"/>
  <c r="E9234"/>
  <c r="E9235"/>
  <c r="E9236"/>
  <c r="F9236" s="1"/>
  <c r="E9237"/>
  <c r="E9238"/>
  <c r="E9239"/>
  <c r="E9240"/>
  <c r="F9240" s="1"/>
  <c r="E9241"/>
  <c r="E9242"/>
  <c r="E9243"/>
  <c r="E9244"/>
  <c r="F9244" s="1"/>
  <c r="E9245"/>
  <c r="E9246"/>
  <c r="E9247"/>
  <c r="E9248"/>
  <c r="F9248" s="1"/>
  <c r="E9249"/>
  <c r="E9250"/>
  <c r="E9251"/>
  <c r="E9252"/>
  <c r="F9252" s="1"/>
  <c r="E9253"/>
  <c r="E9254"/>
  <c r="E9255"/>
  <c r="E9256"/>
  <c r="F9256" s="1"/>
  <c r="E9257"/>
  <c r="E9258"/>
  <c r="E9259"/>
  <c r="E9260"/>
  <c r="F9260" s="1"/>
  <c r="E9261"/>
  <c r="E9262"/>
  <c r="E9263"/>
  <c r="E9264"/>
  <c r="F9264" s="1"/>
  <c r="E9265"/>
  <c r="E9266"/>
  <c r="E9267"/>
  <c r="E9268"/>
  <c r="F9268" s="1"/>
  <c r="E9269"/>
  <c r="E9270"/>
  <c r="E9271"/>
  <c r="E9272"/>
  <c r="F9272" s="1"/>
  <c r="E9273"/>
  <c r="E9274"/>
  <c r="E9275"/>
  <c r="E9276"/>
  <c r="F9276" s="1"/>
  <c r="E9277"/>
  <c r="E9278"/>
  <c r="E9279"/>
  <c r="E9280"/>
  <c r="F9280" s="1"/>
  <c r="E9281"/>
  <c r="E9282"/>
  <c r="E9283"/>
  <c r="E9284"/>
  <c r="F9284" s="1"/>
  <c r="E9285"/>
  <c r="E9286"/>
  <c r="E9287"/>
  <c r="E9288"/>
  <c r="F9288" s="1"/>
  <c r="E9289"/>
  <c r="E9290"/>
  <c r="E9291"/>
  <c r="E9292"/>
  <c r="F9292" s="1"/>
  <c r="E9293"/>
  <c r="E9294"/>
  <c r="E9295"/>
  <c r="E9296"/>
  <c r="F9296" s="1"/>
  <c r="E9297"/>
  <c r="E9298"/>
  <c r="E9299"/>
  <c r="E9300"/>
  <c r="F9300" s="1"/>
  <c r="E9301"/>
  <c r="E9302"/>
  <c r="E9303"/>
  <c r="E9304"/>
  <c r="F9304" s="1"/>
  <c r="E9305"/>
  <c r="E9306"/>
  <c r="E9307"/>
  <c r="E9308"/>
  <c r="F9308" s="1"/>
  <c r="E9309"/>
  <c r="E9310"/>
  <c r="E9311"/>
  <c r="E9312"/>
  <c r="F9312" s="1"/>
  <c r="E9313"/>
  <c r="E9314"/>
  <c r="E9315"/>
  <c r="E9316"/>
  <c r="F9316" s="1"/>
  <c r="E9317"/>
  <c r="E9318"/>
  <c r="E9319"/>
  <c r="E9320"/>
  <c r="F9320" s="1"/>
  <c r="E9321"/>
  <c r="E9322"/>
  <c r="E9323"/>
  <c r="E9324"/>
  <c r="F9324" s="1"/>
  <c r="E9325"/>
  <c r="E9326"/>
  <c r="E9327"/>
  <c r="E9328"/>
  <c r="F9328" s="1"/>
  <c r="E9329"/>
  <c r="E9330"/>
  <c r="E9331"/>
  <c r="E9332"/>
  <c r="F9332" s="1"/>
  <c r="E9333"/>
  <c r="E9334"/>
  <c r="E9335"/>
  <c r="E9336"/>
  <c r="F9336" s="1"/>
  <c r="E9337"/>
  <c r="E9338"/>
  <c r="E9339"/>
  <c r="E9340"/>
  <c r="F9340" s="1"/>
  <c r="E9341"/>
  <c r="E9342"/>
  <c r="E9343"/>
  <c r="E9344"/>
  <c r="F9344" s="1"/>
  <c r="E9345"/>
  <c r="E9346"/>
  <c r="E9347"/>
  <c r="E9348"/>
  <c r="F9348" s="1"/>
  <c r="E9349"/>
  <c r="E9350"/>
  <c r="E9351"/>
  <c r="E9352"/>
  <c r="F9352" s="1"/>
  <c r="E9353"/>
  <c r="E9354"/>
  <c r="E9355"/>
  <c r="E9356"/>
  <c r="F9356" s="1"/>
  <c r="E9357"/>
  <c r="E9358"/>
  <c r="E9359"/>
  <c r="E9360"/>
  <c r="F9360" s="1"/>
  <c r="E9361"/>
  <c r="E9362"/>
  <c r="E9363"/>
  <c r="E9364"/>
  <c r="F9364" s="1"/>
  <c r="E9365"/>
  <c r="E9366"/>
  <c r="E9367"/>
  <c r="E9368"/>
  <c r="F9368" s="1"/>
  <c r="E9369"/>
  <c r="E9370"/>
  <c r="E9371"/>
  <c r="E9372"/>
  <c r="F9372" s="1"/>
  <c r="E9373"/>
  <c r="E9374"/>
  <c r="E9375"/>
  <c r="E9376"/>
  <c r="F9376" s="1"/>
  <c r="E9377"/>
  <c r="E9378"/>
  <c r="E9379"/>
  <c r="E9380"/>
  <c r="F9380" s="1"/>
  <c r="E9381"/>
  <c r="E9382"/>
  <c r="E9383"/>
  <c r="E9384"/>
  <c r="F9384" s="1"/>
  <c r="E9385"/>
  <c r="E9386"/>
  <c r="E9387"/>
  <c r="E9388"/>
  <c r="F9388" s="1"/>
  <c r="E9389"/>
  <c r="E9390"/>
  <c r="E9391"/>
  <c r="E9392"/>
  <c r="F9392" s="1"/>
  <c r="E9393"/>
  <c r="E9394"/>
  <c r="E9395"/>
  <c r="E9396"/>
  <c r="F9396" s="1"/>
  <c r="E9397"/>
  <c r="E9398"/>
  <c r="E9399"/>
  <c r="E9400"/>
  <c r="F9400" s="1"/>
  <c r="E9401"/>
  <c r="E9402"/>
  <c r="E9403"/>
  <c r="E9404"/>
  <c r="F9404" s="1"/>
  <c r="E9405"/>
  <c r="E9406"/>
  <c r="E9407"/>
  <c r="E9408"/>
  <c r="F9408" s="1"/>
  <c r="E9409"/>
  <c r="E9410"/>
  <c r="E9411"/>
  <c r="E9412"/>
  <c r="F9412" s="1"/>
  <c r="E9413"/>
  <c r="E9414"/>
  <c r="E9415"/>
  <c r="E9416"/>
  <c r="F9416" s="1"/>
  <c r="E9417"/>
  <c r="E9418"/>
  <c r="E9419"/>
  <c r="E9420"/>
  <c r="F9420" s="1"/>
  <c r="E9421"/>
  <c r="E9422"/>
  <c r="E9423"/>
  <c r="E9424"/>
  <c r="F9424" s="1"/>
  <c r="E9425"/>
  <c r="E9426"/>
  <c r="E9427"/>
  <c r="E9428"/>
  <c r="F9428" s="1"/>
  <c r="E9429"/>
  <c r="E9430"/>
  <c r="E9431"/>
  <c r="E9432"/>
  <c r="F9432" s="1"/>
  <c r="E9433"/>
  <c r="E9434"/>
  <c r="E9435"/>
  <c r="E9436"/>
  <c r="F9436" s="1"/>
  <c r="E9437"/>
  <c r="E9438"/>
  <c r="E9439"/>
  <c r="E9440"/>
  <c r="F9440" s="1"/>
  <c r="E9441"/>
  <c r="E9442"/>
  <c r="E9443"/>
  <c r="E9444"/>
  <c r="F9444" s="1"/>
  <c r="E9445"/>
  <c r="E9446"/>
  <c r="E9447"/>
  <c r="E9448"/>
  <c r="F9448" s="1"/>
  <c r="E9449"/>
  <c r="E9450"/>
  <c r="E9451"/>
  <c r="E9452"/>
  <c r="F9452" s="1"/>
  <c r="E9453"/>
  <c r="E9454"/>
  <c r="E9455"/>
  <c r="E9456"/>
  <c r="F9456" s="1"/>
  <c r="E9457"/>
  <c r="E9458"/>
  <c r="E9459"/>
  <c r="E9460"/>
  <c r="F9460" s="1"/>
  <c r="E9461"/>
  <c r="E9462"/>
  <c r="E9463"/>
  <c r="E9464"/>
  <c r="F9464" s="1"/>
  <c r="E9465"/>
  <c r="E9466"/>
  <c r="E9467"/>
  <c r="E9468"/>
  <c r="F9468" s="1"/>
  <c r="E9469"/>
  <c r="E9470"/>
  <c r="E9471"/>
  <c r="E9472"/>
  <c r="F9472" s="1"/>
  <c r="E9473"/>
  <c r="E9474"/>
  <c r="E9475"/>
  <c r="E9476"/>
  <c r="F9476" s="1"/>
  <c r="E9477"/>
  <c r="E9478"/>
  <c r="E9479"/>
  <c r="E9480"/>
  <c r="F9480" s="1"/>
  <c r="E9481"/>
  <c r="E9482"/>
  <c r="E9483"/>
  <c r="E9484"/>
  <c r="F9484" s="1"/>
  <c r="E9485"/>
  <c r="E9486"/>
  <c r="E9487"/>
  <c r="E9488"/>
  <c r="F9488" s="1"/>
  <c r="E9489"/>
  <c r="E9490"/>
  <c r="E9491"/>
  <c r="E9492"/>
  <c r="F9492" s="1"/>
  <c r="E9493"/>
  <c r="E9494"/>
  <c r="E9495"/>
  <c r="E9496"/>
  <c r="F9496" s="1"/>
  <c r="E9497"/>
  <c r="E9498"/>
  <c r="E9499"/>
  <c r="E9500"/>
  <c r="F9500" s="1"/>
  <c r="E9501"/>
  <c r="E9502"/>
  <c r="E9503"/>
  <c r="E9504"/>
  <c r="F9504" s="1"/>
  <c r="E9505"/>
  <c r="E9506"/>
  <c r="E9507"/>
  <c r="E9508"/>
  <c r="F9508" s="1"/>
  <c r="E9509"/>
  <c r="E9510"/>
  <c r="E9511"/>
  <c r="E9512"/>
  <c r="F9512" s="1"/>
  <c r="E9513"/>
  <c r="E9514"/>
  <c r="E9515"/>
  <c r="E9516"/>
  <c r="F9516" s="1"/>
  <c r="E9517"/>
  <c r="E9518"/>
  <c r="E9519"/>
  <c r="E9520"/>
  <c r="F9520" s="1"/>
  <c r="E9521"/>
  <c r="E9522"/>
  <c r="E9523"/>
  <c r="E9524"/>
  <c r="F9524" s="1"/>
  <c r="E9525"/>
  <c r="E9526"/>
  <c r="E9527"/>
  <c r="E9528"/>
  <c r="F9528" s="1"/>
  <c r="E9529"/>
  <c r="E9530"/>
  <c r="E9531"/>
  <c r="E9532"/>
  <c r="F9532" s="1"/>
  <c r="E9533"/>
  <c r="E9534"/>
  <c r="E9535"/>
  <c r="E9536"/>
  <c r="F9536" s="1"/>
  <c r="E9537"/>
  <c r="E9538"/>
  <c r="E9539"/>
  <c r="E9540"/>
  <c r="F9540" s="1"/>
  <c r="E9541"/>
  <c r="E9542"/>
  <c r="E9543"/>
  <c r="E9544"/>
  <c r="F9544" s="1"/>
  <c r="E9545"/>
  <c r="E9546"/>
  <c r="E9547"/>
  <c r="E9548"/>
  <c r="F9548" s="1"/>
  <c r="E9549"/>
  <c r="E9550"/>
  <c r="E9551"/>
  <c r="E9552"/>
  <c r="F9552" s="1"/>
  <c r="E9553"/>
  <c r="E9554"/>
  <c r="E9555"/>
  <c r="E9556"/>
  <c r="F9556" s="1"/>
  <c r="E9557"/>
  <c r="E9558"/>
  <c r="E9559"/>
  <c r="E9560"/>
  <c r="F9560" s="1"/>
  <c r="E9561"/>
  <c r="E9562"/>
  <c r="E9563"/>
  <c r="E9564"/>
  <c r="F9564" s="1"/>
  <c r="E9565"/>
  <c r="E9566"/>
  <c r="E9567"/>
  <c r="E9568"/>
  <c r="F9568" s="1"/>
  <c r="E9569"/>
  <c r="E9570"/>
  <c r="E9571"/>
  <c r="E9572"/>
  <c r="F9572" s="1"/>
  <c r="E9573"/>
  <c r="E9574"/>
  <c r="E9575"/>
  <c r="E9576"/>
  <c r="F9576" s="1"/>
  <c r="E9577"/>
  <c r="E9578"/>
  <c r="E9579"/>
  <c r="E9580"/>
  <c r="E9581"/>
  <c r="E9582"/>
  <c r="E9583"/>
  <c r="E9584"/>
  <c r="E9585"/>
  <c r="E9586"/>
  <c r="E9587"/>
  <c r="E9588"/>
  <c r="F9588" s="1"/>
  <c r="E9589"/>
  <c r="E9590"/>
  <c r="E9591"/>
  <c r="E9592"/>
  <c r="F9592" s="1"/>
  <c r="E9593"/>
  <c r="E9594"/>
  <c r="E9595"/>
  <c r="E9596"/>
  <c r="F9596" s="1"/>
  <c r="E9597"/>
  <c r="E9598"/>
  <c r="E9599"/>
  <c r="E9600"/>
  <c r="F9600" s="1"/>
  <c r="E9601"/>
  <c r="E9602"/>
  <c r="E9603"/>
  <c r="E9604"/>
  <c r="F9604" s="1"/>
  <c r="E9605"/>
  <c r="E9606"/>
  <c r="E9607"/>
  <c r="E9608"/>
  <c r="E9609"/>
  <c r="E9610"/>
  <c r="E9611"/>
  <c r="E9612"/>
  <c r="E9613"/>
  <c r="E9614"/>
  <c r="E9615"/>
  <c r="E9616"/>
  <c r="E9617"/>
  <c r="E9618"/>
  <c r="E9619"/>
  <c r="E9620"/>
  <c r="F9620" s="1"/>
  <c r="E9621"/>
  <c r="E9622"/>
  <c r="E9623"/>
  <c r="E9624"/>
  <c r="F9624" s="1"/>
  <c r="E9625"/>
  <c r="E9626"/>
  <c r="E9627"/>
  <c r="E9628"/>
  <c r="F9628" s="1"/>
  <c r="E9629"/>
  <c r="E9630"/>
  <c r="E9631"/>
  <c r="E9632"/>
  <c r="F9632" s="1"/>
  <c r="E9633"/>
  <c r="E9634"/>
  <c r="E9635"/>
  <c r="E9636"/>
  <c r="F9636" s="1"/>
  <c r="E9637"/>
  <c r="E9638"/>
  <c r="E9639"/>
  <c r="E9640"/>
  <c r="F9640" s="1"/>
  <c r="E9641"/>
  <c r="E9642"/>
  <c r="E9643"/>
  <c r="E9644"/>
  <c r="F9644" s="1"/>
  <c r="E9645"/>
  <c r="E9646"/>
  <c r="E9647"/>
  <c r="E9648"/>
  <c r="F9648" s="1"/>
  <c r="E9649"/>
  <c r="E9650"/>
  <c r="E9651"/>
  <c r="E9652"/>
  <c r="F9652" s="1"/>
  <c r="E9653"/>
  <c r="E9654"/>
  <c r="E9655"/>
  <c r="E9656"/>
  <c r="F9656" s="1"/>
  <c r="E9657"/>
  <c r="E9658"/>
  <c r="E9659"/>
  <c r="E9660"/>
  <c r="F9660" s="1"/>
  <c r="E9661"/>
  <c r="E9662"/>
  <c r="E9663"/>
  <c r="E9664"/>
  <c r="F9664" s="1"/>
  <c r="E9665"/>
  <c r="E9666"/>
  <c r="E9667"/>
  <c r="E9668"/>
  <c r="F9668" s="1"/>
  <c r="E9669"/>
  <c r="E9670"/>
  <c r="E9671"/>
  <c r="E9672"/>
  <c r="F9672" s="1"/>
  <c r="E9673"/>
  <c r="E9674"/>
  <c r="E9675"/>
  <c r="E9676"/>
  <c r="F9676" s="1"/>
  <c r="E9677"/>
  <c r="E9678"/>
  <c r="E9679"/>
  <c r="E9680"/>
  <c r="F9680" s="1"/>
  <c r="E9681"/>
  <c r="E9682"/>
  <c r="E9683"/>
  <c r="E9684"/>
  <c r="F9684" s="1"/>
  <c r="E9685"/>
  <c r="E9686"/>
  <c r="E9687"/>
  <c r="E9688"/>
  <c r="F9688" s="1"/>
  <c r="E9689"/>
  <c r="E9690"/>
  <c r="E9691"/>
  <c r="E9692"/>
  <c r="F9692" s="1"/>
  <c r="E9693"/>
  <c r="E9694"/>
  <c r="E9695"/>
  <c r="E9696"/>
  <c r="F9696" s="1"/>
  <c r="E9697"/>
  <c r="E9698"/>
  <c r="E9699"/>
  <c r="E9700"/>
  <c r="F9700" s="1"/>
  <c r="E9701"/>
  <c r="E9702"/>
  <c r="E9703"/>
  <c r="E9704"/>
  <c r="F9704" s="1"/>
  <c r="E9705"/>
  <c r="E9706"/>
  <c r="E9707"/>
  <c r="E9708"/>
  <c r="F9708" s="1"/>
  <c r="E9709"/>
  <c r="E9710"/>
  <c r="E9711"/>
  <c r="E9712"/>
  <c r="F9712" s="1"/>
  <c r="E9713"/>
  <c r="E9714"/>
  <c r="E9715"/>
  <c r="E9716"/>
  <c r="F9716" s="1"/>
  <c r="E9717"/>
  <c r="E9718"/>
  <c r="E9719"/>
  <c r="E9720"/>
  <c r="F9720" s="1"/>
  <c r="E9721"/>
  <c r="E9722"/>
  <c r="E9723"/>
  <c r="E9724"/>
  <c r="F9724" s="1"/>
  <c r="E9725"/>
  <c r="E9726"/>
  <c r="E9727"/>
  <c r="E9728"/>
  <c r="F9728" s="1"/>
  <c r="E9729"/>
  <c r="E9730"/>
  <c r="E9731"/>
  <c r="E9732"/>
  <c r="F9732" s="1"/>
  <c r="E9733"/>
  <c r="E9734"/>
  <c r="E9735"/>
  <c r="E9736"/>
  <c r="F9736" s="1"/>
  <c r="E9737"/>
  <c r="E9738"/>
  <c r="E9739"/>
  <c r="E9740"/>
  <c r="F9740" s="1"/>
  <c r="E9741"/>
  <c r="E9742"/>
  <c r="E9743"/>
  <c r="E9744"/>
  <c r="F9744" s="1"/>
  <c r="E9745"/>
  <c r="E9746"/>
  <c r="E9747"/>
  <c r="E9748"/>
  <c r="F9748" s="1"/>
  <c r="E9749"/>
  <c r="E9750"/>
  <c r="E9751"/>
  <c r="E9752"/>
  <c r="F9752" s="1"/>
  <c r="E9753"/>
  <c r="E9754"/>
  <c r="E9755"/>
  <c r="E9756"/>
  <c r="F9756" s="1"/>
  <c r="E9757"/>
  <c r="E9758"/>
  <c r="E9759"/>
  <c r="E9760"/>
  <c r="F9760" s="1"/>
  <c r="E9761"/>
  <c r="E9762"/>
  <c r="E9763"/>
  <c r="E9764"/>
  <c r="F9764" s="1"/>
  <c r="E9765"/>
  <c r="E9766"/>
  <c r="E9767"/>
  <c r="E9768"/>
  <c r="F9768" s="1"/>
  <c r="E9769"/>
  <c r="E9770"/>
  <c r="E9771"/>
  <c r="E9772"/>
  <c r="F9772" s="1"/>
  <c r="E9773"/>
  <c r="E9774"/>
  <c r="E9775"/>
  <c r="E9776"/>
  <c r="F9776" s="1"/>
  <c r="E9777"/>
  <c r="E9778"/>
  <c r="E9779"/>
  <c r="E9780"/>
  <c r="F9780" s="1"/>
  <c r="E9781"/>
  <c r="E9782"/>
  <c r="E9783"/>
  <c r="E9784"/>
  <c r="F9784" s="1"/>
  <c r="E9785"/>
  <c r="E9786"/>
  <c r="E9787"/>
  <c r="E9788"/>
  <c r="F9788" s="1"/>
  <c r="E9789"/>
  <c r="E9790"/>
  <c r="E9791"/>
  <c r="E9792"/>
  <c r="F9792" s="1"/>
  <c r="E9793"/>
  <c r="E9794"/>
  <c r="E9795"/>
  <c r="E9796"/>
  <c r="F9796" s="1"/>
  <c r="E9797"/>
  <c r="E9798"/>
  <c r="E9799"/>
  <c r="E9800"/>
  <c r="F9800" s="1"/>
  <c r="E9801"/>
  <c r="E9802"/>
  <c r="E9803"/>
  <c r="E9804"/>
  <c r="F9804" s="1"/>
  <c r="E9805"/>
  <c r="E9806"/>
  <c r="E9807"/>
  <c r="E9808"/>
  <c r="F9808" s="1"/>
  <c r="E9809"/>
  <c r="E9810"/>
  <c r="E9811"/>
  <c r="E9812"/>
  <c r="F9812" s="1"/>
  <c r="E9813"/>
  <c r="E9814"/>
  <c r="E9815"/>
  <c r="E9816"/>
  <c r="F9816" s="1"/>
  <c r="E9817"/>
  <c r="E9818"/>
  <c r="E9819"/>
  <c r="E9820"/>
  <c r="F9820" s="1"/>
  <c r="E9821"/>
  <c r="E9822"/>
  <c r="E9823"/>
  <c r="E9824"/>
  <c r="F9824" s="1"/>
  <c r="E9825"/>
  <c r="E9826"/>
  <c r="E9827"/>
  <c r="E9828"/>
  <c r="F9828" s="1"/>
  <c r="E9829"/>
  <c r="E9830"/>
  <c r="E9831"/>
  <c r="E9832"/>
  <c r="F9832" s="1"/>
  <c r="E9833"/>
  <c r="E9834"/>
  <c r="E9835"/>
  <c r="E9836"/>
  <c r="F9836" s="1"/>
  <c r="E9837"/>
  <c r="E9838"/>
  <c r="E9839"/>
  <c r="E9840"/>
  <c r="F9840" s="1"/>
  <c r="E9841"/>
  <c r="E9842"/>
  <c r="E9843"/>
  <c r="E9844"/>
  <c r="F9844" s="1"/>
  <c r="E9845"/>
  <c r="E9846"/>
  <c r="E9847"/>
  <c r="E9848"/>
  <c r="F9848" s="1"/>
  <c r="E9849"/>
  <c r="E9850"/>
  <c r="E9851"/>
  <c r="E9852"/>
  <c r="F9852" s="1"/>
  <c r="E9853"/>
  <c r="E9854"/>
  <c r="E9855"/>
  <c r="E9856"/>
  <c r="F9856" s="1"/>
  <c r="E9857"/>
  <c r="E9858"/>
  <c r="E9859"/>
  <c r="E9860"/>
  <c r="F9860" s="1"/>
  <c r="E9861"/>
  <c r="E9862"/>
  <c r="E9863"/>
  <c r="E9864"/>
  <c r="F9864" s="1"/>
  <c r="E9865"/>
  <c r="E9866"/>
  <c r="E9867"/>
  <c r="E9868"/>
  <c r="F9868" s="1"/>
  <c r="E9869"/>
  <c r="E9870"/>
  <c r="E9871"/>
  <c r="E9872"/>
  <c r="E9873"/>
  <c r="E9874"/>
  <c r="E9875"/>
  <c r="E9876"/>
  <c r="F9876" s="1"/>
  <c r="E9877"/>
  <c r="E9878"/>
  <c r="E9879"/>
  <c r="E9880"/>
  <c r="F9880" s="1"/>
  <c r="E9881"/>
  <c r="E9882"/>
  <c r="E9883"/>
  <c r="E9884"/>
  <c r="F9884" s="1"/>
  <c r="E9885"/>
  <c r="E9886"/>
  <c r="E9887"/>
  <c r="E9888"/>
  <c r="F9888" s="1"/>
  <c r="E9889"/>
  <c r="E9890"/>
  <c r="E9891"/>
  <c r="E9892"/>
  <c r="F9892" s="1"/>
  <c r="E9893"/>
  <c r="E9894"/>
  <c r="E9895"/>
  <c r="E9896"/>
  <c r="F9896" s="1"/>
  <c r="E9897"/>
  <c r="E9898"/>
  <c r="E9899"/>
  <c r="E9900"/>
  <c r="F9900" s="1"/>
  <c r="E9901"/>
  <c r="E9902"/>
  <c r="E9903"/>
  <c r="E9904"/>
  <c r="F9904" s="1"/>
  <c r="E9905"/>
  <c r="E9906"/>
  <c r="E9907"/>
  <c r="E9908"/>
  <c r="F9908" s="1"/>
  <c r="E9909"/>
  <c r="E9910"/>
  <c r="E9911"/>
  <c r="E9912"/>
  <c r="E9913"/>
  <c r="E9914"/>
  <c r="E9915"/>
  <c r="E9916"/>
  <c r="F9916" s="1"/>
  <c r="E9917"/>
  <c r="E9918"/>
  <c r="E9919"/>
  <c r="E9920"/>
  <c r="F9920" s="1"/>
  <c r="E9921"/>
  <c r="E9922"/>
  <c r="E9923"/>
  <c r="E9924"/>
  <c r="F9924" s="1"/>
  <c r="E9925"/>
  <c r="E9926"/>
  <c r="E9927"/>
  <c r="E9928"/>
  <c r="E9929"/>
  <c r="E9930"/>
  <c r="E9931"/>
  <c r="E9932"/>
  <c r="F9932" s="1"/>
  <c r="E9933"/>
  <c r="E9934"/>
  <c r="E9935"/>
  <c r="E9936"/>
  <c r="F9936" s="1"/>
  <c r="E9937"/>
  <c r="E9938"/>
  <c r="E9939"/>
  <c r="E9940"/>
  <c r="E9941"/>
  <c r="E9942"/>
  <c r="E9943"/>
  <c r="E9944"/>
  <c r="E9945"/>
  <c r="E9946"/>
  <c r="E9947"/>
  <c r="E9948"/>
  <c r="F9948" s="1"/>
  <c r="E9949"/>
  <c r="E9950"/>
  <c r="E9951"/>
  <c r="E9952"/>
  <c r="F9952" s="1"/>
  <c r="E9953"/>
  <c r="E9954"/>
  <c r="E9955"/>
  <c r="E9956"/>
  <c r="F9956" s="1"/>
  <c r="E9957"/>
  <c r="E9958"/>
  <c r="E9959"/>
  <c r="E9960"/>
  <c r="F9960" s="1"/>
  <c r="E9961"/>
  <c r="E9962"/>
  <c r="E9963"/>
  <c r="E9964"/>
  <c r="F9964" s="1"/>
  <c r="E9965"/>
  <c r="E9966"/>
  <c r="E9967"/>
  <c r="E9968"/>
  <c r="E9969"/>
  <c r="E9970"/>
  <c r="E9971"/>
  <c r="E9972"/>
  <c r="F9972" s="1"/>
  <c r="E9973"/>
  <c r="E9974"/>
  <c r="E9975"/>
  <c r="E9976"/>
  <c r="F9976" s="1"/>
  <c r="E9977"/>
  <c r="E9978"/>
  <c r="E9979"/>
  <c r="E9980"/>
  <c r="E9981"/>
  <c r="E9982"/>
  <c r="E9983"/>
  <c r="E9984"/>
  <c r="F9984" s="1"/>
  <c r="E9985"/>
  <c r="E9986"/>
  <c r="E9987"/>
  <c r="E9988"/>
  <c r="F9988" s="1"/>
  <c r="E9989"/>
  <c r="E9990"/>
  <c r="E9991"/>
  <c r="E9992"/>
  <c r="E9993"/>
  <c r="E9994"/>
  <c r="E9995"/>
  <c r="E9996"/>
  <c r="F9996" s="1"/>
  <c r="E9997"/>
  <c r="E9998"/>
  <c r="E9999"/>
  <c r="E10000"/>
  <c r="F10000" s="1"/>
  <c r="E10001"/>
  <c r="E10002"/>
  <c r="E10003"/>
  <c r="E10004"/>
  <c r="E10005"/>
  <c r="E10006"/>
  <c r="E10007"/>
  <c r="E10008"/>
  <c r="F10008" s="1"/>
  <c r="E10009"/>
  <c r="E10010"/>
  <c r="E10011"/>
  <c r="E10012"/>
  <c r="E10013"/>
  <c r="E10014"/>
  <c r="E10015"/>
  <c r="E10016"/>
  <c r="F10016" s="1"/>
  <c r="E10017"/>
  <c r="E10018"/>
  <c r="E10019"/>
  <c r="E10020"/>
  <c r="F10020" s="1"/>
  <c r="E10021"/>
  <c r="E10022"/>
  <c r="E10023"/>
  <c r="E10024"/>
  <c r="E10025"/>
  <c r="E10026"/>
  <c r="E10027"/>
  <c r="E10028"/>
  <c r="F10028" s="1"/>
  <c r="E10029"/>
  <c r="E10030"/>
  <c r="E10031"/>
  <c r="E10032"/>
  <c r="F10032" s="1"/>
  <c r="E10033"/>
  <c r="E10034"/>
  <c r="E10035"/>
  <c r="E10036"/>
  <c r="E10037"/>
  <c r="E10038"/>
  <c r="E10039"/>
  <c r="E10040"/>
  <c r="F10040" s="1"/>
  <c r="E10041"/>
  <c r="E10042"/>
  <c r="E10043"/>
  <c r="E10044"/>
  <c r="F10044" s="1"/>
  <c r="E10045"/>
  <c r="E10046"/>
  <c r="E10047"/>
  <c r="E10048"/>
  <c r="E10049"/>
  <c r="E10050"/>
  <c r="E10051"/>
  <c r="E10052"/>
  <c r="E10053"/>
  <c r="E10054"/>
  <c r="E10055"/>
  <c r="E10056"/>
  <c r="F10056" s="1"/>
  <c r="E10057"/>
  <c r="E10058"/>
  <c r="E10059"/>
  <c r="E10060"/>
  <c r="E10061"/>
  <c r="E10062"/>
  <c r="E10063"/>
  <c r="E10064"/>
  <c r="E10065"/>
  <c r="E10066"/>
  <c r="E10067"/>
  <c r="E10068"/>
  <c r="F10068" s="1"/>
  <c r="E10069"/>
  <c r="E10070"/>
  <c r="E10071"/>
  <c r="E10072"/>
  <c r="E10073"/>
  <c r="E10074"/>
  <c r="E10075"/>
  <c r="E10076"/>
  <c r="F10076" s="1"/>
  <c r="E10077"/>
  <c r="E10078"/>
  <c r="E10079"/>
  <c r="E10080"/>
  <c r="E10081"/>
  <c r="E10082"/>
  <c r="E10083"/>
  <c r="E10084"/>
  <c r="F10084" s="1"/>
  <c r="E10085"/>
  <c r="E10086"/>
  <c r="E10087"/>
  <c r="E10088"/>
  <c r="F10088" s="1"/>
  <c r="E10089"/>
  <c r="E10090"/>
  <c r="E10091"/>
  <c r="E10092"/>
  <c r="E10093"/>
  <c r="E10094"/>
  <c r="E10095"/>
  <c r="E10096"/>
  <c r="F10096" s="1"/>
  <c r="E10097"/>
  <c r="E10098"/>
  <c r="E10099"/>
  <c r="E10100"/>
  <c r="F10100" s="1"/>
  <c r="E10101"/>
  <c r="E10102"/>
  <c r="E10103"/>
  <c r="E10104"/>
  <c r="F10104" s="1"/>
  <c r="E10105"/>
  <c r="E10106"/>
  <c r="E10107"/>
  <c r="E10108"/>
  <c r="F10108" s="1"/>
  <c r="E10109"/>
  <c r="E10110"/>
  <c r="E10111"/>
  <c r="E10112"/>
  <c r="F10112" s="1"/>
  <c r="E10113"/>
  <c r="E10114"/>
  <c r="E10115"/>
  <c r="E10116"/>
  <c r="F10116" s="1"/>
  <c r="E10117"/>
  <c r="E10118"/>
  <c r="E10119"/>
  <c r="E10120"/>
  <c r="F10120" s="1"/>
  <c r="E10121"/>
  <c r="E10122"/>
  <c r="E10123"/>
  <c r="E10124"/>
  <c r="F10124" s="1"/>
  <c r="E10125"/>
  <c r="E10126"/>
  <c r="E10127"/>
  <c r="E10128"/>
  <c r="F10128" s="1"/>
  <c r="E10129"/>
  <c r="E10130"/>
  <c r="E10131"/>
  <c r="E10132"/>
  <c r="F10132" s="1"/>
  <c r="E10133"/>
  <c r="E10134"/>
  <c r="E10135"/>
  <c r="E10136"/>
  <c r="F10136" s="1"/>
  <c r="E10137"/>
  <c r="E10138"/>
  <c r="E10139"/>
  <c r="E10140"/>
  <c r="F10140" s="1"/>
  <c r="E10141"/>
  <c r="E10142"/>
  <c r="E10143"/>
  <c r="E10144"/>
  <c r="F10144" s="1"/>
  <c r="E10145"/>
  <c r="E10146"/>
  <c r="E10147"/>
  <c r="E10148"/>
  <c r="F10148" s="1"/>
  <c r="E10149"/>
  <c r="E10150"/>
  <c r="E10151"/>
  <c r="E10152"/>
  <c r="F10152" s="1"/>
  <c r="E10153"/>
  <c r="E10154"/>
  <c r="E10155"/>
  <c r="E10156"/>
  <c r="F10156" s="1"/>
  <c r="E10157"/>
  <c r="E10158"/>
  <c r="E10159"/>
  <c r="E10160"/>
  <c r="F10160" s="1"/>
  <c r="E10161"/>
  <c r="E10162"/>
  <c r="E10163"/>
  <c r="E10164"/>
  <c r="F10164" s="1"/>
  <c r="E10165"/>
  <c r="E10166"/>
  <c r="E10167"/>
  <c r="E10168"/>
  <c r="F10168" s="1"/>
  <c r="E10169"/>
  <c r="E10170"/>
  <c r="E10171"/>
  <c r="E10172"/>
  <c r="F10172" s="1"/>
  <c r="E10173"/>
  <c r="E10174"/>
  <c r="E10175"/>
  <c r="E10176"/>
  <c r="F10176" s="1"/>
  <c r="E10177"/>
  <c r="E10178"/>
  <c r="E10179"/>
  <c r="E10180"/>
  <c r="F10180" s="1"/>
  <c r="E10181"/>
  <c r="E10182"/>
  <c r="E10183"/>
  <c r="E10184"/>
  <c r="F10184" s="1"/>
  <c r="E10185"/>
  <c r="E10186"/>
  <c r="E10187"/>
  <c r="E10188"/>
  <c r="F10188" s="1"/>
  <c r="E10189"/>
  <c r="E10190"/>
  <c r="E10191"/>
  <c r="E10192"/>
  <c r="F10192" s="1"/>
  <c r="E10193"/>
  <c r="E10194"/>
  <c r="E10195"/>
  <c r="E10196"/>
  <c r="F10196" s="1"/>
  <c r="E10197"/>
  <c r="E10198"/>
  <c r="E10199"/>
  <c r="E10200"/>
  <c r="F10200" s="1"/>
  <c r="E10201"/>
  <c r="E10202"/>
  <c r="E10203"/>
  <c r="E10204"/>
  <c r="F10204" s="1"/>
  <c r="E10205"/>
  <c r="E10206"/>
  <c r="E10207"/>
  <c r="E10208"/>
  <c r="F10208" s="1"/>
  <c r="E10209"/>
  <c r="E10210"/>
  <c r="E10211"/>
  <c r="E10212"/>
  <c r="F10212" s="1"/>
  <c r="E10213"/>
  <c r="E10214"/>
  <c r="E10215"/>
  <c r="E10216"/>
  <c r="F10216" s="1"/>
  <c r="E10217"/>
  <c r="E10218"/>
  <c r="E10219"/>
  <c r="E10220"/>
  <c r="F10220" s="1"/>
  <c r="E10221"/>
  <c r="E10222"/>
  <c r="E10223"/>
  <c r="E10224"/>
  <c r="F10224" s="1"/>
  <c r="E10225"/>
  <c r="E10226"/>
  <c r="E10227"/>
  <c r="E10228"/>
  <c r="F10228" s="1"/>
  <c r="E10229"/>
  <c r="E10230"/>
  <c r="E10231"/>
  <c r="E10232"/>
  <c r="F10232" s="1"/>
  <c r="E10233"/>
  <c r="E10234"/>
  <c r="E10235"/>
  <c r="E10236"/>
  <c r="F10236" s="1"/>
  <c r="E10237"/>
  <c r="E10238"/>
  <c r="E10239"/>
  <c r="E10240"/>
  <c r="F10240" s="1"/>
  <c r="E10241"/>
  <c r="E10242"/>
  <c r="E10243"/>
  <c r="E10244"/>
  <c r="F10244" s="1"/>
  <c r="E10245"/>
  <c r="E10246"/>
  <c r="E10247"/>
  <c r="E10248"/>
  <c r="F10248" s="1"/>
  <c r="E10249"/>
  <c r="E10250"/>
  <c r="E10251"/>
  <c r="E10252"/>
  <c r="F10252" s="1"/>
  <c r="E10253"/>
  <c r="E10254"/>
  <c r="E10255"/>
  <c r="E10256"/>
  <c r="F10256" s="1"/>
  <c r="E10257"/>
  <c r="E10258"/>
  <c r="E10259"/>
  <c r="E10260"/>
  <c r="F10260" s="1"/>
  <c r="E10261"/>
  <c r="E10262"/>
  <c r="E10263"/>
  <c r="E10264"/>
  <c r="F10264" s="1"/>
  <c r="E10265"/>
  <c r="E10266"/>
  <c r="E10267"/>
  <c r="E10268"/>
  <c r="F10268" s="1"/>
  <c r="E10269"/>
  <c r="E10270"/>
  <c r="E10271"/>
  <c r="E10272"/>
  <c r="F10272" s="1"/>
  <c r="E10273"/>
  <c r="E10274"/>
  <c r="E10275"/>
  <c r="E10276"/>
  <c r="F10276" s="1"/>
  <c r="E10277"/>
  <c r="E10278"/>
  <c r="E10279"/>
  <c r="E10280"/>
  <c r="F10280" s="1"/>
  <c r="E10281"/>
  <c r="E10282"/>
  <c r="E10283"/>
  <c r="E10284"/>
  <c r="F10284" s="1"/>
  <c r="E10285"/>
  <c r="E10286"/>
  <c r="E10287"/>
  <c r="E10288"/>
  <c r="F10288" s="1"/>
  <c r="E10289"/>
  <c r="E10290"/>
  <c r="E10291"/>
  <c r="E10292"/>
  <c r="F10292" s="1"/>
  <c r="E10293"/>
  <c r="E10294"/>
  <c r="E10295"/>
  <c r="E10296"/>
  <c r="E10297"/>
  <c r="E10298"/>
  <c r="E10299"/>
  <c r="E10300"/>
  <c r="F10300" s="1"/>
  <c r="E10301"/>
  <c r="E10302"/>
  <c r="E10303"/>
  <c r="E10304"/>
  <c r="F10304" s="1"/>
  <c r="E10305"/>
  <c r="E10306"/>
  <c r="E10307"/>
  <c r="E10308"/>
  <c r="F10308" s="1"/>
  <c r="E10309"/>
  <c r="E10310"/>
  <c r="E10311"/>
  <c r="E10312"/>
  <c r="F10312" s="1"/>
  <c r="E10313"/>
  <c r="E10314"/>
  <c r="E10315"/>
  <c r="E10316"/>
  <c r="F10316" s="1"/>
  <c r="E10317"/>
  <c r="E10318"/>
  <c r="E10319"/>
  <c r="E10320"/>
  <c r="F10320" s="1"/>
  <c r="E10321"/>
  <c r="E10322"/>
  <c r="E10323"/>
  <c r="E10324"/>
  <c r="F10324" s="1"/>
  <c r="E10325"/>
  <c r="E10326"/>
  <c r="E10327"/>
  <c r="E10328"/>
  <c r="F10328" s="1"/>
  <c r="E10329"/>
  <c r="E10330"/>
  <c r="E10331"/>
  <c r="E10332"/>
  <c r="F10332" s="1"/>
  <c r="E10333"/>
  <c r="E10334"/>
  <c r="E10335"/>
  <c r="E10336"/>
  <c r="F10336" s="1"/>
  <c r="E10337"/>
  <c r="E10338"/>
  <c r="E10339"/>
  <c r="E10340"/>
  <c r="F10340" s="1"/>
  <c r="E10341"/>
  <c r="E10342"/>
  <c r="E10343"/>
  <c r="E10344"/>
  <c r="F10344" s="1"/>
  <c r="E10345"/>
  <c r="E10346"/>
  <c r="E10347"/>
  <c r="E10348"/>
  <c r="F10348" s="1"/>
  <c r="E10349"/>
  <c r="E10350"/>
  <c r="E10351"/>
  <c r="E10352"/>
  <c r="F10352" s="1"/>
  <c r="E10353"/>
  <c r="E10354"/>
  <c r="E10355"/>
  <c r="E10356"/>
  <c r="F10356" s="1"/>
  <c r="E10357"/>
  <c r="E10358"/>
  <c r="E10359"/>
  <c r="E10360"/>
  <c r="F10360" s="1"/>
  <c r="E10361"/>
  <c r="E10362"/>
  <c r="E10363"/>
  <c r="E10364"/>
  <c r="F10364" s="1"/>
  <c r="E10365"/>
  <c r="E10366"/>
  <c r="E10367"/>
  <c r="E10368"/>
  <c r="F10368" s="1"/>
  <c r="E10369"/>
  <c r="E10370"/>
  <c r="E10371"/>
  <c r="E10372"/>
  <c r="F10372" s="1"/>
  <c r="E10373"/>
  <c r="E10374"/>
  <c r="E10375"/>
  <c r="E10376"/>
  <c r="F10376" s="1"/>
  <c r="E10377"/>
  <c r="E10378"/>
  <c r="E10379"/>
  <c r="E10380"/>
  <c r="F10380" s="1"/>
  <c r="E10381"/>
  <c r="E10382"/>
  <c r="E10383"/>
  <c r="E10384"/>
  <c r="F10384" s="1"/>
  <c r="E10385"/>
  <c r="E10386"/>
  <c r="E10387"/>
  <c r="E10388"/>
  <c r="F10388" s="1"/>
  <c r="E10389"/>
  <c r="E10390"/>
  <c r="E10391"/>
  <c r="E10392"/>
  <c r="F10392" s="1"/>
  <c r="E10393"/>
  <c r="E10394"/>
  <c r="E10395"/>
  <c r="E10396"/>
  <c r="F10396" s="1"/>
  <c r="E10397"/>
  <c r="E10398"/>
  <c r="E10399"/>
  <c r="E10400"/>
  <c r="F10400" s="1"/>
  <c r="E10401"/>
  <c r="E10402"/>
  <c r="E10403"/>
  <c r="E10404"/>
  <c r="F10404" s="1"/>
  <c r="E10405"/>
  <c r="E10406"/>
  <c r="E10407"/>
  <c r="E10408"/>
  <c r="F10408" s="1"/>
  <c r="E10409"/>
  <c r="E10410"/>
  <c r="E10411"/>
  <c r="E10412"/>
  <c r="F10412" s="1"/>
  <c r="E10413"/>
  <c r="E10414"/>
  <c r="E10415"/>
  <c r="E10416"/>
  <c r="F10416" s="1"/>
  <c r="E10417"/>
  <c r="E10418"/>
  <c r="E10419"/>
  <c r="E10420"/>
  <c r="F10420" s="1"/>
  <c r="E10421"/>
  <c r="E10422"/>
  <c r="E10423"/>
  <c r="E10424"/>
  <c r="F10424" s="1"/>
  <c r="E10425"/>
  <c r="E10426"/>
  <c r="E10427"/>
  <c r="E10428"/>
  <c r="F10428" s="1"/>
  <c r="E10429"/>
  <c r="E10430"/>
  <c r="E10431"/>
  <c r="E10432"/>
  <c r="F10432" s="1"/>
  <c r="E10433"/>
  <c r="E10434"/>
  <c r="E10435"/>
  <c r="E10436"/>
  <c r="F10436" s="1"/>
  <c r="E10437"/>
  <c r="E10438"/>
  <c r="E10439"/>
  <c r="E10440"/>
  <c r="F10440" s="1"/>
  <c r="E10441"/>
  <c r="E10442"/>
  <c r="E10443"/>
  <c r="E10444"/>
  <c r="F10444" s="1"/>
  <c r="E10445"/>
  <c r="E10446"/>
  <c r="E10447"/>
  <c r="E10448"/>
  <c r="F10448" s="1"/>
  <c r="E10449"/>
  <c r="E10450"/>
  <c r="E10451"/>
  <c r="E10452"/>
  <c r="F10452" s="1"/>
  <c r="E10453"/>
  <c r="E10454"/>
  <c r="E10455"/>
  <c r="E10456"/>
  <c r="F10456" s="1"/>
  <c r="E10457"/>
  <c r="E10458"/>
  <c r="E10459"/>
  <c r="E10460"/>
  <c r="F10460" s="1"/>
  <c r="E10461"/>
  <c r="E10462"/>
  <c r="E10463"/>
  <c r="E10464"/>
  <c r="F10464" s="1"/>
  <c r="E10465"/>
  <c r="E10466"/>
  <c r="E10467"/>
  <c r="E10468"/>
  <c r="F10468" s="1"/>
  <c r="E10469"/>
  <c r="E10470"/>
  <c r="E10471"/>
  <c r="E10472"/>
  <c r="F10472" s="1"/>
  <c r="E10473"/>
  <c r="E10474"/>
  <c r="E10475"/>
  <c r="E10476"/>
  <c r="F10476" s="1"/>
  <c r="E10477"/>
  <c r="E10478"/>
  <c r="E10479"/>
  <c r="E10480"/>
  <c r="F10480" s="1"/>
  <c r="E10481"/>
  <c r="E10482"/>
  <c r="E10483"/>
  <c r="E10484"/>
  <c r="F10484" s="1"/>
  <c r="E10485"/>
  <c r="E10486"/>
  <c r="E10487"/>
  <c r="E10488"/>
  <c r="F10488" s="1"/>
  <c r="E10489"/>
  <c r="E10490"/>
  <c r="E10491"/>
  <c r="E10492"/>
  <c r="F10492" s="1"/>
  <c r="E10493"/>
  <c r="E10494"/>
  <c r="E10495"/>
  <c r="E10496"/>
  <c r="F10496" s="1"/>
  <c r="E10497"/>
  <c r="E10498"/>
  <c r="E10499"/>
  <c r="E10500"/>
  <c r="F10500" s="1"/>
  <c r="E10501"/>
  <c r="E10502"/>
  <c r="E10503"/>
  <c r="E10504"/>
  <c r="F10504" s="1"/>
  <c r="E10505"/>
  <c r="E10506"/>
  <c r="E10507"/>
  <c r="E10508"/>
  <c r="F10508" s="1"/>
  <c r="E10509"/>
  <c r="E10510"/>
  <c r="E10511"/>
  <c r="E10512"/>
  <c r="F10512" s="1"/>
  <c r="E10513"/>
  <c r="E10514"/>
  <c r="E10515"/>
  <c r="E10516"/>
  <c r="F10516" s="1"/>
  <c r="E10517"/>
  <c r="E10518"/>
  <c r="E10519"/>
  <c r="E10520"/>
  <c r="F10520" s="1"/>
  <c r="E10521"/>
  <c r="E10522"/>
  <c r="E10523"/>
  <c r="E10524"/>
  <c r="F10524" s="1"/>
  <c r="E10525"/>
  <c r="E10526"/>
  <c r="E10527"/>
  <c r="E10528"/>
  <c r="F10528" s="1"/>
  <c r="E10529"/>
  <c r="E10530"/>
  <c r="E10531"/>
  <c r="E10532"/>
  <c r="F10532" s="1"/>
  <c r="E10533"/>
  <c r="E10534"/>
  <c r="E10535"/>
  <c r="E10536"/>
  <c r="F10536" s="1"/>
  <c r="E10537"/>
  <c r="E10538"/>
  <c r="E10539"/>
  <c r="E10540"/>
  <c r="F10540" s="1"/>
  <c r="E10541"/>
  <c r="E10542"/>
  <c r="E10543"/>
  <c r="E10544"/>
  <c r="F10544" s="1"/>
  <c r="E10545"/>
  <c r="E10546"/>
  <c r="E10547"/>
  <c r="E10548"/>
  <c r="F10548" s="1"/>
  <c r="E10549"/>
  <c r="E10550"/>
  <c r="E10551"/>
  <c r="E10552"/>
  <c r="F10552" s="1"/>
  <c r="E10553"/>
  <c r="E10554"/>
  <c r="E10555"/>
  <c r="E10556"/>
  <c r="F10556" s="1"/>
  <c r="E10557"/>
  <c r="E10558"/>
  <c r="E10559"/>
  <c r="E10560"/>
  <c r="F10560" s="1"/>
  <c r="E10561"/>
  <c r="E10562"/>
  <c r="E10563"/>
  <c r="E10564"/>
  <c r="F10564" s="1"/>
  <c r="E10565"/>
  <c r="E10566"/>
  <c r="E10567"/>
  <c r="E10568"/>
  <c r="F10568" s="1"/>
  <c r="E10569"/>
  <c r="E10570"/>
  <c r="E10571"/>
  <c r="E10572"/>
  <c r="F10572" s="1"/>
  <c r="E10573"/>
  <c r="E10574"/>
  <c r="E10575"/>
  <c r="E10576"/>
  <c r="F10576" s="1"/>
  <c r="E10577"/>
  <c r="E10578"/>
  <c r="E10579"/>
  <c r="E10580"/>
  <c r="F10580" s="1"/>
  <c r="E10581"/>
  <c r="E10582"/>
  <c r="E10583"/>
  <c r="E10584"/>
  <c r="F10584" s="1"/>
  <c r="E10585"/>
  <c r="E10586"/>
  <c r="E10587"/>
  <c r="E10588"/>
  <c r="F10588" s="1"/>
  <c r="E10589"/>
  <c r="E10590"/>
  <c r="E10591"/>
  <c r="E10592"/>
  <c r="F10592" s="1"/>
  <c r="E10593"/>
  <c r="E10594"/>
  <c r="E10595"/>
  <c r="E10596"/>
  <c r="F10596" s="1"/>
  <c r="E10597"/>
  <c r="E10598"/>
  <c r="E10599"/>
  <c r="E10600"/>
  <c r="F10600" s="1"/>
  <c r="E10601"/>
  <c r="E10602"/>
  <c r="E10603"/>
  <c r="E10604"/>
  <c r="F10604" s="1"/>
  <c r="E10605"/>
  <c r="E10606"/>
  <c r="E10607"/>
  <c r="E10608"/>
  <c r="F10608" s="1"/>
  <c r="E10609"/>
  <c r="E10610"/>
  <c r="E10611"/>
  <c r="E10612"/>
  <c r="F10612" s="1"/>
  <c r="E10613"/>
  <c r="E10614"/>
  <c r="E10615"/>
  <c r="E10616"/>
  <c r="E10617"/>
  <c r="E10618"/>
  <c r="E10619"/>
  <c r="E10620"/>
  <c r="F10620" s="1"/>
  <c r="E10621"/>
  <c r="E10622"/>
  <c r="E10623"/>
  <c r="E10624"/>
  <c r="E10625"/>
  <c r="E10626"/>
  <c r="E10627"/>
  <c r="E10628"/>
  <c r="F10628" s="1"/>
  <c r="E10629"/>
  <c r="E10630"/>
  <c r="E10631"/>
  <c r="E10632"/>
  <c r="E10633"/>
  <c r="E10634"/>
  <c r="E10635"/>
  <c r="E10636"/>
  <c r="F10636" s="1"/>
  <c r="E10637"/>
  <c r="E10638"/>
  <c r="E10639"/>
  <c r="E10640"/>
  <c r="E10641"/>
  <c r="E10642"/>
  <c r="E10643"/>
  <c r="E10644"/>
  <c r="F10644" s="1"/>
  <c r="E10645"/>
  <c r="E10646"/>
  <c r="E10647"/>
  <c r="E10648"/>
  <c r="E10649"/>
  <c r="E10650"/>
  <c r="E10651"/>
  <c r="E10652"/>
  <c r="F10652" s="1"/>
  <c r="E10653"/>
  <c r="E10654"/>
  <c r="E10655"/>
  <c r="E10656"/>
  <c r="E10657"/>
  <c r="E10658"/>
  <c r="E10659"/>
  <c r="E10660"/>
  <c r="F10660" s="1"/>
  <c r="E10661"/>
  <c r="E10662"/>
  <c r="E10663"/>
  <c r="E10664"/>
  <c r="E10665"/>
  <c r="E10666"/>
  <c r="E10667"/>
  <c r="E10668"/>
  <c r="F10668" s="1"/>
  <c r="E10669"/>
  <c r="E10670"/>
  <c r="E10671"/>
  <c r="E10672"/>
  <c r="E10673"/>
  <c r="E10674"/>
  <c r="E10675"/>
  <c r="E10676"/>
  <c r="F10676" s="1"/>
  <c r="E10677"/>
  <c r="E10678"/>
  <c r="E10679"/>
  <c r="E10680"/>
  <c r="E10681"/>
  <c r="E10682"/>
  <c r="E10683"/>
  <c r="E10684"/>
  <c r="F10684" s="1"/>
  <c r="E10685"/>
  <c r="E10686"/>
  <c r="E10687"/>
  <c r="E10688"/>
  <c r="E10689"/>
  <c r="E10690"/>
  <c r="E10691"/>
  <c r="E10692"/>
  <c r="F10692" s="1"/>
  <c r="E10693"/>
  <c r="E10694"/>
  <c r="E10695"/>
  <c r="E10696"/>
  <c r="E10697"/>
  <c r="E10698"/>
  <c r="E10699"/>
  <c r="E10700"/>
  <c r="F10700" s="1"/>
  <c r="E10701"/>
  <c r="E10702"/>
  <c r="E10703"/>
  <c r="E10704"/>
  <c r="E10705"/>
  <c r="E10706"/>
  <c r="E10707"/>
  <c r="E10708"/>
  <c r="F10708" s="1"/>
  <c r="E10709"/>
  <c r="E10710"/>
  <c r="E10711"/>
  <c r="E10712"/>
  <c r="E10713"/>
  <c r="E10714"/>
  <c r="E10715"/>
  <c r="E10716"/>
  <c r="F10716" s="1"/>
  <c r="E10717"/>
  <c r="E10718"/>
  <c r="E10719"/>
  <c r="E10720"/>
  <c r="E10721"/>
  <c r="E10722"/>
  <c r="E10723"/>
  <c r="E10724"/>
  <c r="F10724" s="1"/>
  <c r="E10725"/>
  <c r="E10726"/>
  <c r="E10727"/>
  <c r="E10728"/>
  <c r="E10729"/>
  <c r="E10730"/>
  <c r="E10731"/>
  <c r="E10732"/>
  <c r="F10732" s="1"/>
  <c r="E10733"/>
  <c r="E10734"/>
  <c r="E10735"/>
  <c r="E10736"/>
  <c r="E10737"/>
  <c r="E10738"/>
  <c r="E10739"/>
  <c r="E10740"/>
  <c r="F10740" s="1"/>
  <c r="E10741"/>
  <c r="E10742"/>
  <c r="E10743"/>
  <c r="E10744"/>
  <c r="E10745"/>
  <c r="E10746"/>
  <c r="E10747"/>
  <c r="E10748"/>
  <c r="F10748" s="1"/>
  <c r="E10749"/>
  <c r="E10750"/>
  <c r="E10751"/>
  <c r="E10752"/>
  <c r="E10753"/>
  <c r="E10754"/>
  <c r="E10755"/>
  <c r="E10756"/>
  <c r="F10756" s="1"/>
  <c r="E10757"/>
  <c r="E10758"/>
  <c r="E10759"/>
  <c r="E10760"/>
  <c r="E10761"/>
  <c r="E10762"/>
  <c r="E10763"/>
  <c r="E10764"/>
  <c r="F10764" s="1"/>
  <c r="E10765"/>
  <c r="E10766"/>
  <c r="E10767"/>
  <c r="E10768"/>
  <c r="E10769"/>
  <c r="E10770"/>
  <c r="E10771"/>
  <c r="E10772"/>
  <c r="F10772" s="1"/>
  <c r="E10773"/>
  <c r="E10774"/>
  <c r="E10775"/>
  <c r="E10776"/>
  <c r="E10777"/>
  <c r="E10778"/>
  <c r="E10779"/>
  <c r="E10780"/>
  <c r="F10780" s="1"/>
  <c r="E10781"/>
  <c r="E10782"/>
  <c r="E10783"/>
  <c r="E10784"/>
  <c r="E10785"/>
  <c r="E10786"/>
  <c r="E10787"/>
  <c r="E10788"/>
  <c r="F10788" s="1"/>
  <c r="E10789"/>
  <c r="E10790"/>
  <c r="E10791"/>
  <c r="E10792"/>
  <c r="E10793"/>
  <c r="E10794"/>
  <c r="E10795"/>
  <c r="E10796"/>
  <c r="F10796" s="1"/>
  <c r="E10797"/>
  <c r="E10798"/>
  <c r="E10799"/>
  <c r="E10800"/>
  <c r="E10801"/>
  <c r="E10802"/>
  <c r="E10803"/>
  <c r="E10804"/>
  <c r="F10804" s="1"/>
  <c r="E10805"/>
  <c r="E10806"/>
  <c r="E10807"/>
  <c r="E10808"/>
  <c r="E10809"/>
  <c r="E10810"/>
  <c r="E10811"/>
  <c r="E10812"/>
  <c r="F10812" s="1"/>
  <c r="E10813"/>
  <c r="E10814"/>
  <c r="E10815"/>
  <c r="E10816"/>
  <c r="E10817"/>
  <c r="E10818"/>
  <c r="E10819"/>
  <c r="E10820"/>
  <c r="F10820" s="1"/>
  <c r="E10821"/>
  <c r="E10822"/>
  <c r="E10823"/>
  <c r="E10824"/>
  <c r="E10825"/>
  <c r="E10826"/>
  <c r="E10827"/>
  <c r="E10828"/>
  <c r="F10828" s="1"/>
  <c r="E10829"/>
  <c r="E10830"/>
  <c r="E10831"/>
  <c r="E10832"/>
  <c r="E10833"/>
  <c r="E10834"/>
  <c r="E10835"/>
  <c r="E10836"/>
  <c r="F10836" s="1"/>
  <c r="E10837"/>
  <c r="E10838"/>
  <c r="E10839"/>
  <c r="E10840"/>
  <c r="E10841"/>
  <c r="E10842"/>
  <c r="E10843"/>
  <c r="E10844"/>
  <c r="F10844" s="1"/>
  <c r="E10845"/>
  <c r="E10846"/>
  <c r="E10847"/>
  <c r="E10848"/>
  <c r="E10849"/>
  <c r="E10850"/>
  <c r="E10851"/>
  <c r="E10852"/>
  <c r="F10852" s="1"/>
  <c r="E10853"/>
  <c r="E10854"/>
  <c r="E10855"/>
  <c r="E10856"/>
  <c r="E10857"/>
  <c r="E10858"/>
  <c r="E10859"/>
  <c r="E10860"/>
  <c r="F10860" s="1"/>
  <c r="E10861"/>
  <c r="E10862"/>
  <c r="E10863"/>
  <c r="E10864"/>
  <c r="E10865"/>
  <c r="E10866"/>
  <c r="E10867"/>
  <c r="E10868"/>
  <c r="F10868" s="1"/>
  <c r="E10869"/>
  <c r="E10870"/>
  <c r="E10871"/>
  <c r="E10872"/>
  <c r="E10873"/>
  <c r="E10874"/>
  <c r="E10875"/>
  <c r="E10876"/>
  <c r="F10876" s="1"/>
  <c r="E10877"/>
  <c r="E10878"/>
  <c r="E10879"/>
  <c r="E10880"/>
  <c r="E10881"/>
  <c r="E10882"/>
  <c r="E10883"/>
  <c r="E10884"/>
  <c r="F10884" s="1"/>
  <c r="E10885"/>
  <c r="E10886"/>
  <c r="E10887"/>
  <c r="E10888"/>
  <c r="E10889"/>
  <c r="E10890"/>
  <c r="E10891"/>
  <c r="E10892"/>
  <c r="F10892" s="1"/>
  <c r="E10893"/>
  <c r="E10894"/>
  <c r="E10895"/>
  <c r="E10896"/>
  <c r="E10897"/>
  <c r="E10898"/>
  <c r="E10899"/>
  <c r="E10900"/>
  <c r="F10900" s="1"/>
  <c r="E10901"/>
  <c r="E10902"/>
  <c r="E10903"/>
  <c r="E10904"/>
  <c r="E10905"/>
  <c r="E10906"/>
  <c r="E10907"/>
  <c r="E10908"/>
  <c r="F10908" s="1"/>
  <c r="E10909"/>
  <c r="E10910"/>
  <c r="E10911"/>
  <c r="E10912"/>
  <c r="E10913"/>
  <c r="E10914"/>
  <c r="E10915"/>
  <c r="E10916"/>
  <c r="F10916" s="1"/>
  <c r="E10917"/>
  <c r="E10918"/>
  <c r="E10919"/>
  <c r="E10920"/>
  <c r="E10921"/>
  <c r="E10922"/>
  <c r="E10923"/>
  <c r="E10924"/>
  <c r="F10924" s="1"/>
  <c r="E10925"/>
  <c r="E10926"/>
  <c r="E10927"/>
  <c r="E10928"/>
  <c r="E10929"/>
  <c r="E10930"/>
  <c r="E10931"/>
  <c r="E10932"/>
  <c r="F10932" s="1"/>
  <c r="E10933"/>
  <c r="E10934"/>
  <c r="E10935"/>
  <c r="E10936"/>
  <c r="E10937"/>
  <c r="E10938"/>
  <c r="E10939"/>
  <c r="E10940"/>
  <c r="F10940" s="1"/>
  <c r="E10941"/>
  <c r="E10942"/>
  <c r="E10943"/>
  <c r="E10944"/>
  <c r="E10945"/>
  <c r="E10946"/>
  <c r="E10947"/>
  <c r="E10948"/>
  <c r="F10948" s="1"/>
  <c r="E10949"/>
  <c r="E10950"/>
  <c r="E10951"/>
  <c r="E10952"/>
  <c r="E10953"/>
  <c r="E10954"/>
  <c r="E10955"/>
  <c r="E10956"/>
  <c r="F10956" s="1"/>
  <c r="E10957"/>
  <c r="E10958"/>
  <c r="E10959"/>
  <c r="E10960"/>
  <c r="E10961"/>
  <c r="E10962"/>
  <c r="E10963"/>
  <c r="E10964"/>
  <c r="F10964" s="1"/>
  <c r="E10965"/>
  <c r="E10966"/>
  <c r="E10967"/>
  <c r="E10968"/>
  <c r="E10969"/>
  <c r="E10970"/>
  <c r="E10971"/>
  <c r="E10972"/>
  <c r="F10972" s="1"/>
  <c r="E10973"/>
  <c r="E10974"/>
  <c r="E10975"/>
  <c r="E10976"/>
  <c r="E10977"/>
  <c r="E10978"/>
  <c r="E10979"/>
  <c r="E10980"/>
  <c r="F10980" s="1"/>
  <c r="E10981"/>
  <c r="E10982"/>
  <c r="E10983"/>
  <c r="E10984"/>
  <c r="E10985"/>
  <c r="E10986"/>
  <c r="E10987"/>
  <c r="E10988"/>
  <c r="F10988" s="1"/>
  <c r="E10989"/>
  <c r="E10990"/>
  <c r="E10991"/>
  <c r="E10992"/>
  <c r="E10993"/>
  <c r="E10994"/>
  <c r="E10995"/>
  <c r="E10996"/>
  <c r="F10996" s="1"/>
  <c r="E10997"/>
  <c r="E10998"/>
  <c r="E10999"/>
  <c r="E11000"/>
  <c r="E11001"/>
  <c r="E11002"/>
  <c r="E11003"/>
  <c r="E11004"/>
  <c r="F11004" s="1"/>
  <c r="E11005"/>
  <c r="E11006"/>
  <c r="E11007"/>
  <c r="E11008"/>
  <c r="E11009"/>
  <c r="E11010"/>
  <c r="E11011"/>
  <c r="E11012"/>
  <c r="F11012" s="1"/>
  <c r="E11013"/>
  <c r="E11014"/>
  <c r="E11015"/>
  <c r="E11016"/>
  <c r="E11017"/>
  <c r="E11018"/>
  <c r="E11019"/>
  <c r="E11020"/>
  <c r="F11020" s="1"/>
  <c r="E11021"/>
  <c r="E11022"/>
  <c r="E11023"/>
  <c r="E11024"/>
  <c r="E11025"/>
  <c r="E11026"/>
  <c r="E11027"/>
  <c r="E11028"/>
  <c r="F11028" s="1"/>
  <c r="E11029"/>
  <c r="E11030"/>
  <c r="E11031"/>
  <c r="E11032"/>
  <c r="E11033"/>
  <c r="E11034"/>
  <c r="E11035"/>
  <c r="E11036"/>
  <c r="F11036" s="1"/>
  <c r="E11037"/>
  <c r="E11038"/>
  <c r="E11039"/>
  <c r="E11040"/>
  <c r="E11041"/>
  <c r="E11042"/>
  <c r="E11043"/>
  <c r="E11044"/>
  <c r="F11044" s="1"/>
  <c r="E11045"/>
  <c r="E11046"/>
  <c r="E11047"/>
  <c r="E11048"/>
  <c r="E11049"/>
  <c r="E11050"/>
  <c r="E11051"/>
  <c r="E11052"/>
  <c r="F11052" s="1"/>
  <c r="E11053"/>
  <c r="E11054"/>
  <c r="E11055"/>
  <c r="E11056"/>
  <c r="E11057"/>
  <c r="E11058"/>
  <c r="E11059"/>
  <c r="E11060"/>
  <c r="F11060" s="1"/>
  <c r="E11061"/>
  <c r="E11062"/>
  <c r="E11063"/>
  <c r="E11064"/>
  <c r="E11065"/>
  <c r="E11066"/>
  <c r="E11067"/>
  <c r="E11068"/>
  <c r="F11068" s="1"/>
  <c r="E11069"/>
  <c r="E11070"/>
  <c r="E11071"/>
  <c r="E11072"/>
  <c r="E11073"/>
  <c r="E11074"/>
  <c r="E11075"/>
  <c r="E11076"/>
  <c r="F11076" s="1"/>
  <c r="E11077"/>
  <c r="E11078"/>
  <c r="E11079"/>
  <c r="E11080"/>
  <c r="E11081"/>
  <c r="E11082"/>
  <c r="E11083"/>
  <c r="E11084"/>
  <c r="F11084" s="1"/>
  <c r="E11085"/>
  <c r="E11086"/>
  <c r="E11087"/>
  <c r="E11088"/>
  <c r="E11089"/>
  <c r="E11090"/>
  <c r="E11091"/>
  <c r="E11092"/>
  <c r="F11092" s="1"/>
  <c r="E11093"/>
  <c r="E11094"/>
  <c r="E11095"/>
  <c r="E11096"/>
  <c r="E11097"/>
  <c r="E11098"/>
  <c r="E11099"/>
  <c r="E11100"/>
  <c r="F11100" s="1"/>
  <c r="E11101"/>
  <c r="E11102"/>
  <c r="E11103"/>
  <c r="E11104"/>
  <c r="E11105"/>
  <c r="E11106"/>
  <c r="E11107"/>
  <c r="E11108"/>
  <c r="F11108" s="1"/>
  <c r="E11109"/>
  <c r="E11110"/>
  <c r="E11111"/>
  <c r="E11112"/>
  <c r="E11113"/>
  <c r="E11114"/>
  <c r="E11115"/>
  <c r="E11116"/>
  <c r="F11116" s="1"/>
  <c r="E11117"/>
  <c r="E11118"/>
  <c r="E11119"/>
  <c r="E11120"/>
  <c r="E11121"/>
  <c r="E11122"/>
  <c r="E11123"/>
  <c r="E11124"/>
  <c r="F11124" s="1"/>
  <c r="E11125"/>
  <c r="E11126"/>
  <c r="E11127"/>
  <c r="E11128"/>
  <c r="E11129"/>
  <c r="E11130"/>
  <c r="E11131"/>
  <c r="E11132"/>
  <c r="F11132" s="1"/>
  <c r="E11133"/>
  <c r="E11134"/>
  <c r="E11135"/>
  <c r="E11136"/>
  <c r="E11137"/>
  <c r="E11138"/>
  <c r="E11139"/>
  <c r="E11140"/>
  <c r="F11140" s="1"/>
  <c r="E11141"/>
  <c r="E11142"/>
  <c r="E11143"/>
  <c r="E11144"/>
  <c r="E11145"/>
  <c r="E11146"/>
  <c r="E11147"/>
  <c r="E11148"/>
  <c r="F11148" s="1"/>
  <c r="E11149"/>
  <c r="E11150"/>
  <c r="E11151"/>
  <c r="E11152"/>
  <c r="E11153"/>
  <c r="E11154"/>
  <c r="E11155"/>
  <c r="E11156"/>
  <c r="F11156" s="1"/>
  <c r="E11157"/>
  <c r="E11158"/>
  <c r="E11159"/>
  <c r="E11160"/>
  <c r="E11161"/>
  <c r="E11162"/>
  <c r="E11163"/>
  <c r="E11164"/>
  <c r="F11164" s="1"/>
  <c r="E11165"/>
  <c r="E11166"/>
  <c r="E11167"/>
  <c r="E11168"/>
  <c r="E11169"/>
  <c r="E11170"/>
  <c r="E11171"/>
  <c r="E11172"/>
  <c r="F11172" s="1"/>
  <c r="E11173"/>
  <c r="E11174"/>
  <c r="E11175"/>
  <c r="E11176"/>
  <c r="E11177"/>
  <c r="E11178"/>
  <c r="E11179"/>
  <c r="E11180"/>
  <c r="F11180" s="1"/>
  <c r="E11181"/>
  <c r="E11182"/>
  <c r="E11183"/>
  <c r="E11184"/>
  <c r="E11185"/>
  <c r="E11186"/>
  <c r="E11187"/>
  <c r="E11188"/>
  <c r="F11188" s="1"/>
  <c r="E11189"/>
  <c r="E11190"/>
  <c r="E11191"/>
  <c r="E11192"/>
  <c r="E11193"/>
  <c r="E11194"/>
  <c r="E11195"/>
  <c r="E11196"/>
  <c r="F11196" s="1"/>
  <c r="E11197"/>
  <c r="E11198"/>
  <c r="E11199"/>
  <c r="E11200"/>
  <c r="E11201"/>
  <c r="E11202"/>
  <c r="E11203"/>
  <c r="E11204"/>
  <c r="F11204" s="1"/>
  <c r="E11205"/>
  <c r="E11206"/>
  <c r="E11207"/>
  <c r="E11208"/>
  <c r="E11209"/>
  <c r="E11210"/>
  <c r="E11211"/>
  <c r="E11212"/>
  <c r="F11212" s="1"/>
  <c r="E11213"/>
  <c r="E11214"/>
  <c r="E11215"/>
  <c r="E11216"/>
  <c r="E11217"/>
  <c r="E11218"/>
  <c r="E11219"/>
  <c r="E11220"/>
  <c r="F11220" s="1"/>
  <c r="E11221"/>
  <c r="E11222"/>
  <c r="E11223"/>
  <c r="E11224"/>
  <c r="E11225"/>
  <c r="E11226"/>
  <c r="E11227"/>
  <c r="E11228"/>
  <c r="F11228" s="1"/>
  <c r="E11229"/>
  <c r="E11230"/>
  <c r="E11231"/>
  <c r="E11232"/>
  <c r="E11233"/>
  <c r="E11234"/>
  <c r="E11235"/>
  <c r="E11236"/>
  <c r="F11236" s="1"/>
  <c r="E11237"/>
  <c r="E11238"/>
  <c r="E11239"/>
  <c r="E11240"/>
  <c r="E11241"/>
  <c r="E11242"/>
  <c r="E11243"/>
  <c r="E11244"/>
  <c r="F11244" s="1"/>
  <c r="E11245"/>
  <c r="E11246"/>
  <c r="E11247"/>
  <c r="E11248"/>
  <c r="E11249"/>
  <c r="E11250"/>
  <c r="E11251"/>
  <c r="E11252"/>
  <c r="F11252" s="1"/>
  <c r="E11253"/>
  <c r="E11254"/>
  <c r="E11255"/>
  <c r="E11256"/>
  <c r="E11257"/>
  <c r="E11258"/>
  <c r="E11259"/>
  <c r="E11260"/>
  <c r="F11260" s="1"/>
  <c r="E11261"/>
  <c r="E11262"/>
  <c r="E11263"/>
  <c r="E11264"/>
  <c r="E11265"/>
  <c r="E11266"/>
  <c r="E11267"/>
  <c r="E11268"/>
  <c r="F11268" s="1"/>
  <c r="E11269"/>
  <c r="E11270"/>
  <c r="E11271"/>
  <c r="E11272"/>
  <c r="E11273"/>
  <c r="E11274"/>
  <c r="E11275"/>
  <c r="E11276"/>
  <c r="F11276" s="1"/>
  <c r="E11277"/>
  <c r="E11278"/>
  <c r="E11279"/>
  <c r="E11280"/>
  <c r="E11281"/>
  <c r="E11282"/>
  <c r="E11283"/>
  <c r="E11284"/>
  <c r="F11284" s="1"/>
  <c r="E11285"/>
  <c r="E11286"/>
  <c r="E11287"/>
  <c r="E11288"/>
  <c r="E11289"/>
  <c r="E11290"/>
  <c r="E11291"/>
  <c r="E11292"/>
  <c r="F11292" s="1"/>
  <c r="E11293"/>
  <c r="E11294"/>
  <c r="E11295"/>
  <c r="E11296"/>
  <c r="E11297"/>
  <c r="E11298"/>
  <c r="E11299"/>
  <c r="E11300"/>
  <c r="F11300" s="1"/>
  <c r="E11301"/>
  <c r="E11302"/>
  <c r="E11303"/>
  <c r="E11304"/>
  <c r="E11305"/>
  <c r="E11306"/>
  <c r="E11307"/>
  <c r="E11308"/>
  <c r="F11308" s="1"/>
  <c r="E11309"/>
  <c r="E11310"/>
  <c r="E11311"/>
  <c r="E11312"/>
  <c r="E11313"/>
  <c r="E11314"/>
  <c r="E11315"/>
  <c r="E11316"/>
  <c r="F11316" s="1"/>
  <c r="E11317"/>
  <c r="E11318"/>
  <c r="E11319"/>
  <c r="E11320"/>
  <c r="E11321"/>
  <c r="E11322"/>
  <c r="E11323"/>
  <c r="E11324"/>
  <c r="F11324" s="1"/>
  <c r="E11325"/>
  <c r="E11326"/>
  <c r="E11327"/>
  <c r="E11328"/>
  <c r="E11329"/>
  <c r="E11330"/>
  <c r="E11331"/>
  <c r="E11332"/>
  <c r="F11332" s="1"/>
  <c r="E11333"/>
  <c r="E11334"/>
  <c r="E11335"/>
  <c r="E11336"/>
  <c r="E11337"/>
  <c r="E11338"/>
  <c r="E11339"/>
  <c r="E11340"/>
  <c r="F11340" s="1"/>
  <c r="E11341"/>
  <c r="E11342"/>
  <c r="E11343"/>
  <c r="E11344"/>
  <c r="E11345"/>
  <c r="E11346"/>
  <c r="E11347"/>
  <c r="E11348"/>
  <c r="F11348" s="1"/>
  <c r="E11349"/>
  <c r="E11350"/>
  <c r="E11351"/>
  <c r="E11352"/>
  <c r="E11353"/>
  <c r="E11354"/>
  <c r="E11355"/>
  <c r="E11356"/>
  <c r="F11356" s="1"/>
  <c r="E11357"/>
  <c r="E11358"/>
  <c r="E11359"/>
  <c r="E11360"/>
  <c r="E11361"/>
  <c r="E11362"/>
  <c r="E11363"/>
  <c r="E11364"/>
  <c r="F11364" s="1"/>
  <c r="E11365"/>
  <c r="E11366"/>
  <c r="E11367"/>
  <c r="E11368"/>
  <c r="E11369"/>
  <c r="E11370"/>
  <c r="E11371"/>
  <c r="E11372"/>
  <c r="F11372" s="1"/>
  <c r="E11373"/>
  <c r="E11374"/>
  <c r="E11375"/>
  <c r="E11376"/>
  <c r="E11377"/>
  <c r="E11378"/>
  <c r="E11379"/>
  <c r="E11380"/>
  <c r="F11380" s="1"/>
  <c r="E11381"/>
  <c r="E11382"/>
  <c r="E11383"/>
  <c r="E11384"/>
  <c r="E11385"/>
  <c r="E11386"/>
  <c r="E11387"/>
  <c r="E11388"/>
  <c r="F11388" s="1"/>
  <c r="E11389"/>
  <c r="E11390"/>
  <c r="E11391"/>
  <c r="E11392"/>
  <c r="E11393"/>
  <c r="E11394"/>
  <c r="E11395"/>
  <c r="E11396"/>
  <c r="F11396" s="1"/>
  <c r="E11397"/>
  <c r="E11398"/>
  <c r="E11399"/>
  <c r="E11400"/>
  <c r="E11401"/>
  <c r="E11402"/>
  <c r="E11403"/>
  <c r="E11404"/>
  <c r="F11404" s="1"/>
  <c r="E11405"/>
  <c r="E11406"/>
  <c r="E11407"/>
  <c r="E11408"/>
  <c r="E11409"/>
  <c r="E11410"/>
  <c r="E11411"/>
  <c r="E11412"/>
  <c r="F11412" s="1"/>
  <c r="E11413"/>
  <c r="E11414"/>
  <c r="E11415"/>
  <c r="E11416"/>
  <c r="E11417"/>
  <c r="E11418"/>
  <c r="E11419"/>
  <c r="E11420"/>
  <c r="F11420" s="1"/>
  <c r="E11421"/>
  <c r="E11422"/>
  <c r="E11423"/>
  <c r="E11424"/>
  <c r="E11425"/>
  <c r="E11426"/>
  <c r="E11427"/>
  <c r="E11428"/>
  <c r="F11428" s="1"/>
  <c r="E11429"/>
  <c r="E11430"/>
  <c r="E11431"/>
  <c r="E11432"/>
  <c r="E11433"/>
  <c r="E11434"/>
  <c r="E11435"/>
  <c r="E11436"/>
  <c r="F11436" s="1"/>
  <c r="E11437"/>
  <c r="E11438"/>
  <c r="E11439"/>
  <c r="E11440"/>
  <c r="E11441"/>
  <c r="E11442"/>
  <c r="E11443"/>
  <c r="E11444"/>
  <c r="F11444" s="1"/>
  <c r="E11445"/>
  <c r="E11446"/>
  <c r="E11447"/>
  <c r="E11448"/>
  <c r="E11449"/>
  <c r="E11450"/>
  <c r="E11451"/>
  <c r="E11452"/>
  <c r="F11452" s="1"/>
  <c r="E11453"/>
  <c r="E11454"/>
  <c r="E11455"/>
  <c r="E11456"/>
  <c r="E11457"/>
  <c r="E11458"/>
  <c r="E11459"/>
  <c r="E11460"/>
  <c r="F11460" s="1"/>
  <c r="E11461"/>
  <c r="E11462"/>
  <c r="E11463"/>
  <c r="E11464"/>
  <c r="E11465"/>
  <c r="F11465" s="1"/>
  <c r="E11466"/>
  <c r="E11467"/>
  <c r="E11468"/>
  <c r="F11468" s="1"/>
  <c r="E11469"/>
  <c r="E11470"/>
  <c r="E11471"/>
  <c r="E11472"/>
  <c r="E11473"/>
  <c r="F11473" s="1"/>
  <c r="E11474"/>
  <c r="E11475"/>
  <c r="E11476"/>
  <c r="F11476" s="1"/>
  <c r="E11477"/>
  <c r="E11478"/>
  <c r="E11479"/>
  <c r="E11480"/>
  <c r="E11481"/>
  <c r="E11482"/>
  <c r="E11483"/>
  <c r="E11484"/>
  <c r="F11484" s="1"/>
  <c r="E11485"/>
  <c r="E11486"/>
  <c r="E11487"/>
  <c r="E11488"/>
  <c r="E11489"/>
  <c r="E11490"/>
  <c r="E11491"/>
  <c r="E11492"/>
  <c r="F11492" s="1"/>
  <c r="E11493"/>
  <c r="E11494"/>
  <c r="E11495"/>
  <c r="E11496"/>
  <c r="E11497"/>
  <c r="F11497" s="1"/>
  <c r="E11498"/>
  <c r="E11499"/>
  <c r="E11500"/>
  <c r="F11500" s="1"/>
  <c r="E11501"/>
  <c r="E11502"/>
  <c r="E11503"/>
  <c r="E11504"/>
  <c r="E11505"/>
  <c r="F11505" s="1"/>
  <c r="E11506"/>
  <c r="E11507"/>
  <c r="E11508"/>
  <c r="F11508" s="1"/>
  <c r="E11509"/>
  <c r="E11510"/>
  <c r="E11511"/>
  <c r="E11512"/>
  <c r="E11513"/>
  <c r="E11514"/>
  <c r="E11515"/>
  <c r="E11516"/>
  <c r="F11516" s="1"/>
  <c r="E11517"/>
  <c r="E11518"/>
  <c r="E11519"/>
  <c r="E11520"/>
  <c r="E11521"/>
  <c r="E11522"/>
  <c r="E11523"/>
  <c r="E11524"/>
  <c r="F11524" s="1"/>
  <c r="E11525"/>
  <c r="E11526"/>
  <c r="E11527"/>
  <c r="E11528"/>
  <c r="E11529"/>
  <c r="F11529" s="1"/>
  <c r="E11530"/>
  <c r="E11531"/>
  <c r="E11532"/>
  <c r="F11532" s="1"/>
  <c r="E11533"/>
  <c r="E11534"/>
  <c r="E11535"/>
  <c r="E11536"/>
  <c r="E11537"/>
  <c r="F11537" s="1"/>
  <c r="E11538"/>
  <c r="E11539"/>
  <c r="E11540"/>
  <c r="F11540" s="1"/>
  <c r="E11541"/>
  <c r="E11542"/>
  <c r="E11543"/>
  <c r="E11544"/>
  <c r="E11545"/>
  <c r="E11546"/>
  <c r="E11547"/>
  <c r="E11548"/>
  <c r="F11548" s="1"/>
  <c r="E11549"/>
  <c r="E11550"/>
  <c r="E11551"/>
  <c r="E11552"/>
  <c r="E11553"/>
  <c r="E11554"/>
  <c r="E11555"/>
  <c r="E11556"/>
  <c r="F11556" s="1"/>
  <c r="E11557"/>
  <c r="E11558"/>
  <c r="E11559"/>
  <c r="E11560"/>
  <c r="E11561"/>
  <c r="F11561" s="1"/>
  <c r="E11562"/>
  <c r="E11563"/>
  <c r="E11564"/>
  <c r="F11564" s="1"/>
  <c r="E11565"/>
  <c r="E11566"/>
  <c r="E11567"/>
  <c r="E11568"/>
  <c r="E11569"/>
  <c r="F11569" s="1"/>
  <c r="E11570"/>
  <c r="E11571"/>
  <c r="E11572"/>
  <c r="F11572" s="1"/>
  <c r="E11573"/>
  <c r="E11574"/>
  <c r="E11575"/>
  <c r="E11576"/>
  <c r="E11577"/>
  <c r="E11578"/>
  <c r="E11579"/>
  <c r="E11580"/>
  <c r="F11580" s="1"/>
  <c r="E11581"/>
  <c r="E11582"/>
  <c r="E11583"/>
  <c r="E11584"/>
  <c r="E11585"/>
  <c r="E11586"/>
  <c r="E11587"/>
  <c r="E11588"/>
  <c r="F11588" s="1"/>
  <c r="E11589"/>
  <c r="E11590"/>
  <c r="E11591"/>
  <c r="E11592"/>
  <c r="E11593"/>
  <c r="F11593" s="1"/>
  <c r="E11594"/>
  <c r="E11595"/>
  <c r="E11596"/>
  <c r="F11596" s="1"/>
  <c r="E11597"/>
  <c r="E11598"/>
  <c r="E11599"/>
  <c r="E11600"/>
  <c r="F11600" s="1"/>
  <c r="E11601"/>
  <c r="E11602"/>
  <c r="E11603"/>
  <c r="E11604"/>
  <c r="F11604" s="1"/>
  <c r="E11605"/>
  <c r="E11606"/>
  <c r="E11607"/>
  <c r="E11608"/>
  <c r="F11608" s="1"/>
  <c r="E11609"/>
  <c r="E11610"/>
  <c r="E11611"/>
  <c r="E11612"/>
  <c r="F11612" s="1"/>
  <c r="E11613"/>
  <c r="E11614"/>
  <c r="E11615"/>
  <c r="E11616"/>
  <c r="F11616" s="1"/>
  <c r="E11617"/>
  <c r="E11618"/>
  <c r="E11619"/>
  <c r="E11620"/>
  <c r="F11620" s="1"/>
  <c r="E11621"/>
  <c r="F11621" s="1"/>
  <c r="E11622"/>
  <c r="E11623"/>
  <c r="E11624"/>
  <c r="F11624" s="1"/>
  <c r="E11625"/>
  <c r="E11626"/>
  <c r="E11627"/>
  <c r="E11628"/>
  <c r="F11628" s="1"/>
  <c r="E11629"/>
  <c r="E11630"/>
  <c r="E11631"/>
  <c r="E11632"/>
  <c r="F11632" s="1"/>
  <c r="E11633"/>
  <c r="E11634"/>
  <c r="E11635"/>
  <c r="E11636"/>
  <c r="F11636" s="1"/>
  <c r="E11637"/>
  <c r="F11637" s="1"/>
  <c r="E11638"/>
  <c r="E11639"/>
  <c r="E11640"/>
  <c r="F11640" s="1"/>
  <c r="E11641"/>
  <c r="E11642"/>
  <c r="E11643"/>
  <c r="E11644"/>
  <c r="F11644" s="1"/>
  <c r="E11645"/>
  <c r="E11646"/>
  <c r="E11647"/>
  <c r="E11648"/>
  <c r="F11648" s="1"/>
  <c r="E11649"/>
  <c r="E11650"/>
  <c r="E11651"/>
  <c r="E11652"/>
  <c r="F11652" s="1"/>
  <c r="E11653"/>
  <c r="E11654"/>
  <c r="E11655"/>
  <c r="E11656"/>
  <c r="F11656" s="1"/>
  <c r="E11657"/>
  <c r="E11658"/>
  <c r="E11659"/>
  <c r="E11660"/>
  <c r="F11660" s="1"/>
  <c r="E11661"/>
  <c r="E11662"/>
  <c r="E11663"/>
  <c r="E11664"/>
  <c r="F11664" s="1"/>
  <c r="E11665"/>
  <c r="F11665" s="1"/>
  <c r="E11666"/>
  <c r="E11667"/>
  <c r="E11668"/>
  <c r="F11668" s="1"/>
  <c r="E11669"/>
  <c r="E11670"/>
  <c r="E11671"/>
  <c r="E11672"/>
  <c r="F11672" s="1"/>
  <c r="E11673"/>
  <c r="F11673" s="1"/>
  <c r="E11674"/>
  <c r="E11675"/>
  <c r="E11676"/>
  <c r="F11676" s="1"/>
  <c r="E11677"/>
  <c r="E11678"/>
  <c r="E11679"/>
  <c r="E11680"/>
  <c r="F11680" s="1"/>
  <c r="E11681"/>
  <c r="E11682"/>
  <c r="E11683"/>
  <c r="E11684"/>
  <c r="F11684" s="1"/>
  <c r="E11685"/>
  <c r="E11686"/>
  <c r="E11687"/>
  <c r="E11688"/>
  <c r="F11688" s="1"/>
  <c r="E11689"/>
  <c r="E11690"/>
  <c r="E11691"/>
  <c r="E11692"/>
  <c r="F11692" s="1"/>
  <c r="E11693"/>
  <c r="E11694"/>
  <c r="E11695"/>
  <c r="E11696"/>
  <c r="F11696" s="1"/>
  <c r="E11697"/>
  <c r="E11698"/>
  <c r="E11699"/>
  <c r="E11700"/>
  <c r="F11700" s="1"/>
  <c r="E11701"/>
  <c r="F11701" s="1"/>
  <c r="E11702"/>
  <c r="E11703"/>
  <c r="E11704"/>
  <c r="F11704" s="1"/>
  <c r="E11705"/>
  <c r="E11706"/>
  <c r="E11707"/>
  <c r="E11708"/>
  <c r="F11708" s="1"/>
  <c r="E11709"/>
  <c r="E11710"/>
  <c r="E11711"/>
  <c r="E11712"/>
  <c r="F11712" s="1"/>
  <c r="E11713"/>
  <c r="E11714"/>
  <c r="E11715"/>
  <c r="E11716"/>
  <c r="F11716" s="1"/>
  <c r="E11717"/>
  <c r="E11718"/>
  <c r="E11719"/>
  <c r="E11720"/>
  <c r="F11720" s="1"/>
  <c r="E11721"/>
  <c r="E11722"/>
  <c r="E11723"/>
  <c r="E11724"/>
  <c r="F11724" s="1"/>
  <c r="E11725"/>
  <c r="E11726"/>
  <c r="E11727"/>
  <c r="E11728"/>
  <c r="E11729"/>
  <c r="E11730"/>
  <c r="E11731"/>
  <c r="E11732"/>
  <c r="F11732" s="1"/>
  <c r="E11733"/>
  <c r="E11734"/>
  <c r="E11735"/>
  <c r="E11736"/>
  <c r="E11737"/>
  <c r="E11738"/>
  <c r="E11739"/>
  <c r="E11740"/>
  <c r="F11740" s="1"/>
  <c r="E11741"/>
  <c r="E11742"/>
  <c r="E11743"/>
  <c r="E11744"/>
  <c r="E11745"/>
  <c r="E11746"/>
  <c r="E11747"/>
  <c r="E11748"/>
  <c r="F11748" s="1"/>
  <c r="E11749"/>
  <c r="E11750"/>
  <c r="E11751"/>
  <c r="E11752"/>
  <c r="E11753"/>
  <c r="E11754"/>
  <c r="E11755"/>
  <c r="E11756"/>
  <c r="F11756" s="1"/>
  <c r="E11757"/>
  <c r="E11758"/>
  <c r="E11759"/>
  <c r="E11760"/>
  <c r="E11761"/>
  <c r="E11762"/>
  <c r="E11763"/>
  <c r="E11764"/>
  <c r="F11764" s="1"/>
  <c r="E11765"/>
  <c r="E11766"/>
  <c r="E11767"/>
  <c r="E11768"/>
  <c r="E11769"/>
  <c r="E11770"/>
  <c r="E11771"/>
  <c r="E11772"/>
  <c r="F11772" s="1"/>
  <c r="E11773"/>
  <c r="E11774"/>
  <c r="E11775"/>
  <c r="E11776"/>
  <c r="E11777"/>
  <c r="E11778"/>
  <c r="E11779"/>
  <c r="E11780"/>
  <c r="F11780" s="1"/>
  <c r="E11781"/>
  <c r="E11782"/>
  <c r="E11783"/>
  <c r="E11784"/>
  <c r="F11784" s="1"/>
  <c r="E11785"/>
  <c r="E11786"/>
  <c r="E11787"/>
  <c r="E11788"/>
  <c r="F11788" s="1"/>
  <c r="E11789"/>
  <c r="E11790"/>
  <c r="E11791"/>
  <c r="E11792"/>
  <c r="F11792" s="1"/>
  <c r="E11793"/>
  <c r="E11794"/>
  <c r="E11795"/>
  <c r="E11796"/>
  <c r="F11796" s="1"/>
  <c r="E11797"/>
  <c r="E11798"/>
  <c r="E11799"/>
  <c r="E11800"/>
  <c r="F11800" s="1"/>
  <c r="E11801"/>
  <c r="E11802"/>
  <c r="E11803"/>
  <c r="E11804"/>
  <c r="F11804" s="1"/>
  <c r="E11805"/>
  <c r="E11806"/>
  <c r="E11807"/>
  <c r="E11808"/>
  <c r="F11808" s="1"/>
  <c r="E11809"/>
  <c r="E11810"/>
  <c r="E11811"/>
  <c r="E11812"/>
  <c r="F11812" s="1"/>
  <c r="E11813"/>
  <c r="E11814"/>
  <c r="E11815"/>
  <c r="E11816"/>
  <c r="F11816" s="1"/>
  <c r="E11817"/>
  <c r="E11818"/>
  <c r="E11819"/>
  <c r="E11820"/>
  <c r="F11820" s="1"/>
  <c r="E11821"/>
  <c r="E11822"/>
  <c r="E11823"/>
  <c r="E11824"/>
  <c r="F11824" s="1"/>
  <c r="E11825"/>
  <c r="E11826"/>
  <c r="E11827"/>
  <c r="E11828"/>
  <c r="F11828" s="1"/>
  <c r="E11829"/>
  <c r="E11830"/>
  <c r="E11831"/>
  <c r="E11832"/>
  <c r="F11832" s="1"/>
  <c r="E11833"/>
  <c r="E11834"/>
  <c r="E11835"/>
  <c r="E11836"/>
  <c r="F11836" s="1"/>
  <c r="E11837"/>
  <c r="E11838"/>
  <c r="E11839"/>
  <c r="E11840"/>
  <c r="F11840" s="1"/>
  <c r="E11841"/>
  <c r="E11842"/>
  <c r="E11843"/>
  <c r="E11844"/>
  <c r="F11844" s="1"/>
  <c r="E11845"/>
  <c r="E11846"/>
  <c r="E11847"/>
  <c r="E11848"/>
  <c r="F11848" s="1"/>
  <c r="E11849"/>
  <c r="E11850"/>
  <c r="E11851"/>
  <c r="E11852"/>
  <c r="F11852" s="1"/>
  <c r="E11853"/>
  <c r="E11854"/>
  <c r="E11855"/>
  <c r="E11856"/>
  <c r="F11856" s="1"/>
  <c r="E11857"/>
  <c r="E11858"/>
  <c r="E11859"/>
  <c r="E11860"/>
  <c r="F11860" s="1"/>
  <c r="E11861"/>
  <c r="E11862"/>
  <c r="E11863"/>
  <c r="E11864"/>
  <c r="F11864" s="1"/>
  <c r="E11865"/>
  <c r="E11866"/>
  <c r="E11867"/>
  <c r="E11868"/>
  <c r="F11868" s="1"/>
  <c r="E11869"/>
  <c r="E11870"/>
  <c r="E11871"/>
  <c r="E11872"/>
  <c r="E11873"/>
  <c r="E11874"/>
  <c r="E11875"/>
  <c r="E11876"/>
  <c r="F11876" s="1"/>
  <c r="E11877"/>
  <c r="E11878"/>
  <c r="E11879"/>
  <c r="E11880"/>
  <c r="E11881"/>
  <c r="E11882"/>
  <c r="E11883"/>
  <c r="E11884"/>
  <c r="F11884" s="1"/>
  <c r="E11885"/>
  <c r="E11886"/>
  <c r="E11887"/>
  <c r="E11888"/>
  <c r="E11889"/>
  <c r="E11890"/>
  <c r="E11891"/>
  <c r="E11892"/>
  <c r="F11892" s="1"/>
  <c r="E11893"/>
  <c r="E11894"/>
  <c r="E11895"/>
  <c r="E11896"/>
  <c r="E11897"/>
  <c r="E11898"/>
  <c r="E11899"/>
  <c r="E11900"/>
  <c r="F11900" s="1"/>
  <c r="E11901"/>
  <c r="E11902"/>
  <c r="E11903"/>
  <c r="E11904"/>
  <c r="E11905"/>
  <c r="E11906"/>
  <c r="E11907"/>
  <c r="E11908"/>
  <c r="F11908" s="1"/>
  <c r="E11909"/>
  <c r="E11910"/>
  <c r="E11911"/>
  <c r="E11912"/>
  <c r="E11913"/>
  <c r="E11914"/>
  <c r="E11915"/>
  <c r="E11916"/>
  <c r="F11916" s="1"/>
  <c r="E11917"/>
  <c r="E11918"/>
  <c r="E11919"/>
  <c r="E11920"/>
  <c r="E11921"/>
  <c r="E11922"/>
  <c r="E11923"/>
  <c r="E11924"/>
  <c r="F11924" s="1"/>
  <c r="E11925"/>
  <c r="E11926"/>
  <c r="E11927"/>
  <c r="E11928"/>
  <c r="E11929"/>
  <c r="E11930"/>
  <c r="E11931"/>
  <c r="E11932"/>
  <c r="F11932" s="1"/>
  <c r="E11933"/>
  <c r="E11934"/>
  <c r="E11935"/>
  <c r="E11936"/>
  <c r="E11937"/>
  <c r="E11938"/>
  <c r="E11939"/>
  <c r="E11940"/>
  <c r="F11940" s="1"/>
  <c r="E11941"/>
  <c r="E11942"/>
  <c r="E11943"/>
  <c r="E11944"/>
  <c r="E11945"/>
  <c r="E11946"/>
  <c r="E11947"/>
  <c r="E11948"/>
  <c r="F11948" s="1"/>
  <c r="E11949"/>
  <c r="E11950"/>
  <c r="E11951"/>
  <c r="E11952"/>
  <c r="E11953"/>
  <c r="E11954"/>
  <c r="E11955"/>
  <c r="E11956"/>
  <c r="F11956" s="1"/>
  <c r="E11957"/>
  <c r="E11958"/>
  <c r="E11959"/>
  <c r="E11960"/>
  <c r="E11961"/>
  <c r="E11962"/>
  <c r="E11963"/>
  <c r="E11964"/>
  <c r="F11964" s="1"/>
  <c r="E11965"/>
  <c r="E11966"/>
  <c r="E11967"/>
  <c r="E11968"/>
  <c r="E11969"/>
  <c r="E11970"/>
  <c r="E11971"/>
  <c r="E11972"/>
  <c r="F11972" s="1"/>
  <c r="E11973"/>
  <c r="E11974"/>
  <c r="E11975"/>
  <c r="E11976"/>
  <c r="E11977"/>
  <c r="E11978"/>
  <c r="E11979"/>
  <c r="E11980"/>
  <c r="F11980" s="1"/>
  <c r="E11981"/>
  <c r="E11982"/>
  <c r="E11983"/>
  <c r="E11984"/>
  <c r="E11985"/>
  <c r="E11986"/>
  <c r="E11987"/>
  <c r="E11988"/>
  <c r="F11988" s="1"/>
  <c r="E11989"/>
  <c r="E11990"/>
  <c r="E11991"/>
  <c r="E11992"/>
  <c r="E11993"/>
  <c r="E11994"/>
  <c r="E11995"/>
  <c r="E11996"/>
  <c r="F11996" s="1"/>
  <c r="E11997"/>
  <c r="E11998"/>
  <c r="E11999"/>
  <c r="E12000"/>
  <c r="E12001"/>
  <c r="E12002"/>
  <c r="E12003"/>
  <c r="E12004"/>
  <c r="F12004" s="1"/>
  <c r="E12005"/>
  <c r="E12006"/>
  <c r="E12007"/>
  <c r="E12008"/>
  <c r="E12009"/>
  <c r="E12010"/>
  <c r="E12011"/>
  <c r="E12012"/>
  <c r="F12012" s="1"/>
  <c r="E12013"/>
  <c r="E12014"/>
  <c r="E12015"/>
  <c r="E12016"/>
  <c r="E12017"/>
  <c r="E12018"/>
  <c r="E12019"/>
  <c r="E12020"/>
  <c r="F12020" s="1"/>
  <c r="E12021"/>
  <c r="E12022"/>
  <c r="E12023"/>
  <c r="E12024"/>
  <c r="E12025"/>
  <c r="E12026"/>
  <c r="E12027"/>
  <c r="E12028"/>
  <c r="F12028" s="1"/>
  <c r="E12029"/>
  <c r="E12030"/>
  <c r="E12031"/>
  <c r="E12032"/>
  <c r="E12033"/>
  <c r="E12034"/>
  <c r="E12035"/>
  <c r="E12036"/>
  <c r="F12036" s="1"/>
  <c r="E12037"/>
  <c r="E12038"/>
  <c r="E12039"/>
  <c r="E12040"/>
  <c r="E12041"/>
  <c r="E12042"/>
  <c r="E12043"/>
  <c r="E12044"/>
  <c r="F12044" s="1"/>
  <c r="E12045"/>
  <c r="E12046"/>
  <c r="E12047"/>
  <c r="E12048"/>
  <c r="E12049"/>
  <c r="E12050"/>
  <c r="E12051"/>
  <c r="E12052"/>
  <c r="F12052" s="1"/>
  <c r="E12053"/>
  <c r="E12054"/>
  <c r="E12055"/>
  <c r="E12056"/>
  <c r="E12057"/>
  <c r="E12058"/>
  <c r="E12059"/>
  <c r="E12060"/>
  <c r="F12060" s="1"/>
  <c r="E12061"/>
  <c r="E12062"/>
  <c r="E12063"/>
  <c r="E12064"/>
  <c r="E12065"/>
  <c r="E12066"/>
  <c r="E12067"/>
  <c r="E12068"/>
  <c r="F12068" s="1"/>
  <c r="E12069"/>
  <c r="E12070"/>
  <c r="E12071"/>
  <c r="E12072"/>
  <c r="E12073"/>
  <c r="E12074"/>
  <c r="E12075"/>
  <c r="E12076"/>
  <c r="F12076" s="1"/>
  <c r="E12077"/>
  <c r="E12078"/>
  <c r="E12079"/>
  <c r="E12080"/>
  <c r="E12081"/>
  <c r="E12082"/>
  <c r="E12083"/>
  <c r="E12084"/>
  <c r="F12084" s="1"/>
  <c r="E12085"/>
  <c r="E12086"/>
  <c r="E12087"/>
  <c r="E12088"/>
  <c r="E12089"/>
  <c r="E12090"/>
  <c r="E12091"/>
  <c r="E12092"/>
  <c r="F12092" s="1"/>
  <c r="E12093"/>
  <c r="E12094"/>
  <c r="E12095"/>
  <c r="E12096"/>
  <c r="E12097"/>
  <c r="E12098"/>
  <c r="E12099"/>
  <c r="E12100"/>
  <c r="F12100" s="1"/>
  <c r="E12101"/>
  <c r="E12102"/>
  <c r="E12103"/>
  <c r="E12104"/>
  <c r="E12105"/>
  <c r="E12106"/>
  <c r="E12107"/>
  <c r="E12108"/>
  <c r="F12108" s="1"/>
  <c r="E12109"/>
  <c r="E12110"/>
  <c r="E12111"/>
  <c r="E12112"/>
  <c r="E12113"/>
  <c r="E12114"/>
  <c r="E12115"/>
  <c r="E12116"/>
  <c r="F12116" s="1"/>
  <c r="E12117"/>
  <c r="E12118"/>
  <c r="E12119"/>
  <c r="E12120"/>
  <c r="E12121"/>
  <c r="E12122"/>
  <c r="E12123"/>
  <c r="E12124"/>
  <c r="F12124" s="1"/>
  <c r="E12125"/>
  <c r="E12126"/>
  <c r="E12127"/>
  <c r="E12128"/>
  <c r="E12129"/>
  <c r="E12130"/>
  <c r="E12131"/>
  <c r="E12132"/>
  <c r="F12132" s="1"/>
  <c r="E12133"/>
  <c r="E12134"/>
  <c r="E12135"/>
  <c r="E12136"/>
  <c r="E12137"/>
  <c r="E12138"/>
  <c r="E12139"/>
  <c r="E12140"/>
  <c r="F12140" s="1"/>
  <c r="E12141"/>
  <c r="E12142"/>
  <c r="E12143"/>
  <c r="E12144"/>
  <c r="E12145"/>
  <c r="E12146"/>
  <c r="E12147"/>
  <c r="E12148"/>
  <c r="F12148" s="1"/>
  <c r="E12149"/>
  <c r="E12150"/>
  <c r="E12151"/>
  <c r="E12152"/>
  <c r="E12153"/>
  <c r="E12154"/>
  <c r="E12155"/>
  <c r="E12156"/>
  <c r="F12156" s="1"/>
  <c r="E12157"/>
  <c r="E12158"/>
  <c r="E12159"/>
  <c r="E12160"/>
  <c r="E12161"/>
  <c r="E12162"/>
  <c r="E12163"/>
  <c r="E12164"/>
  <c r="F12164" s="1"/>
  <c r="E12165"/>
  <c r="E12166"/>
  <c r="E12167"/>
  <c r="E12168"/>
  <c r="E12169"/>
  <c r="E12170"/>
  <c r="E12171"/>
  <c r="E12172"/>
  <c r="F12172" s="1"/>
  <c r="E12173"/>
  <c r="E12174"/>
  <c r="E12175"/>
  <c r="E12176"/>
  <c r="E12177"/>
  <c r="E12178"/>
  <c r="E12179"/>
  <c r="E12180"/>
  <c r="F12180" s="1"/>
  <c r="E12181"/>
  <c r="E12182"/>
  <c r="E12183"/>
  <c r="E12184"/>
  <c r="E12185"/>
  <c r="E12186"/>
  <c r="E12187"/>
  <c r="E12188"/>
  <c r="F12188" s="1"/>
  <c r="E12189"/>
  <c r="E12190"/>
  <c r="E12191"/>
  <c r="E12192"/>
  <c r="E12193"/>
  <c r="E12194"/>
  <c r="E12195"/>
  <c r="E12196"/>
  <c r="F12196" s="1"/>
  <c r="E12197"/>
  <c r="E12198"/>
  <c r="E12199"/>
  <c r="E12200"/>
  <c r="E12201"/>
  <c r="E12202"/>
  <c r="E12203"/>
  <c r="E12204"/>
  <c r="E12205"/>
  <c r="E12206"/>
  <c r="E12207"/>
  <c r="E12208"/>
  <c r="E12209"/>
  <c r="E12210"/>
  <c r="E12211"/>
  <c r="E12212"/>
  <c r="F12212" s="1"/>
  <c r="E12213"/>
  <c r="E12214"/>
  <c r="E12215"/>
  <c r="E12216"/>
  <c r="E12217"/>
  <c r="E12218"/>
  <c r="E12219"/>
  <c r="E12220"/>
  <c r="E12221"/>
  <c r="E12222"/>
  <c r="E12223"/>
  <c r="E12224"/>
  <c r="E12225"/>
  <c r="E12226"/>
  <c r="E12227"/>
  <c r="E12228"/>
  <c r="F12228" s="1"/>
  <c r="E12229"/>
  <c r="E12230"/>
  <c r="E12231"/>
  <c r="E12232"/>
  <c r="E12233"/>
  <c r="E12234"/>
  <c r="E12235"/>
  <c r="E12236"/>
  <c r="E12237"/>
  <c r="E12238"/>
  <c r="E12239"/>
  <c r="E12240"/>
  <c r="E12241"/>
  <c r="E12242"/>
  <c r="E12243"/>
  <c r="E12244"/>
  <c r="F12244" s="1"/>
  <c r="E12245"/>
  <c r="E12246"/>
  <c r="E12247"/>
  <c r="E12248"/>
  <c r="E12249"/>
  <c r="E12250"/>
  <c r="E12251"/>
  <c r="E12252"/>
  <c r="E12253"/>
  <c r="E12254"/>
  <c r="E12255"/>
  <c r="E12256"/>
  <c r="E12257"/>
  <c r="E12258"/>
  <c r="E12259"/>
  <c r="E12260"/>
  <c r="F12260" s="1"/>
  <c r="E12261"/>
  <c r="E12262"/>
  <c r="E12263"/>
  <c r="E12264"/>
  <c r="E12265"/>
  <c r="E12266"/>
  <c r="E12267"/>
  <c r="E12268"/>
  <c r="E12269"/>
  <c r="E12270"/>
  <c r="E12271"/>
  <c r="E12272"/>
  <c r="E12273"/>
  <c r="E12274"/>
  <c r="E12275"/>
  <c r="E12276"/>
  <c r="F12276" s="1"/>
  <c r="E12277"/>
  <c r="E12278"/>
  <c r="E12279"/>
  <c r="E12280"/>
  <c r="E12281"/>
  <c r="E12282"/>
  <c r="E12283"/>
  <c r="E12284"/>
  <c r="E12285"/>
  <c r="E12286"/>
  <c r="E12287"/>
  <c r="E12288"/>
  <c r="E12289"/>
  <c r="E12290"/>
  <c r="E12291"/>
  <c r="E12292"/>
  <c r="F12292" s="1"/>
  <c r="E12293"/>
  <c r="E12294"/>
  <c r="E12295"/>
  <c r="E12296"/>
  <c r="E12297"/>
  <c r="E12298"/>
  <c r="E12299"/>
  <c r="E12300"/>
  <c r="E12301"/>
  <c r="E12302"/>
  <c r="E12303"/>
  <c r="E12304"/>
  <c r="E12305"/>
  <c r="E12306"/>
  <c r="E12307"/>
  <c r="E12308"/>
  <c r="F12308" s="1"/>
  <c r="E12309"/>
  <c r="E12310"/>
  <c r="E12311"/>
  <c r="E12312"/>
  <c r="E12313"/>
  <c r="E12314"/>
  <c r="E12315"/>
  <c r="E12316"/>
  <c r="E12317"/>
  <c r="E12318"/>
  <c r="E12319"/>
  <c r="E12320"/>
  <c r="E12321"/>
  <c r="E12322"/>
  <c r="E12323"/>
  <c r="E12324"/>
  <c r="F12324" s="1"/>
  <c r="E12325"/>
  <c r="E12326"/>
  <c r="E12327"/>
  <c r="E12328"/>
  <c r="E12329"/>
  <c r="E12330"/>
  <c r="E12331"/>
  <c r="E12332"/>
  <c r="E12333"/>
  <c r="E12334"/>
  <c r="E12335"/>
  <c r="E12336"/>
  <c r="E12337"/>
  <c r="E12338"/>
  <c r="E12339"/>
  <c r="E12340"/>
  <c r="F12340" s="1"/>
  <c r="E12341"/>
  <c r="E12342"/>
  <c r="E12343"/>
  <c r="E12344"/>
  <c r="E12345"/>
  <c r="E12346"/>
  <c r="E12347"/>
  <c r="E12348"/>
  <c r="E12349"/>
  <c r="E12350"/>
  <c r="E12351"/>
  <c r="E12352"/>
  <c r="E12353"/>
  <c r="E12354"/>
  <c r="E12355"/>
  <c r="E12356"/>
  <c r="F12356" s="1"/>
  <c r="E12357"/>
  <c r="E12358"/>
  <c r="E12359"/>
  <c r="E12360"/>
  <c r="E12361"/>
  <c r="E12362"/>
  <c r="E12363"/>
  <c r="E12364"/>
  <c r="E12365"/>
  <c r="E12366"/>
  <c r="E12367"/>
  <c r="E12368"/>
  <c r="E12369"/>
  <c r="E12370"/>
  <c r="E12371"/>
  <c r="E12372"/>
  <c r="F12372" s="1"/>
  <c r="E12373"/>
  <c r="E12374"/>
  <c r="E12375"/>
  <c r="E12376"/>
  <c r="E12377"/>
  <c r="E12378"/>
  <c r="E12379"/>
  <c r="E12380"/>
  <c r="E12381"/>
  <c r="E12382"/>
  <c r="E12383"/>
  <c r="E12384"/>
  <c r="E12385"/>
  <c r="E12386"/>
  <c r="E12387"/>
  <c r="E12388"/>
  <c r="F12388" s="1"/>
  <c r="E12389"/>
  <c r="E12390"/>
  <c r="E12391"/>
  <c r="E12392"/>
  <c r="E12393"/>
  <c r="E12394"/>
  <c r="E12395"/>
  <c r="E12396"/>
  <c r="E12397"/>
  <c r="E12398"/>
  <c r="E12399"/>
  <c r="E12400"/>
  <c r="E12401"/>
  <c r="E12402"/>
  <c r="E12403"/>
  <c r="E12404"/>
  <c r="F12404" s="1"/>
  <c r="E12405"/>
  <c r="E12406"/>
  <c r="E12407"/>
  <c r="E12408"/>
  <c r="E12409"/>
  <c r="E12410"/>
  <c r="E12411"/>
  <c r="E12412"/>
  <c r="E12413"/>
  <c r="E12414"/>
  <c r="E12415"/>
  <c r="E12416"/>
  <c r="E12417"/>
  <c r="E12418"/>
  <c r="E12419"/>
  <c r="E12420"/>
  <c r="F12420" s="1"/>
  <c r="E12421"/>
  <c r="E12422"/>
  <c r="E12423"/>
  <c r="E12424"/>
  <c r="E12425"/>
  <c r="E12426"/>
  <c r="E12427"/>
  <c r="E12428"/>
  <c r="E12429"/>
  <c r="E12430"/>
  <c r="E12431"/>
  <c r="E12432"/>
  <c r="E12433"/>
  <c r="E12434"/>
  <c r="E12435"/>
  <c r="E12436"/>
  <c r="F12436" s="1"/>
  <c r="E12437"/>
  <c r="E12438"/>
  <c r="E12439"/>
  <c r="E12440"/>
  <c r="E12441"/>
  <c r="E12442"/>
  <c r="E12443"/>
  <c r="E12444"/>
  <c r="E12445"/>
  <c r="E12446"/>
  <c r="E12447"/>
  <c r="E12448"/>
  <c r="E12449"/>
  <c r="E12450"/>
  <c r="E12451"/>
  <c r="E12452"/>
  <c r="F12452" s="1"/>
  <c r="E12453"/>
  <c r="E12454"/>
  <c r="E12455"/>
  <c r="E12456"/>
  <c r="E12457"/>
  <c r="E12458"/>
  <c r="E12459"/>
  <c r="E12460"/>
  <c r="E12461"/>
  <c r="E12462"/>
  <c r="E12463"/>
  <c r="E12464"/>
  <c r="E12465"/>
  <c r="E12466"/>
  <c r="E12467"/>
  <c r="E12468"/>
  <c r="F12468" s="1"/>
  <c r="E12469"/>
  <c r="E12470"/>
  <c r="E12471"/>
  <c r="E12472"/>
  <c r="E12473"/>
  <c r="E12474"/>
  <c r="E12475"/>
  <c r="E12476"/>
  <c r="E12477"/>
  <c r="E12478"/>
  <c r="E12479"/>
  <c r="E12480"/>
  <c r="E12481"/>
  <c r="E12482"/>
  <c r="E12483"/>
  <c r="E12484"/>
  <c r="F12484" s="1"/>
  <c r="E12485"/>
  <c r="E12486"/>
  <c r="E12487"/>
  <c r="E12488"/>
  <c r="E12489"/>
  <c r="E12490"/>
  <c r="E12491"/>
  <c r="E12492"/>
  <c r="E12493"/>
  <c r="E12494"/>
  <c r="E12495"/>
  <c r="E12496"/>
  <c r="E12497"/>
  <c r="E12498"/>
  <c r="E12499"/>
  <c r="E12500"/>
  <c r="F12500" s="1"/>
  <c r="E12501"/>
  <c r="E12502"/>
  <c r="E12503"/>
  <c r="E12504"/>
  <c r="E12505"/>
  <c r="E12506"/>
  <c r="E12507"/>
  <c r="E12508"/>
  <c r="E12509"/>
  <c r="E12510"/>
  <c r="E12511"/>
  <c r="E12512"/>
  <c r="E12513"/>
  <c r="E12514"/>
  <c r="E12515"/>
  <c r="E12516"/>
  <c r="F12516" s="1"/>
  <c r="E12517"/>
  <c r="E12518"/>
  <c r="E12519"/>
  <c r="E12520"/>
  <c r="F12520" s="1"/>
  <c r="E12521"/>
  <c r="E12522"/>
  <c r="E12523"/>
  <c r="E12524"/>
  <c r="F12524" s="1"/>
  <c r="E12525"/>
  <c r="E12526"/>
  <c r="F12526" s="1"/>
  <c r="E12527"/>
  <c r="E12528"/>
  <c r="F12528" s="1"/>
  <c r="E12529"/>
  <c r="E12530"/>
  <c r="E12531"/>
  <c r="E12532"/>
  <c r="F12532" s="1"/>
  <c r="E12533"/>
  <c r="E12534"/>
  <c r="E12535"/>
  <c r="E12536"/>
  <c r="F12536" s="1"/>
  <c r="E12537"/>
  <c r="E12538"/>
  <c r="E12539"/>
  <c r="E12540"/>
  <c r="F12540" s="1"/>
  <c r="E12541"/>
  <c r="E12542"/>
  <c r="E12543"/>
  <c r="E12544"/>
  <c r="F12544" s="1"/>
  <c r="E12545"/>
  <c r="E12546"/>
  <c r="E12547"/>
  <c r="E12548"/>
  <c r="F12548" s="1"/>
  <c r="E12549"/>
  <c r="E12550"/>
  <c r="E12551"/>
  <c r="E12552"/>
  <c r="F12552" s="1"/>
  <c r="E12553"/>
  <c r="E12554"/>
  <c r="F12554" s="1"/>
  <c r="E12555"/>
  <c r="E12556"/>
  <c r="F12556" s="1"/>
  <c r="E12557"/>
  <c r="E12558"/>
  <c r="E12559"/>
  <c r="E12560"/>
  <c r="F12560" s="1"/>
  <c r="E12561"/>
  <c r="E12562"/>
  <c r="E12563"/>
  <c r="E12564"/>
  <c r="F12564" s="1"/>
  <c r="E12565"/>
  <c r="F12565" s="1"/>
  <c r="E12566"/>
  <c r="E12567"/>
  <c r="E12568"/>
  <c r="F12568" s="1"/>
  <c r="E12569"/>
  <c r="E12570"/>
  <c r="E12571"/>
  <c r="E12572"/>
  <c r="F12572" s="1"/>
  <c r="E12573"/>
  <c r="F12573" s="1"/>
  <c r="E12574"/>
  <c r="E12575"/>
  <c r="E12576"/>
  <c r="F12576" s="1"/>
  <c r="E12577"/>
  <c r="E12578"/>
  <c r="E12579"/>
  <c r="E12580"/>
  <c r="F12580" s="1"/>
  <c r="E12581"/>
  <c r="E12582"/>
  <c r="E12583"/>
  <c r="E12584"/>
  <c r="F12584" s="1"/>
  <c r="E12585"/>
  <c r="E12586"/>
  <c r="E12587"/>
  <c r="E12588"/>
  <c r="E12589"/>
  <c r="E12590"/>
  <c r="E12591"/>
  <c r="E12592"/>
  <c r="F12592" s="1"/>
  <c r="E12593"/>
  <c r="E12594"/>
  <c r="F12594" s="1"/>
  <c r="E12595"/>
  <c r="E12596"/>
  <c r="F12596" s="1"/>
  <c r="E12597"/>
  <c r="E12598"/>
  <c r="E12599"/>
  <c r="E12600"/>
  <c r="F12600" s="1"/>
  <c r="E12601"/>
  <c r="F12601" s="1"/>
  <c r="E12602"/>
  <c r="E12603"/>
  <c r="E12604"/>
  <c r="F12604" s="1"/>
  <c r="E12605"/>
  <c r="F12605" s="1"/>
  <c r="E12606"/>
  <c r="E12607"/>
  <c r="E12608"/>
  <c r="F12608" s="1"/>
  <c r="E12609"/>
  <c r="E12610"/>
  <c r="E12611"/>
  <c r="E12612"/>
  <c r="F12612" s="1"/>
  <c r="E12613"/>
  <c r="E12614"/>
  <c r="E12615"/>
  <c r="E12616"/>
  <c r="E12617"/>
  <c r="F12617" s="1"/>
  <c r="E12618"/>
  <c r="E12619"/>
  <c r="E12620"/>
  <c r="F12620" s="1"/>
  <c r="E12621"/>
  <c r="E12622"/>
  <c r="E12623"/>
  <c r="E12624"/>
  <c r="F12624" s="1"/>
  <c r="E12625"/>
  <c r="E12626"/>
  <c r="E12627"/>
  <c r="E12628"/>
  <c r="F12628" s="1"/>
  <c r="E12629"/>
  <c r="E12630"/>
  <c r="F12630" s="1"/>
  <c r="E12631"/>
  <c r="E12632"/>
  <c r="F12632" s="1"/>
  <c r="E12633"/>
  <c r="E12634"/>
  <c r="F12634" s="1"/>
  <c r="E12635"/>
  <c r="E12636"/>
  <c r="F12636" s="1"/>
  <c r="E12637"/>
  <c r="E12638"/>
  <c r="E12639"/>
  <c r="E12640"/>
  <c r="F12640" s="1"/>
  <c r="E12641"/>
  <c r="E12642"/>
  <c r="E12643"/>
  <c r="E12644"/>
  <c r="F12644" s="1"/>
  <c r="E12645"/>
  <c r="E12646"/>
  <c r="E12647"/>
  <c r="E12648"/>
  <c r="F12648" s="1"/>
  <c r="E12649"/>
  <c r="E12650"/>
  <c r="E12651"/>
  <c r="E12652"/>
  <c r="F12652" s="1"/>
  <c r="E12653"/>
  <c r="E12654"/>
  <c r="F12654" s="1"/>
  <c r="E12655"/>
  <c r="E12656"/>
  <c r="F12656" s="1"/>
  <c r="E12657"/>
  <c r="F12657" s="1"/>
  <c r="E12658"/>
  <c r="E12659"/>
  <c r="E12660"/>
  <c r="F12660" s="1"/>
  <c r="E12661"/>
  <c r="E12662"/>
  <c r="E12663"/>
  <c r="E12664"/>
  <c r="F12664" s="1"/>
  <c r="E12665"/>
  <c r="E12666"/>
  <c r="E12667"/>
  <c r="E12668"/>
  <c r="E12669"/>
  <c r="F12669" s="1"/>
  <c r="E12670"/>
  <c r="E12671"/>
  <c r="E12672"/>
  <c r="F12672" s="1"/>
  <c r="E12673"/>
  <c r="E12674"/>
  <c r="F12674" s="1"/>
  <c r="E12675"/>
  <c r="E12676"/>
  <c r="F12676" s="1"/>
  <c r="E12677"/>
  <c r="E12678"/>
  <c r="F12678" s="1"/>
  <c r="E12679"/>
  <c r="E12680"/>
  <c r="E12681"/>
  <c r="E12682"/>
  <c r="E12683"/>
  <c r="E12684"/>
  <c r="F12684" s="1"/>
  <c r="E12685"/>
  <c r="E12686"/>
  <c r="E12687"/>
  <c r="E12688"/>
  <c r="F12688" s="1"/>
  <c r="E12689"/>
  <c r="E12690"/>
  <c r="E12691"/>
  <c r="E12692"/>
  <c r="F12692" s="1"/>
  <c r="E12693"/>
  <c r="E12694"/>
  <c r="E12695"/>
  <c r="E12696"/>
  <c r="F12696" s="1"/>
  <c r="E12697"/>
  <c r="E12698"/>
  <c r="F12698" s="1"/>
  <c r="E12699"/>
  <c r="E12700"/>
  <c r="F12700" s="1"/>
  <c r="E12701"/>
  <c r="E12702"/>
  <c r="E12703"/>
  <c r="E12704"/>
  <c r="F12704" s="1"/>
  <c r="E12705"/>
  <c r="E12706"/>
  <c r="E12707"/>
  <c r="E12708"/>
  <c r="F12708" s="1"/>
  <c r="E12709"/>
  <c r="F12709" s="1"/>
  <c r="E12710"/>
  <c r="E12711"/>
  <c r="E12712"/>
  <c r="F12712" s="1"/>
  <c r="E12713"/>
  <c r="E12714"/>
  <c r="E12715"/>
  <c r="E12716"/>
  <c r="F12716" s="1"/>
  <c r="E12717"/>
  <c r="E12718"/>
  <c r="E12719"/>
  <c r="E12720"/>
  <c r="F12720" s="1"/>
  <c r="E12721"/>
  <c r="E12722"/>
  <c r="E12723"/>
  <c r="E12724"/>
  <c r="F12724" s="1"/>
  <c r="E12725"/>
  <c r="E12726"/>
  <c r="E12727"/>
  <c r="E12728"/>
  <c r="E12729"/>
  <c r="F12729" s="1"/>
  <c r="E12730"/>
  <c r="F12730" s="1"/>
  <c r="E12731"/>
  <c r="E12732"/>
  <c r="F12732" s="1"/>
  <c r="E12733"/>
  <c r="E12734"/>
  <c r="E12735"/>
  <c r="E12736"/>
  <c r="F12736" s="1"/>
  <c r="E12737"/>
  <c r="E12738"/>
  <c r="F12738" s="1"/>
  <c r="E12739"/>
  <c r="E12740"/>
  <c r="F12740" s="1"/>
  <c r="E12741"/>
  <c r="E12742"/>
  <c r="E12743"/>
  <c r="E12744"/>
  <c r="F12744" s="1"/>
  <c r="E12745"/>
  <c r="E12746"/>
  <c r="E12747"/>
  <c r="E12748"/>
  <c r="F12748" s="1"/>
  <c r="E12749"/>
  <c r="E12750"/>
  <c r="F12750" s="1"/>
  <c r="E12751"/>
  <c r="E12752"/>
  <c r="F12752" s="1"/>
  <c r="E12753"/>
  <c r="E12754"/>
  <c r="E12755"/>
  <c r="E12756"/>
  <c r="F12756" s="1"/>
  <c r="E12757"/>
  <c r="E12758"/>
  <c r="E12759"/>
  <c r="E12760"/>
  <c r="F12760" s="1"/>
  <c r="E12761"/>
  <c r="F12761" s="1"/>
  <c r="E12762"/>
  <c r="E12763"/>
  <c r="E12764"/>
  <c r="F12764" s="1"/>
  <c r="E12765"/>
  <c r="E12766"/>
  <c r="E12767"/>
  <c r="E12768"/>
  <c r="F12768" s="1"/>
  <c r="E12769"/>
  <c r="E12770"/>
  <c r="F12770" s="1"/>
  <c r="E12771"/>
  <c r="E12772"/>
  <c r="F12772" s="1"/>
  <c r="E12773"/>
  <c r="E12774"/>
  <c r="F12774" s="1"/>
  <c r="E12775"/>
  <c r="E12776"/>
  <c r="F12776" s="1"/>
  <c r="E12777"/>
  <c r="E12778"/>
  <c r="F12778" s="1"/>
  <c r="E12779"/>
  <c r="E12780"/>
  <c r="F12780" s="1"/>
  <c r="E12781"/>
  <c r="E12782"/>
  <c r="E12783"/>
  <c r="E12784"/>
  <c r="F12784" s="1"/>
  <c r="E12785"/>
  <c r="E12786"/>
  <c r="E12787"/>
  <c r="E12788"/>
  <c r="F12788" s="1"/>
  <c r="E12789"/>
  <c r="E12790"/>
  <c r="E12791"/>
  <c r="E12792"/>
  <c r="F12792" s="1"/>
  <c r="E12793"/>
  <c r="E12794"/>
  <c r="E12795"/>
  <c r="E12796"/>
  <c r="F12796" s="1"/>
  <c r="E12797"/>
  <c r="E12798"/>
  <c r="E12799"/>
  <c r="E12800"/>
  <c r="F12800" s="1"/>
  <c r="E12801"/>
  <c r="E12802"/>
  <c r="E12803"/>
  <c r="E12804"/>
  <c r="F12804" s="1"/>
  <c r="E12805"/>
  <c r="E12806"/>
  <c r="E12807"/>
  <c r="E12808"/>
  <c r="F12808" s="1"/>
  <c r="E12809"/>
  <c r="E12810"/>
  <c r="F12810" s="1"/>
  <c r="E12811"/>
  <c r="E12812"/>
  <c r="F12812" s="1"/>
  <c r="E12813"/>
  <c r="E12814"/>
  <c r="E12815"/>
  <c r="E12816"/>
  <c r="F12816" s="1"/>
  <c r="E12817"/>
  <c r="E12818"/>
  <c r="F12818" s="1"/>
  <c r="E12819"/>
  <c r="E12820"/>
  <c r="F12820" s="1"/>
  <c r="E12821"/>
  <c r="E12822"/>
  <c r="E12823"/>
  <c r="E12824"/>
  <c r="F12824" s="1"/>
  <c r="E12825"/>
  <c r="E12826"/>
  <c r="F12826" s="1"/>
  <c r="E12827"/>
  <c r="E12828"/>
  <c r="F12828" s="1"/>
  <c r="E12829"/>
  <c r="E12830"/>
  <c r="E12831"/>
  <c r="E12832"/>
  <c r="F12832" s="1"/>
  <c r="E12833"/>
  <c r="F12833" s="1"/>
  <c r="E12834"/>
  <c r="E12835"/>
  <c r="E12836"/>
  <c r="F12836" s="1"/>
  <c r="E12837"/>
  <c r="F12837" s="1"/>
  <c r="E12838"/>
  <c r="E12839"/>
  <c r="E12840"/>
  <c r="F12840" s="1"/>
  <c r="E12841"/>
  <c r="E12842"/>
  <c r="E12843"/>
  <c r="E12844"/>
  <c r="F12844" s="1"/>
  <c r="E12845"/>
  <c r="F12845" s="1"/>
  <c r="E12846"/>
  <c r="E12847"/>
  <c r="E12848"/>
  <c r="F12848" s="1"/>
  <c r="E12849"/>
  <c r="E12850"/>
  <c r="E12851"/>
  <c r="E12852"/>
  <c r="F12852" s="1"/>
  <c r="E12853"/>
  <c r="E12854"/>
  <c r="E12855"/>
  <c r="E12856"/>
  <c r="F12856" s="1"/>
  <c r="E12857"/>
  <c r="F12857" s="1"/>
  <c r="E12858"/>
  <c r="E12859"/>
  <c r="E12860"/>
  <c r="F12860" s="1"/>
  <c r="E12861"/>
  <c r="E12862"/>
  <c r="E12863"/>
  <c r="E12864"/>
  <c r="F12864" s="1"/>
  <c r="E12865"/>
  <c r="E12866"/>
  <c r="F12866" s="1"/>
  <c r="E12867"/>
  <c r="E12868"/>
  <c r="F12868" s="1"/>
  <c r="E12869"/>
  <c r="E12870"/>
  <c r="E12871"/>
  <c r="E12872"/>
  <c r="F12872" s="1"/>
  <c r="E12873"/>
  <c r="F12873" s="1"/>
  <c r="E12874"/>
  <c r="E12875"/>
  <c r="E12876"/>
  <c r="F12876" s="1"/>
  <c r="E12877"/>
  <c r="F12877" s="1"/>
  <c r="E12878"/>
  <c r="E12879"/>
  <c r="E12880"/>
  <c r="F12880" s="1"/>
  <c r="E12881"/>
  <c r="E12882"/>
  <c r="E12883"/>
  <c r="E12884"/>
  <c r="E12885"/>
  <c r="E12886"/>
  <c r="E12887"/>
  <c r="E12888"/>
  <c r="F12888" s="1"/>
  <c r="E12889"/>
  <c r="E12890"/>
  <c r="E12891"/>
  <c r="E12892"/>
  <c r="F12892" s="1"/>
  <c r="E12893"/>
  <c r="E12894"/>
  <c r="F12894" s="1"/>
  <c r="E12895"/>
  <c r="E12896"/>
  <c r="F12896" s="1"/>
  <c r="E12897"/>
  <c r="E12898"/>
  <c r="E12899"/>
  <c r="E12900"/>
  <c r="F12900" s="1"/>
  <c r="E12901"/>
  <c r="E12902"/>
  <c r="F12902" s="1"/>
  <c r="E12903"/>
  <c r="E12904"/>
  <c r="F12904" s="1"/>
  <c r="E12905"/>
  <c r="E12906"/>
  <c r="E12907"/>
  <c r="E12908"/>
  <c r="F12908" s="1"/>
  <c r="E12909"/>
  <c r="E12910"/>
  <c r="E12911"/>
  <c r="E12912"/>
  <c r="F12912" s="1"/>
  <c r="E12913"/>
  <c r="E12914"/>
  <c r="E12915"/>
  <c r="E12916"/>
  <c r="F12916" s="1"/>
  <c r="E12917"/>
  <c r="E12918"/>
  <c r="E12919"/>
  <c r="E12920"/>
  <c r="E12921"/>
  <c r="E12922"/>
  <c r="E12923"/>
  <c r="E12924"/>
  <c r="E12925"/>
  <c r="F12925" s="1"/>
  <c r="E12926"/>
  <c r="E12927"/>
  <c r="E12928"/>
  <c r="F12928" s="1"/>
  <c r="E12929"/>
  <c r="E12930"/>
  <c r="F12930" s="1"/>
  <c r="E12931"/>
  <c r="E12932"/>
  <c r="F12932" s="1"/>
  <c r="E12933"/>
  <c r="E12934"/>
  <c r="F12934" s="1"/>
  <c r="E12935"/>
  <c r="E12936"/>
  <c r="F12936" s="1"/>
  <c r="E12937"/>
  <c r="E12938"/>
  <c r="E12939"/>
  <c r="E12940"/>
  <c r="F12940" s="1"/>
  <c r="E12941"/>
  <c r="E12942"/>
  <c r="F12942" s="1"/>
  <c r="E12943"/>
  <c r="E12944"/>
  <c r="F12944" s="1"/>
  <c r="E12945"/>
  <c r="E12946"/>
  <c r="E12947"/>
  <c r="E12948"/>
  <c r="F12948" s="1"/>
  <c r="E12949"/>
  <c r="E12950"/>
  <c r="E12951"/>
  <c r="E12952"/>
  <c r="F12952" s="1"/>
  <c r="E12953"/>
  <c r="E12954"/>
  <c r="E12955"/>
  <c r="E12956"/>
  <c r="F12956" s="1"/>
  <c r="E12957"/>
  <c r="E12958"/>
  <c r="E12959"/>
  <c r="E12960"/>
  <c r="F12960" s="1"/>
  <c r="E12961"/>
  <c r="E12962"/>
  <c r="E12963"/>
  <c r="E12964"/>
  <c r="F12964" s="1"/>
  <c r="E12965"/>
  <c r="F12965" s="1"/>
  <c r="E12966"/>
  <c r="E12967"/>
  <c r="E12968"/>
  <c r="F12968" s="1"/>
  <c r="E12969"/>
  <c r="E12970"/>
  <c r="F12970" s="1"/>
  <c r="E12971"/>
  <c r="E12972"/>
  <c r="F12972" s="1"/>
  <c r="E12973"/>
  <c r="F12973" s="1"/>
  <c r="E12974"/>
  <c r="E12975"/>
  <c r="E12976"/>
  <c r="F12976" s="1"/>
  <c r="E12977"/>
  <c r="E12978"/>
  <c r="E12979"/>
  <c r="E12980"/>
  <c r="F12980" s="1"/>
  <c r="E12981"/>
  <c r="E12982"/>
  <c r="E12983"/>
  <c r="E12984"/>
  <c r="F12984" s="1"/>
  <c r="E12985"/>
  <c r="E12986"/>
  <c r="E12987"/>
  <c r="E12988"/>
  <c r="F12988" s="1"/>
  <c r="E12989"/>
  <c r="E12990"/>
  <c r="E12991"/>
  <c r="E12992"/>
  <c r="F12992" s="1"/>
  <c r="E12993"/>
  <c r="E12994"/>
  <c r="E12995"/>
  <c r="E12996"/>
  <c r="F12996" s="1"/>
  <c r="E12997"/>
  <c r="E12998"/>
  <c r="E12999"/>
  <c r="E13000"/>
  <c r="F13000" s="1"/>
  <c r="E13001"/>
  <c r="E13002"/>
  <c r="E13003"/>
  <c r="E13004"/>
  <c r="F13004" s="1"/>
  <c r="E13005"/>
  <c r="E13006"/>
  <c r="E13007"/>
  <c r="E13008"/>
  <c r="F13008" s="1"/>
  <c r="E13009"/>
  <c r="F13009" s="1"/>
  <c r="E13010"/>
  <c r="E13011"/>
  <c r="E13012"/>
  <c r="F13012" s="1"/>
  <c r="E13013"/>
  <c r="E13014"/>
  <c r="F13014" s="1"/>
  <c r="E13015"/>
  <c r="E13016"/>
  <c r="F13016" s="1"/>
  <c r="E13017"/>
  <c r="E13018"/>
  <c r="E13019"/>
  <c r="E13020"/>
  <c r="F13020" s="1"/>
  <c r="E13021"/>
  <c r="E13022"/>
  <c r="E13023"/>
  <c r="E13024"/>
  <c r="E13025"/>
  <c r="E13026"/>
  <c r="E13027"/>
  <c r="E13028"/>
  <c r="F13028" s="1"/>
  <c r="E13029"/>
  <c r="E13030"/>
  <c r="E13031"/>
  <c r="E13032"/>
  <c r="F13032" s="1"/>
  <c r="E13033"/>
  <c r="E13034"/>
  <c r="E13035"/>
  <c r="E13036"/>
  <c r="F13036" s="1"/>
  <c r="E13037"/>
  <c r="E13038"/>
  <c r="E13039"/>
  <c r="E13040"/>
  <c r="F13040" s="1"/>
  <c r="E13041"/>
  <c r="E13042"/>
  <c r="E13043"/>
  <c r="E13044"/>
  <c r="F13044" s="1"/>
  <c r="E13045"/>
  <c r="F13045" s="1"/>
  <c r="E13046"/>
  <c r="E13047"/>
  <c r="E13048"/>
  <c r="F13048" s="1"/>
  <c r="E13049"/>
  <c r="E13050"/>
  <c r="E13051"/>
  <c r="E13052"/>
  <c r="F13052" s="1"/>
  <c r="E13053"/>
  <c r="E13054"/>
  <c r="E13055"/>
  <c r="E13056"/>
  <c r="F13056" s="1"/>
  <c r="E13057"/>
  <c r="F13057" s="1"/>
  <c r="E13058"/>
  <c r="E13059"/>
  <c r="E13060"/>
  <c r="F13060" s="1"/>
  <c r="E13061"/>
  <c r="E13062"/>
  <c r="E13063"/>
  <c r="E13064"/>
  <c r="F13064" s="1"/>
  <c r="E13065"/>
  <c r="F13065" s="1"/>
  <c r="E13066"/>
  <c r="E13067"/>
  <c r="E13068"/>
  <c r="F13068" s="1"/>
  <c r="E13069"/>
  <c r="E13070"/>
  <c r="E13071"/>
  <c r="E13072"/>
  <c r="F13072" s="1"/>
  <c r="E13073"/>
  <c r="E13074"/>
  <c r="F13074" s="1"/>
  <c r="E13075"/>
  <c r="E13076"/>
  <c r="E13077"/>
  <c r="E13078"/>
  <c r="E13079"/>
  <c r="E13080"/>
  <c r="E13081"/>
  <c r="F13081" s="1"/>
  <c r="E13082"/>
  <c r="E13083"/>
  <c r="E13084"/>
  <c r="E13085"/>
  <c r="F13085" s="1"/>
  <c r="E13086"/>
  <c r="E13087"/>
  <c r="E13088"/>
  <c r="F13088" s="1"/>
  <c r="E13089"/>
  <c r="E13090"/>
  <c r="E13091"/>
  <c r="E13092"/>
  <c r="F13092" s="1"/>
  <c r="E13093"/>
  <c r="E13094"/>
  <c r="F13094" s="1"/>
  <c r="E13095"/>
  <c r="E13096"/>
  <c r="F13096" s="1"/>
  <c r="E13097"/>
  <c r="E13098"/>
  <c r="E13099"/>
  <c r="E13100"/>
  <c r="F13100" s="1"/>
  <c r="E13101"/>
  <c r="E13102"/>
  <c r="E13103"/>
  <c r="E13104"/>
  <c r="F13104" s="1"/>
  <c r="E13105"/>
  <c r="E13106"/>
  <c r="E13107"/>
  <c r="E13108"/>
  <c r="F13108" s="1"/>
  <c r="E13109"/>
  <c r="E13110"/>
  <c r="E13111"/>
  <c r="E13112"/>
  <c r="F13112" s="1"/>
  <c r="E13113"/>
  <c r="F13113" s="1"/>
  <c r="E13114"/>
  <c r="F13114" s="1"/>
  <c r="E13115"/>
  <c r="E13116"/>
  <c r="F13116" s="1"/>
  <c r="E13117"/>
  <c r="E13118"/>
  <c r="F13118" s="1"/>
  <c r="E13119"/>
  <c r="E13120"/>
  <c r="F13120" s="1"/>
  <c r="E13121"/>
  <c r="F13121" s="1"/>
  <c r="E13122"/>
  <c r="E13123"/>
  <c r="E13124"/>
  <c r="F13124" s="1"/>
  <c r="E13125"/>
  <c r="E13126"/>
  <c r="F13126" s="1"/>
  <c r="E13127"/>
  <c r="E13128"/>
  <c r="F13128" s="1"/>
  <c r="E13129"/>
  <c r="E13130"/>
  <c r="F13130" s="1"/>
  <c r="E13131"/>
  <c r="E13132"/>
  <c r="F13132" s="1"/>
  <c r="E13133"/>
  <c r="E13134"/>
  <c r="E13135"/>
  <c r="E13136"/>
  <c r="F13136" s="1"/>
  <c r="E13137"/>
  <c r="E13138"/>
  <c r="E13139"/>
  <c r="E13140"/>
  <c r="F13140" s="1"/>
  <c r="E13141"/>
  <c r="E13142"/>
  <c r="F13142" s="1"/>
  <c r="E13143"/>
  <c r="E13144"/>
  <c r="F13144" s="1"/>
  <c r="E13145"/>
  <c r="E13146"/>
  <c r="E13147"/>
  <c r="E13148"/>
  <c r="F13148" s="1"/>
  <c r="E13149"/>
  <c r="E13150"/>
  <c r="E13151"/>
  <c r="E13152"/>
  <c r="F13152" s="1"/>
  <c r="E13153"/>
  <c r="F13153" s="1"/>
  <c r="E13154"/>
  <c r="E13155"/>
  <c r="E13156"/>
  <c r="F13156" s="1"/>
  <c r="E13157"/>
  <c r="F13157" s="1"/>
  <c r="E13158"/>
  <c r="E13159"/>
  <c r="E13160"/>
  <c r="F13160" s="1"/>
  <c r="E13161"/>
  <c r="E13162"/>
  <c r="E13163"/>
  <c r="E13164"/>
  <c r="F13164" s="1"/>
  <c r="E13165"/>
  <c r="E13166"/>
  <c r="E13167"/>
  <c r="E13168"/>
  <c r="F13168" s="1"/>
  <c r="E13169"/>
  <c r="E13170"/>
  <c r="F13170" s="1"/>
  <c r="E13171"/>
  <c r="E13172"/>
  <c r="F13172" s="1"/>
  <c r="E13173"/>
  <c r="E13174"/>
  <c r="F13174" s="1"/>
  <c r="E13175"/>
  <c r="E13176"/>
  <c r="F13176" s="1"/>
  <c r="E13177"/>
  <c r="E13178"/>
  <c r="E13179"/>
  <c r="E13180"/>
  <c r="F13180" s="1"/>
  <c r="E13181"/>
  <c r="E13182"/>
  <c r="E13183"/>
  <c r="E13184"/>
  <c r="F13184" s="1"/>
  <c r="E13185"/>
  <c r="E13186"/>
  <c r="E13187"/>
  <c r="E13188"/>
  <c r="F13188" s="1"/>
  <c r="E13189"/>
  <c r="F13189" s="1"/>
  <c r="E13190"/>
  <c r="E13191"/>
  <c r="E13192"/>
  <c r="F13192" s="1"/>
  <c r="E13193"/>
  <c r="F13193" s="1"/>
  <c r="E13194"/>
  <c r="E13195"/>
  <c r="E13196"/>
  <c r="F13196" s="1"/>
  <c r="E13197"/>
  <c r="E13198"/>
  <c r="E13199"/>
  <c r="E13200"/>
  <c r="F13200" s="1"/>
  <c r="E13201"/>
  <c r="E13202"/>
  <c r="E13203"/>
  <c r="E13204"/>
  <c r="F13204" s="1"/>
  <c r="E13205"/>
  <c r="E13206"/>
  <c r="E13207"/>
  <c r="E13208"/>
  <c r="F13208" s="1"/>
  <c r="E13209"/>
  <c r="E13210"/>
  <c r="E13211"/>
  <c r="E13212"/>
  <c r="F13212" s="1"/>
  <c r="E13213"/>
  <c r="E13214"/>
  <c r="E13215"/>
  <c r="E13216"/>
  <c r="F13216" s="1"/>
  <c r="E13217"/>
  <c r="E13218"/>
  <c r="E13219"/>
  <c r="E13220"/>
  <c r="F13220" s="1"/>
  <c r="E13221"/>
  <c r="F13221" s="1"/>
  <c r="E13222"/>
  <c r="E13223"/>
  <c r="E13224"/>
  <c r="F13224" s="1"/>
  <c r="E13225"/>
  <c r="E13226"/>
  <c r="E13227"/>
  <c r="E13228"/>
  <c r="F13228" s="1"/>
  <c r="E13229"/>
  <c r="E13230"/>
  <c r="E13231"/>
  <c r="E13232"/>
  <c r="F13232" s="1"/>
  <c r="E13233"/>
  <c r="E13234"/>
  <c r="F13234" s="1"/>
  <c r="E13235"/>
  <c r="E13236"/>
  <c r="F13236" s="1"/>
  <c r="E13237"/>
  <c r="E13238"/>
  <c r="F13238" s="1"/>
  <c r="E13239"/>
  <c r="E13240"/>
  <c r="F13240" s="1"/>
  <c r="E13241"/>
  <c r="E13242"/>
  <c r="E13243"/>
  <c r="E13244"/>
  <c r="F13244" s="1"/>
  <c r="E13245"/>
  <c r="E13246"/>
  <c r="E13247"/>
  <c r="E13248"/>
  <c r="F13248" s="1"/>
  <c r="E13249"/>
  <c r="F13249" s="1"/>
  <c r="E13250"/>
  <c r="E13251"/>
  <c r="E13252"/>
  <c r="F13252" s="1"/>
  <c r="E13253"/>
  <c r="F13253" s="1"/>
  <c r="E13254"/>
  <c r="E13255"/>
  <c r="E13256"/>
  <c r="F13256" s="1"/>
  <c r="E13257"/>
  <c r="E13258"/>
  <c r="E13259"/>
  <c r="E13260"/>
  <c r="E13261"/>
  <c r="E13262"/>
  <c r="E13263"/>
  <c r="E13264"/>
  <c r="F13264" s="1"/>
  <c r="E13265"/>
  <c r="E13266"/>
  <c r="E13267"/>
  <c r="E13268"/>
  <c r="F13268" s="1"/>
  <c r="E13269"/>
  <c r="E13270"/>
  <c r="F13270" s="1"/>
  <c r="E13271"/>
  <c r="E13272"/>
  <c r="F13272" s="1"/>
  <c r="E13273"/>
  <c r="E13274"/>
  <c r="E13275"/>
  <c r="E13276"/>
  <c r="F13276" s="1"/>
  <c r="E13277"/>
  <c r="E13278"/>
  <c r="E13279"/>
  <c r="E13280"/>
  <c r="F13280" s="1"/>
  <c r="E13281"/>
  <c r="E13282"/>
  <c r="F13282" s="1"/>
  <c r="E13283"/>
  <c r="E13284"/>
  <c r="F13284" s="1"/>
  <c r="E13285"/>
  <c r="E13286"/>
  <c r="E13287"/>
  <c r="E13288"/>
  <c r="F13288" s="1"/>
  <c r="E13289"/>
  <c r="E13290"/>
  <c r="E13291"/>
  <c r="E13292"/>
  <c r="F13292" s="1"/>
  <c r="E13293"/>
  <c r="E13294"/>
  <c r="E13295"/>
  <c r="E13296"/>
  <c r="F13296" s="1"/>
  <c r="E13297"/>
  <c r="E13298"/>
  <c r="E13299"/>
  <c r="E13300"/>
  <c r="F13300" s="1"/>
  <c r="E13301"/>
  <c r="E13302"/>
  <c r="E13303"/>
  <c r="E13304"/>
  <c r="F13304" s="1"/>
  <c r="E13305"/>
  <c r="E13306"/>
  <c r="E13307"/>
  <c r="E13308"/>
  <c r="F13308" s="1"/>
  <c r="E13309"/>
  <c r="F13309" s="1"/>
  <c r="E13310"/>
  <c r="E13311"/>
  <c r="E13312"/>
  <c r="F13312" s="1"/>
  <c r="E13313"/>
  <c r="E13314"/>
  <c r="E13315"/>
  <c r="E13316"/>
  <c r="F13316" s="1"/>
  <c r="E13317"/>
  <c r="E13318"/>
  <c r="E13319"/>
  <c r="E13320"/>
  <c r="F13320" s="1"/>
  <c r="E13321"/>
  <c r="F13321" s="1"/>
  <c r="E13322"/>
  <c r="E13323"/>
  <c r="E13324"/>
  <c r="F13324" s="1"/>
  <c r="E13325"/>
  <c r="E13326"/>
  <c r="E13327"/>
  <c r="E13328"/>
  <c r="F13328" s="1"/>
  <c r="E13329"/>
  <c r="E13330"/>
  <c r="E13331"/>
  <c r="E13332"/>
  <c r="E13333"/>
  <c r="E13334"/>
  <c r="E13335"/>
  <c r="E13336"/>
  <c r="F13336" s="1"/>
  <c r="E13337"/>
  <c r="E13338"/>
  <c r="F13338" s="1"/>
  <c r="E13339"/>
  <c r="E13340"/>
  <c r="F13340" s="1"/>
  <c r="E13341"/>
  <c r="E13342"/>
  <c r="F13342" s="1"/>
  <c r="E13343"/>
  <c r="E13344"/>
  <c r="F13344" s="1"/>
  <c r="E13345"/>
  <c r="E13346"/>
  <c r="F13346" s="1"/>
  <c r="E13347"/>
  <c r="E13348"/>
  <c r="F13348" s="1"/>
  <c r="E13349"/>
  <c r="F13349" s="1"/>
  <c r="E13350"/>
  <c r="E13351"/>
  <c r="E13352"/>
  <c r="F13352" s="1"/>
  <c r="E13353"/>
  <c r="F13353" s="1"/>
  <c r="E13354"/>
  <c r="E13355"/>
  <c r="E13356"/>
  <c r="F13356" s="1"/>
  <c r="E13357"/>
  <c r="E13358"/>
  <c r="E13359"/>
  <c r="E13360"/>
  <c r="F13360" s="1"/>
  <c r="E13361"/>
  <c r="E13362"/>
  <c r="E13363"/>
  <c r="E13364"/>
  <c r="F13364" s="1"/>
  <c r="E13365"/>
  <c r="F13365" s="1"/>
  <c r="E13366"/>
  <c r="E13367"/>
  <c r="E13368"/>
  <c r="E13369"/>
  <c r="E13370"/>
  <c r="E13371"/>
  <c r="E13372"/>
  <c r="F13372" s="1"/>
  <c r="E13373"/>
  <c r="F13373" s="1"/>
  <c r="E13374"/>
  <c r="E13375"/>
  <c r="E13376"/>
  <c r="F13376" s="1"/>
  <c r="E13377"/>
  <c r="E13378"/>
  <c r="E13379"/>
  <c r="E13380"/>
  <c r="F13380" s="1"/>
  <c r="E13381"/>
  <c r="E13382"/>
  <c r="F13382" s="1"/>
  <c r="E13383"/>
  <c r="E13384"/>
  <c r="F13384" s="1"/>
  <c r="E13385"/>
  <c r="E13386"/>
  <c r="E13387"/>
  <c r="E13388"/>
  <c r="F13388" s="1"/>
  <c r="E13389"/>
  <c r="F13389" s="1"/>
  <c r="E13390"/>
  <c r="E13391"/>
  <c r="E13392"/>
  <c r="F13392" s="1"/>
  <c r="E13393"/>
  <c r="E13394"/>
  <c r="F13394" s="1"/>
  <c r="E13395"/>
  <c r="E13396"/>
  <c r="F13396" s="1"/>
  <c r="E13397"/>
  <c r="E13398"/>
  <c r="E13399"/>
  <c r="E13400"/>
  <c r="F13400" s="1"/>
  <c r="E13401"/>
  <c r="E13402"/>
  <c r="E13403"/>
  <c r="E13404"/>
  <c r="F13404" s="1"/>
  <c r="E13405"/>
  <c r="E13406"/>
  <c r="E13407"/>
  <c r="E13408"/>
  <c r="F13408" s="1"/>
  <c r="E13409"/>
  <c r="E13410"/>
  <c r="E13411"/>
  <c r="E13412"/>
  <c r="F13412" s="1"/>
  <c r="E13413"/>
  <c r="E13414"/>
  <c r="E13415"/>
  <c r="E13416"/>
  <c r="F13416" s="1"/>
  <c r="E13417"/>
  <c r="E13418"/>
  <c r="E13419"/>
  <c r="E13420"/>
  <c r="F13420" s="1"/>
  <c r="E13421"/>
  <c r="E13422"/>
  <c r="E13423"/>
  <c r="E13424"/>
  <c r="F13424" s="1"/>
  <c r="E13425"/>
  <c r="E13426"/>
  <c r="E13427"/>
  <c r="E13428"/>
  <c r="F13428" s="1"/>
  <c r="E13429"/>
  <c r="E13430"/>
  <c r="E13431"/>
  <c r="E13432"/>
  <c r="F13432" s="1"/>
  <c r="E13433"/>
  <c r="E13434"/>
  <c r="E13435"/>
  <c r="E13436"/>
  <c r="F13436" s="1"/>
  <c r="E13437"/>
  <c r="E13438"/>
  <c r="E13439"/>
  <c r="E13440"/>
  <c r="F13440" s="1"/>
  <c r="E13441"/>
  <c r="E13442"/>
  <c r="E13443"/>
  <c r="E13444"/>
  <c r="F13444" s="1"/>
  <c r="E13445"/>
  <c r="E13446"/>
  <c r="E13447"/>
  <c r="E13448"/>
  <c r="F13448" s="1"/>
  <c r="E13449"/>
  <c r="E13450"/>
  <c r="E13451"/>
  <c r="E13452"/>
  <c r="F13452" s="1"/>
  <c r="E13453"/>
  <c r="E13454"/>
  <c r="F13454" s="1"/>
  <c r="E13455"/>
  <c r="E13456"/>
  <c r="F13456" s="1"/>
  <c r="E13457"/>
  <c r="E13458"/>
  <c r="E13459"/>
  <c r="E13460"/>
  <c r="F13460" s="1"/>
  <c r="E13461"/>
  <c r="E13462"/>
  <c r="E13463"/>
  <c r="E13464"/>
  <c r="F13464" s="1"/>
  <c r="E13465"/>
  <c r="E13466"/>
  <c r="E13467"/>
  <c r="E13468"/>
  <c r="F13468" s="1"/>
  <c r="E13469"/>
  <c r="E13470"/>
  <c r="E13471"/>
  <c r="E13472"/>
  <c r="F13472" s="1"/>
  <c r="E13473"/>
  <c r="E13474"/>
  <c r="F13474" s="1"/>
  <c r="E13475"/>
  <c r="E13476"/>
  <c r="F13476" s="1"/>
  <c r="E13477"/>
  <c r="E13478"/>
  <c r="E13479"/>
  <c r="E13480"/>
  <c r="F13480" s="1"/>
  <c r="E13481"/>
  <c r="F13481" s="1"/>
  <c r="E13482"/>
  <c r="E13483"/>
  <c r="E13484"/>
  <c r="F13484" s="1"/>
  <c r="E13485"/>
  <c r="E13486"/>
  <c r="F13486" s="1"/>
  <c r="E13487"/>
  <c r="E13488"/>
  <c r="F13488" s="1"/>
  <c r="E13489"/>
  <c r="E13490"/>
  <c r="E13491"/>
  <c r="E13492"/>
  <c r="F13492" s="1"/>
  <c r="E13493"/>
  <c r="E13494"/>
  <c r="F13494" s="1"/>
  <c r="E13495"/>
  <c r="E13496"/>
  <c r="F13496" s="1"/>
  <c r="E13497"/>
  <c r="F13497" s="1"/>
  <c r="E13498"/>
  <c r="E13499"/>
  <c r="E13500"/>
  <c r="F13500" s="1"/>
  <c r="E13501"/>
  <c r="E13502"/>
  <c r="E13503"/>
  <c r="E13504"/>
  <c r="F13504" s="1"/>
  <c r="E13505"/>
  <c r="E13506"/>
  <c r="E13507"/>
  <c r="E13508"/>
  <c r="F13508" s="1"/>
  <c r="E13509"/>
  <c r="E13510"/>
  <c r="E13511"/>
  <c r="E13512"/>
  <c r="F13512" s="1"/>
  <c r="E13513"/>
  <c r="F13513" s="1"/>
  <c r="E13514"/>
  <c r="E13515"/>
  <c r="E13516"/>
  <c r="F13516" s="1"/>
  <c r="E13517"/>
  <c r="E13518"/>
  <c r="F13518" s="1"/>
  <c r="E13519"/>
  <c r="E13520"/>
  <c r="F13520" s="1"/>
  <c r="E13521"/>
  <c r="E13522"/>
  <c r="E13523"/>
  <c r="E13524"/>
  <c r="F13524" s="1"/>
  <c r="E13525"/>
  <c r="E13526"/>
  <c r="F13526" s="1"/>
  <c r="E13527"/>
  <c r="E13528"/>
  <c r="F13528" s="1"/>
  <c r="E13529"/>
  <c r="E13530"/>
  <c r="E13531"/>
  <c r="E13532"/>
  <c r="F13532" s="1"/>
  <c r="E13533"/>
  <c r="F13533" s="1"/>
  <c r="E13534"/>
  <c r="E13535"/>
  <c r="E13536"/>
  <c r="F13536" s="1"/>
  <c r="E13537"/>
  <c r="E13538"/>
  <c r="F13538" s="1"/>
  <c r="E13539"/>
  <c r="E13540"/>
  <c r="F13540" s="1"/>
  <c r="E13541"/>
  <c r="F13541" s="1"/>
  <c r="E13542"/>
  <c r="E13543"/>
  <c r="E13544"/>
  <c r="F13544" s="1"/>
  <c r="E13545"/>
  <c r="E13546"/>
  <c r="E13547"/>
  <c r="E13548"/>
  <c r="E13549"/>
  <c r="E13550"/>
  <c r="E13551"/>
  <c r="E13552"/>
  <c r="E13553"/>
  <c r="E13554"/>
  <c r="E13555"/>
  <c r="E13556"/>
  <c r="F13556" s="1"/>
  <c r="E13557"/>
  <c r="F13557" s="1"/>
  <c r="E13558"/>
  <c r="E13559"/>
  <c r="E13560"/>
  <c r="F13560" s="1"/>
  <c r="E13561"/>
  <c r="E13562"/>
  <c r="E13563"/>
  <c r="E13564"/>
  <c r="F13564" s="1"/>
  <c r="E13565"/>
  <c r="F13565" s="1"/>
  <c r="E13566"/>
  <c r="E13567"/>
  <c r="E13568"/>
  <c r="F13568" s="1"/>
  <c r="E13569"/>
  <c r="E13570"/>
  <c r="E13571"/>
  <c r="E13572"/>
  <c r="F13572" s="1"/>
  <c r="E13573"/>
  <c r="E13574"/>
  <c r="E13575"/>
  <c r="E13576"/>
  <c r="F13576" s="1"/>
  <c r="E13577"/>
  <c r="E13578"/>
  <c r="F13578" s="1"/>
  <c r="E13579"/>
  <c r="E13580"/>
  <c r="F13580" s="1"/>
  <c r="E13581"/>
  <c r="E13582"/>
  <c r="E13583"/>
  <c r="E13584"/>
  <c r="F13584" s="1"/>
  <c r="E13585"/>
  <c r="E13586"/>
  <c r="E13587"/>
  <c r="E13588"/>
  <c r="F13588" s="1"/>
  <c r="E13589"/>
  <c r="E13590"/>
  <c r="E13591"/>
  <c r="E13592"/>
  <c r="F13592" s="1"/>
  <c r="E13593"/>
  <c r="E13594"/>
  <c r="E13595"/>
  <c r="E13596"/>
  <c r="F13596" s="1"/>
  <c r="E13597"/>
  <c r="F13597" s="1"/>
  <c r="E13598"/>
  <c r="E13599"/>
  <c r="E13600"/>
  <c r="F13600" s="1"/>
  <c r="E13601"/>
  <c r="E13602"/>
  <c r="E13603"/>
  <c r="E13604"/>
  <c r="F13604" s="1"/>
  <c r="E13605"/>
  <c r="E13606"/>
  <c r="F13606" s="1"/>
  <c r="E13607"/>
  <c r="E13608"/>
  <c r="F13608" s="1"/>
  <c r="E13609"/>
  <c r="E13610"/>
  <c r="F13610" s="1"/>
  <c r="E13611"/>
  <c r="E13612"/>
  <c r="F13612" s="1"/>
  <c r="E13613"/>
  <c r="E13614"/>
  <c r="E13615"/>
  <c r="E13616"/>
  <c r="F13616" s="1"/>
  <c r="E13617"/>
  <c r="E13618"/>
  <c r="E13619"/>
  <c r="E13620"/>
  <c r="F13620" s="1"/>
  <c r="E13621"/>
  <c r="E13622"/>
  <c r="E13623"/>
  <c r="E13624"/>
  <c r="F13624" s="1"/>
  <c r="E13625"/>
  <c r="E13626"/>
  <c r="E13627"/>
  <c r="E13628"/>
  <c r="F13628" s="1"/>
  <c r="E13629"/>
  <c r="E13630"/>
  <c r="E13631"/>
  <c r="E13632"/>
  <c r="F13632" s="1"/>
  <c r="E13633"/>
  <c r="E13634"/>
  <c r="F13634" s="1"/>
  <c r="E13635"/>
  <c r="E13636"/>
  <c r="F13636" s="1"/>
  <c r="E13637"/>
  <c r="E13638"/>
  <c r="E13639"/>
  <c r="E13640"/>
  <c r="F13640" s="1"/>
  <c r="E13641"/>
  <c r="E13642"/>
  <c r="E13643"/>
  <c r="E13644"/>
  <c r="F13644" s="1"/>
  <c r="E13645"/>
  <c r="E13646"/>
  <c r="E13647"/>
  <c r="E13648"/>
  <c r="F13648" s="1"/>
  <c r="E13649"/>
  <c r="E13650"/>
  <c r="E13651"/>
  <c r="E13652"/>
  <c r="F13652" s="1"/>
  <c r="E13653"/>
  <c r="F13653" s="1"/>
  <c r="E13654"/>
  <c r="E13655"/>
  <c r="E13656"/>
  <c r="F13656" s="1"/>
  <c r="E13657"/>
  <c r="E13658"/>
  <c r="E13659"/>
  <c r="E13660"/>
  <c r="F13660" s="1"/>
  <c r="E13661"/>
  <c r="E13662"/>
  <c r="F13662" s="1"/>
  <c r="E13663"/>
  <c r="E13664"/>
  <c r="F13664" s="1"/>
  <c r="E13665"/>
  <c r="E13666"/>
  <c r="E13667"/>
  <c r="E13668"/>
  <c r="F13668" s="1"/>
  <c r="E13669"/>
  <c r="E13670"/>
  <c r="E13671"/>
  <c r="E13672"/>
  <c r="F13672" s="1"/>
  <c r="E13673"/>
  <c r="E13674"/>
  <c r="F13674" s="1"/>
  <c r="E13675"/>
  <c r="E13676"/>
  <c r="F13676" s="1"/>
  <c r="E13677"/>
  <c r="E13678"/>
  <c r="F13678" s="1"/>
  <c r="E13679"/>
  <c r="E13680"/>
  <c r="F13680" s="1"/>
  <c r="E13681"/>
  <c r="F13681" s="1"/>
  <c r="E13682"/>
  <c r="E13683"/>
  <c r="E13684"/>
  <c r="E13685"/>
  <c r="F13685" s="1"/>
  <c r="E13686"/>
  <c r="E13687"/>
  <c r="E13688"/>
  <c r="F13688" s="1"/>
  <c r="E13689"/>
  <c r="E13690"/>
  <c r="E13691"/>
  <c r="E13692"/>
  <c r="F13692" s="1"/>
  <c r="E13693"/>
  <c r="E13694"/>
  <c r="E13695"/>
  <c r="E13696"/>
  <c r="F13696" s="1"/>
  <c r="E13697"/>
  <c r="E13698"/>
  <c r="F13698" s="1"/>
  <c r="E13699"/>
  <c r="E13700"/>
  <c r="F13700" s="1"/>
  <c r="E13701"/>
  <c r="E13702"/>
  <c r="F13702" s="1"/>
  <c r="E13703"/>
  <c r="E13704"/>
  <c r="F13704" s="1"/>
  <c r="E13705"/>
  <c r="E13706"/>
  <c r="E13707"/>
  <c r="E13708"/>
  <c r="F13708" s="1"/>
  <c r="E13709"/>
  <c r="F13709" s="1"/>
  <c r="E13710"/>
  <c r="E13711"/>
  <c r="E13712"/>
  <c r="F13712" s="1"/>
  <c r="E13713"/>
  <c r="E13714"/>
  <c r="E13715"/>
  <c r="E13716"/>
  <c r="F13716" s="1"/>
  <c r="E13717"/>
  <c r="F13717" s="1"/>
  <c r="E13718"/>
  <c r="F13718" s="1"/>
  <c r="E13719"/>
  <c r="E13720"/>
  <c r="F13720" s="1"/>
  <c r="E13721"/>
  <c r="E13722"/>
  <c r="E13723"/>
  <c r="E13724"/>
  <c r="F13724" s="1"/>
  <c r="E13725"/>
  <c r="E13726"/>
  <c r="F13726" s="1"/>
  <c r="E13727"/>
  <c r="E13728"/>
  <c r="F13728" s="1"/>
  <c r="E13729"/>
  <c r="E13730"/>
  <c r="E13731"/>
  <c r="E13732"/>
  <c r="F13732" s="1"/>
  <c r="E13733"/>
  <c r="F13733" s="1"/>
  <c r="E13734"/>
  <c r="E13735"/>
  <c r="E13736"/>
  <c r="F13736" s="1"/>
  <c r="E13737"/>
  <c r="E13738"/>
  <c r="E13739"/>
  <c r="E13740"/>
  <c r="F13740" s="1"/>
  <c r="E13741"/>
  <c r="F13741" s="1"/>
  <c r="E13742"/>
  <c r="E13743"/>
  <c r="E13744"/>
  <c r="F13744" s="1"/>
  <c r="E13745"/>
  <c r="E13746"/>
  <c r="E13747"/>
  <c r="E13748"/>
  <c r="F13748" s="1"/>
  <c r="E13749"/>
  <c r="F13749" s="1"/>
  <c r="E13750"/>
  <c r="E13751"/>
  <c r="E13752"/>
  <c r="F13752" s="1"/>
  <c r="E13753"/>
  <c r="E13754"/>
  <c r="E13755"/>
  <c r="E13756"/>
  <c r="F13756" s="1"/>
  <c r="E13757"/>
  <c r="E13758"/>
  <c r="E13759"/>
  <c r="E13760"/>
  <c r="F13760" s="1"/>
  <c r="E13761"/>
  <c r="F13761" s="1"/>
  <c r="E13762"/>
  <c r="E13763"/>
  <c r="E13764"/>
  <c r="F13764" s="1"/>
  <c r="E13765"/>
  <c r="E13766"/>
  <c r="E13767"/>
  <c r="E13768"/>
  <c r="F13768" s="1"/>
  <c r="E13769"/>
  <c r="E13770"/>
  <c r="E13771"/>
  <c r="E13772"/>
  <c r="F13772" s="1"/>
  <c r="E13773"/>
  <c r="E13774"/>
  <c r="E13775"/>
  <c r="E13776"/>
  <c r="F13776" s="1"/>
  <c r="E13777"/>
  <c r="E13778"/>
  <c r="E13779"/>
  <c r="E13780"/>
  <c r="F13780" s="1"/>
  <c r="E13781"/>
  <c r="E13782"/>
  <c r="E13783"/>
  <c r="E13784"/>
  <c r="F13784" s="1"/>
  <c r="E13785"/>
  <c r="F13785" s="1"/>
  <c r="F1082"/>
  <c r="F1083"/>
  <c r="F1084"/>
  <c r="F1085"/>
  <c r="AD3627" i="1"/>
  <c r="AB3626"/>
  <c r="AD3626" s="1"/>
  <c r="AC3617"/>
  <c r="Y3618" s="1"/>
  <c r="Y3619" s="1"/>
  <c r="I853" i="11"/>
  <c r="X46" i="1"/>
  <c r="X47" s="1"/>
  <c r="X45"/>
  <c r="X43"/>
  <c r="X41"/>
  <c r="X39"/>
  <c r="X38"/>
  <c r="X32"/>
  <c r="X33" s="1"/>
  <c r="X31"/>
  <c r="X25"/>
  <c r="X26" s="1"/>
  <c r="X27" s="1"/>
  <c r="X28" s="1"/>
  <c r="X23"/>
  <c r="X21"/>
  <c r="X18"/>
  <c r="X16"/>
  <c r="X17" s="1"/>
  <c r="X11"/>
  <c r="X44" s="1"/>
  <c r="X10"/>
  <c r="X9"/>
  <c r="Z31"/>
  <c r="Z32" s="1"/>
  <c r="Z21"/>
  <c r="R377" i="11"/>
  <c r="R375"/>
  <c r="L754"/>
  <c r="I733"/>
  <c r="K733" s="1"/>
  <c r="I732"/>
  <c r="K732" s="1"/>
  <c r="M737"/>
  <c r="L709"/>
  <c r="I524"/>
  <c r="I483"/>
  <c r="L483"/>
  <c r="K481"/>
  <c r="K480"/>
  <c r="K1256"/>
  <c r="K1255"/>
  <c r="K1254"/>
  <c r="K1253"/>
  <c r="K1252"/>
  <c r="K1251"/>
  <c r="K1250"/>
  <c r="K1249"/>
  <c r="I1248"/>
  <c r="K1248" s="1"/>
  <c r="K1245"/>
  <c r="I1244"/>
  <c r="K1244" s="1"/>
  <c r="K1243"/>
  <c r="K1242"/>
  <c r="K1240"/>
  <c r="F1234"/>
  <c r="K1234" s="1"/>
  <c r="K1233"/>
  <c r="I1218"/>
  <c r="K1218" s="1"/>
  <c r="K1209"/>
  <c r="J1200"/>
  <c r="K1189"/>
  <c r="K1174"/>
  <c r="L1158"/>
  <c r="K1153"/>
  <c r="I1128"/>
  <c r="K1128" s="1"/>
  <c r="L1121"/>
  <c r="I1113"/>
  <c r="K1113" s="1"/>
  <c r="K1112"/>
  <c r="I1102"/>
  <c r="K1102" s="1"/>
  <c r="I1101"/>
  <c r="K1101" s="1"/>
  <c r="I1100"/>
  <c r="K1100" s="1"/>
  <c r="I1099"/>
  <c r="K1099" s="1"/>
  <c r="L1078"/>
  <c r="I1073"/>
  <c r="K1073" s="1"/>
  <c r="K1072"/>
  <c r="K1069"/>
  <c r="K1054"/>
  <c r="K1033"/>
  <c r="L1020"/>
  <c r="H1017"/>
  <c r="I1006"/>
  <c r="K1006" s="1"/>
  <c r="I1005"/>
  <c r="K1005" s="1"/>
  <c r="I1004"/>
  <c r="K1004" s="1"/>
  <c r="I1003"/>
  <c r="K1003"/>
  <c r="K987"/>
  <c r="K986"/>
  <c r="K1052" s="1"/>
  <c r="K984"/>
  <c r="I983"/>
  <c r="I982"/>
  <c r="K982" s="1"/>
  <c r="K1016" s="1"/>
  <c r="K1028" s="1"/>
  <c r="I980"/>
  <c r="K980" s="1"/>
  <c r="K1029"/>
  <c r="I977"/>
  <c r="K977" s="1"/>
  <c r="I976"/>
  <c r="K976" s="1"/>
  <c r="I975"/>
  <c r="K975" s="1"/>
  <c r="I974"/>
  <c r="K974" s="1"/>
  <c r="K957"/>
  <c r="K956"/>
  <c r="K948"/>
  <c r="K947"/>
  <c r="K941"/>
  <c r="K940"/>
  <c r="K936"/>
  <c r="K935"/>
  <c r="K929"/>
  <c r="H929"/>
  <c r="I928"/>
  <c r="K928" s="1"/>
  <c r="K927"/>
  <c r="K910"/>
  <c r="K909"/>
  <c r="I895"/>
  <c r="K895" s="1"/>
  <c r="K892"/>
  <c r="K891"/>
  <c r="K890"/>
  <c r="H889"/>
  <c r="K888"/>
  <c r="K880"/>
  <c r="K878"/>
  <c r="K869"/>
  <c r="R867"/>
  <c r="R866"/>
  <c r="R865"/>
  <c r="R864"/>
  <c r="I864"/>
  <c r="K864" s="1"/>
  <c r="R863"/>
  <c r="M859"/>
  <c r="L859"/>
  <c r="I855"/>
  <c r="K855"/>
  <c r="K853"/>
  <c r="R851"/>
  <c r="R850"/>
  <c r="R849"/>
  <c r="R848"/>
  <c r="R847"/>
  <c r="R846"/>
  <c r="K842"/>
  <c r="K841"/>
  <c r="K840"/>
  <c r="I837"/>
  <c r="K837" s="1"/>
  <c r="I836"/>
  <c r="I889" s="1"/>
  <c r="K889" s="1"/>
  <c r="R835"/>
  <c r="R834"/>
  <c r="R833"/>
  <c r="R832"/>
  <c r="R831"/>
  <c r="Y815"/>
  <c r="I814"/>
  <c r="K814" s="1"/>
  <c r="P813"/>
  <c r="R813" s="1"/>
  <c r="K813"/>
  <c r="R812"/>
  <c r="Y805"/>
  <c r="R805"/>
  <c r="K805"/>
  <c r="K804"/>
  <c r="P784"/>
  <c r="R784" s="1"/>
  <c r="I784"/>
  <c r="I815" s="1"/>
  <c r="K815" s="1"/>
  <c r="P783"/>
  <c r="R783" s="1"/>
  <c r="K783"/>
  <c r="K782"/>
  <c r="L775"/>
  <c r="K775"/>
  <c r="J775"/>
  <c r="I775"/>
  <c r="K750"/>
  <c r="K749"/>
  <c r="K748"/>
  <c r="L735"/>
  <c r="N732"/>
  <c r="N731"/>
  <c r="M731"/>
  <c r="L731"/>
  <c r="I731"/>
  <c r="K731" s="1"/>
  <c r="M726"/>
  <c r="I723"/>
  <c r="K723" s="1"/>
  <c r="K726" s="1"/>
  <c r="L726" s="1"/>
  <c r="H723"/>
  <c r="K715"/>
  <c r="K717" s="1"/>
  <c r="I703"/>
  <c r="K703" s="1"/>
  <c r="K691"/>
  <c r="K694" s="1"/>
  <c r="L694" s="1"/>
  <c r="K683"/>
  <c r="K685" s="1"/>
  <c r="M685" s="1"/>
  <c r="I676"/>
  <c r="I760" s="1"/>
  <c r="I675"/>
  <c r="I794" s="1"/>
  <c r="I674"/>
  <c r="I673"/>
  <c r="S671"/>
  <c r="I667"/>
  <c r="P667" s="1"/>
  <c r="R667" s="1"/>
  <c r="I666"/>
  <c r="I704" s="1"/>
  <c r="K704" s="1"/>
  <c r="P665"/>
  <c r="R665" s="1"/>
  <c r="K665"/>
  <c r="I648"/>
  <c r="K648" s="1"/>
  <c r="I646"/>
  <c r="K646" s="1"/>
  <c r="K637"/>
  <c r="I635"/>
  <c r="K635" s="1"/>
  <c r="I634"/>
  <c r="K634" s="1"/>
  <c r="K625"/>
  <c r="I624"/>
  <c r="K624" s="1"/>
  <c r="K608"/>
  <c r="K606"/>
  <c r="L588"/>
  <c r="M588" s="1"/>
  <c r="N588" s="1"/>
  <c r="O588" s="1"/>
  <c r="O585"/>
  <c r="N585"/>
  <c r="M585"/>
  <c r="L585"/>
  <c r="I585"/>
  <c r="I834" s="1"/>
  <c r="K834" s="1"/>
  <c r="H585"/>
  <c r="L569"/>
  <c r="M569" s="1"/>
  <c r="N569" s="1"/>
  <c r="O569" s="1"/>
  <c r="K566"/>
  <c r="K559"/>
  <c r="K554"/>
  <c r="I546"/>
  <c r="K546" s="1"/>
  <c r="J538"/>
  <c r="I523"/>
  <c r="K523" s="1"/>
  <c r="I522"/>
  <c r="I576" s="1"/>
  <c r="I521"/>
  <c r="K521" s="1"/>
  <c r="K515"/>
  <c r="K486"/>
  <c r="K485"/>
  <c r="N484"/>
  <c r="K484"/>
  <c r="K482"/>
  <c r="K479"/>
  <c r="K478"/>
  <c r="K477"/>
  <c r="K476"/>
  <c r="L464"/>
  <c r="L462"/>
  <c r="K460"/>
  <c r="K459"/>
  <c r="I429"/>
  <c r="I444" s="1"/>
  <c r="K444" s="1"/>
  <c r="I428"/>
  <c r="K428" s="1"/>
  <c r="K427"/>
  <c r="I419"/>
  <c r="I437" s="1"/>
  <c r="I418"/>
  <c r="I436" s="1"/>
  <c r="I417"/>
  <c r="I435" s="1"/>
  <c r="L414"/>
  <c r="K410"/>
  <c r="K409"/>
  <c r="R408"/>
  <c r="I400"/>
  <c r="K400" s="1"/>
  <c r="K399"/>
  <c r="N391"/>
  <c r="I391" s="1"/>
  <c r="J391"/>
  <c r="K386"/>
  <c r="I376"/>
  <c r="P376" s="1"/>
  <c r="R376" s="1"/>
  <c r="K375"/>
  <c r="K361"/>
  <c r="K360"/>
  <c r="K349"/>
  <c r="I339"/>
  <c r="I350" s="1"/>
  <c r="K350" s="1"/>
  <c r="K338"/>
  <c r="I327"/>
  <c r="I367" s="1"/>
  <c r="K367" s="1"/>
  <c r="M323"/>
  <c r="K320"/>
  <c r="K319"/>
  <c r="I309"/>
  <c r="I328" s="1"/>
  <c r="I308"/>
  <c r="K308" s="1"/>
  <c r="S302"/>
  <c r="K302"/>
  <c r="K301"/>
  <c r="L302" s="1"/>
  <c r="R295"/>
  <c r="L291"/>
  <c r="L288"/>
  <c r="P284"/>
  <c r="P282"/>
  <c r="R282" s="1"/>
  <c r="K282"/>
  <c r="R281"/>
  <c r="I281"/>
  <c r="I664" s="1"/>
  <c r="L274"/>
  <c r="I270"/>
  <c r="I284" s="1"/>
  <c r="K284" s="1"/>
  <c r="K267"/>
  <c r="L261"/>
  <c r="K257"/>
  <c r="S249"/>
  <c r="L249"/>
  <c r="S247"/>
  <c r="R243"/>
  <c r="R240"/>
  <c r="L231"/>
  <c r="K215"/>
  <c r="L212"/>
  <c r="L211"/>
  <c r="I204"/>
  <c r="K204" s="1"/>
  <c r="L191"/>
  <c r="K189"/>
  <c r="K3020" i="27" s="1"/>
  <c r="L180" i="11"/>
  <c r="I171"/>
  <c r="K171" s="1"/>
  <c r="K188" s="1"/>
  <c r="I169"/>
  <c r="I870" s="1"/>
  <c r="I168"/>
  <c r="K168" s="1"/>
  <c r="I166"/>
  <c r="K166" s="1"/>
  <c r="I165"/>
  <c r="K165" s="1"/>
  <c r="I164"/>
  <c r="K164" s="1"/>
  <c r="K153"/>
  <c r="H143"/>
  <c r="L133"/>
  <c r="L126"/>
  <c r="M126" s="1"/>
  <c r="N126" s="1"/>
  <c r="I126"/>
  <c r="I1089" s="1"/>
  <c r="K1089" s="1"/>
  <c r="I125"/>
  <c r="I155" s="1"/>
  <c r="K155" s="1"/>
  <c r="L113"/>
  <c r="M104"/>
  <c r="I104"/>
  <c r="I222" s="1"/>
  <c r="I100"/>
  <c r="I218" s="1"/>
  <c r="I92"/>
  <c r="K94" s="1"/>
  <c r="L89"/>
  <c r="I86"/>
  <c r="K86" s="1"/>
  <c r="H86"/>
  <c r="I82"/>
  <c r="H82"/>
  <c r="H84" s="1"/>
  <c r="K81"/>
  <c r="H80"/>
  <c r="I79"/>
  <c r="I202" s="1"/>
  <c r="K202" s="1"/>
  <c r="H79"/>
  <c r="H78"/>
  <c r="H77"/>
  <c r="I76"/>
  <c r="I199" s="1"/>
  <c r="K199" s="1"/>
  <c r="H76"/>
  <c r="I75"/>
  <c r="I101" s="1"/>
  <c r="H75"/>
  <c r="I74"/>
  <c r="I197" s="1"/>
  <c r="K197" s="1"/>
  <c r="H74"/>
  <c r="L67"/>
  <c r="K65"/>
  <c r="K65" i="69" s="1"/>
  <c r="K64" i="11"/>
  <c r="K63"/>
  <c r="R58"/>
  <c r="O57"/>
  <c r="O53"/>
  <c r="L52"/>
  <c r="P50"/>
  <c r="R50" s="1"/>
  <c r="K50"/>
  <c r="K1017"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K20"/>
  <c r="K49" s="1"/>
  <c r="K60" s="1"/>
  <c r="I19"/>
  <c r="I981" s="1"/>
  <c r="K981" s="1"/>
  <c r="P18"/>
  <c r="R18" s="1"/>
  <c r="K18"/>
  <c r="R17"/>
  <c r="P16"/>
  <c r="P49" s="1"/>
  <c r="R49" s="1"/>
  <c r="K16"/>
  <c r="I15"/>
  <c r="I77" s="1"/>
  <c r="I103" s="1"/>
  <c r="K14"/>
  <c r="K13"/>
  <c r="K12"/>
  <c r="AG10" i="1"/>
  <c r="AE10" s="1"/>
  <c r="AG11"/>
  <c r="AE11" s="1"/>
  <c r="AG12"/>
  <c r="AE12" s="1"/>
  <c r="AG13"/>
  <c r="AE13" s="1"/>
  <c r="AG14"/>
  <c r="AE14" s="1"/>
  <c r="AG15"/>
  <c r="AE15" s="1"/>
  <c r="AG16"/>
  <c r="AE16" s="1"/>
  <c r="AG17"/>
  <c r="AE17" s="1"/>
  <c r="AG18"/>
  <c r="AE18" s="1"/>
  <c r="AG19"/>
  <c r="AE19" s="1"/>
  <c r="AG20"/>
  <c r="AE20" s="1"/>
  <c r="AG21"/>
  <c r="AE21" s="1"/>
  <c r="AG22"/>
  <c r="AE22" s="1"/>
  <c r="AG23"/>
  <c r="AE23" s="1"/>
  <c r="AG24"/>
  <c r="AE24" s="1"/>
  <c r="AG25"/>
  <c r="AE25" s="1"/>
  <c r="AG26"/>
  <c r="AE26" s="1"/>
  <c r="AG27"/>
  <c r="AE27" s="1"/>
  <c r="AG28"/>
  <c r="AE28" s="1"/>
  <c r="AG29"/>
  <c r="AE29" s="1"/>
  <c r="AG30"/>
  <c r="AE30" s="1"/>
  <c r="AG31"/>
  <c r="AE31" s="1"/>
  <c r="AG32"/>
  <c r="AE32" s="1"/>
  <c r="AG33"/>
  <c r="AE33" s="1"/>
  <c r="AG34"/>
  <c r="AE34" s="1"/>
  <c r="AG35"/>
  <c r="AE35" s="1"/>
  <c r="AG36"/>
  <c r="AE36" s="1"/>
  <c r="AG37"/>
  <c r="AE37" s="1"/>
  <c r="AG38"/>
  <c r="AE38" s="1"/>
  <c r="AG39"/>
  <c r="AE39" s="1"/>
  <c r="AG40"/>
  <c r="AE40" s="1"/>
  <c r="AG41"/>
  <c r="AE41" s="1"/>
  <c r="AG42"/>
  <c r="AE42" s="1"/>
  <c r="AG44"/>
  <c r="AE44" s="1"/>
  <c r="AG45"/>
  <c r="AE45" s="1"/>
  <c r="AG47"/>
  <c r="AE47" s="1"/>
  <c r="AG48"/>
  <c r="AE48" s="1"/>
  <c r="AG49"/>
  <c r="AE49" s="1"/>
  <c r="AG50"/>
  <c r="AE50" s="1"/>
  <c r="AG51"/>
  <c r="AE51" s="1"/>
  <c r="AG52"/>
  <c r="AE52" s="1"/>
  <c r="AG53"/>
  <c r="AE53" s="1"/>
  <c r="AG54"/>
  <c r="AE54" s="1"/>
  <c r="AG55"/>
  <c r="AE55" s="1"/>
  <c r="AG56"/>
  <c r="AE56" s="1"/>
  <c r="AG57"/>
  <c r="AE57" s="1"/>
  <c r="AG58"/>
  <c r="AE58" s="1"/>
  <c r="AG59"/>
  <c r="AE59" s="1"/>
  <c r="AG60"/>
  <c r="AE60" s="1"/>
  <c r="AG61"/>
  <c r="AE61" s="1"/>
  <c r="AG62"/>
  <c r="AE62" s="1"/>
  <c r="AG63"/>
  <c r="AE63" s="1"/>
  <c r="AG64"/>
  <c r="AE64" s="1"/>
  <c r="AG65"/>
  <c r="AE65" s="1"/>
  <c r="AG9"/>
  <c r="AE9" s="1"/>
  <c r="D417" i="64"/>
  <c r="D542" s="1"/>
  <c r="C417"/>
  <c r="C416"/>
  <c r="C413"/>
  <c r="D413"/>
  <c r="F413" s="1"/>
  <c r="D412"/>
  <c r="D411"/>
  <c r="F411" s="1"/>
  <c r="C410"/>
  <c r="C535" s="1"/>
  <c r="D532"/>
  <c r="F532" s="1"/>
  <c r="D407"/>
  <c r="D528"/>
  <c r="D506"/>
  <c r="C148"/>
  <c r="C291"/>
  <c r="C414" s="1"/>
  <c r="D178"/>
  <c r="D256" s="1"/>
  <c r="D265" s="1"/>
  <c r="F265" s="1"/>
  <c r="D64"/>
  <c r="AP36" s="1"/>
  <c r="AR36" s="1"/>
  <c r="E10" i="50"/>
  <c r="G71"/>
  <c r="G7"/>
  <c r="A9" s="1"/>
  <c r="F15"/>
  <c r="F11"/>
  <c r="N1231" i="55"/>
  <c r="N1232"/>
  <c r="N1233"/>
  <c r="N1234"/>
  <c r="N1235"/>
  <c r="N1236"/>
  <c r="N1237"/>
  <c r="N1238"/>
  <c r="N1239"/>
  <c r="N1240"/>
  <c r="N1241"/>
  <c r="N1242"/>
  <c r="N1243"/>
  <c r="N1244"/>
  <c r="N1245"/>
  <c r="N1246"/>
  <c r="N1247"/>
  <c r="N1248"/>
  <c r="N1249"/>
  <c r="N1250"/>
  <c r="N1251"/>
  <c r="N1252"/>
  <c r="N1253"/>
  <c r="N125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I3973" s="1"/>
  <c r="K3973"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H3692"/>
  <c r="F3692"/>
  <c r="K3692" s="1"/>
  <c r="V3691"/>
  <c r="X3691" s="1"/>
  <c r="H3691"/>
  <c r="F3691"/>
  <c r="K3691" s="1"/>
  <c r="V3690"/>
  <c r="X3690" s="1"/>
  <c r="V3688"/>
  <c r="X3688" s="1"/>
  <c r="H3688"/>
  <c r="V3687"/>
  <c r="X3687" s="1"/>
  <c r="H3687"/>
  <c r="V3686"/>
  <c r="X3686" s="1"/>
  <c r="H3686"/>
  <c r="V3685"/>
  <c r="X3685" s="1"/>
  <c r="H3685"/>
  <c r="F3685"/>
  <c r="K3685" s="1"/>
  <c r="V3684"/>
  <c r="X3684" s="1"/>
  <c r="F3683"/>
  <c r="K3683" s="1"/>
  <c r="H3682"/>
  <c r="H3681"/>
  <c r="F3681"/>
  <c r="AE3667"/>
  <c r="X3664"/>
  <c r="X3663"/>
  <c r="X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P3563" s="1"/>
  <c r="R3563" s="1"/>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P3266"/>
  <c r="I3266"/>
  <c r="K3266" s="1"/>
  <c r="L3232" s="1"/>
  <c r="P3265"/>
  <c r="P3264"/>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U3149"/>
  <c r="U3148"/>
  <c r="I3148"/>
  <c r="F3148"/>
  <c r="P3147"/>
  <c r="P3146"/>
  <c r="P3143"/>
  <c r="M3154" s="1"/>
  <c r="P3141"/>
  <c r="M3153" s="1"/>
  <c r="P3140"/>
  <c r="M3156" s="1"/>
  <c r="V3136"/>
  <c r="X3136" s="1"/>
  <c r="V3134"/>
  <c r="X3134" s="1"/>
  <c r="R3120"/>
  <c r="K3120"/>
  <c r="X3119"/>
  <c r="R3119"/>
  <c r="K3119"/>
  <c r="V3118"/>
  <c r="X3118" s="1"/>
  <c r="X3117"/>
  <c r="V3115"/>
  <c r="I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R2828" s="1"/>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V2789"/>
  <c r="S2789"/>
  <c r="AE2788"/>
  <c r="AG2788" s="1"/>
  <c r="V2788"/>
  <c r="S2788"/>
  <c r="V2787"/>
  <c r="S2787"/>
  <c r="V2786"/>
  <c r="S2786"/>
  <c r="S2785"/>
  <c r="V2784"/>
  <c r="X2784" s="1"/>
  <c r="S2781"/>
  <c r="L2778"/>
  <c r="F2815" s="1"/>
  <c r="Y2777"/>
  <c r="K2774"/>
  <c r="K2773"/>
  <c r="E2757"/>
  <c r="E2759" s="1"/>
  <c r="E2755"/>
  <c r="E2756" s="1"/>
  <c r="I2733"/>
  <c r="K2733" s="1"/>
  <c r="I2717"/>
  <c r="K2717" s="1"/>
  <c r="I2711"/>
  <c r="K2711" s="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Z2607"/>
  <c r="V2607"/>
  <c r="AE2621" s="1"/>
  <c r="AG2621" s="1"/>
  <c r="AE2606"/>
  <c r="AE2605"/>
  <c r="I2604"/>
  <c r="AE2603"/>
  <c r="AB2618" s="1"/>
  <c r="V2603"/>
  <c r="AE2617" s="1"/>
  <c r="Z2601"/>
  <c r="S2601"/>
  <c r="V2597"/>
  <c r="V2596"/>
  <c r="V2592"/>
  <c r="V259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K2469" s="1"/>
  <c r="I2468"/>
  <c r="I2539" s="1"/>
  <c r="I2467"/>
  <c r="I2466"/>
  <c r="I2537" s="1"/>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I2212"/>
  <c r="K2212" s="1"/>
  <c r="K2216" s="1"/>
  <c r="C413" i="55" s="1"/>
  <c r="I2202" i="1"/>
  <c r="K2202" s="1"/>
  <c r="K2206" s="1"/>
  <c r="C412" i="55" s="1"/>
  <c r="J2197" i="1"/>
  <c r="K2197" s="1"/>
  <c r="K2200" s="1"/>
  <c r="C410" i="55" s="1"/>
  <c r="I2189" i="1"/>
  <c r="K2189" s="1"/>
  <c r="K2193" s="1"/>
  <c r="I2176"/>
  <c r="K2176" s="1"/>
  <c r="H2174"/>
  <c r="I2163"/>
  <c r="K2163" s="1"/>
  <c r="R2151"/>
  <c r="I2149"/>
  <c r="P2156" s="1"/>
  <c r="R2156" s="1"/>
  <c r="I2144"/>
  <c r="K2144" s="1"/>
  <c r="I2129"/>
  <c r="K2129" s="1"/>
  <c r="I2124"/>
  <c r="K2124" s="1"/>
  <c r="I2116"/>
  <c r="K2116" s="1"/>
  <c r="K2119" s="1"/>
  <c r="C401" i="55" s="1"/>
  <c r="I2104" i="1"/>
  <c r="K2104" s="1"/>
  <c r="K2096"/>
  <c r="K2095"/>
  <c r="I2094"/>
  <c r="K2094" s="1"/>
  <c r="I2093"/>
  <c r="K2093" s="1"/>
  <c r="P2080"/>
  <c r="P2079"/>
  <c r="I2076"/>
  <c r="K2076" s="1"/>
  <c r="I2075"/>
  <c r="K2075" s="1"/>
  <c r="I2074"/>
  <c r="K2074" s="1"/>
  <c r="I2073"/>
  <c r="K2073" s="1"/>
  <c r="P2072"/>
  <c r="M2082" s="1"/>
  <c r="P2071"/>
  <c r="M2081" s="1"/>
  <c r="P2070"/>
  <c r="M2080" s="1"/>
  <c r="P2069"/>
  <c r="M2079" s="1"/>
  <c r="P2067"/>
  <c r="M2078" s="1"/>
  <c r="P2064"/>
  <c r="P2063"/>
  <c r="P2059"/>
  <c r="P2058"/>
  <c r="P2055"/>
  <c r="P2054"/>
  <c r="I2052"/>
  <c r="K2052" s="1"/>
  <c r="I2051"/>
  <c r="K2051" s="1"/>
  <c r="P2050"/>
  <c r="K2050"/>
  <c r="P2049"/>
  <c r="I2049"/>
  <c r="K2049" s="1"/>
  <c r="P2047"/>
  <c r="P2032"/>
  <c r="I2024"/>
  <c r="P2014"/>
  <c r="I2005"/>
  <c r="K2005" s="1"/>
  <c r="P1996"/>
  <c r="P1990"/>
  <c r="P1988"/>
  <c r="I1986"/>
  <c r="P1986" s="1"/>
  <c r="R1986" s="1"/>
  <c r="P1975"/>
  <c r="I1968"/>
  <c r="K1968" s="1"/>
  <c r="N1943"/>
  <c r="K1941"/>
  <c r="K1939"/>
  <c r="K1936"/>
  <c r="K1925"/>
  <c r="I1922"/>
  <c r="I1923" s="1"/>
  <c r="K1923" s="1"/>
  <c r="P1909"/>
  <c r="R1909" s="1"/>
  <c r="I1909"/>
  <c r="K1909" s="1"/>
  <c r="R1908"/>
  <c r="I1908"/>
  <c r="K1908" s="1"/>
  <c r="I1907"/>
  <c r="K1907" s="1"/>
  <c r="P1897"/>
  <c r="I1895"/>
  <c r="I1896" s="1"/>
  <c r="K1896" s="1"/>
  <c r="P1890"/>
  <c r="R1890" s="1"/>
  <c r="P1889"/>
  <c r="R1889" s="1"/>
  <c r="R1887"/>
  <c r="I1887"/>
  <c r="K1887" s="1"/>
  <c r="K1886"/>
  <c r="P1878"/>
  <c r="R1878" s="1"/>
  <c r="I1878"/>
  <c r="I1879" s="1"/>
  <c r="K1879" s="1"/>
  <c r="R1877"/>
  <c r="I1870"/>
  <c r="K1870" s="1"/>
  <c r="P1866"/>
  <c r="P1865"/>
  <c r="P1896" s="1"/>
  <c r="P1864"/>
  <c r="P1895" s="1"/>
  <c r="P1859"/>
  <c r="R1859" s="1"/>
  <c r="P1858"/>
  <c r="R1858" s="1"/>
  <c r="P1857"/>
  <c r="P1888" s="1"/>
  <c r="K1848"/>
  <c r="K1843"/>
  <c r="K1842"/>
  <c r="P1856"/>
  <c r="R1856" s="1"/>
  <c r="K1830"/>
  <c r="I1825"/>
  <c r="K1825" s="1"/>
  <c r="I1822"/>
  <c r="K1822" s="1"/>
  <c r="K1812"/>
  <c r="I1807"/>
  <c r="I2736" s="1"/>
  <c r="K2736" s="1"/>
  <c r="I1806"/>
  <c r="I1804"/>
  <c r="K1804" s="1"/>
  <c r="M1797"/>
  <c r="L1797"/>
  <c r="K1797"/>
  <c r="K1796"/>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I1629"/>
  <c r="K1629" s="1"/>
  <c r="AE1628"/>
  <c r="Q1628"/>
  <c r="I1628"/>
  <c r="P1630" s="1"/>
  <c r="R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K1534" s="1"/>
  <c r="I3210"/>
  <c r="AE1533"/>
  <c r="AE1532"/>
  <c r="I1532"/>
  <c r="K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AE1376"/>
  <c r="AE1375"/>
  <c r="V1375"/>
  <c r="X1375" s="1"/>
  <c r="AE1374"/>
  <c r="AE1373"/>
  <c r="AE1372"/>
  <c r="R1372"/>
  <c r="AE1371"/>
  <c r="AE1370"/>
  <c r="AE1369"/>
  <c r="AE1368"/>
  <c r="AE1367"/>
  <c r="AE1366"/>
  <c r="AE1365"/>
  <c r="AE1364"/>
  <c r="AE1363"/>
  <c r="AE1362"/>
  <c r="V1362"/>
  <c r="X1362" s="1"/>
  <c r="AE1361"/>
  <c r="V1361"/>
  <c r="X1361" s="1"/>
  <c r="AE1360"/>
  <c r="V1360"/>
  <c r="AE1359"/>
  <c r="AE1358"/>
  <c r="V1358"/>
  <c r="AE1357"/>
  <c r="V1357"/>
  <c r="AB1355" s="1"/>
  <c r="AE1356"/>
  <c r="V1356"/>
  <c r="AB1354" s="1"/>
  <c r="I1356"/>
  <c r="K1356" s="1"/>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V1324"/>
  <c r="X1324" s="1"/>
  <c r="P1320"/>
  <c r="R1319"/>
  <c r="V1318"/>
  <c r="X1318" s="1"/>
  <c r="AE1314"/>
  <c r="AE1313"/>
  <c r="AE1312"/>
  <c r="AE1311"/>
  <c r="AE1310"/>
  <c r="AE1309"/>
  <c r="AE1308"/>
  <c r="AE1307"/>
  <c r="AE1306"/>
  <c r="AE1305"/>
  <c r="V1305"/>
  <c r="V1325" s="1"/>
  <c r="AE1304"/>
  <c r="X1304"/>
  <c r="AE1303"/>
  <c r="AE1302"/>
  <c r="AE130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K1270" s="1"/>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P1241"/>
  <c r="R1241" s="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K1193" s="1"/>
  <c r="C352" i="55" s="1"/>
  <c r="AE1191" i="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P1073" s="1"/>
  <c r="R1073" s="1"/>
  <c r="I1061"/>
  <c r="K1061" s="1"/>
  <c r="I1060"/>
  <c r="I1076" s="1"/>
  <c r="K1076" s="1"/>
  <c r="I1059"/>
  <c r="P1070" s="1"/>
  <c r="R1070" s="1"/>
  <c r="I1058"/>
  <c r="I1057"/>
  <c r="P1068" s="1"/>
  <c r="R1068" s="1"/>
  <c r="I1055"/>
  <c r="P1066" s="1"/>
  <c r="R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I880"/>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K1269" s="1"/>
  <c r="AE601"/>
  <c r="C601"/>
  <c r="I1248" s="1"/>
  <c r="K1248" s="1"/>
  <c r="AE600"/>
  <c r="AE599"/>
  <c r="AE598"/>
  <c r="AE597"/>
  <c r="AE596"/>
  <c r="AE595"/>
  <c r="AE594"/>
  <c r="AE593"/>
  <c r="AE592"/>
  <c r="C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J566" s="1"/>
  <c r="AE564"/>
  <c r="AE563"/>
  <c r="AE562"/>
  <c r="M562"/>
  <c r="AE561"/>
  <c r="M561"/>
  <c r="AE560"/>
  <c r="M560"/>
  <c r="AE559"/>
  <c r="M559"/>
  <c r="AE558"/>
  <c r="AE557"/>
  <c r="AE556"/>
  <c r="AE555"/>
  <c r="V555"/>
  <c r="AE554"/>
  <c r="AE553"/>
  <c r="R553"/>
  <c r="E553"/>
  <c r="AE552"/>
  <c r="AE551"/>
  <c r="AE550"/>
  <c r="AE549"/>
  <c r="W549"/>
  <c r="AC549" s="1"/>
  <c r="AE548"/>
  <c r="W548"/>
  <c r="AC548" s="1"/>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Y44"/>
  <c r="AF43"/>
  <c r="W43"/>
  <c r="W44" s="1"/>
  <c r="X42"/>
  <c r="Y37"/>
  <c r="W37"/>
  <c r="Y36"/>
  <c r="W36"/>
  <c r="W35"/>
  <c r="Y34"/>
  <c r="W34"/>
  <c r="W41" s="1"/>
  <c r="C34"/>
  <c r="D34" s="1"/>
  <c r="AC30"/>
  <c r="C137" s="1"/>
  <c r="I1218" s="1"/>
  <c r="K1218" s="1"/>
  <c r="W29"/>
  <c r="E29"/>
  <c r="E27"/>
  <c r="C28" s="1"/>
  <c r="I1233" s="1"/>
  <c r="K1233" s="1"/>
  <c r="AC22"/>
  <c r="C84" s="1"/>
  <c r="AC21"/>
  <c r="C83" s="1"/>
  <c r="W20"/>
  <c r="W19"/>
  <c r="X29"/>
  <c r="X34" s="1"/>
  <c r="Y17"/>
  <c r="Y11"/>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3"/>
  <c r="Q3"/>
  <c r="O3"/>
  <c r="U3" s="1"/>
  <c r="J3"/>
  <c r="H3"/>
  <c r="AH246" i="11"/>
  <c r="AG243"/>
  <c r="AG241"/>
  <c r="AG240"/>
  <c r="N1262" i="55"/>
  <c r="N1263"/>
  <c r="N1264"/>
  <c r="N1265"/>
  <c r="N1266"/>
  <c r="N1267"/>
  <c r="N1268"/>
  <c r="N1269"/>
  <c r="N1270"/>
  <c r="N1271"/>
  <c r="N1272"/>
  <c r="N1273"/>
  <c r="N1274"/>
  <c r="N1275"/>
  <c r="N1276"/>
  <c r="N1277"/>
  <c r="N1278"/>
  <c r="N1279"/>
  <c r="N1280"/>
  <c r="N1281"/>
  <c r="N1282"/>
  <c r="N1283"/>
  <c r="N1284"/>
  <c r="N1285"/>
  <c r="N1286"/>
  <c r="N1287"/>
  <c r="N1288"/>
  <c r="N1289"/>
  <c r="N1290"/>
  <c r="N1258"/>
  <c r="N1255"/>
  <c r="N1259"/>
  <c r="N1256"/>
  <c r="AH10" i="1"/>
  <c r="AI10"/>
  <c r="AJ10"/>
  <c r="C11" s="1"/>
  <c r="I489" s="1"/>
  <c r="K489" s="1"/>
  <c r="AK10"/>
  <c r="AH11"/>
  <c r="AI11"/>
  <c r="AJ11"/>
  <c r="C12" s="1"/>
  <c r="I448" s="1"/>
  <c r="K448" s="1"/>
  <c r="AK11"/>
  <c r="AH12"/>
  <c r="AI12"/>
  <c r="AJ12"/>
  <c r="C13" s="1"/>
  <c r="P299" s="1"/>
  <c r="R299" s="1"/>
  <c r="AK12"/>
  <c r="AH13"/>
  <c r="AI13"/>
  <c r="AJ13"/>
  <c r="C14" s="1"/>
  <c r="AK13"/>
  <c r="AH14"/>
  <c r="AI14"/>
  <c r="AJ14"/>
  <c r="D14" s="1"/>
  <c r="AK14"/>
  <c r="AH15"/>
  <c r="AI15"/>
  <c r="AJ15"/>
  <c r="C15" s="1"/>
  <c r="AK15"/>
  <c r="AH16"/>
  <c r="AI16"/>
  <c r="AJ16"/>
  <c r="AK16"/>
  <c r="AH17"/>
  <c r="AI17"/>
  <c r="AJ17"/>
  <c r="C17" s="1"/>
  <c r="AK17"/>
  <c r="AH18"/>
  <c r="AI18"/>
  <c r="AJ18"/>
  <c r="C66" s="1"/>
  <c r="AK18"/>
  <c r="AH19"/>
  <c r="AI19"/>
  <c r="AJ19"/>
  <c r="C16" s="1"/>
  <c r="AK19"/>
  <c r="AH20"/>
  <c r="AI20"/>
  <c r="AJ20"/>
  <c r="D16" s="1"/>
  <c r="AK20"/>
  <c r="AH21"/>
  <c r="AI21"/>
  <c r="AJ21"/>
  <c r="I2697" s="1"/>
  <c r="K2697" s="1"/>
  <c r="AK21"/>
  <c r="AH22"/>
  <c r="AI22"/>
  <c r="AJ22"/>
  <c r="C41" s="1"/>
  <c r="AK22"/>
  <c r="AH23"/>
  <c r="AI23"/>
  <c r="AJ23"/>
  <c r="C29" s="1"/>
  <c r="I1234" s="1"/>
  <c r="K1234" s="1"/>
  <c r="AK23"/>
  <c r="AH24"/>
  <c r="AI24"/>
  <c r="AJ24"/>
  <c r="C18" s="1"/>
  <c r="AK24"/>
  <c r="AH25"/>
  <c r="AI25"/>
  <c r="AJ25"/>
  <c r="C25" s="1"/>
  <c r="AK25"/>
  <c r="AH26"/>
  <c r="AI26"/>
  <c r="AJ26"/>
  <c r="I3510" s="1"/>
  <c r="K3510" s="1"/>
  <c r="AK26"/>
  <c r="AH27"/>
  <c r="AI27"/>
  <c r="AJ27"/>
  <c r="C27" s="1"/>
  <c r="AK27"/>
  <c r="AH28"/>
  <c r="AI28"/>
  <c r="AJ28"/>
  <c r="C26" s="1"/>
  <c r="I482" s="1"/>
  <c r="K482" s="1"/>
  <c r="C229" i="55" s="1"/>
  <c r="AK28" i="1"/>
  <c r="AH29"/>
  <c r="AI29"/>
  <c r="AJ29"/>
  <c r="C61" s="1"/>
  <c r="AK29"/>
  <c r="AH30"/>
  <c r="AI30"/>
  <c r="AJ30"/>
  <c r="C31" s="1"/>
  <c r="AK30"/>
  <c r="AH31"/>
  <c r="AI31"/>
  <c r="AJ31"/>
  <c r="D30" s="1"/>
  <c r="AK31"/>
  <c r="AH32"/>
  <c r="AI32"/>
  <c r="AJ32"/>
  <c r="V3116" s="1"/>
  <c r="AK32"/>
  <c r="AH33"/>
  <c r="AI33"/>
  <c r="AJ33"/>
  <c r="I2664" s="1"/>
  <c r="AK33"/>
  <c r="AH34"/>
  <c r="AI34"/>
  <c r="AJ34"/>
  <c r="I3625" s="1"/>
  <c r="K3625" s="1"/>
  <c r="AK34"/>
  <c r="AH35"/>
  <c r="AI35"/>
  <c r="AJ35"/>
  <c r="D33" s="1"/>
  <c r="I2249" s="1"/>
  <c r="K2249" s="1"/>
  <c r="AK35"/>
  <c r="AH36"/>
  <c r="AI36"/>
  <c r="AJ36"/>
  <c r="D61" s="1"/>
  <c r="AK36"/>
  <c r="AH37"/>
  <c r="AI37"/>
  <c r="AJ37"/>
  <c r="AK37"/>
  <c r="AH38"/>
  <c r="AI38"/>
  <c r="AJ38"/>
  <c r="AK38"/>
  <c r="AH39"/>
  <c r="AI39"/>
  <c r="AJ39"/>
  <c r="M94" s="1"/>
  <c r="AK39"/>
  <c r="AH40"/>
  <c r="AI40"/>
  <c r="AJ40"/>
  <c r="AK40"/>
  <c r="AH41"/>
  <c r="AI41"/>
  <c r="AJ41"/>
  <c r="C19" s="1"/>
  <c r="AK41"/>
  <c r="AH42"/>
  <c r="AI42"/>
  <c r="AJ42"/>
  <c r="C20" s="1"/>
  <c r="W403" s="1"/>
  <c r="AK42"/>
  <c r="AH44"/>
  <c r="AI44"/>
  <c r="AJ44"/>
  <c r="C22" s="1"/>
  <c r="AK44"/>
  <c r="AH45"/>
  <c r="AI45"/>
  <c r="AJ45"/>
  <c r="AK45"/>
  <c r="AH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1785" s="1"/>
  <c r="K1785"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3" i="4"/>
  <c r="N3"/>
  <c r="K3"/>
  <c r="K4" s="1"/>
  <c r="K5" s="1"/>
  <c r="K6" s="1"/>
  <c r="H3"/>
  <c r="E3"/>
  <c r="E4" s="1"/>
  <c r="E16" s="1"/>
  <c r="C3"/>
  <c r="C4" s="1"/>
  <c r="C5" s="1"/>
  <c r="C6" s="1"/>
  <c r="X41" i="64"/>
  <c r="X28"/>
  <c r="W34"/>
  <c r="W33"/>
  <c r="W32"/>
  <c r="W31"/>
  <c r="W21"/>
  <c r="W20"/>
  <c r="W19"/>
  <c r="W18"/>
  <c r="F9"/>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F256" s="1"/>
  <c r="G267"/>
  <c r="A269" s="1"/>
  <c r="G252"/>
  <c r="A254" s="1"/>
  <c r="F260"/>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7"/>
  <c r="D538"/>
  <c r="D543"/>
  <c r="D606" s="1"/>
  <c r="F606" s="1"/>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407"/>
  <c r="F381"/>
  <c r="F382"/>
  <c r="F383"/>
  <c r="F384"/>
  <c r="F385"/>
  <c r="F386"/>
  <c r="F387"/>
  <c r="F388"/>
  <c r="F390"/>
  <c r="F391"/>
  <c r="F392"/>
  <c r="F393"/>
  <c r="F394"/>
  <c r="F395"/>
  <c r="F396"/>
  <c r="F397"/>
  <c r="F398"/>
  <c r="F399"/>
  <c r="F400"/>
  <c r="F401"/>
  <c r="F402"/>
  <c r="F403"/>
  <c r="F404"/>
  <c r="F406"/>
  <c r="F408"/>
  <c r="F412"/>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s="1"/>
  <c r="D334"/>
  <c r="F334" s="1"/>
  <c r="D335"/>
  <c r="F335" s="1"/>
  <c r="D336"/>
  <c r="F336" s="1"/>
  <c r="D337"/>
  <c r="F337" s="1"/>
  <c r="D338"/>
  <c r="F338" s="1"/>
  <c r="A283"/>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4" i="55"/>
  <c r="C409"/>
  <c r="C876"/>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H3718" i="27"/>
  <c r="C731" i="55"/>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F1211" i="55"/>
  <c r="F1212"/>
  <c r="F1213"/>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7"/>
  <c r="F1259"/>
  <c r="F1260"/>
  <c r="F1265"/>
  <c r="F1267"/>
  <c r="F1268"/>
  <c r="F1269"/>
  <c r="F1270"/>
  <c r="F1271"/>
  <c r="F1273"/>
  <c r="F1275"/>
  <c r="F1276"/>
  <c r="F1283"/>
  <c r="F1284"/>
  <c r="F1285"/>
  <c r="F1286"/>
  <c r="F1287"/>
  <c r="F1289"/>
  <c r="F1291"/>
  <c r="F1294"/>
  <c r="F1295"/>
  <c r="F1297"/>
  <c r="F1299"/>
  <c r="F1300"/>
  <c r="F1301"/>
  <c r="F1302"/>
  <c r="F1303"/>
  <c r="F1305"/>
  <c r="F1307"/>
  <c r="F1308"/>
  <c r="F1310"/>
  <c r="F1311"/>
  <c r="F1315"/>
  <c r="F1316"/>
  <c r="F1317"/>
  <c r="F1318"/>
  <c r="F1319"/>
  <c r="F1321"/>
  <c r="F1324"/>
  <c r="F1329"/>
  <c r="F1331"/>
  <c r="F1332"/>
  <c r="F1333"/>
  <c r="F1334"/>
  <c r="F1335"/>
  <c r="F1415"/>
  <c r="F1423"/>
  <c r="F1428"/>
  <c r="F1434"/>
  <c r="F1450"/>
  <c r="F1466"/>
  <c r="F1476"/>
  <c r="F1498"/>
  <c r="F1514"/>
  <c r="F1530"/>
  <c r="F1546"/>
  <c r="F1562"/>
  <c r="F1578"/>
  <c r="F1594"/>
  <c r="F1610"/>
  <c r="F1691"/>
  <c r="F1693"/>
  <c r="F1694"/>
  <c r="F1697"/>
  <c r="F1698"/>
  <c r="F1701"/>
  <c r="F1702"/>
  <c r="F1705"/>
  <c r="F1706"/>
  <c r="F1709"/>
  <c r="F1710"/>
  <c r="F1713"/>
  <c r="F1714"/>
  <c r="F1717"/>
  <c r="F1718"/>
  <c r="F1721"/>
  <c r="F1722"/>
  <c r="F1725"/>
  <c r="F1726"/>
  <c r="F1729"/>
  <c r="F1730"/>
  <c r="F1733"/>
  <c r="F1734"/>
  <c r="F1737"/>
  <c r="F1738"/>
  <c r="F1741"/>
  <c r="F1742"/>
  <c r="F1745"/>
  <c r="F1746"/>
  <c r="F1749"/>
  <c r="F1750"/>
  <c r="F1753"/>
  <c r="F1754"/>
  <c r="F1757"/>
  <c r="F1758"/>
  <c r="F1762"/>
  <c r="F1765"/>
  <c r="F1766"/>
  <c r="F1769"/>
  <c r="F1770"/>
  <c r="F1773"/>
  <c r="F1774"/>
  <c r="F1777"/>
  <c r="F1778"/>
  <c r="F1781"/>
  <c r="F1782"/>
  <c r="F1785"/>
  <c r="F1786"/>
  <c r="F1789"/>
  <c r="F1790"/>
  <c r="F1793"/>
  <c r="F1794"/>
  <c r="F1797"/>
  <c r="F1798"/>
  <c r="F1801"/>
  <c r="F1802"/>
  <c r="F1805"/>
  <c r="F1806"/>
  <c r="F1809"/>
  <c r="F1810"/>
  <c r="F1813"/>
  <c r="F1814"/>
  <c r="F1817"/>
  <c r="F1818"/>
  <c r="F1821"/>
  <c r="F1822"/>
  <c r="F1825"/>
  <c r="F1826"/>
  <c r="F1829"/>
  <c r="F1830"/>
  <c r="F1833"/>
  <c r="F1834"/>
  <c r="F1837"/>
  <c r="F1838"/>
  <c r="F1841"/>
  <c r="F1842"/>
  <c r="F1845"/>
  <c r="F1846"/>
  <c r="F1849"/>
  <c r="F1850"/>
  <c r="F1853"/>
  <c r="F1854"/>
  <c r="F1857"/>
  <c r="F1858"/>
  <c r="F1861"/>
  <c r="F1871"/>
  <c r="F1893"/>
  <c r="F1909"/>
  <c r="F1925"/>
  <c r="F1935"/>
  <c r="F1941"/>
  <c r="F1957"/>
  <c r="F1973"/>
  <c r="F1989"/>
  <c r="F1999"/>
  <c r="F2005"/>
  <c r="F2021"/>
  <c r="F2053"/>
  <c r="F2062"/>
  <c r="F2063"/>
  <c r="F2069"/>
  <c r="F2081"/>
  <c r="F2101"/>
  <c r="F2117"/>
  <c r="F2127"/>
  <c r="F2133"/>
  <c r="F2142"/>
  <c r="F2149"/>
  <c r="F2165"/>
  <c r="F2181"/>
  <c r="F2183"/>
  <c r="F2187"/>
  <c r="F2191"/>
  <c r="F2197"/>
  <c r="F2205"/>
  <c r="F2219"/>
  <c r="F2237"/>
  <c r="F2243"/>
  <c r="F2251"/>
  <c r="F2275"/>
  <c r="F2283"/>
  <c r="F2305"/>
  <c r="F2321"/>
  <c r="F2323"/>
  <c r="F2337"/>
  <c r="F2339"/>
  <c r="F2353"/>
  <c r="F2369"/>
  <c r="F2387"/>
  <c r="F2389"/>
  <c r="F2395"/>
  <c r="F2403"/>
  <c r="F2405"/>
  <c r="F2411"/>
  <c r="F2415"/>
  <c r="F2419"/>
  <c r="F2427"/>
  <c r="F2430"/>
  <c r="F2431"/>
  <c r="F2434"/>
  <c r="F2435"/>
  <c r="F2438"/>
  <c r="F2439"/>
  <c r="F2441"/>
  <c r="F2442"/>
  <c r="F2443"/>
  <c r="F2446"/>
  <c r="F2447"/>
  <c r="F2450"/>
  <c r="F2451"/>
  <c r="F2454"/>
  <c r="F2455"/>
  <c r="F2457"/>
  <c r="F2458"/>
  <c r="F2459"/>
  <c r="F2463"/>
  <c r="F2466"/>
  <c r="F2467"/>
  <c r="F2470"/>
  <c r="F2471"/>
  <c r="F2473"/>
  <c r="F2474"/>
  <c r="F2478"/>
  <c r="F2479"/>
  <c r="F2482"/>
  <c r="F2483"/>
  <c r="F2486"/>
  <c r="F2487"/>
  <c r="F2489"/>
  <c r="F2490"/>
  <c r="F2491"/>
  <c r="F2494"/>
  <c r="F2495"/>
  <c r="F2499"/>
  <c r="F2502"/>
  <c r="F2503"/>
  <c r="F2506"/>
  <c r="F2507"/>
  <c r="F2510"/>
  <c r="F2511"/>
  <c r="F2514"/>
  <c r="F2519"/>
  <c r="F2521"/>
  <c r="F2522"/>
  <c r="F2523"/>
  <c r="F2526"/>
  <c r="F2527"/>
  <c r="F2530"/>
  <c r="F2531"/>
  <c r="F2534"/>
  <c r="F2535"/>
  <c r="F2537"/>
  <c r="F2538"/>
  <c r="F2539"/>
  <c r="F2542"/>
  <c r="F2543"/>
  <c r="F2546"/>
  <c r="F2547"/>
  <c r="F2550"/>
  <c r="F2551"/>
  <c r="F2553"/>
  <c r="F2554"/>
  <c r="F2555"/>
  <c r="F2557"/>
  <c r="F2558"/>
  <c r="F2559"/>
  <c r="F2561"/>
  <c r="F2562"/>
  <c r="F2563"/>
  <c r="F2565"/>
  <c r="F2566"/>
  <c r="F2567"/>
  <c r="F2569"/>
  <c r="F2570"/>
  <c r="F2571"/>
  <c r="F2573"/>
  <c r="F2574"/>
  <c r="F2575"/>
  <c r="F2577"/>
  <c r="F2578"/>
  <c r="F2579"/>
  <c r="F2581"/>
  <c r="F2582"/>
  <c r="F2583"/>
  <c r="F2585"/>
  <c r="F2586"/>
  <c r="F2587"/>
  <c r="F2589"/>
  <c r="F2590"/>
  <c r="F2591"/>
  <c r="F2593"/>
  <c r="F2594"/>
  <c r="F2595"/>
  <c r="F2597"/>
  <c r="F2598"/>
  <c r="F2599"/>
  <c r="F2601"/>
  <c r="F2602"/>
  <c r="F2603"/>
  <c r="F2605"/>
  <c r="F2606"/>
  <c r="F2607"/>
  <c r="F2609"/>
  <c r="F2610"/>
  <c r="F2611"/>
  <c r="F2613"/>
  <c r="F2614"/>
  <c r="F2615"/>
  <c r="F2617"/>
  <c r="F2618"/>
  <c r="F2619"/>
  <c r="F2621"/>
  <c r="F2622"/>
  <c r="F2623"/>
  <c r="F2625"/>
  <c r="F2626"/>
  <c r="F2627"/>
  <c r="F2629"/>
  <c r="F2630"/>
  <c r="F2631"/>
  <c r="F2633"/>
  <c r="F2634"/>
  <c r="F2635"/>
  <c r="F2637"/>
  <c r="F2645"/>
  <c r="F2649"/>
  <c r="F2669"/>
  <c r="F2670"/>
  <c r="F2671"/>
  <c r="F2673"/>
  <c r="F2674"/>
  <c r="F2675"/>
  <c r="F2677"/>
  <c r="F3173"/>
  <c r="F3175"/>
  <c r="F3177"/>
  <c r="F3181"/>
  <c r="F3183"/>
  <c r="F3187"/>
  <c r="F3189"/>
  <c r="F3191"/>
  <c r="F3193"/>
  <c r="F3195"/>
  <c r="F3197"/>
  <c r="F3199"/>
  <c r="F3201"/>
  <c r="F3203"/>
  <c r="F3205"/>
  <c r="F3206"/>
  <c r="F3207"/>
  <c r="F3209"/>
  <c r="F3210"/>
  <c r="F3211"/>
  <c r="F3213"/>
  <c r="F3214"/>
  <c r="F3215"/>
  <c r="F3217"/>
  <c r="F3218"/>
  <c r="F3219"/>
  <c r="F3221"/>
  <c r="F3222"/>
  <c r="F3223"/>
  <c r="F3225"/>
  <c r="F3226"/>
  <c r="F3227"/>
  <c r="F3229"/>
  <c r="F3230"/>
  <c r="F3231"/>
  <c r="F3233"/>
  <c r="F3234"/>
  <c r="F3235"/>
  <c r="F3237"/>
  <c r="F3238"/>
  <c r="F3239"/>
  <c r="F3241"/>
  <c r="F3242"/>
  <c r="F3243"/>
  <c r="F3245"/>
  <c r="F3246"/>
  <c r="F3247"/>
  <c r="F3249"/>
  <c r="F3250"/>
  <c r="F3251"/>
  <c r="F3281"/>
  <c r="F3283"/>
  <c r="F3285"/>
  <c r="F3287"/>
  <c r="F3289"/>
  <c r="F3291"/>
  <c r="F3293"/>
  <c r="F3295"/>
  <c r="F3297"/>
  <c r="F3299"/>
  <c r="F3301"/>
  <c r="F3302"/>
  <c r="F3303"/>
  <c r="F3305"/>
  <c r="F3307"/>
  <c r="F3309"/>
  <c r="F3311"/>
  <c r="F3313"/>
  <c r="F3315"/>
  <c r="F3317"/>
  <c r="F3319"/>
  <c r="F3321"/>
  <c r="F3323"/>
  <c r="F3325"/>
  <c r="F3326"/>
  <c r="F3327"/>
  <c r="F3329"/>
  <c r="F3331"/>
  <c r="F3333"/>
  <c r="F3334"/>
  <c r="F3335"/>
  <c r="F3337"/>
  <c r="F3339"/>
  <c r="F3345"/>
  <c r="F3346"/>
  <c r="F3347"/>
  <c r="F3349"/>
  <c r="F3350"/>
  <c r="F3351"/>
  <c r="F3353"/>
  <c r="F3355"/>
  <c r="F3357"/>
  <c r="F3358"/>
  <c r="F3359"/>
  <c r="F3361"/>
  <c r="F3362"/>
  <c r="F3363"/>
  <c r="F3365"/>
  <c r="F3367"/>
  <c r="F3369"/>
  <c r="F3371"/>
  <c r="F3373"/>
  <c r="F3375"/>
  <c r="F3383"/>
  <c r="F3385"/>
  <c r="F3510"/>
  <c r="F3511"/>
  <c r="F3513"/>
  <c r="F3514"/>
  <c r="F3515"/>
  <c r="F3517"/>
  <c r="F3518"/>
  <c r="F3519"/>
  <c r="F3521"/>
  <c r="F3522"/>
  <c r="F3523"/>
  <c r="F3525"/>
  <c r="F3526"/>
  <c r="F3527"/>
  <c r="F3529"/>
  <c r="F3530"/>
  <c r="F3531"/>
  <c r="F3533"/>
  <c r="F3534"/>
  <c r="F3535"/>
  <c r="F3537"/>
  <c r="F3538"/>
  <c r="F3539"/>
  <c r="F3541"/>
  <c r="F3542"/>
  <c r="F3543"/>
  <c r="F3545"/>
  <c r="F3546"/>
  <c r="F3547"/>
  <c r="F3549"/>
  <c r="F3550"/>
  <c r="F3551"/>
  <c r="F3553"/>
  <c r="F3554"/>
  <c r="F3555"/>
  <c r="F3557"/>
  <c r="F3558"/>
  <c r="F3559"/>
  <c r="F3561"/>
  <c r="F3562"/>
  <c r="F3563"/>
  <c r="F3565"/>
  <c r="F3566"/>
  <c r="F3567"/>
  <c r="F3569"/>
  <c r="F3570"/>
  <c r="F3571"/>
  <c r="F3573"/>
  <c r="F3574"/>
  <c r="F3575"/>
  <c r="F3577"/>
  <c r="F3578"/>
  <c r="F3579"/>
  <c r="F3581"/>
  <c r="F3582"/>
  <c r="F3583"/>
  <c r="F3585"/>
  <c r="F3586"/>
  <c r="F3587"/>
  <c r="F3589"/>
  <c r="F3590"/>
  <c r="F3591"/>
  <c r="F3593"/>
  <c r="F3594"/>
  <c r="F3595"/>
  <c r="F3597"/>
  <c r="F3598"/>
  <c r="F3599"/>
  <c r="F3601"/>
  <c r="F3602"/>
  <c r="F3603"/>
  <c r="F3605"/>
  <c r="F3606"/>
  <c r="F3607"/>
  <c r="F3609"/>
  <c r="F3610"/>
  <c r="F3611"/>
  <c r="F3613"/>
  <c r="F3614"/>
  <c r="F3615"/>
  <c r="F3617"/>
  <c r="F3618"/>
  <c r="F3619"/>
  <c r="F3621"/>
  <c r="F3622"/>
  <c r="F3623"/>
  <c r="F3625"/>
  <c r="F3626"/>
  <c r="F3627"/>
  <c r="F3629"/>
  <c r="F3630"/>
  <c r="F3631"/>
  <c r="F3633"/>
  <c r="F3634"/>
  <c r="F3635"/>
  <c r="F3637"/>
  <c r="F3638"/>
  <c r="F3639"/>
  <c r="F3641"/>
  <c r="F3642"/>
  <c r="F3643"/>
  <c r="F3645"/>
  <c r="F3646"/>
  <c r="F3647"/>
  <c r="F3649"/>
  <c r="F3650"/>
  <c r="F3651"/>
  <c r="F3653"/>
  <c r="F3654"/>
  <c r="F3655"/>
  <c r="F3657"/>
  <c r="F3658"/>
  <c r="F3659"/>
  <c r="F3661"/>
  <c r="F3662"/>
  <c r="F3663"/>
  <c r="F3665"/>
  <c r="F3666"/>
  <c r="F3667"/>
  <c r="F3669"/>
  <c r="F3670"/>
  <c r="F3671"/>
  <c r="F3673"/>
  <c r="F3674"/>
  <c r="F3675"/>
  <c r="F3677"/>
  <c r="F3678"/>
  <c r="F3679"/>
  <c r="F3681"/>
  <c r="F3682"/>
  <c r="F3683"/>
  <c r="F3685"/>
  <c r="F3686"/>
  <c r="F3687"/>
  <c r="F3689"/>
  <c r="F3690"/>
  <c r="F3691"/>
  <c r="F3693"/>
  <c r="F3694"/>
  <c r="F3695"/>
  <c r="F3697"/>
  <c r="F3698"/>
  <c r="F3699"/>
  <c r="F3701"/>
  <c r="F3702"/>
  <c r="F3703"/>
  <c r="F3705"/>
  <c r="F3706"/>
  <c r="F3707"/>
  <c r="F3709"/>
  <c r="F3710"/>
  <c r="F3711"/>
  <c r="F3713"/>
  <c r="F3714"/>
  <c r="F3715"/>
  <c r="F3717"/>
  <c r="F3718"/>
  <c r="F3719"/>
  <c r="F3721"/>
  <c r="F3722"/>
  <c r="F3723"/>
  <c r="F3725"/>
  <c r="F3726"/>
  <c r="F3727"/>
  <c r="F3729"/>
  <c r="F3730"/>
  <c r="F3731"/>
  <c r="F3733"/>
  <c r="F3734"/>
  <c r="F3735"/>
  <c r="F3737"/>
  <c r="F3738"/>
  <c r="F3739"/>
  <c r="F3741"/>
  <c r="F3742"/>
  <c r="F3743"/>
  <c r="F3745"/>
  <c r="F3746"/>
  <c r="F3747"/>
  <c r="F3749"/>
  <c r="F3750"/>
  <c r="F3751"/>
  <c r="F3753"/>
  <c r="F3754"/>
  <c r="F3755"/>
  <c r="F3757"/>
  <c r="F3758"/>
  <c r="F3759"/>
  <c r="F3761"/>
  <c r="F3762"/>
  <c r="F3763"/>
  <c r="F3765"/>
  <c r="F3766"/>
  <c r="F3767"/>
  <c r="F3769"/>
  <c r="F3770"/>
  <c r="F3771"/>
  <c r="F3773"/>
  <c r="F3774"/>
  <c r="F3775"/>
  <c r="F3777"/>
  <c r="F3778"/>
  <c r="F3779"/>
  <c r="F3781"/>
  <c r="F3782"/>
  <c r="F3783"/>
  <c r="F3785"/>
  <c r="F3787"/>
  <c r="F3789"/>
  <c r="F3803"/>
  <c r="F3806"/>
  <c r="F3846"/>
  <c r="F3910"/>
  <c r="F3938"/>
  <c r="F3954"/>
  <c r="F3970"/>
  <c r="F3974"/>
  <c r="F3986"/>
  <c r="F3990"/>
  <c r="F3994"/>
  <c r="F4002"/>
  <c r="F4010"/>
  <c r="F4014"/>
  <c r="F4018"/>
  <c r="F4022"/>
  <c r="F4026"/>
  <c r="F4042"/>
  <c r="F4074"/>
  <c r="F4106"/>
  <c r="F4138"/>
  <c r="F4159"/>
  <c r="F4161"/>
  <c r="F4162"/>
  <c r="F4163"/>
  <c r="F4165"/>
  <c r="F4166"/>
  <c r="F4167"/>
  <c r="F4169"/>
  <c r="F4171"/>
  <c r="F4173"/>
  <c r="F4175"/>
  <c r="F4177"/>
  <c r="F4179"/>
  <c r="F4181"/>
  <c r="F4183"/>
  <c r="F4185"/>
  <c r="F4187"/>
  <c r="F4189"/>
  <c r="F4191"/>
  <c r="F4193"/>
  <c r="F4195"/>
  <c r="F4197"/>
  <c r="F4199"/>
  <c r="F4201"/>
  <c r="F4203"/>
  <c r="F4205"/>
  <c r="F4207"/>
  <c r="F4209"/>
  <c r="F4211"/>
  <c r="F4213"/>
  <c r="F4215"/>
  <c r="F4217"/>
  <c r="F4219"/>
  <c r="F4221"/>
  <c r="F4223"/>
  <c r="F4225"/>
  <c r="F4227"/>
  <c r="F4229"/>
  <c r="F4231"/>
  <c r="F4233"/>
  <c r="F4354"/>
  <c r="F4355"/>
  <c r="F4357"/>
  <c r="F4358"/>
  <c r="F4362"/>
  <c r="F4366"/>
  <c r="F4370"/>
  <c r="F4371"/>
  <c r="F4374"/>
  <c r="F4378"/>
  <c r="F4379"/>
  <c r="F4382"/>
  <c r="F4386"/>
  <c r="F4389"/>
  <c r="F4390"/>
  <c r="F4394"/>
  <c r="F4395"/>
  <c r="F4398"/>
  <c r="F4402"/>
  <c r="F4405"/>
  <c r="F4406"/>
  <c r="F4410"/>
  <c r="F4414"/>
  <c r="F4418"/>
  <c r="F4421"/>
  <c r="F4422"/>
  <c r="F4426"/>
  <c r="F4430"/>
  <c r="F4434"/>
  <c r="F4438"/>
  <c r="F4442"/>
  <c r="F4446"/>
  <c r="F4449"/>
  <c r="F4450"/>
  <c r="F4454"/>
  <c r="F4458"/>
  <c r="F4462"/>
  <c r="F4466"/>
  <c r="F4470"/>
  <c r="F4474"/>
  <c r="F4478"/>
  <c r="F4482"/>
  <c r="F4486"/>
  <c r="F4490"/>
  <c r="F4494"/>
  <c r="F4498"/>
  <c r="F4499"/>
  <c r="F4502"/>
  <c r="F4506"/>
  <c r="F4509"/>
  <c r="F4510"/>
  <c r="F4514"/>
  <c r="F4515"/>
  <c r="F4518"/>
  <c r="F4522"/>
  <c r="F4526"/>
  <c r="F4530"/>
  <c r="F4531"/>
  <c r="F4534"/>
  <c r="F4538"/>
  <c r="F4541"/>
  <c r="F4542"/>
  <c r="F4546"/>
  <c r="F4549"/>
  <c r="F4550"/>
  <c r="F4554"/>
  <c r="F4558"/>
  <c r="F4561"/>
  <c r="F4562"/>
  <c r="F4566"/>
  <c r="F4570"/>
  <c r="F4573"/>
  <c r="F4574"/>
  <c r="F4578"/>
  <c r="F4586"/>
  <c r="F4590"/>
  <c r="F4594"/>
  <c r="F4598"/>
  <c r="F4602"/>
  <c r="F4605"/>
  <c r="F4606"/>
  <c r="F4610"/>
  <c r="F4614"/>
  <c r="F4618"/>
  <c r="F4622"/>
  <c r="F4626"/>
  <c r="F4630"/>
  <c r="F4634"/>
  <c r="F4637"/>
  <c r="F4638"/>
  <c r="F4642"/>
  <c r="F4646"/>
  <c r="F4654"/>
  <c r="F4657"/>
  <c r="F4658"/>
  <c r="F4662"/>
  <c r="F4666"/>
  <c r="F4669"/>
  <c r="F4670"/>
  <c r="F4673"/>
  <c r="F4674"/>
  <c r="F4678"/>
  <c r="F4682"/>
  <c r="F4686"/>
  <c r="F4690"/>
  <c r="F4694"/>
  <c r="F4698"/>
  <c r="F4701"/>
  <c r="F4702"/>
  <c r="F4706"/>
  <c r="F4710"/>
  <c r="F4714"/>
  <c r="F4718"/>
  <c r="F4721"/>
  <c r="F4722"/>
  <c r="F4726"/>
  <c r="F4730"/>
  <c r="F4733"/>
  <c r="F4734"/>
  <c r="F4738"/>
  <c r="F4742"/>
  <c r="F4746"/>
  <c r="F4750"/>
  <c r="F4753"/>
  <c r="F4754"/>
  <c r="F4758"/>
  <c r="F4762"/>
  <c r="F4765"/>
  <c r="F4766"/>
  <c r="F4770"/>
  <c r="F4771"/>
  <c r="F4774"/>
  <c r="F4778"/>
  <c r="F4782"/>
  <c r="F4785"/>
  <c r="F4786"/>
  <c r="F4790"/>
  <c r="F4794"/>
  <c r="F4797"/>
  <c r="F4798"/>
  <c r="F4801"/>
  <c r="F4802"/>
  <c r="F4806"/>
  <c r="F4810"/>
  <c r="F4814"/>
  <c r="F4818"/>
  <c r="F4821"/>
  <c r="F4822"/>
  <c r="F4826"/>
  <c r="F4827"/>
  <c r="F4829"/>
  <c r="F4830"/>
  <c r="F4834"/>
  <c r="F4838"/>
  <c r="F4842"/>
  <c r="F4846"/>
  <c r="F4850"/>
  <c r="F4854"/>
  <c r="F5013"/>
  <c r="F5014"/>
  <c r="F5018"/>
  <c r="F5021"/>
  <c r="F5022"/>
  <c r="F5026"/>
  <c r="F5029"/>
  <c r="F5030"/>
  <c r="F5034"/>
  <c r="F5037"/>
  <c r="F5038"/>
  <c r="F5041"/>
  <c r="F5045"/>
  <c r="F5046"/>
  <c r="F5049"/>
  <c r="F5050"/>
  <c r="F5053"/>
  <c r="F5054"/>
  <c r="F5057"/>
  <c r="F5058"/>
  <c r="F5061"/>
  <c r="F5062"/>
  <c r="F5065"/>
  <c r="F5066"/>
  <c r="F5069"/>
  <c r="F5070"/>
  <c r="F5073"/>
  <c r="F5077"/>
  <c r="F5078"/>
  <c r="F5080"/>
  <c r="F5081"/>
  <c r="F5082"/>
  <c r="F5085"/>
  <c r="F5086"/>
  <c r="F5089"/>
  <c r="F5090"/>
  <c r="F5093"/>
  <c r="F5094"/>
  <c r="F5097"/>
  <c r="F5098"/>
  <c r="F5101"/>
  <c r="F5102"/>
  <c r="F5105"/>
  <c r="F5109"/>
  <c r="F5110"/>
  <c r="F5113"/>
  <c r="F5114"/>
  <c r="F5117"/>
  <c r="F5118"/>
  <c r="F5121"/>
  <c r="F5122"/>
  <c r="F5125"/>
  <c r="F5126"/>
  <c r="F5129"/>
  <c r="F5130"/>
  <c r="F5133"/>
  <c r="F5134"/>
  <c r="F5137"/>
  <c r="F5141"/>
  <c r="F5142"/>
  <c r="F5145"/>
  <c r="F5146"/>
  <c r="F5149"/>
  <c r="F5150"/>
  <c r="F5153"/>
  <c r="F5154"/>
  <c r="F5157"/>
  <c r="F5158"/>
  <c r="F5161"/>
  <c r="F5162"/>
  <c r="F5165"/>
  <c r="F5166"/>
  <c r="F5169"/>
  <c r="F5173"/>
  <c r="F5174"/>
  <c r="F5177"/>
  <c r="F5178"/>
  <c r="F5181"/>
  <c r="F5182"/>
  <c r="F5185"/>
  <c r="F5186"/>
  <c r="F5189"/>
  <c r="F5190"/>
  <c r="F5193"/>
  <c r="F5194"/>
  <c r="F5195"/>
  <c r="F5197"/>
  <c r="F5198"/>
  <c r="F5199"/>
  <c r="F5201"/>
  <c r="F5202"/>
  <c r="F5203"/>
  <c r="F5205"/>
  <c r="F5206"/>
  <c r="F5207"/>
  <c r="F5209"/>
  <c r="F5210"/>
  <c r="F5211"/>
  <c r="F5213"/>
  <c r="F5214"/>
  <c r="F5217"/>
  <c r="F5218"/>
  <c r="F5221"/>
  <c r="F5222"/>
  <c r="F5223"/>
  <c r="F5225"/>
  <c r="F5226"/>
  <c r="F5227"/>
  <c r="F5229"/>
  <c r="F5230"/>
  <c r="F5233"/>
  <c r="F5234"/>
  <c r="F5237"/>
  <c r="F5238"/>
  <c r="F5239"/>
  <c r="F5241"/>
  <c r="F5242"/>
  <c r="F5243"/>
  <c r="F5245"/>
  <c r="F5246"/>
  <c r="F5249"/>
  <c r="F5250"/>
  <c r="F5253"/>
  <c r="F5254"/>
  <c r="F5255"/>
  <c r="F5257"/>
  <c r="F5258"/>
  <c r="F5259"/>
  <c r="F5261"/>
  <c r="F5262"/>
  <c r="F5265"/>
  <c r="F5266"/>
  <c r="F5269"/>
  <c r="F5270"/>
  <c r="F5271"/>
  <c r="F5273"/>
  <c r="F5274"/>
  <c r="F5275"/>
  <c r="F5277"/>
  <c r="F5278"/>
  <c r="F5281"/>
  <c r="F5282"/>
  <c r="F5285"/>
  <c r="F5286"/>
  <c r="F5287"/>
  <c r="F5289"/>
  <c r="F5290"/>
  <c r="F5291"/>
  <c r="F5293"/>
  <c r="F5294"/>
  <c r="F5298"/>
  <c r="F5301"/>
  <c r="F5302"/>
  <c r="F5305"/>
  <c r="F5306"/>
  <c r="F5307"/>
  <c r="F5309"/>
  <c r="F5310"/>
  <c r="F5311"/>
  <c r="F5313"/>
  <c r="F5314"/>
  <c r="F5315"/>
  <c r="F5317"/>
  <c r="F5318"/>
  <c r="F5319"/>
  <c r="F5321"/>
  <c r="F5322"/>
  <c r="F5323"/>
  <c r="F5325"/>
  <c r="F5326"/>
  <c r="F5327"/>
  <c r="F5329"/>
  <c r="F5330"/>
  <c r="F5331"/>
  <c r="F5333"/>
  <c r="F5334"/>
  <c r="F5335"/>
  <c r="F5337"/>
  <c r="F5338"/>
  <c r="F5339"/>
  <c r="F5341"/>
  <c r="F5342"/>
  <c r="F5343"/>
  <c r="F5345"/>
  <c r="F5346"/>
  <c r="F5347"/>
  <c r="F5349"/>
  <c r="F5350"/>
  <c r="F5351"/>
  <c r="F5353"/>
  <c r="F5354"/>
  <c r="F5355"/>
  <c r="F5357"/>
  <c r="F5358"/>
  <c r="F5359"/>
  <c r="F5361"/>
  <c r="F5362"/>
  <c r="F5363"/>
  <c r="F5365"/>
  <c r="F5366"/>
  <c r="F5367"/>
  <c r="F5369"/>
  <c r="F5370"/>
  <c r="F5371"/>
  <c r="F5373"/>
  <c r="F5374"/>
  <c r="F5375"/>
  <c r="F5377"/>
  <c r="F5378"/>
  <c r="F5379"/>
  <c r="F5381"/>
  <c r="F5382"/>
  <c r="F5383"/>
  <c r="F5385"/>
  <c r="F5386"/>
  <c r="F5387"/>
  <c r="F5389"/>
  <c r="F5390"/>
  <c r="F5391"/>
  <c r="F5393"/>
  <c r="F5394"/>
  <c r="F5395"/>
  <c r="F5397"/>
  <c r="F5398"/>
  <c r="F5399"/>
  <c r="F5401"/>
  <c r="F5402"/>
  <c r="F5403"/>
  <c r="F5405"/>
  <c r="F5406"/>
  <c r="F5407"/>
  <c r="F5409"/>
  <c r="F5410"/>
  <c r="F5411"/>
  <c r="F5413"/>
  <c r="F5414"/>
  <c r="F5415"/>
  <c r="F5417"/>
  <c r="F5418"/>
  <c r="F5419"/>
  <c r="F5421"/>
  <c r="F5422"/>
  <c r="F5423"/>
  <c r="F5425"/>
  <c r="F5426"/>
  <c r="F5427"/>
  <c r="F5429"/>
  <c r="F5430"/>
  <c r="F5431"/>
  <c r="F5433"/>
  <c r="F5434"/>
  <c r="F5435"/>
  <c r="F5437"/>
  <c r="F5438"/>
  <c r="F5439"/>
  <c r="F5441"/>
  <c r="F5443"/>
  <c r="F5445"/>
  <c r="F5447"/>
  <c r="F5449"/>
  <c r="F5450"/>
  <c r="F5451"/>
  <c r="F5453"/>
  <c r="F5454"/>
  <c r="F5455"/>
  <c r="F5457"/>
  <c r="F5459"/>
  <c r="F5461"/>
  <c r="F5463"/>
  <c r="F5465"/>
  <c r="F5466"/>
  <c r="F5467"/>
  <c r="F5469"/>
  <c r="F5471"/>
  <c r="F5473"/>
  <c r="F5475"/>
  <c r="F5477"/>
  <c r="F5479"/>
  <c r="F5481"/>
  <c r="F5482"/>
  <c r="F5483"/>
  <c r="F5485"/>
  <c r="F5486"/>
  <c r="F5487"/>
  <c r="F5489"/>
  <c r="F5491"/>
  <c r="F5493"/>
  <c r="F5495"/>
  <c r="F5497"/>
  <c r="F5498"/>
  <c r="F5499"/>
  <c r="F5501"/>
  <c r="F5502"/>
  <c r="F5503"/>
  <c r="F5505"/>
  <c r="F5507"/>
  <c r="F5509"/>
  <c r="F5511"/>
  <c r="F5513"/>
  <c r="F5514"/>
  <c r="F5515"/>
  <c r="F5517"/>
  <c r="F5518"/>
  <c r="F5519"/>
  <c r="F5521"/>
  <c r="F5523"/>
  <c r="F5525"/>
  <c r="F5527"/>
  <c r="F5529"/>
  <c r="F5530"/>
  <c r="F5531"/>
  <c r="F5533"/>
  <c r="F5535"/>
  <c r="F5539"/>
  <c r="F5541"/>
  <c r="F5543"/>
  <c r="F5545"/>
  <c r="F5546"/>
  <c r="F5547"/>
  <c r="F5549"/>
  <c r="F5551"/>
  <c r="F5553"/>
  <c r="F5555"/>
  <c r="F5557"/>
  <c r="F5559"/>
  <c r="F5561"/>
  <c r="F5562"/>
  <c r="F5563"/>
  <c r="F5565"/>
  <c r="F5567"/>
  <c r="F5569"/>
  <c r="F5571"/>
  <c r="F5573"/>
  <c r="F5577"/>
  <c r="F5578"/>
  <c r="F5579"/>
  <c r="F5581"/>
  <c r="F5585"/>
  <c r="F5587"/>
  <c r="F5589"/>
  <c r="F5591"/>
  <c r="F5593"/>
  <c r="F5595"/>
  <c r="F5597"/>
  <c r="F5601"/>
  <c r="F5603"/>
  <c r="F5605"/>
  <c r="F5609"/>
  <c r="F5611"/>
  <c r="F5613"/>
  <c r="F5617"/>
  <c r="F5619"/>
  <c r="F5621"/>
  <c r="F5625"/>
  <c r="F5627"/>
  <c r="F5629"/>
  <c r="F5630"/>
  <c r="F5631"/>
  <c r="F5633"/>
  <c r="F5634"/>
  <c r="F5635"/>
  <c r="F5637"/>
  <c r="F5639"/>
  <c r="F5643"/>
  <c r="F5645"/>
  <c r="F5647"/>
  <c r="F5649"/>
  <c r="F5651"/>
  <c r="F5653"/>
  <c r="F5655"/>
  <c r="F5657"/>
  <c r="F5659"/>
  <c r="F5661"/>
  <c r="F5665"/>
  <c r="F5669"/>
  <c r="F5671"/>
  <c r="F5673"/>
  <c r="F5675"/>
  <c r="F5677"/>
  <c r="F5681"/>
  <c r="F5683"/>
  <c r="F5685"/>
  <c r="F5687"/>
  <c r="F5689"/>
  <c r="F5691"/>
  <c r="F5693"/>
  <c r="F5697"/>
  <c r="F5699"/>
  <c r="F5701"/>
  <c r="F5703"/>
  <c r="F5707"/>
  <c r="F5709"/>
  <c r="F5713"/>
  <c r="F5715"/>
  <c r="F5717"/>
  <c r="F5719"/>
  <c r="F5721"/>
  <c r="F5722"/>
  <c r="F5723"/>
  <c r="F5725"/>
  <c r="F5727"/>
  <c r="F5729"/>
  <c r="F5731"/>
  <c r="F5733"/>
  <c r="F5737"/>
  <c r="F5739"/>
  <c r="F5741"/>
  <c r="F5743"/>
  <c r="F5747"/>
  <c r="F5749"/>
  <c r="F5753"/>
  <c r="F5755"/>
  <c r="F5757"/>
  <c r="F5759"/>
  <c r="F5761"/>
  <c r="F5763"/>
  <c r="F5765"/>
  <c r="F5769"/>
  <c r="F5771"/>
  <c r="F5773"/>
  <c r="F5775"/>
  <c r="F5777"/>
  <c r="F5779"/>
  <c r="F5781"/>
  <c r="F5785"/>
  <c r="F5787"/>
  <c r="F5789"/>
  <c r="F5791"/>
  <c r="F5793"/>
  <c r="F5795"/>
  <c r="F5797"/>
  <c r="F5801"/>
  <c r="F5803"/>
  <c r="F5805"/>
  <c r="F5807"/>
  <c r="F5809"/>
  <c r="F5811"/>
  <c r="F5813"/>
  <c r="F5815"/>
  <c r="F5817"/>
  <c r="F5819"/>
  <c r="F5821"/>
  <c r="F5823"/>
  <c r="F5825"/>
  <c r="F5827"/>
  <c r="F5829"/>
  <c r="F5833"/>
  <c r="F5835"/>
  <c r="F5837"/>
  <c r="F5839"/>
  <c r="F5841"/>
  <c r="F5843"/>
  <c r="F5845"/>
  <c r="F5847"/>
  <c r="F5849"/>
  <c r="F5853"/>
  <c r="F5857"/>
  <c r="F5861"/>
  <c r="F5975"/>
  <c r="F5979"/>
  <c r="F5991"/>
  <c r="F5995"/>
  <c r="F5997"/>
  <c r="F6003"/>
  <c r="F6005"/>
  <c r="F6009"/>
  <c r="F6011"/>
  <c r="F6013"/>
  <c r="F6015"/>
  <c r="F7142"/>
  <c r="F7166"/>
  <c r="F7170"/>
  <c r="F7178"/>
  <c r="F7186"/>
  <c r="F7187"/>
  <c r="F7193"/>
  <c r="F7194"/>
  <c r="F7202"/>
  <c r="F7203"/>
  <c r="F7210"/>
  <c r="F7218"/>
  <c r="F7219"/>
  <c r="F7226"/>
  <c r="F7234"/>
  <c r="F7235"/>
  <c r="F7242"/>
  <c r="F7250"/>
  <c r="F7251"/>
  <c r="F7257"/>
  <c r="F7267"/>
  <c r="F7283"/>
  <c r="F7321"/>
  <c r="F7331"/>
  <c r="F7338"/>
  <c r="F7363"/>
  <c r="F7371"/>
  <c r="F7374"/>
  <c r="F7377"/>
  <c r="F7379"/>
  <c r="F7381"/>
  <c r="F7385"/>
  <c r="F7387"/>
  <c r="F7389"/>
  <c r="F7390"/>
  <c r="F7393"/>
  <c r="F7395"/>
  <c r="F7397"/>
  <c r="F7398"/>
  <c r="F7401"/>
  <c r="F7403"/>
  <c r="F7405"/>
  <c r="F7406"/>
  <c r="F7409"/>
  <c r="F7411"/>
  <c r="F7413"/>
  <c r="F7414"/>
  <c r="F7419"/>
  <c r="F7421"/>
  <c r="F7422"/>
  <c r="F7425"/>
  <c r="F7427"/>
  <c r="F7429"/>
  <c r="F7430"/>
  <c r="F7433"/>
  <c r="F7435"/>
  <c r="F7437"/>
  <c r="F7438"/>
  <c r="F7441"/>
  <c r="F7443"/>
  <c r="F7445"/>
  <c r="F7446"/>
  <c r="F7449"/>
  <c r="F7451"/>
  <c r="F7454"/>
  <c r="F7457"/>
  <c r="F7459"/>
  <c r="F7461"/>
  <c r="F7462"/>
  <c r="F7465"/>
  <c r="F7467"/>
  <c r="F7469"/>
  <c r="F7470"/>
  <c r="F7473"/>
  <c r="F7477"/>
  <c r="F7478"/>
  <c r="F7483"/>
  <c r="F7485"/>
  <c r="F7489"/>
  <c r="F7491"/>
  <c r="F7493"/>
  <c r="F7494"/>
  <c r="F7497"/>
  <c r="F7499"/>
  <c r="F7502"/>
  <c r="F7505"/>
  <c r="F7507"/>
  <c r="F7509"/>
  <c r="F7513"/>
  <c r="F7515"/>
  <c r="F7517"/>
  <c r="F7518"/>
  <c r="F7521"/>
  <c r="F7523"/>
  <c r="F7526"/>
  <c r="F7529"/>
  <c r="F7531"/>
  <c r="F7533"/>
  <c r="F7537"/>
  <c r="F7539"/>
  <c r="F7541"/>
  <c r="F7547"/>
  <c r="F7549"/>
  <c r="F7550"/>
  <c r="F7553"/>
  <c r="F7555"/>
  <c r="F7557"/>
  <c r="F7558"/>
  <c r="F7561"/>
  <c r="F7563"/>
  <c r="F7565"/>
  <c r="F7566"/>
  <c r="F7569"/>
  <c r="F7571"/>
  <c r="F7573"/>
  <c r="F7574"/>
  <c r="F7577"/>
  <c r="F7581"/>
  <c r="F7582"/>
  <c r="F7585"/>
  <c r="F7587"/>
  <c r="F7589"/>
  <c r="F7593"/>
  <c r="F7595"/>
  <c r="F7597"/>
  <c r="F7598"/>
  <c r="F7601"/>
  <c r="F7605"/>
  <c r="F7606"/>
  <c r="F7611"/>
  <c r="F7613"/>
  <c r="F7614"/>
  <c r="F7617"/>
  <c r="F7621"/>
  <c r="F7622"/>
  <c r="F7627"/>
  <c r="F7630"/>
  <c r="F7633"/>
  <c r="F7634"/>
  <c r="F7635"/>
  <c r="F7637"/>
  <c r="F7638"/>
  <c r="F7639"/>
  <c r="F7641"/>
  <c r="F7642"/>
  <c r="F7643"/>
  <c r="F7645"/>
  <c r="F7646"/>
  <c r="F7647"/>
  <c r="F7649"/>
  <c r="F7650"/>
  <c r="F7651"/>
  <c r="F7653"/>
  <c r="F7654"/>
  <c r="F7655"/>
  <c r="F7657"/>
  <c r="F7658"/>
  <c r="F7659"/>
  <c r="F7661"/>
  <c r="F7662"/>
  <c r="F7663"/>
  <c r="F7665"/>
  <c r="F7666"/>
  <c r="F7667"/>
  <c r="F7669"/>
  <c r="F7670"/>
  <c r="F7671"/>
  <c r="F7673"/>
  <c r="F7674"/>
  <c r="F7675"/>
  <c r="F7677"/>
  <c r="F7678"/>
  <c r="F7679"/>
  <c r="F7681"/>
  <c r="F7682"/>
  <c r="F7683"/>
  <c r="F7685"/>
  <c r="F7686"/>
  <c r="F7687"/>
  <c r="F7689"/>
  <c r="F7690"/>
  <c r="F7691"/>
  <c r="F7693"/>
  <c r="F7694"/>
  <c r="F7695"/>
  <c r="F7697"/>
  <c r="F7698"/>
  <c r="F7699"/>
  <c r="F7701"/>
  <c r="F7702"/>
  <c r="F7703"/>
  <c r="F7705"/>
  <c r="F8271"/>
  <c r="F8274"/>
  <c r="F8275"/>
  <c r="F8278"/>
  <c r="F8279"/>
  <c r="F8282"/>
  <c r="F8283"/>
  <c r="F8286"/>
  <c r="F8287"/>
  <c r="F8290"/>
  <c r="F8291"/>
  <c r="F8294"/>
  <c r="F8295"/>
  <c r="F8298"/>
  <c r="F8299"/>
  <c r="F8302"/>
  <c r="F8303"/>
  <c r="F8306"/>
  <c r="F8307"/>
  <c r="F8310"/>
  <c r="F8311"/>
  <c r="F8314"/>
  <c r="F8315"/>
  <c r="F8318"/>
  <c r="F8319"/>
  <c r="F8322"/>
  <c r="F8323"/>
  <c r="F8326"/>
  <c r="F8327"/>
  <c r="F8330"/>
  <c r="F8331"/>
  <c r="F8334"/>
  <c r="F8335"/>
  <c r="F8338"/>
  <c r="F8339"/>
  <c r="F8342"/>
  <c r="F8343"/>
  <c r="F8346"/>
  <c r="F8347"/>
  <c r="F8350"/>
  <c r="F8351"/>
  <c r="F8354"/>
  <c r="F8355"/>
  <c r="F8358"/>
  <c r="F8359"/>
  <c r="F8362"/>
  <c r="F8363"/>
  <c r="F8366"/>
  <c r="F8367"/>
  <c r="F8370"/>
  <c r="F8371"/>
  <c r="F8374"/>
  <c r="F8375"/>
  <c r="F8378"/>
  <c r="F8379"/>
  <c r="F8382"/>
  <c r="F8383"/>
  <c r="F8386"/>
  <c r="F8387"/>
  <c r="F8390"/>
  <c r="F8391"/>
  <c r="F8394"/>
  <c r="F8395"/>
  <c r="F8398"/>
  <c r="F8399"/>
  <c r="F8402"/>
  <c r="F8403"/>
  <c r="F8406"/>
  <c r="F8407"/>
  <c r="F8410"/>
  <c r="F8411"/>
  <c r="F8414"/>
  <c r="F8415"/>
  <c r="F8418"/>
  <c r="F8419"/>
  <c r="F8422"/>
  <c r="F8423"/>
  <c r="F8426"/>
  <c r="F8427"/>
  <c r="F8429"/>
  <c r="F8445"/>
  <c r="F8453"/>
  <c r="F8454"/>
  <c r="F8455"/>
  <c r="F8461"/>
  <c r="F8469"/>
  <c r="F8474"/>
  <c r="F8485"/>
  <c r="F8487"/>
  <c r="F8490"/>
  <c r="F8501"/>
  <c r="F8503"/>
  <c r="F8506"/>
  <c r="F8509"/>
  <c r="F8517"/>
  <c r="F8519"/>
  <c r="F8525"/>
  <c r="F8526"/>
  <c r="F8535"/>
  <c r="F8542"/>
  <c r="F8549"/>
  <c r="F8551"/>
  <c r="F8557"/>
  <c r="F8562"/>
  <c r="F8565"/>
  <c r="F8567"/>
  <c r="F8573"/>
  <c r="F8578"/>
  <c r="F8581"/>
  <c r="F8583"/>
  <c r="F8589"/>
  <c r="F8597"/>
  <c r="F8598"/>
  <c r="F8613"/>
  <c r="F8614"/>
  <c r="F8621"/>
  <c r="F8623"/>
  <c r="F8629"/>
  <c r="F8631"/>
  <c r="F8634"/>
  <c r="F8637"/>
  <c r="F8639"/>
  <c r="F8645"/>
  <c r="F8653"/>
  <c r="F8655"/>
  <c r="F8658"/>
  <c r="F8661"/>
  <c r="F8663"/>
  <c r="F8669"/>
  <c r="F8677"/>
  <c r="F8678"/>
  <c r="F8685"/>
  <c r="F8687"/>
  <c r="F8693"/>
  <c r="F8694"/>
  <c r="F8701"/>
  <c r="F8703"/>
  <c r="F8709"/>
  <c r="F8718"/>
  <c r="F8719"/>
  <c r="F8725"/>
  <c r="F8733"/>
  <c r="F8738"/>
  <c r="F8741"/>
  <c r="F8749"/>
  <c r="F8757"/>
  <c r="F8758"/>
  <c r="F8765"/>
  <c r="F8773"/>
  <c r="F8774"/>
  <c r="F8789"/>
  <c r="F8790"/>
  <c r="F8797"/>
  <c r="F8805"/>
  <c r="F8806"/>
  <c r="F8813"/>
  <c r="F8821"/>
  <c r="F8826"/>
  <c r="F8829"/>
  <c r="F8837"/>
  <c r="F8842"/>
  <c r="F8845"/>
  <c r="F8853"/>
  <c r="F8858"/>
  <c r="F8863"/>
  <c r="F8869"/>
  <c r="F8871"/>
  <c r="F8877"/>
  <c r="F8882"/>
  <c r="F8885"/>
  <c r="F8893"/>
  <c r="F8901"/>
  <c r="F8902"/>
  <c r="F8903"/>
  <c r="F8909"/>
  <c r="F8911"/>
  <c r="F8916"/>
  <c r="F8917"/>
  <c r="F8918"/>
  <c r="F8922"/>
  <c r="F8925"/>
  <c r="F8927"/>
  <c r="F8931"/>
  <c r="F8933"/>
  <c r="F8935"/>
  <c r="F8938"/>
  <c r="F8939"/>
  <c r="F8941"/>
  <c r="F8943"/>
  <c r="F8947"/>
  <c r="F8949"/>
  <c r="F8951"/>
  <c r="F8954"/>
  <c r="F8955"/>
  <c r="F8957"/>
  <c r="F8965"/>
  <c r="F8967"/>
  <c r="F8973"/>
  <c r="F8974"/>
  <c r="F8981"/>
  <c r="F8989"/>
  <c r="F8990"/>
  <c r="F8997"/>
  <c r="F9005"/>
  <c r="F9006"/>
  <c r="F9007"/>
  <c r="F9013"/>
  <c r="F9014"/>
  <c r="F9019"/>
  <c r="F9021"/>
  <c r="F9029"/>
  <c r="F9037"/>
  <c r="F9042"/>
  <c r="F9045"/>
  <c r="F9046"/>
  <c r="F9053"/>
  <c r="F9061"/>
  <c r="F9066"/>
  <c r="F9069"/>
  <c r="F9071"/>
  <c r="F9077"/>
  <c r="F9085"/>
  <c r="F9086"/>
  <c r="F9093"/>
  <c r="F9101"/>
  <c r="F9102"/>
  <c r="F9103"/>
  <c r="F9109"/>
  <c r="F9118"/>
  <c r="F9125"/>
  <c r="F9138"/>
  <c r="F9139"/>
  <c r="F9141"/>
  <c r="F9149"/>
  <c r="F9157"/>
  <c r="F9159"/>
  <c r="F9162"/>
  <c r="F9165"/>
  <c r="F9173"/>
  <c r="F9181"/>
  <c r="F9186"/>
  <c r="F9197"/>
  <c r="F9202"/>
  <c r="F9213"/>
  <c r="F9221"/>
  <c r="F9222"/>
  <c r="F9229"/>
  <c r="F9237"/>
  <c r="F9238"/>
  <c r="F9239"/>
  <c r="F9245"/>
  <c r="F9253"/>
  <c r="F9258"/>
  <c r="F9261"/>
  <c r="F9269"/>
  <c r="F9277"/>
  <c r="F9278"/>
  <c r="F9293"/>
  <c r="F9294"/>
  <c r="F9295"/>
  <c r="F9298"/>
  <c r="F9299"/>
  <c r="F9302"/>
  <c r="F9303"/>
  <c r="F9306"/>
  <c r="F9307"/>
  <c r="F9310"/>
  <c r="F9311"/>
  <c r="F9314"/>
  <c r="F9315"/>
  <c r="F9318"/>
  <c r="F9319"/>
  <c r="F9322"/>
  <c r="F9323"/>
  <c r="F9326"/>
  <c r="F9327"/>
  <c r="F9330"/>
  <c r="F9331"/>
  <c r="F9334"/>
  <c r="F9335"/>
  <c r="F9338"/>
  <c r="F9339"/>
  <c r="F9342"/>
  <c r="F9343"/>
  <c r="F9346"/>
  <c r="F9347"/>
  <c r="F9350"/>
  <c r="F9351"/>
  <c r="F9354"/>
  <c r="F9355"/>
  <c r="F9358"/>
  <c r="F9359"/>
  <c r="F9362"/>
  <c r="F9363"/>
  <c r="F9366"/>
  <c r="F9367"/>
  <c r="F9370"/>
  <c r="F9371"/>
  <c r="F9374"/>
  <c r="F9375"/>
  <c r="F9378"/>
  <c r="F9379"/>
  <c r="F9382"/>
  <c r="F9383"/>
  <c r="F9386"/>
  <c r="F9387"/>
  <c r="F9390"/>
  <c r="F9391"/>
  <c r="F9394"/>
  <c r="F9395"/>
  <c r="F9398"/>
  <c r="F9399"/>
  <c r="F9402"/>
  <c r="F9403"/>
  <c r="F9406"/>
  <c r="F9407"/>
  <c r="F9410"/>
  <c r="F9411"/>
  <c r="F9414"/>
  <c r="F9415"/>
  <c r="F9418"/>
  <c r="F9419"/>
  <c r="F9422"/>
  <c r="F9423"/>
  <c r="F9426"/>
  <c r="F9427"/>
  <c r="F9430"/>
  <c r="F9431"/>
  <c r="F9434"/>
  <c r="F9435"/>
  <c r="F9438"/>
  <c r="F9439"/>
  <c r="F9442"/>
  <c r="F9443"/>
  <c r="F9446"/>
  <c r="F9447"/>
  <c r="F9450"/>
  <c r="F9451"/>
  <c r="F9454"/>
  <c r="F9455"/>
  <c r="F9458"/>
  <c r="F9459"/>
  <c r="F9462"/>
  <c r="F9463"/>
  <c r="F9466"/>
  <c r="F9467"/>
  <c r="F9470"/>
  <c r="F9471"/>
  <c r="F9474"/>
  <c r="F9475"/>
  <c r="F9478"/>
  <c r="F9479"/>
  <c r="F9482"/>
  <c r="F9483"/>
  <c r="F9486"/>
  <c r="F9487"/>
  <c r="F9490"/>
  <c r="F9491"/>
  <c r="F9494"/>
  <c r="F9495"/>
  <c r="F9498"/>
  <c r="F9499"/>
  <c r="F9502"/>
  <c r="F9503"/>
  <c r="F9506"/>
  <c r="F9507"/>
  <c r="F9510"/>
  <c r="F9511"/>
  <c r="F9514"/>
  <c r="F9515"/>
  <c r="F9518"/>
  <c r="F9519"/>
  <c r="F9522"/>
  <c r="F9523"/>
  <c r="F9526"/>
  <c r="F9527"/>
  <c r="F9533"/>
  <c r="F9535"/>
  <c r="F9541"/>
  <c r="F9549"/>
  <c r="F9554"/>
  <c r="F9555"/>
  <c r="F9557"/>
  <c r="F9558"/>
  <c r="F9565"/>
  <c r="F9567"/>
  <c r="F9575"/>
  <c r="F9579"/>
  <c r="F9582"/>
  <c r="F9583"/>
  <c r="F9587"/>
  <c r="F9591"/>
  <c r="F9594"/>
  <c r="F9595"/>
  <c r="F9599"/>
  <c r="F9603"/>
  <c r="F9607"/>
  <c r="F9610"/>
  <c r="F9611"/>
  <c r="F9614"/>
  <c r="F9615"/>
  <c r="F9618"/>
  <c r="F9619"/>
  <c r="F9622"/>
  <c r="F9623"/>
  <c r="F9626"/>
  <c r="F9710"/>
  <c r="F9742"/>
  <c r="F9774"/>
  <c r="F9806"/>
  <c r="F9838"/>
  <c r="F9866"/>
  <c r="F9873"/>
  <c r="F9878"/>
  <c r="F9879"/>
  <c r="F9893"/>
  <c r="F9907"/>
  <c r="F9910"/>
  <c r="F9931"/>
  <c r="F9935"/>
  <c r="F9942"/>
  <c r="F9967"/>
  <c r="F9974"/>
  <c r="F9999"/>
  <c r="F10006"/>
  <c r="F10031"/>
  <c r="F10038"/>
  <c r="F10049"/>
  <c r="F10059"/>
  <c r="F10070"/>
  <c r="F10083"/>
  <c r="F10102"/>
  <c r="F10107"/>
  <c r="F10115"/>
  <c r="F10117"/>
  <c r="F10123"/>
  <c r="F10127"/>
  <c r="F10134"/>
  <c r="F10166"/>
  <c r="F10171"/>
  <c r="F10186"/>
  <c r="F10187"/>
  <c r="F10191"/>
  <c r="F10198"/>
  <c r="F10203"/>
  <c r="F10218"/>
  <c r="F10223"/>
  <c r="F10230"/>
  <c r="F10250"/>
  <c r="F10255"/>
  <c r="F10262"/>
  <c r="F10267"/>
  <c r="F10282"/>
  <c r="F10285"/>
  <c r="F10286"/>
  <c r="F10287"/>
  <c r="F10291"/>
  <c r="F10294"/>
  <c r="F10297"/>
  <c r="F10303"/>
  <c r="F10314"/>
  <c r="F10315"/>
  <c r="F10326"/>
  <c r="F10333"/>
  <c r="F10345"/>
  <c r="F10346"/>
  <c r="F10350"/>
  <c r="F10358"/>
  <c r="F10363"/>
  <c r="F10371"/>
  <c r="F10378"/>
  <c r="F10379"/>
  <c r="F10383"/>
  <c r="F10385"/>
  <c r="F10390"/>
  <c r="F10405"/>
  <c r="F10410"/>
  <c r="F10422"/>
  <c r="F10442"/>
  <c r="F10443"/>
  <c r="F10446"/>
  <c r="F10447"/>
  <c r="F10454"/>
  <c r="F10471"/>
  <c r="F10474"/>
  <c r="F10486"/>
  <c r="F10506"/>
  <c r="F10510"/>
  <c r="F10511"/>
  <c r="F10518"/>
  <c r="F10538"/>
  <c r="F11686"/>
  <c r="F12531"/>
  <c r="F12535"/>
  <c r="F12539"/>
  <c r="F12543"/>
  <c r="F12547"/>
  <c r="F12589"/>
  <c r="F12595"/>
  <c r="F12607"/>
  <c r="F12609"/>
  <c r="F12619"/>
  <c r="F12623"/>
  <c r="F12647"/>
  <c r="F12651"/>
  <c r="F12665"/>
  <c r="F12667"/>
  <c r="F12671"/>
  <c r="F12675"/>
  <c r="F12677"/>
  <c r="F12683"/>
  <c r="F12687"/>
  <c r="F12689"/>
  <c r="F12693"/>
  <c r="F12703"/>
  <c r="F12719"/>
  <c r="F12725"/>
  <c r="F12743"/>
  <c r="F12745"/>
  <c r="F12755"/>
  <c r="F12767"/>
  <c r="F12781"/>
  <c r="F12789"/>
  <c r="F12791"/>
  <c r="F12799"/>
  <c r="F12807"/>
  <c r="F12831"/>
  <c r="F12839"/>
  <c r="F12841"/>
  <c r="F12859"/>
  <c r="F12861"/>
  <c r="F12879"/>
  <c r="F12883"/>
  <c r="F12895"/>
  <c r="F12903"/>
  <c r="F12909"/>
  <c r="F12921"/>
  <c r="F12939"/>
  <c r="F12947"/>
  <c r="F12957"/>
  <c r="F12979"/>
  <c r="F12983"/>
  <c r="F12991"/>
  <c r="F12999"/>
  <c r="F13003"/>
  <c r="F13005"/>
  <c r="F13007"/>
  <c r="F13019"/>
  <c r="F13021"/>
  <c r="F13023"/>
  <c r="F13027"/>
  <c r="F13029"/>
  <c r="F13035"/>
  <c r="F13043"/>
  <c r="F13049"/>
  <c r="F13053"/>
  <c r="F13067"/>
  <c r="F13077"/>
  <c r="F13095"/>
  <c r="F13097"/>
  <c r="F13103"/>
  <c r="F13107"/>
  <c r="F13109"/>
  <c r="F13111"/>
  <c r="F13129"/>
  <c r="F13137"/>
  <c r="F13159"/>
  <c r="F13161"/>
  <c r="F13163"/>
  <c r="F13171"/>
  <c r="F13175"/>
  <c r="F13177"/>
  <c r="F13195"/>
  <c r="F13199"/>
  <c r="F13223"/>
  <c r="F13241"/>
  <c r="F13247"/>
  <c r="F13259"/>
  <c r="F13271"/>
  <c r="F13287"/>
  <c r="F13291"/>
  <c r="F13295"/>
  <c r="F13303"/>
  <c r="F13327"/>
  <c r="F13333"/>
  <c r="F13335"/>
  <c r="F13339"/>
  <c r="F13341"/>
  <c r="F13347"/>
  <c r="F13355"/>
  <c r="F13357"/>
  <c r="F13375"/>
  <c r="F13383"/>
  <c r="F13387"/>
  <c r="F13399"/>
  <c r="F13401"/>
  <c r="F13407"/>
  <c r="F13427"/>
  <c r="F13439"/>
  <c r="F13443"/>
  <c r="F13447"/>
  <c r="F13463"/>
  <c r="F13467"/>
  <c r="F13473"/>
  <c r="F13475"/>
  <c r="F13487"/>
  <c r="F13489"/>
  <c r="F13499"/>
  <c r="F13503"/>
  <c r="F13505"/>
  <c r="F13511"/>
  <c r="F13515"/>
  <c r="F13531"/>
  <c r="F13549"/>
  <c r="F13553"/>
  <c r="F13555"/>
  <c r="F13561"/>
  <c r="F13563"/>
  <c r="F13575"/>
  <c r="F13581"/>
  <c r="F13589"/>
  <c r="F13591"/>
  <c r="F13599"/>
  <c r="F13603"/>
  <c r="F13607"/>
  <c r="F13619"/>
  <c r="F13625"/>
  <c r="F13627"/>
  <c r="F13655"/>
  <c r="F13659"/>
  <c r="F13669"/>
  <c r="F13671"/>
  <c r="F13675"/>
  <c r="F13687"/>
  <c r="F13691"/>
  <c r="F13699"/>
  <c r="F13735"/>
  <c r="F13737"/>
  <c r="F13739"/>
  <c r="F13753"/>
  <c r="F13767"/>
  <c r="F13771"/>
  <c r="F13775"/>
  <c r="F13779"/>
  <c r="F10002"/>
  <c r="F9874"/>
  <c r="F12787"/>
  <c r="F12695"/>
  <c r="F12527"/>
  <c r="F12519"/>
  <c r="F12515"/>
  <c r="F12511"/>
  <c r="F12507"/>
  <c r="F12503"/>
  <c r="F12499"/>
  <c r="F12495"/>
  <c r="F12491"/>
  <c r="F12487"/>
  <c r="F12483"/>
  <c r="F12479"/>
  <c r="F12475"/>
  <c r="F12471"/>
  <c r="F12467"/>
  <c r="F12463"/>
  <c r="F12459"/>
  <c r="F12455"/>
  <c r="F12451"/>
  <c r="F12447"/>
  <c r="F12443"/>
  <c r="F12439"/>
  <c r="F12435"/>
  <c r="F12431"/>
  <c r="F12427"/>
  <c r="F12423"/>
  <c r="F12419"/>
  <c r="F12415"/>
  <c r="F12411"/>
  <c r="F12407"/>
  <c r="F12403"/>
  <c r="F12399"/>
  <c r="F12395"/>
  <c r="F12391"/>
  <c r="F12387"/>
  <c r="F12383"/>
  <c r="F12379"/>
  <c r="F12375"/>
  <c r="F12371"/>
  <c r="F12367"/>
  <c r="F12363"/>
  <c r="F12359"/>
  <c r="F12355"/>
  <c r="F12351"/>
  <c r="F12347"/>
  <c r="F12343"/>
  <c r="F12339"/>
  <c r="F12335"/>
  <c r="F12331"/>
  <c r="F12327"/>
  <c r="F12323"/>
  <c r="F12319"/>
  <c r="F12315"/>
  <c r="F12311"/>
  <c r="F12307"/>
  <c r="F12303"/>
  <c r="F12299"/>
  <c r="F12295"/>
  <c r="F12291"/>
  <c r="F12287"/>
  <c r="F12283"/>
  <c r="F12279"/>
  <c r="F12275"/>
  <c r="F12271"/>
  <c r="F12267"/>
  <c r="F12263"/>
  <c r="F12259"/>
  <c r="F12255"/>
  <c r="F12251"/>
  <c r="F12247"/>
  <c r="F12243"/>
  <c r="F12239"/>
  <c r="F12235"/>
  <c r="F12231"/>
  <c r="F12227"/>
  <c r="F12223"/>
  <c r="F12219"/>
  <c r="F12215"/>
  <c r="F12211"/>
  <c r="F12207"/>
  <c r="F12203"/>
  <c r="F12199"/>
  <c r="F12195"/>
  <c r="F12191"/>
  <c r="F12187"/>
  <c r="F12183"/>
  <c r="F12179"/>
  <c r="F12175"/>
  <c r="F12171"/>
  <c r="F12167"/>
  <c r="F12163"/>
  <c r="F12159"/>
  <c r="F12155"/>
  <c r="F12151"/>
  <c r="F12147"/>
  <c r="F12143"/>
  <c r="F12139"/>
  <c r="F12135"/>
  <c r="F12131"/>
  <c r="F12127"/>
  <c r="F12123"/>
  <c r="F12119"/>
  <c r="F12115"/>
  <c r="F12111"/>
  <c r="F12107"/>
  <c r="F12103"/>
  <c r="F12099"/>
  <c r="F12095"/>
  <c r="F12091"/>
  <c r="F12087"/>
  <c r="F12083"/>
  <c r="F12079"/>
  <c r="F12075"/>
  <c r="F12071"/>
  <c r="F12067"/>
  <c r="F12063"/>
  <c r="F12059"/>
  <c r="F12055"/>
  <c r="F12051"/>
  <c r="F12047"/>
  <c r="F12043"/>
  <c r="F12039"/>
  <c r="F12035"/>
  <c r="F12031"/>
  <c r="F12027"/>
  <c r="F12023"/>
  <c r="F12019"/>
  <c r="F12015"/>
  <c r="F12011"/>
  <c r="F12007"/>
  <c r="F12003"/>
  <c r="F11999"/>
  <c r="F11995"/>
  <c r="F11991"/>
  <c r="F11987"/>
  <c r="F11983"/>
  <c r="F11979"/>
  <c r="F11975"/>
  <c r="F11971"/>
  <c r="F11967"/>
  <c r="F11963"/>
  <c r="F11959"/>
  <c r="F11955"/>
  <c r="F11951"/>
  <c r="F11947"/>
  <c r="F11943"/>
  <c r="F11939"/>
  <c r="F11935"/>
  <c r="F11931"/>
  <c r="F11927"/>
  <c r="F11923"/>
  <c r="F11919"/>
  <c r="F11915"/>
  <c r="F11911"/>
  <c r="F11907"/>
  <c r="F11903"/>
  <c r="F11899"/>
  <c r="F11895"/>
  <c r="F11891"/>
  <c r="F11887"/>
  <c r="F11883"/>
  <c r="F11879"/>
  <c r="F11875"/>
  <c r="F11871"/>
  <c r="F11867"/>
  <c r="F11863"/>
  <c r="F11859"/>
  <c r="F11855"/>
  <c r="F11851"/>
  <c r="F11847"/>
  <c r="F11843"/>
  <c r="F11839"/>
  <c r="F11835"/>
  <c r="F11831"/>
  <c r="F11827"/>
  <c r="F11823"/>
  <c r="F11809"/>
  <c r="F11793"/>
  <c r="F11779"/>
  <c r="F11775"/>
  <c r="F11771"/>
  <c r="F11767"/>
  <c r="F11763"/>
  <c r="F11759"/>
  <c r="F11755"/>
  <c r="F11751"/>
  <c r="F11747"/>
  <c r="F11743"/>
  <c r="F11739"/>
  <c r="F11735"/>
  <c r="F11731"/>
  <c r="F11727"/>
  <c r="F11723"/>
  <c r="F11719"/>
  <c r="F11715"/>
  <c r="F11711"/>
  <c r="F11707"/>
  <c r="F11703"/>
  <c r="F11699"/>
  <c r="F11695"/>
  <c r="F11691"/>
  <c r="F11687"/>
  <c r="F11683"/>
  <c r="F11681"/>
  <c r="F11679"/>
  <c r="F11675"/>
  <c r="F11671"/>
  <c r="F11667"/>
  <c r="F11663"/>
  <c r="F11659"/>
  <c r="F11657"/>
  <c r="F11655"/>
  <c r="F11651"/>
  <c r="F11649"/>
  <c r="F11647"/>
  <c r="F11605"/>
  <c r="F11595"/>
  <c r="F11591"/>
  <c r="F11587"/>
  <c r="F11585"/>
  <c r="F11583"/>
  <c r="F11579"/>
  <c r="F11577"/>
  <c r="F11575"/>
  <c r="F11571"/>
  <c r="F11567"/>
  <c r="F11563"/>
  <c r="F11559"/>
  <c r="F11555"/>
  <c r="F11553"/>
  <c r="F11551"/>
  <c r="F11547"/>
  <c r="F11545"/>
  <c r="F11543"/>
  <c r="F11539"/>
  <c r="F11535"/>
  <c r="F11531"/>
  <c r="F11527"/>
  <c r="F11523"/>
  <c r="F11521"/>
  <c r="F11519"/>
  <c r="F11515"/>
  <c r="F11513"/>
  <c r="F11511"/>
  <c r="F11507"/>
  <c r="F11503"/>
  <c r="F11499"/>
  <c r="F11495"/>
  <c r="F11491"/>
  <c r="F11489"/>
  <c r="F11487"/>
  <c r="F11483"/>
  <c r="F11481"/>
  <c r="F11479"/>
  <c r="F11475"/>
  <c r="F11471"/>
  <c r="F11467"/>
  <c r="F11463"/>
  <c r="F11459"/>
  <c r="F11457"/>
  <c r="F11455"/>
  <c r="F11451"/>
  <c r="F11449"/>
  <c r="F11447"/>
  <c r="F11443"/>
  <c r="F11441"/>
  <c r="F11439"/>
  <c r="F11435"/>
  <c r="F11433"/>
  <c r="F11431"/>
  <c r="F11427"/>
  <c r="F11425"/>
  <c r="F11423"/>
  <c r="F11419"/>
  <c r="F11417"/>
  <c r="F11415"/>
  <c r="F11411"/>
  <c r="F11409"/>
  <c r="F11407"/>
  <c r="F11403"/>
  <c r="F11401"/>
  <c r="F11399"/>
  <c r="F11395"/>
  <c r="F11393"/>
  <c r="F11391"/>
  <c r="F11387"/>
  <c r="F11385"/>
  <c r="F11383"/>
  <c r="F11379"/>
  <c r="F11377"/>
  <c r="F11375"/>
  <c r="F11371"/>
  <c r="F11369"/>
  <c r="F11367"/>
  <c r="F11363"/>
  <c r="F11361"/>
  <c r="F11359"/>
  <c r="F11355"/>
  <c r="F11353"/>
  <c r="F11351"/>
  <c r="F11347"/>
  <c r="F11345"/>
  <c r="F11343"/>
  <c r="F11339"/>
  <c r="F11337"/>
  <c r="F11335"/>
  <c r="F11331"/>
  <c r="F11329"/>
  <c r="F11327"/>
  <c r="F11323"/>
  <c r="F11321"/>
  <c r="F11319"/>
  <c r="F11315"/>
  <c r="F11313"/>
  <c r="F11311"/>
  <c r="F11307"/>
  <c r="F11305"/>
  <c r="F11303"/>
  <c r="F11299"/>
  <c r="F11297"/>
  <c r="F11295"/>
  <c r="F11291"/>
  <c r="F11289"/>
  <c r="F11287"/>
  <c r="F11283"/>
  <c r="F11281"/>
  <c r="F11279"/>
  <c r="F11275"/>
  <c r="F11273"/>
  <c r="F11271"/>
  <c r="F11267"/>
  <c r="F11265"/>
  <c r="F11263"/>
  <c r="F11259"/>
  <c r="F11257"/>
  <c r="F11255"/>
  <c r="F11251"/>
  <c r="F11249"/>
  <c r="F11247"/>
  <c r="F11243"/>
  <c r="F11241"/>
  <c r="F11239"/>
  <c r="F11235"/>
  <c r="F11233"/>
  <c r="F11231"/>
  <c r="F11227"/>
  <c r="F11225"/>
  <c r="F11223"/>
  <c r="F11219"/>
  <c r="F11217"/>
  <c r="F11215"/>
  <c r="F11211"/>
  <c r="F11209"/>
  <c r="F11207"/>
  <c r="F11203"/>
  <c r="F11201"/>
  <c r="F11199"/>
  <c r="F11195"/>
  <c r="F11193"/>
  <c r="F11191"/>
  <c r="F11187"/>
  <c r="F11185"/>
  <c r="F11183"/>
  <c r="F11179"/>
  <c r="F11177"/>
  <c r="F11175"/>
  <c r="F11171"/>
  <c r="F11169"/>
  <c r="F11167"/>
  <c r="F11163"/>
  <c r="F11161"/>
  <c r="F11159"/>
  <c r="F11155"/>
  <c r="F11153"/>
  <c r="F11151"/>
  <c r="F11147"/>
  <c r="F11145"/>
  <c r="F11143"/>
  <c r="F11139"/>
  <c r="F11137"/>
  <c r="F11135"/>
  <c r="F11131"/>
  <c r="F11129"/>
  <c r="F11127"/>
  <c r="F11123"/>
  <c r="F11121"/>
  <c r="F11119"/>
  <c r="F11115"/>
  <c r="F11113"/>
  <c r="F11111"/>
  <c r="F11107"/>
  <c r="F11105"/>
  <c r="F11103"/>
  <c r="F11099"/>
  <c r="F11097"/>
  <c r="F11095"/>
  <c r="F11091"/>
  <c r="F11089"/>
  <c r="F11087"/>
  <c r="F11083"/>
  <c r="F11081"/>
  <c r="F11079"/>
  <c r="F11075"/>
  <c r="F11073"/>
  <c r="F11071"/>
  <c r="F11067"/>
  <c r="F11065"/>
  <c r="F11063"/>
  <c r="F11059"/>
  <c r="F11057"/>
  <c r="F11055"/>
  <c r="F11051"/>
  <c r="F11049"/>
  <c r="F11047"/>
  <c r="F11043"/>
  <c r="F11041"/>
  <c r="F11039"/>
  <c r="F11035"/>
  <c r="F11033"/>
  <c r="F11031"/>
  <c r="F11027"/>
  <c r="F11025"/>
  <c r="F11023"/>
  <c r="F11021"/>
  <c r="F11019"/>
  <c r="F11017"/>
  <c r="F11015"/>
  <c r="F11013"/>
  <c r="F11011"/>
  <c r="F11009"/>
  <c r="F11007"/>
  <c r="F11005"/>
  <c r="F11003"/>
  <c r="F11001"/>
  <c r="F10999"/>
  <c r="F10997"/>
  <c r="F10995"/>
  <c r="F10993"/>
  <c r="F10991"/>
  <c r="F10989"/>
  <c r="F10987"/>
  <c r="F10985"/>
  <c r="F10983"/>
  <c r="F10981"/>
  <c r="F10979"/>
  <c r="F10977"/>
  <c r="F10975"/>
  <c r="F10973"/>
  <c r="F10971"/>
  <c r="F10969"/>
  <c r="F10967"/>
  <c r="F10965"/>
  <c r="F10963"/>
  <c r="F10961"/>
  <c r="F10959"/>
  <c r="F10957"/>
  <c r="F10955"/>
  <c r="F10953"/>
  <c r="F10951"/>
  <c r="F10949"/>
  <c r="F10947"/>
  <c r="F10945"/>
  <c r="F10943"/>
  <c r="F10941"/>
  <c r="F10939"/>
  <c r="F10937"/>
  <c r="F10935"/>
  <c r="F10933"/>
  <c r="F10931"/>
  <c r="F10929"/>
  <c r="F10927"/>
  <c r="F10925"/>
  <c r="F10923"/>
  <c r="F10921"/>
  <c r="F10919"/>
  <c r="F10917"/>
  <c r="F10915"/>
  <c r="F10913"/>
  <c r="F10911"/>
  <c r="F10909"/>
  <c r="F10907"/>
  <c r="F10905"/>
  <c r="F10903"/>
  <c r="F10901"/>
  <c r="F10899"/>
  <c r="F10897"/>
  <c r="F10895"/>
  <c r="F10893"/>
  <c r="F10891"/>
  <c r="F10889"/>
  <c r="F10887"/>
  <c r="F10885"/>
  <c r="F10883"/>
  <c r="F10881"/>
  <c r="F10879"/>
  <c r="F10877"/>
  <c r="F10875"/>
  <c r="F10873"/>
  <c r="F10871"/>
  <c r="F10869"/>
  <c r="F10867"/>
  <c r="F10865"/>
  <c r="F10863"/>
  <c r="F10861"/>
  <c r="F10859"/>
  <c r="F10857"/>
  <c r="F10855"/>
  <c r="F10853"/>
  <c r="F10851"/>
  <c r="F10849"/>
  <c r="F10847"/>
  <c r="F10845"/>
  <c r="F10843"/>
  <c r="F10841"/>
  <c r="F10839"/>
  <c r="F10837"/>
  <c r="F10835"/>
  <c r="F10833"/>
  <c r="F10831"/>
  <c r="F10829"/>
  <c r="F10827"/>
  <c r="F10825"/>
  <c r="F10823"/>
  <c r="F10821"/>
  <c r="F10819"/>
  <c r="F10817"/>
  <c r="F10815"/>
  <c r="F10813"/>
  <c r="F10811"/>
  <c r="F10809"/>
  <c r="F10807"/>
  <c r="F10805"/>
  <c r="F10803"/>
  <c r="F10801"/>
  <c r="F10799"/>
  <c r="F10797"/>
  <c r="F10795"/>
  <c r="F10793"/>
  <c r="F10791"/>
  <c r="F10789"/>
  <c r="F10787"/>
  <c r="F10785"/>
  <c r="F10783"/>
  <c r="F10781"/>
  <c r="F10779"/>
  <c r="F10777"/>
  <c r="F10775"/>
  <c r="F10773"/>
  <c r="F10771"/>
  <c r="F10769"/>
  <c r="F10767"/>
  <c r="F10765"/>
  <c r="F10763"/>
  <c r="F10761"/>
  <c r="F10759"/>
  <c r="F10757"/>
  <c r="F10755"/>
  <c r="F10753"/>
  <c r="F10751"/>
  <c r="F10749"/>
  <c r="F10747"/>
  <c r="F10745"/>
  <c r="F10743"/>
  <c r="F10741"/>
  <c r="F10739"/>
  <c r="F10737"/>
  <c r="F10735"/>
  <c r="F10733"/>
  <c r="F10731"/>
  <c r="F10729"/>
  <c r="F10727"/>
  <c r="F10725"/>
  <c r="F10723"/>
  <c r="F10721"/>
  <c r="F10719"/>
  <c r="F10717"/>
  <c r="F10715"/>
  <c r="F10713"/>
  <c r="F10711"/>
  <c r="F10709"/>
  <c r="F10707"/>
  <c r="F10705"/>
  <c r="F10703"/>
  <c r="F10701"/>
  <c r="F10699"/>
  <c r="F10697"/>
  <c r="F10695"/>
  <c r="F10693"/>
  <c r="F10691"/>
  <c r="F10689"/>
  <c r="F10687"/>
  <c r="F10685"/>
  <c r="F10683"/>
  <c r="F10681"/>
  <c r="F10679"/>
  <c r="F10677"/>
  <c r="F10675"/>
  <c r="F10673"/>
  <c r="F10671"/>
  <c r="F10669"/>
  <c r="F10667"/>
  <c r="F10665"/>
  <c r="F10663"/>
  <c r="F10661"/>
  <c r="F10659"/>
  <c r="F10657"/>
  <c r="F10655"/>
  <c r="F10653"/>
  <c r="F10651"/>
  <c r="F10649"/>
  <c r="F10647"/>
  <c r="F10645"/>
  <c r="F10643"/>
  <c r="F10641"/>
  <c r="F10639"/>
  <c r="F10637"/>
  <c r="F10635"/>
  <c r="F10633"/>
  <c r="F10631"/>
  <c r="F10629"/>
  <c r="F10627"/>
  <c r="F10625"/>
  <c r="F10623"/>
  <c r="F10621"/>
  <c r="F10619"/>
  <c r="F10617"/>
  <c r="F10615"/>
  <c r="F10611"/>
  <c r="F10607"/>
  <c r="F10603"/>
  <c r="F10599"/>
  <c r="F10595"/>
  <c r="F10591"/>
  <c r="F10587"/>
  <c r="F10583"/>
  <c r="F10579"/>
  <c r="F10575"/>
  <c r="F10571"/>
  <c r="F10567"/>
  <c r="F10563"/>
  <c r="F10559"/>
  <c r="F10555"/>
  <c r="F10551"/>
  <c r="F10523"/>
  <c r="F10515"/>
  <c r="F10503"/>
  <c r="F10499"/>
  <c r="F10487"/>
  <c r="F10483"/>
  <c r="F10479"/>
  <c r="F10467"/>
  <c r="F10455"/>
  <c r="F10407"/>
  <c r="F10307"/>
  <c r="F10243"/>
  <c r="F10227"/>
  <c r="F10215"/>
  <c r="F10135"/>
  <c r="F10103"/>
  <c r="F10087"/>
  <c r="F10071"/>
  <c r="F10055"/>
  <c r="F10051"/>
  <c r="F10043"/>
  <c r="F10035"/>
  <c r="F10023"/>
  <c r="F10011"/>
  <c r="F10003"/>
  <c r="F9991"/>
  <c r="F9987"/>
  <c r="F9975"/>
  <c r="F9971"/>
  <c r="F9959"/>
  <c r="F9955"/>
  <c r="F9947"/>
  <c r="F9943"/>
  <c r="F9939"/>
  <c r="F9915"/>
  <c r="F10545"/>
  <c r="F10537"/>
  <c r="F10533"/>
  <c r="F10521"/>
  <c r="F10513"/>
  <c r="F10493"/>
  <c r="F10473"/>
  <c r="F10469"/>
  <c r="F10465"/>
  <c r="F10461"/>
  <c r="F10457"/>
  <c r="F10453"/>
  <c r="F10441"/>
  <c r="F10433"/>
  <c r="F10429"/>
  <c r="F10425"/>
  <c r="F10417"/>
  <c r="F10397"/>
  <c r="F10393"/>
  <c r="F10389"/>
  <c r="F10377"/>
  <c r="F10373"/>
  <c r="F10369"/>
  <c r="F10365"/>
  <c r="F10361"/>
  <c r="F10353"/>
  <c r="F10325"/>
  <c r="F10321"/>
  <c r="F10309"/>
  <c r="F10305"/>
  <c r="F10289"/>
  <c r="F10277"/>
  <c r="F10265"/>
  <c r="F10257"/>
  <c r="F10245"/>
  <c r="F10237"/>
  <c r="F10229"/>
  <c r="F10217"/>
  <c r="F10213"/>
  <c r="F10209"/>
  <c r="F10205"/>
  <c r="F10201"/>
  <c r="F10197"/>
  <c r="F10185"/>
  <c r="F10177"/>
  <c r="F10173"/>
  <c r="F10169"/>
  <c r="F10161"/>
  <c r="F10149"/>
  <c r="F10141"/>
  <c r="F10137"/>
  <c r="F10133"/>
  <c r="F10129"/>
  <c r="F10121"/>
  <c r="F10113"/>
  <c r="F10109"/>
  <c r="F10105"/>
  <c r="F10097"/>
  <c r="F10089"/>
  <c r="F10077"/>
  <c r="F10069"/>
  <c r="F10065"/>
  <c r="F10057"/>
  <c r="F10053"/>
  <c r="F10041"/>
  <c r="F10033"/>
  <c r="F10021"/>
  <c r="F10009"/>
  <c r="F10001"/>
  <c r="F9989"/>
  <c r="F9981"/>
  <c r="F9973"/>
  <c r="F9961"/>
  <c r="F9957"/>
  <c r="F9953"/>
  <c r="F9949"/>
  <c r="F9945"/>
  <c r="F9941"/>
  <c r="F9929"/>
  <c r="F9921"/>
  <c r="F9917"/>
  <c r="F9913"/>
  <c r="F9905"/>
  <c r="F9885"/>
  <c r="F9865"/>
  <c r="F7359"/>
  <c r="F7343"/>
  <c r="F7311"/>
  <c r="F7295"/>
  <c r="F7263"/>
  <c r="F7247"/>
  <c r="F7215"/>
  <c r="F7199"/>
  <c r="F7183"/>
  <c r="F7466"/>
  <c r="F7418"/>
  <c r="F7292"/>
  <c r="F7144"/>
  <c r="F7301"/>
  <c r="F7173"/>
  <c r="F7394"/>
  <c r="F7366"/>
  <c r="F7350"/>
  <c r="F7330"/>
  <c r="F7314"/>
  <c r="F7298"/>
  <c r="F7278"/>
  <c r="F7262"/>
  <c r="F7158"/>
  <c r="F7134"/>
  <c r="F7118"/>
  <c r="F7110"/>
  <c r="F7102"/>
  <c r="F7094"/>
  <c r="F7086"/>
  <c r="F7078"/>
  <c r="F7070"/>
  <c r="F7062"/>
  <c r="F7054"/>
  <c r="F7046"/>
  <c r="F7038"/>
  <c r="F7030"/>
  <c r="F7022"/>
  <c r="F7014"/>
  <c r="F7006"/>
  <c r="F6998"/>
  <c r="F6990"/>
  <c r="F6982"/>
  <c r="F6974"/>
  <c r="F6966"/>
  <c r="F6958"/>
  <c r="F6950"/>
  <c r="F6942"/>
  <c r="F6934"/>
  <c r="F6926"/>
  <c r="F6918"/>
  <c r="F6910"/>
  <c r="F6902"/>
  <c r="F6894"/>
  <c r="F6886"/>
  <c r="F6878"/>
  <c r="F6870"/>
  <c r="F6862"/>
  <c r="F6854"/>
  <c r="F6846"/>
  <c r="F6838"/>
  <c r="F6830"/>
  <c r="F6822"/>
  <c r="F6814"/>
  <c r="F6806"/>
  <c r="F6798"/>
  <c r="F6790"/>
  <c r="F6782"/>
  <c r="F6774"/>
  <c r="F6766"/>
  <c r="F6762"/>
  <c r="F6758"/>
  <c r="F6756"/>
  <c r="F6754"/>
  <c r="F6750"/>
  <c r="F6746"/>
  <c r="F6742"/>
  <c r="F6738"/>
  <c r="F6734"/>
  <c r="F6730"/>
  <c r="F6726"/>
  <c r="F6724"/>
  <c r="F6722"/>
  <c r="F6718"/>
  <c r="F6714"/>
  <c r="F6710"/>
  <c r="F6706"/>
  <c r="F6702"/>
  <c r="F6698"/>
  <c r="F6694"/>
  <c r="F6692"/>
  <c r="F6690"/>
  <c r="F6686"/>
  <c r="F6682"/>
  <c r="F6678"/>
  <c r="F6674"/>
  <c r="F6670"/>
  <c r="F6666"/>
  <c r="F6662"/>
  <c r="F6660"/>
  <c r="F6658"/>
  <c r="F6654"/>
  <c r="F6650"/>
  <c r="F6646"/>
  <c r="F6642"/>
  <c r="F6638"/>
  <c r="F6634"/>
  <c r="F6630"/>
  <c r="F6628"/>
  <c r="F6626"/>
  <c r="F6622"/>
  <c r="F6618"/>
  <c r="F6614"/>
  <c r="F6610"/>
  <c r="F6606"/>
  <c r="F6602"/>
  <c r="F6598"/>
  <c r="F6596"/>
  <c r="F6594"/>
  <c r="F6590"/>
  <c r="F6586"/>
  <c r="F6582"/>
  <c r="F6578"/>
  <c r="F6574"/>
  <c r="F6570"/>
  <c r="F6566"/>
  <c r="F6564"/>
  <c r="F6562"/>
  <c r="F6558"/>
  <c r="F6554"/>
  <c r="F6550"/>
  <c r="F6546"/>
  <c r="F6542"/>
  <c r="F6538"/>
  <c r="F6534"/>
  <c r="F6532"/>
  <c r="F6530"/>
  <c r="F6526"/>
  <c r="F6522"/>
  <c r="F6518"/>
  <c r="F6514"/>
  <c r="F6510"/>
  <c r="F6506"/>
  <c r="F6502"/>
  <c r="F6500"/>
  <c r="F6498"/>
  <c r="F6494"/>
  <c r="F6490"/>
  <c r="F6486"/>
  <c r="F6482"/>
  <c r="F6478"/>
  <c r="F6474"/>
  <c r="F6470"/>
  <c r="F6468"/>
  <c r="F6466"/>
  <c r="F6462"/>
  <c r="F6458"/>
  <c r="F6454"/>
  <c r="F6450"/>
  <c r="F6446"/>
  <c r="F6442"/>
  <c r="F6438"/>
  <c r="F6436"/>
  <c r="F6434"/>
  <c r="F6430"/>
  <c r="F6426"/>
  <c r="F6422"/>
  <c r="F6418"/>
  <c r="F6414"/>
  <c r="F6410"/>
  <c r="F6406"/>
  <c r="F6404"/>
  <c r="F6402"/>
  <c r="F6398"/>
  <c r="F6394"/>
  <c r="F6390"/>
  <c r="F6386"/>
  <c r="F6382"/>
  <c r="F6378"/>
  <c r="F6374"/>
  <c r="F6372"/>
  <c r="F6370"/>
  <c r="F6366"/>
  <c r="F6362"/>
  <c r="F6358"/>
  <c r="F6354"/>
  <c r="F6350"/>
  <c r="F6346"/>
  <c r="F6342"/>
  <c r="F6340"/>
  <c r="F6338"/>
  <c r="F6334"/>
  <c r="F6330"/>
  <c r="F6326"/>
  <c r="F6322"/>
  <c r="F6318"/>
  <c r="F6314"/>
  <c r="F6310"/>
  <c r="F6308"/>
  <c r="F6306"/>
  <c r="F6302"/>
  <c r="F6298"/>
  <c r="F6294"/>
  <c r="F6290"/>
  <c r="F6286"/>
  <c r="F6282"/>
  <c r="F6278"/>
  <c r="F6276"/>
  <c r="F6274"/>
  <c r="F6270"/>
  <c r="F6266"/>
  <c r="F6262"/>
  <c r="F6258"/>
  <c r="F6254"/>
  <c r="F6250"/>
  <c r="F6246"/>
  <c r="F6244"/>
  <c r="F6242"/>
  <c r="F6238"/>
  <c r="F6234"/>
  <c r="F6230"/>
  <c r="F6226"/>
  <c r="F6222"/>
  <c r="F6218"/>
  <c r="F6214"/>
  <c r="F6212"/>
  <c r="F6210"/>
  <c r="F6206"/>
  <c r="F6202"/>
  <c r="F6198"/>
  <c r="F6194"/>
  <c r="F6190"/>
  <c r="F6186"/>
  <c r="F6182"/>
  <c r="F6180"/>
  <c r="F6178"/>
  <c r="F6174"/>
  <c r="F6170"/>
  <c r="F6166"/>
  <c r="F6162"/>
  <c r="F6158"/>
  <c r="F6154"/>
  <c r="F6150"/>
  <c r="F6148"/>
  <c r="F6146"/>
  <c r="F6142"/>
  <c r="F6138"/>
  <c r="F6134"/>
  <c r="F6130"/>
  <c r="F6126"/>
  <c r="F6122"/>
  <c r="F6118"/>
  <c r="F6116"/>
  <c r="F6114"/>
  <c r="F6110"/>
  <c r="F6106"/>
  <c r="F6102"/>
  <c r="F6098"/>
  <c r="F6094"/>
  <c r="F6090"/>
  <c r="F6086"/>
  <c r="F6084"/>
  <c r="F6082"/>
  <c r="F6078"/>
  <c r="F6074"/>
  <c r="F6070"/>
  <c r="F6066"/>
  <c r="F6062"/>
  <c r="F6058"/>
  <c r="F6054"/>
  <c r="F6052"/>
  <c r="F6050"/>
  <c r="F6046"/>
  <c r="F6042"/>
  <c r="F6038"/>
  <c r="F6034"/>
  <c r="F6030"/>
  <c r="F6026"/>
  <c r="F6022"/>
  <c r="F6020"/>
  <c r="F6018"/>
  <c r="F6014"/>
  <c r="F6010"/>
  <c r="F6006"/>
  <c r="F6002"/>
  <c r="F5998"/>
  <c r="F5994"/>
  <c r="F5990"/>
  <c r="F5986"/>
  <c r="F5984"/>
  <c r="F5982"/>
  <c r="F5978"/>
  <c r="F5974"/>
  <c r="F5970"/>
  <c r="F5966"/>
  <c r="F5962"/>
  <c r="F5958"/>
  <c r="F5863"/>
  <c r="F5859"/>
  <c r="F5855"/>
  <c r="F5851"/>
  <c r="F7171"/>
  <c r="F7169"/>
  <c r="F7167"/>
  <c r="F7163"/>
  <c r="F7161"/>
  <c r="F7159"/>
  <c r="F7155"/>
  <c r="F7153"/>
  <c r="F7151"/>
  <c r="F7147"/>
  <c r="F7145"/>
  <c r="F7143"/>
  <c r="F7139"/>
  <c r="F7137"/>
  <c r="F7135"/>
  <c r="F7131"/>
  <c r="F7129"/>
  <c r="F7127"/>
  <c r="F7123"/>
  <c r="F7121"/>
  <c r="F7119"/>
  <c r="F7117"/>
  <c r="F7115"/>
  <c r="F7113"/>
  <c r="F7111"/>
  <c r="F7109"/>
  <c r="F7107"/>
  <c r="F7105"/>
  <c r="F7103"/>
  <c r="F7101"/>
  <c r="F7099"/>
  <c r="F7097"/>
  <c r="F7095"/>
  <c r="F7093"/>
  <c r="F7091"/>
  <c r="F7089"/>
  <c r="F7087"/>
  <c r="F7085"/>
  <c r="F7083"/>
  <c r="F7081"/>
  <c r="F7079"/>
  <c r="F7077"/>
  <c r="F7075"/>
  <c r="F7073"/>
  <c r="F7071"/>
  <c r="F7069"/>
  <c r="F7067"/>
  <c r="F7065"/>
  <c r="F7063"/>
  <c r="F7061"/>
  <c r="F7059"/>
  <c r="F7057"/>
  <c r="F7055"/>
  <c r="F7053"/>
  <c r="F7051"/>
  <c r="F7049"/>
  <c r="F7047"/>
  <c r="F7045"/>
  <c r="F7043"/>
  <c r="F7041"/>
  <c r="F7039"/>
  <c r="F7037"/>
  <c r="F7035"/>
  <c r="F7033"/>
  <c r="F7031"/>
  <c r="F7029"/>
  <c r="F7027"/>
  <c r="F7025"/>
  <c r="F7023"/>
  <c r="F7021"/>
  <c r="F7019"/>
  <c r="F7017"/>
  <c r="F7015"/>
  <c r="F7013"/>
  <c r="F7011"/>
  <c r="F7009"/>
  <c r="F7007"/>
  <c r="F7005"/>
  <c r="F7003"/>
  <c r="F7001"/>
  <c r="F6999"/>
  <c r="F6997"/>
  <c r="F6995"/>
  <c r="F6993"/>
  <c r="F6991"/>
  <c r="F6989"/>
  <c r="F6987"/>
  <c r="F6985"/>
  <c r="F6983"/>
  <c r="F6981"/>
  <c r="F6979"/>
  <c r="F6977"/>
  <c r="F6975"/>
  <c r="F6973"/>
  <c r="F6971"/>
  <c r="F6969"/>
  <c r="F6967"/>
  <c r="F6965"/>
  <c r="F6963"/>
  <c r="F6961"/>
  <c r="F6959"/>
  <c r="F6957"/>
  <c r="F6955"/>
  <c r="F6953"/>
  <c r="F6951"/>
  <c r="F6949"/>
  <c r="F6947"/>
  <c r="F6945"/>
  <c r="F6943"/>
  <c r="F6941"/>
  <c r="F6939"/>
  <c r="F6937"/>
  <c r="F6935"/>
  <c r="F6933"/>
  <c r="F6931"/>
  <c r="F6929"/>
  <c r="F6927"/>
  <c r="F6925"/>
  <c r="F6923"/>
  <c r="F6921"/>
  <c r="F6919"/>
  <c r="F6917"/>
  <c r="F6915"/>
  <c r="F6913"/>
  <c r="F6911"/>
  <c r="F6909"/>
  <c r="F6907"/>
  <c r="F6905"/>
  <c r="F6903"/>
  <c r="F6901"/>
  <c r="F6899"/>
  <c r="F6897"/>
  <c r="F6895"/>
  <c r="F6893"/>
  <c r="F6891"/>
  <c r="F6889"/>
  <c r="F6887"/>
  <c r="F6885"/>
  <c r="F6883"/>
  <c r="F6881"/>
  <c r="F6879"/>
  <c r="F6877"/>
  <c r="F6875"/>
  <c r="F6873"/>
  <c r="F6871"/>
  <c r="F6869"/>
  <c r="F6867"/>
  <c r="F6865"/>
  <c r="F6863"/>
  <c r="F6861"/>
  <c r="F6859"/>
  <c r="F6857"/>
  <c r="F6855"/>
  <c r="F6853"/>
  <c r="F6851"/>
  <c r="F6849"/>
  <c r="F6847"/>
  <c r="F6845"/>
  <c r="F6843"/>
  <c r="F6841"/>
  <c r="F6839"/>
  <c r="F6837"/>
  <c r="F6835"/>
  <c r="F6833"/>
  <c r="F6831"/>
  <c r="F6829"/>
  <c r="F6827"/>
  <c r="F6825"/>
  <c r="F6823"/>
  <c r="F6821"/>
  <c r="F6819"/>
  <c r="F6817"/>
  <c r="F6815"/>
  <c r="F6813"/>
  <c r="F6811"/>
  <c r="F6809"/>
  <c r="F6807"/>
  <c r="F6805"/>
  <c r="F6803"/>
  <c r="F6801"/>
  <c r="F6799"/>
  <c r="F6797"/>
  <c r="F6795"/>
  <c r="F6793"/>
  <c r="F6791"/>
  <c r="F6789"/>
  <c r="F6787"/>
  <c r="F6785"/>
  <c r="F6783"/>
  <c r="F6781"/>
  <c r="F6779"/>
  <c r="F6777"/>
  <c r="F6775"/>
  <c r="F6773"/>
  <c r="F6771"/>
  <c r="F6769"/>
  <c r="F6767"/>
  <c r="F6765"/>
  <c r="F6763"/>
  <c r="F6761"/>
  <c r="F6759"/>
  <c r="F6757"/>
  <c r="F6755"/>
  <c r="F6753"/>
  <c r="F6751"/>
  <c r="F6749"/>
  <c r="F6747"/>
  <c r="F6745"/>
  <c r="F6743"/>
  <c r="F6741"/>
  <c r="F6739"/>
  <c r="F6737"/>
  <c r="F6735"/>
  <c r="F6733"/>
  <c r="F6731"/>
  <c r="F6729"/>
  <c r="F6727"/>
  <c r="F6725"/>
  <c r="F6723"/>
  <c r="F6721"/>
  <c r="F6719"/>
  <c r="F6717"/>
  <c r="F6715"/>
  <c r="F6713"/>
  <c r="F6711"/>
  <c r="F6709"/>
  <c r="F6707"/>
  <c r="F6705"/>
  <c r="F6703"/>
  <c r="F6701"/>
  <c r="F6699"/>
  <c r="F6697"/>
  <c r="F6695"/>
  <c r="F6693"/>
  <c r="F6691"/>
  <c r="F6689"/>
  <c r="F6687"/>
  <c r="F6685"/>
  <c r="F6683"/>
  <c r="F6681"/>
  <c r="F6679"/>
  <c r="F6677"/>
  <c r="F6675"/>
  <c r="F6673"/>
  <c r="F6671"/>
  <c r="F6669"/>
  <c r="F6667"/>
  <c r="F6665"/>
  <c r="F6663"/>
  <c r="F6661"/>
  <c r="F6659"/>
  <c r="F6657"/>
  <c r="F6655"/>
  <c r="F6653"/>
  <c r="F6651"/>
  <c r="F6649"/>
  <c r="F6647"/>
  <c r="F6645"/>
  <c r="F6643"/>
  <c r="F6641"/>
  <c r="F6639"/>
  <c r="F6637"/>
  <c r="F6635"/>
  <c r="F6633"/>
  <c r="F6631"/>
  <c r="F6629"/>
  <c r="F6627"/>
  <c r="F6625"/>
  <c r="F6623"/>
  <c r="F6621"/>
  <c r="F6619"/>
  <c r="F6617"/>
  <c r="F6615"/>
  <c r="F6613"/>
  <c r="F6611"/>
  <c r="F6609"/>
  <c r="F6607"/>
  <c r="F6605"/>
  <c r="F6603"/>
  <c r="F6601"/>
  <c r="F6599"/>
  <c r="F6597"/>
  <c r="F6595"/>
  <c r="F6593"/>
  <c r="F6591"/>
  <c r="F6589"/>
  <c r="F6587"/>
  <c r="F6585"/>
  <c r="F6583"/>
  <c r="F6581"/>
  <c r="F6579"/>
  <c r="F6577"/>
  <c r="F6575"/>
  <c r="F6573"/>
  <c r="F6571"/>
  <c r="F6569"/>
  <c r="F6567"/>
  <c r="F6565"/>
  <c r="F6563"/>
  <c r="F6561"/>
  <c r="F6559"/>
  <c r="F6557"/>
  <c r="F6555"/>
  <c r="F6553"/>
  <c r="F6551"/>
  <c r="F6549"/>
  <c r="F6547"/>
  <c r="F6545"/>
  <c r="F6543"/>
  <c r="F6541"/>
  <c r="F6539"/>
  <c r="F6537"/>
  <c r="F6535"/>
  <c r="F6533"/>
  <c r="F6531"/>
  <c r="F6529"/>
  <c r="F6527"/>
  <c r="F6525"/>
  <c r="F6523"/>
  <c r="F6521"/>
  <c r="F6519"/>
  <c r="F6517"/>
  <c r="F6515"/>
  <c r="F6513"/>
  <c r="F6511"/>
  <c r="F6509"/>
  <c r="F6507"/>
  <c r="F6505"/>
  <c r="F6503"/>
  <c r="F6501"/>
  <c r="F6499"/>
  <c r="F6497"/>
  <c r="F6495"/>
  <c r="F6493"/>
  <c r="F6491"/>
  <c r="F6489"/>
  <c r="F6487"/>
  <c r="F6485"/>
  <c r="F6483"/>
  <c r="F6481"/>
  <c r="F6479"/>
  <c r="F6477"/>
  <c r="F6475"/>
  <c r="F6473"/>
  <c r="F6471"/>
  <c r="F6469"/>
  <c r="F6467"/>
  <c r="F6465"/>
  <c r="F6463"/>
  <c r="F6461"/>
  <c r="F6459"/>
  <c r="F6457"/>
  <c r="F6455"/>
  <c r="F6453"/>
  <c r="F6451"/>
  <c r="F6449"/>
  <c r="F6447"/>
  <c r="F6445"/>
  <c r="F6443"/>
  <c r="F6441"/>
  <c r="F6439"/>
  <c r="F6437"/>
  <c r="F6435"/>
  <c r="F6433"/>
  <c r="F6431"/>
  <c r="F6429"/>
  <c r="F6427"/>
  <c r="F6425"/>
  <c r="F6423"/>
  <c r="F6421"/>
  <c r="F6419"/>
  <c r="F6417"/>
  <c r="F6415"/>
  <c r="F6413"/>
  <c r="F6411"/>
  <c r="F6409"/>
  <c r="F6407"/>
  <c r="F6405"/>
  <c r="F6403"/>
  <c r="F6401"/>
  <c r="F6399"/>
  <c r="F6397"/>
  <c r="F6395"/>
  <c r="F6393"/>
  <c r="F6391"/>
  <c r="F6389"/>
  <c r="F6387"/>
  <c r="F6385"/>
  <c r="F6383"/>
  <c r="F6381"/>
  <c r="F6379"/>
  <c r="F6377"/>
  <c r="F6375"/>
  <c r="F6373"/>
  <c r="F6371"/>
  <c r="F6369"/>
  <c r="F6367"/>
  <c r="F6365"/>
  <c r="F6363"/>
  <c r="F6361"/>
  <c r="F6359"/>
  <c r="F6357"/>
  <c r="F6355"/>
  <c r="F6353"/>
  <c r="F6351"/>
  <c r="F6349"/>
  <c r="F6347"/>
  <c r="F6345"/>
  <c r="F6343"/>
  <c r="F6341"/>
  <c r="F6339"/>
  <c r="F6337"/>
  <c r="F6335"/>
  <c r="F6333"/>
  <c r="F6331"/>
  <c r="F6329"/>
  <c r="F6327"/>
  <c r="F6325"/>
  <c r="F6323"/>
  <c r="F6321"/>
  <c r="F6319"/>
  <c r="F6317"/>
  <c r="F6315"/>
  <c r="F6313"/>
  <c r="F6311"/>
  <c r="F6309"/>
  <c r="F6307"/>
  <c r="F6305"/>
  <c r="F6303"/>
  <c r="F6301"/>
  <c r="F6299"/>
  <c r="F6297"/>
  <c r="F6295"/>
  <c r="F6293"/>
  <c r="F6291"/>
  <c r="F6289"/>
  <c r="F6287"/>
  <c r="F6285"/>
  <c r="F6283"/>
  <c r="F6281"/>
  <c r="F6279"/>
  <c r="F6277"/>
  <c r="F6275"/>
  <c r="F6273"/>
  <c r="F6271"/>
  <c r="F6269"/>
  <c r="F6267"/>
  <c r="F6265"/>
  <c r="F6263"/>
  <c r="F6261"/>
  <c r="F6259"/>
  <c r="F6257"/>
  <c r="F6255"/>
  <c r="F6253"/>
  <c r="F6251"/>
  <c r="F6249"/>
  <c r="F6247"/>
  <c r="F6245"/>
  <c r="F6243"/>
  <c r="F6241"/>
  <c r="F6239"/>
  <c r="F6237"/>
  <c r="F6235"/>
  <c r="F6233"/>
  <c r="F6231"/>
  <c r="F6229"/>
  <c r="F6227"/>
  <c r="F6225"/>
  <c r="F6223"/>
  <c r="F6221"/>
  <c r="F6219"/>
  <c r="F6217"/>
  <c r="F6215"/>
  <c r="F6213"/>
  <c r="F6211"/>
  <c r="F6209"/>
  <c r="F6207"/>
  <c r="F6205"/>
  <c r="F6203"/>
  <c r="F6201"/>
  <c r="F6199"/>
  <c r="F6197"/>
  <c r="F6195"/>
  <c r="F6193"/>
  <c r="F6191"/>
  <c r="F6189"/>
  <c r="F6187"/>
  <c r="F6185"/>
  <c r="F6183"/>
  <c r="F6181"/>
  <c r="F6179"/>
  <c r="F6177"/>
  <c r="F6175"/>
  <c r="F6173"/>
  <c r="F6171"/>
  <c r="F6169"/>
  <c r="F6167"/>
  <c r="F6165"/>
  <c r="F6163"/>
  <c r="F6161"/>
  <c r="F6159"/>
  <c r="F6157"/>
  <c r="F6155"/>
  <c r="F6153"/>
  <c r="F6151"/>
  <c r="F6149"/>
  <c r="F6147"/>
  <c r="F6145"/>
  <c r="F6143"/>
  <c r="F6141"/>
  <c r="F6139"/>
  <c r="F6137"/>
  <c r="F6135"/>
  <c r="F6133"/>
  <c r="F6131"/>
  <c r="F6129"/>
  <c r="F6127"/>
  <c r="F6125"/>
  <c r="F6123"/>
  <c r="F6121"/>
  <c r="F6119"/>
  <c r="F6117"/>
  <c r="F6115"/>
  <c r="F6113"/>
  <c r="F6111"/>
  <c r="F6109"/>
  <c r="F6107"/>
  <c r="F6105"/>
  <c r="F6103"/>
  <c r="F6101"/>
  <c r="F6099"/>
  <c r="F6097"/>
  <c r="F6095"/>
  <c r="F6093"/>
  <c r="F6091"/>
  <c r="F6089"/>
  <c r="F6087"/>
  <c r="F6085"/>
  <c r="F6083"/>
  <c r="F6081"/>
  <c r="F6079"/>
  <c r="F6077"/>
  <c r="F6075"/>
  <c r="F6073"/>
  <c r="F6071"/>
  <c r="F6069"/>
  <c r="F6067"/>
  <c r="F6065"/>
  <c r="F6063"/>
  <c r="F6061"/>
  <c r="F6059"/>
  <c r="F6057"/>
  <c r="F6055"/>
  <c r="F6053"/>
  <c r="F6051"/>
  <c r="F6049"/>
  <c r="F6047"/>
  <c r="F6045"/>
  <c r="F6043"/>
  <c r="F6041"/>
  <c r="F6039"/>
  <c r="F6037"/>
  <c r="F6035"/>
  <c r="F6033"/>
  <c r="F6031"/>
  <c r="F6029"/>
  <c r="F6027"/>
  <c r="F6025"/>
  <c r="F6023"/>
  <c r="F6021"/>
  <c r="F6019"/>
  <c r="F6017"/>
  <c r="F4149"/>
  <c r="F4147"/>
  <c r="F4133"/>
  <c r="F4131"/>
  <c r="F4117"/>
  <c r="F4115"/>
  <c r="F4101"/>
  <c r="F4099"/>
  <c r="F4085"/>
  <c r="F4083"/>
  <c r="F4069"/>
  <c r="F4067"/>
  <c r="F4053"/>
  <c r="F4051"/>
  <c r="F4037"/>
  <c r="F4035"/>
  <c r="F4021"/>
  <c r="F4019"/>
  <c r="F4005"/>
  <c r="F4003"/>
  <c r="F3989"/>
  <c r="F3987"/>
  <c r="F3973"/>
  <c r="F3971"/>
  <c r="F3957"/>
  <c r="F3955"/>
  <c r="F3941"/>
  <c r="F3939"/>
  <c r="F3925"/>
  <c r="F3923"/>
  <c r="F3909"/>
  <c r="F3907"/>
  <c r="F3893"/>
  <c r="F3891"/>
  <c r="F3877"/>
  <c r="F3875"/>
  <c r="F3861"/>
  <c r="F3859"/>
  <c r="F3845"/>
  <c r="F3843"/>
  <c r="F3829"/>
  <c r="F3827"/>
  <c r="F3813"/>
  <c r="F3811"/>
  <c r="F3797"/>
  <c r="F3795"/>
  <c r="F4151"/>
  <c r="F4137"/>
  <c r="F4135"/>
  <c r="F4121"/>
  <c r="F4119"/>
  <c r="F4105"/>
  <c r="F4103"/>
  <c r="F4089"/>
  <c r="F4087"/>
  <c r="F4073"/>
  <c r="F4071"/>
  <c r="F4057"/>
  <c r="F4055"/>
  <c r="F4041"/>
  <c r="F4039"/>
  <c r="F4025"/>
  <c r="F4023"/>
  <c r="F4009"/>
  <c r="F4007"/>
  <c r="F3993"/>
  <c r="F3991"/>
  <c r="F3977"/>
  <c r="F3975"/>
  <c r="F3961"/>
  <c r="F3959"/>
  <c r="F3945"/>
  <c r="F3943"/>
  <c r="F3929"/>
  <c r="F3927"/>
  <c r="F3913"/>
  <c r="F3911"/>
  <c r="F3897"/>
  <c r="F3895"/>
  <c r="F3881"/>
  <c r="F3879"/>
  <c r="F3865"/>
  <c r="F3863"/>
  <c r="F3849"/>
  <c r="F3847"/>
  <c r="F3833"/>
  <c r="F3831"/>
  <c r="F3817"/>
  <c r="F3815"/>
  <c r="F3801"/>
  <c r="F3799"/>
  <c r="F4141"/>
  <c r="F4139"/>
  <c r="F4125"/>
  <c r="F4123"/>
  <c r="F4109"/>
  <c r="F4107"/>
  <c r="F4093"/>
  <c r="F4091"/>
  <c r="F4077"/>
  <c r="F4075"/>
  <c r="F4061"/>
  <c r="F4059"/>
  <c r="F4045"/>
  <c r="F4043"/>
  <c r="F4029"/>
  <c r="F4027"/>
  <c r="F4013"/>
  <c r="F4011"/>
  <c r="F3997"/>
  <c r="F3995"/>
  <c r="F3981"/>
  <c r="F3979"/>
  <c r="F3965"/>
  <c r="F3963"/>
  <c r="F3949"/>
  <c r="F3947"/>
  <c r="F3933"/>
  <c r="F3931"/>
  <c r="F3917"/>
  <c r="F3915"/>
  <c r="F3901"/>
  <c r="F3899"/>
  <c r="F3885"/>
  <c r="F3883"/>
  <c r="F3869"/>
  <c r="F3867"/>
  <c r="F3853"/>
  <c r="F3851"/>
  <c r="F3837"/>
  <c r="F3835"/>
  <c r="F3819"/>
  <c r="F3805"/>
  <c r="F4145"/>
  <c r="F4143"/>
  <c r="F4129"/>
  <c r="F4127"/>
  <c r="F4113"/>
  <c r="F4111"/>
  <c r="F4097"/>
  <c r="F4095"/>
  <c r="F4081"/>
  <c r="F4079"/>
  <c r="F4065"/>
  <c r="F4063"/>
  <c r="F4049"/>
  <c r="F4047"/>
  <c r="F4033"/>
  <c r="F4031"/>
  <c r="F4017"/>
  <c r="F4015"/>
  <c r="F4001"/>
  <c r="F3999"/>
  <c r="F3985"/>
  <c r="F3983"/>
  <c r="F3969"/>
  <c r="F3967"/>
  <c r="F3953"/>
  <c r="F3951"/>
  <c r="F3937"/>
  <c r="F3935"/>
  <c r="F3921"/>
  <c r="F3919"/>
  <c r="F3905"/>
  <c r="F3903"/>
  <c r="F3889"/>
  <c r="F3887"/>
  <c r="F3873"/>
  <c r="F3871"/>
  <c r="F3857"/>
  <c r="F3855"/>
  <c r="F3841"/>
  <c r="F3839"/>
  <c r="F3807"/>
  <c r="F3793"/>
  <c r="F3791"/>
  <c r="F3060"/>
  <c r="F2996"/>
  <c r="F2932"/>
  <c r="F2868"/>
  <c r="F3171"/>
  <c r="F3169"/>
  <c r="F3167"/>
  <c r="F3165"/>
  <c r="F3163"/>
  <c r="F3161"/>
  <c r="F3159"/>
  <c r="F3157"/>
  <c r="F3155"/>
  <c r="F3153"/>
  <c r="F3151"/>
  <c r="F3149"/>
  <c r="F3147"/>
  <c r="F3145"/>
  <c r="F3143"/>
  <c r="F3141"/>
  <c r="F3139"/>
  <c r="F3137"/>
  <c r="F3135"/>
  <c r="F3133"/>
  <c r="F3131"/>
  <c r="F3129"/>
  <c r="F3127"/>
  <c r="F3125"/>
  <c r="F3123"/>
  <c r="F3121"/>
  <c r="F3119"/>
  <c r="F3117"/>
  <c r="F3115"/>
  <c r="F3113"/>
  <c r="F3111"/>
  <c r="F3109"/>
  <c r="F3107"/>
  <c r="F3105"/>
  <c r="F3103"/>
  <c r="F3101"/>
  <c r="F3099"/>
  <c r="F3097"/>
  <c r="F3093"/>
  <c r="F3091"/>
  <c r="F3089"/>
  <c r="F3085"/>
  <c r="F3083"/>
  <c r="F3081"/>
  <c r="F3077"/>
  <c r="F3073"/>
  <c r="F3069"/>
  <c r="F3065"/>
  <c r="F3061"/>
  <c r="F3057"/>
  <c r="F3053"/>
  <c r="F3049"/>
  <c r="F3045"/>
  <c r="F3041"/>
  <c r="F3037"/>
  <c r="F3033"/>
  <c r="F3029"/>
  <c r="F3025"/>
  <c r="F3021"/>
  <c r="F3017"/>
  <c r="F3013"/>
  <c r="F3009"/>
  <c r="F3005"/>
  <c r="F3001"/>
  <c r="F2997"/>
  <c r="F2993"/>
  <c r="F2989"/>
  <c r="F2985"/>
  <c r="F2981"/>
  <c r="F2977"/>
  <c r="F2973"/>
  <c r="F2969"/>
  <c r="F2965"/>
  <c r="F2961"/>
  <c r="F2957"/>
  <c r="F2953"/>
  <c r="F2949"/>
  <c r="F2945"/>
  <c r="F2941"/>
  <c r="F2937"/>
  <c r="F2933"/>
  <c r="F2929"/>
  <c r="F2925"/>
  <c r="F2921"/>
  <c r="F2917"/>
  <c r="F2913"/>
  <c r="F2909"/>
  <c r="F2905"/>
  <c r="F2901"/>
  <c r="F2897"/>
  <c r="F2893"/>
  <c r="F2889"/>
  <c r="F2885"/>
  <c r="F2881"/>
  <c r="F2877"/>
  <c r="F2873"/>
  <c r="F2869"/>
  <c r="F2865"/>
  <c r="F2861"/>
  <c r="F2857"/>
  <c r="F2853"/>
  <c r="F2849"/>
  <c r="F2845"/>
  <c r="F2841"/>
  <c r="F2837"/>
  <c r="F2833"/>
  <c r="F2829"/>
  <c r="F2825"/>
  <c r="F2821"/>
  <c r="F2817"/>
  <c r="F2813"/>
  <c r="F2809"/>
  <c r="F3082"/>
  <c r="F3078"/>
  <c r="F3074"/>
  <c r="F3070"/>
  <c r="F3066"/>
  <c r="F3062"/>
  <c r="F3058"/>
  <c r="F3054"/>
  <c r="F3050"/>
  <c r="F3046"/>
  <c r="F3042"/>
  <c r="F3038"/>
  <c r="F3034"/>
  <c r="F3030"/>
  <c r="F3026"/>
  <c r="F3022"/>
  <c r="F3018"/>
  <c r="F3014"/>
  <c r="F3010"/>
  <c r="F3006"/>
  <c r="F3002"/>
  <c r="F2998"/>
  <c r="F2994"/>
  <c r="F2990"/>
  <c r="F2986"/>
  <c r="F2982"/>
  <c r="F2978"/>
  <c r="F2974"/>
  <c r="F2970"/>
  <c r="F2966"/>
  <c r="F2962"/>
  <c r="F2958"/>
  <c r="F2954"/>
  <c r="F2950"/>
  <c r="F2946"/>
  <c r="F2942"/>
  <c r="F2938"/>
  <c r="F2934"/>
  <c r="F2930"/>
  <c r="F2926"/>
  <c r="F2922"/>
  <c r="F2918"/>
  <c r="F2914"/>
  <c r="F2910"/>
  <c r="F2906"/>
  <c r="F2902"/>
  <c r="F2898"/>
  <c r="F2894"/>
  <c r="F2890"/>
  <c r="F2886"/>
  <c r="F2882"/>
  <c r="F2878"/>
  <c r="F2874"/>
  <c r="F2870"/>
  <c r="F2866"/>
  <c r="F2862"/>
  <c r="F2858"/>
  <c r="F2854"/>
  <c r="F2850"/>
  <c r="F2846"/>
  <c r="F2842"/>
  <c r="F2838"/>
  <c r="F2834"/>
  <c r="F2830"/>
  <c r="F2826"/>
  <c r="F2822"/>
  <c r="F2818"/>
  <c r="F2814"/>
  <c r="F2810"/>
  <c r="F2806"/>
  <c r="F3170"/>
  <c r="F3166"/>
  <c r="F3162"/>
  <c r="F3158"/>
  <c r="F3154"/>
  <c r="F3150"/>
  <c r="F3146"/>
  <c r="F3144"/>
  <c r="F3142"/>
  <c r="F3138"/>
  <c r="F3134"/>
  <c r="F3130"/>
  <c r="F3126"/>
  <c r="F3122"/>
  <c r="F3118"/>
  <c r="F3114"/>
  <c r="F3112"/>
  <c r="F3110"/>
  <c r="F3106"/>
  <c r="F3102"/>
  <c r="F3098"/>
  <c r="F3094"/>
  <c r="F3090"/>
  <c r="F3086"/>
  <c r="F3079"/>
  <c r="F3075"/>
  <c r="F3071"/>
  <c r="F3067"/>
  <c r="F3063"/>
  <c r="F3059"/>
  <c r="F3055"/>
  <c r="F3051"/>
  <c r="F3047"/>
  <c r="F3043"/>
  <c r="F3039"/>
  <c r="F3035"/>
  <c r="F3031"/>
  <c r="F3027"/>
  <c r="F3023"/>
  <c r="F3019"/>
  <c r="F3015"/>
  <c r="F3011"/>
  <c r="F3007"/>
  <c r="F3003"/>
  <c r="F2999"/>
  <c r="F2995"/>
  <c r="F2991"/>
  <c r="F2987"/>
  <c r="F2983"/>
  <c r="F2979"/>
  <c r="F2975"/>
  <c r="F2971"/>
  <c r="F2967"/>
  <c r="F2963"/>
  <c r="F2959"/>
  <c r="F2955"/>
  <c r="F2951"/>
  <c r="F2947"/>
  <c r="F2943"/>
  <c r="F2939"/>
  <c r="F2935"/>
  <c r="F2931"/>
  <c r="F2927"/>
  <c r="F2923"/>
  <c r="F2919"/>
  <c r="F2915"/>
  <c r="F2911"/>
  <c r="F2907"/>
  <c r="F2903"/>
  <c r="F2899"/>
  <c r="F2895"/>
  <c r="F2891"/>
  <c r="F2887"/>
  <c r="F2883"/>
  <c r="F2879"/>
  <c r="F2875"/>
  <c r="F2871"/>
  <c r="F2867"/>
  <c r="F2863"/>
  <c r="F2859"/>
  <c r="F2855"/>
  <c r="F2851"/>
  <c r="F2847"/>
  <c r="F2843"/>
  <c r="F2839"/>
  <c r="F2835"/>
  <c r="F2831"/>
  <c r="F2827"/>
  <c r="F2823"/>
  <c r="F2819"/>
  <c r="F2815"/>
  <c r="F2811"/>
  <c r="F2807"/>
  <c r="F2103"/>
  <c r="F2039"/>
  <c r="F1975"/>
  <c r="F1911"/>
  <c r="F2805"/>
  <c r="F2803"/>
  <c r="F2802"/>
  <c r="F2801"/>
  <c r="F2799"/>
  <c r="F2798"/>
  <c r="F2797"/>
  <c r="F2795"/>
  <c r="F2794"/>
  <c r="F2793"/>
  <c r="F2791"/>
  <c r="F2790"/>
  <c r="F2789"/>
  <c r="F2787"/>
  <c r="F2786"/>
  <c r="F2785"/>
  <c r="F2783"/>
  <c r="F2782"/>
  <c r="F2781"/>
  <c r="F2779"/>
  <c r="F2778"/>
  <c r="F2777"/>
  <c r="F2775"/>
  <c r="F2774"/>
  <c r="F2773"/>
  <c r="F2771"/>
  <c r="F2770"/>
  <c r="F2769"/>
  <c r="F2767"/>
  <c r="F2766"/>
  <c r="F2765"/>
  <c r="F2763"/>
  <c r="F2762"/>
  <c r="F2761"/>
  <c r="F2759"/>
  <c r="F2758"/>
  <c r="F2757"/>
  <c r="F2755"/>
  <c r="F2754"/>
  <c r="F2753"/>
  <c r="F2751"/>
  <c r="F2750"/>
  <c r="F2749"/>
  <c r="F2747"/>
  <c r="F2746"/>
  <c r="F2745"/>
  <c r="F2743"/>
  <c r="F2742"/>
  <c r="F2741"/>
  <c r="F2739"/>
  <c r="F2738"/>
  <c r="F2737"/>
  <c r="F2735"/>
  <c r="F2734"/>
  <c r="F2733"/>
  <c r="F2731"/>
  <c r="F2730"/>
  <c r="F2729"/>
  <c r="F2727"/>
  <c r="F2726"/>
  <c r="F2725"/>
  <c r="F2723"/>
  <c r="F2722"/>
  <c r="F2721"/>
  <c r="F2719"/>
  <c r="F2718"/>
  <c r="F2717"/>
  <c r="F2715"/>
  <c r="F2714"/>
  <c r="F2713"/>
  <c r="F2711"/>
  <c r="F2710"/>
  <c r="F2709"/>
  <c r="F2707"/>
  <c r="F2706"/>
  <c r="F2705"/>
  <c r="F2703"/>
  <c r="F2702"/>
  <c r="F2701"/>
  <c r="F2699"/>
  <c r="F2698"/>
  <c r="F2697"/>
  <c r="F2695"/>
  <c r="F2694"/>
  <c r="F2693"/>
  <c r="F2691"/>
  <c r="F2690"/>
  <c r="F2689"/>
  <c r="F2687"/>
  <c r="F2686"/>
  <c r="F2685"/>
  <c r="F2683"/>
  <c r="F2682"/>
  <c r="F2681"/>
  <c r="F2679"/>
  <c r="F2678"/>
  <c r="F2204"/>
  <c r="F2124"/>
  <c r="F2056"/>
  <c r="F1988"/>
  <c r="F1956"/>
  <c r="F1924"/>
  <c r="F1892"/>
  <c r="F2668"/>
  <c r="F2666"/>
  <c r="F2662"/>
  <c r="F2660"/>
  <c r="F2658"/>
  <c r="F2654"/>
  <c r="F2652"/>
  <c r="F2650"/>
  <c r="F2646"/>
  <c r="F2644"/>
  <c r="F2638"/>
  <c r="F2189"/>
  <c r="F2173"/>
  <c r="F2157"/>
  <c r="F2141"/>
  <c r="F2125"/>
  <c r="F2109"/>
  <c r="F2093"/>
  <c r="F2077"/>
  <c r="F2061"/>
  <c r="F2045"/>
  <c r="F2029"/>
  <c r="F1997"/>
  <c r="F1981"/>
  <c r="F1965"/>
  <c r="F1949"/>
  <c r="F1933"/>
  <c r="F1917"/>
  <c r="F1901"/>
  <c r="F1885"/>
  <c r="F1869"/>
  <c r="F2202"/>
  <c r="F2198"/>
  <c r="F2190"/>
  <c r="F2186"/>
  <c r="F2182"/>
  <c r="F2178"/>
  <c r="F2174"/>
  <c r="F2170"/>
  <c r="F2166"/>
  <c r="F2162"/>
  <c r="F2158"/>
  <c r="F2154"/>
  <c r="F2150"/>
  <c r="F2138"/>
  <c r="F2134"/>
  <c r="F2130"/>
  <c r="F2126"/>
  <c r="F2122"/>
  <c r="F2118"/>
  <c r="F2114"/>
  <c r="F2110"/>
  <c r="F2106"/>
  <c r="F2102"/>
  <c r="F2098"/>
  <c r="F2094"/>
  <c r="F2090"/>
  <c r="F2086"/>
  <c r="F2082"/>
  <c r="F2078"/>
  <c r="F2070"/>
  <c r="F2066"/>
  <c r="F2058"/>
  <c r="F2054"/>
  <c r="F2050"/>
  <c r="F2046"/>
  <c r="F2042"/>
  <c r="F2038"/>
  <c r="F2034"/>
  <c r="F2030"/>
  <c r="F2022"/>
  <c r="F2018"/>
  <c r="F2014"/>
  <c r="F2010"/>
  <c r="F2006"/>
  <c r="F2002"/>
  <c r="F1998"/>
  <c r="F1994"/>
  <c r="F1990"/>
  <c r="F1986"/>
  <c r="F1982"/>
  <c r="F1978"/>
  <c r="F1974"/>
  <c r="F1970"/>
  <c r="F1966"/>
  <c r="F1962"/>
  <c r="F1958"/>
  <c r="F1954"/>
  <c r="F1950"/>
  <c r="F1946"/>
  <c r="F1942"/>
  <c r="F1938"/>
  <c r="F1934"/>
  <c r="F1930"/>
  <c r="F1926"/>
  <c r="F1922"/>
  <c r="F1918"/>
  <c r="F1914"/>
  <c r="F1910"/>
  <c r="F1906"/>
  <c r="F1902"/>
  <c r="F1898"/>
  <c r="F1894"/>
  <c r="F1890"/>
  <c r="F1886"/>
  <c r="F1882"/>
  <c r="F1878"/>
  <c r="F1874"/>
  <c r="F1870"/>
  <c r="F1866"/>
  <c r="F1862"/>
  <c r="F2667"/>
  <c r="F2665"/>
  <c r="F2663"/>
  <c r="F2661"/>
  <c r="F2659"/>
  <c r="F2657"/>
  <c r="F2655"/>
  <c r="F2653"/>
  <c r="F1621"/>
  <c r="F1617"/>
  <c r="F1613"/>
  <c r="F1609"/>
  <c r="F1605"/>
  <c r="F1601"/>
  <c r="F1597"/>
  <c r="F1593"/>
  <c r="F1589"/>
  <c r="F1585"/>
  <c r="F1581"/>
  <c r="F1577"/>
  <c r="F1573"/>
  <c r="F1569"/>
  <c r="F1565"/>
  <c r="F1561"/>
  <c r="F1557"/>
  <c r="F1553"/>
  <c r="F1549"/>
  <c r="F1545"/>
  <c r="F1541"/>
  <c r="F1537"/>
  <c r="F1533"/>
  <c r="F1529"/>
  <c r="F1525"/>
  <c r="F1521"/>
  <c r="F1517"/>
  <c r="F1513"/>
  <c r="F1509"/>
  <c r="F1505"/>
  <c r="F1501"/>
  <c r="F1497"/>
  <c r="F1493"/>
  <c r="F1489"/>
  <c r="F1485"/>
  <c r="F1481"/>
  <c r="F1477"/>
  <c r="F1473"/>
  <c r="F1469"/>
  <c r="F1465"/>
  <c r="F1461"/>
  <c r="F1457"/>
  <c r="F1453"/>
  <c r="F1449"/>
  <c r="F1445"/>
  <c r="F1441"/>
  <c r="F1437"/>
  <c r="F1433"/>
  <c r="F1689"/>
  <c r="F1687"/>
  <c r="F1685"/>
  <c r="F1683"/>
  <c r="F1681"/>
  <c r="F1679"/>
  <c r="F1677"/>
  <c r="F1675"/>
  <c r="F1673"/>
  <c r="F1671"/>
  <c r="F1669"/>
  <c r="F1667"/>
  <c r="F1665"/>
  <c r="F1663"/>
  <c r="F1661"/>
  <c r="F1659"/>
  <c r="F1657"/>
  <c r="F1655"/>
  <c r="F1653"/>
  <c r="F1651"/>
  <c r="F1649"/>
  <c r="F1647"/>
  <c r="F1645"/>
  <c r="F1643"/>
  <c r="F1641"/>
  <c r="F1639"/>
  <c r="F1637"/>
  <c r="F1635"/>
  <c r="F1633"/>
  <c r="F1631"/>
  <c r="F1629"/>
  <c r="F1627"/>
  <c r="F1625"/>
  <c r="F1623"/>
  <c r="F1602"/>
  <c r="F1586"/>
  <c r="F1570"/>
  <c r="F1554"/>
  <c r="F1538"/>
  <c r="F1522"/>
  <c r="F1506"/>
  <c r="F1490"/>
  <c r="F1474"/>
  <c r="F1458"/>
  <c r="F1442"/>
  <c r="F1619"/>
  <c r="F1615"/>
  <c r="F1611"/>
  <c r="F1607"/>
  <c r="F1603"/>
  <c r="F1599"/>
  <c r="F1595"/>
  <c r="F1591"/>
  <c r="F1587"/>
  <c r="F1583"/>
  <c r="F1579"/>
  <c r="F1575"/>
  <c r="F1571"/>
  <c r="F1567"/>
  <c r="F1563"/>
  <c r="F1559"/>
  <c r="F1555"/>
  <c r="F1551"/>
  <c r="F1547"/>
  <c r="F1543"/>
  <c r="F1539"/>
  <c r="F1535"/>
  <c r="F1531"/>
  <c r="F1527"/>
  <c r="F1523"/>
  <c r="F1519"/>
  <c r="F1515"/>
  <c r="F1511"/>
  <c r="F1507"/>
  <c r="F1503"/>
  <c r="F1499"/>
  <c r="F1495"/>
  <c r="F1491"/>
  <c r="F1487"/>
  <c r="F1483"/>
  <c r="F1479"/>
  <c r="F1475"/>
  <c r="F1471"/>
  <c r="F1467"/>
  <c r="F1463"/>
  <c r="F1459"/>
  <c r="F1455"/>
  <c r="F1451"/>
  <c r="F1447"/>
  <c r="F1443"/>
  <c r="F1439"/>
  <c r="F1435"/>
  <c r="F1690"/>
  <c r="F1686"/>
  <c r="F1682"/>
  <c r="F1678"/>
  <c r="F1674"/>
  <c r="F1670"/>
  <c r="F1666"/>
  <c r="F1662"/>
  <c r="F1658"/>
  <c r="F1654"/>
  <c r="F1650"/>
  <c r="F1646"/>
  <c r="F1642"/>
  <c r="F1638"/>
  <c r="F1634"/>
  <c r="F1630"/>
  <c r="F1626"/>
  <c r="F1622"/>
  <c r="F1516"/>
  <c r="F1468"/>
  <c r="T1078"/>
  <c r="U1078"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D305" s="1"/>
  <c r="F305" s="1"/>
  <c r="F140"/>
  <c r="F163"/>
  <c r="E187"/>
  <c r="E188"/>
  <c r="D194"/>
  <c r="D195"/>
  <c r="D196"/>
  <c r="D198"/>
  <c r="G198"/>
  <c r="D199"/>
  <c r="A199" s="1"/>
  <c r="D200"/>
  <c r="A200" s="1"/>
  <c r="G200" s="1"/>
  <c r="G201"/>
  <c r="D203"/>
  <c r="D204"/>
  <c r="D205" s="1"/>
  <c r="A203" s="1"/>
  <c r="G203" s="1"/>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A343" s="1"/>
  <c r="G343" s="1"/>
  <c r="G336"/>
  <c r="G338"/>
  <c r="G342"/>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A547" s="1"/>
  <c r="E540"/>
  <c r="A548" s="1"/>
  <c r="F540"/>
  <c r="E542"/>
  <c r="E543" s="1"/>
  <c r="A549" s="1"/>
  <c r="D548"/>
  <c r="G558"/>
  <c r="E567"/>
  <c r="E568"/>
  <c r="E573"/>
  <c r="A584" s="1"/>
  <c r="E576"/>
  <c r="A585" s="1"/>
  <c r="F585" s="1"/>
  <c r="F576"/>
  <c r="E578"/>
  <c r="E579" s="1"/>
  <c r="A586" s="1"/>
  <c r="E602"/>
  <c r="E603"/>
  <c r="E608"/>
  <c r="A619" s="1"/>
  <c r="E611"/>
  <c r="A620" s="1"/>
  <c r="F611"/>
  <c r="E613"/>
  <c r="E614" s="1"/>
  <c r="A621" s="1"/>
  <c r="E638"/>
  <c r="E639"/>
  <c r="E644"/>
  <c r="A655" s="1"/>
  <c r="E647"/>
  <c r="A656" s="1"/>
  <c r="F647"/>
  <c r="E649"/>
  <c r="E650" s="1"/>
  <c r="A657" s="1"/>
  <c r="E674"/>
  <c r="E675"/>
  <c r="E680"/>
  <c r="A691" s="1"/>
  <c r="E683"/>
  <c r="A692" s="1"/>
  <c r="F683"/>
  <c r="E685"/>
  <c r="E686" s="1"/>
  <c r="A693" s="1"/>
  <c r="D845"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638" s="1"/>
  <c r="K1638" s="1"/>
  <c r="P11"/>
  <c r="R11" s="1"/>
  <c r="X11"/>
  <c r="X12" s="1"/>
  <c r="X13" s="1"/>
  <c r="X14" s="1"/>
  <c r="X15" s="1"/>
  <c r="AK11"/>
  <c r="C12"/>
  <c r="W12"/>
  <c r="W36" s="1"/>
  <c r="AK12"/>
  <c r="C13"/>
  <c r="I274" s="1"/>
  <c r="K274" s="1"/>
  <c r="W13"/>
  <c r="W37" s="1"/>
  <c r="AK13"/>
  <c r="C14"/>
  <c r="I1479" s="1"/>
  <c r="K1479" s="1"/>
  <c r="D14"/>
  <c r="W14"/>
  <c r="AK14"/>
  <c r="C15"/>
  <c r="I1976" s="1"/>
  <c r="K1976" s="1"/>
  <c r="W15"/>
  <c r="AK15"/>
  <c r="C16"/>
  <c r="I2371" s="1"/>
  <c r="D16"/>
  <c r="X16"/>
  <c r="X17" s="1"/>
  <c r="Z16"/>
  <c r="AC16" s="1"/>
  <c r="I2683" s="1"/>
  <c r="K2683" s="1"/>
  <c r="AK16"/>
  <c r="C17"/>
  <c r="D17"/>
  <c r="AK17"/>
  <c r="C18"/>
  <c r="I65" s="1"/>
  <c r="K65" s="1"/>
  <c r="X18"/>
  <c r="X34" s="1"/>
  <c r="Z18"/>
  <c r="AC18" s="1"/>
  <c r="C80" s="1"/>
  <c r="AK18"/>
  <c r="W19"/>
  <c r="X19"/>
  <c r="X20" s="1"/>
  <c r="Z19"/>
  <c r="Z20"/>
  <c r="AC20" s="1"/>
  <c r="C82" s="1"/>
  <c r="I1253" s="1"/>
  <c r="K1253" s="1"/>
  <c r="K1260" s="1"/>
  <c r="K1262" s="1"/>
  <c r="I1909" s="1"/>
  <c r="K1909" s="1"/>
  <c r="AK19"/>
  <c r="W20"/>
  <c r="AK20"/>
  <c r="X21"/>
  <c r="AC21"/>
  <c r="C83" s="1"/>
  <c r="I1285" s="1"/>
  <c r="K1285" s="1"/>
  <c r="AK21"/>
  <c r="AC22"/>
  <c r="C84"/>
  <c r="P375" s="1"/>
  <c r="R375" s="1"/>
  <c r="AK22"/>
  <c r="X23"/>
  <c r="Z23"/>
  <c r="AC23"/>
  <c r="C85" s="1"/>
  <c r="I1254" s="1"/>
  <c r="K1254" s="1"/>
  <c r="AK23"/>
  <c r="AC24"/>
  <c r="C86" s="1"/>
  <c r="I2165" s="1"/>
  <c r="K2165" s="1"/>
  <c r="AK24"/>
  <c r="C25"/>
  <c r="I783" s="1"/>
  <c r="K783" s="1"/>
  <c r="AC25"/>
  <c r="C87" s="1"/>
  <c r="I2166" s="1"/>
  <c r="K2166" s="1"/>
  <c r="AK25"/>
  <c r="C26"/>
  <c r="I167" s="1"/>
  <c r="AC26"/>
  <c r="C88" s="1"/>
  <c r="I1083" s="1"/>
  <c r="K1083" s="1"/>
  <c r="AK26"/>
  <c r="C27"/>
  <c r="I1688" s="1"/>
  <c r="K1688" s="1"/>
  <c r="AC27"/>
  <c r="C89" s="1"/>
  <c r="I1084" s="1"/>
  <c r="AK27"/>
  <c r="AC28"/>
  <c r="C90" s="1"/>
  <c r="AK28"/>
  <c r="C29"/>
  <c r="I1184" s="1"/>
  <c r="K1184" s="1"/>
  <c r="W29"/>
  <c r="AK29"/>
  <c r="C30"/>
  <c r="I880" s="1"/>
  <c r="K880" s="1"/>
  <c r="D30"/>
  <c r="AC30"/>
  <c r="C136" s="1"/>
  <c r="I1168" s="1"/>
  <c r="K1168" s="1"/>
  <c r="AK30"/>
  <c r="C31"/>
  <c r="D31"/>
  <c r="I1031" s="1"/>
  <c r="K1031" s="1"/>
  <c r="AK31"/>
  <c r="D32"/>
  <c r="I1061" s="1"/>
  <c r="K1061" s="1"/>
  <c r="AC32"/>
  <c r="I2694" s="1"/>
  <c r="K2694" s="1"/>
  <c r="AK32"/>
  <c r="D33"/>
  <c r="I2172" s="1"/>
  <c r="K2172" s="1"/>
  <c r="AC33"/>
  <c r="C139" s="1"/>
  <c r="AK33"/>
  <c r="W34"/>
  <c r="Y34"/>
  <c r="AK34"/>
  <c r="W35"/>
  <c r="AK35"/>
  <c r="AK36"/>
  <c r="AC38"/>
  <c r="C140" s="1"/>
  <c r="D40"/>
  <c r="I1490" s="1"/>
  <c r="K1490" s="1"/>
  <c r="C41"/>
  <c r="P513" s="1"/>
  <c r="R513" s="1"/>
  <c r="P53"/>
  <c r="R53" s="1"/>
  <c r="C61"/>
  <c r="P600" s="1"/>
  <c r="R600" s="1"/>
  <c r="D61"/>
  <c r="I95" s="1"/>
  <c r="K95" s="1"/>
  <c r="C66"/>
  <c r="I727" s="1"/>
  <c r="C67"/>
  <c r="P84"/>
  <c r="R84" s="1"/>
  <c r="C141"/>
  <c r="I152"/>
  <c r="K152" s="1"/>
  <c r="I154"/>
  <c r="K154" s="1"/>
  <c r="K156"/>
  <c r="I184"/>
  <c r="K184" s="1"/>
  <c r="K185"/>
  <c r="P211"/>
  <c r="R211" s="1"/>
  <c r="I213"/>
  <c r="K213" s="1"/>
  <c r="P213"/>
  <c r="R213" s="1"/>
  <c r="P214"/>
  <c r="R214" s="1"/>
  <c r="P215"/>
  <c r="R215"/>
  <c r="P216"/>
  <c r="R216" s="1"/>
  <c r="P217"/>
  <c r="R217" s="1"/>
  <c r="P218"/>
  <c r="R218" s="1"/>
  <c r="I240"/>
  <c r="K240" s="1"/>
  <c r="K244"/>
  <c r="K255"/>
  <c r="K256"/>
  <c r="I273"/>
  <c r="K273" s="1"/>
  <c r="H310"/>
  <c r="I314"/>
  <c r="K314" s="1"/>
  <c r="I315"/>
  <c r="K315" s="1"/>
  <c r="P320"/>
  <c r="R320" s="1"/>
  <c r="H332"/>
  <c r="F334"/>
  <c r="H334"/>
  <c r="F335"/>
  <c r="P337"/>
  <c r="R337" s="1"/>
  <c r="I338"/>
  <c r="K338" s="1"/>
  <c r="P338"/>
  <c r="R338" s="1"/>
  <c r="H352"/>
  <c r="F354"/>
  <c r="H354"/>
  <c r="F355"/>
  <c r="I358"/>
  <c r="K358" s="1"/>
  <c r="P365"/>
  <c r="R365" s="1"/>
  <c r="P366"/>
  <c r="R366" s="1"/>
  <c r="H376"/>
  <c r="F378"/>
  <c r="H378"/>
  <c r="H407"/>
  <c r="F409"/>
  <c r="H409"/>
  <c r="I413"/>
  <c r="K413" s="1"/>
  <c r="P432"/>
  <c r="R432" s="1"/>
  <c r="P438"/>
  <c r="R438" s="1"/>
  <c r="P439"/>
  <c r="R439" s="1"/>
  <c r="P440"/>
  <c r="R440" s="1"/>
  <c r="I447"/>
  <c r="K447" s="1"/>
  <c r="P450"/>
  <c r="R450" s="1"/>
  <c r="P451"/>
  <c r="R451" s="1"/>
  <c r="P456"/>
  <c r="R456" s="1"/>
  <c r="P457"/>
  <c r="R457" s="1"/>
  <c r="P458"/>
  <c r="R458" s="1"/>
  <c r="P469"/>
  <c r="R469" s="1"/>
  <c r="P474"/>
  <c r="R474" s="1"/>
  <c r="P475"/>
  <c r="R475" s="1"/>
  <c r="P476"/>
  <c r="R476" s="1"/>
  <c r="I482"/>
  <c r="K482" s="1"/>
  <c r="I484"/>
  <c r="K484" s="1"/>
  <c r="P491"/>
  <c r="R491" s="1"/>
  <c r="P493"/>
  <c r="R493" s="1"/>
  <c r="P494"/>
  <c r="R494" s="1"/>
  <c r="P495"/>
  <c r="R495" s="1"/>
  <c r="I499"/>
  <c r="K499" s="1"/>
  <c r="R499"/>
  <c r="I500"/>
  <c r="K500" s="1"/>
  <c r="P509"/>
  <c r="R509" s="1"/>
  <c r="P511"/>
  <c r="R511" s="1"/>
  <c r="P512"/>
  <c r="R512" s="1"/>
  <c r="P515"/>
  <c r="R515" s="1"/>
  <c r="R517"/>
  <c r="J527"/>
  <c r="J528"/>
  <c r="J529"/>
  <c r="P529"/>
  <c r="R529" s="1"/>
  <c r="J530"/>
  <c r="J531"/>
  <c r="P531"/>
  <c r="R531" s="1"/>
  <c r="P532"/>
  <c r="R532" s="1"/>
  <c r="P535"/>
  <c r="R535" s="1"/>
  <c r="I536"/>
  <c r="K536" s="1"/>
  <c r="R537"/>
  <c r="J543"/>
  <c r="J544"/>
  <c r="J545"/>
  <c r="J546"/>
  <c r="J547"/>
  <c r="P554"/>
  <c r="R554" s="1"/>
  <c r="P555"/>
  <c r="R555" s="1"/>
  <c r="I559"/>
  <c r="K559" s="1"/>
  <c r="P560"/>
  <c r="R560" s="1"/>
  <c r="I561"/>
  <c r="K561" s="1"/>
  <c r="P561"/>
  <c r="R561" s="1"/>
  <c r="P562"/>
  <c r="R562" s="1"/>
  <c r="J568"/>
  <c r="J569"/>
  <c r="J570"/>
  <c r="J571"/>
  <c r="J572"/>
  <c r="I575"/>
  <c r="K575" s="1"/>
  <c r="J583"/>
  <c r="J584"/>
  <c r="J585"/>
  <c r="J586"/>
  <c r="J587"/>
  <c r="I590"/>
  <c r="K590" s="1"/>
  <c r="C593"/>
  <c r="P607"/>
  <c r="R607" s="1"/>
  <c r="P620"/>
  <c r="R620" s="1"/>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7"/>
  <c r="K728"/>
  <c r="K729"/>
  <c r="R740"/>
  <c r="R745"/>
  <c r="I746"/>
  <c r="K746" s="1"/>
  <c r="K750"/>
  <c r="K751"/>
  <c r="K752"/>
  <c r="R753"/>
  <c r="A754"/>
  <c r="P762"/>
  <c r="R762" s="1"/>
  <c r="R769" s="1"/>
  <c r="R771" s="1"/>
  <c r="I772"/>
  <c r="K772" s="1"/>
  <c r="I775"/>
  <c r="K775" s="1"/>
  <c r="I776"/>
  <c r="K776" s="1"/>
  <c r="R779"/>
  <c r="R792" s="1"/>
  <c r="P782"/>
  <c r="R782" s="1"/>
  <c r="R783"/>
  <c r="R784"/>
  <c r="R785"/>
  <c r="R786"/>
  <c r="R788"/>
  <c r="R789"/>
  <c r="R798"/>
  <c r="R810" s="1"/>
  <c r="P801"/>
  <c r="R801" s="1"/>
  <c r="R802"/>
  <c r="R803"/>
  <c r="R804"/>
  <c r="R805"/>
  <c r="R806"/>
  <c r="R807"/>
  <c r="K817"/>
  <c r="K818"/>
  <c r="K819"/>
  <c r="K820"/>
  <c r="I822"/>
  <c r="K822" s="1"/>
  <c r="K823"/>
  <c r="R834"/>
  <c r="R847" s="1"/>
  <c r="K835"/>
  <c r="K836"/>
  <c r="K837"/>
  <c r="P837"/>
  <c r="R837" s="1"/>
  <c r="K838"/>
  <c r="R838"/>
  <c r="R839"/>
  <c r="R840"/>
  <c r="K841"/>
  <c r="R841"/>
  <c r="I843"/>
  <c r="K843" s="1"/>
  <c r="R843"/>
  <c r="R844"/>
  <c r="K853"/>
  <c r="K854"/>
  <c r="H855"/>
  <c r="K855"/>
  <c r="K856"/>
  <c r="P856"/>
  <c r="R856" s="1"/>
  <c r="H859"/>
  <c r="K859"/>
  <c r="I860"/>
  <c r="K860" s="1"/>
  <c r="R869"/>
  <c r="R870"/>
  <c r="R871"/>
  <c r="I915"/>
  <c r="I2559" s="1"/>
  <c r="K915"/>
  <c r="I916"/>
  <c r="K916"/>
  <c r="I917"/>
  <c r="K917"/>
  <c r="I918"/>
  <c r="K918"/>
  <c r="I919"/>
  <c r="I2563" s="1"/>
  <c r="I2594" s="1"/>
  <c r="K2594" s="1"/>
  <c r="K919"/>
  <c r="I920"/>
  <c r="K920"/>
  <c r="I950"/>
  <c r="K950" s="1"/>
  <c r="I951"/>
  <c r="K951" s="1"/>
  <c r="I952"/>
  <c r="K952"/>
  <c r="I953"/>
  <c r="K953" s="1"/>
  <c r="I954"/>
  <c r="K954" s="1"/>
  <c r="I955"/>
  <c r="K955" s="1"/>
  <c r="I979"/>
  <c r="K979" s="1"/>
  <c r="I980"/>
  <c r="K980" s="1"/>
  <c r="I981"/>
  <c r="K981" s="1"/>
  <c r="I982"/>
  <c r="K982" s="1"/>
  <c r="I983"/>
  <c r="K983" s="1"/>
  <c r="I984"/>
  <c r="K984" s="1"/>
  <c r="I1013"/>
  <c r="I2524" s="1"/>
  <c r="K2524" s="1"/>
  <c r="I1015"/>
  <c r="K1015" s="1"/>
  <c r="I1016"/>
  <c r="K1016" s="1"/>
  <c r="I1017"/>
  <c r="I1018"/>
  <c r="K1018" s="1"/>
  <c r="I1019"/>
  <c r="K1019" s="1"/>
  <c r="I1020"/>
  <c r="I2531" s="1"/>
  <c r="K2531"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K1086"/>
  <c r="K1088"/>
  <c r="I1089"/>
  <c r="K1089" s="1"/>
  <c r="K1090"/>
  <c r="K1091"/>
  <c r="I1101"/>
  <c r="K1101" s="1"/>
  <c r="I1102"/>
  <c r="K1102" s="1"/>
  <c r="I1114"/>
  <c r="K1114" s="1"/>
  <c r="I1115"/>
  <c r="K1115" s="1"/>
  <c r="I1131"/>
  <c r="K1131" s="1"/>
  <c r="K1132"/>
  <c r="K1133"/>
  <c r="I1146"/>
  <c r="K1146"/>
  <c r="I1158"/>
  <c r="K1158" s="1"/>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14"/>
  <c r="K1314" s="1"/>
  <c r="I1327"/>
  <c r="K1327" s="1"/>
  <c r="I1340"/>
  <c r="K1340" s="1"/>
  <c r="I1352"/>
  <c r="K1352" s="1"/>
  <c r="I1367"/>
  <c r="K1367" s="1"/>
  <c r="I1368"/>
  <c r="K1368" s="1"/>
  <c r="I1424"/>
  <c r="K1424" s="1"/>
  <c r="I1436"/>
  <c r="K1436" s="1"/>
  <c r="I1439"/>
  <c r="K1439" s="1"/>
  <c r="K1448"/>
  <c r="I1449"/>
  <c r="K1449" s="1"/>
  <c r="I1450"/>
  <c r="K1450" s="1"/>
  <c r="I1451"/>
  <c r="K1451" s="1"/>
  <c r="I1463"/>
  <c r="K1463" s="1"/>
  <c r="I1464"/>
  <c r="K1464" s="1"/>
  <c r="I1465"/>
  <c r="K1465" s="1"/>
  <c r="I1478"/>
  <c r="K1478" s="1"/>
  <c r="K1493"/>
  <c r="I1494"/>
  <c r="K1494" s="1"/>
  <c r="I1495"/>
  <c r="K1495" s="1"/>
  <c r="I1505"/>
  <c r="K1505" s="1"/>
  <c r="O1506"/>
  <c r="I1507"/>
  <c r="K1507" s="1"/>
  <c r="O1507"/>
  <c r="I1508"/>
  <c r="K1508" s="1"/>
  <c r="K1509"/>
  <c r="I1518"/>
  <c r="K1518" s="1"/>
  <c r="I1521"/>
  <c r="K1521" s="1"/>
  <c r="K1522"/>
  <c r="I1533"/>
  <c r="K1533" s="1"/>
  <c r="I1534"/>
  <c r="K1534" s="1"/>
  <c r="I1545"/>
  <c r="K1545" s="1"/>
  <c r="I1557"/>
  <c r="K1557" s="1"/>
  <c r="I1558"/>
  <c r="K1558" s="1"/>
  <c r="I1559"/>
  <c r="K1559" s="1"/>
  <c r="I1560"/>
  <c r="K1560" s="1"/>
  <c r="I1561"/>
  <c r="K1561" s="1"/>
  <c r="I1579"/>
  <c r="K1579" s="1"/>
  <c r="K1597"/>
  <c r="K1598"/>
  <c r="K1609"/>
  <c r="K1613" s="1"/>
  <c r="K1618"/>
  <c r="K1621" s="1"/>
  <c r="K1625"/>
  <c r="K1628" s="1"/>
  <c r="I1639"/>
  <c r="K1639" s="1"/>
  <c r="I1640"/>
  <c r="K1640" s="1"/>
  <c r="K1652"/>
  <c r="K1653"/>
  <c r="K1654"/>
  <c r="K1682"/>
  <c r="K1685"/>
  <c r="K1686"/>
  <c r="K1687"/>
  <c r="K1699"/>
  <c r="K1700"/>
  <c r="K1701"/>
  <c r="K1713"/>
  <c r="K1714"/>
  <c r="I1715"/>
  <c r="K1715" s="1"/>
  <c r="K1716"/>
  <c r="K1717"/>
  <c r="K1724"/>
  <c r="K1727"/>
  <c r="I1735"/>
  <c r="K1735" s="1"/>
  <c r="I1737"/>
  <c r="I1738"/>
  <c r="K1738" s="1"/>
  <c r="I1741"/>
  <c r="K1741" s="1"/>
  <c r="I1742"/>
  <c r="K1742" s="1"/>
  <c r="I1753"/>
  <c r="K1753" s="1"/>
  <c r="I1755"/>
  <c r="K1755" s="1"/>
  <c r="I1756"/>
  <c r="K1756" s="1"/>
  <c r="I1759"/>
  <c r="K1759" s="1"/>
  <c r="I1760"/>
  <c r="K1760" s="1"/>
  <c r="I1771"/>
  <c r="K1771" s="1"/>
  <c r="I1773"/>
  <c r="K1773" s="1"/>
  <c r="I1774"/>
  <c r="K1774" s="1"/>
  <c r="I1777"/>
  <c r="K1777" s="1"/>
  <c r="I1778"/>
  <c r="K1778" s="1"/>
  <c r="I1801"/>
  <c r="I1809"/>
  <c r="I1817"/>
  <c r="I1829"/>
  <c r="K1829" s="1"/>
  <c r="I1835"/>
  <c r="K1835" s="1"/>
  <c r="I1844"/>
  <c r="K1844" s="1"/>
  <c r="I1858"/>
  <c r="K1858" s="1"/>
  <c r="I1866"/>
  <c r="K1866" s="1"/>
  <c r="I1890"/>
  <c r="K1890" s="1"/>
  <c r="I1892"/>
  <c r="K1892" s="1"/>
  <c r="I1896"/>
  <c r="K1896" s="1"/>
  <c r="I1908"/>
  <c r="K1908" s="1"/>
  <c r="I1916"/>
  <c r="K1916" s="1"/>
  <c r="I1917"/>
  <c r="K1917" s="1"/>
  <c r="I1928"/>
  <c r="K1928" s="1"/>
  <c r="I1932"/>
  <c r="K1932" s="1"/>
  <c r="I1934"/>
  <c r="K1934" s="1"/>
  <c r="I1947"/>
  <c r="K1947" s="1"/>
  <c r="I1951"/>
  <c r="K1951" s="1"/>
  <c r="I1972"/>
  <c r="K1972" s="1"/>
  <c r="I1973"/>
  <c r="K1973" s="1"/>
  <c r="I1974"/>
  <c r="K1974" s="1"/>
  <c r="I1975"/>
  <c r="K1975" s="1"/>
  <c r="I1996"/>
  <c r="K1996" s="1"/>
  <c r="I1997"/>
  <c r="K1997" s="1"/>
  <c r="I1998"/>
  <c r="K1998" s="1"/>
  <c r="I1999"/>
  <c r="K1999" s="1"/>
  <c r="K2016"/>
  <c r="K2017"/>
  <c r="K2018"/>
  <c r="I2027"/>
  <c r="K2027" s="1"/>
  <c r="I2031"/>
  <c r="K2031" s="1"/>
  <c r="I2039"/>
  <c r="K2039" s="1"/>
  <c r="K2042" s="1"/>
  <c r="I2047"/>
  <c r="K2047" s="1"/>
  <c r="I2049"/>
  <c r="K2049" s="1"/>
  <c r="I2052"/>
  <c r="K2052" s="1"/>
  <c r="I2054"/>
  <c r="K2054" s="1"/>
  <c r="I2055"/>
  <c r="K2055" s="1"/>
  <c r="I2056"/>
  <c r="K2056" s="1"/>
  <c r="I2067"/>
  <c r="K2067" s="1"/>
  <c r="I2069"/>
  <c r="K2069" s="1"/>
  <c r="I2072"/>
  <c r="K2072"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s="1"/>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K2430"/>
  <c r="K2431"/>
  <c r="I2467"/>
  <c r="K2467" s="1"/>
  <c r="K2469"/>
  <c r="K2470"/>
  <c r="K2490"/>
  <c r="K2493" s="1"/>
  <c r="K2497"/>
  <c r="K2498"/>
  <c r="K2505"/>
  <c r="K2506"/>
  <c r="K2507"/>
  <c r="I2526"/>
  <c r="K2526" s="1"/>
  <c r="I2527"/>
  <c r="K2527" s="1"/>
  <c r="I2530"/>
  <c r="K2530" s="1"/>
  <c r="K2557"/>
  <c r="I2560"/>
  <c r="I2561"/>
  <c r="I2592" s="1"/>
  <c r="K2592" s="1"/>
  <c r="I2562"/>
  <c r="I2564"/>
  <c r="K2564" s="1"/>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89"/>
  <c r="K2789" s="1"/>
  <c r="I2790"/>
  <c r="K2790" s="1"/>
  <c r="K2798"/>
  <c r="K2799"/>
  <c r="K2807"/>
  <c r="K2810" s="1"/>
  <c r="K2811" s="1"/>
  <c r="K2802" s="1"/>
  <c r="K2808"/>
  <c r="K2815"/>
  <c r="K2816"/>
  <c r="K2817"/>
  <c r="K2818"/>
  <c r="K2825"/>
  <c r="K2826"/>
  <c r="K2827"/>
  <c r="I2843"/>
  <c r="I2844"/>
  <c r="I3796" s="1"/>
  <c r="K3796" s="1"/>
  <c r="I2845"/>
  <c r="I2997" s="1"/>
  <c r="K2997" s="1"/>
  <c r="K2847"/>
  <c r="R2848"/>
  <c r="I2849"/>
  <c r="I3801" s="1"/>
  <c r="K3801" s="1"/>
  <c r="I2850"/>
  <c r="I3001" s="1"/>
  <c r="K3001" s="1"/>
  <c r="I2851"/>
  <c r="I3002" s="1"/>
  <c r="K3002" s="1"/>
  <c r="K3019" s="1"/>
  <c r="I2852"/>
  <c r="I2854"/>
  <c r="R2855"/>
  <c r="R2856"/>
  <c r="L2860"/>
  <c r="R2860"/>
  <c r="T2863"/>
  <c r="I2866"/>
  <c r="I3824" s="1"/>
  <c r="I2867"/>
  <c r="I3921" s="1"/>
  <c r="K3921" s="1"/>
  <c r="I2868"/>
  <c r="I3922" s="1"/>
  <c r="K3922" s="1"/>
  <c r="I2869"/>
  <c r="I3506" s="1"/>
  <c r="I3625" s="1"/>
  <c r="I3732" s="1"/>
  <c r="K3732" s="1"/>
  <c r="I2870"/>
  <c r="I2871"/>
  <c r="P2881"/>
  <c r="R2881" s="1"/>
  <c r="L2884"/>
  <c r="P2888"/>
  <c r="R2888" s="1"/>
  <c r="R2889"/>
  <c r="K2895"/>
  <c r="K2896"/>
  <c r="S2896"/>
  <c r="L2899"/>
  <c r="H2905"/>
  <c r="H2909"/>
  <c r="H2937" s="1"/>
  <c r="H2910"/>
  <c r="H2936" s="1"/>
  <c r="H2911"/>
  <c r="K2912"/>
  <c r="L2921"/>
  <c r="I2923"/>
  <c r="K2925" s="1"/>
  <c r="I2935"/>
  <c r="I3053" s="1"/>
  <c r="M2935"/>
  <c r="L2945"/>
  <c r="I2957"/>
  <c r="I2974" s="1"/>
  <c r="K2974" s="1"/>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P3497" s="1"/>
  <c r="R3497" s="1"/>
  <c r="R3501"/>
  <c r="K3513"/>
  <c r="K3514"/>
  <c r="K352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I3778" s="1"/>
  <c r="K3778" s="1"/>
  <c r="R3771"/>
  <c r="H3777"/>
  <c r="I3777"/>
  <c r="K3777" s="1"/>
  <c r="R3777"/>
  <c r="H3778"/>
  <c r="O3778"/>
  <c r="P3778"/>
  <c r="R3778" s="1"/>
  <c r="K3798"/>
  <c r="K3800"/>
  <c r="K3804"/>
  <c r="K3805"/>
  <c r="I3806"/>
  <c r="K3806" s="1"/>
  <c r="K3807"/>
  <c r="K3873" s="1"/>
  <c r="K3808"/>
  <c r="K3811"/>
  <c r="K3813"/>
  <c r="K3824"/>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90"/>
  <c r="E97" s="1"/>
  <c r="E96"/>
  <c r="G96" s="1"/>
  <c r="G131"/>
  <c r="A133" s="1"/>
  <c r="A134" s="1"/>
  <c r="F134" s="1"/>
  <c r="F135"/>
  <c r="F139"/>
  <c r="G146"/>
  <c r="A148" s="1"/>
  <c r="A149" s="1"/>
  <c r="A150" s="1"/>
  <c r="E148"/>
  <c r="T47" i="55"/>
  <c r="C62"/>
  <c r="C292"/>
  <c r="C307"/>
  <c r="C322"/>
  <c r="W336"/>
  <c r="C381"/>
  <c r="C382"/>
  <c r="C383"/>
  <c r="C384"/>
  <c r="C426"/>
  <c r="C427"/>
  <c r="C429"/>
  <c r="C507"/>
  <c r="C646"/>
  <c r="C656"/>
  <c r="C695"/>
  <c r="C698"/>
  <c r="C724"/>
  <c r="C725"/>
  <c r="C726"/>
  <c r="C732"/>
  <c r="B743"/>
  <c r="B748"/>
  <c r="B749"/>
  <c r="A770"/>
  <c r="B853"/>
  <c r="C854" i="68" s="1"/>
  <c r="D962" i="55"/>
  <c r="B1094"/>
  <c r="C1139"/>
  <c r="C1140"/>
  <c r="F1140" s="1"/>
  <c r="A24" i="50"/>
  <c r="I25"/>
  <c r="I26"/>
  <c r="I27"/>
  <c r="M31"/>
  <c r="G32"/>
  <c r="G33"/>
  <c r="D49"/>
  <c r="D112" s="1"/>
  <c r="D50"/>
  <c r="D113" s="1"/>
  <c r="A74"/>
  <c r="F74" s="1"/>
  <c r="F75"/>
  <c r="G86"/>
  <c r="A88" s="1"/>
  <c r="A89" s="1"/>
  <c r="A90" s="1"/>
  <c r="F90" s="1"/>
  <c r="G96"/>
  <c r="E97"/>
  <c r="G97" s="1"/>
  <c r="D115"/>
  <c r="D116"/>
  <c r="G131"/>
  <c r="A133" s="1"/>
  <c r="A134" s="1"/>
  <c r="F134" s="1"/>
  <c r="F135"/>
  <c r="F139"/>
  <c r="G146"/>
  <c r="A148" s="1"/>
  <c r="A149" s="1"/>
  <c r="A150" s="1"/>
  <c r="E150"/>
  <c r="E156"/>
  <c r="G156" s="1"/>
  <c r="I3719" i="27"/>
  <c r="K3719" s="1"/>
  <c r="P2847"/>
  <c r="P2880" s="1"/>
  <c r="R2880" s="1"/>
  <c r="C1138" i="55"/>
  <c r="F1138" s="1"/>
  <c r="C1136"/>
  <c r="K3170" i="27"/>
  <c r="I3665"/>
  <c r="K3665" s="1"/>
  <c r="I3535"/>
  <c r="K3535" s="1"/>
  <c r="P3127"/>
  <c r="R3127" s="1"/>
  <c r="I53"/>
  <c r="K53" s="1"/>
  <c r="I37"/>
  <c r="K37" s="1"/>
  <c r="I18"/>
  <c r="K18" s="1"/>
  <c r="I40" i="25"/>
  <c r="C1109" i="55"/>
  <c r="C1134"/>
  <c r="F1134" s="1"/>
  <c r="D554" i="25"/>
  <c r="F554" s="1"/>
  <c r="C1133" i="55"/>
  <c r="F1133" s="1"/>
  <c r="C1137"/>
  <c r="F1137" s="1"/>
  <c r="C1135"/>
  <c r="F1135" s="1"/>
  <c r="C1145"/>
  <c r="F1145" s="1"/>
  <c r="C1141"/>
  <c r="F1141" s="1"/>
  <c r="C1146"/>
  <c r="C1147"/>
  <c r="F1147" s="1"/>
  <c r="C1142"/>
  <c r="F1142" s="1"/>
  <c r="C858"/>
  <c r="C860"/>
  <c r="F1204"/>
  <c r="F1192"/>
  <c r="F1209"/>
  <c r="F1207"/>
  <c r="F1205"/>
  <c r="F1203"/>
  <c r="F1201"/>
  <c r="F1199"/>
  <c r="F1197"/>
  <c r="F1195"/>
  <c r="F1193"/>
  <c r="F1191"/>
  <c r="F1189"/>
  <c r="F1187"/>
  <c r="F1185"/>
  <c r="F1183"/>
  <c r="F1181"/>
  <c r="F1179"/>
  <c r="F13782"/>
  <c r="F13661"/>
  <c r="F13573"/>
  <c r="F13559"/>
  <c r="F13551"/>
  <c r="F13530"/>
  <c r="F13395"/>
  <c r="F13265"/>
  <c r="F13257"/>
  <c r="F13139"/>
  <c r="F13131"/>
  <c r="F13123"/>
  <c r="F13115"/>
  <c r="F12990"/>
  <c r="F12901"/>
  <c r="F12893"/>
  <c r="F12885"/>
  <c r="F12823"/>
  <c r="F12815"/>
  <c r="F12801"/>
  <c r="F12763"/>
  <c r="F12579"/>
  <c r="F12555"/>
  <c r="F13731"/>
  <c r="F13723"/>
  <c r="F13715"/>
  <c r="F13461"/>
  <c r="F13453"/>
  <c r="F13445"/>
  <c r="F13437"/>
  <c r="F13429"/>
  <c r="F13262"/>
  <c r="F13217"/>
  <c r="F13201"/>
  <c r="F13190"/>
  <c r="F13037"/>
  <c r="F13015"/>
  <c r="F12906"/>
  <c r="F12614"/>
  <c r="F13693"/>
  <c r="F13458"/>
  <c r="F13434"/>
  <c r="F13421"/>
  <c r="F13403"/>
  <c r="F13377"/>
  <c r="F13313"/>
  <c r="F13305"/>
  <c r="F13267"/>
  <c r="F13149"/>
  <c r="F13101"/>
  <c r="F13058"/>
  <c r="F13050"/>
  <c r="F13042"/>
  <c r="F12911"/>
  <c r="F12853"/>
  <c r="F12705"/>
  <c r="F12577"/>
  <c r="F12571"/>
  <c r="F12563"/>
  <c r="F13777"/>
  <c r="F13769"/>
  <c r="F13745"/>
  <c r="F13645"/>
  <c r="F13517"/>
  <c r="F13509"/>
  <c r="F13479"/>
  <c r="F13302"/>
  <c r="F13294"/>
  <c r="F13087"/>
  <c r="F13071"/>
  <c r="F13063"/>
  <c r="F13055"/>
  <c r="F13039"/>
  <c r="F12985"/>
  <c r="F12850"/>
  <c r="F12747"/>
  <c r="F12721"/>
  <c r="F12694"/>
  <c r="F12655"/>
  <c r="F12641"/>
  <c r="F12550"/>
  <c r="F12542"/>
  <c r="F12534"/>
  <c r="F8875"/>
  <c r="F8819"/>
  <c r="F8815"/>
  <c r="F8755"/>
  <c r="F8751"/>
  <c r="F9890"/>
  <c r="F9922"/>
  <c r="F9954"/>
  <c r="F9986"/>
  <c r="F10018"/>
  <c r="F10050"/>
  <c r="F10082"/>
  <c r="F10114"/>
  <c r="F10146"/>
  <c r="F10178"/>
  <c r="F10210"/>
  <c r="F10242"/>
  <c r="F10274"/>
  <c r="F10306"/>
  <c r="F10338"/>
  <c r="F10370"/>
  <c r="F10402"/>
  <c r="F10434"/>
  <c r="F10466"/>
  <c r="F10498"/>
  <c r="F10530"/>
  <c r="F8835"/>
  <c r="F8831"/>
  <c r="F8771"/>
  <c r="F8767"/>
  <c r="F13719"/>
  <c r="F13781"/>
  <c r="F9894"/>
  <c r="F9958"/>
  <c r="F10022"/>
  <c r="F10086"/>
  <c r="F10150"/>
  <c r="F10214"/>
  <c r="F10278"/>
  <c r="F10342"/>
  <c r="F10406"/>
  <c r="F10470"/>
  <c r="F10534"/>
  <c r="F9291"/>
  <c r="F9259"/>
  <c r="F9243"/>
  <c r="F9227"/>
  <c r="F9211"/>
  <c r="F9195"/>
  <c r="F9179"/>
  <c r="F9163"/>
  <c r="F9151"/>
  <c r="F9107"/>
  <c r="F9091"/>
  <c r="F9055"/>
  <c r="F9027"/>
  <c r="F9015"/>
  <c r="F8987"/>
  <c r="F8919"/>
  <c r="F8883"/>
  <c r="F8847"/>
  <c r="F8787"/>
  <c r="F8783"/>
  <c r="F8891"/>
  <c r="F8803"/>
  <c r="F8799"/>
  <c r="F9283"/>
  <c r="F9267"/>
  <c r="F9251"/>
  <c r="F9235"/>
  <c r="F9219"/>
  <c r="F9203"/>
  <c r="F9187"/>
  <c r="F9171"/>
  <c r="F9155"/>
  <c r="F9143"/>
  <c r="F9127"/>
  <c r="F9115"/>
  <c r="F9099"/>
  <c r="F9087"/>
  <c r="F9059"/>
  <c r="F9035"/>
  <c r="F9023"/>
  <c r="F8983"/>
  <c r="F8923"/>
  <c r="F8851"/>
  <c r="F4429"/>
  <c r="F4413"/>
  <c r="F4361"/>
  <c r="F8607"/>
  <c r="F8437"/>
  <c r="F5971"/>
  <c r="F5961"/>
  <c r="F5858"/>
  <c r="F5850"/>
  <c r="F5834"/>
  <c r="F5818"/>
  <c r="F5802"/>
  <c r="F5786"/>
  <c r="F5770"/>
  <c r="F5754"/>
  <c r="F5730"/>
  <c r="F5706"/>
  <c r="F5690"/>
  <c r="F5674"/>
  <c r="F5658"/>
  <c r="F5642"/>
  <c r="F5622"/>
  <c r="F5610"/>
  <c r="F5590"/>
  <c r="F5574"/>
  <c r="F5558"/>
  <c r="F5542"/>
  <c r="F5526"/>
  <c r="F5510"/>
  <c r="F5494"/>
  <c r="F5478"/>
  <c r="F5462"/>
  <c r="F5446"/>
  <c r="F5005"/>
  <c r="F4845"/>
  <c r="F4825"/>
  <c r="F4813"/>
  <c r="F4793"/>
  <c r="F4781"/>
  <c r="F4761"/>
  <c r="F4749"/>
  <c r="F4729"/>
  <c r="F4717"/>
  <c r="F4697"/>
  <c r="F4685"/>
  <c r="F4653"/>
  <c r="F4633"/>
  <c r="F4621"/>
  <c r="F4589"/>
  <c r="F4569"/>
  <c r="F4557"/>
  <c r="F4537"/>
  <c r="F4525"/>
  <c r="F4505"/>
  <c r="F4493"/>
  <c r="F4457"/>
  <c r="F4397"/>
  <c r="F4381"/>
  <c r="F4230"/>
  <c r="F4226"/>
  <c r="F4222"/>
  <c r="F4218"/>
  <c r="F4214"/>
  <c r="F4210"/>
  <c r="F4206"/>
  <c r="F4202"/>
  <c r="F4198"/>
  <c r="F4194"/>
  <c r="F4190"/>
  <c r="F4186"/>
  <c r="F4182"/>
  <c r="F4178"/>
  <c r="F4174"/>
  <c r="F4170"/>
  <c r="F8859"/>
  <c r="F8843"/>
  <c r="F8811"/>
  <c r="F8779"/>
  <c r="F8747"/>
  <c r="F8731"/>
  <c r="F8699"/>
  <c r="F8683"/>
  <c r="F8667"/>
  <c r="F8635"/>
  <c r="F8619"/>
  <c r="F8595"/>
  <c r="F8579"/>
  <c r="F8563"/>
  <c r="F8547"/>
  <c r="F8531"/>
  <c r="F8515"/>
  <c r="F8499"/>
  <c r="F8483"/>
  <c r="F8467"/>
  <c r="F8451"/>
  <c r="F5846"/>
  <c r="F5830"/>
  <c r="F5814"/>
  <c r="F5798"/>
  <c r="F5782"/>
  <c r="F5766"/>
  <c r="F5718"/>
  <c r="F5702"/>
  <c r="F5686"/>
  <c r="F5670"/>
  <c r="F4425"/>
  <c r="F4409"/>
  <c r="F4365"/>
  <c r="F5009"/>
  <c r="F4843"/>
  <c r="F4841"/>
  <c r="F4811"/>
  <c r="F4809"/>
  <c r="F4779"/>
  <c r="F4777"/>
  <c r="F4747"/>
  <c r="F4745"/>
  <c r="F4715"/>
  <c r="F4713"/>
  <c r="F4683"/>
  <c r="F4681"/>
  <c r="F4651"/>
  <c r="F4649"/>
  <c r="F4619"/>
  <c r="F4617"/>
  <c r="F4587"/>
  <c r="F4585"/>
  <c r="F4555"/>
  <c r="F4553"/>
  <c r="F4523"/>
  <c r="F4521"/>
  <c r="F4491"/>
  <c r="F4489"/>
  <c r="F4475"/>
  <c r="F4441"/>
  <c r="F4393"/>
  <c r="F4377"/>
  <c r="F4224"/>
  <c r="F4208"/>
  <c r="F4192"/>
  <c r="F4176"/>
  <c r="F8739"/>
  <c r="F8723"/>
  <c r="F8707"/>
  <c r="F8691"/>
  <c r="F8675"/>
  <c r="F8659"/>
  <c r="F8643"/>
  <c r="F8627"/>
  <c r="F8611"/>
  <c r="F8587"/>
  <c r="F8571"/>
  <c r="F8555"/>
  <c r="F8539"/>
  <c r="F8523"/>
  <c r="F8507"/>
  <c r="F8491"/>
  <c r="F8475"/>
  <c r="F8459"/>
  <c r="F8443"/>
  <c r="F8435"/>
  <c r="F8430"/>
  <c r="F5967"/>
  <c r="F5957"/>
  <c r="F5838"/>
  <c r="F5822"/>
  <c r="F5806"/>
  <c r="F5790"/>
  <c r="F5774"/>
  <c r="F5758"/>
  <c r="F5734"/>
  <c r="F5694"/>
  <c r="F5678"/>
  <c r="F5662"/>
  <c r="F5614"/>
  <c r="F3395"/>
  <c r="F3387"/>
  <c r="F2513"/>
  <c r="F2404"/>
  <c r="F2401"/>
  <c r="F3928"/>
  <c r="F3468"/>
  <c r="F3466"/>
  <c r="F3462"/>
  <c r="F3460"/>
  <c r="F3458"/>
  <c r="F3454"/>
  <c r="F3452"/>
  <c r="F3450"/>
  <c r="F3446"/>
  <c r="F3444"/>
  <c r="F3442"/>
  <c r="F3438"/>
  <c r="F3436"/>
  <c r="F3434"/>
  <c r="F3430"/>
  <c r="F3428"/>
  <c r="F3426"/>
  <c r="F3422"/>
  <c r="F3420"/>
  <c r="F3418"/>
  <c r="F3414"/>
  <c r="F3412"/>
  <c r="F3410"/>
  <c r="F3406"/>
  <c r="F3404"/>
  <c r="F3402"/>
  <c r="F3392"/>
  <c r="F3253"/>
  <c r="F2529"/>
  <c r="F2465"/>
  <c r="F2425"/>
  <c r="F2407"/>
  <c r="F2393"/>
  <c r="F3401"/>
  <c r="F3397"/>
  <c r="F3393"/>
  <c r="F3389"/>
  <c r="F3381"/>
  <c r="F3377"/>
  <c r="F2545"/>
  <c r="F2481"/>
  <c r="F2420"/>
  <c r="F2417"/>
  <c r="F2399"/>
  <c r="F2385"/>
  <c r="F4130"/>
  <c r="F4098"/>
  <c r="F4066"/>
  <c r="F4034"/>
  <c r="F4006"/>
  <c r="F3952"/>
  <c r="F3950"/>
  <c r="F3918"/>
  <c r="F3864"/>
  <c r="F3862"/>
  <c r="F3798"/>
  <c r="F3467"/>
  <c r="F3465"/>
  <c r="F3463"/>
  <c r="F3461"/>
  <c r="F3459"/>
  <c r="F3457"/>
  <c r="F3455"/>
  <c r="F3453"/>
  <c r="F3451"/>
  <c r="F3449"/>
  <c r="F3447"/>
  <c r="F3445"/>
  <c r="F3443"/>
  <c r="F3441"/>
  <c r="F3439"/>
  <c r="F3437"/>
  <c r="F3435"/>
  <c r="F3433"/>
  <c r="F3431"/>
  <c r="F3429"/>
  <c r="F3427"/>
  <c r="F3425"/>
  <c r="F3423"/>
  <c r="F3421"/>
  <c r="F3419"/>
  <c r="F3417"/>
  <c r="F3415"/>
  <c r="F3413"/>
  <c r="F3411"/>
  <c r="F3409"/>
  <c r="F3407"/>
  <c r="F3405"/>
  <c r="F3403"/>
  <c r="F3398"/>
  <c r="F3394"/>
  <c r="F3390"/>
  <c r="F3386"/>
  <c r="F3382"/>
  <c r="F3378"/>
  <c r="F2642"/>
  <c r="F2497"/>
  <c r="F2433"/>
  <c r="F2423"/>
  <c r="F2412"/>
  <c r="F2409"/>
  <c r="F2391"/>
  <c r="F12622"/>
  <c r="F12626"/>
  <c r="F12666"/>
  <c r="F12670"/>
  <c r="F12702"/>
  <c r="F12706"/>
  <c r="F12710"/>
  <c r="F12742"/>
  <c r="F12746"/>
  <c r="F12790"/>
  <c r="F12794"/>
  <c r="F12798"/>
  <c r="F12806"/>
  <c r="F12830"/>
  <c r="F12834"/>
  <c r="F12838"/>
  <c r="F12842"/>
  <c r="F12846"/>
  <c r="F12870"/>
  <c r="F12878"/>
  <c r="F12882"/>
  <c r="F12886"/>
  <c r="F12918"/>
  <c r="F12926"/>
  <c r="F13022"/>
  <c r="F13078"/>
  <c r="F13086"/>
  <c r="F13150"/>
  <c r="F13158"/>
  <c r="F13198"/>
  <c r="F13246"/>
  <c r="F13254"/>
  <c r="F13330"/>
  <c r="F13374"/>
  <c r="F13402"/>
  <c r="F13430"/>
  <c r="F13442"/>
  <c r="F13450"/>
  <c r="F13498"/>
  <c r="F13506"/>
  <c r="F13550"/>
  <c r="F13566"/>
  <c r="F13622"/>
  <c r="F13658"/>
  <c r="F13690"/>
  <c r="F13734"/>
  <c r="F13766"/>
  <c r="F13774"/>
  <c r="F12627"/>
  <c r="F12635"/>
  <c r="F12661"/>
  <c r="F12679"/>
  <c r="F12697"/>
  <c r="F12715"/>
  <c r="F12733"/>
  <c r="F12769"/>
  <c r="F12777"/>
  <c r="F12821"/>
  <c r="F12829"/>
  <c r="F12847"/>
  <c r="F12865"/>
  <c r="F12899"/>
  <c r="F12935"/>
  <c r="F12951"/>
  <c r="F12969"/>
  <c r="F12977"/>
  <c r="F12987"/>
  <c r="F12995"/>
  <c r="F13013"/>
  <c r="F13091"/>
  <c r="F13099"/>
  <c r="F13125"/>
  <c r="F13133"/>
  <c r="F13141"/>
  <c r="F13167"/>
  <c r="F13185"/>
  <c r="F13203"/>
  <c r="F13229"/>
  <c r="F13237"/>
  <c r="F13245"/>
  <c r="F13263"/>
  <c r="F13273"/>
  <c r="F13281"/>
  <c r="F13299"/>
  <c r="F13317"/>
  <c r="F13325"/>
  <c r="F13361"/>
  <c r="F13379"/>
  <c r="F13397"/>
  <c r="F13425"/>
  <c r="F13435"/>
  <c r="F13459"/>
  <c r="F13485"/>
  <c r="F13493"/>
  <c r="F13519"/>
  <c r="F13527"/>
  <c r="F13545"/>
  <c r="F13579"/>
  <c r="F13631"/>
  <c r="F13649"/>
  <c r="F13667"/>
  <c r="F13677"/>
  <c r="F13703"/>
  <c r="F13721"/>
  <c r="F13729"/>
  <c r="F13747"/>
  <c r="F13757"/>
  <c r="F13783"/>
  <c r="F8267"/>
  <c r="F8263"/>
  <c r="F8259"/>
  <c r="F8255"/>
  <c r="F8251"/>
  <c r="F8247"/>
  <c r="F8243"/>
  <c r="F8239"/>
  <c r="F8235"/>
  <c r="F8231"/>
  <c r="F8227"/>
  <c r="F8223"/>
  <c r="F8219"/>
  <c r="F8215"/>
  <c r="F8211"/>
  <c r="F8207"/>
  <c r="F8203"/>
  <c r="F8199"/>
  <c r="F8195"/>
  <c r="F8191"/>
  <c r="F8187"/>
  <c r="F8183"/>
  <c r="F8179"/>
  <c r="F8175"/>
  <c r="F8171"/>
  <c r="F8167"/>
  <c r="F8163"/>
  <c r="F8159"/>
  <c r="F8155"/>
  <c r="F8151"/>
  <c r="F8147"/>
  <c r="F8143"/>
  <c r="F8139"/>
  <c r="F8135"/>
  <c r="F8131"/>
  <c r="F8127"/>
  <c r="F8123"/>
  <c r="F8119"/>
  <c r="F8115"/>
  <c r="F8111"/>
  <c r="F8107"/>
  <c r="F8103"/>
  <c r="F8099"/>
  <c r="F8095"/>
  <c r="F8091"/>
  <c r="F8087"/>
  <c r="F8083"/>
  <c r="F8079"/>
  <c r="F8075"/>
  <c r="F8071"/>
  <c r="F8067"/>
  <c r="F8063"/>
  <c r="F8059"/>
  <c r="F8055"/>
  <c r="F8051"/>
  <c r="F8047"/>
  <c r="F8043"/>
  <c r="F8039"/>
  <c r="F8035"/>
  <c r="F8031"/>
  <c r="F8027"/>
  <c r="F8023"/>
  <c r="F8019"/>
  <c r="F8015"/>
  <c r="F8011"/>
  <c r="F8007"/>
  <c r="F8003"/>
  <c r="F7999"/>
  <c r="F7995"/>
  <c r="F7991"/>
  <c r="F7987"/>
  <c r="F7983"/>
  <c r="F7979"/>
  <c r="F7975"/>
  <c r="F7971"/>
  <c r="F7967"/>
  <c r="F7963"/>
  <c r="F7959"/>
  <c r="F7955"/>
  <c r="F7951"/>
  <c r="F7947"/>
  <c r="F7943"/>
  <c r="F7939"/>
  <c r="F7935"/>
  <c r="F7931"/>
  <c r="F7927"/>
  <c r="F7923"/>
  <c r="F7919"/>
  <c r="F7915"/>
  <c r="F7911"/>
  <c r="F7907"/>
  <c r="F7903"/>
  <c r="F7899"/>
  <c r="F7895"/>
  <c r="F7891"/>
  <c r="F7887"/>
  <c r="F7883"/>
  <c r="F7879"/>
  <c r="F7875"/>
  <c r="F7871"/>
  <c r="F7867"/>
  <c r="F7863"/>
  <c r="F7859"/>
  <c r="F7855"/>
  <c r="F7851"/>
  <c r="F7847"/>
  <c r="F7843"/>
  <c r="F7839"/>
  <c r="F7835"/>
  <c r="F7831"/>
  <c r="F7827"/>
  <c r="F7823"/>
  <c r="F7819"/>
  <c r="F7815"/>
  <c r="F7811"/>
  <c r="F7807"/>
  <c r="F7803"/>
  <c r="F7799"/>
  <c r="F7795"/>
  <c r="F7791"/>
  <c r="F7787"/>
  <c r="F7783"/>
  <c r="F7779"/>
  <c r="F7775"/>
  <c r="F7771"/>
  <c r="F7767"/>
  <c r="F7763"/>
  <c r="F7759"/>
  <c r="F7755"/>
  <c r="F7751"/>
  <c r="F7747"/>
  <c r="F7743"/>
  <c r="F7739"/>
  <c r="F7735"/>
  <c r="F7731"/>
  <c r="F7727"/>
  <c r="F7723"/>
  <c r="F7719"/>
  <c r="F7715"/>
  <c r="F7711"/>
  <c r="F7707"/>
  <c r="F9289"/>
  <c r="F9273"/>
  <c r="F9249"/>
  <c r="F9241"/>
  <c r="F9225"/>
  <c r="F9217"/>
  <c r="F9209"/>
  <c r="F9193"/>
  <c r="F9185"/>
  <c r="F9177"/>
  <c r="F9169"/>
  <c r="F9161"/>
  <c r="F9153"/>
  <c r="F9145"/>
  <c r="F9137"/>
  <c r="F9129"/>
  <c r="F9121"/>
  <c r="F9113"/>
  <c r="F9105"/>
  <c r="F9097"/>
  <c r="F9089"/>
  <c r="F9073"/>
  <c r="F9065"/>
  <c r="F9057"/>
  <c r="F9049"/>
  <c r="F9041"/>
  <c r="F9033"/>
  <c r="F9025"/>
  <c r="F9017"/>
  <c r="F9009"/>
  <c r="F9001"/>
  <c r="F8993"/>
  <c r="F8985"/>
  <c r="F8977"/>
  <c r="F8969"/>
  <c r="F8961"/>
  <c r="F8953"/>
  <c r="F8945"/>
  <c r="F8937"/>
  <c r="F8929"/>
  <c r="F8921"/>
  <c r="F8913"/>
  <c r="F8905"/>
  <c r="F8897"/>
  <c r="F8889"/>
  <c r="F8881"/>
  <c r="F8873"/>
  <c r="F8857"/>
  <c r="F8849"/>
  <c r="F8841"/>
  <c r="F8833"/>
  <c r="F8825"/>
  <c r="F8817"/>
  <c r="F8809"/>
  <c r="F8801"/>
  <c r="F8793"/>
  <c r="F8785"/>
  <c r="F8777"/>
  <c r="F8769"/>
  <c r="F8761"/>
  <c r="F8753"/>
  <c r="F8745"/>
  <c r="F8737"/>
  <c r="F8729"/>
  <c r="F8713"/>
  <c r="F8705"/>
  <c r="F8697"/>
  <c r="F8689"/>
  <c r="F8681"/>
  <c r="F8673"/>
  <c r="F8665"/>
  <c r="F8657"/>
  <c r="F8649"/>
  <c r="F8641"/>
  <c r="F8633"/>
  <c r="F8625"/>
  <c r="F8617"/>
  <c r="F8609"/>
  <c r="F8601"/>
  <c r="F8593"/>
  <c r="F8585"/>
  <c r="F8577"/>
  <c r="F8569"/>
  <c r="F8561"/>
  <c r="F8553"/>
  <c r="F8529"/>
  <c r="F8521"/>
  <c r="F8513"/>
  <c r="F8505"/>
  <c r="F8497"/>
  <c r="F8489"/>
  <c r="F8481"/>
  <c r="F8473"/>
  <c r="F8465"/>
  <c r="F8457"/>
  <c r="F8449"/>
  <c r="F8424"/>
  <c r="F8408"/>
  <c r="F8392"/>
  <c r="F8376"/>
  <c r="F8360"/>
  <c r="F8344"/>
  <c r="F8328"/>
  <c r="F8312"/>
  <c r="F8296"/>
  <c r="F8280"/>
  <c r="F8264"/>
  <c r="F8248"/>
  <c r="F8232"/>
  <c r="F8216"/>
  <c r="F8200"/>
  <c r="F8184"/>
  <c r="F8168"/>
  <c r="F8152"/>
  <c r="F8136"/>
  <c r="F8120"/>
  <c r="F8104"/>
  <c r="F8088"/>
  <c r="F8072"/>
  <c r="F8056"/>
  <c r="F8040"/>
  <c r="F8024"/>
  <c r="F8008"/>
  <c r="F7992"/>
  <c r="F7976"/>
  <c r="F7960"/>
  <c r="F7944"/>
  <c r="F7928"/>
  <c r="F7912"/>
  <c r="F7896"/>
  <c r="F7880"/>
  <c r="F7864"/>
  <c r="F7848"/>
  <c r="F7832"/>
  <c r="F7816"/>
  <c r="F7800"/>
  <c r="F7784"/>
  <c r="F7768"/>
  <c r="F7752"/>
  <c r="F7736"/>
  <c r="F7720"/>
  <c r="F8265"/>
  <c r="F8261"/>
  <c r="F8257"/>
  <c r="F8253"/>
  <c r="F8249"/>
  <c r="F8245"/>
  <c r="F8241"/>
  <c r="F8237"/>
  <c r="F8233"/>
  <c r="F8229"/>
  <c r="F8225"/>
  <c r="F8221"/>
  <c r="F8217"/>
  <c r="F8213"/>
  <c r="F8209"/>
  <c r="F8205"/>
  <c r="F8201"/>
  <c r="F8197"/>
  <c r="F8193"/>
  <c r="F8189"/>
  <c r="F8185"/>
  <c r="F8181"/>
  <c r="F8177"/>
  <c r="F8173"/>
  <c r="F8169"/>
  <c r="F8165"/>
  <c r="F8161"/>
  <c r="F8157"/>
  <c r="F8153"/>
  <c r="F8149"/>
  <c r="F8145"/>
  <c r="F8141"/>
  <c r="F8137"/>
  <c r="F8133"/>
  <c r="F8129"/>
  <c r="F8125"/>
  <c r="F8121"/>
  <c r="F8117"/>
  <c r="F8113"/>
  <c r="F8109"/>
  <c r="F8105"/>
  <c r="F8101"/>
  <c r="F8097"/>
  <c r="F8093"/>
  <c r="F8089"/>
  <c r="F8085"/>
  <c r="F8081"/>
  <c r="F8077"/>
  <c r="F8073"/>
  <c r="F8069"/>
  <c r="F8065"/>
  <c r="F8061"/>
  <c r="F8057"/>
  <c r="F8053"/>
  <c r="F8049"/>
  <c r="F8045"/>
  <c r="F8041"/>
  <c r="F8037"/>
  <c r="F8033"/>
  <c r="F8029"/>
  <c r="F8025"/>
  <c r="F8021"/>
  <c r="F8017"/>
  <c r="F8013"/>
  <c r="F8009"/>
  <c r="F8005"/>
  <c r="F8001"/>
  <c r="F7997"/>
  <c r="F7993"/>
  <c r="F7989"/>
  <c r="F7985"/>
  <c r="F7981"/>
  <c r="F7977"/>
  <c r="F7973"/>
  <c r="F7969"/>
  <c r="F7965"/>
  <c r="F7961"/>
  <c r="F7957"/>
  <c r="F7953"/>
  <c r="F7949"/>
  <c r="F7945"/>
  <c r="F7941"/>
  <c r="F7937"/>
  <c r="F7933"/>
  <c r="F7929"/>
  <c r="F7925"/>
  <c r="F7921"/>
  <c r="F7917"/>
  <c r="F7913"/>
  <c r="F7909"/>
  <c r="F7905"/>
  <c r="F7901"/>
  <c r="F7897"/>
  <c r="F7893"/>
  <c r="F7889"/>
  <c r="F7885"/>
  <c r="F7881"/>
  <c r="F7877"/>
  <c r="F7873"/>
  <c r="F7869"/>
  <c r="F7865"/>
  <c r="F7861"/>
  <c r="F7857"/>
  <c r="F7853"/>
  <c r="F7849"/>
  <c r="F7845"/>
  <c r="F7841"/>
  <c r="F7837"/>
  <c r="F7833"/>
  <c r="F7829"/>
  <c r="F7825"/>
  <c r="F7821"/>
  <c r="F7817"/>
  <c r="F7813"/>
  <c r="F7809"/>
  <c r="F7805"/>
  <c r="F7801"/>
  <c r="F7797"/>
  <c r="F7793"/>
  <c r="F7789"/>
  <c r="F7785"/>
  <c r="F7781"/>
  <c r="F7777"/>
  <c r="F7773"/>
  <c r="F7769"/>
  <c r="F7765"/>
  <c r="F7761"/>
  <c r="F7757"/>
  <c r="F7753"/>
  <c r="F7749"/>
  <c r="F7745"/>
  <c r="F7741"/>
  <c r="F7737"/>
  <c r="F7733"/>
  <c r="F7729"/>
  <c r="F7725"/>
  <c r="F7721"/>
  <c r="F7717"/>
  <c r="F7713"/>
  <c r="F7709"/>
  <c r="F8425"/>
  <c r="F8421"/>
  <c r="F8417"/>
  <c r="F8413"/>
  <c r="F8409"/>
  <c r="F8405"/>
  <c r="F8401"/>
  <c r="F8397"/>
  <c r="F8393"/>
  <c r="F8389"/>
  <c r="F8385"/>
  <c r="F8381"/>
  <c r="F8377"/>
  <c r="F8373"/>
  <c r="F8369"/>
  <c r="F8365"/>
  <c r="F8361"/>
  <c r="F8357"/>
  <c r="F8353"/>
  <c r="F8349"/>
  <c r="F8345"/>
  <c r="F8341"/>
  <c r="F8337"/>
  <c r="F8333"/>
  <c r="F8329"/>
  <c r="F8325"/>
  <c r="F8321"/>
  <c r="F8317"/>
  <c r="F8313"/>
  <c r="F8309"/>
  <c r="F8305"/>
  <c r="F8301"/>
  <c r="F8297"/>
  <c r="F8293"/>
  <c r="F8289"/>
  <c r="F8285"/>
  <c r="F8281"/>
  <c r="F8277"/>
  <c r="F8273"/>
  <c r="F8269"/>
  <c r="F8266"/>
  <c r="F8262"/>
  <c r="F8258"/>
  <c r="F8254"/>
  <c r="F8250"/>
  <c r="F8246"/>
  <c r="F8242"/>
  <c r="F8238"/>
  <c r="F8234"/>
  <c r="F8230"/>
  <c r="F8226"/>
  <c r="F8222"/>
  <c r="F8218"/>
  <c r="F8214"/>
  <c r="F8210"/>
  <c r="F8206"/>
  <c r="F8202"/>
  <c r="F8198"/>
  <c r="F8194"/>
  <c r="F8190"/>
  <c r="F8186"/>
  <c r="F8182"/>
  <c r="F8178"/>
  <c r="F8174"/>
  <c r="F8170"/>
  <c r="F8166"/>
  <c r="F8162"/>
  <c r="F8158"/>
  <c r="F8154"/>
  <c r="F8150"/>
  <c r="F8146"/>
  <c r="F8142"/>
  <c r="F8138"/>
  <c r="F8134"/>
  <c r="F8130"/>
  <c r="F8126"/>
  <c r="F8122"/>
  <c r="F8118"/>
  <c r="F8114"/>
  <c r="F8110"/>
  <c r="F8106"/>
  <c r="F8102"/>
  <c r="F8098"/>
  <c r="F8094"/>
  <c r="F8090"/>
  <c r="F8086"/>
  <c r="F8082"/>
  <c r="F8078"/>
  <c r="F8074"/>
  <c r="F8070"/>
  <c r="F8066"/>
  <c r="F8062"/>
  <c r="F8058"/>
  <c r="F8054"/>
  <c r="F8050"/>
  <c r="F8046"/>
  <c r="F8042"/>
  <c r="F8038"/>
  <c r="F8034"/>
  <c r="F8030"/>
  <c r="F8026"/>
  <c r="F8022"/>
  <c r="F8018"/>
  <c r="F8014"/>
  <c r="F8010"/>
  <c r="F8006"/>
  <c r="F8002"/>
  <c r="F7998"/>
  <c r="F7994"/>
  <c r="F7990"/>
  <c r="F7986"/>
  <c r="F7982"/>
  <c r="F7978"/>
  <c r="F7974"/>
  <c r="F7970"/>
  <c r="F7966"/>
  <c r="F7962"/>
  <c r="F7958"/>
  <c r="F7954"/>
  <c r="F7950"/>
  <c r="F7946"/>
  <c r="F7942"/>
  <c r="F7938"/>
  <c r="F7934"/>
  <c r="F7930"/>
  <c r="F7926"/>
  <c r="F7922"/>
  <c r="F7918"/>
  <c r="F7914"/>
  <c r="F7910"/>
  <c r="F7906"/>
  <c r="F7902"/>
  <c r="F7898"/>
  <c r="F7894"/>
  <c r="F7890"/>
  <c r="F7886"/>
  <c r="F7882"/>
  <c r="F7878"/>
  <c r="F7874"/>
  <c r="F7870"/>
  <c r="F7866"/>
  <c r="F7862"/>
  <c r="F7858"/>
  <c r="F7854"/>
  <c r="F7850"/>
  <c r="F7846"/>
  <c r="F7842"/>
  <c r="F7838"/>
  <c r="F7834"/>
  <c r="F7830"/>
  <c r="F7826"/>
  <c r="F7822"/>
  <c r="F7818"/>
  <c r="F7814"/>
  <c r="F7810"/>
  <c r="F7806"/>
  <c r="F7802"/>
  <c r="F7798"/>
  <c r="F7794"/>
  <c r="F7790"/>
  <c r="F7786"/>
  <c r="F7782"/>
  <c r="F7778"/>
  <c r="F7774"/>
  <c r="F7770"/>
  <c r="F7766"/>
  <c r="F7762"/>
  <c r="F7758"/>
  <c r="F7754"/>
  <c r="F7750"/>
  <c r="F7746"/>
  <c r="F7742"/>
  <c r="F7738"/>
  <c r="F7734"/>
  <c r="F7730"/>
  <c r="F7726"/>
  <c r="F7722"/>
  <c r="F7718"/>
  <c r="F7714"/>
  <c r="F7710"/>
  <c r="F7706"/>
  <c r="F7631"/>
  <c r="F7623"/>
  <c r="F7615"/>
  <c r="F7607"/>
  <c r="F7591"/>
  <c r="F7583"/>
  <c r="F7575"/>
  <c r="F7567"/>
  <c r="F7559"/>
  <c r="F7543"/>
  <c r="F7527"/>
  <c r="F7519"/>
  <c r="F7511"/>
  <c r="F7503"/>
  <c r="F7495"/>
  <c r="F7487"/>
  <c r="F7479"/>
  <c r="F7463"/>
  <c r="F7455"/>
  <c r="F7447"/>
  <c r="F7439"/>
  <c r="F7423"/>
  <c r="F7415"/>
  <c r="F7399"/>
  <c r="F7391"/>
  <c r="F7383"/>
  <c r="F7375"/>
  <c r="F5954"/>
  <c r="F5950"/>
  <c r="F5946"/>
  <c r="F5942"/>
  <c r="F5938"/>
  <c r="F5934"/>
  <c r="F5930"/>
  <c r="F5926"/>
  <c r="F5922"/>
  <c r="F5918"/>
  <c r="F5914"/>
  <c r="F5910"/>
  <c r="F5906"/>
  <c r="F5902"/>
  <c r="F5898"/>
  <c r="F5894"/>
  <c r="F5890"/>
  <c r="F5886"/>
  <c r="F5882"/>
  <c r="F5878"/>
  <c r="F5874"/>
  <c r="F5870"/>
  <c r="F5866"/>
  <c r="F5852"/>
  <c r="F5985"/>
  <c r="F5977"/>
  <c r="F5969"/>
  <c r="F5955"/>
  <c r="F5951"/>
  <c r="F5947"/>
  <c r="F5943"/>
  <c r="F5939"/>
  <c r="F5935"/>
  <c r="F5931"/>
  <c r="F5927"/>
  <c r="F5923"/>
  <c r="F5919"/>
  <c r="F5915"/>
  <c r="F5911"/>
  <c r="F5907"/>
  <c r="F5903"/>
  <c r="F5899"/>
  <c r="F5895"/>
  <c r="F5891"/>
  <c r="F5887"/>
  <c r="F5883"/>
  <c r="F5879"/>
  <c r="F5875"/>
  <c r="F5871"/>
  <c r="F5867"/>
  <c r="F5959"/>
  <c r="F5952"/>
  <c r="F5936"/>
  <c r="F5920"/>
  <c r="F5904"/>
  <c r="F5888"/>
  <c r="F5872"/>
  <c r="F5848"/>
  <c r="F5816"/>
  <c r="F5993"/>
  <c r="F5973"/>
  <c r="F5965"/>
  <c r="F5963"/>
  <c r="F5953"/>
  <c r="F5949"/>
  <c r="F5945"/>
  <c r="F5941"/>
  <c r="F5937"/>
  <c r="F5933"/>
  <c r="F5929"/>
  <c r="F5925"/>
  <c r="F5921"/>
  <c r="F5917"/>
  <c r="F5913"/>
  <c r="F5909"/>
  <c r="F5905"/>
  <c r="F5901"/>
  <c r="F5897"/>
  <c r="F5893"/>
  <c r="F5889"/>
  <c r="F5885"/>
  <c r="F5881"/>
  <c r="F5877"/>
  <c r="F5873"/>
  <c r="F5869"/>
  <c r="F5865"/>
  <c r="F4907"/>
  <c r="F4903"/>
  <c r="F4899"/>
  <c r="F4895"/>
  <c r="F4891"/>
  <c r="F4887"/>
  <c r="F4883"/>
  <c r="F4879"/>
  <c r="F4875"/>
  <c r="F4871"/>
  <c r="F4867"/>
  <c r="F4863"/>
  <c r="F4859"/>
  <c r="F4855"/>
  <c r="F4823"/>
  <c r="F4791"/>
  <c r="F4759"/>
  <c r="F4727"/>
  <c r="F4695"/>
  <c r="F5768"/>
  <c r="F5720"/>
  <c r="F5688"/>
  <c r="F5648"/>
  <c r="F5600"/>
  <c r="F5568"/>
  <c r="F5536"/>
  <c r="F5496"/>
  <c r="F5448"/>
  <c r="F5010"/>
  <c r="F5006"/>
  <c r="F5002"/>
  <c r="F5000"/>
  <c r="F4998"/>
  <c r="F4994"/>
  <c r="F4992"/>
  <c r="F4990"/>
  <c r="F4986"/>
  <c r="F4984"/>
  <c r="F4982"/>
  <c r="F4978"/>
  <c r="F4976"/>
  <c r="F4974"/>
  <c r="F4970"/>
  <c r="F4968"/>
  <c r="F4966"/>
  <c r="F4962"/>
  <c r="F4960"/>
  <c r="F4958"/>
  <c r="F4954"/>
  <c r="F4952"/>
  <c r="F4950"/>
  <c r="F4946"/>
  <c r="F4944"/>
  <c r="F4942"/>
  <c r="F4938"/>
  <c r="F4936"/>
  <c r="F4934"/>
  <c r="F4930"/>
  <c r="F4928"/>
  <c r="F4926"/>
  <c r="F4922"/>
  <c r="F4920"/>
  <c r="F4918"/>
  <c r="F4914"/>
  <c r="F4912"/>
  <c r="F4910"/>
  <c r="F4900"/>
  <c r="F4884"/>
  <c r="F4868"/>
  <c r="F4847"/>
  <c r="F4815"/>
  <c r="F4783"/>
  <c r="F4751"/>
  <c r="F4719"/>
  <c r="F4905"/>
  <c r="F4901"/>
  <c r="F4897"/>
  <c r="F4893"/>
  <c r="F4889"/>
  <c r="F4885"/>
  <c r="F4881"/>
  <c r="F4877"/>
  <c r="F4873"/>
  <c r="F4869"/>
  <c r="F4865"/>
  <c r="F4861"/>
  <c r="F4857"/>
  <c r="F4839"/>
  <c r="F4807"/>
  <c r="F4775"/>
  <c r="F4743"/>
  <c r="F4711"/>
  <c r="F5004"/>
  <c r="F5003"/>
  <c r="F5001"/>
  <c r="F4999"/>
  <c r="F4997"/>
  <c r="F4995"/>
  <c r="F4993"/>
  <c r="F4991"/>
  <c r="F4989"/>
  <c r="F4987"/>
  <c r="F4985"/>
  <c r="F4983"/>
  <c r="F4981"/>
  <c r="F4979"/>
  <c r="F4977"/>
  <c r="F4975"/>
  <c r="F4973"/>
  <c r="F4971"/>
  <c r="F4969"/>
  <c r="F4967"/>
  <c r="F4965"/>
  <c r="F4963"/>
  <c r="F4961"/>
  <c r="F4959"/>
  <c r="F4957"/>
  <c r="F4955"/>
  <c r="F4953"/>
  <c r="F4951"/>
  <c r="F4949"/>
  <c r="F4947"/>
  <c r="F4945"/>
  <c r="F4943"/>
  <c r="F4941"/>
  <c r="F4939"/>
  <c r="F4937"/>
  <c r="F4935"/>
  <c r="F4933"/>
  <c r="F4931"/>
  <c r="F4929"/>
  <c r="F4927"/>
  <c r="F4925"/>
  <c r="F4923"/>
  <c r="F4921"/>
  <c r="F4919"/>
  <c r="F4917"/>
  <c r="F4915"/>
  <c r="F4913"/>
  <c r="F4911"/>
  <c r="F4909"/>
  <c r="F4906"/>
  <c r="F4902"/>
  <c r="F4898"/>
  <c r="F4894"/>
  <c r="F4890"/>
  <c r="F4886"/>
  <c r="F4882"/>
  <c r="F4878"/>
  <c r="F4874"/>
  <c r="F4870"/>
  <c r="F4866"/>
  <c r="F4862"/>
  <c r="F4858"/>
  <c r="F4831"/>
  <c r="F4799"/>
  <c r="F4767"/>
  <c r="F4735"/>
  <c r="F4703"/>
  <c r="F3922"/>
  <c r="F3890"/>
  <c r="F3800"/>
  <c r="F4150"/>
  <c r="F4142"/>
  <c r="F4134"/>
  <c r="F4126"/>
  <c r="F4118"/>
  <c r="F4110"/>
  <c r="F4102"/>
  <c r="F4094"/>
  <c r="F4086"/>
  <c r="F4078"/>
  <c r="F4070"/>
  <c r="F4062"/>
  <c r="F4054"/>
  <c r="F4046"/>
  <c r="F4038"/>
  <c r="F4030"/>
  <c r="F3998"/>
  <c r="F3968"/>
  <c r="F3966"/>
  <c r="F3934"/>
  <c r="F3904"/>
  <c r="F3914"/>
  <c r="F3882"/>
  <c r="F4687"/>
  <c r="F4679"/>
  <c r="F4671"/>
  <c r="F4663"/>
  <c r="F4655"/>
  <c r="F4647"/>
  <c r="F4639"/>
  <c r="F4631"/>
  <c r="F4623"/>
  <c r="F4615"/>
  <c r="F4607"/>
  <c r="F4599"/>
  <c r="F4591"/>
  <c r="F4583"/>
  <c r="F4575"/>
  <c r="F4567"/>
  <c r="F4559"/>
  <c r="F4551"/>
  <c r="F4543"/>
  <c r="F4535"/>
  <c r="F4527"/>
  <c r="F4519"/>
  <c r="F4511"/>
  <c r="F4503"/>
  <c r="F4495"/>
  <c r="F4487"/>
  <c r="F4479"/>
  <c r="F4471"/>
  <c r="F4463"/>
  <c r="F4455"/>
  <c r="F4447"/>
  <c r="F4439"/>
  <c r="F4431"/>
  <c r="F4423"/>
  <c r="F4415"/>
  <c r="F4407"/>
  <c r="F4399"/>
  <c r="F4391"/>
  <c r="F4383"/>
  <c r="F4375"/>
  <c r="F4367"/>
  <c r="F4359"/>
  <c r="F4351"/>
  <c r="F4350"/>
  <c r="F4349"/>
  <c r="F4347"/>
  <c r="F4346"/>
  <c r="F4345"/>
  <c r="F4343"/>
  <c r="F4342"/>
  <c r="F4341"/>
  <c r="F4339"/>
  <c r="F4338"/>
  <c r="F4337"/>
  <c r="F4335"/>
  <c r="F4334"/>
  <c r="F4333"/>
  <c r="F4331"/>
  <c r="F4330"/>
  <c r="F4329"/>
  <c r="F4327"/>
  <c r="F4326"/>
  <c r="F4325"/>
  <c r="F4323"/>
  <c r="F4322"/>
  <c r="F4321"/>
  <c r="F4319"/>
  <c r="F4318"/>
  <c r="F4317"/>
  <c r="F4315"/>
  <c r="F4314"/>
  <c r="F4313"/>
  <c r="F4311"/>
  <c r="F4310"/>
  <c r="F4309"/>
  <c r="F4307"/>
  <c r="F4306"/>
  <c r="F4305"/>
  <c r="F4303"/>
  <c r="F4302"/>
  <c r="F4301"/>
  <c r="F4299"/>
  <c r="F4298"/>
  <c r="F4297"/>
  <c r="F4295"/>
  <c r="F4294"/>
  <c r="F4293"/>
  <c r="F4291"/>
  <c r="F4290"/>
  <c r="F4289"/>
  <c r="F4287"/>
  <c r="F4286"/>
  <c r="F4285"/>
  <c r="F4283"/>
  <c r="F4282"/>
  <c r="F4281"/>
  <c r="F4279"/>
  <c r="F4278"/>
  <c r="F4277"/>
  <c r="F4275"/>
  <c r="F4274"/>
  <c r="F4273"/>
  <c r="F4271"/>
  <c r="F4270"/>
  <c r="F4269"/>
  <c r="F4267"/>
  <c r="F4266"/>
  <c r="F4265"/>
  <c r="F4263"/>
  <c r="F4262"/>
  <c r="F4261"/>
  <c r="F4259"/>
  <c r="F4258"/>
  <c r="F4257"/>
  <c r="F4255"/>
  <c r="F4254"/>
  <c r="F4253"/>
  <c r="F4251"/>
  <c r="F4250"/>
  <c r="F4249"/>
  <c r="F4247"/>
  <c r="F4246"/>
  <c r="F4245"/>
  <c r="F4243"/>
  <c r="F4242"/>
  <c r="F4241"/>
  <c r="F4239"/>
  <c r="F4238"/>
  <c r="F4237"/>
  <c r="F4235"/>
  <c r="F4234"/>
  <c r="F3906"/>
  <c r="F3874"/>
  <c r="F3824"/>
  <c r="F3930"/>
  <c r="F3898"/>
  <c r="F3866"/>
  <c r="F3509"/>
  <c r="F3507"/>
  <c r="F3506"/>
  <c r="F3505"/>
  <c r="F3503"/>
  <c r="F3502"/>
  <c r="F3501"/>
  <c r="F3499"/>
  <c r="F3498"/>
  <c r="F3497"/>
  <c r="F3495"/>
  <c r="F3494"/>
  <c r="F3493"/>
  <c r="F3491"/>
  <c r="F3490"/>
  <c r="F3489"/>
  <c r="F3487"/>
  <c r="F3486"/>
  <c r="F3485"/>
  <c r="F3483"/>
  <c r="F3482"/>
  <c r="F3481"/>
  <c r="F3479"/>
  <c r="F3478"/>
  <c r="F3477"/>
  <c r="F3475"/>
  <c r="F3474"/>
  <c r="F3473"/>
  <c r="F3471"/>
  <c r="F3470"/>
  <c r="F3469"/>
  <c r="F3858"/>
  <c r="F3850"/>
  <c r="F3842"/>
  <c r="F3834"/>
  <c r="F3826"/>
  <c r="F3818"/>
  <c r="F3810"/>
  <c r="F3802"/>
  <c r="F3794"/>
  <c r="F3786"/>
  <c r="F2377"/>
  <c r="F2361"/>
  <c r="F2345"/>
  <c r="F2329"/>
  <c r="F2313"/>
  <c r="F2297"/>
  <c r="F2378"/>
  <c r="F2374"/>
  <c r="F2370"/>
  <c r="F2366"/>
  <c r="F2362"/>
  <c r="F2358"/>
  <c r="F2354"/>
  <c r="F2379"/>
  <c r="F2363"/>
  <c r="F2315"/>
  <c r="F2299"/>
  <c r="F2368"/>
  <c r="F2352"/>
  <c r="F2271"/>
  <c r="F2263"/>
  <c r="F2239"/>
  <c r="F2231"/>
  <c r="F2214"/>
  <c r="F2206"/>
  <c r="F2350"/>
  <c r="F2348"/>
  <c r="F2346"/>
  <c r="F2342"/>
  <c r="F2340"/>
  <c r="F2338"/>
  <c r="F2334"/>
  <c r="F2332"/>
  <c r="F2330"/>
  <c r="F2326"/>
  <c r="F2324"/>
  <c r="F2318"/>
  <c r="F2314"/>
  <c r="F2302"/>
  <c r="F2298"/>
  <c r="F2282"/>
  <c r="F2278"/>
  <c r="F2272"/>
  <c r="F2270"/>
  <c r="F2266"/>
  <c r="F2264"/>
  <c r="F2262"/>
  <c r="F2258"/>
  <c r="F2256"/>
  <c r="F2254"/>
  <c r="F2242"/>
  <c r="F2240"/>
  <c r="F2238"/>
  <c r="F2234"/>
  <c r="F2232"/>
  <c r="F2218"/>
  <c r="F2211"/>
  <c r="F2208"/>
  <c r="C948"/>
  <c r="F1177"/>
  <c r="F9075"/>
  <c r="F9070"/>
  <c r="F9067"/>
  <c r="F9018"/>
  <c r="F8823"/>
  <c r="F8763"/>
  <c r="F8750"/>
  <c r="F8651"/>
  <c r="F7609"/>
  <c r="F7599"/>
  <c r="F7554"/>
  <c r="F7510"/>
  <c r="F7481"/>
  <c r="F7471"/>
  <c r="F7452"/>
  <c r="F7426"/>
  <c r="F7382"/>
  <c r="F7369"/>
  <c r="F7361"/>
  <c r="F7357"/>
  <c r="F7353"/>
  <c r="F7349"/>
  <c r="F7345"/>
  <c r="F7341"/>
  <c r="F7337"/>
  <c r="F7333"/>
  <c r="F7329"/>
  <c r="F7325"/>
  <c r="F7317"/>
  <c r="F7313"/>
  <c r="F7309"/>
  <c r="F7305"/>
  <c r="F7297"/>
  <c r="F7293"/>
  <c r="F7289"/>
  <c r="F7285"/>
  <c r="F7281"/>
  <c r="F7277"/>
  <c r="F7273"/>
  <c r="F7269"/>
  <c r="F7265"/>
  <c r="F7261"/>
  <c r="F7253"/>
  <c r="F7249"/>
  <c r="F7245"/>
  <c r="F7241"/>
  <c r="F7233"/>
  <c r="F7229"/>
  <c r="F7225"/>
  <c r="F7221"/>
  <c r="F7217"/>
  <c r="F7213"/>
  <c r="F7209"/>
  <c r="F7205"/>
  <c r="F7201"/>
  <c r="F7197"/>
  <c r="F7189"/>
  <c r="F7185"/>
  <c r="F7181"/>
  <c r="F7177"/>
  <c r="F7157"/>
  <c r="F7154"/>
  <c r="F7141"/>
  <c r="F7125"/>
  <c r="F7122"/>
  <c r="F2375"/>
  <c r="F2371"/>
  <c r="F2367"/>
  <c r="F2359"/>
  <c r="F2355"/>
  <c r="F2351"/>
  <c r="F2347"/>
  <c r="F2343"/>
  <c r="F2335"/>
  <c r="F2331"/>
  <c r="F2327"/>
  <c r="F2319"/>
  <c r="F2311"/>
  <c r="F2307"/>
  <c r="F2303"/>
  <c r="F2295"/>
  <c r="F2291"/>
  <c r="F2287"/>
  <c r="F2279"/>
  <c r="F2267"/>
  <c r="F2259"/>
  <c r="F2255"/>
  <c r="F2247"/>
  <c r="F2235"/>
  <c r="F2227"/>
  <c r="F2223"/>
  <c r="F2215"/>
  <c r="F2207"/>
  <c r="F2203"/>
  <c r="F2199"/>
  <c r="F2195"/>
  <c r="F2179"/>
  <c r="F2175"/>
  <c r="F2171"/>
  <c r="F2163"/>
  <c r="F2159"/>
  <c r="F2155"/>
  <c r="F2151"/>
  <c r="F2147"/>
  <c r="F2143"/>
  <c r="F2139"/>
  <c r="F2135"/>
  <c r="F2131"/>
  <c r="F2123"/>
  <c r="F2119"/>
  <c r="F2115"/>
  <c r="F2111"/>
  <c r="F2107"/>
  <c r="F2099"/>
  <c r="F2095"/>
  <c r="F2091"/>
  <c r="F2087"/>
  <c r="F2083"/>
  <c r="F2079"/>
  <c r="F2075"/>
  <c r="F2071"/>
  <c r="F2067"/>
  <c r="F2059"/>
  <c r="F2055"/>
  <c r="F2051"/>
  <c r="F2047"/>
  <c r="F2043"/>
  <c r="F2035"/>
  <c r="F2031"/>
  <c r="F2027"/>
  <c r="F2023"/>
  <c r="F2019"/>
  <c r="F2015"/>
  <c r="F2011"/>
  <c r="F2003"/>
  <c r="F1995"/>
  <c r="F1991"/>
  <c r="F1987"/>
  <c r="F1983"/>
  <c r="F1979"/>
  <c r="F1971"/>
  <c r="F1967"/>
  <c r="F1963"/>
  <c r="F1959"/>
  <c r="F1955"/>
  <c r="F1951"/>
  <c r="F1947"/>
  <c r="F1943"/>
  <c r="F1939"/>
  <c r="F1931"/>
  <c r="F1927"/>
  <c r="F1923"/>
  <c r="F1919"/>
  <c r="F1915"/>
  <c r="F1907"/>
  <c r="F1903"/>
  <c r="F1899"/>
  <c r="F1895"/>
  <c r="F1891"/>
  <c r="F1887"/>
  <c r="F1883"/>
  <c r="F1879"/>
  <c r="F1875"/>
  <c r="F1867"/>
  <c r="F1863"/>
  <c r="F1859"/>
  <c r="F1851"/>
  <c r="F1843"/>
  <c r="F1835"/>
  <c r="F1827"/>
  <c r="F1819"/>
  <c r="F1811"/>
  <c r="F1803"/>
  <c r="F1795"/>
  <c r="F1787"/>
  <c r="F1779"/>
  <c r="F1771"/>
  <c r="F1763"/>
  <c r="F1755"/>
  <c r="F1747"/>
  <c r="F1739"/>
  <c r="F1731"/>
  <c r="F1723"/>
  <c r="F1715"/>
  <c r="F1707"/>
  <c r="F1699"/>
  <c r="F1608"/>
  <c r="F1588"/>
  <c r="F1568"/>
  <c r="F1552"/>
  <c r="F1532"/>
  <c r="F1512"/>
  <c r="F1496"/>
  <c r="F1492"/>
  <c r="F1488"/>
  <c r="F1484"/>
  <c r="F1472"/>
  <c r="F1464"/>
  <c r="F1460"/>
  <c r="F1456"/>
  <c r="F1448"/>
  <c r="F1444"/>
  <c r="F1440"/>
  <c r="F1436"/>
  <c r="F1432"/>
  <c r="F7365"/>
  <c r="F13754"/>
  <c r="F13743"/>
  <c r="F13738"/>
  <c r="F13725"/>
  <c r="F13722"/>
  <c r="F13683"/>
  <c r="F13641"/>
  <c r="F13614"/>
  <c r="F13601"/>
  <c r="F13567"/>
  <c r="F13542"/>
  <c r="F13422"/>
  <c r="F13411"/>
  <c r="F13393"/>
  <c r="F13390"/>
  <c r="F13337"/>
  <c r="F13332"/>
  <c r="F13315"/>
  <c r="F13285"/>
  <c r="F13251"/>
  <c r="F13242"/>
  <c r="F13209"/>
  <c r="F13206"/>
  <c r="F13179"/>
  <c r="F13166"/>
  <c r="F13147"/>
  <c r="F13110"/>
  <c r="F13079"/>
  <c r="F13076"/>
  <c r="F13047"/>
  <c r="F13030"/>
  <c r="F12993"/>
  <c r="F12959"/>
  <c r="F12954"/>
  <c r="F12949"/>
  <c r="F12937"/>
  <c r="F12919"/>
  <c r="F12910"/>
  <c r="F12891"/>
  <c r="F12825"/>
  <c r="F12813"/>
  <c r="F12805"/>
  <c r="F12802"/>
  <c r="F12785"/>
  <c r="F12753"/>
  <c r="F12739"/>
  <c r="F12734"/>
  <c r="F12727"/>
  <c r="F12722"/>
  <c r="F12701"/>
  <c r="F12690"/>
  <c r="F12649"/>
  <c r="F12537"/>
  <c r="F10539"/>
  <c r="F10490"/>
  <c r="F10477"/>
  <c r="F10463"/>
  <c r="F10411"/>
  <c r="F10401"/>
  <c r="F10362"/>
  <c r="F10349"/>
  <c r="F10335"/>
  <c r="F10296"/>
  <c r="F10283"/>
  <c r="F10234"/>
  <c r="F10221"/>
  <c r="F10207"/>
  <c r="F10155"/>
  <c r="F10145"/>
  <c r="F10106"/>
  <c r="F10093"/>
  <c r="F10079"/>
  <c r="F10027"/>
  <c r="F9978"/>
  <c r="F9965"/>
  <c r="F9951"/>
  <c r="F9899"/>
  <c r="F9889"/>
  <c r="F9166"/>
  <c r="F9150"/>
  <c r="F9147"/>
  <c r="F9133"/>
  <c r="F2498"/>
  <c r="F7237"/>
  <c r="F1182"/>
  <c r="F5508"/>
  <c r="F13762"/>
  <c r="F13633"/>
  <c r="F13585"/>
  <c r="F13574"/>
  <c r="F13571"/>
  <c r="F13558"/>
  <c r="F13525"/>
  <c r="F13501"/>
  <c r="F13451"/>
  <c r="F13418"/>
  <c r="F13386"/>
  <c r="F13371"/>
  <c r="F13351"/>
  <c r="F13297"/>
  <c r="F13233"/>
  <c r="F13213"/>
  <c r="F13197"/>
  <c r="F13186"/>
  <c r="F13083"/>
  <c r="F13059"/>
  <c r="F13010"/>
  <c r="F12981"/>
  <c r="F12917"/>
  <c r="F12914"/>
  <c r="F12884"/>
  <c r="F12855"/>
  <c r="F12793"/>
  <c r="F12779"/>
  <c r="F12773"/>
  <c r="F12757"/>
  <c r="F12741"/>
  <c r="F12718"/>
  <c r="F12713"/>
  <c r="F12621"/>
  <c r="F12618"/>
  <c r="F12591"/>
  <c r="F12586"/>
  <c r="F12549"/>
  <c r="F12522"/>
  <c r="F10541"/>
  <c r="F10527"/>
  <c r="F10475"/>
  <c r="F10426"/>
  <c r="F10413"/>
  <c r="F10399"/>
  <c r="F10347"/>
  <c r="F10298"/>
  <c r="F10271"/>
  <c r="F10219"/>
  <c r="F10170"/>
  <c r="F10157"/>
  <c r="F10143"/>
  <c r="F10091"/>
  <c r="F10042"/>
  <c r="F10029"/>
  <c r="F10015"/>
  <c r="F9963"/>
  <c r="F9914"/>
  <c r="F9901"/>
  <c r="F9887"/>
  <c r="F9117"/>
  <c r="F9063"/>
  <c r="F9058"/>
  <c r="F9022"/>
  <c r="F8827"/>
  <c r="F8814"/>
  <c r="F8759"/>
  <c r="F8671"/>
  <c r="F8666"/>
  <c r="F8647"/>
  <c r="F8642"/>
  <c r="F8622"/>
  <c r="F7629"/>
  <c r="F7618"/>
  <c r="F7603"/>
  <c r="F7545"/>
  <c r="F7535"/>
  <c r="F7501"/>
  <c r="F7490"/>
  <c r="F7475"/>
  <c r="F7417"/>
  <c r="F7407"/>
  <c r="F7373"/>
  <c r="F7367"/>
  <c r="F7355"/>
  <c r="F7351"/>
  <c r="F7339"/>
  <c r="F7335"/>
  <c r="F7323"/>
  <c r="F7319"/>
  <c r="F7307"/>
  <c r="F7303"/>
  <c r="F7291"/>
  <c r="F7287"/>
  <c r="F7275"/>
  <c r="F7271"/>
  <c r="F7259"/>
  <c r="F7255"/>
  <c r="F7243"/>
  <c r="F7239"/>
  <c r="F7227"/>
  <c r="F7223"/>
  <c r="F7211"/>
  <c r="F7207"/>
  <c r="F7195"/>
  <c r="F7191"/>
  <c r="F7179"/>
  <c r="F7175"/>
  <c r="F7165"/>
  <c r="F7149"/>
  <c r="F7133"/>
  <c r="F4731"/>
  <c r="F4661"/>
  <c r="F4650"/>
  <c r="F4641"/>
  <c r="F4601"/>
  <c r="F4582"/>
  <c r="F3087"/>
  <c r="F1186"/>
  <c r="F1178"/>
  <c r="F13711"/>
  <c r="F13706"/>
  <c r="F13689"/>
  <c r="F13630"/>
  <c r="F13535"/>
  <c r="F13471"/>
  <c r="F13415"/>
  <c r="F13278"/>
  <c r="F13235"/>
  <c r="F13225"/>
  <c r="F13169"/>
  <c r="F13151"/>
  <c r="F13069"/>
  <c r="F13002"/>
  <c r="F12967"/>
  <c r="F12962"/>
  <c r="F12867"/>
  <c r="F12817"/>
  <c r="F12737"/>
  <c r="F12658"/>
  <c r="F10522"/>
  <c r="F10509"/>
  <c r="F10502"/>
  <c r="F10495"/>
  <c r="F10394"/>
  <c r="F10381"/>
  <c r="F10374"/>
  <c r="F10367"/>
  <c r="F10266"/>
  <c r="F10253"/>
  <c r="F10246"/>
  <c r="F10239"/>
  <c r="F10138"/>
  <c r="F10125"/>
  <c r="F10118"/>
  <c r="F10111"/>
  <c r="F10052"/>
  <c r="F10010"/>
  <c r="F9997"/>
  <c r="F9990"/>
  <c r="F9983"/>
  <c r="F9882"/>
  <c r="F9869"/>
  <c r="F9287"/>
  <c r="F9282"/>
  <c r="F9255"/>
  <c r="F9250"/>
  <c r="F9223"/>
  <c r="F9218"/>
  <c r="F8959"/>
  <c r="F8915"/>
  <c r="F8907"/>
  <c r="F8899"/>
  <c r="F8874"/>
  <c r="F8861"/>
  <c r="F8791"/>
  <c r="F8715"/>
  <c r="F8541"/>
  <c r="F8433"/>
  <c r="F5862"/>
  <c r="F5820"/>
  <c r="F5735"/>
  <c r="F5695"/>
  <c r="F5663"/>
  <c r="F5646"/>
  <c r="F5641"/>
  <c r="F5583"/>
  <c r="F5580"/>
  <c r="F5575"/>
  <c r="F5550"/>
  <c r="F5456"/>
  <c r="F5297"/>
  <c r="F5279"/>
  <c r="F5138"/>
  <c r="F5135"/>
  <c r="F5074"/>
  <c r="F5071"/>
  <c r="F5031"/>
  <c r="F5025"/>
  <c r="F5015"/>
  <c r="F5012"/>
  <c r="F4417"/>
  <c r="F1202"/>
  <c r="F1210"/>
  <c r="F6012"/>
  <c r="F4665"/>
  <c r="F4627"/>
  <c r="F4611"/>
  <c r="F4597"/>
  <c r="F4593"/>
  <c r="F3095"/>
  <c r="F2651"/>
  <c r="F2413"/>
  <c r="F2397"/>
  <c r="F2381"/>
  <c r="F2373"/>
  <c r="F2365"/>
  <c r="F2357"/>
  <c r="F2349"/>
  <c r="F2341"/>
  <c r="F2333"/>
  <c r="F2325"/>
  <c r="F2317"/>
  <c r="F2309"/>
  <c r="F2301"/>
  <c r="F2293"/>
  <c r="F2289"/>
  <c r="F2285"/>
  <c r="F2281"/>
  <c r="F2277"/>
  <c r="F2273"/>
  <c r="F2269"/>
  <c r="F2265"/>
  <c r="F2261"/>
  <c r="F2257"/>
  <c r="F2253"/>
  <c r="F2249"/>
  <c r="F2245"/>
  <c r="F2241"/>
  <c r="F2229"/>
  <c r="F2225"/>
  <c r="F2221"/>
  <c r="F2217"/>
  <c r="F2209"/>
  <c r="F2201"/>
  <c r="F2193"/>
  <c r="F2185"/>
  <c r="F2177"/>
  <c r="F2169"/>
  <c r="F2161"/>
  <c r="F2153"/>
  <c r="F2145"/>
  <c r="F2137"/>
  <c r="F2129"/>
  <c r="F2121"/>
  <c r="F2113"/>
  <c r="F2105"/>
  <c r="F2097"/>
  <c r="F2089"/>
  <c r="F2073"/>
  <c r="F2065"/>
  <c r="F2057"/>
  <c r="F2049"/>
  <c r="F2041"/>
  <c r="F2033"/>
  <c r="F2025"/>
  <c r="F2017"/>
  <c r="F2009"/>
  <c r="F2001"/>
  <c r="F1993"/>
  <c r="F1985"/>
  <c r="F1977"/>
  <c r="F1969"/>
  <c r="F1961"/>
  <c r="F1953"/>
  <c r="F1945"/>
  <c r="F1937"/>
  <c r="F1929"/>
  <c r="F1921"/>
  <c r="F1913"/>
  <c r="F1905"/>
  <c r="F1897"/>
  <c r="F1889"/>
  <c r="F1881"/>
  <c r="F1865"/>
  <c r="F1855"/>
  <c r="F1847"/>
  <c r="F1839"/>
  <c r="F1831"/>
  <c r="F1823"/>
  <c r="F1815"/>
  <c r="F1807"/>
  <c r="F1799"/>
  <c r="F1791"/>
  <c r="F1783"/>
  <c r="F1775"/>
  <c r="F1767"/>
  <c r="F1759"/>
  <c r="F1751"/>
  <c r="F1743"/>
  <c r="F1735"/>
  <c r="F1727"/>
  <c r="F1719"/>
  <c r="F1711"/>
  <c r="F1703"/>
  <c r="F1695"/>
  <c r="F1606"/>
  <c r="F1598"/>
  <c r="F1590"/>
  <c r="F1582"/>
  <c r="F1574"/>
  <c r="F1566"/>
  <c r="F1558"/>
  <c r="F1550"/>
  <c r="F1542"/>
  <c r="F1534"/>
  <c r="F1526"/>
  <c r="F1518"/>
  <c r="F1510"/>
  <c r="F1502"/>
  <c r="F1494"/>
  <c r="F1486"/>
  <c r="F1478"/>
  <c r="F1470"/>
  <c r="F1462"/>
  <c r="F1454"/>
  <c r="F1446"/>
  <c r="F1438"/>
  <c r="F1430"/>
  <c r="F1188"/>
  <c r="F1180"/>
  <c r="F1176"/>
  <c r="F13751"/>
  <c r="F13727"/>
  <c r="F13697"/>
  <c r="F13621"/>
  <c r="F13593"/>
  <c r="F13523"/>
  <c r="F13483"/>
  <c r="F13462"/>
  <c r="F13441"/>
  <c r="F13413"/>
  <c r="F13359"/>
  <c r="F13354"/>
  <c r="F13329"/>
  <c r="F13311"/>
  <c r="F13306"/>
  <c r="F13269"/>
  <c r="F13135"/>
  <c r="F13119"/>
  <c r="F13062"/>
  <c r="F12907"/>
  <c r="F12871"/>
  <c r="F12827"/>
  <c r="F12711"/>
  <c r="F12682"/>
  <c r="F12629"/>
  <c r="F12582"/>
  <c r="F12561"/>
  <c r="F12533"/>
  <c r="F10458"/>
  <c r="F10445"/>
  <c r="F10438"/>
  <c r="F10431"/>
  <c r="F10330"/>
  <c r="F10317"/>
  <c r="F10310"/>
  <c r="F10202"/>
  <c r="F10189"/>
  <c r="F10182"/>
  <c r="F10175"/>
  <c r="F10074"/>
  <c r="F10061"/>
  <c r="F10047"/>
  <c r="F9946"/>
  <c r="F9933"/>
  <c r="F9926"/>
  <c r="F9919"/>
  <c r="F9265"/>
  <c r="F9233"/>
  <c r="F9201"/>
  <c r="F9176"/>
  <c r="F8971"/>
  <c r="F8963"/>
  <c r="F8895"/>
  <c r="F8865"/>
  <c r="F8795"/>
  <c r="F8735"/>
  <c r="F8730"/>
  <c r="F8711"/>
  <c r="F8706"/>
  <c r="F8603"/>
  <c r="F8520"/>
  <c r="F8477"/>
  <c r="F5854"/>
  <c r="F5831"/>
  <c r="F5799"/>
  <c r="F5783"/>
  <c r="F5767"/>
  <c r="F5751"/>
  <c r="F5711"/>
  <c r="F5679"/>
  <c r="F5632"/>
  <c r="F5623"/>
  <c r="F5607"/>
  <c r="F5599"/>
  <c r="F5596"/>
  <c r="F5554"/>
  <c r="F5537"/>
  <c r="F5458"/>
  <c r="F5283"/>
  <c r="F5170"/>
  <c r="F5167"/>
  <c r="F5106"/>
  <c r="F5103"/>
  <c r="F5042"/>
  <c r="F5039"/>
  <c r="F5033"/>
  <c r="F5023"/>
  <c r="F5017"/>
  <c r="F1184"/>
  <c r="F1198"/>
  <c r="F1206"/>
  <c r="F13539"/>
  <c r="F13534"/>
  <c r="F13470"/>
  <c r="F13423"/>
  <c r="F13350"/>
  <c r="F13323"/>
  <c r="F13314"/>
  <c r="F13275"/>
  <c r="F13165"/>
  <c r="F13127"/>
  <c r="F13106"/>
  <c r="F13075"/>
  <c r="F13006"/>
  <c r="F12971"/>
  <c r="F12933"/>
  <c r="F12854"/>
  <c r="F12749"/>
  <c r="F12717"/>
  <c r="F12691"/>
  <c r="F12686"/>
  <c r="F12681"/>
  <c r="F12599"/>
  <c r="F12525"/>
  <c r="F10535"/>
  <c r="F10494"/>
  <c r="F10430"/>
  <c r="F10366"/>
  <c r="F10302"/>
  <c r="F10238"/>
  <c r="F10174"/>
  <c r="F10110"/>
  <c r="F10046"/>
  <c r="F9982"/>
  <c r="F9918"/>
  <c r="F9119"/>
  <c r="F8479"/>
  <c r="F8434"/>
  <c r="F5714"/>
  <c r="F5682"/>
  <c r="F5626"/>
  <c r="F5582"/>
  <c r="F5295"/>
  <c r="F5151"/>
  <c r="F5087"/>
  <c r="F4773"/>
  <c r="F4709"/>
  <c r="F4467"/>
  <c r="F3280"/>
  <c r="F3264"/>
  <c r="F13759"/>
  <c r="F13710"/>
  <c r="F13705"/>
  <c r="F13679"/>
  <c r="F13629"/>
  <c r="F13414"/>
  <c r="F13363"/>
  <c r="F13358"/>
  <c r="F13310"/>
  <c r="F13261"/>
  <c r="F13239"/>
  <c r="F13205"/>
  <c r="F13191"/>
  <c r="F13178"/>
  <c r="F13143"/>
  <c r="F13046"/>
  <c r="F12958"/>
  <c r="F12953"/>
  <c r="F12875"/>
  <c r="F12863"/>
  <c r="F12819"/>
  <c r="F12775"/>
  <c r="F12762"/>
  <c r="F12726"/>
  <c r="F12615"/>
  <c r="F12590"/>
  <c r="F12581"/>
  <c r="F12551"/>
  <c r="F12521"/>
  <c r="F10543"/>
  <c r="F10526"/>
  <c r="F10462"/>
  <c r="F10398"/>
  <c r="F10334"/>
  <c r="F10270"/>
  <c r="F10206"/>
  <c r="F10142"/>
  <c r="F10078"/>
  <c r="F10014"/>
  <c r="F9950"/>
  <c r="F9886"/>
  <c r="F9191"/>
  <c r="F9175"/>
  <c r="F9123"/>
  <c r="F8543"/>
  <c r="F5750"/>
  <c r="F5738"/>
  <c r="F5698"/>
  <c r="F5666"/>
  <c r="F5606"/>
  <c r="F5598"/>
  <c r="F5586"/>
  <c r="F5299"/>
  <c r="F5183"/>
  <c r="F5119"/>
  <c r="F5055"/>
  <c r="F4837"/>
  <c r="F4833"/>
  <c r="F4789"/>
  <c r="F4517"/>
  <c r="F4120"/>
  <c r="F3304"/>
  <c r="F3278"/>
  <c r="F3274"/>
  <c r="F3270"/>
  <c r="F3266"/>
  <c r="F3262"/>
  <c r="F3258"/>
  <c r="F3254"/>
  <c r="F9031"/>
  <c r="F8807"/>
  <c r="F8743"/>
  <c r="F8615"/>
  <c r="F8575"/>
  <c r="F8270"/>
  <c r="F5522"/>
  <c r="F5490"/>
  <c r="F5303"/>
  <c r="F5035"/>
  <c r="F5032"/>
  <c r="F5019"/>
  <c r="F4755"/>
  <c r="F4529"/>
  <c r="F4155"/>
  <c r="F3984"/>
  <c r="F8999"/>
  <c r="F8839"/>
  <c r="F8775"/>
  <c r="F8679"/>
  <c r="F8511"/>
  <c r="F5650"/>
  <c r="F5027"/>
  <c r="F5011"/>
  <c r="F4691"/>
  <c r="F4635"/>
  <c r="F4581"/>
  <c r="F4547"/>
  <c r="F4453"/>
  <c r="F4437"/>
  <c r="F4411"/>
  <c r="F4403"/>
  <c r="F4157"/>
  <c r="F4153"/>
  <c r="F5267"/>
  <c r="F5263"/>
  <c r="F5251"/>
  <c r="F5247"/>
  <c r="F5235"/>
  <c r="F5231"/>
  <c r="F5219"/>
  <c r="F5215"/>
  <c r="F5191"/>
  <c r="F5159"/>
  <c r="F5127"/>
  <c r="F5095"/>
  <c r="F5063"/>
  <c r="F4853"/>
  <c r="F4675"/>
  <c r="F4645"/>
  <c r="F4385"/>
  <c r="F4363"/>
  <c r="F4152"/>
  <c r="F3894"/>
  <c r="F3332"/>
  <c r="F3277"/>
  <c r="F3273"/>
  <c r="F3269"/>
  <c r="F3265"/>
  <c r="F3261"/>
  <c r="F3257"/>
  <c r="F5260"/>
  <c r="F5228"/>
  <c r="F5175"/>
  <c r="F5143"/>
  <c r="F5111"/>
  <c r="F5079"/>
  <c r="F5047"/>
  <c r="F4795"/>
  <c r="F4739"/>
  <c r="F4725"/>
  <c r="F4571"/>
  <c r="F4533"/>
  <c r="F4507"/>
  <c r="F4483"/>
  <c r="F4459"/>
  <c r="F4445"/>
  <c r="F4433"/>
  <c r="F4158"/>
  <c r="F4154"/>
  <c r="F4088"/>
  <c r="F3352"/>
  <c r="F3279"/>
  <c r="F3275"/>
  <c r="F3271"/>
  <c r="F3267"/>
  <c r="F3263"/>
  <c r="F3259"/>
  <c r="F3255"/>
  <c r="F4146"/>
  <c r="F4114"/>
  <c r="F4082"/>
  <c r="F4050"/>
  <c r="F3980"/>
  <c r="F3854"/>
  <c r="F3828"/>
  <c r="F3822"/>
  <c r="F3790"/>
  <c r="F3348"/>
  <c r="F3343"/>
  <c r="F3341"/>
  <c r="F3908"/>
  <c r="F3870"/>
  <c r="F3284"/>
  <c r="F3198"/>
  <c r="F3190"/>
  <c r="F3182"/>
  <c r="F3174"/>
  <c r="F2426"/>
  <c r="F2410"/>
  <c r="F2394"/>
  <c r="F2541"/>
  <c r="F2525"/>
  <c r="F2509"/>
  <c r="F2493"/>
  <c r="F2477"/>
  <c r="F2461"/>
  <c r="F2445"/>
  <c r="F2429"/>
  <c r="F2418"/>
  <c r="F2402"/>
  <c r="F2386"/>
  <c r="F1426"/>
  <c r="F1424"/>
  <c r="F1422"/>
  <c r="F1420"/>
  <c r="F1418"/>
  <c r="F1416"/>
  <c r="F1414"/>
  <c r="F1412"/>
  <c r="F1410"/>
  <c r="F1427"/>
  <c r="F1425"/>
  <c r="F1421"/>
  <c r="F1419"/>
  <c r="F1417"/>
  <c r="F1413"/>
  <c r="F1411"/>
  <c r="F1409"/>
  <c r="F1190"/>
  <c r="F1194"/>
  <c r="I42" i="25"/>
  <c r="C789" i="55"/>
  <c r="C793"/>
  <c r="C795"/>
  <c r="C794"/>
  <c r="K2957" i="27"/>
  <c r="P2851"/>
  <c r="P2884" s="1"/>
  <c r="R2884" s="1"/>
  <c r="I2846"/>
  <c r="I2908" s="1"/>
  <c r="K2849"/>
  <c r="I2906"/>
  <c r="K2906" s="1"/>
  <c r="C1144" i="55"/>
  <c r="C1098"/>
  <c r="C1096"/>
  <c r="C1105"/>
  <c r="C1104"/>
  <c r="C1103"/>
  <c r="C564"/>
  <c r="I3139" i="27"/>
  <c r="K3139" s="1"/>
  <c r="I2911"/>
  <c r="I3034" s="1"/>
  <c r="K3034" s="1"/>
  <c r="K2850"/>
  <c r="K2893" s="1"/>
  <c r="K3851" s="1"/>
  <c r="I3799"/>
  <c r="K3799" s="1"/>
  <c r="I3910"/>
  <c r="K3910" s="1"/>
  <c r="I2910"/>
  <c r="I2936" s="1"/>
  <c r="I2759"/>
  <c r="K2759" s="1"/>
  <c r="I3249"/>
  <c r="K3249" s="1"/>
  <c r="I3923"/>
  <c r="K3923" s="1"/>
  <c r="P2873"/>
  <c r="R2873" s="1"/>
  <c r="I3827"/>
  <c r="K3827" s="1"/>
  <c r="K2871"/>
  <c r="I3685"/>
  <c r="K3685" s="1"/>
  <c r="I3920"/>
  <c r="K3920" s="1"/>
  <c r="K2866"/>
  <c r="I3933"/>
  <c r="K3933" s="1"/>
  <c r="I2872"/>
  <c r="K2872" s="1"/>
  <c r="I3351"/>
  <c r="K3351" s="1"/>
  <c r="I2909"/>
  <c r="I2937" s="1"/>
  <c r="I3055" s="1"/>
  <c r="K3055" s="1"/>
  <c r="I2905"/>
  <c r="K2905" s="1"/>
  <c r="I2931"/>
  <c r="I3049" s="1"/>
  <c r="I2856"/>
  <c r="P2846" s="1"/>
  <c r="P2858" s="1"/>
  <c r="R2858" s="1"/>
  <c r="K2894"/>
  <c r="I2758"/>
  <c r="K2758" s="1"/>
  <c r="I2855"/>
  <c r="K2911"/>
  <c r="I3003"/>
  <c r="K3003" s="1"/>
  <c r="P2852"/>
  <c r="R2852" s="1"/>
  <c r="K3771"/>
  <c r="I3643"/>
  <c r="K3643" s="1"/>
  <c r="I3590"/>
  <c r="K3590" s="1"/>
  <c r="I3802"/>
  <c r="K3802" s="1"/>
  <c r="P2871"/>
  <c r="R2871" s="1"/>
  <c r="I3504"/>
  <c r="I3247"/>
  <c r="K3247" s="1"/>
  <c r="K2867"/>
  <c r="I3825"/>
  <c r="K3825" s="1"/>
  <c r="I3797"/>
  <c r="K3797" s="1"/>
  <c r="K2845"/>
  <c r="I2995"/>
  <c r="K2995" s="1"/>
  <c r="I2917"/>
  <c r="K2917" s="1"/>
  <c r="I3725"/>
  <c r="K3725" s="1"/>
  <c r="K2843"/>
  <c r="I3795"/>
  <c r="K3795" s="1"/>
  <c r="I3158"/>
  <c r="I3198" s="1"/>
  <c r="K3198" s="1"/>
  <c r="R2851"/>
  <c r="K2852"/>
  <c r="K2892" s="1"/>
  <c r="K3850" s="1"/>
  <c r="I3666"/>
  <c r="K3666" s="1"/>
  <c r="K2881"/>
  <c r="I38" i="25"/>
  <c r="D53" i="32"/>
  <c r="D116" s="1"/>
  <c r="D585" i="25"/>
  <c r="F190" i="32"/>
  <c r="A174"/>
  <c r="F174" s="1"/>
  <c r="F188"/>
  <c r="F64" i="64"/>
  <c r="F13695" i="55"/>
  <c r="F13686"/>
  <c r="F13673"/>
  <c r="F13657"/>
  <c r="F13431"/>
  <c r="F12849"/>
  <c r="F12602"/>
  <c r="F12587"/>
  <c r="F13331"/>
  <c r="F13289"/>
  <c r="F13286"/>
  <c r="F13031"/>
  <c r="F13001"/>
  <c r="F12998"/>
  <c r="F12966"/>
  <c r="F12822"/>
  <c r="F12811"/>
  <c r="F12803"/>
  <c r="F10550"/>
  <c r="F10547"/>
  <c r="F10507"/>
  <c r="F10449"/>
  <c r="F10437"/>
  <c r="F10419"/>
  <c r="F10415"/>
  <c r="F10409"/>
  <c r="F10403"/>
  <c r="F10251"/>
  <c r="F10193"/>
  <c r="F10181"/>
  <c r="F10163"/>
  <c r="F10159"/>
  <c r="F12611"/>
  <c r="F13643"/>
  <c r="F13366"/>
  <c r="F12931"/>
  <c r="F12874"/>
  <c r="F13654"/>
  <c r="F13666"/>
  <c r="F13773"/>
  <c r="F13750"/>
  <c r="F13594"/>
  <c r="F13583"/>
  <c r="F13554"/>
  <c r="F13469"/>
  <c r="F13255"/>
  <c r="F13222"/>
  <c r="F13207"/>
  <c r="F13173"/>
  <c r="F13117"/>
  <c r="F12680"/>
  <c r="F12662"/>
  <c r="F12653"/>
  <c r="F12639"/>
  <c r="F12633"/>
  <c r="F12566"/>
  <c r="F12545"/>
  <c r="F8717"/>
  <c r="F13746"/>
  <c r="F13639"/>
  <c r="F13623"/>
  <c r="F13609"/>
  <c r="F13457"/>
  <c r="F13419"/>
  <c r="F13162"/>
  <c r="F13145"/>
  <c r="F13134"/>
  <c r="F13098"/>
  <c r="F13066"/>
  <c r="F13051"/>
  <c r="F13025"/>
  <c r="F12994"/>
  <c r="F12978"/>
  <c r="F12963"/>
  <c r="F12889"/>
  <c r="F12643"/>
  <c r="F12631"/>
  <c r="F12557"/>
  <c r="F10542"/>
  <c r="F10517"/>
  <c r="F10357"/>
  <c r="F10341"/>
  <c r="F10337"/>
  <c r="F10329"/>
  <c r="F10322"/>
  <c r="F10313"/>
  <c r="F10299"/>
  <c r="F10295"/>
  <c r="F10261"/>
  <c r="F10119"/>
  <c r="F10101"/>
  <c r="F10085"/>
  <c r="F10081"/>
  <c r="F10073"/>
  <c r="F10066"/>
  <c r="F10054"/>
  <c r="F10039"/>
  <c r="F10005"/>
  <c r="F9863"/>
  <c r="F9855"/>
  <c r="F9847"/>
  <c r="F9839"/>
  <c r="F9831"/>
  <c r="F9823"/>
  <c r="F9815"/>
  <c r="F9807"/>
  <c r="F9799"/>
  <c r="F9791"/>
  <c r="F9783"/>
  <c r="F9775"/>
  <c r="F9767"/>
  <c r="F9759"/>
  <c r="F9751"/>
  <c r="F9743"/>
  <c r="F9735"/>
  <c r="F9727"/>
  <c r="F9719"/>
  <c r="F9711"/>
  <c r="F9703"/>
  <c r="F5710"/>
  <c r="F5705"/>
  <c r="F5684"/>
  <c r="F5667"/>
  <c r="F5654"/>
  <c r="F5615"/>
  <c r="F5602"/>
  <c r="F3830"/>
  <c r="F3823"/>
  <c r="F3809"/>
  <c r="F3399"/>
  <c r="F3391"/>
  <c r="F3379"/>
  <c r="F3370"/>
  <c r="F3185"/>
  <c r="F3179"/>
  <c r="F2518"/>
  <c r="F2515"/>
  <c r="F2505"/>
  <c r="F2485"/>
  <c r="F2475"/>
  <c r="F1873"/>
  <c r="F13510"/>
  <c r="F13466"/>
  <c r="F1200"/>
  <c r="F10153"/>
  <c r="F10147"/>
  <c r="F9995"/>
  <c r="F9940"/>
  <c r="F9937"/>
  <c r="F9925"/>
  <c r="F9903"/>
  <c r="F9897"/>
  <c r="F9891"/>
  <c r="F9861"/>
  <c r="F9853"/>
  <c r="F9845"/>
  <c r="F9837"/>
  <c r="F9829"/>
  <c r="F9821"/>
  <c r="F9813"/>
  <c r="F9805"/>
  <c r="F9797"/>
  <c r="F9789"/>
  <c r="F9781"/>
  <c r="F9773"/>
  <c r="F9765"/>
  <c r="F9757"/>
  <c r="F9749"/>
  <c r="F9741"/>
  <c r="F9733"/>
  <c r="F9725"/>
  <c r="F9717"/>
  <c r="F9709"/>
  <c r="F9701"/>
  <c r="F9697"/>
  <c r="F9689"/>
  <c r="F9681"/>
  <c r="F9673"/>
  <c r="F9665"/>
  <c r="F9657"/>
  <c r="F9649"/>
  <c r="F9641"/>
  <c r="F9633"/>
  <c r="F9625"/>
  <c r="F9617"/>
  <c r="F9609"/>
  <c r="F9601"/>
  <c r="F9593"/>
  <c r="F9585"/>
  <c r="F9577"/>
  <c r="F9569"/>
  <c r="F9561"/>
  <c r="F9553"/>
  <c r="F9545"/>
  <c r="F9537"/>
  <c r="F9529"/>
  <c r="F9521"/>
  <c r="F9513"/>
  <c r="F9505"/>
  <c r="F9497"/>
  <c r="F9489"/>
  <c r="F9481"/>
  <c r="F9473"/>
  <c r="F9465"/>
  <c r="F9457"/>
  <c r="F9449"/>
  <c r="F9441"/>
  <c r="F9433"/>
  <c r="F9425"/>
  <c r="F9417"/>
  <c r="F9409"/>
  <c r="F9401"/>
  <c r="F9393"/>
  <c r="F9385"/>
  <c r="F9377"/>
  <c r="F9369"/>
  <c r="F9361"/>
  <c r="F9353"/>
  <c r="F9345"/>
  <c r="F9337"/>
  <c r="F9329"/>
  <c r="F9321"/>
  <c r="F9313"/>
  <c r="F9305"/>
  <c r="F9297"/>
  <c r="F9281"/>
  <c r="F9275"/>
  <c r="F9189"/>
  <c r="F8975"/>
  <c r="F8898"/>
  <c r="F2421"/>
  <c r="F2408"/>
  <c r="F2310"/>
  <c r="F2306"/>
  <c r="F2284"/>
  <c r="F2274"/>
  <c r="F2230"/>
  <c r="F2226"/>
  <c r="F2222"/>
  <c r="F2194"/>
  <c r="F2144"/>
  <c r="F2085"/>
  <c r="F2074"/>
  <c r="F2037"/>
  <c r="F2026"/>
  <c r="F2007"/>
  <c r="F1877"/>
  <c r="F1844"/>
  <c r="F1812"/>
  <c r="F1780"/>
  <c r="F1761"/>
  <c r="F1756"/>
  <c r="F1724"/>
  <c r="F1692"/>
  <c r="F1618"/>
  <c r="F1614"/>
  <c r="F1480"/>
  <c r="F1431"/>
  <c r="F1407"/>
  <c r="F1403"/>
  <c r="F1399"/>
  <c r="F1395"/>
  <c r="F1391"/>
  <c r="F1387"/>
  <c r="F1383"/>
  <c r="F1379"/>
  <c r="F1375"/>
  <c r="F1371"/>
  <c r="F1367"/>
  <c r="F1363"/>
  <c r="F1359"/>
  <c r="F1355"/>
  <c r="F1351"/>
  <c r="F1347"/>
  <c r="F1343"/>
  <c r="F1339"/>
  <c r="F1336"/>
  <c r="F1328"/>
  <c r="F1320"/>
  <c r="F1312"/>
  <c r="F1304"/>
  <c r="F1296"/>
  <c r="F1288"/>
  <c r="F1280"/>
  <c r="F1272"/>
  <c r="F1264"/>
  <c r="F1256"/>
  <c r="F1208"/>
  <c r="F13410"/>
  <c r="F13307"/>
  <c r="F13283"/>
  <c r="F13277"/>
  <c r="F13258"/>
  <c r="F13219"/>
  <c r="F13187"/>
  <c r="F12955"/>
  <c r="F12946"/>
  <c r="F12943"/>
  <c r="F12927"/>
  <c r="F12569"/>
  <c r="F9205"/>
  <c r="F9182"/>
  <c r="F9158"/>
  <c r="F9122"/>
  <c r="F9039"/>
  <c r="F9034"/>
  <c r="F9026"/>
  <c r="F8862"/>
  <c r="F8628"/>
  <c r="F8605"/>
  <c r="F8572"/>
  <c r="F8533"/>
  <c r="F8518"/>
  <c r="F8493"/>
  <c r="F8471"/>
  <c r="F8466"/>
  <c r="F2233"/>
  <c r="F2296"/>
  <c r="F1452"/>
  <c r="F13765"/>
  <c r="F13713"/>
  <c r="F13635"/>
  <c r="F13611"/>
  <c r="F13590"/>
  <c r="F13546"/>
  <c r="F13491"/>
  <c r="F13477"/>
  <c r="F13381"/>
  <c r="F13362"/>
  <c r="F13343"/>
  <c r="F13260"/>
  <c r="F13243"/>
  <c r="F13226"/>
  <c r="F13215"/>
  <c r="F13181"/>
  <c r="F13102"/>
  <c r="F13073"/>
  <c r="F13070"/>
  <c r="F13017"/>
  <c r="F12851"/>
  <c r="F12835"/>
  <c r="F12754"/>
  <c r="F12751"/>
  <c r="F12707"/>
  <c r="F12625"/>
  <c r="F12613"/>
  <c r="F12574"/>
  <c r="F12559"/>
  <c r="F12541"/>
  <c r="F12538"/>
  <c r="F10439"/>
  <c r="F10435"/>
  <c r="F10421"/>
  <c r="F10183"/>
  <c r="F10179"/>
  <c r="F10165"/>
  <c r="F9927"/>
  <c r="F9923"/>
  <c r="F9909"/>
  <c r="F9857"/>
  <c r="F9849"/>
  <c r="F9841"/>
  <c r="F9833"/>
  <c r="F9825"/>
  <c r="F9817"/>
  <c r="F9809"/>
  <c r="F9801"/>
  <c r="F9793"/>
  <c r="F9785"/>
  <c r="F9777"/>
  <c r="F9769"/>
  <c r="F9761"/>
  <c r="F9753"/>
  <c r="F9745"/>
  <c r="F9737"/>
  <c r="F9729"/>
  <c r="F9721"/>
  <c r="F9713"/>
  <c r="F9705"/>
  <c r="F9693"/>
  <c r="F9685"/>
  <c r="F9677"/>
  <c r="F9669"/>
  <c r="F9661"/>
  <c r="F9653"/>
  <c r="F9645"/>
  <c r="F9637"/>
  <c r="F9629"/>
  <c r="F9621"/>
  <c r="F9613"/>
  <c r="F9605"/>
  <c r="F9597"/>
  <c r="F9589"/>
  <c r="F9581"/>
  <c r="F9573"/>
  <c r="F9525"/>
  <c r="F9517"/>
  <c r="F9509"/>
  <c r="F9501"/>
  <c r="F9493"/>
  <c r="F9485"/>
  <c r="F9477"/>
  <c r="F9469"/>
  <c r="F9461"/>
  <c r="F9453"/>
  <c r="F9445"/>
  <c r="F9437"/>
  <c r="F9429"/>
  <c r="F9421"/>
  <c r="F9413"/>
  <c r="F9405"/>
  <c r="F9397"/>
  <c r="F9389"/>
  <c r="F9381"/>
  <c r="F9373"/>
  <c r="F9365"/>
  <c r="F9357"/>
  <c r="F9349"/>
  <c r="F9341"/>
  <c r="F9333"/>
  <c r="F9325"/>
  <c r="F9317"/>
  <c r="F9309"/>
  <c r="F9301"/>
  <c r="F9285"/>
  <c r="F9271"/>
  <c r="F9266"/>
  <c r="F9257"/>
  <c r="F9231"/>
  <c r="F9135"/>
  <c r="F9081"/>
  <c r="F9043"/>
  <c r="F9011"/>
  <c r="F9003"/>
  <c r="F8855"/>
  <c r="F8781"/>
  <c r="F8721"/>
  <c r="F8702"/>
  <c r="F5989"/>
  <c r="F5745"/>
  <c r="F5742"/>
  <c r="F3838"/>
  <c r="F3825"/>
  <c r="F3821"/>
  <c r="F3814"/>
  <c r="F3364"/>
  <c r="F2462"/>
  <c r="F2449"/>
  <c r="F2436"/>
  <c r="F2398"/>
  <c r="F2383"/>
  <c r="F2322"/>
  <c r="F2294"/>
  <c r="F2290"/>
  <c r="F2286"/>
  <c r="F2250"/>
  <c r="F2246"/>
  <c r="F2213"/>
  <c r="F2210"/>
  <c r="F2192"/>
  <c r="F2167"/>
  <c r="F2146"/>
  <c r="F2024"/>
  <c r="F2013"/>
  <c r="F1482"/>
  <c r="F1429"/>
  <c r="F1405"/>
  <c r="F1401"/>
  <c r="F1397"/>
  <c r="F1393"/>
  <c r="F1389"/>
  <c r="F1385"/>
  <c r="F1381"/>
  <c r="F1377"/>
  <c r="F1373"/>
  <c r="F1369"/>
  <c r="F1365"/>
  <c r="F1361"/>
  <c r="F1357"/>
  <c r="F1353"/>
  <c r="F1349"/>
  <c r="F1345"/>
  <c r="F1341"/>
  <c r="F1196"/>
  <c r="F7619"/>
  <c r="F7610"/>
  <c r="F7556"/>
  <c r="F7551"/>
  <c r="F7525"/>
  <c r="F7476"/>
  <c r="F7431"/>
  <c r="F7347"/>
  <c r="F7299"/>
  <c r="F7284"/>
  <c r="F7231"/>
  <c r="F13755"/>
  <c r="F13730"/>
  <c r="F13663"/>
  <c r="F13647"/>
  <c r="F13637"/>
  <c r="F13613"/>
  <c r="F13587"/>
  <c r="F13537"/>
  <c r="F13455"/>
  <c r="F13405"/>
  <c r="F13378"/>
  <c r="F13368"/>
  <c r="F13319"/>
  <c r="F13293"/>
  <c r="F13231"/>
  <c r="F13211"/>
  <c r="F13202"/>
  <c r="F13155"/>
  <c r="F13061"/>
  <c r="F12950"/>
  <c r="F12913"/>
  <c r="F12881"/>
  <c r="F12869"/>
  <c r="F12795"/>
  <c r="F12765"/>
  <c r="F12637"/>
  <c r="F12597"/>
  <c r="F12523"/>
  <c r="F10478"/>
  <c r="F10355"/>
  <c r="F10351"/>
  <c r="F10331"/>
  <c r="F10301"/>
  <c r="F10290"/>
  <c r="F10222"/>
  <c r="F10099"/>
  <c r="F10095"/>
  <c r="F10075"/>
  <c r="F10045"/>
  <c r="F10034"/>
  <c r="F9966"/>
  <c r="F9859"/>
  <c r="F9851"/>
  <c r="F9843"/>
  <c r="F9835"/>
  <c r="F9827"/>
  <c r="F9819"/>
  <c r="F9811"/>
  <c r="F9803"/>
  <c r="F9795"/>
  <c r="F9787"/>
  <c r="F9779"/>
  <c r="F9771"/>
  <c r="F9763"/>
  <c r="F9755"/>
  <c r="F9747"/>
  <c r="F9739"/>
  <c r="F9731"/>
  <c r="F9723"/>
  <c r="F9715"/>
  <c r="F9707"/>
  <c r="F8979"/>
  <c r="F8962"/>
  <c r="F8650"/>
  <c r="F8599"/>
  <c r="F8594"/>
  <c r="F8559"/>
  <c r="F8554"/>
  <c r="F8545"/>
  <c r="F8537"/>
  <c r="F8460"/>
  <c r="F8438"/>
  <c r="F8431"/>
  <c r="F7625"/>
  <c r="F7590"/>
  <c r="F7579"/>
  <c r="F7542"/>
  <c r="F7534"/>
  <c r="F7486"/>
  <c r="F7453"/>
  <c r="F7424"/>
  <c r="F7410"/>
  <c r="F7327"/>
  <c r="F7279"/>
  <c r="F7200"/>
  <c r="F13707"/>
  <c r="F13651"/>
  <c r="F13646"/>
  <c r="F13638"/>
  <c r="F13586"/>
  <c r="F13495"/>
  <c r="F13409"/>
  <c r="F13369"/>
  <c r="F13301"/>
  <c r="F13218"/>
  <c r="F13210"/>
  <c r="F13122"/>
  <c r="F13041"/>
  <c r="F13011"/>
  <c r="F12997"/>
  <c r="F12989"/>
  <c r="F12915"/>
  <c r="F12887"/>
  <c r="F12843"/>
  <c r="F12797"/>
  <c r="F12771"/>
  <c r="F12759"/>
  <c r="F12685"/>
  <c r="F12663"/>
  <c r="F12638"/>
  <c r="F12610"/>
  <c r="F12603"/>
  <c r="F12583"/>
  <c r="F12578"/>
  <c r="F12575"/>
  <c r="F12567"/>
  <c r="F12558"/>
  <c r="F10531"/>
  <c r="F10519"/>
  <c r="F10497"/>
  <c r="F10489"/>
  <c r="F10423"/>
  <c r="F10281"/>
  <c r="F10275"/>
  <c r="F10263"/>
  <c r="F10241"/>
  <c r="F10233"/>
  <c r="F10167"/>
  <c r="F10025"/>
  <c r="F10019"/>
  <c r="F10007"/>
  <c r="F9985"/>
  <c r="F9977"/>
  <c r="F9911"/>
  <c r="F9691"/>
  <c r="F9683"/>
  <c r="F9675"/>
  <c r="F9667"/>
  <c r="F9659"/>
  <c r="F9651"/>
  <c r="F9643"/>
  <c r="F9635"/>
  <c r="F9232"/>
  <c r="F9207"/>
  <c r="F9167"/>
  <c r="F9040"/>
  <c r="F8856"/>
  <c r="F7315"/>
  <c r="F5538"/>
  <c r="F5099"/>
  <c r="F4849"/>
  <c r="F4819"/>
  <c r="F4757"/>
  <c r="F4737"/>
  <c r="F4625"/>
  <c r="F4609"/>
  <c r="F4501"/>
  <c r="F4451"/>
  <c r="F4401"/>
  <c r="F13665"/>
  <c r="F13642"/>
  <c r="F13617"/>
  <c r="F13605"/>
  <c r="F13595"/>
  <c r="F13582"/>
  <c r="F13569"/>
  <c r="F13507"/>
  <c r="F13465"/>
  <c r="F13449"/>
  <c r="F13417"/>
  <c r="F13385"/>
  <c r="F13367"/>
  <c r="F13322"/>
  <c r="F13298"/>
  <c r="F13279"/>
  <c r="F13227"/>
  <c r="F13214"/>
  <c r="F13183"/>
  <c r="F13105"/>
  <c r="F13024"/>
  <c r="F12961"/>
  <c r="F12945"/>
  <c r="F12938"/>
  <c r="F12923"/>
  <c r="F12862"/>
  <c r="F12786"/>
  <c r="F12783"/>
  <c r="F12728"/>
  <c r="F12723"/>
  <c r="F12645"/>
  <c r="F12642"/>
  <c r="F12616"/>
  <c r="F12585"/>
  <c r="F12529"/>
  <c r="F10546"/>
  <c r="F10529"/>
  <c r="F10525"/>
  <c r="F10505"/>
  <c r="F10491"/>
  <c r="F10481"/>
  <c r="F10418"/>
  <c r="F10354"/>
  <c r="F10323"/>
  <c r="F10319"/>
  <c r="F10293"/>
  <c r="F10273"/>
  <c r="F10269"/>
  <c r="F10249"/>
  <c r="F10235"/>
  <c r="F10225"/>
  <c r="F10162"/>
  <c r="F10098"/>
  <c r="F10067"/>
  <c r="F10063"/>
  <c r="F10037"/>
  <c r="F10017"/>
  <c r="F10013"/>
  <c r="F9993"/>
  <c r="F9979"/>
  <c r="F9969"/>
  <c r="F9906"/>
  <c r="F9695"/>
  <c r="F9687"/>
  <c r="F9679"/>
  <c r="F9671"/>
  <c r="F9663"/>
  <c r="F9655"/>
  <c r="F9647"/>
  <c r="F9639"/>
  <c r="F9631"/>
  <c r="F9056"/>
  <c r="F8495"/>
  <c r="F6007"/>
  <c r="F5983"/>
  <c r="F5778"/>
  <c r="F5470"/>
  <c r="F5115"/>
  <c r="F4689"/>
  <c r="F4513"/>
  <c r="F4435"/>
  <c r="F4427"/>
  <c r="F4387"/>
  <c r="F4353"/>
  <c r="F9199"/>
  <c r="F8727"/>
  <c r="F5726"/>
  <c r="F5638"/>
  <c r="F5618"/>
  <c r="F5570"/>
  <c r="F5179"/>
  <c r="F4803"/>
  <c r="F4705"/>
  <c r="F4629"/>
  <c r="F4613"/>
  <c r="F3330"/>
  <c r="F9263"/>
  <c r="F8991"/>
  <c r="F8887"/>
  <c r="F8695"/>
  <c r="F8447"/>
  <c r="F5999"/>
  <c r="F5566"/>
  <c r="F5163"/>
  <c r="F5051"/>
  <c r="F4835"/>
  <c r="F4723"/>
  <c r="F4677"/>
  <c r="F3338"/>
  <c r="F5842"/>
  <c r="F5826"/>
  <c r="F5810"/>
  <c r="F5794"/>
  <c r="F5442"/>
  <c r="F5147"/>
  <c r="F5067"/>
  <c r="F4603"/>
  <c r="F4595"/>
  <c r="F3886"/>
  <c r="F3354"/>
  <c r="F3178"/>
  <c r="F2647"/>
  <c r="F5762"/>
  <c r="F5594"/>
  <c r="F5131"/>
  <c r="F5083"/>
  <c r="F4763"/>
  <c r="F4643"/>
  <c r="F3942"/>
  <c r="F3926"/>
  <c r="F3820"/>
  <c r="F3314"/>
  <c r="F3310"/>
  <c r="F3282"/>
  <c r="F4539"/>
  <c r="F4485"/>
  <c r="F4419"/>
  <c r="F3978"/>
  <c r="F3322"/>
  <c r="F2639"/>
  <c r="F2517"/>
  <c r="F2414"/>
  <c r="F4579"/>
  <c r="F3962"/>
  <c r="F3878"/>
  <c r="F3194"/>
  <c r="F2641"/>
  <c r="F2382"/>
  <c r="F2453"/>
  <c r="F1406"/>
  <c r="F1402"/>
  <c r="F1398"/>
  <c r="F1394"/>
  <c r="F1390"/>
  <c r="F1386"/>
  <c r="F1382"/>
  <c r="F1378"/>
  <c r="F1374"/>
  <c r="F1370"/>
  <c r="F1366"/>
  <c r="F1362"/>
  <c r="F1358"/>
  <c r="F1354"/>
  <c r="F1350"/>
  <c r="F1346"/>
  <c r="F1342"/>
  <c r="F1338"/>
  <c r="F1330"/>
  <c r="F1322"/>
  <c r="F1314"/>
  <c r="F1306"/>
  <c r="F1298"/>
  <c r="F1290"/>
  <c r="F1282"/>
  <c r="F1274"/>
  <c r="F1266"/>
  <c r="F1258"/>
  <c r="F2549"/>
  <c r="F1408"/>
  <c r="F1404"/>
  <c r="F1400"/>
  <c r="F1396"/>
  <c r="F1392"/>
  <c r="F1388"/>
  <c r="F1384"/>
  <c r="F1380"/>
  <c r="F1376"/>
  <c r="F1372"/>
  <c r="F1368"/>
  <c r="F1364"/>
  <c r="F1360"/>
  <c r="F1356"/>
  <c r="F1352"/>
  <c r="F1348"/>
  <c r="F1344"/>
  <c r="F1340"/>
  <c r="F528" i="64"/>
  <c r="D590"/>
  <c r="F590" s="1"/>
  <c r="F538"/>
  <c r="F602"/>
  <c r="F515"/>
  <c r="D579"/>
  <c r="F579" s="1"/>
  <c r="F506"/>
  <c r="D570"/>
  <c r="D645" s="1"/>
  <c r="D598"/>
  <c r="F598" s="1"/>
  <c r="F529"/>
  <c r="D591"/>
  <c r="F542"/>
  <c r="F605"/>
  <c r="D599"/>
  <c r="F599" s="1"/>
  <c r="F543"/>
  <c r="D531"/>
  <c r="D107"/>
  <c r="F107" s="1"/>
  <c r="F225"/>
  <c r="D374"/>
  <c r="D375" s="1"/>
  <c r="D376" s="1"/>
  <c r="D377" s="1"/>
  <c r="P21"/>
  <c r="D172"/>
  <c r="D173" s="1"/>
  <c r="D174" s="1"/>
  <c r="D175" s="1"/>
  <c r="P38"/>
  <c r="P40" s="1"/>
  <c r="F65"/>
  <c r="D221"/>
  <c r="D287" s="1"/>
  <c r="D410" s="1"/>
  <c r="D327"/>
  <c r="F327" s="1"/>
  <c r="F134"/>
  <c r="D437"/>
  <c r="D438" s="1"/>
  <c r="D439" s="1"/>
  <c r="D440" s="1"/>
  <c r="P10"/>
  <c r="P11" s="1"/>
  <c r="W10"/>
  <c r="D143"/>
  <c r="F537"/>
  <c r="F536"/>
  <c r="F70"/>
  <c r="F531"/>
  <c r="F593"/>
  <c r="F221"/>
  <c r="D223"/>
  <c r="F223" s="1"/>
  <c r="D123"/>
  <c r="D203" s="1"/>
  <c r="E209" i="25"/>
  <c r="G209" s="1"/>
  <c r="D620"/>
  <c r="D656" s="1"/>
  <c r="D591"/>
  <c r="F591" s="1"/>
  <c r="D547"/>
  <c r="D24"/>
  <c r="D23"/>
  <c r="D36" s="1"/>
  <c r="D219" i="64"/>
  <c r="D279" s="1"/>
  <c r="Z17" i="27"/>
  <c r="AC17" s="1"/>
  <c r="I254" s="1"/>
  <c r="K254" s="1"/>
  <c r="F60" i="64"/>
  <c r="D48" i="25"/>
  <c r="F48" s="1"/>
  <c r="A255" i="32"/>
  <c r="F255" s="1"/>
  <c r="A270"/>
  <c r="A271" s="1"/>
  <c r="D49" i="25"/>
  <c r="D72" s="1"/>
  <c r="E199"/>
  <c r="G199" s="1"/>
  <c r="E207"/>
  <c r="G207" s="1"/>
  <c r="D50"/>
  <c r="F50" s="1"/>
  <c r="F25"/>
  <c r="P22" i="64"/>
  <c r="F478"/>
  <c r="D222"/>
  <c r="F222" s="1"/>
  <c r="D144"/>
  <c r="E833" s="1"/>
  <c r="AP35"/>
  <c r="AR35" s="1"/>
  <c r="D150"/>
  <c r="F8527" i="55"/>
  <c r="F8439"/>
  <c r="F8591"/>
  <c r="F9183"/>
  <c r="F9131"/>
  <c r="F6001"/>
  <c r="F5987"/>
  <c r="F5746"/>
  <c r="F5534"/>
  <c r="F5171"/>
  <c r="F5139"/>
  <c r="F5107"/>
  <c r="F5075"/>
  <c r="F5043"/>
  <c r="F5007"/>
  <c r="F4787"/>
  <c r="F4769"/>
  <c r="F4741"/>
  <c r="F4707"/>
  <c r="F4545"/>
  <c r="F4369"/>
  <c r="F3958"/>
  <c r="F3902"/>
  <c r="F3342"/>
  <c r="F3366"/>
  <c r="F3306"/>
  <c r="F3286"/>
  <c r="F3294"/>
  <c r="F3186"/>
  <c r="F2501"/>
  <c r="F2643"/>
  <c r="F1325"/>
  <c r="F1309"/>
  <c r="F1293"/>
  <c r="F1277"/>
  <c r="AP38" i="64"/>
  <c r="AR38" s="1"/>
  <c r="AP42"/>
  <c r="AR42" s="1"/>
  <c r="F66"/>
  <c r="AC19" i="27"/>
  <c r="C164" s="1"/>
  <c r="Z29"/>
  <c r="Z34" s="1"/>
  <c r="AC34" s="1"/>
  <c r="C77" s="1"/>
  <c r="I443" s="1"/>
  <c r="K443" s="1"/>
  <c r="K451" s="1"/>
  <c r="K453" s="1"/>
  <c r="I458" s="1"/>
  <c r="K458" s="1"/>
  <c r="K462" s="1"/>
  <c r="K464" s="1"/>
  <c r="K466" s="1"/>
  <c r="K467" s="1"/>
  <c r="K468" s="1"/>
  <c r="K469" s="1"/>
  <c r="K470" s="1"/>
  <c r="C78"/>
  <c r="I45" s="1"/>
  <c r="K45" s="1"/>
  <c r="C451" i="55"/>
  <c r="C715"/>
  <c r="D716" i="68" s="1"/>
  <c r="F716" s="1"/>
  <c r="F1076" s="1"/>
  <c r="W37" i="64"/>
  <c r="K2931" i="27"/>
  <c r="I1011"/>
  <c r="I2522" s="1"/>
  <c r="K2522" s="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564"/>
  <c r="K1564" s="1"/>
  <c r="I1590"/>
  <c r="K1590" s="1"/>
  <c r="P2336"/>
  <c r="R2336" s="1"/>
  <c r="I2321"/>
  <c r="K2321" s="1"/>
  <c r="I1771"/>
  <c r="K1771" s="1"/>
  <c r="I1179"/>
  <c r="I2737"/>
  <c r="K2737" s="1"/>
  <c r="I1808"/>
  <c r="K1808" s="1"/>
  <c r="I1826"/>
  <c r="K1826" s="1"/>
  <c r="I1910"/>
  <c r="K1910" s="1"/>
  <c r="I1844"/>
  <c r="I607"/>
  <c r="K607" s="1"/>
  <c r="P521"/>
  <c r="R521" s="1"/>
  <c r="P503"/>
  <c r="R503" s="1"/>
  <c r="P549"/>
  <c r="R549" s="1"/>
  <c r="M116"/>
  <c r="M13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I3149"/>
  <c r="P3156" s="1"/>
  <c r="R3156" s="1"/>
  <c r="P3294"/>
  <c r="P3397" s="1"/>
  <c r="R3397" s="1"/>
  <c r="I2666"/>
  <c r="I3104" s="1"/>
  <c r="P2078" s="1"/>
  <c r="R2078" s="1"/>
  <c r="I1131"/>
  <c r="K1131" s="1"/>
  <c r="I1056"/>
  <c r="AE1065" s="1"/>
  <c r="AG1065" s="1"/>
  <c r="P213"/>
  <c r="R213" s="1"/>
  <c r="I786"/>
  <c r="K786" s="1"/>
  <c r="I764"/>
  <c r="K764" s="1"/>
  <c r="P25"/>
  <c r="R25" s="1"/>
  <c r="I141"/>
  <c r="K141" s="1"/>
  <c r="I1969"/>
  <c r="P1969" s="1"/>
  <c r="R1969" s="1"/>
  <c r="I2145"/>
  <c r="P2152" s="1"/>
  <c r="R2152" s="1"/>
  <c r="I1750"/>
  <c r="K1750" s="1"/>
  <c r="I2125"/>
  <c r="K2125" s="1"/>
  <c r="I1780"/>
  <c r="K1780" s="1"/>
  <c r="P640"/>
  <c r="R640" s="1"/>
  <c r="P652"/>
  <c r="R652" s="1"/>
  <c r="P622"/>
  <c r="R622" s="1"/>
  <c r="P576"/>
  <c r="R576" s="1"/>
  <c r="P468"/>
  <c r="R468" s="1"/>
  <c r="P450"/>
  <c r="R450" s="1"/>
  <c r="I110"/>
  <c r="K110" s="1"/>
  <c r="I82"/>
  <c r="K82" s="1"/>
  <c r="I81"/>
  <c r="K81" s="1"/>
  <c r="P431"/>
  <c r="K133"/>
  <c r="K136"/>
  <c r="I989"/>
  <c r="K989" s="1"/>
  <c r="I954"/>
  <c r="P947" s="1"/>
  <c r="R947" s="1"/>
  <c r="P721"/>
  <c r="R721" s="1"/>
  <c r="I1019"/>
  <c r="K1019" s="1"/>
  <c r="P752"/>
  <c r="R752" s="1"/>
  <c r="P736"/>
  <c r="R736" s="1"/>
  <c r="I124"/>
  <c r="K124" s="1"/>
  <c r="K127" s="1"/>
  <c r="K129" s="1"/>
  <c r="I94"/>
  <c r="K94" s="1"/>
  <c r="I95"/>
  <c r="K95" s="1"/>
  <c r="I3748"/>
  <c r="K3748" s="1"/>
  <c r="I3253"/>
  <c r="K3253" s="1"/>
  <c r="V1334"/>
  <c r="X1334" s="1"/>
  <c r="P1375"/>
  <c r="R1375" s="1"/>
  <c r="I3795"/>
  <c r="I3809" s="1"/>
  <c r="K3809" s="1"/>
  <c r="I3723"/>
  <c r="K3723" s="1"/>
  <c r="I3706"/>
  <c r="K3706" s="1"/>
  <c r="P3515"/>
  <c r="R3515" s="1"/>
  <c r="I3769"/>
  <c r="K3769" s="1"/>
  <c r="I3749"/>
  <c r="K3749" s="1"/>
  <c r="V3671"/>
  <c r="I3342"/>
  <c r="K3342" s="1"/>
  <c r="AF3106"/>
  <c r="AQ3106" s="1"/>
  <c r="AS3106" s="1"/>
  <c r="P2360"/>
  <c r="R2360" s="1"/>
  <c r="P1548"/>
  <c r="R1548" s="1"/>
  <c r="P1377"/>
  <c r="R1377" s="1"/>
  <c r="V1336"/>
  <c r="AB1334" s="1"/>
  <c r="AC1334" s="1"/>
  <c r="I3121"/>
  <c r="J3044"/>
  <c r="K3044" s="1"/>
  <c r="I2409"/>
  <c r="K2409" s="1"/>
  <c r="I2011"/>
  <c r="P2012" s="1"/>
  <c r="R2012" s="1"/>
  <c r="I1972"/>
  <c r="P1972" s="1"/>
  <c r="R1972" s="1"/>
  <c r="I2106"/>
  <c r="K2106" s="1"/>
  <c r="I2053"/>
  <c r="K2053" s="1"/>
  <c r="I1993"/>
  <c r="P1993" s="1"/>
  <c r="R1993" s="1"/>
  <c r="I1631"/>
  <c r="I2077"/>
  <c r="K2077" s="1"/>
  <c r="I2008"/>
  <c r="K2008" s="1"/>
  <c r="I1943"/>
  <c r="I3564" s="1"/>
  <c r="P3567" s="1"/>
  <c r="R3567" s="1"/>
  <c r="I2030"/>
  <c r="P2030" s="1"/>
  <c r="R2030" s="1"/>
  <c r="I2027"/>
  <c r="P2027" s="1"/>
  <c r="R2027" s="1"/>
  <c r="I3768"/>
  <c r="K3768" s="1"/>
  <c r="P3722"/>
  <c r="R3722" s="1"/>
  <c r="I3705"/>
  <c r="K3705" s="1"/>
  <c r="I3102"/>
  <c r="P2671"/>
  <c r="K2664"/>
  <c r="I2164"/>
  <c r="K2164" s="1"/>
  <c r="I2151"/>
  <c r="P2158" s="1"/>
  <c r="R2158" s="1"/>
  <c r="I2177"/>
  <c r="K2177" s="1"/>
  <c r="I2131"/>
  <c r="K2131" s="1"/>
  <c r="I3539"/>
  <c r="P3543" s="1"/>
  <c r="R3543" s="1"/>
  <c r="I2835"/>
  <c r="X12"/>
  <c r="D17"/>
  <c r="I20"/>
  <c r="K20" s="1"/>
  <c r="X24"/>
  <c r="I29"/>
  <c r="K29" s="1"/>
  <c r="AC31"/>
  <c r="P1379" s="1"/>
  <c r="R1379" s="1"/>
  <c r="D32"/>
  <c r="I1104" s="1"/>
  <c r="K1104" s="1"/>
  <c r="P54"/>
  <c r="R54" s="1"/>
  <c r="P67"/>
  <c r="R67" s="1"/>
  <c r="I168"/>
  <c r="K168" s="1"/>
  <c r="I227"/>
  <c r="K227" s="1"/>
  <c r="I229"/>
  <c r="K229" s="1"/>
  <c r="I273"/>
  <c r="K273" s="1"/>
  <c r="I274"/>
  <c r="K274" s="1"/>
  <c r="P285"/>
  <c r="R285" s="1"/>
  <c r="I315"/>
  <c r="I316"/>
  <c r="K316" s="1"/>
  <c r="P322"/>
  <c r="R322" s="1"/>
  <c r="P338"/>
  <c r="R338" s="1"/>
  <c r="I340"/>
  <c r="V340" s="1"/>
  <c r="X340" s="1"/>
  <c r="I358"/>
  <c r="V358" s="1"/>
  <c r="I360"/>
  <c r="V360" s="1"/>
  <c r="X360" s="1"/>
  <c r="P364"/>
  <c r="R364" s="1"/>
  <c r="P377"/>
  <c r="R377" s="1"/>
  <c r="P378"/>
  <c r="R378" s="1"/>
  <c r="P379"/>
  <c r="R379" s="1"/>
  <c r="I383"/>
  <c r="V383" s="1"/>
  <c r="V414" s="1"/>
  <c r="X414" s="1"/>
  <c r="P393"/>
  <c r="R393" s="1"/>
  <c r="I413"/>
  <c r="K413" s="1"/>
  <c r="P3514"/>
  <c r="R3514" s="1"/>
  <c r="P2359"/>
  <c r="R2359" s="1"/>
  <c r="I2298"/>
  <c r="K2298" s="1"/>
  <c r="V1335"/>
  <c r="X1335" s="1"/>
  <c r="P1376"/>
  <c r="R1376" s="1"/>
  <c r="I3459"/>
  <c r="I3826" s="1"/>
  <c r="K3826" s="1"/>
  <c r="J3045"/>
  <c r="K3045" s="1"/>
  <c r="I2739"/>
  <c r="K2739" s="1"/>
  <c r="I2994"/>
  <c r="K2994" s="1"/>
  <c r="I2713"/>
  <c r="I2428"/>
  <c r="P2435" s="1"/>
  <c r="R2435" s="1"/>
  <c r="I2369"/>
  <c r="K2369" s="1"/>
  <c r="I2322"/>
  <c r="K2322" s="1"/>
  <c r="I2178"/>
  <c r="K2178" s="1"/>
  <c r="I2152"/>
  <c r="P2159" s="1"/>
  <c r="R2159" s="1"/>
  <c r="I2132"/>
  <c r="K2132" s="1"/>
  <c r="I2079"/>
  <c r="K2079" s="1"/>
  <c r="I1974"/>
  <c r="P1974" s="1"/>
  <c r="R1974" s="1"/>
  <c r="I1912"/>
  <c r="K1912" s="1"/>
  <c r="I1810"/>
  <c r="K1810" s="1"/>
  <c r="I1708"/>
  <c r="K1708" s="1"/>
  <c r="I1647"/>
  <c r="I2791"/>
  <c r="K2791" s="1"/>
  <c r="L2757" s="1"/>
  <c r="I2686"/>
  <c r="K2686" s="1"/>
  <c r="I2399"/>
  <c r="K2399" s="1"/>
  <c r="I2107"/>
  <c r="K2107" s="1"/>
  <c r="I1995"/>
  <c r="P1995" s="1"/>
  <c r="R1995" s="1"/>
  <c r="I1944"/>
  <c r="I3565" s="1"/>
  <c r="I1828"/>
  <c r="K1828" s="1"/>
  <c r="I2335"/>
  <c r="K2335" s="1"/>
  <c r="I2165"/>
  <c r="K2165" s="1"/>
  <c r="I2055"/>
  <c r="K2055" s="1"/>
  <c r="I2012"/>
  <c r="K2012" s="1"/>
  <c r="I1846"/>
  <c r="K1846" s="1"/>
  <c r="I1480"/>
  <c r="K1480" s="1"/>
  <c r="I1467"/>
  <c r="K1467" s="1"/>
  <c r="I2349"/>
  <c r="K2349" s="1"/>
  <c r="P2337"/>
  <c r="R2337" s="1"/>
  <c r="I2031"/>
  <c r="K2031" s="1"/>
  <c r="I1507"/>
  <c r="K1507" s="1"/>
  <c r="I1492"/>
  <c r="K1492" s="1"/>
  <c r="I1519"/>
  <c r="K1519" s="1"/>
  <c r="I1407"/>
  <c r="K1407" s="1"/>
  <c r="I1394"/>
  <c r="K1394" s="1"/>
  <c r="I1359"/>
  <c r="K1359" s="1"/>
  <c r="I1324"/>
  <c r="K1324" s="1"/>
  <c r="I1306"/>
  <c r="P1304" s="1"/>
  <c r="R1304" s="1"/>
  <c r="I1258"/>
  <c r="K1258" s="1"/>
  <c r="I1455"/>
  <c r="K1455" s="1"/>
  <c r="I1420"/>
  <c r="K1420" s="1"/>
  <c r="P1360"/>
  <c r="R1360" s="1"/>
  <c r="I1435"/>
  <c r="K1435" s="1"/>
  <c r="I1338"/>
  <c r="K1338" s="1"/>
  <c r="I1273"/>
  <c r="AB1266" s="1"/>
  <c r="AD1266" s="1"/>
  <c r="I1228"/>
  <c r="K1228" s="1"/>
  <c r="I1224"/>
  <c r="K1224" s="1"/>
  <c r="I1202"/>
  <c r="K1202" s="1"/>
  <c r="I1162"/>
  <c r="K1162" s="1"/>
  <c r="P1523"/>
  <c r="R1523" s="1"/>
  <c r="I1381"/>
  <c r="K1381" s="1"/>
  <c r="I1253"/>
  <c r="V1282" s="1"/>
  <c r="X1282" s="1"/>
  <c r="I1149"/>
  <c r="K1149" s="1"/>
  <c r="I900"/>
  <c r="K900" s="1"/>
  <c r="V530"/>
  <c r="AB530" s="1"/>
  <c r="I507"/>
  <c r="K507" s="1"/>
  <c r="P1146"/>
  <c r="P1177" s="1"/>
  <c r="R1177" s="1"/>
  <c r="I866"/>
  <c r="I3306" s="1"/>
  <c r="K3306" s="1"/>
  <c r="I606"/>
  <c r="K606" s="1"/>
  <c r="I584"/>
  <c r="K584" s="1"/>
  <c r="I552"/>
  <c r="K552" s="1"/>
  <c r="P551"/>
  <c r="R551" s="1"/>
  <c r="I528"/>
  <c r="K528" s="1"/>
  <c r="P891"/>
  <c r="R891" s="1"/>
  <c r="I884"/>
  <c r="K884" s="1"/>
  <c r="I811"/>
  <c r="K811" s="1"/>
  <c r="I785"/>
  <c r="K785" s="1"/>
  <c r="I763"/>
  <c r="K763" s="1"/>
  <c r="V711"/>
  <c r="X711" s="1"/>
  <c r="Z711" s="1"/>
  <c r="P523"/>
  <c r="R523" s="1"/>
  <c r="P505"/>
  <c r="R505" s="1"/>
  <c r="I727"/>
  <c r="K727" s="1"/>
  <c r="I652"/>
  <c r="K652" s="1"/>
  <c r="V646"/>
  <c r="X646" s="1"/>
  <c r="I622"/>
  <c r="K622" s="1"/>
  <c r="I3750"/>
  <c r="K3750" s="1"/>
  <c r="I3724"/>
  <c r="P3724" s="1"/>
  <c r="R3724" s="1"/>
  <c r="I3343"/>
  <c r="K3343" s="1"/>
  <c r="P3516"/>
  <c r="R3516" s="1"/>
  <c r="P2411"/>
  <c r="R2411" s="1"/>
  <c r="P1378"/>
  <c r="R1378" s="1"/>
  <c r="V1337"/>
  <c r="X1337" s="1"/>
  <c r="I2368"/>
  <c r="K2368" s="1"/>
  <c r="I2348"/>
  <c r="K2348" s="1"/>
  <c r="I762"/>
  <c r="K762" s="1"/>
  <c r="P890"/>
  <c r="R890" s="1"/>
  <c r="P794"/>
  <c r="R794" s="1"/>
  <c r="R798" s="1"/>
  <c r="R800" s="1"/>
  <c r="I784"/>
  <c r="K784" s="1"/>
  <c r="I726"/>
  <c r="K726" s="1"/>
  <c r="J687"/>
  <c r="J688" s="1"/>
  <c r="J689" s="1"/>
  <c r="J690" s="1"/>
  <c r="J707"/>
  <c r="J708" s="1"/>
  <c r="J709" s="1"/>
  <c r="J710" s="1"/>
  <c r="I2126"/>
  <c r="K2126" s="1"/>
  <c r="I1970"/>
  <c r="K1970" s="1"/>
  <c r="I2146"/>
  <c r="K2146" s="1"/>
  <c r="I1757"/>
  <c r="K1757" s="1"/>
  <c r="P577"/>
  <c r="R577" s="1"/>
  <c r="I2681"/>
  <c r="I745"/>
  <c r="K745" s="1"/>
  <c r="I743"/>
  <c r="I3523"/>
  <c r="P3527" s="1"/>
  <c r="R3527" s="1"/>
  <c r="I2867"/>
  <c r="K2867" s="1"/>
  <c r="I83"/>
  <c r="I96" s="1"/>
  <c r="V83"/>
  <c r="V111" s="1"/>
  <c r="X111" s="1"/>
  <c r="P84"/>
  <c r="R84" s="1"/>
  <c r="I176"/>
  <c r="K176" s="1"/>
  <c r="I197"/>
  <c r="P165" s="1"/>
  <c r="R165" s="1"/>
  <c r="I275"/>
  <c r="K275" s="1"/>
  <c r="P286"/>
  <c r="R286" s="1"/>
  <c r="P287"/>
  <c r="R287" s="1"/>
  <c r="P309"/>
  <c r="R309" s="1"/>
  <c r="P321"/>
  <c r="R321" s="1"/>
  <c r="I339"/>
  <c r="V339" s="1"/>
  <c r="X339" s="1"/>
  <c r="AF412"/>
  <c r="AF413" s="1"/>
  <c r="AF414" s="1"/>
  <c r="AF415" s="1"/>
  <c r="AF416" s="1"/>
  <c r="AF417" s="1"/>
  <c r="AF418" s="1"/>
  <c r="AF419" s="1"/>
  <c r="AF420" s="1"/>
  <c r="AF421" s="1"/>
  <c r="AF422" s="1"/>
  <c r="P432"/>
  <c r="W435"/>
  <c r="W436" s="1"/>
  <c r="W437" s="1"/>
  <c r="W438" s="1"/>
  <c r="AF449"/>
  <c r="P451"/>
  <c r="R451" s="1"/>
  <c r="I3458"/>
  <c r="K3458" s="1"/>
  <c r="I2993"/>
  <c r="K2993" s="1"/>
  <c r="I2790"/>
  <c r="K2790" s="1"/>
  <c r="L2756" s="1"/>
  <c r="I1973"/>
  <c r="I1994"/>
  <c r="P1994" s="1"/>
  <c r="R1994" s="1"/>
  <c r="I2427"/>
  <c r="I1707"/>
  <c r="K1707" s="1"/>
  <c r="I1491"/>
  <c r="K1491" s="1"/>
  <c r="I2334"/>
  <c r="K2334" s="1"/>
  <c r="I2078"/>
  <c r="K2078" s="1"/>
  <c r="I2054"/>
  <c r="K2054" s="1"/>
  <c r="I1358"/>
  <c r="K1358" s="1"/>
  <c r="I1257"/>
  <c r="V1286" s="1"/>
  <c r="X1286" s="1"/>
  <c r="I1252"/>
  <c r="V1281" s="1"/>
  <c r="X1281" s="1"/>
  <c r="I1227"/>
  <c r="K1227" s="1"/>
  <c r="I1223"/>
  <c r="K1223" s="1"/>
  <c r="I1380"/>
  <c r="K1380" s="1"/>
  <c r="I1337"/>
  <c r="K1337" s="1"/>
  <c r="V710"/>
  <c r="D46" i="32" s="1"/>
  <c r="F46" s="1"/>
  <c r="H46" s="1"/>
  <c r="P1145" i="1"/>
  <c r="V645"/>
  <c r="X645" s="1"/>
  <c r="I506"/>
  <c r="I447"/>
  <c r="K447" s="1"/>
  <c r="I810"/>
  <c r="V804" s="1"/>
  <c r="P391"/>
  <c r="R391" s="1"/>
  <c r="I3460"/>
  <c r="I3827" s="1"/>
  <c r="K3827" s="1"/>
  <c r="I2714"/>
  <c r="K2714" s="1"/>
  <c r="I2699"/>
  <c r="K2699" s="1"/>
  <c r="I2687"/>
  <c r="K2687" s="1"/>
  <c r="I2740"/>
  <c r="K2740" s="1"/>
  <c r="I2385"/>
  <c r="K2385" s="1"/>
  <c r="I2153"/>
  <c r="K2153" s="1"/>
  <c r="I1847"/>
  <c r="I2108"/>
  <c r="K2108" s="1"/>
  <c r="I2429"/>
  <c r="I2133"/>
  <c r="K2133" s="1"/>
  <c r="I2009"/>
  <c r="K2009" s="1"/>
  <c r="I1811"/>
  <c r="K1811" s="1"/>
  <c r="I1709"/>
  <c r="K1709" s="1"/>
  <c r="I1508"/>
  <c r="K1508" s="1"/>
  <c r="I2028"/>
  <c r="P2028" s="1"/>
  <c r="R2028" s="1"/>
  <c r="I1913"/>
  <c r="K1913" s="1"/>
  <c r="I1829"/>
  <c r="K1829" s="1"/>
  <c r="I1648"/>
  <c r="I1493"/>
  <c r="K1493" s="1"/>
  <c r="I1421"/>
  <c r="K1421" s="1"/>
  <c r="I1382"/>
  <c r="K1382" s="1"/>
  <c r="I1235"/>
  <c r="K1235" s="1"/>
  <c r="P1524"/>
  <c r="R1524" s="1"/>
  <c r="I1436"/>
  <c r="K1436" s="1"/>
  <c r="I1395"/>
  <c r="K1395" s="1"/>
  <c r="I1259"/>
  <c r="K1259" s="1"/>
  <c r="I1520"/>
  <c r="K1520" s="1"/>
  <c r="I1325"/>
  <c r="K1325" s="1"/>
  <c r="I1307"/>
  <c r="K1307" s="1"/>
  <c r="I1225"/>
  <c r="I1408"/>
  <c r="K1408" s="1"/>
  <c r="I1360"/>
  <c r="K1360" s="1"/>
  <c r="I1339"/>
  <c r="K1339" s="1"/>
  <c r="I1254"/>
  <c r="V1283" s="1"/>
  <c r="X1283" s="1"/>
  <c r="I1229"/>
  <c r="K1229" s="1"/>
  <c r="I1203"/>
  <c r="K1203" s="1"/>
  <c r="V647"/>
  <c r="P506"/>
  <c r="R506" s="1"/>
  <c r="I508"/>
  <c r="K508" s="1"/>
  <c r="I902"/>
  <c r="K902" s="1"/>
  <c r="I868"/>
  <c r="P861" s="1"/>
  <c r="R861" s="1"/>
  <c r="I812"/>
  <c r="V806" s="1"/>
  <c r="P524"/>
  <c r="R524" s="1"/>
  <c r="I491"/>
  <c r="K491" s="1"/>
  <c r="I449"/>
  <c r="K449" s="1"/>
  <c r="I415"/>
  <c r="K415" s="1"/>
  <c r="P1147"/>
  <c r="R1147" s="1"/>
  <c r="I886"/>
  <c r="K886" s="1"/>
  <c r="V712"/>
  <c r="X712" s="1"/>
  <c r="Z712" s="1"/>
  <c r="P552"/>
  <c r="R552" s="1"/>
  <c r="I3735"/>
  <c r="K3735" s="1"/>
  <c r="I3341"/>
  <c r="I3367" s="1"/>
  <c r="K3367" s="1"/>
  <c r="P2409"/>
  <c r="R2409" s="1"/>
  <c r="P1302"/>
  <c r="R1302" s="1"/>
  <c r="I2367"/>
  <c r="K2367" s="1"/>
  <c r="P2373"/>
  <c r="R2373" s="1"/>
  <c r="V3672"/>
  <c r="I3796"/>
  <c r="K3796" s="1"/>
  <c r="P1549"/>
  <c r="R1549" s="1"/>
  <c r="I819"/>
  <c r="K819" s="1"/>
  <c r="K515"/>
  <c r="V715"/>
  <c r="X715" s="1"/>
  <c r="I1772"/>
  <c r="K1772" s="1"/>
  <c r="I1603"/>
  <c r="P1604" s="1"/>
  <c r="R1604" s="1"/>
  <c r="I1575"/>
  <c r="K1575" s="1"/>
  <c r="P2335"/>
  <c r="R2335" s="1"/>
  <c r="I2328"/>
  <c r="K2328" s="1"/>
  <c r="I1587"/>
  <c r="K1587" s="1"/>
  <c r="I1614"/>
  <c r="K1614" s="1"/>
  <c r="I1574"/>
  <c r="K1574" s="1"/>
  <c r="P52"/>
  <c r="R52" s="1"/>
  <c r="I65"/>
  <c r="K65" s="1"/>
  <c r="I74"/>
  <c r="K74" s="1"/>
  <c r="P141"/>
  <c r="R141" s="1"/>
  <c r="P151"/>
  <c r="R151" s="1"/>
  <c r="I198"/>
  <c r="P166" s="1"/>
  <c r="R166" s="1"/>
  <c r="I212"/>
  <c r="K212" s="1"/>
  <c r="I213"/>
  <c r="K213" s="1"/>
  <c r="I214"/>
  <c r="K214" s="1"/>
  <c r="I228"/>
  <c r="K283"/>
  <c r="P298"/>
  <c r="R298" s="1"/>
  <c r="I300"/>
  <c r="K300" s="1"/>
  <c r="P310"/>
  <c r="R310" s="1"/>
  <c r="I338"/>
  <c r="K338" s="1"/>
  <c r="P350"/>
  <c r="R350" s="1"/>
  <c r="I359"/>
  <c r="K359" s="1"/>
  <c r="I382"/>
  <c r="K382" s="1"/>
  <c r="K723"/>
  <c r="I725" s="1"/>
  <c r="K725" s="1"/>
  <c r="I2712"/>
  <c r="K2712" s="1"/>
  <c r="I1548"/>
  <c r="K1548" s="1"/>
  <c r="I2775"/>
  <c r="K2775" s="1"/>
  <c r="P1522"/>
  <c r="R1522" s="1"/>
  <c r="I2718"/>
  <c r="K2718" s="1"/>
  <c r="I1535"/>
  <c r="K1535" s="1"/>
  <c r="I1518"/>
  <c r="K1518" s="1"/>
  <c r="I1533"/>
  <c r="K1533" s="1"/>
  <c r="I1506"/>
  <c r="I3169" s="1"/>
  <c r="K3169" s="1"/>
  <c r="I1147"/>
  <c r="K1147" s="1"/>
  <c r="I1161"/>
  <c r="K1161" s="1"/>
  <c r="P2410"/>
  <c r="R2410" s="1"/>
  <c r="P1303"/>
  <c r="R1303" s="1"/>
  <c r="I3722"/>
  <c r="K3722" s="1"/>
  <c r="V3670"/>
  <c r="I3794"/>
  <c r="K3794" s="1"/>
  <c r="I3767"/>
  <c r="K3767" s="1"/>
  <c r="I3704"/>
  <c r="K3704" s="1"/>
  <c r="AF3105"/>
  <c r="P1547"/>
  <c r="R1547" s="1"/>
  <c r="P1402"/>
  <c r="R1402" s="1"/>
  <c r="J686"/>
  <c r="AF411"/>
  <c r="AR400" s="1"/>
  <c r="W402"/>
  <c r="J706"/>
  <c r="AF448"/>
  <c r="W434"/>
  <c r="I3283"/>
  <c r="K3283" s="1"/>
  <c r="I2636"/>
  <c r="V2604" s="1"/>
  <c r="I4065"/>
  <c r="K4065" s="1"/>
  <c r="X3116"/>
  <c r="V3133"/>
  <c r="V3158" s="1"/>
  <c r="I1063"/>
  <c r="K1063" s="1"/>
  <c r="K1026"/>
  <c r="P1117"/>
  <c r="R1117" s="1"/>
  <c r="R1096"/>
  <c r="P1119"/>
  <c r="R1119" s="1"/>
  <c r="R1098"/>
  <c r="P53"/>
  <c r="R53" s="1"/>
  <c r="I55"/>
  <c r="K55" s="1"/>
  <c r="P68"/>
  <c r="R68" s="1"/>
  <c r="P69"/>
  <c r="R69" s="1"/>
  <c r="P82"/>
  <c r="R82" s="1"/>
  <c r="P83"/>
  <c r="R83" s="1"/>
  <c r="I199"/>
  <c r="P199" s="1"/>
  <c r="I299"/>
  <c r="K299" s="1"/>
  <c r="I301"/>
  <c r="K301" s="1"/>
  <c r="I314"/>
  <c r="K314" s="1"/>
  <c r="P339"/>
  <c r="R339" s="1"/>
  <c r="P351"/>
  <c r="R351" s="1"/>
  <c r="P366"/>
  <c r="R366" s="1"/>
  <c r="I384"/>
  <c r="V384" s="1"/>
  <c r="V415" s="1"/>
  <c r="X415" s="1"/>
  <c r="P392"/>
  <c r="R392" s="1"/>
  <c r="I414"/>
  <c r="K414" s="1"/>
  <c r="P469"/>
  <c r="R469" s="1"/>
  <c r="V479"/>
  <c r="AB479" s="1"/>
  <c r="AD479" s="1"/>
  <c r="I490"/>
  <c r="K490" s="1"/>
  <c r="I3103"/>
  <c r="P2077" s="1"/>
  <c r="P1048"/>
  <c r="R1048" s="1"/>
  <c r="P1426"/>
  <c r="R1426" s="1"/>
  <c r="R1409"/>
  <c r="V1370"/>
  <c r="V1387" s="1"/>
  <c r="V1403" s="1"/>
  <c r="P1441"/>
  <c r="R1441" s="1"/>
  <c r="R1425"/>
  <c r="AD648"/>
  <c r="AF648" s="1"/>
  <c r="V879"/>
  <c r="X879" s="1"/>
  <c r="K991"/>
  <c r="K995"/>
  <c r="K1022"/>
  <c r="P1051"/>
  <c r="R1051" s="1"/>
  <c r="P1118"/>
  <c r="R1118" s="1"/>
  <c r="I2973"/>
  <c r="I3058" s="1"/>
  <c r="K2837"/>
  <c r="I2977"/>
  <c r="K2841"/>
  <c r="AE1070"/>
  <c r="AG1070" s="1"/>
  <c r="P1054"/>
  <c r="R1054" s="1"/>
  <c r="P1072"/>
  <c r="R1072" s="1"/>
  <c r="V582"/>
  <c r="X582" s="1"/>
  <c r="X648"/>
  <c r="V679"/>
  <c r="V733" s="1"/>
  <c r="X733" s="1"/>
  <c r="AE828"/>
  <c r="K879"/>
  <c r="V882"/>
  <c r="X882" s="1"/>
  <c r="P952"/>
  <c r="R952" s="1"/>
  <c r="K990"/>
  <c r="K994"/>
  <c r="K1023"/>
  <c r="AE1064"/>
  <c r="AG1064" s="1"/>
  <c r="I2426"/>
  <c r="P2433" s="1"/>
  <c r="P1222"/>
  <c r="I2972"/>
  <c r="P2979" s="1"/>
  <c r="R2979" s="1"/>
  <c r="K2836"/>
  <c r="I2976"/>
  <c r="K2840"/>
  <c r="AE1067"/>
  <c r="AG1067" s="1"/>
  <c r="K1058"/>
  <c r="I3991"/>
  <c r="I4007" s="1"/>
  <c r="I36" i="25" s="1"/>
  <c r="AB1371" i="1"/>
  <c r="AD1371" s="1"/>
  <c r="AD1354"/>
  <c r="I3992"/>
  <c r="I4008" s="1"/>
  <c r="AB1372"/>
  <c r="AD1372" s="1"/>
  <c r="AD1355"/>
  <c r="P1449"/>
  <c r="R1449" s="1"/>
  <c r="R1433"/>
  <c r="I2975"/>
  <c r="K2839"/>
  <c r="P1115"/>
  <c r="R1115" s="1"/>
  <c r="P1398"/>
  <c r="R1398" s="1"/>
  <c r="K1057"/>
  <c r="K1060"/>
  <c r="R1264"/>
  <c r="AB1350"/>
  <c r="AD1350" s="1"/>
  <c r="AB1352"/>
  <c r="V1374"/>
  <c r="V1391" s="1"/>
  <c r="V1378"/>
  <c r="R1394"/>
  <c r="P1410"/>
  <c r="R1416"/>
  <c r="P1430"/>
  <c r="R1430" s="1"/>
  <c r="I2574"/>
  <c r="K2539"/>
  <c r="AE1069"/>
  <c r="AG1069" s="1"/>
  <c r="V1369"/>
  <c r="X1369" s="1"/>
  <c r="V1392"/>
  <c r="X1392" s="1"/>
  <c r="V1396"/>
  <c r="X1396" s="1"/>
  <c r="R1408"/>
  <c r="R1417"/>
  <c r="R1418"/>
  <c r="R1392"/>
  <c r="I3168"/>
  <c r="K1505"/>
  <c r="I3482"/>
  <c r="K3482" s="1"/>
  <c r="I2572"/>
  <c r="K2572" s="1"/>
  <c r="K2537"/>
  <c r="I3225"/>
  <c r="K3225" s="1"/>
  <c r="L3191" s="1"/>
  <c r="K3210"/>
  <c r="K3196"/>
  <c r="I3241"/>
  <c r="I990" i="11" s="1"/>
  <c r="K990" s="1"/>
  <c r="R3234" i="1"/>
  <c r="P3268"/>
  <c r="P3335" s="1"/>
  <c r="R3335" s="1"/>
  <c r="P3362"/>
  <c r="P3396" s="1"/>
  <c r="R3396" s="1"/>
  <c r="R3325"/>
  <c r="K1695"/>
  <c r="K1697" s="1"/>
  <c r="C367" i="55" s="1"/>
  <c r="I1871" i="1"/>
  <c r="K1871" s="1"/>
  <c r="N1944"/>
  <c r="N1945" s="1"/>
  <c r="P2297"/>
  <c r="R2297" s="1"/>
  <c r="I2313"/>
  <c r="K2313" s="1"/>
  <c r="K2467"/>
  <c r="I2487"/>
  <c r="K2487" s="1"/>
  <c r="V2605"/>
  <c r="AE2619" s="1"/>
  <c r="AG2619" s="1"/>
  <c r="V2606"/>
  <c r="AE2620" s="1"/>
  <c r="AG2620" s="1"/>
  <c r="P2649"/>
  <c r="R2649" s="1"/>
  <c r="I2763"/>
  <c r="I2764" s="1"/>
  <c r="K2764" s="1"/>
  <c r="H3875"/>
  <c r="H3891" s="1"/>
  <c r="J3891" s="1"/>
  <c r="J3854"/>
  <c r="P2863"/>
  <c r="R2863" s="1"/>
  <c r="R2830"/>
  <c r="V3121"/>
  <c r="I4071" s="1"/>
  <c r="K4071" s="1"/>
  <c r="R3160"/>
  <c r="K1878"/>
  <c r="P1968"/>
  <c r="R1968" s="1"/>
  <c r="P2006"/>
  <c r="R2006" s="1"/>
  <c r="K2149"/>
  <c r="I2485"/>
  <c r="K2485" s="1"/>
  <c r="X2607"/>
  <c r="K2638"/>
  <c r="P2674"/>
  <c r="E2760"/>
  <c r="P2644"/>
  <c r="R2644" s="1"/>
  <c r="I3107"/>
  <c r="K2669"/>
  <c r="P2676"/>
  <c r="K1628"/>
  <c r="K1806"/>
  <c r="K1840"/>
  <c r="K2466"/>
  <c r="K2468"/>
  <c r="K2509"/>
  <c r="P3365"/>
  <c r="R3365" s="1"/>
  <c r="R3296"/>
  <c r="P3399"/>
  <c r="R3399" s="1"/>
  <c r="I3393"/>
  <c r="S2783"/>
  <c r="I3524"/>
  <c r="K3524" s="1"/>
  <c r="P3329"/>
  <c r="R3329" s="1"/>
  <c r="V3617"/>
  <c r="X3617" s="1"/>
  <c r="AG3554"/>
  <c r="V3135"/>
  <c r="P3155"/>
  <c r="V3159"/>
  <c r="X3159" s="1"/>
  <c r="V3161"/>
  <c r="R3223"/>
  <c r="R3229"/>
  <c r="R3232"/>
  <c r="R3267"/>
  <c r="P3298"/>
  <c r="P3367" s="1"/>
  <c r="R3367" s="1"/>
  <c r="P3299"/>
  <c r="R3299" s="1"/>
  <c r="P3300"/>
  <c r="R3300"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K3523" s="1"/>
  <c r="P3443"/>
  <c r="R3443" s="1"/>
  <c r="R3526"/>
  <c r="S3518"/>
  <c r="F3539"/>
  <c r="M3542"/>
  <c r="AE3545"/>
  <c r="AE3561" s="1"/>
  <c r="S3555"/>
  <c r="K3560"/>
  <c r="K3573"/>
  <c r="K3574"/>
  <c r="K3602"/>
  <c r="V3683"/>
  <c r="V3701" s="1"/>
  <c r="X3701" s="1"/>
  <c r="K3959"/>
  <c r="S3539"/>
  <c r="I3543"/>
  <c r="P3547" s="1"/>
  <c r="R3547" s="1"/>
  <c r="V3554"/>
  <c r="V3570" s="1"/>
  <c r="X3570" s="1"/>
  <c r="AB3555"/>
  <c r="I3806"/>
  <c r="K3806" s="1"/>
  <c r="K3527"/>
  <c r="K3545"/>
  <c r="V3545"/>
  <c r="V3561" s="1"/>
  <c r="V3577" s="1"/>
  <c r="X3577" s="1"/>
  <c r="S3570"/>
  <c r="K4009"/>
  <c r="D626" i="25"/>
  <c r="F626" s="1"/>
  <c r="AJ1197" i="1"/>
  <c r="I2951" i="27"/>
  <c r="AH247" i="11"/>
  <c r="F9079" i="55"/>
  <c r="F8995"/>
  <c r="F5506"/>
  <c r="F5474"/>
  <c r="F5296"/>
  <c r="F4563"/>
  <c r="F4443"/>
  <c r="F3374"/>
  <c r="F3202"/>
  <c r="F2533"/>
  <c r="F2437"/>
  <c r="F2422"/>
  <c r="F2390"/>
  <c r="F1327"/>
  <c r="F1326"/>
  <c r="F1292"/>
  <c r="F1263"/>
  <c r="F1262"/>
  <c r="F1261"/>
  <c r="K3107" i="1"/>
  <c r="P2081"/>
  <c r="R2081" s="1"/>
  <c r="V3543"/>
  <c r="V3559" s="1"/>
  <c r="K3543"/>
  <c r="R3362"/>
  <c r="AB1369"/>
  <c r="AD1369" s="1"/>
  <c r="AD1352"/>
  <c r="I3060"/>
  <c r="I3079" s="1"/>
  <c r="K3079" s="1"/>
  <c r="K2975"/>
  <c r="P2982"/>
  <c r="R2982" s="1"/>
  <c r="P1458"/>
  <c r="P1489" s="1"/>
  <c r="V1450" s="1"/>
  <c r="I1615"/>
  <c r="P1616" s="1"/>
  <c r="R1616" s="1"/>
  <c r="K1603"/>
  <c r="V886"/>
  <c r="V902" s="1"/>
  <c r="X902" s="1"/>
  <c r="I3465"/>
  <c r="P3471" s="1"/>
  <c r="R3471" s="1"/>
  <c r="K3460"/>
  <c r="I2900"/>
  <c r="K2900" s="1"/>
  <c r="K506"/>
  <c r="K1252"/>
  <c r="P2434"/>
  <c r="R2434" s="1"/>
  <c r="K2427"/>
  <c r="K1974"/>
  <c r="K2151"/>
  <c r="P1860"/>
  <c r="P1891" s="1"/>
  <c r="R1891" s="1"/>
  <c r="K1844"/>
  <c r="P3369"/>
  <c r="R3369" s="1"/>
  <c r="X2605"/>
  <c r="Z2603"/>
  <c r="P1466"/>
  <c r="P1497" s="1"/>
  <c r="V1458" s="1"/>
  <c r="AB1456" s="1"/>
  <c r="AD1456" s="1"/>
  <c r="AE1072"/>
  <c r="AG1072" s="1"/>
  <c r="I2720"/>
  <c r="K2720" s="1"/>
  <c r="X83"/>
  <c r="P2153"/>
  <c r="R2153" s="1"/>
  <c r="P2031"/>
  <c r="R2031" s="1"/>
  <c r="K2152"/>
  <c r="P235"/>
  <c r="R235" s="1"/>
  <c r="K3149"/>
  <c r="I3057"/>
  <c r="K3057" s="1"/>
  <c r="AG3545"/>
  <c r="P3529"/>
  <c r="R3529" s="1"/>
  <c r="X3121"/>
  <c r="J3875"/>
  <c r="K2763"/>
  <c r="X2606"/>
  <c r="P2575"/>
  <c r="R2575" s="1"/>
  <c r="K2574"/>
  <c r="M2581"/>
  <c r="O2581" s="1"/>
  <c r="O2583" s="1"/>
  <c r="O2584" s="1"/>
  <c r="K3992"/>
  <c r="I1602"/>
  <c r="K1602" s="1"/>
  <c r="I1784"/>
  <c r="K1784" s="1"/>
  <c r="K743"/>
  <c r="K1943"/>
  <c r="K2011"/>
  <c r="L3176"/>
  <c r="R3298"/>
  <c r="P3528"/>
  <c r="R3528" s="1"/>
  <c r="R3268"/>
  <c r="V1412"/>
  <c r="AB1410" s="1"/>
  <c r="AB1427" s="1"/>
  <c r="AD1427" s="1"/>
  <c r="R1410"/>
  <c r="V1371"/>
  <c r="P1427"/>
  <c r="I3987"/>
  <c r="AB1389"/>
  <c r="AD1389" s="1"/>
  <c r="V765"/>
  <c r="X765" s="1"/>
  <c r="V382"/>
  <c r="X382" s="1"/>
  <c r="V338"/>
  <c r="AE338" s="1"/>
  <c r="AG338" s="1"/>
  <c r="K3759"/>
  <c r="K3760" s="1"/>
  <c r="I2411"/>
  <c r="K2411" s="1"/>
  <c r="K2030"/>
  <c r="P2673"/>
  <c r="D45" i="32"/>
  <c r="F45" s="1"/>
  <c r="H45" s="1"/>
  <c r="D45" i="50"/>
  <c r="D108" s="1"/>
  <c r="F108" s="1"/>
  <c r="I3904" i="27"/>
  <c r="K3904" s="1"/>
  <c r="N1257" i="55"/>
  <c r="X3561" i="1"/>
  <c r="X1387"/>
  <c r="P3067"/>
  <c r="R3067" s="1"/>
  <c r="K3060"/>
  <c r="P1443"/>
  <c r="R1443" s="1"/>
  <c r="R1427"/>
  <c r="R1860"/>
  <c r="K4007"/>
  <c r="K36" i="25" s="1"/>
  <c r="V3592" i="1"/>
  <c r="X3592" s="1"/>
  <c r="AD1410"/>
  <c r="N1260" i="55"/>
  <c r="N1261"/>
  <c r="N1291"/>
  <c r="X13" i="1"/>
  <c r="X14"/>
  <c r="I64" i="27"/>
  <c r="K64" s="1"/>
  <c r="I54"/>
  <c r="K54" s="1"/>
  <c r="K58" s="1"/>
  <c r="P704"/>
  <c r="R704" s="1"/>
  <c r="P720"/>
  <c r="R720" s="1"/>
  <c r="Z11"/>
  <c r="AC11" s="1"/>
  <c r="C70" s="1"/>
  <c r="P209"/>
  <c r="R209" s="1"/>
  <c r="X35" i="1"/>
  <c r="I910" i="27"/>
  <c r="I2554" s="1"/>
  <c r="I2585" s="1"/>
  <c r="K2585" s="1"/>
  <c r="W405" i="1"/>
  <c r="W406" s="1"/>
  <c r="W404"/>
  <c r="I37"/>
  <c r="K37" s="1"/>
  <c r="P24"/>
  <c r="R24" s="1"/>
  <c r="Z12" i="27"/>
  <c r="Z13" s="1"/>
  <c r="AC13" s="1"/>
  <c r="C72" s="1"/>
  <c r="K222" i="11"/>
  <c r="I1068"/>
  <c r="K1068" s="1"/>
  <c r="I901"/>
  <c r="K901" s="1"/>
  <c r="K794"/>
  <c r="P795"/>
  <c r="R795" s="1"/>
  <c r="I368"/>
  <c r="K368" s="1"/>
  <c r="K369" s="1"/>
  <c r="K370" s="1"/>
  <c r="K328"/>
  <c r="I448"/>
  <c r="I507" s="1"/>
  <c r="K507" s="1"/>
  <c r="K435"/>
  <c r="K576"/>
  <c r="I595"/>
  <c r="K595" s="1"/>
  <c r="I123"/>
  <c r="I1086" s="1"/>
  <c r="K1086" s="1"/>
  <c r="K103"/>
  <c r="I221"/>
  <c r="I1067" s="1"/>
  <c r="K1067" s="1"/>
  <c r="I241"/>
  <c r="K241" s="1"/>
  <c r="K218"/>
  <c r="I1064"/>
  <c r="K1064" s="1"/>
  <c r="I856"/>
  <c r="K856" s="1"/>
  <c r="K760"/>
  <c r="K1008"/>
  <c r="K1010" s="1"/>
  <c r="I121"/>
  <c r="K101"/>
  <c r="I219"/>
  <c r="I1065" s="1"/>
  <c r="K1065" s="1"/>
  <c r="I879"/>
  <c r="K879" s="1"/>
  <c r="K882" s="1"/>
  <c r="K870"/>
  <c r="K872" s="1"/>
  <c r="I702"/>
  <c r="K702" s="1"/>
  <c r="K664"/>
  <c r="I450"/>
  <c r="I468" s="1"/>
  <c r="K437"/>
  <c r="K19"/>
  <c r="K62" s="1"/>
  <c r="K1030" s="1"/>
  <c r="P21"/>
  <c r="R21" s="1"/>
  <c r="K75"/>
  <c r="I78"/>
  <c r="K79"/>
  <c r="I83"/>
  <c r="I206" s="1"/>
  <c r="K206" s="1"/>
  <c r="K100"/>
  <c r="K104"/>
  <c r="I108"/>
  <c r="I226" s="1"/>
  <c r="I110"/>
  <c r="K110" s="1"/>
  <c r="K126"/>
  <c r="I170"/>
  <c r="K170" s="1"/>
  <c r="I176"/>
  <c r="K176" s="1"/>
  <c r="K281"/>
  <c r="P298"/>
  <c r="R298" s="1"/>
  <c r="K309"/>
  <c r="K310" s="1"/>
  <c r="K311" s="1"/>
  <c r="K303" s="1"/>
  <c r="K304" s="1"/>
  <c r="K2269" i="1" s="1"/>
  <c r="C424" i="55" s="1"/>
  <c r="K417" i="11"/>
  <c r="K419"/>
  <c r="K585"/>
  <c r="P673"/>
  <c r="R673" s="1"/>
  <c r="P674"/>
  <c r="R674" s="1"/>
  <c r="P675"/>
  <c r="R675" s="1"/>
  <c r="P676"/>
  <c r="R676" s="1"/>
  <c r="I759"/>
  <c r="K759" s="1"/>
  <c r="I786"/>
  <c r="P787" s="1"/>
  <c r="R787" s="1"/>
  <c r="I793"/>
  <c r="I795"/>
  <c r="P796" s="1"/>
  <c r="M911"/>
  <c r="I978"/>
  <c r="K978" s="1"/>
  <c r="I988"/>
  <c r="K988" s="1"/>
  <c r="K1053" s="1"/>
  <c r="I1088"/>
  <c r="K1088" s="1"/>
  <c r="P51"/>
  <c r="R51" s="1"/>
  <c r="I120"/>
  <c r="I1083" s="1"/>
  <c r="K1083" s="1"/>
  <c r="P664"/>
  <c r="R664" s="1"/>
  <c r="R16"/>
  <c r="K77"/>
  <c r="I80"/>
  <c r="I105"/>
  <c r="K105" s="1"/>
  <c r="K125"/>
  <c r="I128"/>
  <c r="K128" s="1"/>
  <c r="I143"/>
  <c r="K143" s="1"/>
  <c r="I198"/>
  <c r="K198" s="1"/>
  <c r="I200"/>
  <c r="K200" s="1"/>
  <c r="K327"/>
  <c r="K418"/>
  <c r="P666"/>
  <c r="R666" s="1"/>
  <c r="P23"/>
  <c r="P2854" i="27" s="1"/>
  <c r="P2887" s="1"/>
  <c r="R2887" s="1"/>
  <c r="I1375" i="1"/>
  <c r="K1375" s="1"/>
  <c r="I1353"/>
  <c r="K1353" s="1"/>
  <c r="I1490"/>
  <c r="K1490" s="1"/>
  <c r="P376"/>
  <c r="R376" s="1"/>
  <c r="P390"/>
  <c r="R390" s="1"/>
  <c r="AC32"/>
  <c r="C139" s="1"/>
  <c r="Z33"/>
  <c r="AC33" s="1"/>
  <c r="K3625" i="27"/>
  <c r="C449" i="55"/>
  <c r="I3718" i="27"/>
  <c r="K3718" s="1"/>
  <c r="K78" i="11"/>
  <c r="I201"/>
  <c r="K201" s="1"/>
  <c r="I106"/>
  <c r="I224" s="1"/>
  <c r="K224" s="1"/>
  <c r="K1075"/>
  <c r="I1091"/>
  <c r="K1091" s="1"/>
  <c r="K123"/>
  <c r="P56"/>
  <c r="R56" s="1"/>
  <c r="R23"/>
  <c r="K786"/>
  <c r="I107"/>
  <c r="K107" s="1"/>
  <c r="I1074"/>
  <c r="K1074" s="1"/>
  <c r="K221"/>
  <c r="I3699" i="27"/>
  <c r="K3699" s="1"/>
  <c r="P57" i="11"/>
  <c r="R57" s="1"/>
  <c r="P635" i="27"/>
  <c r="R635" s="1"/>
  <c r="C79"/>
  <c r="I151" s="1"/>
  <c r="K151" s="1"/>
  <c r="K160" s="1"/>
  <c r="P210"/>
  <c r="R210" s="1"/>
  <c r="I1059"/>
  <c r="K1059" s="1"/>
  <c r="I1012"/>
  <c r="I2523" s="1"/>
  <c r="K2523"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AC29"/>
  <c r="C91" s="1"/>
  <c r="K1012"/>
  <c r="N715" i="55" l="1"/>
  <c r="H715"/>
  <c r="L715"/>
  <c r="F715"/>
  <c r="P715"/>
  <c r="R715"/>
  <c r="R1075" s="1"/>
  <c r="G1076" i="68" s="1"/>
  <c r="G382"/>
  <c r="K436" i="11"/>
  <c r="I449"/>
  <c r="I508" s="1"/>
  <c r="K508" s="1"/>
  <c r="K1020" i="1"/>
  <c r="P1050"/>
  <c r="R1050" s="1"/>
  <c r="K3585"/>
  <c r="K3586" s="1"/>
  <c r="K836" i="11"/>
  <c r="K2937" i="27"/>
  <c r="I2071"/>
  <c r="K2071" s="1"/>
  <c r="I28"/>
  <c r="K28" s="1"/>
  <c r="K1506" i="1"/>
  <c r="P1446"/>
  <c r="K354" i="27"/>
  <c r="K362" s="1"/>
  <c r="K364" s="1"/>
  <c r="K366" s="1"/>
  <c r="I1141" i="11"/>
  <c r="K1141" s="1"/>
  <c r="I141"/>
  <c r="K141" s="1"/>
  <c r="P689" i="27"/>
  <c r="R689" s="1"/>
  <c r="I2051"/>
  <c r="K2051" s="1"/>
  <c r="K1011"/>
  <c r="V3523" i="1"/>
  <c r="X3523" s="1"/>
  <c r="I3578"/>
  <c r="K3578" s="1"/>
  <c r="X1374"/>
  <c r="K384"/>
  <c r="V3138"/>
  <c r="V3163" s="1"/>
  <c r="K2972"/>
  <c r="P1049"/>
  <c r="R1049" s="1"/>
  <c r="K868"/>
  <c r="I1078"/>
  <c r="P3368"/>
  <c r="R3368" s="1"/>
  <c r="AE3543"/>
  <c r="I3032" i="27"/>
  <c r="K3032" s="1"/>
  <c r="AC9"/>
  <c r="C68" s="1"/>
  <c r="I294" s="1"/>
  <c r="K294" s="1"/>
  <c r="K303" s="1"/>
  <c r="K305" s="1"/>
  <c r="X29"/>
  <c r="I3265"/>
  <c r="I2907"/>
  <c r="I3030" s="1"/>
  <c r="K3030" s="1"/>
  <c r="K2851"/>
  <c r="K2880" s="1"/>
  <c r="K2891" s="1"/>
  <c r="K3506"/>
  <c r="I3140"/>
  <c r="K3140" s="1"/>
  <c r="K3141" s="1"/>
  <c r="K3142" s="1"/>
  <c r="K3134" s="1"/>
  <c r="K3135" s="1"/>
  <c r="I2760"/>
  <c r="K2760" s="1"/>
  <c r="K3455"/>
  <c r="E89" i="32"/>
  <c r="E149" s="1"/>
  <c r="K2745" i="27"/>
  <c r="I2427"/>
  <c r="K2427" s="1"/>
  <c r="I1953"/>
  <c r="K1953" s="1"/>
  <c r="I1085"/>
  <c r="P1538" i="1"/>
  <c r="R1538" s="1"/>
  <c r="V2608"/>
  <c r="X2608" s="1"/>
  <c r="Z2606" s="1"/>
  <c r="K74" i="11"/>
  <c r="AB1386" i="1"/>
  <c r="AD1386" s="1"/>
  <c r="P997"/>
  <c r="R997" s="1"/>
  <c r="I139" i="27"/>
  <c r="K139" s="1"/>
  <c r="K143" s="1"/>
  <c r="I2617"/>
  <c r="K2617" s="1"/>
  <c r="K2909"/>
  <c r="I73"/>
  <c r="K73" s="1"/>
  <c r="I36"/>
  <c r="K36" s="1"/>
  <c r="P1460" i="1"/>
  <c r="R1460" s="1"/>
  <c r="X3543"/>
  <c r="AH3106"/>
  <c r="K954"/>
  <c r="I2901"/>
  <c r="K2901" s="1"/>
  <c r="K3795"/>
  <c r="V898"/>
  <c r="X898" s="1"/>
  <c r="C67"/>
  <c r="I1561" s="1"/>
  <c r="K1561" s="1"/>
  <c r="I1588"/>
  <c r="K1588" s="1"/>
  <c r="V1386"/>
  <c r="P3403"/>
  <c r="R3403" s="1"/>
  <c r="X3683"/>
  <c r="I10" i="27"/>
  <c r="K10" s="1"/>
  <c r="F656" i="25"/>
  <c r="I3572" i="27"/>
  <c r="K3572" s="1"/>
  <c r="P2849"/>
  <c r="P3506"/>
  <c r="R3506" s="1"/>
  <c r="I3803"/>
  <c r="K3803" s="1"/>
  <c r="K3837" s="1"/>
  <c r="K3849" s="1"/>
  <c r="K2869"/>
  <c r="I3353"/>
  <c r="I155"/>
  <c r="K155" s="1"/>
  <c r="I11"/>
  <c r="K11" s="1"/>
  <c r="I110"/>
  <c r="K110" s="1"/>
  <c r="I2068"/>
  <c r="K2068" s="1"/>
  <c r="I1865"/>
  <c r="K1865" s="1"/>
  <c r="I747"/>
  <c r="K747" s="1"/>
  <c r="AE1066" i="1"/>
  <c r="AG1066" s="1"/>
  <c r="P1450"/>
  <c r="R1434"/>
  <c r="I3368" i="27"/>
  <c r="K3368" s="1"/>
  <c r="I3363" s="1"/>
  <c r="K3363" s="1"/>
  <c r="K3335"/>
  <c r="I3330" s="1"/>
  <c r="K3330" s="1"/>
  <c r="P1451" i="1"/>
  <c r="R1435"/>
  <c r="K167" i="27"/>
  <c r="C165"/>
  <c r="M717" i="11"/>
  <c r="C1143" i="55"/>
  <c r="R1143" s="1"/>
  <c r="C1107"/>
  <c r="I228" i="11"/>
  <c r="K228" s="1"/>
  <c r="I2507" i="1"/>
  <c r="P2514" s="1"/>
  <c r="R875" i="27"/>
  <c r="P350"/>
  <c r="R350" s="1"/>
  <c r="P69"/>
  <c r="R69" s="1"/>
  <c r="R441" i="1"/>
  <c r="E78" i="70"/>
  <c r="AE2641" i="1"/>
  <c r="AB2650" s="1"/>
  <c r="AE2646"/>
  <c r="AB2651" s="1"/>
  <c r="K1031" i="11"/>
  <c r="K63" i="69"/>
  <c r="K67" s="1"/>
  <c r="K120" i="11"/>
  <c r="P3370" i="1"/>
  <c r="K1920" i="27"/>
  <c r="AR11" i="64"/>
  <c r="AR12" s="1"/>
  <c r="AR13" s="1"/>
  <c r="AS13" s="1"/>
  <c r="I898" i="1"/>
  <c r="K898" s="1"/>
  <c r="V1377"/>
  <c r="AG2617"/>
  <c r="I130" i="11"/>
  <c r="E69" i="70"/>
  <c r="I3660" i="1"/>
  <c r="I2441" i="27"/>
  <c r="K2441" s="1"/>
  <c r="P516"/>
  <c r="R516" s="1"/>
  <c r="P498"/>
  <c r="R498" s="1"/>
  <c r="I448"/>
  <c r="K448" s="1"/>
  <c r="I359"/>
  <c r="K359" s="1"/>
  <c r="P15" i="11"/>
  <c r="R15" s="1"/>
  <c r="P53"/>
  <c r="R53" s="1"/>
  <c r="K106"/>
  <c r="K219"/>
  <c r="K483"/>
  <c r="I482" i="69"/>
  <c r="K482" s="1"/>
  <c r="K488" s="1"/>
  <c r="L488" s="1"/>
  <c r="E70" i="70"/>
  <c r="I3661" i="1"/>
  <c r="K3524" i="27"/>
  <c r="L3524" s="1"/>
  <c r="I383"/>
  <c r="K383" s="1"/>
  <c r="I300"/>
  <c r="K300" s="1"/>
  <c r="D111" i="25"/>
  <c r="R3266" i="1"/>
  <c r="K930" i="11"/>
  <c r="I757"/>
  <c r="K757" s="1"/>
  <c r="I523" i="69"/>
  <c r="K910" i="27"/>
  <c r="P1415" i="1"/>
  <c r="V1376" s="1"/>
  <c r="V1393" s="1"/>
  <c r="K2973"/>
  <c r="X3554"/>
  <c r="C81" i="27"/>
  <c r="P50" s="1"/>
  <c r="R50" s="1"/>
  <c r="R57" s="1"/>
  <c r="R60" s="1"/>
  <c r="K282"/>
  <c r="P193"/>
  <c r="R193" s="1"/>
  <c r="I140"/>
  <c r="K140" s="1"/>
  <c r="P951" i="1"/>
  <c r="R951" s="1"/>
  <c r="P1071"/>
  <c r="R1071" s="1"/>
  <c r="K1682"/>
  <c r="C365" i="55" s="1"/>
  <c r="X2790" i="1"/>
  <c r="J3855"/>
  <c r="P2980"/>
  <c r="R2980" s="1"/>
  <c r="K1895"/>
  <c r="I3412"/>
  <c r="F3421" s="1"/>
  <c r="P54" i="11"/>
  <c r="R54" s="1"/>
  <c r="K2471" i="1"/>
  <c r="K2473" s="1"/>
  <c r="C857" i="55" s="1"/>
  <c r="X886" i="1"/>
  <c r="X383"/>
  <c r="I3423"/>
  <c r="K3423" s="1"/>
  <c r="K3724"/>
  <c r="P3466"/>
  <c r="R3466" s="1"/>
  <c r="K3341"/>
  <c r="V413"/>
  <c r="X413" s="1"/>
  <c r="P3723"/>
  <c r="R3723" s="1"/>
  <c r="P233"/>
  <c r="R233" s="1"/>
  <c r="J367" i="55"/>
  <c r="G368" i="68"/>
  <c r="H368" s="1"/>
  <c r="J564" i="55"/>
  <c r="J793"/>
  <c r="J726"/>
  <c r="J695"/>
  <c r="G694" i="68"/>
  <c r="H694" s="1"/>
  <c r="J429" i="55"/>
  <c r="G430" i="68"/>
  <c r="H430" s="1"/>
  <c r="J383" i="55"/>
  <c r="J62"/>
  <c r="G63" i="68"/>
  <c r="H63" s="1"/>
  <c r="J876" i="55"/>
  <c r="J352"/>
  <c r="G353" i="68"/>
  <c r="H353" s="1"/>
  <c r="J410" i="55"/>
  <c r="D108" i="32"/>
  <c r="F108" s="1"/>
  <c r="P2879" i="27"/>
  <c r="R2879" s="1"/>
  <c r="I1255" i="1"/>
  <c r="D662" i="25"/>
  <c r="F662" s="1"/>
  <c r="K2846" i="27"/>
  <c r="P2850"/>
  <c r="R2850" s="1"/>
  <c r="J795" i="55"/>
  <c r="J858"/>
  <c r="J732"/>
  <c r="J698"/>
  <c r="J507"/>
  <c r="J384"/>
  <c r="J292"/>
  <c r="J366"/>
  <c r="G367" i="68"/>
  <c r="H367" s="1"/>
  <c r="I3686" i="27"/>
  <c r="K3686" s="1"/>
  <c r="J424" i="55"/>
  <c r="J794"/>
  <c r="J948"/>
  <c r="J860"/>
  <c r="J724"/>
  <c r="J646"/>
  <c r="J426"/>
  <c r="J381"/>
  <c r="J307"/>
  <c r="G308" i="68"/>
  <c r="H308" s="1"/>
  <c r="J414" i="55"/>
  <c r="J321"/>
  <c r="J373"/>
  <c r="J401"/>
  <c r="G402" i="68"/>
  <c r="J413" i="55"/>
  <c r="I3007" i="27"/>
  <c r="K3007" s="1"/>
  <c r="J451" i="55"/>
  <c r="J449"/>
  <c r="J715"/>
  <c r="G714" i="68"/>
  <c r="H714" s="1"/>
  <c r="J789" i="55"/>
  <c r="J725"/>
  <c r="J656"/>
  <c r="G655" i="68"/>
  <c r="J427" i="55"/>
  <c r="J382"/>
  <c r="J322"/>
  <c r="G323" i="68"/>
  <c r="H323" s="1"/>
  <c r="J731" i="55"/>
  <c r="G730" i="68"/>
  <c r="J409" i="55"/>
  <c r="J229"/>
  <c r="G230" i="68"/>
  <c r="H230" s="1"/>
  <c r="J412" i="55"/>
  <c r="I3748" i="27"/>
  <c r="K3748" s="1"/>
  <c r="I2998"/>
  <c r="K2998" s="1"/>
  <c r="I18" i="1"/>
  <c r="K18" s="1"/>
  <c r="I27"/>
  <c r="K27" s="1"/>
  <c r="I2425"/>
  <c r="K2425" s="1"/>
  <c r="P2643"/>
  <c r="R2643" s="1"/>
  <c r="I2684"/>
  <c r="K2684" s="1"/>
  <c r="I3172"/>
  <c r="C1164" i="55" s="1"/>
  <c r="K1972" i="1"/>
  <c r="K340"/>
  <c r="K812"/>
  <c r="P1419"/>
  <c r="P1436" s="1"/>
  <c r="L82"/>
  <c r="P2298"/>
  <c r="R2298" s="1"/>
  <c r="AD646"/>
  <c r="AF646" s="1"/>
  <c r="K2027"/>
  <c r="P3465"/>
  <c r="R3465" s="1"/>
  <c r="P2160"/>
  <c r="R2160" s="1"/>
  <c r="K383"/>
  <c r="P859"/>
  <c r="R859" s="1"/>
  <c r="P1862"/>
  <c r="R1862" s="1"/>
  <c r="P1970"/>
  <c r="R1970" s="1"/>
  <c r="K1084" i="27"/>
  <c r="I2261"/>
  <c r="V3575" i="1"/>
  <c r="X3559"/>
  <c r="K4008"/>
  <c r="I4023"/>
  <c r="I37" i="25"/>
  <c r="K3058" i="1"/>
  <c r="P3065"/>
  <c r="R3065" s="1"/>
  <c r="I3077"/>
  <c r="K3077" s="1"/>
  <c r="X1403"/>
  <c r="AB1401"/>
  <c r="I976" i="27"/>
  <c r="K976" s="1"/>
  <c r="I947"/>
  <c r="K947" s="1"/>
  <c r="I912"/>
  <c r="AG3561" i="1"/>
  <c r="V3624"/>
  <c r="X1391"/>
  <c r="V1407"/>
  <c r="I223" i="11"/>
  <c r="I224" i="27"/>
  <c r="K224" s="1"/>
  <c r="K231" s="1"/>
  <c r="K233" s="1"/>
  <c r="P9"/>
  <c r="R9" s="1"/>
  <c r="R14" s="1"/>
  <c r="I1029"/>
  <c r="K1029" s="1"/>
  <c r="K1037" s="1"/>
  <c r="K1039" s="1"/>
  <c r="I888"/>
  <c r="K888" s="1"/>
  <c r="I2260"/>
  <c r="P588"/>
  <c r="R588" s="1"/>
  <c r="P601"/>
  <c r="R601" s="1"/>
  <c r="R612" s="1"/>
  <c r="I3708"/>
  <c r="K3708" s="1"/>
  <c r="I124" i="11"/>
  <c r="I817"/>
  <c r="K817" s="1"/>
  <c r="I902"/>
  <c r="R2846" i="27"/>
  <c r="R677" i="11"/>
  <c r="R668" s="1"/>
  <c r="Z36" i="27"/>
  <c r="AC36" s="1"/>
  <c r="I242" s="1"/>
  <c r="K242" s="1"/>
  <c r="Z35"/>
  <c r="AC35" s="1"/>
  <c r="I253" s="1"/>
  <c r="K253" s="1"/>
  <c r="K258" s="1"/>
  <c r="K260" s="1"/>
  <c r="K2175"/>
  <c r="K2178" s="1"/>
  <c r="K2211" s="1"/>
  <c r="I773"/>
  <c r="K773" s="1"/>
  <c r="P22"/>
  <c r="R22" s="1"/>
  <c r="R28" s="1"/>
  <c r="R30" s="1"/>
  <c r="I1421"/>
  <c r="K1421" s="1"/>
  <c r="X1458" i="1"/>
  <c r="X1376"/>
  <c r="D48" i="32"/>
  <c r="F48" s="1"/>
  <c r="H48" s="1"/>
  <c r="D698" i="25"/>
  <c r="F698" s="1"/>
  <c r="P1475" i="1"/>
  <c r="P1482" s="1"/>
  <c r="V3585"/>
  <c r="X3585" s="1"/>
  <c r="I44"/>
  <c r="K44" s="1"/>
  <c r="I808"/>
  <c r="V643" s="1"/>
  <c r="I1645"/>
  <c r="I3271"/>
  <c r="K3271" s="1"/>
  <c r="X679"/>
  <c r="V1359"/>
  <c r="P2573"/>
  <c r="R2573" s="1"/>
  <c r="I3540"/>
  <c r="X1336"/>
  <c r="K1993"/>
  <c r="K360"/>
  <c r="P1442"/>
  <c r="Z2604"/>
  <c r="I3541"/>
  <c r="AE3541" s="1"/>
  <c r="K1056"/>
  <c r="K1969"/>
  <c r="P1093"/>
  <c r="R1093" s="1"/>
  <c r="I3461"/>
  <c r="K3461" s="1"/>
  <c r="K2428"/>
  <c r="K1306"/>
  <c r="AB1335"/>
  <c r="AC1335" s="1"/>
  <c r="P1305"/>
  <c r="R1305" s="1"/>
  <c r="V682"/>
  <c r="X682" s="1"/>
  <c r="V895"/>
  <c r="X895" s="1"/>
  <c r="AB1388"/>
  <c r="AD1388" s="1"/>
  <c r="K3539"/>
  <c r="P2885" i="27"/>
  <c r="R2885" s="1"/>
  <c r="I497"/>
  <c r="K497" s="1"/>
  <c r="F570" i="64"/>
  <c r="K2907" i="27"/>
  <c r="I3267"/>
  <c r="I2996"/>
  <c r="P2872"/>
  <c r="R2872" s="1"/>
  <c r="I3826"/>
  <c r="K3826" s="1"/>
  <c r="I2913"/>
  <c r="I3402"/>
  <c r="I3421" s="1"/>
  <c r="I29"/>
  <c r="K29" s="1"/>
  <c r="I74"/>
  <c r="K74" s="1"/>
  <c r="I82"/>
  <c r="K82" s="1"/>
  <c r="K2748"/>
  <c r="K3222"/>
  <c r="I3218" s="1"/>
  <c r="K3218" s="1"/>
  <c r="K3515"/>
  <c r="K3497"/>
  <c r="K2736"/>
  <c r="I2048"/>
  <c r="K2048" s="1"/>
  <c r="I2029"/>
  <c r="K2029" s="1"/>
  <c r="K2021"/>
  <c r="I1895"/>
  <c r="K1895" s="1"/>
  <c r="I1775"/>
  <c r="K1775" s="1"/>
  <c r="I1739"/>
  <c r="K1739" s="1"/>
  <c r="I1046"/>
  <c r="K1046" s="1"/>
  <c r="K1020"/>
  <c r="I46"/>
  <c r="K46" s="1"/>
  <c r="E605" i="25"/>
  <c r="A618" s="1"/>
  <c r="G473"/>
  <c r="A484" s="1"/>
  <c r="G484" s="1"/>
  <c r="G447"/>
  <c r="E437" s="1"/>
  <c r="G437" s="1"/>
  <c r="I946" i="27"/>
  <c r="K946" s="1"/>
  <c r="K449" i="11"/>
  <c r="P820"/>
  <c r="R820" s="1"/>
  <c r="R1497" i="1"/>
  <c r="P2013"/>
  <c r="R2013" s="1"/>
  <c r="K1253"/>
  <c r="V584"/>
  <c r="X584" s="1"/>
  <c r="I2607"/>
  <c r="K339"/>
  <c r="P1067"/>
  <c r="R1067" s="1"/>
  <c r="I2296"/>
  <c r="I3929"/>
  <c r="P2861"/>
  <c r="R2861" s="1"/>
  <c r="K2856" i="27"/>
  <c r="F547" i="25"/>
  <c r="I3505" i="27"/>
  <c r="I3352"/>
  <c r="K3352" s="1"/>
  <c r="K2868"/>
  <c r="I3000"/>
  <c r="K3000" s="1"/>
  <c r="I2956"/>
  <c r="I20"/>
  <c r="K20" s="1"/>
  <c r="I55"/>
  <c r="K55" s="1"/>
  <c r="I1831"/>
  <c r="K1831" s="1"/>
  <c r="K132"/>
  <c r="K133" s="1"/>
  <c r="K2563"/>
  <c r="E156" i="32"/>
  <c r="G156" s="1"/>
  <c r="I3312" i="27"/>
  <c r="K3312" s="1"/>
  <c r="I1950"/>
  <c r="K1950" s="1"/>
  <c r="I1711"/>
  <c r="K1711" s="1"/>
  <c r="I821"/>
  <c r="K821" s="1"/>
  <c r="P467"/>
  <c r="R467" s="1"/>
  <c r="P430"/>
  <c r="R430" s="1"/>
  <c r="U20" i="4"/>
  <c r="R1222" i="1"/>
  <c r="T1222" s="1"/>
  <c r="P1285"/>
  <c r="R1285" s="1"/>
  <c r="F139" i="25"/>
  <c r="D162"/>
  <c r="F162" s="1"/>
  <c r="K1066" i="27"/>
  <c r="K1068" s="1"/>
  <c r="F149" i="32"/>
  <c r="P23" i="27"/>
  <c r="R23" s="1"/>
  <c r="I1044"/>
  <c r="K1044" s="1"/>
  <c r="K1052" s="1"/>
  <c r="K1054" s="1"/>
  <c r="I1893"/>
  <c r="K1893" s="1"/>
  <c r="K448" i="11"/>
  <c r="I945" i="27"/>
  <c r="K945" s="1"/>
  <c r="P389"/>
  <c r="R389" s="1"/>
  <c r="P2432" i="1"/>
  <c r="R2432" s="1"/>
  <c r="V3715"/>
  <c r="I35"/>
  <c r="K35" s="1"/>
  <c r="I271"/>
  <c r="K271" s="1"/>
  <c r="I1304"/>
  <c r="K1304" s="1"/>
  <c r="I3530"/>
  <c r="X3132"/>
  <c r="K3956"/>
  <c r="K3737"/>
  <c r="K3738" s="1"/>
  <c r="C964" i="55" s="1"/>
  <c r="I911" i="27"/>
  <c r="K911" s="1"/>
  <c r="I975"/>
  <c r="K975" s="1"/>
  <c r="P574"/>
  <c r="R574" s="1"/>
  <c r="K108" i="11"/>
  <c r="I492"/>
  <c r="K492" s="1"/>
  <c r="K450"/>
  <c r="K420"/>
  <c r="K421" s="1"/>
  <c r="K412" s="1"/>
  <c r="I881" i="27"/>
  <c r="K881" s="1"/>
  <c r="K883" s="1"/>
  <c r="I19"/>
  <c r="K19" s="1"/>
  <c r="K23" s="1"/>
  <c r="I271"/>
  <c r="K271" s="1"/>
  <c r="F287" i="64"/>
  <c r="V3609" i="1"/>
  <c r="X3609" s="1"/>
  <c r="D26" i="25"/>
  <c r="F45" i="50"/>
  <c r="R1466" i="1"/>
  <c r="K2507"/>
  <c r="X1412"/>
  <c r="I63"/>
  <c r="K63" s="1"/>
  <c r="I72"/>
  <c r="K72" s="1"/>
  <c r="I1226"/>
  <c r="K1226" s="1"/>
  <c r="K2666"/>
  <c r="P2010"/>
  <c r="R2010" s="1"/>
  <c r="AB1367"/>
  <c r="P3401"/>
  <c r="R3401" s="1"/>
  <c r="K3103"/>
  <c r="P990"/>
  <c r="R990" s="1"/>
  <c r="K1995"/>
  <c r="I1783"/>
  <c r="K1783" s="1"/>
  <c r="V314"/>
  <c r="K2778"/>
  <c r="C738" i="55" s="1"/>
  <c r="I974" i="27"/>
  <c r="K974" s="1"/>
  <c r="K3158"/>
  <c r="I3810"/>
  <c r="K3810" s="1"/>
  <c r="I3248"/>
  <c r="K2844"/>
  <c r="P24"/>
  <c r="R24" s="1"/>
  <c r="I81"/>
  <c r="K81" s="1"/>
  <c r="I3534"/>
  <c r="K3534" s="1"/>
  <c r="I3587"/>
  <c r="K3587" s="1"/>
  <c r="F150" i="50"/>
  <c r="K3496" i="27"/>
  <c r="I2073"/>
  <c r="K2073" s="1"/>
  <c r="I1891"/>
  <c r="K1891" s="1"/>
  <c r="I1758"/>
  <c r="K1758" s="1"/>
  <c r="I887"/>
  <c r="K887" s="1"/>
  <c r="C137"/>
  <c r="P25"/>
  <c r="R25" s="1"/>
  <c r="F272" i="25"/>
  <c r="D256" s="1"/>
  <c r="F256" s="1"/>
  <c r="F264" s="1"/>
  <c r="F265" s="1"/>
  <c r="AG43" i="1"/>
  <c r="AE43" s="1"/>
  <c r="AK43"/>
  <c r="AJ43"/>
  <c r="I205" i="11"/>
  <c r="K205" s="1"/>
  <c r="K82"/>
  <c r="Z2605" i="1"/>
  <c r="Q13" i="4"/>
  <c r="Z43" i="1" s="1"/>
  <c r="AC43" s="1"/>
  <c r="P150" s="1"/>
  <c r="Q4" i="4"/>
  <c r="AG46" i="1"/>
  <c r="AE46" s="1"/>
  <c r="AI46"/>
  <c r="V880"/>
  <c r="I896"/>
  <c r="K896" s="1"/>
  <c r="K880"/>
  <c r="AE1071"/>
  <c r="AG1071" s="1"/>
  <c r="K1062"/>
  <c r="P996"/>
  <c r="R996" s="1"/>
  <c r="R1320"/>
  <c r="P1301"/>
  <c r="R1301" s="1"/>
  <c r="K3150"/>
  <c r="P3157"/>
  <c r="R3157" s="1"/>
  <c r="P2510"/>
  <c r="M2514" s="1"/>
  <c r="R2514" s="1"/>
  <c r="V2593"/>
  <c r="S2602" s="1"/>
  <c r="P2647"/>
  <c r="R2647" s="1"/>
  <c r="X2791"/>
  <c r="K4066"/>
  <c r="O731" i="11"/>
  <c r="K937"/>
  <c r="I2735" i="1"/>
  <c r="K2735" s="1"/>
  <c r="I1824"/>
  <c r="K1824" s="1"/>
  <c r="D187" i="64"/>
  <c r="F187" s="1"/>
  <c r="D318"/>
  <c r="F318" s="1"/>
  <c r="P2060" i="1"/>
  <c r="V2598"/>
  <c r="S2603" s="1"/>
  <c r="X2603" s="1"/>
  <c r="I4038"/>
  <c r="K4038" s="1"/>
  <c r="J912" i="11"/>
  <c r="K912" s="1"/>
  <c r="R2854" i="27"/>
  <c r="F23" i="25"/>
  <c r="D584"/>
  <c r="D619" s="1"/>
  <c r="R1093" i="55"/>
  <c r="R1105"/>
  <c r="H1142"/>
  <c r="N1142"/>
  <c r="L1142"/>
  <c r="R1142"/>
  <c r="H1145"/>
  <c r="R1145"/>
  <c r="R1109"/>
  <c r="R1107"/>
  <c r="R1104"/>
  <c r="H1144"/>
  <c r="R1144"/>
  <c r="H1141"/>
  <c r="N1141"/>
  <c r="L1141"/>
  <c r="R1141"/>
  <c r="H1133"/>
  <c r="N1133"/>
  <c r="L1133"/>
  <c r="R1133"/>
  <c r="H1134"/>
  <c r="N1134"/>
  <c r="L1134"/>
  <c r="R1134"/>
  <c r="R1103"/>
  <c r="R1098"/>
  <c r="H1146"/>
  <c r="R1146"/>
  <c r="H1137"/>
  <c r="N1137"/>
  <c r="L1137"/>
  <c r="R1137"/>
  <c r="H1138"/>
  <c r="N1138"/>
  <c r="L1138"/>
  <c r="R1138"/>
  <c r="H1139"/>
  <c r="N1139"/>
  <c r="L1139"/>
  <c r="R1139"/>
  <c r="R1096"/>
  <c r="H1147"/>
  <c r="R1147"/>
  <c r="H1135"/>
  <c r="N1135"/>
  <c r="L1135"/>
  <c r="R1135"/>
  <c r="H1136"/>
  <c r="N1136"/>
  <c r="L1136"/>
  <c r="R1136"/>
  <c r="H1140"/>
  <c r="N1140"/>
  <c r="L1140"/>
  <c r="R1140"/>
  <c r="R1086"/>
  <c r="Z2602" i="1"/>
  <c r="X2604"/>
  <c r="K1179"/>
  <c r="P1194"/>
  <c r="R1194" s="1"/>
  <c r="R1198" s="1"/>
  <c r="R1200" s="1"/>
  <c r="C659" i="55" s="1"/>
  <c r="V1363" i="1"/>
  <c r="V1303"/>
  <c r="X1303" s="1"/>
  <c r="K1615"/>
  <c r="K2636"/>
  <c r="AE391"/>
  <c r="AG391" s="1"/>
  <c r="V685"/>
  <c r="R1146"/>
  <c r="K198"/>
  <c r="F49" i="25"/>
  <c r="I3828" i="1"/>
  <c r="K3828" s="1"/>
  <c r="P1221"/>
  <c r="P1284" s="1"/>
  <c r="R1284" s="1"/>
  <c r="P3467"/>
  <c r="R3467" s="1"/>
  <c r="I203" i="11"/>
  <c r="K203" s="1"/>
  <c r="K80"/>
  <c r="I495" i="27"/>
  <c r="K495" s="1"/>
  <c r="K503" s="1"/>
  <c r="K505" s="1"/>
  <c r="I1235"/>
  <c r="K1235" s="1"/>
  <c r="K1242" s="1"/>
  <c r="K1244" s="1"/>
  <c r="R1482" i="1"/>
  <c r="V1443"/>
  <c r="X1450"/>
  <c r="AB1448"/>
  <c r="AD1448" s="1"/>
  <c r="V1436"/>
  <c r="R1475"/>
  <c r="C749" i="55"/>
  <c r="I900" i="11"/>
  <c r="K793"/>
  <c r="P794"/>
  <c r="AB1418" i="1"/>
  <c r="AD1418" s="1"/>
  <c r="AD1401"/>
  <c r="K902" i="11"/>
  <c r="I918"/>
  <c r="K918" s="1"/>
  <c r="I244"/>
  <c r="I1110"/>
  <c r="K912" i="27"/>
  <c r="I2556"/>
  <c r="V1421" i="1"/>
  <c r="X1421" s="1"/>
  <c r="P1491"/>
  <c r="K1645"/>
  <c r="I3640"/>
  <c r="K3640" s="1"/>
  <c r="K2261" i="27"/>
  <c r="I2663"/>
  <c r="K2663" s="1"/>
  <c r="I142" i="11"/>
  <c r="K142" s="1"/>
  <c r="I1084"/>
  <c r="K1084" s="1"/>
  <c r="K121"/>
  <c r="V1284" i="1"/>
  <c r="X1284" s="1"/>
  <c r="K1255"/>
  <c r="V1419"/>
  <c r="X1419" s="1"/>
  <c r="V768"/>
  <c r="X768" s="1"/>
  <c r="AE369"/>
  <c r="AG369" s="1"/>
  <c r="X3138"/>
  <c r="P1144"/>
  <c r="P1175" s="1"/>
  <c r="R1175" s="1"/>
  <c r="K808"/>
  <c r="K3991"/>
  <c r="V3541"/>
  <c r="P3545"/>
  <c r="R3545" s="1"/>
  <c r="K3541"/>
  <c r="I3947"/>
  <c r="I3963" s="1"/>
  <c r="I3980" s="1"/>
  <c r="K3980" s="1"/>
  <c r="K3929"/>
  <c r="X3161"/>
  <c r="D550" i="25"/>
  <c r="K2977" i="1"/>
  <c r="P2984"/>
  <c r="R2984" s="1"/>
  <c r="I3062"/>
  <c r="P1220"/>
  <c r="P1283" s="1"/>
  <c r="R1283" s="1"/>
  <c r="K1225"/>
  <c r="I3643"/>
  <c r="K3643" s="1"/>
  <c r="K1648"/>
  <c r="P1176"/>
  <c r="R1176" s="1"/>
  <c r="R1145"/>
  <c r="K1973"/>
  <c r="P1973"/>
  <c r="R1973" s="1"/>
  <c r="P3504" i="27"/>
  <c r="R3504" s="1"/>
  <c r="I3571"/>
  <c r="K3571" s="1"/>
  <c r="I3588"/>
  <c r="K3588" s="1"/>
  <c r="I3809"/>
  <c r="K3809" s="1"/>
  <c r="K3874" s="1"/>
  <c r="I3006"/>
  <c r="K3006" s="1"/>
  <c r="K2855"/>
  <c r="I4018" i="1"/>
  <c r="I4006"/>
  <c r="K4006" s="1"/>
  <c r="V1388"/>
  <c r="X1371"/>
  <c r="X3545"/>
  <c r="V3525"/>
  <c r="X3525" s="1"/>
  <c r="P3366"/>
  <c r="R3366" s="1"/>
  <c r="R3297"/>
  <c r="P3400"/>
  <c r="R3400" s="1"/>
  <c r="K2976"/>
  <c r="P2983"/>
  <c r="R2983" s="1"/>
  <c r="I3747"/>
  <c r="R2433"/>
  <c r="K2681"/>
  <c r="I2682"/>
  <c r="K329" i="11"/>
  <c r="K330" s="1"/>
  <c r="AC12" i="27"/>
  <c r="C71" s="1"/>
  <c r="D48" i="50"/>
  <c r="D111" s="1"/>
  <c r="F111" s="1"/>
  <c r="R1458" i="1"/>
  <c r="I4022"/>
  <c r="I3988"/>
  <c r="K2426"/>
  <c r="I22" i="11"/>
  <c r="I2147" i="1"/>
  <c r="I1576"/>
  <c r="K1576" s="1"/>
  <c r="I1589"/>
  <c r="K1589" s="1"/>
  <c r="I2127"/>
  <c r="K2127" s="1"/>
  <c r="I1284"/>
  <c r="K1284" s="1"/>
  <c r="I504"/>
  <c r="I9"/>
  <c r="I53"/>
  <c r="K53" s="1"/>
  <c r="I2696"/>
  <c r="K2696" s="1"/>
  <c r="I2961" i="27"/>
  <c r="I2972"/>
  <c r="K2972" s="1"/>
  <c r="K2951"/>
  <c r="I2555"/>
  <c r="I2586" s="1"/>
  <c r="K2586" s="1"/>
  <c r="K438" i="11"/>
  <c r="K439" s="1"/>
  <c r="K431" s="1"/>
  <c r="V736" i="1"/>
  <c r="X736" s="1"/>
  <c r="K3987"/>
  <c r="AB3624"/>
  <c r="AD3624" s="1"/>
  <c r="X3624"/>
  <c r="I3061"/>
  <c r="P1432"/>
  <c r="R1415"/>
  <c r="V1408"/>
  <c r="I3076"/>
  <c r="K3076" s="1"/>
  <c r="P3064"/>
  <c r="R3064" s="1"/>
  <c r="I3056"/>
  <c r="I3181"/>
  <c r="K3181" s="1"/>
  <c r="K3168"/>
  <c r="K2145"/>
  <c r="P1335"/>
  <c r="R1335" s="1"/>
  <c r="V805"/>
  <c r="I1782"/>
  <c r="K1782" s="1"/>
  <c r="V884"/>
  <c r="X1370"/>
  <c r="R3263"/>
  <c r="X3135"/>
  <c r="V3160"/>
  <c r="V1395"/>
  <c r="X1378"/>
  <c r="AQ3105"/>
  <c r="AS3105" s="1"/>
  <c r="AH3105"/>
  <c r="K1165"/>
  <c r="K1167" s="1"/>
  <c r="K228"/>
  <c r="P234"/>
  <c r="R234" s="1"/>
  <c r="X3672"/>
  <c r="AE3666"/>
  <c r="AG3666" s="1"/>
  <c r="I3308"/>
  <c r="K3308" s="1"/>
  <c r="V868"/>
  <c r="X868" s="1"/>
  <c r="X647"/>
  <c r="AD647"/>
  <c r="AF647" s="1"/>
  <c r="P2436"/>
  <c r="R2436" s="1"/>
  <c r="K2429"/>
  <c r="V680"/>
  <c r="X710"/>
  <c r="Z710" s="1"/>
  <c r="P10" i="27"/>
  <c r="R10" s="1"/>
  <c r="I1684"/>
  <c r="K1684" s="1"/>
  <c r="D667" i="64"/>
  <c r="F667" s="1"/>
  <c r="F270" i="32"/>
  <c r="D37" i="25"/>
  <c r="F37" s="1"/>
  <c r="F24"/>
  <c r="I3700" i="27"/>
  <c r="I3709" s="1"/>
  <c r="K3709" s="1"/>
  <c r="K3712" s="1"/>
  <c r="K3829"/>
  <c r="P3505"/>
  <c r="R3505" s="1"/>
  <c r="K3505"/>
  <c r="K2371"/>
  <c r="I2388"/>
  <c r="K2388" s="1"/>
  <c r="K1152" i="1"/>
  <c r="K1154" s="1"/>
  <c r="C1116" i="55" s="1"/>
  <c r="K866" i="1"/>
  <c r="I3927"/>
  <c r="V866"/>
  <c r="X866" s="1"/>
  <c r="K315"/>
  <c r="V315"/>
  <c r="I2971"/>
  <c r="K2835"/>
  <c r="K3102"/>
  <c r="P2076"/>
  <c r="X3671"/>
  <c r="AE3665"/>
  <c r="AG3665" s="1"/>
  <c r="P3192"/>
  <c r="P3261" s="1"/>
  <c r="I2817"/>
  <c r="P2824" s="1"/>
  <c r="R431"/>
  <c r="W11" i="64"/>
  <c r="W13" s="1"/>
  <c r="D668"/>
  <c r="F668" s="1"/>
  <c r="F591"/>
  <c r="I3266" i="27"/>
  <c r="K3248"/>
  <c r="I3029"/>
  <c r="K3029" s="1"/>
  <c r="I2932"/>
  <c r="I3443"/>
  <c r="K3421"/>
  <c r="I3416" s="1"/>
  <c r="K3416" s="1"/>
  <c r="L3416" s="1"/>
  <c r="V681" i="1"/>
  <c r="D47" i="32"/>
  <c r="F47" s="1"/>
  <c r="H47" s="1"/>
  <c r="I1287" i="1"/>
  <c r="K1287" s="1"/>
  <c r="K1273"/>
  <c r="I3642"/>
  <c r="K3642" s="1"/>
  <c r="K1647"/>
  <c r="I2719"/>
  <c r="K2719" s="1"/>
  <c r="K2713"/>
  <c r="I3464"/>
  <c r="K3459"/>
  <c r="AE3539"/>
  <c r="V3539"/>
  <c r="P1633"/>
  <c r="R1633" s="1"/>
  <c r="K1631"/>
  <c r="K3121"/>
  <c r="K3123" s="1"/>
  <c r="P3121"/>
  <c r="R3121" s="1"/>
  <c r="R3123" s="1"/>
  <c r="F36" i="25"/>
  <c r="D59"/>
  <c r="P13" i="64"/>
  <c r="I2986" i="27"/>
  <c r="K2986" s="1"/>
  <c r="I3909"/>
  <c r="K3909" s="1"/>
  <c r="K3402"/>
  <c r="I3397" s="1"/>
  <c r="K3397" s="1"/>
  <c r="L3397" s="1"/>
  <c r="M3397" s="1"/>
  <c r="N3397" s="1"/>
  <c r="O3397" s="1"/>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I3503" i="27"/>
  <c r="P2853"/>
  <c r="R2847"/>
  <c r="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F1146" i="55"/>
  <c r="P2870" i="27"/>
  <c r="R2870" s="1"/>
  <c r="R2875" s="1"/>
  <c r="R2877"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F10391" i="55"/>
  <c r="F10339"/>
  <c r="F10195"/>
  <c r="G99" i="50"/>
  <c r="J3742" i="27"/>
  <c r="K3742" s="1"/>
  <c r="K3760" s="1"/>
  <c r="E677" i="25"/>
  <c r="A690" s="1"/>
  <c r="E534"/>
  <c r="A546" s="1"/>
  <c r="AF24" i="64"/>
  <c r="AF18" s="1"/>
  <c r="E5" i="4"/>
  <c r="E6" s="1"/>
  <c r="H4"/>
  <c r="H5" s="1"/>
  <c r="H6" s="1"/>
  <c r="R1393" i="1"/>
  <c r="P2858"/>
  <c r="R2858" s="1"/>
  <c r="R3265"/>
  <c r="I3745"/>
  <c r="K3745" s="1"/>
  <c r="I167" i="11"/>
  <c r="K167" s="1"/>
  <c r="I172"/>
  <c r="K172" s="1"/>
  <c r="I174"/>
  <c r="K174" s="1"/>
  <c r="K1059" i="1"/>
  <c r="I2314"/>
  <c r="K2314" s="1"/>
  <c r="K2318" s="1"/>
  <c r="R3199"/>
  <c r="I102" i="11"/>
  <c r="K270"/>
  <c r="K666"/>
  <c r="D282" i="64"/>
  <c r="F282" s="1"/>
  <c r="F417"/>
  <c r="AK46" i="1"/>
  <c r="X36"/>
  <c r="X37" s="1"/>
  <c r="P1052"/>
  <c r="R1052" s="1"/>
  <c r="AE1194"/>
  <c r="P2051"/>
  <c r="M2074" s="1"/>
  <c r="P2299"/>
  <c r="R2299" s="1"/>
  <c r="X2788"/>
  <c r="I4068"/>
  <c r="K4068" s="1"/>
  <c r="I3979"/>
  <c r="K3979" s="1"/>
  <c r="P19" i="11"/>
  <c r="P55"/>
  <c r="R55" s="1"/>
  <c r="K76"/>
  <c r="K169"/>
  <c r="P296"/>
  <c r="R296" s="1"/>
  <c r="S410"/>
  <c r="R411" s="1"/>
  <c r="K429"/>
  <c r="I832"/>
  <c r="I705"/>
  <c r="K705"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9"/>
  <c r="K989" s="1"/>
  <c r="P48"/>
  <c r="R48" s="1"/>
  <c r="K339"/>
  <c r="I577"/>
  <c r="L732"/>
  <c r="R796"/>
  <c r="P821"/>
  <c r="R821" s="1"/>
  <c r="K226"/>
  <c r="I1071"/>
  <c r="K1071" s="1"/>
  <c r="P179" i="27"/>
  <c r="R179" s="1"/>
  <c r="I335"/>
  <c r="K335" s="1"/>
  <c r="I917" i="11"/>
  <c r="K917" s="1"/>
  <c r="K919" s="1"/>
  <c r="K920" s="1"/>
  <c r="K913" s="1"/>
  <c r="K900"/>
  <c r="K903" s="1"/>
  <c r="K896" s="1"/>
  <c r="K897" s="1"/>
  <c r="K468"/>
  <c r="I493"/>
  <c r="K493" s="1"/>
  <c r="K494" s="1"/>
  <c r="K488" s="1"/>
  <c r="K489" s="1"/>
  <c r="K991"/>
  <c r="K1094"/>
  <c r="K509"/>
  <c r="K510"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R1221" i="1"/>
  <c r="T1221" s="1"/>
  <c r="P1263"/>
  <c r="K957" i="27"/>
  <c r="K959" s="1"/>
  <c r="K795" i="11"/>
  <c r="R1144" i="1"/>
  <c r="G97" i="32"/>
  <c r="G99" s="1"/>
  <c r="E157"/>
  <c r="G157" s="1"/>
  <c r="G159" s="1"/>
  <c r="A26"/>
  <c r="F26" s="1"/>
  <c r="F25"/>
  <c r="M882" i="11"/>
  <c r="K2285" i="1"/>
  <c r="C440" i="55" s="1"/>
  <c r="P605" i="27"/>
  <c r="R605" s="1"/>
  <c r="Z37"/>
  <c r="AC37" s="1"/>
  <c r="I241" s="1"/>
  <c r="K241" s="1"/>
  <c r="K246" s="1"/>
  <c r="K248" s="1"/>
  <c r="K2555"/>
  <c r="I1575"/>
  <c r="K1575" s="1"/>
  <c r="K1582" s="1"/>
  <c r="K1584" s="1"/>
  <c r="I225" i="11"/>
  <c r="K225" s="1"/>
  <c r="I854"/>
  <c r="I467"/>
  <c r="K467" s="1"/>
  <c r="K83"/>
  <c r="I242"/>
  <c r="K2554" i="27"/>
  <c r="I127" i="11"/>
  <c r="I258"/>
  <c r="K258" s="1"/>
  <c r="Z14" i="27"/>
  <c r="R1489" i="1"/>
  <c r="P1535"/>
  <c r="R1535" s="1"/>
  <c r="K3443" i="27"/>
  <c r="I3437" s="1"/>
  <c r="K3437" s="1"/>
  <c r="I3483"/>
  <c r="P3618"/>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K564" s="1"/>
  <c r="K567" s="1"/>
  <c r="I568" s="1"/>
  <c r="K568" s="1"/>
  <c r="I569" s="1"/>
  <c r="K569" s="1"/>
  <c r="I570" s="1"/>
  <c r="K570" s="1"/>
  <c r="I571" s="1"/>
  <c r="K571" s="1"/>
  <c r="I572" s="1"/>
  <c r="K572" s="1"/>
  <c r="P348"/>
  <c r="R348" s="1"/>
  <c r="I411"/>
  <c r="K411" s="1"/>
  <c r="I426"/>
  <c r="K426" s="1"/>
  <c r="P534"/>
  <c r="R534" s="1"/>
  <c r="G329" i="25"/>
  <c r="G330" s="1"/>
  <c r="G331" s="1"/>
  <c r="F138"/>
  <c r="D161"/>
  <c r="F161" s="1"/>
  <c r="D304"/>
  <c r="F304" s="1"/>
  <c r="K3924" i="27"/>
  <c r="I3938" s="1"/>
  <c r="K3938" s="1"/>
  <c r="G35" i="50"/>
  <c r="E150" i="32"/>
  <c r="F150" s="1"/>
  <c r="I3494" i="27"/>
  <c r="K2804"/>
  <c r="K2710"/>
  <c r="K2711" s="1"/>
  <c r="K2703" s="1"/>
  <c r="K2705" s="1"/>
  <c r="K1138"/>
  <c r="K1140" s="1"/>
  <c r="P722"/>
  <c r="R722" s="1"/>
  <c r="R729" s="1"/>
  <c r="R731" s="1"/>
  <c r="P706"/>
  <c r="R706" s="1"/>
  <c r="R713" s="1"/>
  <c r="R715"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66"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K3241" i="1"/>
  <c r="L3207" s="1"/>
  <c r="F144" i="64"/>
  <c r="F143"/>
  <c r="E832"/>
  <c r="G33" i="32"/>
  <c r="G35" s="1"/>
  <c r="K2643" i="27"/>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2" i="11"/>
  <c r="I740"/>
  <c r="K740" s="1"/>
  <c r="K673"/>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1" i="11"/>
  <c r="K741" s="1"/>
  <c r="I758"/>
  <c r="K758" s="1"/>
  <c r="K676"/>
  <c r="L929"/>
  <c r="G357" i="25"/>
  <c r="E347" s="1"/>
  <c r="G347" s="1"/>
  <c r="G349" s="1"/>
  <c r="G350" s="1"/>
  <c r="C763" i="55" s="1"/>
  <c r="F145" i="64"/>
  <c r="E834"/>
  <c r="F26"/>
  <c r="F137"/>
  <c r="E827"/>
  <c r="G824"/>
  <c r="E879"/>
  <c r="G879" s="1"/>
  <c r="E13" i="4"/>
  <c r="E11"/>
  <c r="AI43" i="1"/>
  <c r="P948"/>
  <c r="R948" s="1"/>
  <c r="K1670"/>
  <c r="C364" i="55" s="1"/>
  <c r="P2675" i="1"/>
  <c r="R2826"/>
  <c r="K674" i="11"/>
  <c r="I742"/>
  <c r="K742" s="1"/>
  <c r="R870"/>
  <c r="R871" s="1"/>
  <c r="R873" s="1"/>
  <c r="K1258"/>
  <c r="K1259" s="1"/>
  <c r="K1260" s="1"/>
  <c r="K1264" s="1"/>
  <c r="K1266" s="1"/>
  <c r="G402" i="25"/>
  <c r="E392" s="1"/>
  <c r="G392" s="1"/>
  <c r="G394" s="1"/>
  <c r="G395" s="1"/>
  <c r="C765" i="55" s="1"/>
  <c r="G374" i="25"/>
  <c r="D197"/>
  <c r="A194" s="1"/>
  <c r="G194" s="1"/>
  <c r="F149" i="64"/>
  <c r="E838"/>
  <c r="F136"/>
  <c r="E826"/>
  <c r="F133"/>
  <c r="F129"/>
  <c r="P30"/>
  <c r="P31" s="1"/>
  <c r="P23" s="1"/>
  <c r="Z39" i="1"/>
  <c r="AC39" s="1"/>
  <c r="P125" s="1"/>
  <c r="R125" s="1"/>
  <c r="E12" i="4"/>
  <c r="E10"/>
  <c r="Z11" i="1" s="1"/>
  <c r="N4" i="4"/>
  <c r="N5" s="1"/>
  <c r="N6" s="1"/>
  <c r="AH43" i="1"/>
  <c r="M563"/>
  <c r="P1053"/>
  <c r="R1053" s="1"/>
  <c r="V1353"/>
  <c r="R1357"/>
  <c r="R1358" s="1"/>
  <c r="R1363" s="1"/>
  <c r="R1365" s="1"/>
  <c r="R2080"/>
  <c r="K2098"/>
  <c r="K2642"/>
  <c r="K2668"/>
  <c r="X2786"/>
  <c r="V3122"/>
  <c r="R3231"/>
  <c r="I3829"/>
  <c r="K3829" s="1"/>
  <c r="K3462"/>
  <c r="AB3539"/>
  <c r="AG3539" s="1"/>
  <c r="AB3538"/>
  <c r="AG3538" s="1"/>
  <c r="C292" i="64"/>
  <c r="C415" s="1"/>
  <c r="C837"/>
  <c r="C892" s="1"/>
  <c r="K42" i="11"/>
  <c r="I575"/>
  <c r="N733"/>
  <c r="K983"/>
  <c r="I1114"/>
  <c r="P2056" i="1"/>
  <c r="K2639"/>
  <c r="X2789"/>
  <c r="R2827"/>
  <c r="R3230"/>
  <c r="X3653"/>
  <c r="G3899"/>
  <c r="G3900" s="1"/>
  <c r="K667" i="11"/>
  <c r="K3055" i="1"/>
  <c r="K3148"/>
  <c r="K3538"/>
  <c r="H3869"/>
  <c r="E3873" s="1"/>
  <c r="R838" i="11"/>
  <c r="X479" i="1"/>
  <c r="AE427"/>
  <c r="AG427" s="1"/>
  <c r="AE339"/>
  <c r="AG339" s="1"/>
  <c r="X680"/>
  <c r="AE393"/>
  <c r="AE429" s="1"/>
  <c r="AG429" s="1"/>
  <c r="AD645"/>
  <c r="AF645" s="1"/>
  <c r="K1944"/>
  <c r="V316"/>
  <c r="AE316" s="1"/>
  <c r="AG316" s="1"/>
  <c r="K83"/>
  <c r="D110" i="32"/>
  <c r="F110" s="1"/>
  <c r="D47" i="50"/>
  <c r="V735" i="1"/>
  <c r="X735" s="1"/>
  <c r="K3564"/>
  <c r="V766"/>
  <c r="X766" s="1"/>
  <c r="I3354"/>
  <c r="K3354" s="1"/>
  <c r="K1994"/>
  <c r="P197"/>
  <c r="I3463"/>
  <c r="P3469" s="1"/>
  <c r="R3469" s="1"/>
  <c r="P1178"/>
  <c r="R1178" s="1"/>
  <c r="K3947"/>
  <c r="AE2618"/>
  <c r="AG2618" s="1"/>
  <c r="AE392"/>
  <c r="P1893"/>
  <c r="P1114"/>
  <c r="C23" i="55"/>
  <c r="I3825" i="1"/>
  <c r="K3825" s="1"/>
  <c r="K1257"/>
  <c r="K1847"/>
  <c r="K2028"/>
  <c r="V554"/>
  <c r="X554" s="1"/>
  <c r="K197"/>
  <c r="D71" i="25"/>
  <c r="K1183" i="1"/>
  <c r="K1185" s="1"/>
  <c r="C658" i="55" s="1"/>
  <c r="AE2652" i="1"/>
  <c r="AG2652" s="1"/>
  <c r="P3464"/>
  <c r="R3464" s="1"/>
  <c r="P1863"/>
  <c r="V1287"/>
  <c r="X1287" s="1"/>
  <c r="V359"/>
  <c r="P3507"/>
  <c r="R3507" s="1"/>
  <c r="R3509" s="1"/>
  <c r="R3510" s="1"/>
  <c r="I111"/>
  <c r="K111" s="1"/>
  <c r="I2902"/>
  <c r="K2902" s="1"/>
  <c r="AB1333"/>
  <c r="AC1333" s="1"/>
  <c r="P2374"/>
  <c r="R2374" s="1"/>
  <c r="R432"/>
  <c r="R444" s="1"/>
  <c r="R446" s="1"/>
  <c r="R1436"/>
  <c r="P1452"/>
  <c r="K96"/>
  <c r="M96"/>
  <c r="M97" s="1"/>
  <c r="D111" i="32"/>
  <c r="F111" s="1"/>
  <c r="AB1191" i="1"/>
  <c r="V1380"/>
  <c r="R3192"/>
  <c r="X338"/>
  <c r="I3587"/>
  <c r="K3587" s="1"/>
  <c r="R1419"/>
  <c r="R1552"/>
  <c r="P1541" s="1"/>
  <c r="R1541" s="1"/>
  <c r="AC25"/>
  <c r="C87" s="1"/>
  <c r="Z24"/>
  <c r="AC24" s="1"/>
  <c r="C86" s="1"/>
  <c r="Z26"/>
  <c r="K1807"/>
  <c r="E212" i="32"/>
  <c r="F212" s="1"/>
  <c r="AH3109" i="1"/>
  <c r="V821"/>
  <c r="X821" s="1"/>
  <c r="X806"/>
  <c r="R1220"/>
  <c r="T1220" s="1"/>
  <c r="P1262"/>
  <c r="P1225"/>
  <c r="P1288" s="1"/>
  <c r="R1288" s="1"/>
  <c r="X804"/>
  <c r="V819"/>
  <c r="X819" s="1"/>
  <c r="AI530"/>
  <c r="AD530"/>
  <c r="AB554"/>
  <c r="AD554" s="1"/>
  <c r="K3565"/>
  <c r="P3568"/>
  <c r="R3568" s="1"/>
  <c r="X358"/>
  <c r="AE367"/>
  <c r="AG367" s="1"/>
  <c r="K1511"/>
  <c r="K1513" s="1"/>
  <c r="C350" i="55" s="1"/>
  <c r="D109" i="32"/>
  <c r="F109" s="1"/>
  <c r="AG393" i="1"/>
  <c r="I3182"/>
  <c r="K3056"/>
  <c r="V739"/>
  <c r="X739" s="1"/>
  <c r="I3832"/>
  <c r="K3832" s="1"/>
  <c r="X384"/>
  <c r="V1302"/>
  <c r="D51" i="32"/>
  <c r="R3294" i="1"/>
  <c r="P2375"/>
  <c r="R2375" s="1"/>
  <c r="I3170"/>
  <c r="P1219"/>
  <c r="P1282" s="1"/>
  <c r="R1282" s="1"/>
  <c r="P1218"/>
  <c r="P1281" s="1"/>
  <c r="R1281" s="1"/>
  <c r="K810"/>
  <c r="I3171"/>
  <c r="V1288"/>
  <c r="X1288" s="1"/>
  <c r="K1254"/>
  <c r="P1321"/>
  <c r="AB1321" s="1"/>
  <c r="AD1321" s="1"/>
  <c r="AD1324" s="1"/>
  <c r="AD1326" s="1"/>
  <c r="C746" i="55" s="1"/>
  <c r="X3670" i="1"/>
  <c r="X3675" s="1"/>
  <c r="R382"/>
  <c r="R384" s="1"/>
  <c r="V3555"/>
  <c r="K3465"/>
  <c r="X530"/>
  <c r="P2009"/>
  <c r="R2009" s="1"/>
  <c r="K358"/>
  <c r="P126"/>
  <c r="R126" s="1"/>
  <c r="AE3664"/>
  <c r="AG3664" s="1"/>
  <c r="D73" i="25"/>
  <c r="K2817" i="1"/>
  <c r="AR401"/>
  <c r="AR402" s="1"/>
  <c r="AR403" s="1"/>
  <c r="AR404" s="1"/>
  <c r="AR405" s="1"/>
  <c r="AR406" s="1"/>
  <c r="K3772"/>
  <c r="K3774" s="1"/>
  <c r="F1136" i="55"/>
  <c r="R284" i="11"/>
  <c r="F48" i="50"/>
  <c r="R396" i="1"/>
  <c r="R398" s="1"/>
  <c r="R2824"/>
  <c r="P2857"/>
  <c r="R2857" s="1"/>
  <c r="AE2789"/>
  <c r="AG2789" s="1"/>
  <c r="K3963"/>
  <c r="V2785"/>
  <c r="X2785" s="1"/>
  <c r="X3133"/>
  <c r="R1527"/>
  <c r="R1529" s="1"/>
  <c r="K86"/>
  <c r="K88" s="1"/>
  <c r="AS3109"/>
  <c r="V3251"/>
  <c r="X3251" s="1"/>
  <c r="K1538"/>
  <c r="K1540" s="1"/>
  <c r="I3808"/>
  <c r="K3808" s="1"/>
  <c r="F13522" i="55"/>
  <c r="F13490"/>
  <c r="F13482"/>
  <c r="F13182"/>
  <c r="F13034"/>
  <c r="F12898"/>
  <c r="F12890"/>
  <c r="F12858"/>
  <c r="F12782"/>
  <c r="F12766"/>
  <c r="F12758"/>
  <c r="F12598"/>
  <c r="F10154"/>
  <c r="F10122"/>
  <c r="F10090"/>
  <c r="F10058"/>
  <c r="F10026"/>
  <c r="F9994"/>
  <c r="F9962"/>
  <c r="F9930"/>
  <c r="F9902"/>
  <c r="F9898"/>
  <c r="F9871"/>
  <c r="F9867"/>
  <c r="F9699"/>
  <c r="F9627"/>
  <c r="F9608"/>
  <c r="F9590"/>
  <c r="F9586"/>
  <c r="F9578"/>
  <c r="F9571"/>
  <c r="F9563"/>
  <c r="F9559"/>
  <c r="F9551"/>
  <c r="F9547"/>
  <c r="F9543"/>
  <c r="F9539"/>
  <c r="F9531"/>
  <c r="F1139"/>
  <c r="F11601"/>
  <c r="F11617"/>
  <c r="F11633"/>
  <c r="F11709"/>
  <c r="F11729"/>
  <c r="F11737"/>
  <c r="F11745"/>
  <c r="F11753"/>
  <c r="F11761"/>
  <c r="F11769"/>
  <c r="F11777"/>
  <c r="F11789"/>
  <c r="F11805"/>
  <c r="F11821"/>
  <c r="F11829"/>
  <c r="F11837"/>
  <c r="F11845"/>
  <c r="F11853"/>
  <c r="F11861"/>
  <c r="F11869"/>
  <c r="F11877"/>
  <c r="F11885"/>
  <c r="F11893"/>
  <c r="F11901"/>
  <c r="F11909"/>
  <c r="F11917"/>
  <c r="F11925"/>
  <c r="F11933"/>
  <c r="F11941"/>
  <c r="F11949"/>
  <c r="F11957"/>
  <c r="F11965"/>
  <c r="F11973"/>
  <c r="F11981"/>
  <c r="F11989"/>
  <c r="F11997"/>
  <c r="F12005"/>
  <c r="F12013"/>
  <c r="F12021"/>
  <c r="F12029"/>
  <c r="F12037"/>
  <c r="F12045"/>
  <c r="F12053"/>
  <c r="F12061"/>
  <c r="F12069"/>
  <c r="F12077"/>
  <c r="F12085"/>
  <c r="F12093"/>
  <c r="F12101"/>
  <c r="F12109"/>
  <c r="F12117"/>
  <c r="F12125"/>
  <c r="F12133"/>
  <c r="F12141"/>
  <c r="F12149"/>
  <c r="F12157"/>
  <c r="F12165"/>
  <c r="F12173"/>
  <c r="F12181"/>
  <c r="F12189"/>
  <c r="F12197"/>
  <c r="F12205"/>
  <c r="F12213"/>
  <c r="F12221"/>
  <c r="F12229"/>
  <c r="F12237"/>
  <c r="F12245"/>
  <c r="F12253"/>
  <c r="F12261"/>
  <c r="F12269"/>
  <c r="F12277"/>
  <c r="F12285"/>
  <c r="F12293"/>
  <c r="F12301"/>
  <c r="F12309"/>
  <c r="F12317"/>
  <c r="F12325"/>
  <c r="F12333"/>
  <c r="F12341"/>
  <c r="F12349"/>
  <c r="F12357"/>
  <c r="F12365"/>
  <c r="F12373"/>
  <c r="F12381"/>
  <c r="F12389"/>
  <c r="F12397"/>
  <c r="F12405"/>
  <c r="F12413"/>
  <c r="F12421"/>
  <c r="F12429"/>
  <c r="F12437"/>
  <c r="F12445"/>
  <c r="F12453"/>
  <c r="F12461"/>
  <c r="F12469"/>
  <c r="F12477"/>
  <c r="F12485"/>
  <c r="F12493"/>
  <c r="F12501"/>
  <c r="F12509"/>
  <c r="F12517"/>
  <c r="F12593"/>
  <c r="F12905"/>
  <c r="F13033"/>
  <c r="F11029"/>
  <c r="F11037"/>
  <c r="F11045"/>
  <c r="F11053"/>
  <c r="F11061"/>
  <c r="F11069"/>
  <c r="F11077"/>
  <c r="F11085"/>
  <c r="F11093"/>
  <c r="F11101"/>
  <c r="F11109"/>
  <c r="F11117"/>
  <c r="F11125"/>
  <c r="F11133"/>
  <c r="F11141"/>
  <c r="F11149"/>
  <c r="F11157"/>
  <c r="F11165"/>
  <c r="F11173"/>
  <c r="F11181"/>
  <c r="F11189"/>
  <c r="F11197"/>
  <c r="F11205"/>
  <c r="F11213"/>
  <c r="F11221"/>
  <c r="F11229"/>
  <c r="F11237"/>
  <c r="F11245"/>
  <c r="F11253"/>
  <c r="F11261"/>
  <c r="F11269"/>
  <c r="F11277"/>
  <c r="F11285"/>
  <c r="F11293"/>
  <c r="F11301"/>
  <c r="F11309"/>
  <c r="F11317"/>
  <c r="F11325"/>
  <c r="F11333"/>
  <c r="F11341"/>
  <c r="F11349"/>
  <c r="F11357"/>
  <c r="F11365"/>
  <c r="F11373"/>
  <c r="F11381"/>
  <c r="F11389"/>
  <c r="F11397"/>
  <c r="F11405"/>
  <c r="F11413"/>
  <c r="F11421"/>
  <c r="F11429"/>
  <c r="F11437"/>
  <c r="F11445"/>
  <c r="F11453"/>
  <c r="F11461"/>
  <c r="F11469"/>
  <c r="F11477"/>
  <c r="F11485"/>
  <c r="F11493"/>
  <c r="F11501"/>
  <c r="F11509"/>
  <c r="F11517"/>
  <c r="F11525"/>
  <c r="F11533"/>
  <c r="F11541"/>
  <c r="F11549"/>
  <c r="F11557"/>
  <c r="F11565"/>
  <c r="F11573"/>
  <c r="F11581"/>
  <c r="F11589"/>
  <c r="F11597"/>
  <c r="F11613"/>
  <c r="F11629"/>
  <c r="F11645"/>
  <c r="F11653"/>
  <c r="F11661"/>
  <c r="F11669"/>
  <c r="F11677"/>
  <c r="F11685"/>
  <c r="F11717"/>
  <c r="F11785"/>
  <c r="F11801"/>
  <c r="F11817"/>
  <c r="F12553"/>
  <c r="F12673"/>
  <c r="F12897"/>
  <c r="F12941"/>
  <c r="F13433"/>
  <c r="F11609"/>
  <c r="F11625"/>
  <c r="F11641"/>
  <c r="F11693"/>
  <c r="F11725"/>
  <c r="F11733"/>
  <c r="F11741"/>
  <c r="F11749"/>
  <c r="F11757"/>
  <c r="F11765"/>
  <c r="F11773"/>
  <c r="F11781"/>
  <c r="F11797"/>
  <c r="F11813"/>
  <c r="F11825"/>
  <c r="F11833"/>
  <c r="F11841"/>
  <c r="F11849"/>
  <c r="F11857"/>
  <c r="F11865"/>
  <c r="F11873"/>
  <c r="F11881"/>
  <c r="F11889"/>
  <c r="F11897"/>
  <c r="F11905"/>
  <c r="F11913"/>
  <c r="F11921"/>
  <c r="F11929"/>
  <c r="F11937"/>
  <c r="F11945"/>
  <c r="F11953"/>
  <c r="F11961"/>
  <c r="F11969"/>
  <c r="F11977"/>
  <c r="F11985"/>
  <c r="F11993"/>
  <c r="F12001"/>
  <c r="F12009"/>
  <c r="F12017"/>
  <c r="F12025"/>
  <c r="F12033"/>
  <c r="F12041"/>
  <c r="F12049"/>
  <c r="F12057"/>
  <c r="F12065"/>
  <c r="F12073"/>
  <c r="F12081"/>
  <c r="F12089"/>
  <c r="F12097"/>
  <c r="F12105"/>
  <c r="F12113"/>
  <c r="F12121"/>
  <c r="F12129"/>
  <c r="F12137"/>
  <c r="F12145"/>
  <c r="F12153"/>
  <c r="F12161"/>
  <c r="F12169"/>
  <c r="F12177"/>
  <c r="F12185"/>
  <c r="F12193"/>
  <c r="F12201"/>
  <c r="F12209"/>
  <c r="F12217"/>
  <c r="F12225"/>
  <c r="F12233"/>
  <c r="F12241"/>
  <c r="F12249"/>
  <c r="F12257"/>
  <c r="F12265"/>
  <c r="F12273"/>
  <c r="F12281"/>
  <c r="F12289"/>
  <c r="F12297"/>
  <c r="F12305"/>
  <c r="F12313"/>
  <c r="F12321"/>
  <c r="F12329"/>
  <c r="F12337"/>
  <c r="F12345"/>
  <c r="F12353"/>
  <c r="F12361"/>
  <c r="F12369"/>
  <c r="F12377"/>
  <c r="F12385"/>
  <c r="F12393"/>
  <c r="F12401"/>
  <c r="F12409"/>
  <c r="F12417"/>
  <c r="F12425"/>
  <c r="F12433"/>
  <c r="F12441"/>
  <c r="F12449"/>
  <c r="F12457"/>
  <c r="F12465"/>
  <c r="F12473"/>
  <c r="F12481"/>
  <c r="F12489"/>
  <c r="F12497"/>
  <c r="F12505"/>
  <c r="F12513"/>
  <c r="F12809"/>
  <c r="F12929"/>
  <c r="F13093"/>
  <c r="F13778"/>
  <c r="F13650"/>
  <c r="F13318"/>
  <c r="F13274"/>
  <c r="F13266"/>
  <c r="F13230"/>
  <c r="F13138"/>
  <c r="F13090"/>
  <c r="F13054"/>
  <c r="F12986"/>
  <c r="F12714"/>
  <c r="F11822"/>
  <c r="F11818"/>
  <c r="F11814"/>
  <c r="F11810"/>
  <c r="F11806"/>
  <c r="F11802"/>
  <c r="F11798"/>
  <c r="F11794"/>
  <c r="F11790"/>
  <c r="F11786"/>
  <c r="F11782"/>
  <c r="F11778"/>
  <c r="F11766"/>
  <c r="F11762"/>
  <c r="F11750"/>
  <c r="F11746"/>
  <c r="F11734"/>
  <c r="F11730"/>
  <c r="F11590"/>
  <c r="F11586"/>
  <c r="F11574"/>
  <c r="F11570"/>
  <c r="F11558"/>
  <c r="F11554"/>
  <c r="F11542"/>
  <c r="F11538"/>
  <c r="F11526"/>
  <c r="F11522"/>
  <c r="F11510"/>
  <c r="F11506"/>
  <c r="F11494"/>
  <c r="F11490"/>
  <c r="F11478"/>
  <c r="F11474"/>
  <c r="F11462"/>
  <c r="F11458"/>
  <c r="F11446"/>
  <c r="F11442"/>
  <c r="F11430"/>
  <c r="F11426"/>
  <c r="F11414"/>
  <c r="F11410"/>
  <c r="F11402"/>
  <c r="F11398"/>
  <c r="F11394"/>
  <c r="F11390"/>
  <c r="F11386"/>
  <c r="F11378"/>
  <c r="F11374"/>
  <c r="F11370"/>
  <c r="F11366"/>
  <c r="F11358"/>
  <c r="F11354"/>
  <c r="F11350"/>
  <c r="F11346"/>
  <c r="F11342"/>
  <c r="F11338"/>
  <c r="F11334"/>
  <c r="F11330"/>
  <c r="F11326"/>
  <c r="F11322"/>
  <c r="F11314"/>
  <c r="F11310"/>
  <c r="F11306"/>
  <c r="F11302"/>
  <c r="F11294"/>
  <c r="F11290"/>
  <c r="F11286"/>
  <c r="F11282"/>
  <c r="F11278"/>
  <c r="F11274"/>
  <c r="F11270"/>
  <c r="F11266"/>
  <c r="F11262"/>
  <c r="F11258"/>
  <c r="F11250"/>
  <c r="F11246"/>
  <c r="F11242"/>
  <c r="F11238"/>
  <c r="F11230"/>
  <c r="F11226"/>
  <c r="F11222"/>
  <c r="F11218"/>
  <c r="F11214"/>
  <c r="F11210"/>
  <c r="F11206"/>
  <c r="F11202"/>
  <c r="F11198"/>
  <c r="F11194"/>
  <c r="F11186"/>
  <c r="F11182"/>
  <c r="F11178"/>
  <c r="F11174"/>
  <c r="F11166"/>
  <c r="F11162"/>
  <c r="F11158"/>
  <c r="F11154"/>
  <c r="F11150"/>
  <c r="F11146"/>
  <c r="F11142"/>
  <c r="F11138"/>
  <c r="F11134"/>
  <c r="F11130"/>
  <c r="F11122"/>
  <c r="F11118"/>
  <c r="F11114"/>
  <c r="F11110"/>
  <c r="F11102"/>
  <c r="F11098"/>
  <c r="F11094"/>
  <c r="F11090"/>
  <c r="F11086"/>
  <c r="F11082"/>
  <c r="F11078"/>
  <c r="F11074"/>
  <c r="F11070"/>
  <c r="F11066"/>
  <c r="F11058"/>
  <c r="F11054"/>
  <c r="F11050"/>
  <c r="F11046"/>
  <c r="F11038"/>
  <c r="F11034"/>
  <c r="F11030"/>
  <c r="F11026"/>
  <c r="F11022"/>
  <c r="F11018"/>
  <c r="F11014"/>
  <c r="F11010"/>
  <c r="F11006"/>
  <c r="F11002"/>
  <c r="F10994"/>
  <c r="F10990"/>
  <c r="F10986"/>
  <c r="F10982"/>
  <c r="F10974"/>
  <c r="F10970"/>
  <c r="F10966"/>
  <c r="F10962"/>
  <c r="F10958"/>
  <c r="F10954"/>
  <c r="F10950"/>
  <c r="F10946"/>
  <c r="F10942"/>
  <c r="F10938"/>
  <c r="F10930"/>
  <c r="F10926"/>
  <c r="F10922"/>
  <c r="F10918"/>
  <c r="F10910"/>
  <c r="F10906"/>
  <c r="F10902"/>
  <c r="F10898"/>
  <c r="F10894"/>
  <c r="F10890"/>
  <c r="F10886"/>
  <c r="F10882"/>
  <c r="F10878"/>
  <c r="F10874"/>
  <c r="F10866"/>
  <c r="F10862"/>
  <c r="F10858"/>
  <c r="F10854"/>
  <c r="F10846"/>
  <c r="F10842"/>
  <c r="F10838"/>
  <c r="F10834"/>
  <c r="F10830"/>
  <c r="F10826"/>
  <c r="F10822"/>
  <c r="F10818"/>
  <c r="F10814"/>
  <c r="F10810"/>
  <c r="F10802"/>
  <c r="F10798"/>
  <c r="F10794"/>
  <c r="F10790"/>
  <c r="F10782"/>
  <c r="F10778"/>
  <c r="F10774"/>
  <c r="F10770"/>
  <c r="F10766"/>
  <c r="F10762"/>
  <c r="F10758"/>
  <c r="F10754"/>
  <c r="F10750"/>
  <c r="F10746"/>
  <c r="F10738"/>
  <c r="F10734"/>
  <c r="F10730"/>
  <c r="F10726"/>
  <c r="F10718"/>
  <c r="F10714"/>
  <c r="F10710"/>
  <c r="F10706"/>
  <c r="F10702"/>
  <c r="F10698"/>
  <c r="F10694"/>
  <c r="F10690"/>
  <c r="F10686"/>
  <c r="F10682"/>
  <c r="F10674"/>
  <c r="F10670"/>
  <c r="F10666"/>
  <c r="F10662"/>
  <c r="F10654"/>
  <c r="F10650"/>
  <c r="F10646"/>
  <c r="F10642"/>
  <c r="F10638"/>
  <c r="F10634"/>
  <c r="F10630"/>
  <c r="F10626"/>
  <c r="F10622"/>
  <c r="F10618"/>
  <c r="F10610"/>
  <c r="F10606"/>
  <c r="F10602"/>
  <c r="F10598"/>
  <c r="F10594"/>
  <c r="F10590"/>
  <c r="F10586"/>
  <c r="F10578"/>
  <c r="F10574"/>
  <c r="F10570"/>
  <c r="F10566"/>
  <c r="F10562"/>
  <c r="F10558"/>
  <c r="F10554"/>
  <c r="F10450"/>
  <c r="F10414"/>
  <c r="F10382"/>
  <c r="F10318"/>
  <c r="F10258"/>
  <c r="F10254"/>
  <c r="F10226"/>
  <c r="F10194"/>
  <c r="F10190"/>
  <c r="F10158"/>
  <c r="F10130"/>
  <c r="F10126"/>
  <c r="F10094"/>
  <c r="F10062"/>
  <c r="F10030"/>
  <c r="F9998"/>
  <c r="F9970"/>
  <c r="F9938"/>
  <c r="F9934"/>
  <c r="F9895"/>
  <c r="F9881"/>
  <c r="F9877"/>
  <c r="F9870"/>
  <c r="F9862"/>
  <c r="F9858"/>
  <c r="F9854"/>
  <c r="F9850"/>
  <c r="F9846"/>
  <c r="F9842"/>
  <c r="F9834"/>
  <c r="F9830"/>
  <c r="F9826"/>
  <c r="F9822"/>
  <c r="F9818"/>
  <c r="F9814"/>
  <c r="F9810"/>
  <c r="F9802"/>
  <c r="F9798"/>
  <c r="F9794"/>
  <c r="F9790"/>
  <c r="F9786"/>
  <c r="F9782"/>
  <c r="F9778"/>
  <c r="F9770"/>
  <c r="F9766"/>
  <c r="F9762"/>
  <c r="F9758"/>
  <c r="F9754"/>
  <c r="F9750"/>
  <c r="F9746"/>
  <c r="F9738"/>
  <c r="F9734"/>
  <c r="F9730"/>
  <c r="F9726"/>
  <c r="F9722"/>
  <c r="F9718"/>
  <c r="F9714"/>
  <c r="F9706"/>
  <c r="F9702"/>
  <c r="F9698"/>
  <c r="F9694"/>
  <c r="F9690"/>
  <c r="F9686"/>
  <c r="F9682"/>
  <c r="F9678"/>
  <c r="F9674"/>
  <c r="F9670"/>
  <c r="F9666"/>
  <c r="F9662"/>
  <c r="F9658"/>
  <c r="C744"/>
  <c r="F13714"/>
  <c r="F13758"/>
  <c r="F13770"/>
  <c r="F13742"/>
  <c r="F13694"/>
  <c r="F13626"/>
  <c r="F13570"/>
  <c r="F13502"/>
  <c r="F13446"/>
  <c r="F13426"/>
  <c r="F13398"/>
  <c r="F13370"/>
  <c r="F13326"/>
  <c r="F13290"/>
  <c r="F13250"/>
  <c r="F13194"/>
  <c r="F13146"/>
  <c r="F13018"/>
  <c r="F12982"/>
  <c r="F12922"/>
  <c r="F12974"/>
  <c r="F10614"/>
  <c r="F10722"/>
  <c r="F10742"/>
  <c r="F10850"/>
  <c r="F10870"/>
  <c r="F10978"/>
  <c r="F10998"/>
  <c r="F11106"/>
  <c r="F11126"/>
  <c r="F11234"/>
  <c r="F11254"/>
  <c r="F11362"/>
  <c r="F11382"/>
  <c r="F10582"/>
  <c r="F1143"/>
  <c r="F13682"/>
  <c r="F13618"/>
  <c r="F13562"/>
  <c r="F13514"/>
  <c r="F13438"/>
  <c r="F13406"/>
  <c r="F13334"/>
  <c r="F13154"/>
  <c r="F13082"/>
  <c r="F13026"/>
  <c r="F10658"/>
  <c r="F10678"/>
  <c r="F10786"/>
  <c r="F10806"/>
  <c r="F10914"/>
  <c r="F10934"/>
  <c r="F11042"/>
  <c r="F11062"/>
  <c r="F11170"/>
  <c r="F11190"/>
  <c r="F11298"/>
  <c r="F11318"/>
  <c r="F9654"/>
  <c r="F9650"/>
  <c r="F9646"/>
  <c r="F9642"/>
  <c r="F9638"/>
  <c r="F9634"/>
  <c r="F9630"/>
  <c r="F9616"/>
  <c r="F9612"/>
  <c r="F9606"/>
  <c r="F9602"/>
  <c r="F9598"/>
  <c r="F9584"/>
  <c r="F9580"/>
  <c r="F9574"/>
  <c r="F9570"/>
  <c r="F9566"/>
  <c r="F9562"/>
  <c r="F9550"/>
  <c r="F9546"/>
  <c r="F9542"/>
  <c r="F9538"/>
  <c r="F9534"/>
  <c r="F9530"/>
  <c r="F9290"/>
  <c r="F9286"/>
  <c r="F9274"/>
  <c r="F9270"/>
  <c r="F9262"/>
  <c r="F9254"/>
  <c r="F9246"/>
  <c r="F9242"/>
  <c r="F9234"/>
  <c r="F9230"/>
  <c r="F9226"/>
  <c r="F9214"/>
  <c r="F9210"/>
  <c r="F9206"/>
  <c r="F9198"/>
  <c r="F9194"/>
  <c r="F9190"/>
  <c r="F9178"/>
  <c r="F9174"/>
  <c r="F9170"/>
  <c r="F9154"/>
  <c r="F9146"/>
  <c r="F9142"/>
  <c r="F9134"/>
  <c r="F9130"/>
  <c r="F9126"/>
  <c r="F9114"/>
  <c r="F9110"/>
  <c r="F9106"/>
  <c r="F9098"/>
  <c r="F9094"/>
  <c r="F9090"/>
  <c r="F9082"/>
  <c r="F9078"/>
  <c r="F9074"/>
  <c r="F9062"/>
  <c r="F9054"/>
  <c r="F9050"/>
  <c r="F9038"/>
  <c r="F9030"/>
  <c r="F9010"/>
  <c r="F9002"/>
  <c r="F8998"/>
  <c r="F8994"/>
  <c r="F8986"/>
  <c r="F8982"/>
  <c r="F8978"/>
  <c r="F8970"/>
  <c r="F8966"/>
  <c r="F8958"/>
  <c r="F8950"/>
  <c r="F8946"/>
  <c r="F8942"/>
  <c r="F8934"/>
  <c r="F8930"/>
  <c r="F8926"/>
  <c r="F8914"/>
  <c r="F8910"/>
  <c r="F8906"/>
  <c r="F8894"/>
  <c r="F8890"/>
  <c r="F8886"/>
  <c r="F8878"/>
  <c r="F8870"/>
  <c r="F8866"/>
  <c r="F8854"/>
  <c r="F8850"/>
  <c r="F8846"/>
  <c r="F8838"/>
  <c r="F8834"/>
  <c r="F8830"/>
  <c r="F8822"/>
  <c r="F8818"/>
  <c r="F8810"/>
  <c r="F8802"/>
  <c r="F8798"/>
  <c r="F8794"/>
  <c r="F8786"/>
  <c r="F8782"/>
  <c r="F8778"/>
  <c r="F8770"/>
  <c r="F8766"/>
  <c r="F8762"/>
  <c r="F8754"/>
  <c r="F8746"/>
  <c r="F8742"/>
  <c r="F8734"/>
  <c r="F8726"/>
  <c r="F8722"/>
  <c r="F8714"/>
  <c r="F8710"/>
  <c r="F8698"/>
  <c r="F8690"/>
  <c r="F8686"/>
  <c r="F8682"/>
  <c r="F8674"/>
  <c r="F8670"/>
  <c r="F8662"/>
  <c r="F8654"/>
  <c r="F8646"/>
  <c r="F8638"/>
  <c r="F8630"/>
  <c r="F8626"/>
  <c r="F8618"/>
  <c r="F8610"/>
  <c r="F8606"/>
  <c r="F8602"/>
  <c r="F8590"/>
  <c r="F8586"/>
  <c r="F8582"/>
  <c r="F8574"/>
  <c r="F8570"/>
  <c r="F8566"/>
  <c r="F8558"/>
  <c r="F8550"/>
  <c r="F8546"/>
  <c r="F8538"/>
  <c r="F8534"/>
  <c r="F8530"/>
  <c r="F8522"/>
  <c r="F8514"/>
  <c r="F8510"/>
  <c r="F8502"/>
  <c r="F8498"/>
  <c r="F8494"/>
  <c r="F8486"/>
  <c r="F8482"/>
  <c r="F8478"/>
  <c r="F8470"/>
  <c r="F8462"/>
  <c r="F8458"/>
  <c r="F8450"/>
  <c r="F8446"/>
  <c r="F7626"/>
  <c r="F7602"/>
  <c r="F7594"/>
  <c r="F7586"/>
  <c r="F7578"/>
  <c r="F7570"/>
  <c r="F7562"/>
  <c r="F7546"/>
  <c r="F7538"/>
  <c r="F7530"/>
  <c r="F7522"/>
  <c r="F7514"/>
  <c r="F7506"/>
  <c r="F7482"/>
  <c r="F7474"/>
  <c r="F7458"/>
  <c r="F7450"/>
  <c r="F7442"/>
  <c r="F7434"/>
  <c r="F7402"/>
  <c r="F7386"/>
  <c r="F7378"/>
  <c r="F7370"/>
  <c r="F7362"/>
  <c r="F7354"/>
  <c r="F7346"/>
  <c r="F7342"/>
  <c r="F7334"/>
  <c r="F7326"/>
  <c r="F7318"/>
  <c r="F7310"/>
  <c r="F7302"/>
  <c r="F7294"/>
  <c r="F7290"/>
  <c r="F7282"/>
  <c r="F7274"/>
  <c r="F7266"/>
  <c r="F7258"/>
  <c r="F7254"/>
  <c r="F7246"/>
  <c r="F7238"/>
  <c r="F7230"/>
  <c r="F7222"/>
  <c r="F7214"/>
  <c r="F7206"/>
  <c r="F7198"/>
  <c r="F7190"/>
  <c r="F7182"/>
  <c r="F7174"/>
  <c r="F7162"/>
  <c r="F7150"/>
  <c r="F7146"/>
  <c r="F7138"/>
  <c r="F7130"/>
  <c r="F7126"/>
  <c r="F7114"/>
  <c r="F7106"/>
  <c r="F7098"/>
  <c r="F7090"/>
  <c r="F7082"/>
  <c r="F7074"/>
  <c r="F7066"/>
  <c r="F7058"/>
  <c r="F7050"/>
  <c r="F7042"/>
  <c r="F7034"/>
  <c r="F7026"/>
  <c r="F7018"/>
  <c r="F7010"/>
  <c r="F7002"/>
  <c r="F6994"/>
  <c r="F6986"/>
  <c r="F6978"/>
  <c r="F6970"/>
  <c r="F6962"/>
  <c r="F6954"/>
  <c r="F6946"/>
  <c r="F6938"/>
  <c r="F6930"/>
  <c r="F6922"/>
  <c r="F6914"/>
  <c r="F6906"/>
  <c r="F6898"/>
  <c r="F6890"/>
  <c r="F6882"/>
  <c r="F6874"/>
  <c r="F6866"/>
  <c r="F6858"/>
  <c r="F6850"/>
  <c r="F6842"/>
  <c r="F6834"/>
  <c r="F6826"/>
  <c r="F6818"/>
  <c r="F6810"/>
  <c r="F6802"/>
  <c r="F6794"/>
  <c r="F6786"/>
  <c r="F6778"/>
  <c r="F6770"/>
  <c r="F7286"/>
  <c r="F7322"/>
  <c r="F7358"/>
  <c r="F7498"/>
  <c r="F7270"/>
  <c r="F7306"/>
  <c r="F12570"/>
  <c r="F11406"/>
  <c r="F11418"/>
  <c r="F11438"/>
  <c r="F11450"/>
  <c r="F11470"/>
  <c r="F11482"/>
  <c r="F11502"/>
  <c r="F11514"/>
  <c r="F11534"/>
  <c r="F11546"/>
  <c r="F11566"/>
  <c r="F11578"/>
  <c r="F11598"/>
  <c r="F11606"/>
  <c r="F11614"/>
  <c r="F11622"/>
  <c r="F11630"/>
  <c r="F11638"/>
  <c r="F11646"/>
  <c r="F11690"/>
  <c r="F11698"/>
  <c r="F11706"/>
  <c r="F11714"/>
  <c r="F11722"/>
  <c r="F11742"/>
  <c r="F11754"/>
  <c r="F11774"/>
  <c r="F12562"/>
  <c r="F12650"/>
  <c r="F12814"/>
  <c r="F13084"/>
  <c r="F11422"/>
  <c r="F11434"/>
  <c r="F11454"/>
  <c r="F11466"/>
  <c r="F11486"/>
  <c r="F11498"/>
  <c r="F11518"/>
  <c r="F11530"/>
  <c r="F11550"/>
  <c r="F11562"/>
  <c r="F11582"/>
  <c r="F11594"/>
  <c r="F11602"/>
  <c r="F11610"/>
  <c r="F11618"/>
  <c r="F11626"/>
  <c r="F11634"/>
  <c r="F11642"/>
  <c r="F11694"/>
  <c r="F11702"/>
  <c r="F11710"/>
  <c r="F11718"/>
  <c r="F11726"/>
  <c r="F11738"/>
  <c r="F11758"/>
  <c r="F11770"/>
  <c r="F12546"/>
  <c r="F12588"/>
  <c r="F12668"/>
  <c r="F13552"/>
  <c r="F10386"/>
  <c r="F10482"/>
  <c r="F13548"/>
  <c r="F1116"/>
  <c r="F1109"/>
  <c r="F1107"/>
  <c r="F1105"/>
  <c r="F1104"/>
  <c r="F1103"/>
  <c r="F1098"/>
  <c r="F1096"/>
  <c r="F1093"/>
  <c r="F1086"/>
  <c r="F13478"/>
  <c r="F13602"/>
  <c r="F11872"/>
  <c r="F11888"/>
  <c r="F11904"/>
  <c r="F11920"/>
  <c r="F11936"/>
  <c r="F11952"/>
  <c r="F11968"/>
  <c r="F11984"/>
  <c r="F12000"/>
  <c r="F12016"/>
  <c r="F12032"/>
  <c r="F12048"/>
  <c r="F12064"/>
  <c r="F12080"/>
  <c r="F12096"/>
  <c r="F12112"/>
  <c r="F12128"/>
  <c r="F12144"/>
  <c r="F12160"/>
  <c r="F12176"/>
  <c r="F12192"/>
  <c r="F12208"/>
  <c r="F12224"/>
  <c r="F12240"/>
  <c r="F12256"/>
  <c r="F12272"/>
  <c r="F12288"/>
  <c r="F12304"/>
  <c r="F12320"/>
  <c r="F12336"/>
  <c r="F12352"/>
  <c r="F12368"/>
  <c r="F12384"/>
  <c r="F12400"/>
  <c r="F12416"/>
  <c r="F12432"/>
  <c r="F12448"/>
  <c r="F12464"/>
  <c r="F12480"/>
  <c r="F12496"/>
  <c r="F12512"/>
  <c r="F12659"/>
  <c r="F12735"/>
  <c r="F12204"/>
  <c r="F12220"/>
  <c r="F12236"/>
  <c r="F12252"/>
  <c r="F12268"/>
  <c r="F12284"/>
  <c r="F12300"/>
  <c r="F12316"/>
  <c r="F12332"/>
  <c r="F12348"/>
  <c r="F12364"/>
  <c r="F12380"/>
  <c r="F12396"/>
  <c r="F12412"/>
  <c r="F12428"/>
  <c r="F12444"/>
  <c r="F12460"/>
  <c r="F12476"/>
  <c r="F12492"/>
  <c r="F12508"/>
  <c r="F12731"/>
  <c r="F13391"/>
  <c r="F11880"/>
  <c r="F11896"/>
  <c r="F11912"/>
  <c r="F11928"/>
  <c r="F11944"/>
  <c r="F11960"/>
  <c r="F11976"/>
  <c r="F11992"/>
  <c r="F12008"/>
  <c r="F12024"/>
  <c r="F12040"/>
  <c r="F12056"/>
  <c r="F12072"/>
  <c r="F12088"/>
  <c r="F12104"/>
  <c r="F12120"/>
  <c r="F12136"/>
  <c r="F12152"/>
  <c r="F12168"/>
  <c r="F12184"/>
  <c r="F12200"/>
  <c r="F12216"/>
  <c r="F12232"/>
  <c r="F12248"/>
  <c r="F12264"/>
  <c r="F12280"/>
  <c r="F12296"/>
  <c r="F12312"/>
  <c r="F12328"/>
  <c r="F12344"/>
  <c r="F12360"/>
  <c r="F12376"/>
  <c r="F12392"/>
  <c r="F12408"/>
  <c r="F12424"/>
  <c r="F12440"/>
  <c r="F12456"/>
  <c r="F12472"/>
  <c r="F12488"/>
  <c r="F12504"/>
  <c r="F12699"/>
  <c r="F11650"/>
  <c r="F11658"/>
  <c r="F11666"/>
  <c r="F11674"/>
  <c r="F11682"/>
  <c r="F11826"/>
  <c r="F11834"/>
  <c r="F11842"/>
  <c r="F11850"/>
  <c r="F11858"/>
  <c r="F11866"/>
  <c r="F11874"/>
  <c r="F11882"/>
  <c r="F11890"/>
  <c r="F11898"/>
  <c r="F11906"/>
  <c r="F11914"/>
  <c r="F11922"/>
  <c r="F11930"/>
  <c r="F11938"/>
  <c r="F11946"/>
  <c r="F11954"/>
  <c r="F11962"/>
  <c r="F11970"/>
  <c r="F11978"/>
  <c r="F11986"/>
  <c r="F11994"/>
  <c r="F12002"/>
  <c r="F12010"/>
  <c r="F12018"/>
  <c r="F12026"/>
  <c r="F12034"/>
  <c r="F12042"/>
  <c r="F12050"/>
  <c r="F12058"/>
  <c r="F12066"/>
  <c r="F12074"/>
  <c r="F12082"/>
  <c r="F12090"/>
  <c r="F12098"/>
  <c r="F12106"/>
  <c r="F12114"/>
  <c r="F12122"/>
  <c r="F12130"/>
  <c r="F12138"/>
  <c r="F12146"/>
  <c r="F12154"/>
  <c r="F12162"/>
  <c r="F12170"/>
  <c r="F12178"/>
  <c r="F12186"/>
  <c r="F12194"/>
  <c r="F12202"/>
  <c r="F12210"/>
  <c r="F12218"/>
  <c r="F12226"/>
  <c r="F12234"/>
  <c r="F12242"/>
  <c r="F12250"/>
  <c r="F12258"/>
  <c r="F12266"/>
  <c r="F12274"/>
  <c r="F12282"/>
  <c r="F12290"/>
  <c r="F12298"/>
  <c r="F12306"/>
  <c r="F12314"/>
  <c r="F12322"/>
  <c r="F12330"/>
  <c r="F12338"/>
  <c r="F12346"/>
  <c r="F12354"/>
  <c r="F12362"/>
  <c r="F12370"/>
  <c r="F12378"/>
  <c r="F12386"/>
  <c r="F12394"/>
  <c r="F12402"/>
  <c r="F12410"/>
  <c r="F12418"/>
  <c r="F12426"/>
  <c r="F12434"/>
  <c r="F12442"/>
  <c r="F12450"/>
  <c r="F12458"/>
  <c r="F12466"/>
  <c r="F12474"/>
  <c r="F12482"/>
  <c r="F12490"/>
  <c r="F12498"/>
  <c r="F12506"/>
  <c r="F12514"/>
  <c r="F10064"/>
  <c r="F10072"/>
  <c r="F10080"/>
  <c r="F10092"/>
  <c r="F9875"/>
  <c r="F9883"/>
  <c r="F10151"/>
  <c r="F10199"/>
  <c r="F10211"/>
  <c r="F10259"/>
  <c r="F10327"/>
  <c r="F10359"/>
  <c r="F10375"/>
  <c r="F10387"/>
  <c r="F10395"/>
  <c r="F10557"/>
  <c r="F10565"/>
  <c r="F10573"/>
  <c r="F10581"/>
  <c r="F10589"/>
  <c r="F10597"/>
  <c r="F10605"/>
  <c r="F10613"/>
  <c r="F11603"/>
  <c r="F11611"/>
  <c r="F11619"/>
  <c r="F11627"/>
  <c r="F11635"/>
  <c r="F11643"/>
  <c r="F11787"/>
  <c r="F11795"/>
  <c r="F11803"/>
  <c r="F11811"/>
  <c r="F11819"/>
  <c r="F12530"/>
  <c r="F12646"/>
  <c r="F13038"/>
  <c r="F13089"/>
  <c r="F10514"/>
  <c r="F10485"/>
  <c r="F10501"/>
  <c r="F10549"/>
  <c r="F10616"/>
  <c r="F10624"/>
  <c r="F10632"/>
  <c r="F10640"/>
  <c r="F10648"/>
  <c r="F10656"/>
  <c r="F10664"/>
  <c r="F10672"/>
  <c r="F10680"/>
  <c r="F10688"/>
  <c r="F10696"/>
  <c r="F10704"/>
  <c r="F10712"/>
  <c r="F10720"/>
  <c r="F10728"/>
  <c r="F10736"/>
  <c r="F10744"/>
  <c r="F10752"/>
  <c r="F10760"/>
  <c r="F10768"/>
  <c r="F10776"/>
  <c r="F10784"/>
  <c r="F10792"/>
  <c r="F10800"/>
  <c r="F10808"/>
  <c r="F10816"/>
  <c r="F10824"/>
  <c r="F10832"/>
  <c r="F10840"/>
  <c r="F10848"/>
  <c r="F10856"/>
  <c r="F10864"/>
  <c r="F10872"/>
  <c r="F10880"/>
  <c r="F10888"/>
  <c r="F10896"/>
  <c r="F10904"/>
  <c r="F10912"/>
  <c r="F10920"/>
  <c r="F10928"/>
  <c r="F10936"/>
  <c r="F10944"/>
  <c r="F10952"/>
  <c r="F10960"/>
  <c r="F10968"/>
  <c r="F10976"/>
  <c r="F10984"/>
  <c r="F10992"/>
  <c r="F11000"/>
  <c r="F11008"/>
  <c r="F11016"/>
  <c r="F11024"/>
  <c r="F11032"/>
  <c r="F11040"/>
  <c r="F11048"/>
  <c r="F11056"/>
  <c r="F11064"/>
  <c r="F11072"/>
  <c r="F11080"/>
  <c r="F11088"/>
  <c r="F11096"/>
  <c r="F11104"/>
  <c r="F11112"/>
  <c r="F11120"/>
  <c r="F11128"/>
  <c r="F11136"/>
  <c r="F11144"/>
  <c r="F11152"/>
  <c r="F11160"/>
  <c r="F11168"/>
  <c r="F11176"/>
  <c r="F11184"/>
  <c r="F11192"/>
  <c r="F11200"/>
  <c r="F11208"/>
  <c r="F11216"/>
  <c r="F11224"/>
  <c r="F11232"/>
  <c r="F11240"/>
  <c r="F11248"/>
  <c r="F11256"/>
  <c r="F11264"/>
  <c r="F11272"/>
  <c r="F11280"/>
  <c r="F11288"/>
  <c r="F11296"/>
  <c r="F11304"/>
  <c r="F11312"/>
  <c r="F11320"/>
  <c r="F11328"/>
  <c r="F11336"/>
  <c r="F11344"/>
  <c r="F11352"/>
  <c r="F11360"/>
  <c r="F11368"/>
  <c r="F11376"/>
  <c r="F11384"/>
  <c r="F11392"/>
  <c r="F11400"/>
  <c r="F11408"/>
  <c r="F11416"/>
  <c r="F11424"/>
  <c r="F11432"/>
  <c r="F11440"/>
  <c r="F11448"/>
  <c r="F11456"/>
  <c r="F11464"/>
  <c r="F11472"/>
  <c r="F11480"/>
  <c r="F11488"/>
  <c r="F11496"/>
  <c r="F11504"/>
  <c r="F11512"/>
  <c r="F11520"/>
  <c r="F11528"/>
  <c r="F11536"/>
  <c r="F11544"/>
  <c r="F11552"/>
  <c r="F11560"/>
  <c r="F11568"/>
  <c r="F11576"/>
  <c r="F11584"/>
  <c r="F11592"/>
  <c r="F11728"/>
  <c r="F11736"/>
  <c r="F11744"/>
  <c r="F11752"/>
  <c r="F11760"/>
  <c r="F11768"/>
  <c r="F11776"/>
  <c r="F9872"/>
  <c r="F9912"/>
  <c r="F9928"/>
  <c r="F9944"/>
  <c r="F9968"/>
  <c r="F9980"/>
  <c r="F9992"/>
  <c r="F10004"/>
  <c r="F10012"/>
  <c r="F10024"/>
  <c r="F10036"/>
  <c r="F10048"/>
  <c r="F10060"/>
  <c r="F10131"/>
  <c r="F10139"/>
  <c r="F10231"/>
  <c r="F10279"/>
  <c r="F10427"/>
  <c r="F10451"/>
  <c r="F10459"/>
  <c r="F11689"/>
  <c r="F11697"/>
  <c r="F11705"/>
  <c r="F11713"/>
  <c r="F11721"/>
  <c r="F12606"/>
  <c r="F13345"/>
  <c r="F11654"/>
  <c r="F11662"/>
  <c r="F11670"/>
  <c r="F11678"/>
  <c r="F11830"/>
  <c r="F11838"/>
  <c r="F11846"/>
  <c r="F11854"/>
  <c r="F11862"/>
  <c r="F11870"/>
  <c r="F11878"/>
  <c r="F11886"/>
  <c r="F11894"/>
  <c r="F11902"/>
  <c r="F11910"/>
  <c r="F11918"/>
  <c r="F11926"/>
  <c r="F11934"/>
  <c r="F11942"/>
  <c r="F11950"/>
  <c r="F11958"/>
  <c r="F11966"/>
  <c r="F11974"/>
  <c r="F11982"/>
  <c r="F11990"/>
  <c r="F11998"/>
  <c r="F12006"/>
  <c r="F12014"/>
  <c r="F12022"/>
  <c r="F12030"/>
  <c r="F12038"/>
  <c r="F12046"/>
  <c r="F12054"/>
  <c r="F12062"/>
  <c r="F12070"/>
  <c r="F12078"/>
  <c r="F12086"/>
  <c r="F12094"/>
  <c r="F12102"/>
  <c r="F12110"/>
  <c r="F12118"/>
  <c r="F12126"/>
  <c r="F12134"/>
  <c r="F12142"/>
  <c r="F12150"/>
  <c r="F12158"/>
  <c r="F12166"/>
  <c r="F12174"/>
  <c r="F12182"/>
  <c r="F12190"/>
  <c r="F12198"/>
  <c r="F12206"/>
  <c r="F12214"/>
  <c r="F12222"/>
  <c r="F12230"/>
  <c r="F12238"/>
  <c r="F12246"/>
  <c r="F12254"/>
  <c r="F12262"/>
  <c r="F12270"/>
  <c r="F12278"/>
  <c r="F12286"/>
  <c r="F12294"/>
  <c r="F12302"/>
  <c r="F12310"/>
  <c r="F12318"/>
  <c r="F12326"/>
  <c r="F12334"/>
  <c r="F12342"/>
  <c r="F12350"/>
  <c r="F12358"/>
  <c r="F12366"/>
  <c r="F12374"/>
  <c r="F12382"/>
  <c r="F12390"/>
  <c r="F12398"/>
  <c r="F12406"/>
  <c r="F12414"/>
  <c r="F12422"/>
  <c r="F12430"/>
  <c r="F12438"/>
  <c r="F12446"/>
  <c r="F12454"/>
  <c r="F12462"/>
  <c r="F12470"/>
  <c r="F12478"/>
  <c r="F12486"/>
  <c r="F12494"/>
  <c r="F12502"/>
  <c r="F12510"/>
  <c r="F12518"/>
  <c r="F10247"/>
  <c r="F10311"/>
  <c r="F10343"/>
  <c r="F10553"/>
  <c r="F10561"/>
  <c r="F10569"/>
  <c r="F10577"/>
  <c r="F10585"/>
  <c r="F10593"/>
  <c r="F10601"/>
  <c r="F10609"/>
  <c r="F11599"/>
  <c r="F11607"/>
  <c r="F11615"/>
  <c r="F11623"/>
  <c r="F11631"/>
  <c r="F11639"/>
  <c r="F11783"/>
  <c r="F11791"/>
  <c r="F11799"/>
  <c r="F11807"/>
  <c r="F11815"/>
  <c r="F1144"/>
  <c r="F4817"/>
  <c r="F4465"/>
  <c r="F12924"/>
  <c r="F12975"/>
  <c r="F13080"/>
  <c r="F13547"/>
  <c r="F12920"/>
  <c r="F9215"/>
  <c r="F9047"/>
  <c r="F3946"/>
  <c r="F13615"/>
  <c r="F9247"/>
  <c r="F8867"/>
  <c r="F8463"/>
  <c r="F5155"/>
  <c r="F13529"/>
  <c r="F13577"/>
  <c r="F8441"/>
  <c r="F5091"/>
  <c r="F9051"/>
  <c r="F8442"/>
  <c r="F8879"/>
  <c r="F5981"/>
  <c r="F5276"/>
  <c r="F4461"/>
  <c r="F1337"/>
  <c r="F1278"/>
  <c r="F13521"/>
  <c r="F13598"/>
  <c r="F9279"/>
  <c r="F13543"/>
  <c r="F4851"/>
  <c r="F4565"/>
  <c r="F4699"/>
  <c r="F4693"/>
  <c r="F1279"/>
  <c r="F3298"/>
  <c r="F3290"/>
  <c r="F1323"/>
  <c r="F1313"/>
  <c r="F3328"/>
  <c r="F3318"/>
  <c r="F1281"/>
  <c r="V199" i="1"/>
  <c r="X199" s="1"/>
  <c r="R199"/>
  <c r="X3158"/>
  <c r="AH3113"/>
  <c r="AH3114" s="1"/>
  <c r="AH3115" s="1"/>
  <c r="C917" i="55" s="1"/>
  <c r="AG3113" i="1"/>
  <c r="AG3114" s="1"/>
  <c r="AG3115" s="1"/>
  <c r="AF3113"/>
  <c r="AF3114" s="1"/>
  <c r="AF3115" s="1"/>
  <c r="C916" i="55" s="1"/>
  <c r="V1323" i="1"/>
  <c r="X1323" s="1"/>
  <c r="K3104"/>
  <c r="P198"/>
  <c r="K199"/>
  <c r="K3725"/>
  <c r="I3717" s="1"/>
  <c r="K3717" s="1"/>
  <c r="K3718" s="1"/>
  <c r="K3719" s="1"/>
  <c r="K2372"/>
  <c r="K2374" s="1"/>
  <c r="K2351"/>
  <c r="K2352" s="1"/>
  <c r="K2353" s="1"/>
  <c r="C836" i="55" s="1"/>
  <c r="K1567" i="1"/>
  <c r="C455" i="55" s="1"/>
  <c r="K3346" i="1"/>
  <c r="K3348" s="1"/>
  <c r="C747" i="55" s="1"/>
  <c r="P167" i="1"/>
  <c r="R167" s="1"/>
  <c r="K2715"/>
  <c r="K2716" s="1"/>
  <c r="C689" i="55" s="1"/>
  <c r="I2336" i="1"/>
  <c r="K2336" s="1"/>
  <c r="K2337" s="1"/>
  <c r="K2338" s="1"/>
  <c r="I2342" s="1"/>
  <c r="K2342" s="1"/>
  <c r="K1496"/>
  <c r="K1498" s="1"/>
  <c r="C348" i="55" s="1"/>
  <c r="K1524" i="1"/>
  <c r="K1526" s="1"/>
  <c r="C688" i="55" s="1"/>
  <c r="L2759" i="1"/>
  <c r="K2793" s="1"/>
  <c r="I3547"/>
  <c r="I3109"/>
  <c r="C353" i="55"/>
  <c r="K89" i="1"/>
  <c r="P608"/>
  <c r="R608" s="1"/>
  <c r="K90"/>
  <c r="C6" i="55"/>
  <c r="P595" i="1"/>
  <c r="R595" s="1"/>
  <c r="AI554"/>
  <c r="AK554" s="1"/>
  <c r="AK530"/>
  <c r="R2379"/>
  <c r="R2381" s="1"/>
  <c r="K3708"/>
  <c r="K3709" s="1"/>
  <c r="K3799"/>
  <c r="I3789" s="1"/>
  <c r="P3792" s="1"/>
  <c r="R3792" s="1"/>
  <c r="R3794" s="1"/>
  <c r="R3795" s="1"/>
  <c r="C940" i="55" s="1"/>
  <c r="K2996" i="1"/>
  <c r="R3518"/>
  <c r="R3519" s="1"/>
  <c r="I3506" s="1"/>
  <c r="K3506" s="1"/>
  <c r="K2167"/>
  <c r="K2169" s="1"/>
  <c r="C406" i="55" s="1"/>
  <c r="K2085" i="1"/>
  <c r="K2087" s="1"/>
  <c r="C703" i="55" s="1"/>
  <c r="K3046" i="1"/>
  <c r="C736" i="55" s="1"/>
  <c r="K114" i="1"/>
  <c r="K116" s="1"/>
  <c r="L116" s="1"/>
  <c r="C16" i="55" s="1"/>
  <c r="R1309" i="1"/>
  <c r="R1311" s="1"/>
  <c r="R2338"/>
  <c r="R2339" s="1"/>
  <c r="R893"/>
  <c r="R895" s="1"/>
  <c r="R588"/>
  <c r="K2180"/>
  <c r="K2182" s="1"/>
  <c r="K2184" s="1"/>
  <c r="C407" i="55" s="1"/>
  <c r="K2723" i="1"/>
  <c r="K2725" s="1"/>
  <c r="K3589"/>
  <c r="K3590" s="1"/>
  <c r="J3592" s="1"/>
  <c r="J3593" s="1"/>
  <c r="J3594" s="1"/>
  <c r="J3595" s="1"/>
  <c r="R2414"/>
  <c r="R2416" s="1"/>
  <c r="C755" i="55" s="1"/>
  <c r="R462" i="1"/>
  <c r="R464" s="1"/>
  <c r="R150"/>
  <c r="R154" s="1"/>
  <c r="C572" i="55" s="1"/>
  <c r="P23" i="1"/>
  <c r="P9"/>
  <c r="R9" s="1"/>
  <c r="I1322"/>
  <c r="K1322" s="1"/>
  <c r="X19"/>
  <c r="X20" s="1"/>
  <c r="F16" i="25"/>
  <c r="F18" s="1"/>
  <c r="F219" i="64"/>
  <c r="F123"/>
  <c r="F72" i="25"/>
  <c r="D100"/>
  <c r="F52"/>
  <c r="D42" s="1"/>
  <c r="F42" s="1"/>
  <c r="K3250" i="27"/>
  <c r="K3251" s="1"/>
  <c r="K3243" s="1"/>
  <c r="K3244" s="1"/>
  <c r="K2761"/>
  <c r="K2764" s="1"/>
  <c r="I3040"/>
  <c r="K3040" s="1"/>
  <c r="F88" i="50"/>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151" i="55"/>
  <c r="H1151" s="1"/>
  <c r="M897" i="11"/>
  <c r="K942"/>
  <c r="K414"/>
  <c r="K958" s="1"/>
  <c r="K960" s="1"/>
  <c r="R412"/>
  <c r="P403" i="1"/>
  <c r="R403" s="1"/>
  <c r="P402"/>
  <c r="R402" s="1"/>
  <c r="C1163" i="55"/>
  <c r="H1163" s="1"/>
  <c r="K535" i="11"/>
  <c r="K502"/>
  <c r="I1573" i="1"/>
  <c r="K1573" s="1"/>
  <c r="K1580" s="1"/>
  <c r="K1582" s="1"/>
  <c r="I1601"/>
  <c r="K322" i="11"/>
  <c r="K323" s="1"/>
  <c r="L323" s="1"/>
  <c r="K341"/>
  <c r="K342" s="1"/>
  <c r="K2273" i="1" s="1"/>
  <c r="C428" i="55" s="1"/>
  <c r="K352" i="11"/>
  <c r="K353" s="1"/>
  <c r="C959" i="55"/>
  <c r="L304" i="11"/>
  <c r="K389"/>
  <c r="K378"/>
  <c r="R378" s="1"/>
  <c r="R379" s="1"/>
  <c r="K363"/>
  <c r="K364" s="1"/>
  <c r="C138" i="1"/>
  <c r="C140"/>
  <c r="L872" i="11"/>
  <c r="C1150" i="55"/>
  <c r="H1150" s="1"/>
  <c r="R670" i="11"/>
  <c r="C1161" i="55"/>
  <c r="H1161" s="1"/>
  <c r="P413" i="1"/>
  <c r="R413" s="1"/>
  <c r="K3577"/>
  <c r="K3580" s="1"/>
  <c r="K3581" s="1"/>
  <c r="K3591" s="1"/>
  <c r="I3592" s="1"/>
  <c r="V807"/>
  <c r="V771" s="1"/>
  <c r="R1148"/>
  <c r="P1179" s="1"/>
  <c r="R1179" s="1"/>
  <c r="R2361"/>
  <c r="R2363" s="1"/>
  <c r="R2365" s="1"/>
  <c r="P2354" s="1"/>
  <c r="R2354" s="1"/>
  <c r="S2321"/>
  <c r="I3072" i="27"/>
  <c r="I3885"/>
  <c r="K3049"/>
  <c r="I3279"/>
  <c r="K3266"/>
  <c r="R3725" i="1"/>
  <c r="P3717" s="1"/>
  <c r="R3717" s="1"/>
  <c r="I3321"/>
  <c r="R3261"/>
  <c r="AG3669"/>
  <c r="AQ3114"/>
  <c r="AQ3115" s="1"/>
  <c r="AQ3116" s="1"/>
  <c r="C868" i="55" s="1"/>
  <c r="AR3114" i="1"/>
  <c r="AR3115" s="1"/>
  <c r="AR3116" s="1"/>
  <c r="C869" i="55" s="1"/>
  <c r="T3123" i="1"/>
  <c r="R3124"/>
  <c r="C753" i="55"/>
  <c r="K768" i="1"/>
  <c r="K770" s="1"/>
  <c r="I2356" s="1"/>
  <c r="K777"/>
  <c r="K792" s="1"/>
  <c r="K794" s="1"/>
  <c r="C1117" i="55"/>
  <c r="I2872" i="1"/>
  <c r="K2872" s="1"/>
  <c r="I1136"/>
  <c r="I3491"/>
  <c r="K3491" s="1"/>
  <c r="I2671"/>
  <c r="K130"/>
  <c r="C30" i="55" s="1"/>
  <c r="C29"/>
  <c r="C306"/>
  <c r="R487" i="1"/>
  <c r="R489" s="1"/>
  <c r="K2323"/>
  <c r="K2324" s="1"/>
  <c r="I2329" s="1"/>
  <c r="K2329" s="1"/>
  <c r="K2330" s="1"/>
  <c r="K2331" s="1"/>
  <c r="C908" i="55" s="1"/>
  <c r="C687"/>
  <c r="F645" i="64"/>
  <c r="D654"/>
  <c r="F654" s="1"/>
  <c r="K2061" i="1"/>
  <c r="K2063" s="1"/>
  <c r="K99"/>
  <c r="K101" s="1"/>
  <c r="D535" i="64"/>
  <c r="F410"/>
  <c r="I1818" i="27"/>
  <c r="K1818" s="1"/>
  <c r="K1817"/>
  <c r="K1469"/>
  <c r="K1471" s="1"/>
  <c r="D278" i="64"/>
  <c r="F203"/>
  <c r="K706" i="27"/>
  <c r="I2361"/>
  <c r="AE3555" i="1"/>
  <c r="AG3555" s="1"/>
  <c r="W38" i="64"/>
  <c r="W40" s="1"/>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3889" s="1"/>
  <c r="K1809"/>
  <c r="I1810"/>
  <c r="K1810" s="1"/>
  <c r="A25" i="50"/>
  <c r="K2829" i="27"/>
  <c r="K2830" s="1"/>
  <c r="I2819" s="1"/>
  <c r="K2819" s="1"/>
  <c r="K2822" s="1"/>
  <c r="K2739"/>
  <c r="K2727"/>
  <c r="K2728" s="1"/>
  <c r="K2717" s="1"/>
  <c r="K2720" s="1"/>
  <c r="K1566"/>
  <c r="K1569" s="1"/>
  <c r="K3494"/>
  <c r="I3532"/>
  <c r="K3532" s="1"/>
  <c r="K1087"/>
  <c r="I2264"/>
  <c r="K708"/>
  <c r="I2362"/>
  <c r="F148" i="32"/>
  <c r="F89"/>
  <c r="F92" s="1"/>
  <c r="K2502" i="27"/>
  <c r="K2241"/>
  <c r="K1601"/>
  <c r="K686"/>
  <c r="I688" s="1"/>
  <c r="K688" s="1"/>
  <c r="K693" s="1"/>
  <c r="K695" s="1"/>
  <c r="K764" s="1"/>
  <c r="K667"/>
  <c r="K669" s="1"/>
  <c r="K670" s="1"/>
  <c r="K671" s="1"/>
  <c r="K672" s="1"/>
  <c r="K673" s="1"/>
  <c r="R461"/>
  <c r="R463" s="1"/>
  <c r="F13701" i="55"/>
  <c r="F13684"/>
  <c r="I2625" i="27"/>
  <c r="K2625" s="1"/>
  <c r="I2607"/>
  <c r="K2607" s="1"/>
  <c r="I2428"/>
  <c r="I2101"/>
  <c r="K2101" s="1"/>
  <c r="K2103" s="1"/>
  <c r="K2105" s="1"/>
  <c r="K2107" s="1"/>
  <c r="I2002"/>
  <c r="K2002" s="1"/>
  <c r="I1978"/>
  <c r="K1978" s="1"/>
  <c r="I1954"/>
  <c r="K1954" s="1"/>
  <c r="I1949"/>
  <c r="K1949" s="1"/>
  <c r="I1935"/>
  <c r="K1935" s="1"/>
  <c r="I1930"/>
  <c r="K1930" s="1"/>
  <c r="K1938"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F13670" i="55"/>
  <c r="F13763"/>
  <c r="D278" i="32"/>
  <c r="F278" s="1"/>
  <c r="D235"/>
  <c r="F235" s="1"/>
  <c r="F197"/>
  <c r="F199" s="1"/>
  <c r="I2624" i="27"/>
  <c r="K2624" s="1"/>
  <c r="K2628" s="1"/>
  <c r="K2629" s="1"/>
  <c r="I2614" s="1"/>
  <c r="K2614" s="1"/>
  <c r="I2606"/>
  <c r="K2606"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R395" s="1"/>
  <c r="R397" s="1"/>
  <c r="I382"/>
  <c r="K382" s="1"/>
  <c r="I380"/>
  <c r="K380" s="1"/>
  <c r="P376"/>
  <c r="R376" s="1"/>
  <c r="P307"/>
  <c r="R307" s="1"/>
  <c r="I299"/>
  <c r="K299" s="1"/>
  <c r="I298"/>
  <c r="K298" s="1"/>
  <c r="P284"/>
  <c r="R284" s="1"/>
  <c r="I243"/>
  <c r="K243" s="1"/>
  <c r="I226"/>
  <c r="K226" s="1"/>
  <c r="P192"/>
  <c r="R192" s="1"/>
  <c r="F548" i="25"/>
  <c r="D302"/>
  <c r="F302" s="1"/>
  <c r="D159"/>
  <c r="F159" s="1"/>
  <c r="F9111" i="55"/>
  <c r="F9095"/>
  <c r="F9083"/>
  <c r="F5187"/>
  <c r="F5123"/>
  <c r="F5059"/>
  <c r="F4805"/>
  <c r="F4667"/>
  <c r="F4659"/>
  <c r="F4577"/>
  <c r="F4373"/>
  <c r="F4497"/>
  <c r="F4481"/>
  <c r="F4477"/>
  <c r="F4473"/>
  <c r="F4469"/>
  <c r="F4122"/>
  <c r="F4112"/>
  <c r="F4064"/>
  <c r="F4058"/>
  <c r="F4048"/>
  <c r="F4144"/>
  <c r="F4096"/>
  <c r="F4090"/>
  <c r="F4080"/>
  <c r="F4032"/>
  <c r="F3982"/>
  <c r="F2469"/>
  <c r="F2406"/>
  <c r="F482" i="64"/>
  <c r="AP33"/>
  <c r="AR33" s="1"/>
  <c r="AP17"/>
  <c r="AR17" s="1"/>
  <c r="F147"/>
  <c r="F122"/>
  <c r="D415"/>
  <c r="D293"/>
  <c r="F293" s="1"/>
  <c r="I156" i="1"/>
  <c r="K156" s="1"/>
  <c r="I46"/>
  <c r="I11"/>
  <c r="F291" i="64"/>
  <c r="F414"/>
  <c r="F12"/>
  <c r="F13" s="1"/>
  <c r="G13" s="1"/>
  <c r="D140"/>
  <c r="F42"/>
  <c r="F73" s="1"/>
  <c r="F148"/>
  <c r="F202"/>
  <c r="F277"/>
  <c r="D283"/>
  <c r="F283" s="1"/>
  <c r="F530"/>
  <c r="D592"/>
  <c r="E226" i="32"/>
  <c r="F226" s="1"/>
  <c r="E269"/>
  <c r="F269" s="1"/>
  <c r="P24" i="64"/>
  <c r="K956" i="1"/>
  <c r="P949"/>
  <c r="R949" s="1"/>
  <c r="P1069"/>
  <c r="R1069" s="1"/>
  <c r="P992"/>
  <c r="R992" s="1"/>
  <c r="X1358"/>
  <c r="AB1356"/>
  <c r="X1360"/>
  <c r="AB1358"/>
  <c r="AE2624"/>
  <c r="AG2624" s="1"/>
  <c r="X2610"/>
  <c r="AE2658"/>
  <c r="AG2658" s="1"/>
  <c r="P3161"/>
  <c r="K3154"/>
  <c r="R3158"/>
  <c r="P3194"/>
  <c r="I3328"/>
  <c r="I3430" s="1"/>
  <c r="V3258"/>
  <c r="X3258" s="1"/>
  <c r="K3366"/>
  <c r="I3353"/>
  <c r="K3353" s="1"/>
  <c r="D234" i="32"/>
  <c r="F234" s="1"/>
  <c r="E271"/>
  <c r="F271" s="1"/>
  <c r="C254"/>
  <c r="C255"/>
  <c r="X15" i="1"/>
  <c r="I3005"/>
  <c r="K3005" s="1"/>
  <c r="C30"/>
  <c r="P2862"/>
  <c r="R2862" s="1"/>
  <c r="K3074"/>
  <c r="P3148"/>
  <c r="M3155" s="1"/>
  <c r="R3155" s="1"/>
  <c r="I3958"/>
  <c r="R44" i="11"/>
  <c r="R46" s="1"/>
  <c r="K1025" i="1"/>
  <c r="P1099"/>
  <c r="V1394"/>
  <c r="X1377"/>
  <c r="V1355"/>
  <c r="P1411"/>
  <c r="R1412"/>
  <c r="P1429"/>
  <c r="K1626"/>
  <c r="P1628"/>
  <c r="R1628" s="1"/>
  <c r="R1637" s="1"/>
  <c r="I3396"/>
  <c r="I3429" s="1"/>
  <c r="F189" i="32"/>
  <c r="F192" s="1"/>
  <c r="E227"/>
  <c r="D277"/>
  <c r="F277" s="1"/>
  <c r="F280" s="1"/>
  <c r="P950" i="1"/>
  <c r="R950" s="1"/>
  <c r="K957"/>
  <c r="R1603"/>
  <c r="P1615"/>
  <c r="R1615" s="1"/>
  <c r="K2024"/>
  <c r="P2024"/>
  <c r="R2024" s="1"/>
  <c r="K2670"/>
  <c r="P2677"/>
  <c r="I3108"/>
  <c r="K2970"/>
  <c r="P2977"/>
  <c r="R2977" s="1"/>
  <c r="I3395"/>
  <c r="I3428" s="1"/>
  <c r="K3428" s="1"/>
  <c r="A227" i="32"/>
  <c r="A228" s="1"/>
  <c r="F228" s="1"/>
  <c r="Z9" i="1"/>
  <c r="Z38"/>
  <c r="AC38" s="1"/>
  <c r="C10"/>
  <c r="D31"/>
  <c r="V81"/>
  <c r="AF684"/>
  <c r="AF686" s="1"/>
  <c r="K704"/>
  <c r="I706" s="1"/>
  <c r="K706" s="1"/>
  <c r="P2061"/>
  <c r="K2886"/>
  <c r="K2888" s="1"/>
  <c r="C704" i="55" s="1"/>
  <c r="V3109" i="1"/>
  <c r="K4067"/>
  <c r="K1103" i="11"/>
  <c r="I1117" s="1"/>
  <c r="K1117" s="1"/>
  <c r="AI531" i="1"/>
  <c r="AI555" s="1"/>
  <c r="AB555"/>
  <c r="K960"/>
  <c r="P953"/>
  <c r="K992"/>
  <c r="I2838"/>
  <c r="K1021"/>
  <c r="P1095"/>
  <c r="P3295"/>
  <c r="R3228"/>
  <c r="P3262"/>
  <c r="I3394"/>
  <c r="K3526"/>
  <c r="P3530"/>
  <c r="R3530" s="1"/>
  <c r="I3542"/>
  <c r="K3529"/>
  <c r="P3533"/>
  <c r="R3533" s="1"/>
  <c r="I505" i="11"/>
  <c r="K391"/>
  <c r="I387" s="1"/>
  <c r="K387" s="1"/>
  <c r="K390" s="1"/>
  <c r="K2276" i="1" s="1"/>
  <c r="C431" i="55" s="1"/>
  <c r="I1091" i="1"/>
  <c r="K1091" s="1"/>
  <c r="V1373"/>
  <c r="K3791"/>
  <c r="K3792" s="1"/>
  <c r="C939" i="55" s="1"/>
  <c r="H3848" i="1"/>
  <c r="K881"/>
  <c r="K993"/>
  <c r="K996"/>
  <c r="K1630"/>
  <c r="K1922"/>
  <c r="K1986"/>
  <c r="K2609"/>
  <c r="K2641"/>
  <c r="P3159"/>
  <c r="R3159" s="1"/>
  <c r="K3941"/>
  <c r="K3943"/>
  <c r="K15" i="11"/>
  <c r="I175"/>
  <c r="K175" s="1"/>
  <c r="I84"/>
  <c r="I209"/>
  <c r="K209" s="1"/>
  <c r="I852"/>
  <c r="K376"/>
  <c r="K379" s="1"/>
  <c r="K522"/>
  <c r="I835"/>
  <c r="K675"/>
  <c r="K677" s="1"/>
  <c r="K784"/>
  <c r="K761"/>
  <c r="K762" s="1"/>
  <c r="K752" s="1"/>
  <c r="K753" s="1"/>
  <c r="AE2651" i="1"/>
  <c r="AG2651" s="1"/>
  <c r="P3332"/>
  <c r="R3332" s="1"/>
  <c r="V881"/>
  <c r="P2892" i="27"/>
  <c r="R2892" s="1"/>
  <c r="P2859"/>
  <c r="R2859" s="1"/>
  <c r="D60" i="25"/>
  <c r="F60" s="1"/>
  <c r="F38"/>
  <c r="K2975" i="27"/>
  <c r="K2942"/>
  <c r="K3060" s="1"/>
  <c r="K3076" s="1"/>
  <c r="I3122"/>
  <c r="K3116" s="1"/>
  <c r="R3116" s="1"/>
  <c r="R3130" s="1"/>
  <c r="H3123"/>
  <c r="K3896"/>
  <c r="K3831"/>
  <c r="I2934"/>
  <c r="K2908"/>
  <c r="I3031"/>
  <c r="K3031" s="1"/>
  <c r="I3054"/>
  <c r="K2936"/>
  <c r="G218" i="25"/>
  <c r="D692"/>
  <c r="F692" s="1"/>
  <c r="I3623" i="27"/>
  <c r="K3504"/>
  <c r="I2938"/>
  <c r="K524" i="11"/>
  <c r="I3406" i="27"/>
  <c r="H744" i="55" l="1"/>
  <c r="L744"/>
  <c r="N744"/>
  <c r="F744"/>
  <c r="P744"/>
  <c r="R744"/>
  <c r="N749"/>
  <c r="F749"/>
  <c r="H749"/>
  <c r="L749"/>
  <c r="P749"/>
  <c r="R749"/>
  <c r="H382" i="68"/>
  <c r="H730"/>
  <c r="H402"/>
  <c r="H655"/>
  <c r="G962"/>
  <c r="G441"/>
  <c r="H1143" i="55"/>
  <c r="J365"/>
  <c r="G366" i="68"/>
  <c r="S365" i="55"/>
  <c r="J857"/>
  <c r="H1164"/>
  <c r="F1164"/>
  <c r="L3135" i="27"/>
  <c r="K2192"/>
  <c r="I3278"/>
  <c r="K3265"/>
  <c r="AE3559" i="1"/>
  <c r="AG3543"/>
  <c r="X1386"/>
  <c r="V1402"/>
  <c r="K1085" i="27"/>
  <c r="I2262"/>
  <c r="P1463" i="1"/>
  <c r="R1446"/>
  <c r="F237" i="32"/>
  <c r="AQ68" i="1"/>
  <c r="S429" i="55"/>
  <c r="T429" s="1"/>
  <c r="P1074" i="1"/>
  <c r="K1078"/>
  <c r="I1093"/>
  <c r="X3163"/>
  <c r="D552" i="25"/>
  <c r="K1957" i="27"/>
  <c r="R541"/>
  <c r="R543" s="1"/>
  <c r="I3407"/>
  <c r="K3353"/>
  <c r="K3355" s="1"/>
  <c r="K3356" s="1"/>
  <c r="P2882"/>
  <c r="R2882" s="1"/>
  <c r="R2849"/>
  <c r="S367" i="55"/>
  <c r="T367" s="1"/>
  <c r="V1409" i="1"/>
  <c r="X1393"/>
  <c r="G69" i="70"/>
  <c r="E95"/>
  <c r="G95" s="1"/>
  <c r="P3404" i="1"/>
  <c r="R3370"/>
  <c r="R414" i="11"/>
  <c r="I756" i="69"/>
  <c r="K756" s="1"/>
  <c r="K760" s="1"/>
  <c r="K761" s="1"/>
  <c r="K751" s="1"/>
  <c r="K752" s="1"/>
  <c r="K753" s="1"/>
  <c r="K523"/>
  <c r="K524" s="1"/>
  <c r="K525" s="1"/>
  <c r="I3682" i="1"/>
  <c r="K3682" s="1"/>
  <c r="K3661"/>
  <c r="I1093" i="11"/>
  <c r="K1093" s="1"/>
  <c r="K130"/>
  <c r="K68" i="69"/>
  <c r="C900" i="55" s="1"/>
  <c r="L69" i="69"/>
  <c r="G70" i="70"/>
  <c r="E96"/>
  <c r="G96" s="1"/>
  <c r="R1451" i="1"/>
  <c r="P1468"/>
  <c r="I2028" i="27"/>
  <c r="K2028" s="1"/>
  <c r="K2034" s="1"/>
  <c r="I1913"/>
  <c r="K1913" s="1"/>
  <c r="G78" i="70"/>
  <c r="E104"/>
  <c r="G104" s="1"/>
  <c r="I3681" i="1"/>
  <c r="K3681" s="1"/>
  <c r="K3695" s="1"/>
  <c r="K3697" s="1"/>
  <c r="K3660"/>
  <c r="K3675" s="1"/>
  <c r="K3677" s="1"/>
  <c r="R1450"/>
  <c r="P1467"/>
  <c r="S715" i="55"/>
  <c r="T715" s="1"/>
  <c r="S307"/>
  <c r="T307" s="1"/>
  <c r="S352"/>
  <c r="T352" s="1"/>
  <c r="S322"/>
  <c r="T322" s="1"/>
  <c r="S381"/>
  <c r="T381" s="1"/>
  <c r="S695"/>
  <c r="T695" s="1"/>
  <c r="S731"/>
  <c r="T731" s="1"/>
  <c r="S656"/>
  <c r="T656" s="1"/>
  <c r="S366"/>
  <c r="T366" s="1"/>
  <c r="S62"/>
  <c r="T62" s="1"/>
  <c r="S229"/>
  <c r="T229" s="1"/>
  <c r="S401"/>
  <c r="T401" s="1"/>
  <c r="J908"/>
  <c r="J306"/>
  <c r="J959"/>
  <c r="J755"/>
  <c r="G754" i="68"/>
  <c r="H754" s="1"/>
  <c r="J16" i="55"/>
  <c r="J6"/>
  <c r="J353"/>
  <c r="G354" i="68"/>
  <c r="H354" s="1"/>
  <c r="J688" i="55"/>
  <c r="J917"/>
  <c r="G920" i="68"/>
  <c r="H920" s="1"/>
  <c r="J350" i="55"/>
  <c r="J440"/>
  <c r="J738"/>
  <c r="G737" i="68"/>
  <c r="H737" s="1"/>
  <c r="J964" i="55"/>
  <c r="J704"/>
  <c r="G703" i="68"/>
  <c r="H703" s="1"/>
  <c r="J939" i="55"/>
  <c r="J597"/>
  <c r="J687"/>
  <c r="J407"/>
  <c r="J406"/>
  <c r="J689"/>
  <c r="G688" i="68"/>
  <c r="H688" s="1"/>
  <c r="J836" i="55"/>
  <c r="J658"/>
  <c r="J23"/>
  <c r="J765"/>
  <c r="J310"/>
  <c r="J766"/>
  <c r="J914"/>
  <c r="J29"/>
  <c r="J431"/>
  <c r="J30"/>
  <c r="J753"/>
  <c r="J868"/>
  <c r="G871" i="68"/>
  <c r="H871" s="1"/>
  <c r="J428" i="55"/>
  <c r="J572"/>
  <c r="G573" i="68"/>
  <c r="J703" i="55"/>
  <c r="G702" i="68"/>
  <c r="H702" s="1"/>
  <c r="J940" i="55"/>
  <c r="J455"/>
  <c r="G456" i="68"/>
  <c r="H456" s="1"/>
  <c r="J916" i="55"/>
  <c r="G919" i="68"/>
  <c r="H919" s="1"/>
  <c r="J364" i="55"/>
  <c r="G365" i="68"/>
  <c r="H365" s="1"/>
  <c r="J763" i="55"/>
  <c r="J659"/>
  <c r="J869"/>
  <c r="G872" i="68"/>
  <c r="H872" s="1"/>
  <c r="J736" i="55"/>
  <c r="J348"/>
  <c r="G349" i="68"/>
  <c r="H349" s="1"/>
  <c r="J747" i="55"/>
  <c r="J746"/>
  <c r="G745" i="68"/>
  <c r="H745" s="1"/>
  <c r="J24" i="55"/>
  <c r="J744"/>
  <c r="J749"/>
  <c r="F7" i="68"/>
  <c r="I3185" i="1"/>
  <c r="K3172"/>
  <c r="V896"/>
  <c r="X896" s="1"/>
  <c r="X880"/>
  <c r="X643"/>
  <c r="AD643"/>
  <c r="AF643" s="1"/>
  <c r="V708"/>
  <c r="AB1405"/>
  <c r="X1407"/>
  <c r="Q5" i="4"/>
  <c r="Q6" s="1"/>
  <c r="Q10"/>
  <c r="Z19" i="1" s="1"/>
  <c r="X314"/>
  <c r="AQ66"/>
  <c r="AE314"/>
  <c r="AG314" s="1"/>
  <c r="D39" i="25"/>
  <c r="F39" s="1"/>
  <c r="F26"/>
  <c r="AG3541" i="1"/>
  <c r="AE3557"/>
  <c r="I3994"/>
  <c r="X1359"/>
  <c r="AB1357"/>
  <c r="K223" i="11"/>
  <c r="I1070"/>
  <c r="K1070" s="1"/>
  <c r="K4023" i="1"/>
  <c r="I4034"/>
  <c r="K4034" s="1"/>
  <c r="K581" i="27"/>
  <c r="K1899"/>
  <c r="K890"/>
  <c r="I1544"/>
  <c r="K1544" s="1"/>
  <c r="K1549" s="1"/>
  <c r="K1551" s="1"/>
  <c r="I1517"/>
  <c r="K1517" s="1"/>
  <c r="K3530" i="1"/>
  <c r="I3546"/>
  <c r="P3534"/>
  <c r="R3534" s="1"/>
  <c r="P3712"/>
  <c r="R3712" s="1"/>
  <c r="X3715"/>
  <c r="P2296"/>
  <c r="R2296" s="1"/>
  <c r="R2302" s="1"/>
  <c r="R2304" s="1"/>
  <c r="K2296"/>
  <c r="K2302" s="1"/>
  <c r="K2304" s="1"/>
  <c r="C441" i="55" s="1"/>
  <c r="I3036" i="27"/>
  <c r="K3036" s="1"/>
  <c r="I2915"/>
  <c r="K2913"/>
  <c r="I2939"/>
  <c r="K3267"/>
  <c r="I3280"/>
  <c r="I154" i="11"/>
  <c r="K154" s="1"/>
  <c r="K124"/>
  <c r="I1087"/>
  <c r="K1087" s="1"/>
  <c r="I2662" i="27"/>
  <c r="K2662" s="1"/>
  <c r="K2260"/>
  <c r="X3575" i="1"/>
  <c r="V3590"/>
  <c r="K2609" i="27"/>
  <c r="K1813"/>
  <c r="K3268"/>
  <c r="K3269" s="1"/>
  <c r="K3261" s="1"/>
  <c r="K3262" s="1"/>
  <c r="K1524"/>
  <c r="K1526" s="1"/>
  <c r="N10" i="4"/>
  <c r="Z41" i="1" s="1"/>
  <c r="H10" i="4"/>
  <c r="K451" i="11"/>
  <c r="K452" s="1"/>
  <c r="K445" s="1"/>
  <c r="K447" s="1"/>
  <c r="AB1384" i="1"/>
  <c r="AD1384" s="1"/>
  <c r="AD1367"/>
  <c r="I1221" i="27"/>
  <c r="K1221" s="1"/>
  <c r="K1226" s="1"/>
  <c r="K1228" s="1"/>
  <c r="I210"/>
  <c r="K210" s="1"/>
  <c r="P318"/>
  <c r="R318" s="1"/>
  <c r="R324" s="1"/>
  <c r="R326" s="1"/>
  <c r="P306"/>
  <c r="R306" s="1"/>
  <c r="R312" s="1"/>
  <c r="R314" s="1"/>
  <c r="P66"/>
  <c r="R66" s="1"/>
  <c r="I2959"/>
  <c r="K2956"/>
  <c r="I3624"/>
  <c r="I3589"/>
  <c r="K3589" s="1"/>
  <c r="K3591" s="1"/>
  <c r="K3592" s="1"/>
  <c r="K3582" s="1"/>
  <c r="K3583" s="1"/>
  <c r="K3584" s="1"/>
  <c r="H3852" i="1"/>
  <c r="H3873" s="1"/>
  <c r="H3889" s="1"/>
  <c r="J3889" s="1"/>
  <c r="K2607"/>
  <c r="K2996" i="27"/>
  <c r="I3682"/>
  <c r="P1459" i="1"/>
  <c r="R1442"/>
  <c r="P3544"/>
  <c r="R3544" s="1"/>
  <c r="V3540"/>
  <c r="AE3540"/>
  <c r="K3540"/>
  <c r="R3719"/>
  <c r="R3720" s="1"/>
  <c r="C769" i="55" s="1"/>
  <c r="X316" i="1"/>
  <c r="C21"/>
  <c r="AF450" s="1"/>
  <c r="AF451" s="1"/>
  <c r="AF452" s="1"/>
  <c r="AF453" s="1"/>
  <c r="AF454" s="1"/>
  <c r="AF455" s="1"/>
  <c r="AF456" s="1"/>
  <c r="AF457" s="1"/>
  <c r="AF458" s="1"/>
  <c r="AF459" s="1"/>
  <c r="AF460" s="1"/>
  <c r="AF461" s="1"/>
  <c r="AF462" s="1"/>
  <c r="AF463" s="1"/>
  <c r="D655" i="25"/>
  <c r="F619"/>
  <c r="D51" i="50"/>
  <c r="X685" i="1"/>
  <c r="AB1361"/>
  <c r="X1363"/>
  <c r="N1117" i="55"/>
  <c r="L1117"/>
  <c r="R1117"/>
  <c r="R1116"/>
  <c r="F6"/>
  <c r="F1117"/>
  <c r="H1117"/>
  <c r="AQ393" i="1"/>
  <c r="AS393" s="1"/>
  <c r="R12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M3712"/>
  <c r="K2208"/>
  <c r="K3463" i="1"/>
  <c r="AD1359"/>
  <c r="AB1376"/>
  <c r="K3198"/>
  <c r="C1165" i="55"/>
  <c r="H1165" s="1"/>
  <c r="I3243" i="1"/>
  <c r="K3243" s="1"/>
  <c r="F24" i="50"/>
  <c r="I3570" i="27"/>
  <c r="K3570" s="1"/>
  <c r="K3573" s="1"/>
  <c r="K3564" s="1"/>
  <c r="K3566" s="1"/>
  <c r="K3567" s="1"/>
  <c r="I3622"/>
  <c r="K3622" s="1"/>
  <c r="P3470" i="1"/>
  <c r="R3470" s="1"/>
  <c r="I3831"/>
  <c r="K3831" s="1"/>
  <c r="K3464"/>
  <c r="V767"/>
  <c r="X767" s="1"/>
  <c r="X681"/>
  <c r="I2952" i="27"/>
  <c r="K2932"/>
  <c r="I3050"/>
  <c r="V1411" i="1"/>
  <c r="X1395"/>
  <c r="I3392"/>
  <c r="V820"/>
  <c r="X820" s="1"/>
  <c r="X805"/>
  <c r="P3063"/>
  <c r="R3063" s="1"/>
  <c r="I3075"/>
  <c r="K3075" s="1"/>
  <c r="K9"/>
  <c r="I3746"/>
  <c r="K3746" s="1"/>
  <c r="I3644"/>
  <c r="K3747"/>
  <c r="V3521"/>
  <c r="X3521" s="1"/>
  <c r="X3541"/>
  <c r="V3557"/>
  <c r="I1116" i="11"/>
  <c r="K1116" s="1"/>
  <c r="K244"/>
  <c r="P819"/>
  <c r="R819" s="1"/>
  <c r="R794"/>
  <c r="I596"/>
  <c r="K577"/>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166" i="55"/>
  <c r="H1166" s="1"/>
  <c r="I3227" i="1"/>
  <c r="K3227" s="1"/>
  <c r="F89" i="50"/>
  <c r="F92" s="1"/>
  <c r="C927" i="55" s="1"/>
  <c r="E149" i="50"/>
  <c r="F149" s="1"/>
  <c r="F152" s="1"/>
  <c r="C928" i="55" s="1"/>
  <c r="I220" i="11"/>
  <c r="K102"/>
  <c r="I122"/>
  <c r="P3115" i="27"/>
  <c r="K3115"/>
  <c r="V3519" i="1"/>
  <c r="X3519" s="1"/>
  <c r="X3539"/>
  <c r="K2971"/>
  <c r="P2978"/>
  <c r="R2978" s="1"/>
  <c r="K3927"/>
  <c r="I3945"/>
  <c r="V734"/>
  <c r="X734" s="1"/>
  <c r="D46" i="50"/>
  <c r="X3160" i="1"/>
  <c r="D549" i="25"/>
  <c r="P1448" i="1"/>
  <c r="R1432"/>
  <c r="K2961" i="27"/>
  <c r="I3914"/>
  <c r="K3914" s="1"/>
  <c r="I2898" i="1"/>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V1452" i="1"/>
  <c r="R1491"/>
  <c r="AB1434"/>
  <c r="AD1434" s="1"/>
  <c r="X1436"/>
  <c r="K525" i="11"/>
  <c r="K526" s="1"/>
  <c r="K517" s="1"/>
  <c r="K518" s="1"/>
  <c r="R381" i="27"/>
  <c r="R383" s="1"/>
  <c r="P412" s="1"/>
  <c r="R412" s="1"/>
  <c r="K1442"/>
  <c r="K1444" s="1"/>
  <c r="K1984"/>
  <c r="K1986" s="1"/>
  <c r="L2691" i="1"/>
  <c r="C351" i="55"/>
  <c r="I3995" i="1"/>
  <c r="AD1360"/>
  <c r="AB1377"/>
  <c r="I839" i="11"/>
  <c r="K839" s="1"/>
  <c r="K832"/>
  <c r="K14" i="27"/>
  <c r="N14"/>
  <c r="P2886"/>
  <c r="R2886" s="1"/>
  <c r="R2853"/>
  <c r="D84" i="25"/>
  <c r="F59"/>
  <c r="X1408" i="1"/>
  <c r="AB1406"/>
  <c r="K432" i="11"/>
  <c r="L432" s="1"/>
  <c r="I2853" i="27"/>
  <c r="P26" i="11"/>
  <c r="K4018" i="1"/>
  <c r="I4019"/>
  <c r="I4033"/>
  <c r="K4033" s="1"/>
  <c r="I3081"/>
  <c r="K3081" s="1"/>
  <c r="K3062"/>
  <c r="P3069"/>
  <c r="R3069" s="1"/>
  <c r="K1110" i="11"/>
  <c r="I1129"/>
  <c r="C354" i="55"/>
  <c r="I3490" i="1"/>
  <c r="K3490" s="1"/>
  <c r="Z35"/>
  <c r="AC35" s="1"/>
  <c r="I254" s="1"/>
  <c r="K254" s="1"/>
  <c r="Z36"/>
  <c r="AC36" s="1"/>
  <c r="I243" s="1"/>
  <c r="K243" s="1"/>
  <c r="Z37"/>
  <c r="AC37" s="1"/>
  <c r="I242" s="1"/>
  <c r="K242" s="1"/>
  <c r="Z44"/>
  <c r="AC44" s="1"/>
  <c r="AB1331" s="1"/>
  <c r="AC1331" s="1"/>
  <c r="Z12"/>
  <c r="AC12" s="1"/>
  <c r="AC11"/>
  <c r="V642" s="1"/>
  <c r="C270" i="55"/>
  <c r="I687" i="1"/>
  <c r="K687" s="1"/>
  <c r="K3507" i="27"/>
  <c r="I594" i="11"/>
  <c r="K575"/>
  <c r="K578" s="1"/>
  <c r="K579" s="1"/>
  <c r="K568" s="1"/>
  <c r="L568" s="1"/>
  <c r="M568" s="1"/>
  <c r="N568" s="1"/>
  <c r="O568" s="1"/>
  <c r="X1353" i="1"/>
  <c r="AB1351"/>
  <c r="G834" i="64"/>
  <c r="E889"/>
  <c r="G889" s="1"/>
  <c r="K2486" i="1"/>
  <c r="K2490" s="1"/>
  <c r="K2492" s="1"/>
  <c r="C1079" i="55" s="1"/>
  <c r="I2508" i="1"/>
  <c r="G829" i="64"/>
  <c r="E884"/>
  <c r="G884" s="1"/>
  <c r="G467" i="25"/>
  <c r="G468" s="1"/>
  <c r="A483" s="1"/>
  <c r="G483" s="1"/>
  <c r="G490" s="1"/>
  <c r="G491" s="1"/>
  <c r="C764" i="55" s="1"/>
  <c r="I1090" i="11"/>
  <c r="K1090" s="1"/>
  <c r="K127"/>
  <c r="I355" i="27"/>
  <c r="K355" s="1"/>
  <c r="I1155"/>
  <c r="K1155" s="1"/>
  <c r="K1161" s="1"/>
  <c r="K1163" s="1"/>
  <c r="P361"/>
  <c r="R361" s="1"/>
  <c r="R369" s="1"/>
  <c r="R371" s="1"/>
  <c r="I1337"/>
  <c r="K1337" s="1"/>
  <c r="K1343" s="1"/>
  <c r="K1345" s="1"/>
  <c r="I379"/>
  <c r="K379" s="1"/>
  <c r="I410"/>
  <c r="K410" s="1"/>
  <c r="I479"/>
  <c r="K479" s="1"/>
  <c r="K487" s="1"/>
  <c r="K489" s="1"/>
  <c r="I444"/>
  <c r="K444" s="1"/>
  <c r="K1107"/>
  <c r="K1109" s="1"/>
  <c r="K1427"/>
  <c r="K1429" s="1"/>
  <c r="F140" i="64"/>
  <c r="E830"/>
  <c r="C15" i="55"/>
  <c r="K2918" i="27"/>
  <c r="F227" i="32"/>
  <c r="F230" i="64"/>
  <c r="F231" s="1"/>
  <c r="F232" s="1"/>
  <c r="F236" s="1"/>
  <c r="F152" i="32"/>
  <c r="C598" i="55" s="1"/>
  <c r="L2318" i="1"/>
  <c r="P2447"/>
  <c r="R2447" s="1"/>
  <c r="K118"/>
  <c r="I3934" i="27"/>
  <c r="K3934" s="1"/>
  <c r="K1114" i="11"/>
  <c r="K111"/>
  <c r="K229" s="1"/>
  <c r="K245" s="1"/>
  <c r="K271" s="1"/>
  <c r="R244" s="1"/>
  <c r="AG244" s="1"/>
  <c r="K144"/>
  <c r="K146" s="1"/>
  <c r="K2266" i="1" s="1"/>
  <c r="C421" i="55" s="1"/>
  <c r="K26" i="11"/>
  <c r="K177" s="1"/>
  <c r="K179" s="1"/>
  <c r="K87"/>
  <c r="I291"/>
  <c r="K285" s="1"/>
  <c r="R285" s="1"/>
  <c r="R299" s="1"/>
  <c r="H292"/>
  <c r="V3139" i="1"/>
  <c r="I4072"/>
  <c r="K4072" s="1"/>
  <c r="X3122"/>
  <c r="C70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K3483" i="27"/>
  <c r="I3477" s="1"/>
  <c r="K3477" s="1"/>
  <c r="I3628"/>
  <c r="L489" i="11"/>
  <c r="K2286" i="1"/>
  <c r="C442" i="55" s="1"/>
  <c r="G375" i="25"/>
  <c r="G376" s="1"/>
  <c r="W25" i="64"/>
  <c r="W27" s="1"/>
  <c r="K743" i="11"/>
  <c r="K734" s="1"/>
  <c r="K736" s="1"/>
  <c r="G825" i="64"/>
  <c r="E880"/>
  <c r="G880" s="1"/>
  <c r="E892"/>
  <c r="G892" s="1"/>
  <c r="G837"/>
  <c r="AC14" i="27"/>
  <c r="Z15"/>
  <c r="AC15" s="1"/>
  <c r="K914" i="11"/>
  <c r="K931"/>
  <c r="K932" s="1"/>
  <c r="L932" s="1"/>
  <c r="F28" i="32"/>
  <c r="R1263" i="1"/>
  <c r="P1240"/>
  <c r="R1240" s="1"/>
  <c r="V1243"/>
  <c r="K469" i="11"/>
  <c r="K461" s="1"/>
  <c r="K463" s="1"/>
  <c r="R839"/>
  <c r="R841" s="1"/>
  <c r="R852"/>
  <c r="R853" s="1"/>
  <c r="R854" s="1"/>
  <c r="R856" s="1"/>
  <c r="G826" i="64"/>
  <c r="E881"/>
  <c r="G881" s="1"/>
  <c r="G828"/>
  <c r="E883"/>
  <c r="G883" s="1"/>
  <c r="G835"/>
  <c r="E890"/>
  <c r="G890" s="1"/>
  <c r="P793" i="11"/>
  <c r="K792"/>
  <c r="K796" s="1"/>
  <c r="K797" s="1"/>
  <c r="K242"/>
  <c r="I1111"/>
  <c r="K1111" s="1"/>
  <c r="I268"/>
  <c r="K854"/>
  <c r="I3683" i="27"/>
  <c r="K3683" s="1"/>
  <c r="I3830" i="1"/>
  <c r="K3830" s="1"/>
  <c r="R197"/>
  <c r="V197"/>
  <c r="X197" s="1"/>
  <c r="D110" i="50"/>
  <c r="F110" s="1"/>
  <c r="F47"/>
  <c r="AE368" i="1"/>
  <c r="AG368" s="1"/>
  <c r="X359"/>
  <c r="AQ392"/>
  <c r="AS392" s="1"/>
  <c r="AG392"/>
  <c r="AE428"/>
  <c r="AG428" s="1"/>
  <c r="R1893"/>
  <c r="P1894"/>
  <c r="R1863"/>
  <c r="D99" i="25"/>
  <c r="F71"/>
  <c r="V3637" i="1"/>
  <c r="X3637" s="1"/>
  <c r="R1114"/>
  <c r="AD1191"/>
  <c r="AI1191"/>
  <c r="AK1191" s="1"/>
  <c r="V1397"/>
  <c r="X1380"/>
  <c r="P1469"/>
  <c r="R1452"/>
  <c r="V2783"/>
  <c r="X2783" s="1"/>
  <c r="I2243"/>
  <c r="K2243" s="1"/>
  <c r="P945"/>
  <c r="R945" s="1"/>
  <c r="P734"/>
  <c r="R734" s="1"/>
  <c r="R743" s="1"/>
  <c r="R745" s="1"/>
  <c r="V2781"/>
  <c r="P719"/>
  <c r="R719" s="1"/>
  <c r="R728" s="1"/>
  <c r="R730" s="1"/>
  <c r="I2242"/>
  <c r="K2242" s="1"/>
  <c r="P1046"/>
  <c r="P750"/>
  <c r="R750" s="1"/>
  <c r="R759" s="1"/>
  <c r="R761" s="1"/>
  <c r="P943"/>
  <c r="AC26"/>
  <c r="Z27"/>
  <c r="D29" i="25"/>
  <c r="F29" s="1"/>
  <c r="F31" s="1"/>
  <c r="F32" s="1"/>
  <c r="V3659" i="1"/>
  <c r="V3707"/>
  <c r="I3184"/>
  <c r="K3171"/>
  <c r="K3170"/>
  <c r="I3183"/>
  <c r="R1219"/>
  <c r="T1219" s="1"/>
  <c r="P1261"/>
  <c r="P1224"/>
  <c r="P1287" s="1"/>
  <c r="R1287" s="1"/>
  <c r="F51" i="32"/>
  <c r="D114"/>
  <c r="F114" s="1"/>
  <c r="V1242" i="1"/>
  <c r="P1239"/>
  <c r="R1239" s="1"/>
  <c r="R1262"/>
  <c r="D101" i="25"/>
  <c r="F73"/>
  <c r="X3555" i="1"/>
  <c r="V3571"/>
  <c r="AS68"/>
  <c r="AQ92"/>
  <c r="P1260"/>
  <c r="R1218"/>
  <c r="T1218" s="1"/>
  <c r="P1223"/>
  <c r="P1286" s="1"/>
  <c r="R1286" s="1"/>
  <c r="I3197"/>
  <c r="K3182"/>
  <c r="R1225"/>
  <c r="T1225" s="1"/>
  <c r="P1267"/>
  <c r="R1321"/>
  <c r="R1324" s="1"/>
  <c r="R1326" s="1"/>
  <c r="X1302"/>
  <c r="V1322"/>
  <c r="X1322" s="1"/>
  <c r="F45" i="25"/>
  <c r="F46" s="1"/>
  <c r="C393" i="55"/>
  <c r="V198" i="1"/>
  <c r="X198" s="1"/>
  <c r="R198"/>
  <c r="P140"/>
  <c r="R140" s="1"/>
  <c r="R144" s="1"/>
  <c r="C574" i="55" s="1"/>
  <c r="C141" i="1"/>
  <c r="I3004"/>
  <c r="K3004" s="1"/>
  <c r="K3006" s="1"/>
  <c r="I244"/>
  <c r="K244" s="1"/>
  <c r="C35"/>
  <c r="L89"/>
  <c r="M89" s="1"/>
  <c r="C7" i="55"/>
  <c r="P3551" i="1"/>
  <c r="R3551" s="1"/>
  <c r="AE3547"/>
  <c r="AE3563" s="1"/>
  <c r="V3547"/>
  <c r="K91"/>
  <c r="C10" i="55" s="1"/>
  <c r="I1767" i="1"/>
  <c r="K1767" s="1"/>
  <c r="K1775" s="1"/>
  <c r="C371" i="55" s="1"/>
  <c r="P2344" i="1"/>
  <c r="R2344" s="1"/>
  <c r="C9" i="55"/>
  <c r="K3109" i="1"/>
  <c r="P2083"/>
  <c r="R2083" s="1"/>
  <c r="R405"/>
  <c r="R407" s="1"/>
  <c r="W593"/>
  <c r="W594"/>
  <c r="W592"/>
  <c r="W591"/>
  <c r="R23"/>
  <c r="Z10"/>
  <c r="AC10" s="1"/>
  <c r="C69" s="1"/>
  <c r="I296" s="1"/>
  <c r="K296" s="1"/>
  <c r="AC9"/>
  <c r="C68" s="1"/>
  <c r="I295" s="1"/>
  <c r="K295" s="1"/>
  <c r="Z16"/>
  <c r="Z46"/>
  <c r="F153" i="64"/>
  <c r="F154" s="1"/>
  <c r="F155" s="1"/>
  <c r="F159" s="1"/>
  <c r="K3772" i="27"/>
  <c r="R3772"/>
  <c r="D121" i="25"/>
  <c r="F100"/>
  <c r="P401" i="27"/>
  <c r="R401" s="1"/>
  <c r="P402"/>
  <c r="R402" s="1"/>
  <c r="L379" i="11"/>
  <c r="C739" i="55"/>
  <c r="C1130"/>
  <c r="I2269" i="27"/>
  <c r="I1092"/>
  <c r="K1092" s="1"/>
  <c r="K706" i="11"/>
  <c r="K708" s="1"/>
  <c r="K668"/>
  <c r="K670" s="1"/>
  <c r="C1132" i="55"/>
  <c r="K398" i="11"/>
  <c r="K402" s="1"/>
  <c r="K2275" i="1" s="1"/>
  <c r="C430" i="55" s="1"/>
  <c r="M390" i="11"/>
  <c r="L390"/>
  <c r="P1116" i="1"/>
  <c r="R1116" s="1"/>
  <c r="R1095"/>
  <c r="M2075"/>
  <c r="R2061"/>
  <c r="T1640"/>
  <c r="R1640"/>
  <c r="C907" i="55" s="1"/>
  <c r="R1099" i="1"/>
  <c r="P1120"/>
  <c r="R1120" s="1"/>
  <c r="AB1373"/>
  <c r="AD1356"/>
  <c r="K2372" i="27"/>
  <c r="I2389"/>
  <c r="K2389" s="1"/>
  <c r="K2391" s="1"/>
  <c r="I1532"/>
  <c r="K1532" s="1"/>
  <c r="K1537" s="1"/>
  <c r="K1539" s="1"/>
  <c r="I1504"/>
  <c r="K1504" s="1"/>
  <c r="K1511" s="1"/>
  <c r="K1513" s="1"/>
  <c r="I2525"/>
  <c r="K2525" s="1"/>
  <c r="K2533" s="1"/>
  <c r="K2535" s="1"/>
  <c r="K1014"/>
  <c r="K1022" s="1"/>
  <c r="K1024" s="1"/>
  <c r="P3364" i="1"/>
  <c r="R3364" s="1"/>
  <c r="P3398"/>
  <c r="R3398" s="1"/>
  <c r="R3295"/>
  <c r="X136"/>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K1136" i="1"/>
  <c r="I3531"/>
  <c r="P3535" s="1"/>
  <c r="R3535" s="1"/>
  <c r="I2358"/>
  <c r="I2360"/>
  <c r="C609" i="55" s="1"/>
  <c r="C607"/>
  <c r="I2354" i="1"/>
  <c r="K3885" i="27"/>
  <c r="I3895"/>
  <c r="K3895" s="1"/>
  <c r="C1129" i="55"/>
  <c r="L364" i="11"/>
  <c r="M364"/>
  <c r="P1602" i="1"/>
  <c r="R1602" s="1"/>
  <c r="R1607" s="1"/>
  <c r="R1609" s="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3" i="11"/>
  <c r="K863" s="1"/>
  <c r="K852"/>
  <c r="AE3542" i="1"/>
  <c r="P3546"/>
  <c r="R3546" s="1"/>
  <c r="K3542"/>
  <c r="V3542"/>
  <c r="P1055"/>
  <c r="R1055" s="1"/>
  <c r="R953"/>
  <c r="I3483"/>
  <c r="K3483" s="1"/>
  <c r="I1073"/>
  <c r="K1073" s="1"/>
  <c r="I1088"/>
  <c r="K1088" s="1"/>
  <c r="A26" i="50"/>
  <c r="F26" s="1"/>
  <c r="F25"/>
  <c r="X881" i="1"/>
  <c r="V897"/>
  <c r="X897" s="1"/>
  <c r="I207" i="11"/>
  <c r="K207" s="1"/>
  <c r="K84"/>
  <c r="E3852" i="1"/>
  <c r="J3852" s="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I2408"/>
  <c r="K2408" s="1"/>
  <c r="K2361"/>
  <c r="D597" i="64"/>
  <c r="F597" s="1"/>
  <c r="F535"/>
  <c r="C12" i="55"/>
  <c r="K102" i="1"/>
  <c r="C13" i="55" s="1"/>
  <c r="K104" i="1"/>
  <c r="C271" i="55"/>
  <c r="I688" i="1"/>
  <c r="K688" s="1"/>
  <c r="V822"/>
  <c r="X822" s="1"/>
  <c r="X807"/>
  <c r="K3592"/>
  <c r="I3593" s="1"/>
  <c r="F1150" i="55"/>
  <c r="K949" i="11"/>
  <c r="K951" s="1"/>
  <c r="L951" s="1"/>
  <c r="K944"/>
  <c r="K1805" i="27"/>
  <c r="K754" i="11"/>
  <c r="M754"/>
  <c r="K835"/>
  <c r="I3664" i="27"/>
  <c r="K3664" s="1"/>
  <c r="V1390" i="1"/>
  <c r="X1373"/>
  <c r="K505" i="11"/>
  <c r="I500" s="1"/>
  <c r="K500" s="1"/>
  <c r="K503" s="1"/>
  <c r="L503" s="1"/>
  <c r="I538"/>
  <c r="R3262" i="1"/>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30" i="55" s="1"/>
  <c r="I1827" i="1"/>
  <c r="K1827" s="1"/>
  <c r="K1834" s="1"/>
  <c r="K1836" s="1"/>
  <c r="I1880" s="1"/>
  <c r="K1880" s="1"/>
  <c r="K1882" s="1"/>
  <c r="I1379"/>
  <c r="K1379" s="1"/>
  <c r="I1251"/>
  <c r="I1272"/>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I313"/>
  <c r="I412"/>
  <c r="K412" s="1"/>
  <c r="I427"/>
  <c r="K427" s="1"/>
  <c r="P181"/>
  <c r="R181" s="1"/>
  <c r="P308"/>
  <c r="R308" s="1"/>
  <c r="I1646"/>
  <c r="I1911"/>
  <c r="K1911" s="1"/>
  <c r="K1915" s="1"/>
  <c r="K1917" s="1"/>
  <c r="I1924" s="1"/>
  <c r="K1924" s="1"/>
  <c r="K1927" s="1"/>
  <c r="C378" i="55" s="1"/>
  <c r="I1479" i="1"/>
  <c r="K1479" s="1"/>
  <c r="I2150"/>
  <c r="I1406"/>
  <c r="K1406" s="1"/>
  <c r="I1357"/>
  <c r="K1357" s="1"/>
  <c r="I1201"/>
  <c r="K1201" s="1"/>
  <c r="I1454"/>
  <c r="K1454" s="1"/>
  <c r="I1393"/>
  <c r="I865"/>
  <c r="I527"/>
  <c r="K527" s="1"/>
  <c r="P522"/>
  <c r="R522" s="1"/>
  <c r="R529" s="1"/>
  <c r="R531" s="1"/>
  <c r="I381"/>
  <c r="I2130"/>
  <c r="K2130" s="1"/>
  <c r="I1845"/>
  <c r="I2384"/>
  <c r="I1419"/>
  <c r="K1419" s="1"/>
  <c r="I1222"/>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K2671" i="1"/>
  <c r="P2678"/>
  <c r="K3321"/>
  <c r="I3338" i="27"/>
  <c r="K3338" s="1"/>
  <c r="K3279"/>
  <c r="C1162" i="55"/>
  <c r="H1162" s="1"/>
  <c r="F1161"/>
  <c r="T671" i="11"/>
  <c r="R671"/>
  <c r="I1613" i="1"/>
  <c r="I1586"/>
  <c r="K1586" s="1"/>
  <c r="K1593" s="1"/>
  <c r="K1595" s="1"/>
  <c r="C357" i="55" s="1"/>
  <c r="C712"/>
  <c r="L146" i="11"/>
  <c r="C937" i="55"/>
  <c r="M342" i="11"/>
  <c r="C1127" i="55"/>
  <c r="F1163"/>
  <c r="C958"/>
  <c r="L960" i="11"/>
  <c r="F273" i="32"/>
  <c r="AR47" i="64"/>
  <c r="F682"/>
  <c r="K371" i="27"/>
  <c r="V1372" i="1"/>
  <c r="R1411"/>
  <c r="R1421" s="1"/>
  <c r="C312" i="55" s="1"/>
  <c r="P1428" i="1"/>
  <c r="K583" i="27"/>
  <c r="I583"/>
  <c r="K3159"/>
  <c r="K3160" s="1"/>
  <c r="K3161" s="1"/>
  <c r="I3199"/>
  <c r="K3199" s="1"/>
  <c r="K3200" s="1"/>
  <c r="K3201" s="1"/>
  <c r="K2914"/>
  <c r="I3037"/>
  <c r="K3037" s="1"/>
  <c r="I3059"/>
  <c r="K3059" s="1"/>
  <c r="K2941"/>
  <c r="C702" i="55"/>
  <c r="C392"/>
  <c r="I3931" i="27"/>
  <c r="I3075"/>
  <c r="K3072"/>
  <c r="K119" i="1"/>
  <c r="C18" i="55"/>
  <c r="M353" i="11"/>
  <c r="C1128" i="55"/>
  <c r="L353" i="11"/>
  <c r="C356" i="55"/>
  <c r="I2928" i="1"/>
  <c r="C690" i="55"/>
  <c r="I2937" i="1"/>
  <c r="K2937" s="1"/>
  <c r="F1151" i="55"/>
  <c r="I2954" i="27"/>
  <c r="K2934"/>
  <c r="I3052"/>
  <c r="K3054"/>
  <c r="I3891"/>
  <c r="K3891" s="1"/>
  <c r="K2962"/>
  <c r="K3041"/>
  <c r="K2938"/>
  <c r="I3056"/>
  <c r="K3056" s="1"/>
  <c r="I2955"/>
  <c r="K3536"/>
  <c r="K3538" s="1"/>
  <c r="K3539" s="1"/>
  <c r="K3498"/>
  <c r="K3500" s="1"/>
  <c r="I3425"/>
  <c r="K3425" s="1"/>
  <c r="K3406"/>
  <c r="K548" i="11"/>
  <c r="K549" s="1"/>
  <c r="K3623" i="27"/>
  <c r="I3684"/>
  <c r="K3684" s="1"/>
  <c r="I3730"/>
  <c r="K3812"/>
  <c r="K3814" s="1"/>
  <c r="K3915"/>
  <c r="K3102"/>
  <c r="H1076" i="68" l="1"/>
  <c r="H366"/>
  <c r="H441"/>
  <c r="H962"/>
  <c r="H573"/>
  <c r="T365" i="55"/>
  <c r="S744"/>
  <c r="T744" s="1"/>
  <c r="S348"/>
  <c r="T348" s="1"/>
  <c r="Z13" i="1"/>
  <c r="I1108"/>
  <c r="K1108" s="1"/>
  <c r="K1093"/>
  <c r="K2262" i="27"/>
  <c r="I2664"/>
  <c r="K2664" s="1"/>
  <c r="V3622" i="1"/>
  <c r="AG3559"/>
  <c r="K3408" i="27"/>
  <c r="K3409" s="1"/>
  <c r="K3398" s="1"/>
  <c r="K3378"/>
  <c r="K3379" s="1"/>
  <c r="K3347"/>
  <c r="K3348" s="1"/>
  <c r="F552" i="25"/>
  <c r="D589"/>
  <c r="P1100" i="1"/>
  <c r="R1074"/>
  <c r="X1402"/>
  <c r="AB1400"/>
  <c r="I3426" i="27"/>
  <c r="K3407"/>
  <c r="V1424" i="1"/>
  <c r="X1424" s="1"/>
  <c r="P1494"/>
  <c r="R1463"/>
  <c r="I3297" i="27"/>
  <c r="K3278"/>
  <c r="I3337"/>
  <c r="K3337" s="1"/>
  <c r="K3339" s="1"/>
  <c r="K3340" s="1"/>
  <c r="S6" i="55"/>
  <c r="T6" s="1"/>
  <c r="G903" i="68"/>
  <c r="J900" i="55"/>
  <c r="K2689" i="1"/>
  <c r="K2690" s="1"/>
  <c r="C737" i="55" s="1"/>
  <c r="R3404" i="1"/>
  <c r="P3448"/>
  <c r="G106" i="70"/>
  <c r="G107" s="1"/>
  <c r="E112" s="1"/>
  <c r="G112" s="1"/>
  <c r="G114" s="1"/>
  <c r="P1498" i="1"/>
  <c r="R1467"/>
  <c r="R1468"/>
  <c r="P1499"/>
  <c r="G80" i="70"/>
  <c r="G81" s="1"/>
  <c r="E86" s="1"/>
  <c r="G86" s="1"/>
  <c r="G88" s="1"/>
  <c r="S703" i="55"/>
  <c r="T703" s="1"/>
  <c r="J3873" i="1"/>
  <c r="K516" i="69"/>
  <c r="K517" s="1"/>
  <c r="K547"/>
  <c r="K548" s="1"/>
  <c r="AB1407" i="1"/>
  <c r="X1409"/>
  <c r="S689" i="55"/>
  <c r="T689" s="1"/>
  <c r="S755"/>
  <c r="T755" s="1"/>
  <c r="S364"/>
  <c r="T364" s="1"/>
  <c r="S753"/>
  <c r="T753" s="1"/>
  <c r="S959"/>
  <c r="T959" s="1"/>
  <c r="S440"/>
  <c r="T440" s="1"/>
  <c r="S964"/>
  <c r="T964" s="1"/>
  <c r="S916"/>
  <c r="T916" s="1"/>
  <c r="S572"/>
  <c r="T572" s="1"/>
  <c r="S704"/>
  <c r="T704" s="1"/>
  <c r="S455"/>
  <c r="S917"/>
  <c r="T917" s="1"/>
  <c r="G7" i="68"/>
  <c r="H7" s="1"/>
  <c r="S738" i="55"/>
  <c r="T738" s="1"/>
  <c r="S746"/>
  <c r="T746" s="1"/>
  <c r="S353"/>
  <c r="T353" s="1"/>
  <c r="C878"/>
  <c r="L3675" i="1"/>
  <c r="J356" i="55"/>
  <c r="J18"/>
  <c r="G19" i="68"/>
  <c r="H19" s="1"/>
  <c r="J312" i="55"/>
  <c r="J958"/>
  <c r="G961" i="68"/>
  <c r="H961" s="1"/>
  <c r="J937" i="55"/>
  <c r="J13"/>
  <c r="J607"/>
  <c r="G608" i="68"/>
  <c r="H608" s="1"/>
  <c r="J907" i="55"/>
  <c r="J430"/>
  <c r="J739"/>
  <c r="G738" i="68"/>
  <c r="H738" s="1"/>
  <c r="J371" i="55"/>
  <c r="G372" i="68"/>
  <c r="H372" s="1"/>
  <c r="J442" i="55"/>
  <c r="G443" i="68"/>
  <c r="H443" s="1"/>
  <c r="J705" i="55"/>
  <c r="J421"/>
  <c r="J928"/>
  <c r="J441"/>
  <c r="G442" i="68"/>
  <c r="H442" s="1"/>
  <c r="J357" i="55"/>
  <c r="J311"/>
  <c r="J377"/>
  <c r="J574"/>
  <c r="J394"/>
  <c r="J598"/>
  <c r="J15"/>
  <c r="J270"/>
  <c r="J354"/>
  <c r="G355" i="68"/>
  <c r="H355" s="1"/>
  <c r="J690" i="55"/>
  <c r="J702"/>
  <c r="G701" i="68"/>
  <c r="H701" s="1"/>
  <c r="J712" i="55"/>
  <c r="J730"/>
  <c r="J276"/>
  <c r="J271"/>
  <c r="J9"/>
  <c r="J393"/>
  <c r="J764"/>
  <c r="J351"/>
  <c r="J769"/>
  <c r="J392"/>
  <c r="J378"/>
  <c r="G379" i="68"/>
  <c r="H379" s="1"/>
  <c r="J12" i="55"/>
  <c r="J609"/>
  <c r="G610" i="68"/>
  <c r="H610" s="1"/>
  <c r="J10" i="55"/>
  <c r="J7"/>
  <c r="J927"/>
  <c r="K89" i="11"/>
  <c r="L90" s="1"/>
  <c r="L91" s="1"/>
  <c r="I3368" i="1"/>
  <c r="K3185"/>
  <c r="I3731" i="27"/>
  <c r="K3731" s="1"/>
  <c r="K3624"/>
  <c r="Z45" i="1"/>
  <c r="AC45" s="1"/>
  <c r="Z42"/>
  <c r="AC42" s="1"/>
  <c r="AC41"/>
  <c r="K3280" i="27"/>
  <c r="K3281" s="1"/>
  <c r="K3282" s="1"/>
  <c r="K3275" s="1"/>
  <c r="K3277" s="1"/>
  <c r="I3298"/>
  <c r="K2915"/>
  <c r="I3038"/>
  <c r="K3038" s="1"/>
  <c r="AD1405" i="1"/>
  <c r="AB1422"/>
  <c r="AD1422" s="1"/>
  <c r="V3520"/>
  <c r="X3520" s="1"/>
  <c r="V3556"/>
  <c r="X3540"/>
  <c r="I3693" i="27"/>
  <c r="K3693" s="1"/>
  <c r="K3682"/>
  <c r="K3688" s="1"/>
  <c r="Z18" i="1"/>
  <c r="AC18" s="1"/>
  <c r="C80" s="1"/>
  <c r="Z29"/>
  <c r="L156" i="11"/>
  <c r="K157"/>
  <c r="P3550" i="1"/>
  <c r="R3550" s="1"/>
  <c r="K3546"/>
  <c r="AE3546"/>
  <c r="V3546"/>
  <c r="AD1357"/>
  <c r="AB1374"/>
  <c r="AQ90"/>
  <c r="AS66"/>
  <c r="AG3540"/>
  <c r="AE3556"/>
  <c r="V1420"/>
  <c r="X1420" s="1"/>
  <c r="R1459"/>
  <c r="P1490"/>
  <c r="I3912" i="27"/>
  <c r="K3912" s="1"/>
  <c r="K2959"/>
  <c r="L447" i="11"/>
  <c r="K2277" i="1"/>
  <c r="C432" i="55" s="1"/>
  <c r="I3057" i="27"/>
  <c r="K2939"/>
  <c r="AG3557" i="1"/>
  <c r="V3620"/>
  <c r="K3626" i="27"/>
  <c r="K3627" s="1"/>
  <c r="V3607" i="1"/>
  <c r="X3607" s="1"/>
  <c r="X3590"/>
  <c r="I4010"/>
  <c r="K3994"/>
  <c r="Z20"/>
  <c r="AC20" s="1"/>
  <c r="AC19"/>
  <c r="X708"/>
  <c r="Z708" s="1"/>
  <c r="D44" i="32"/>
  <c r="V678" i="1"/>
  <c r="D691" i="25"/>
  <c r="F691" s="1"/>
  <c r="F655"/>
  <c r="F76"/>
  <c r="D65" s="1"/>
  <c r="H1128" i="55"/>
  <c r="N1128"/>
  <c r="L1128"/>
  <c r="R1128"/>
  <c r="H1127"/>
  <c r="N1127"/>
  <c r="L1127"/>
  <c r="R1127"/>
  <c r="H1129"/>
  <c r="N1129"/>
  <c r="L1129"/>
  <c r="R1129"/>
  <c r="H1132"/>
  <c r="N1132"/>
  <c r="L1132"/>
  <c r="R1132"/>
  <c r="H1130"/>
  <c r="N1130"/>
  <c r="L1130"/>
  <c r="R1130"/>
  <c r="R1079"/>
  <c r="AD1361" i="1"/>
  <c r="I3996"/>
  <c r="AB1378"/>
  <c r="H923" i="68"/>
  <c r="D114" i="50"/>
  <c r="F114" s="1"/>
  <c r="F51"/>
  <c r="F1079" i="55"/>
  <c r="K102" i="27"/>
  <c r="K104"/>
  <c r="K105" s="1"/>
  <c r="K1129" i="11"/>
  <c r="I1142"/>
  <c r="K4019" i="1"/>
  <c r="I4020"/>
  <c r="R3328"/>
  <c r="P3363"/>
  <c r="R3363" s="1"/>
  <c r="F46" i="50"/>
  <c r="D109"/>
  <c r="F109" s="1"/>
  <c r="I1066" i="11"/>
  <c r="K1066" s="1"/>
  <c r="K1077" s="1"/>
  <c r="K220"/>
  <c r="F1166" i="55"/>
  <c r="J539" i="1"/>
  <c r="W538"/>
  <c r="AC538" s="1"/>
  <c r="AJ538" s="1"/>
  <c r="I3886" i="27"/>
  <c r="K3886" s="1"/>
  <c r="I3073"/>
  <c r="K3050"/>
  <c r="F1165" i="55"/>
  <c r="AD1406" i="1"/>
  <c r="AB1423"/>
  <c r="AD1423" s="1"/>
  <c r="AB1394"/>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K90" i="27"/>
  <c r="P586"/>
  <c r="R586" s="1"/>
  <c r="R595" s="1"/>
  <c r="I2613"/>
  <c r="K89"/>
  <c r="P573"/>
  <c r="R573" s="1"/>
  <c r="R581" s="1"/>
  <c r="R1447" i="1"/>
  <c r="P1464"/>
  <c r="D586" i="25"/>
  <c r="F549"/>
  <c r="I3961" i="1"/>
  <c r="K3945"/>
  <c r="K122" i="11"/>
  <c r="I1085"/>
  <c r="K1085" s="1"/>
  <c r="W487" i="1"/>
  <c r="AC487" s="1"/>
  <c r="J663"/>
  <c r="K3752"/>
  <c r="K3753" s="1"/>
  <c r="K2952" i="27"/>
  <c r="I2973"/>
  <c r="K2973" s="1"/>
  <c r="K2977" s="1"/>
  <c r="I3905"/>
  <c r="K3905" s="1"/>
  <c r="AD1376" i="1"/>
  <c r="AB1393"/>
  <c r="AD1393" s="1"/>
  <c r="P2857" i="27"/>
  <c r="K2853"/>
  <c r="K2859" s="1"/>
  <c r="I3004"/>
  <c r="K3004" s="1"/>
  <c r="K3010" s="1"/>
  <c r="I2916"/>
  <c r="P1540" i="1"/>
  <c r="R1540" s="1"/>
  <c r="K3995"/>
  <c r="AS67"/>
  <c r="AQ91"/>
  <c r="X1404"/>
  <c r="AB1402"/>
  <c r="I3990"/>
  <c r="K3990" s="1"/>
  <c r="K3989"/>
  <c r="K596" i="11"/>
  <c r="I617"/>
  <c r="AB1409" i="1"/>
  <c r="X1411"/>
  <c r="I1309" i="27"/>
  <c r="K1309" s="1"/>
  <c r="I1287"/>
  <c r="K1287" s="1"/>
  <c r="L181" i="11"/>
  <c r="L182" s="1"/>
  <c r="K187"/>
  <c r="K191" s="1"/>
  <c r="K180"/>
  <c r="C1120" i="55" s="1"/>
  <c r="M180" i="11"/>
  <c r="K844"/>
  <c r="K818"/>
  <c r="K787"/>
  <c r="M464"/>
  <c r="K464"/>
  <c r="L463"/>
  <c r="L465"/>
  <c r="K2508" i="1"/>
  <c r="K2512" s="1"/>
  <c r="K2515" s="1"/>
  <c r="C1080" i="55" s="1"/>
  <c r="P2515" i="1"/>
  <c r="R2515" s="1"/>
  <c r="R2519" s="1"/>
  <c r="R2521" s="1"/>
  <c r="C859" i="55" s="1"/>
  <c r="AD1351" i="1"/>
  <c r="AB1368"/>
  <c r="K3628" i="27"/>
  <c r="I3615" s="1"/>
  <c r="I3677"/>
  <c r="K3677" s="1"/>
  <c r="K268" i="11"/>
  <c r="P241"/>
  <c r="R241" s="1"/>
  <c r="P818"/>
  <c r="R818" s="1"/>
  <c r="R822" s="1"/>
  <c r="R823" s="1"/>
  <c r="P814" s="1"/>
  <c r="R814" s="1"/>
  <c r="R816" s="1"/>
  <c r="R793"/>
  <c r="R797" s="1"/>
  <c r="R798" s="1"/>
  <c r="X1243" i="1"/>
  <c r="AB1248"/>
  <c r="K2291"/>
  <c r="I3018" s="1"/>
  <c r="K3018" s="1"/>
  <c r="C722" i="55" s="1"/>
  <c r="C861"/>
  <c r="K28" i="11"/>
  <c r="V3164" i="1"/>
  <c r="X3139"/>
  <c r="K858" i="11"/>
  <c r="C70" i="1"/>
  <c r="K247"/>
  <c r="K249" s="1"/>
  <c r="C50" i="55" s="1"/>
  <c r="K2280" i="1"/>
  <c r="C454" i="55" s="1"/>
  <c r="L914" i="11"/>
  <c r="M914"/>
  <c r="K2548" i="1"/>
  <c r="C854" i="55"/>
  <c r="G830" i="64"/>
  <c r="G844" s="1"/>
  <c r="G845" s="1"/>
  <c r="G846" s="1"/>
  <c r="G850" s="1"/>
  <c r="G851" s="1"/>
  <c r="E885"/>
  <c r="G885" s="1"/>
  <c r="G899" s="1"/>
  <c r="G900" s="1"/>
  <c r="G901" s="1"/>
  <c r="G905" s="1"/>
  <c r="G906" s="1"/>
  <c r="I2682" i="27"/>
  <c r="K2682" s="1"/>
  <c r="C73"/>
  <c r="I174"/>
  <c r="K174" s="1"/>
  <c r="K178" s="1"/>
  <c r="I166"/>
  <c r="K166" s="1"/>
  <c r="K170" s="1"/>
  <c r="I2615"/>
  <c r="K2615" s="1"/>
  <c r="I2692"/>
  <c r="K2692" s="1"/>
  <c r="C74"/>
  <c r="I194" s="1"/>
  <c r="K194" s="1"/>
  <c r="K201" s="1"/>
  <c r="K203" s="1"/>
  <c r="I1712" s="1"/>
  <c r="K1712" s="1"/>
  <c r="K1721" s="1"/>
  <c r="I2681"/>
  <c r="K2681" s="1"/>
  <c r="K2685" s="1"/>
  <c r="K2687" s="1"/>
  <c r="L736" i="11"/>
  <c r="K737"/>
  <c r="M738"/>
  <c r="P2574" i="1"/>
  <c r="R2574" s="1"/>
  <c r="R2578" s="1"/>
  <c r="R2580" s="1"/>
  <c r="C1081" i="55" s="1"/>
  <c r="I2608" i="1"/>
  <c r="K2573"/>
  <c r="K2577" s="1"/>
  <c r="K2580" s="1"/>
  <c r="K210" i="11"/>
  <c r="K212" s="1"/>
  <c r="K131"/>
  <c r="K594"/>
  <c r="K597" s="1"/>
  <c r="K598" s="1"/>
  <c r="K587" s="1"/>
  <c r="L587" s="1"/>
  <c r="M587" s="1"/>
  <c r="N587" s="1"/>
  <c r="O587" s="1"/>
  <c r="I616"/>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43" i="55" s="1"/>
  <c r="V3689" i="1"/>
  <c r="AE3660"/>
  <c r="AG3660" s="1"/>
  <c r="AG3661" s="1"/>
  <c r="AG3662" s="1"/>
  <c r="K3174"/>
  <c r="K3175" s="1"/>
  <c r="C1168" i="55" s="1"/>
  <c r="H1168"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D93"/>
  <c r="F93" s="1"/>
  <c r="C745" i="55"/>
  <c r="S1326" i="1"/>
  <c r="I3211"/>
  <c r="I3242"/>
  <c r="K3197"/>
  <c r="K3200" s="1"/>
  <c r="K3202" s="1"/>
  <c r="C1169" i="55" s="1"/>
  <c r="H1169" s="1"/>
  <c r="AS92" i="1"/>
  <c r="AQ112"/>
  <c r="AB1247"/>
  <c r="X1242"/>
  <c r="V1241"/>
  <c r="R1261"/>
  <c r="P1238"/>
  <c r="R1238" s="1"/>
  <c r="I1752"/>
  <c r="K1752" s="1"/>
  <c r="I184"/>
  <c r="K184" s="1"/>
  <c r="K189" s="1"/>
  <c r="C42" i="55" s="1"/>
  <c r="I154" i="1"/>
  <c r="K154" s="1"/>
  <c r="V3563"/>
  <c r="V3579" s="1"/>
  <c r="V3527"/>
  <c r="F28" i="50"/>
  <c r="C926" i="55" s="1"/>
  <c r="X86" i="1"/>
  <c r="X88" s="1"/>
  <c r="X90" s="1"/>
  <c r="X91" s="1"/>
  <c r="Z17"/>
  <c r="AC17" s="1"/>
  <c r="AC16"/>
  <c r="AC46"/>
  <c r="Z47"/>
  <c r="AC47" s="1"/>
  <c r="AD642"/>
  <c r="AF642" s="1"/>
  <c r="X642"/>
  <c r="I1644"/>
  <c r="K1644" s="1"/>
  <c r="I1303"/>
  <c r="K1303" s="1"/>
  <c r="I503"/>
  <c r="Z14"/>
  <c r="AC13"/>
  <c r="C72" s="1"/>
  <c r="C71"/>
  <c r="P1142" s="1"/>
  <c r="V801"/>
  <c r="K3779" i="27"/>
  <c r="K3781" s="1"/>
  <c r="K3774"/>
  <c r="R3774"/>
  <c r="R3779"/>
  <c r="R3781" s="1"/>
  <c r="F121" i="25"/>
  <c r="D148"/>
  <c r="F298" i="64"/>
  <c r="F301" s="1"/>
  <c r="G81"/>
  <c r="F81"/>
  <c r="I2381" i="27"/>
  <c r="I2392"/>
  <c r="I2393" s="1"/>
  <c r="J2378" s="1"/>
  <c r="I3937"/>
  <c r="K3937" s="1"/>
  <c r="K3075"/>
  <c r="I3089"/>
  <c r="K3089" s="1"/>
  <c r="X1372" i="1"/>
  <c r="X1382" s="1"/>
  <c r="C315" i="55" s="1"/>
  <c r="V1389" i="1"/>
  <c r="F1127" i="55"/>
  <c r="I3887" i="27"/>
  <c r="K3887" s="1"/>
  <c r="K3051"/>
  <c r="V553" i="1"/>
  <c r="X553" s="1"/>
  <c r="AB529"/>
  <c r="X529"/>
  <c r="K2384"/>
  <c r="I2398"/>
  <c r="K1393"/>
  <c r="K1646"/>
  <c r="I3641"/>
  <c r="K3641" s="1"/>
  <c r="K3647" s="1"/>
  <c r="K3648" s="1"/>
  <c r="C915" i="55" s="1"/>
  <c r="P1334" i="1"/>
  <c r="K1305"/>
  <c r="K583"/>
  <c r="K587" s="1"/>
  <c r="K589" s="1"/>
  <c r="I590" s="1"/>
  <c r="K590" s="1"/>
  <c r="V583"/>
  <c r="X583" s="1"/>
  <c r="X587" s="1"/>
  <c r="X589" s="1"/>
  <c r="X590" s="1"/>
  <c r="C376" i="55"/>
  <c r="C911"/>
  <c r="P3463" i="1"/>
  <c r="R3463" s="1"/>
  <c r="K3457"/>
  <c r="I3824"/>
  <c r="K3824" s="1"/>
  <c r="I3391"/>
  <c r="V1406"/>
  <c r="X1390"/>
  <c r="K2558" i="27"/>
  <c r="K2566" s="1"/>
  <c r="K2568" s="1"/>
  <c r="I2589"/>
  <c r="K2589" s="1"/>
  <c r="K2597" s="1"/>
  <c r="K2599" s="1"/>
  <c r="X3120" i="1"/>
  <c r="I4070"/>
  <c r="K4070" s="1"/>
  <c r="V3137"/>
  <c r="I3629"/>
  <c r="K3629" s="1"/>
  <c r="K3608"/>
  <c r="C1110" i="55"/>
  <c r="C629"/>
  <c r="C906"/>
  <c r="C878" i="1"/>
  <c r="F1129" i="55"/>
  <c r="K3424" i="27"/>
  <c r="I3446"/>
  <c r="K1129" i="1"/>
  <c r="X1410"/>
  <c r="AB1408"/>
  <c r="AB1390"/>
  <c r="AD1390" s="1"/>
  <c r="AD1373"/>
  <c r="F1132" i="55"/>
  <c r="K671" i="11"/>
  <c r="C748" i="55" s="1"/>
  <c r="L671" i="11"/>
  <c r="K3172" i="27"/>
  <c r="K3173" s="1"/>
  <c r="L3173" s="1"/>
  <c r="K3153"/>
  <c r="K3154" s="1"/>
  <c r="K3183"/>
  <c r="K3184" s="1"/>
  <c r="L3184" s="1"/>
  <c r="I3906"/>
  <c r="K3906" s="1"/>
  <c r="K2953"/>
  <c r="AB1370" i="1"/>
  <c r="AD1353"/>
  <c r="K337"/>
  <c r="V337"/>
  <c r="V381"/>
  <c r="K381"/>
  <c r="K865"/>
  <c r="P858"/>
  <c r="R858" s="1"/>
  <c r="I3305"/>
  <c r="K3305" s="1"/>
  <c r="I3926"/>
  <c r="V865"/>
  <c r="X865" s="1"/>
  <c r="V395"/>
  <c r="K395"/>
  <c r="P2008"/>
  <c r="R2008" s="1"/>
  <c r="R2018" s="1"/>
  <c r="C888" i="55" s="1"/>
  <c r="K2007" i="1"/>
  <c r="K2015" s="1"/>
  <c r="C389" i="55" s="1"/>
  <c r="AB478" i="1"/>
  <c r="AD478" s="1"/>
  <c r="X478"/>
  <c r="K1945"/>
  <c r="K1948" s="1"/>
  <c r="C379" i="55" s="1"/>
  <c r="I3566" i="1"/>
  <c r="F416" i="64"/>
  <c r="F420" s="1"/>
  <c r="D541"/>
  <c r="AD1375" i="1"/>
  <c r="AB1392"/>
  <c r="AD1392" s="1"/>
  <c r="P2981"/>
  <c r="R2981" s="1"/>
  <c r="R2986" s="1"/>
  <c r="R2988" s="1"/>
  <c r="C1111" i="55" s="1"/>
  <c r="K2974" i="1"/>
  <c r="K2979" s="1"/>
  <c r="K2981" s="1"/>
  <c r="C630" i="55" s="1"/>
  <c r="I3059" i="1"/>
  <c r="I878"/>
  <c r="C691" i="55"/>
  <c r="C359"/>
  <c r="I3921" i="1"/>
  <c r="P2094"/>
  <c r="C611" i="55"/>
  <c r="C612"/>
  <c r="I129" i="11"/>
  <c r="K109"/>
  <c r="K113" s="1"/>
  <c r="I227"/>
  <c r="X119" i="1"/>
  <c r="C580" i="55"/>
  <c r="I816" i="27"/>
  <c r="K816" s="1"/>
  <c r="I834"/>
  <c r="K834" s="1"/>
  <c r="I851"/>
  <c r="K851" s="1"/>
  <c r="C1131" i="55"/>
  <c r="L402" i="11"/>
  <c r="K403"/>
  <c r="I2671" i="27"/>
  <c r="K2671" s="1"/>
  <c r="K2674" s="1"/>
  <c r="K2676" s="1"/>
  <c r="K2269"/>
  <c r="K2272" s="1"/>
  <c r="K2274" s="1"/>
  <c r="K2414"/>
  <c r="K2416" s="1"/>
  <c r="I2422" s="1"/>
  <c r="K2422" s="1"/>
  <c r="K2433" s="1"/>
  <c r="K2435" s="1"/>
  <c r="K2928" i="1"/>
  <c r="I2947"/>
  <c r="K3194" i="27"/>
  <c r="K3195" s="1"/>
  <c r="L3195" s="1"/>
  <c r="K3209"/>
  <c r="K3210" s="1"/>
  <c r="L3210" s="1"/>
  <c r="K3220"/>
  <c r="K3221" s="1"/>
  <c r="R1428" i="1"/>
  <c r="R1438" s="1"/>
  <c r="C318" i="55" s="1"/>
  <c r="P1444" i="1"/>
  <c r="F683" i="64"/>
  <c r="F686" s="1"/>
  <c r="F1162" i="55"/>
  <c r="K1222" i="1"/>
  <c r="P1217"/>
  <c r="P1280" s="1"/>
  <c r="R1280" s="1"/>
  <c r="K2134"/>
  <c r="V313"/>
  <c r="K313"/>
  <c r="V883"/>
  <c r="K883"/>
  <c r="C694" i="55"/>
  <c r="C912"/>
  <c r="V1280" i="1"/>
  <c r="X1280" s="1"/>
  <c r="K1251"/>
  <c r="I708"/>
  <c r="K708" s="1"/>
  <c r="C277" i="55"/>
  <c r="C1152"/>
  <c r="H1152" s="1"/>
  <c r="L944" i="11"/>
  <c r="K3593" i="1"/>
  <c r="I3594" s="1"/>
  <c r="I689"/>
  <c r="K689" s="1"/>
  <c r="C272" i="55"/>
  <c r="K105" i="1"/>
  <c r="C27" i="55" s="1"/>
  <c r="C26"/>
  <c r="V3558" i="1"/>
  <c r="V3522"/>
  <c r="X3522" s="1"/>
  <c r="X3542"/>
  <c r="K859" i="11"/>
  <c r="K862" s="1"/>
  <c r="K865" s="1"/>
  <c r="C1149" i="55" s="1"/>
  <c r="H1149" s="1"/>
  <c r="L860" i="11"/>
  <c r="M858"/>
  <c r="C606" i="55"/>
  <c r="I2386" i="1"/>
  <c r="K2386" s="1"/>
  <c r="F360" i="64"/>
  <c r="F361" s="1"/>
  <c r="F364" s="1"/>
  <c r="C581" i="55"/>
  <c r="X134" i="1"/>
  <c r="M2076"/>
  <c r="R2076" s="1"/>
  <c r="F1130" i="55"/>
  <c r="K2364" i="27"/>
  <c r="I2365" s="1"/>
  <c r="I2367" s="1"/>
  <c r="K2367" s="1"/>
  <c r="K2376" s="1"/>
  <c r="K2444"/>
  <c r="K2446" s="1"/>
  <c r="R404"/>
  <c r="R406" s="1"/>
  <c r="P413" s="1"/>
  <c r="R413" s="1"/>
  <c r="R415" s="1"/>
  <c r="R417" s="1"/>
  <c r="F1128" i="55"/>
  <c r="C19"/>
  <c r="K120" i="1"/>
  <c r="K3931" i="27"/>
  <c r="I3950"/>
  <c r="K3950" s="1"/>
  <c r="I584"/>
  <c r="K584"/>
  <c r="AR48" i="64"/>
  <c r="AR49" s="1"/>
  <c r="AR52" s="1"/>
  <c r="AR53" s="1"/>
  <c r="P1614" i="1"/>
  <c r="R1614" s="1"/>
  <c r="R1619" s="1"/>
  <c r="R1621" s="1"/>
  <c r="K1613"/>
  <c r="K1618" s="1"/>
  <c r="K1620" s="1"/>
  <c r="C360" i="55" s="1"/>
  <c r="C361"/>
  <c r="C692"/>
  <c r="P1861" i="1"/>
  <c r="K1845"/>
  <c r="K1852" s="1"/>
  <c r="K1854" s="1"/>
  <c r="I1888" s="1"/>
  <c r="K2150"/>
  <c r="P2157"/>
  <c r="R2157" s="1"/>
  <c r="P2026"/>
  <c r="R2026" s="1"/>
  <c r="R2037" s="1"/>
  <c r="C889" i="55" s="1"/>
  <c r="K2026" i="1"/>
  <c r="K2034" s="1"/>
  <c r="C390" i="55" s="1"/>
  <c r="V357" i="1"/>
  <c r="K357"/>
  <c r="I612"/>
  <c r="K612"/>
  <c r="AB1265"/>
  <c r="AD1265" s="1"/>
  <c r="I1286"/>
  <c r="K1286" s="1"/>
  <c r="K1272"/>
  <c r="K538" i="11"/>
  <c r="I533" s="1"/>
  <c r="K533" s="1"/>
  <c r="K536" s="1"/>
  <c r="L536" s="1"/>
  <c r="I572"/>
  <c r="D603" i="64"/>
  <c r="F603" s="1"/>
  <c r="F540"/>
  <c r="R1445" i="1"/>
  <c r="P1462"/>
  <c r="AE3558"/>
  <c r="AG3542"/>
  <c r="K731" i="27"/>
  <c r="K733" s="1"/>
  <c r="I740"/>
  <c r="K740" s="1"/>
  <c r="K755" s="1"/>
  <c r="K757" s="1"/>
  <c r="I2938" i="1"/>
  <c r="K2938" s="1"/>
  <c r="I2929"/>
  <c r="C608" i="55"/>
  <c r="X89" i="1"/>
  <c r="K709" i="11"/>
  <c r="C719" i="55" s="1"/>
  <c r="L710" i="11"/>
  <c r="K192"/>
  <c r="C1121" i="55" s="1"/>
  <c r="L192" i="11"/>
  <c r="R3075" i="27"/>
  <c r="K636" i="11"/>
  <c r="K638" s="1"/>
  <c r="L549"/>
  <c r="K3617" i="27"/>
  <c r="K3648"/>
  <c r="K3674"/>
  <c r="I3908"/>
  <c r="I2985"/>
  <c r="K2985" s="1"/>
  <c r="K2988" s="1"/>
  <c r="I2958"/>
  <c r="K2958" s="1"/>
  <c r="K2955"/>
  <c r="I3907"/>
  <c r="K3907" s="1"/>
  <c r="K2954"/>
  <c r="I3747"/>
  <c r="K3747" s="1"/>
  <c r="K3749" s="1"/>
  <c r="K3750" s="1"/>
  <c r="K3743" s="1"/>
  <c r="K3730"/>
  <c r="K3733" s="1"/>
  <c r="K3726" s="1"/>
  <c r="K3727" s="1"/>
  <c r="M3727" s="1"/>
  <c r="K626" i="11"/>
  <c r="K628" s="1"/>
  <c r="K2290" i="1" s="1"/>
  <c r="C453" i="55" s="1"/>
  <c r="L518" i="11"/>
  <c r="L2861" i="27"/>
  <c r="K2860"/>
  <c r="L2862"/>
  <c r="K2879"/>
  <c r="K3872"/>
  <c r="K3878" s="1"/>
  <c r="K3879" s="1"/>
  <c r="K3836"/>
  <c r="K3815"/>
  <c r="L3815" s="1"/>
  <c r="L3398"/>
  <c r="L3502"/>
  <c r="K3501"/>
  <c r="I3888"/>
  <c r="K3888" s="1"/>
  <c r="K3052"/>
  <c r="H611" i="55" l="1"/>
  <c r="L611"/>
  <c r="N611"/>
  <c r="F611"/>
  <c r="P611"/>
  <c r="R611"/>
  <c r="H612"/>
  <c r="L612"/>
  <c r="N612"/>
  <c r="F612"/>
  <c r="P612"/>
  <c r="R612"/>
  <c r="N861"/>
  <c r="F861"/>
  <c r="H861"/>
  <c r="L861"/>
  <c r="P861"/>
  <c r="R861"/>
  <c r="G613" i="68"/>
  <c r="J737" i="55"/>
  <c r="K3332" i="27"/>
  <c r="K3333" s="1"/>
  <c r="L3333" s="1"/>
  <c r="K3365"/>
  <c r="K3366" s="1"/>
  <c r="P1537" i="1"/>
  <c r="R1537" s="1"/>
  <c r="V1455"/>
  <c r="R1494"/>
  <c r="AD1400"/>
  <c r="AB1417"/>
  <c r="AD1417" s="1"/>
  <c r="F589" i="25"/>
  <c r="D624"/>
  <c r="I3322" i="27"/>
  <c r="K3322" s="1"/>
  <c r="K3297"/>
  <c r="L3348"/>
  <c r="K3456"/>
  <c r="K3458" s="1"/>
  <c r="K2213" s="1"/>
  <c r="AB3622" i="1"/>
  <c r="AD3622" s="1"/>
  <c r="X3622"/>
  <c r="I3447" i="27"/>
  <c r="K3426"/>
  <c r="K3427" s="1"/>
  <c r="K3428" s="1"/>
  <c r="K3417" s="1"/>
  <c r="L3417" s="1"/>
  <c r="P1121" i="1"/>
  <c r="R1100"/>
  <c r="K3466" i="27"/>
  <c r="K3468" s="1"/>
  <c r="L3379"/>
  <c r="K2200"/>
  <c r="L3277"/>
  <c r="S609" i="55"/>
  <c r="T609" s="1"/>
  <c r="L548" i="69"/>
  <c r="K635"/>
  <c r="K637" s="1"/>
  <c r="R1498" i="1"/>
  <c r="V1459"/>
  <c r="K625" i="69"/>
  <c r="K627" s="1"/>
  <c r="L517"/>
  <c r="G1055" i="68"/>
  <c r="H903"/>
  <c r="AB1424" i="1"/>
  <c r="AD1424" s="1"/>
  <c r="AD1407"/>
  <c r="M89" i="11"/>
  <c r="R3448" i="1"/>
  <c r="I3528"/>
  <c r="K90" i="11"/>
  <c r="C710" i="55" s="1"/>
  <c r="S730"/>
  <c r="T730" s="1"/>
  <c r="S900"/>
  <c r="T900" s="1"/>
  <c r="G1054" i="68"/>
  <c r="AD1363" i="1"/>
  <c r="C316" i="55" s="1"/>
  <c r="V1460" i="1"/>
  <c r="R1499"/>
  <c r="S378" i="55"/>
  <c r="T378" s="1"/>
  <c r="S18"/>
  <c r="T18" s="1"/>
  <c r="S371"/>
  <c r="T371" s="1"/>
  <c r="S607"/>
  <c r="T607" s="1"/>
  <c r="S354"/>
  <c r="T354" s="1"/>
  <c r="S702"/>
  <c r="T702" s="1"/>
  <c r="S442"/>
  <c r="T442" s="1"/>
  <c r="S907"/>
  <c r="T907" s="1"/>
  <c r="S958"/>
  <c r="T958" s="1"/>
  <c r="S739"/>
  <c r="T739" s="1"/>
  <c r="S441"/>
  <c r="T441" s="1"/>
  <c r="J878"/>
  <c r="G881" i="68"/>
  <c r="H881" s="1"/>
  <c r="J719" i="55"/>
  <c r="G718" i="68"/>
  <c r="J692" i="55"/>
  <c r="G691" i="68"/>
  <c r="H691" s="1"/>
  <c r="J26" i="55"/>
  <c r="J694"/>
  <c r="G693" i="68"/>
  <c r="H693" s="1"/>
  <c r="J691" i="55"/>
  <c r="J389"/>
  <c r="J376"/>
  <c r="J926"/>
  <c r="J42"/>
  <c r="J50"/>
  <c r="J432"/>
  <c r="G433" i="68"/>
  <c r="H433" s="1"/>
  <c r="J453" i="55"/>
  <c r="J889"/>
  <c r="J277"/>
  <c r="J912"/>
  <c r="J318"/>
  <c r="J359"/>
  <c r="J629"/>
  <c r="J911"/>
  <c r="G914" i="68"/>
  <c r="H914" s="1"/>
  <c r="J854" i="55"/>
  <c r="J454"/>
  <c r="J722"/>
  <c r="G721" i="68"/>
  <c r="H721" s="1"/>
  <c r="J608" i="55"/>
  <c r="G609" i="68"/>
  <c r="H609" s="1"/>
  <c r="J390" i="55"/>
  <c r="J360"/>
  <c r="J19"/>
  <c r="G20" i="68"/>
  <c r="H20" s="1"/>
  <c r="J581" i="55"/>
  <c r="J272"/>
  <c r="J580"/>
  <c r="J630"/>
  <c r="J906"/>
  <c r="G909" i="68"/>
  <c r="H909" s="1"/>
  <c r="J361" i="55"/>
  <c r="J606"/>
  <c r="G607" i="68"/>
  <c r="H607" s="1"/>
  <c r="J27" i="55"/>
  <c r="J379"/>
  <c r="J888"/>
  <c r="G891" i="68"/>
  <c r="H891" s="1"/>
  <c r="J316" i="55"/>
  <c r="J748"/>
  <c r="J915"/>
  <c r="J315"/>
  <c r="J745"/>
  <c r="G744" i="68"/>
  <c r="H744" s="1"/>
  <c r="J943" i="55"/>
  <c r="J349"/>
  <c r="J859"/>
  <c r="J861"/>
  <c r="J611"/>
  <c r="J612"/>
  <c r="I3355" i="1"/>
  <c r="K3355" s="1"/>
  <c r="K3357" s="1"/>
  <c r="K3358" s="1"/>
  <c r="C1174" i="55" s="1"/>
  <c r="K3368" i="1"/>
  <c r="K3370" s="1"/>
  <c r="K3371" s="1"/>
  <c r="C1175" i="55" s="1"/>
  <c r="K3689" i="27"/>
  <c r="K3692" s="1"/>
  <c r="K3695" s="1"/>
  <c r="L3690"/>
  <c r="V732" i="1"/>
  <c r="X732" s="1"/>
  <c r="V764"/>
  <c r="X764" s="1"/>
  <c r="D44" i="50"/>
  <c r="X678" i="1"/>
  <c r="I225"/>
  <c r="K225" s="1"/>
  <c r="C166"/>
  <c r="C41" i="55" s="1"/>
  <c r="C82" i="1"/>
  <c r="I1321" s="1"/>
  <c r="K1321" s="1"/>
  <c r="K1328" s="1"/>
  <c r="K1330" s="1"/>
  <c r="I1987" s="1"/>
  <c r="K1987" s="1"/>
  <c r="AQ110"/>
  <c r="AS90"/>
  <c r="AE3562"/>
  <c r="AG3546"/>
  <c r="V379"/>
  <c r="V335"/>
  <c r="X335" s="1"/>
  <c r="V355"/>
  <c r="X355" s="1"/>
  <c r="V311"/>
  <c r="X311" s="1"/>
  <c r="P79"/>
  <c r="R79" s="1"/>
  <c r="C81"/>
  <c r="C165"/>
  <c r="C40" i="55" s="1"/>
  <c r="X3546" i="1"/>
  <c r="V3526"/>
  <c r="X3526" s="1"/>
  <c r="V3562"/>
  <c r="K158" i="11"/>
  <c r="K2268" i="1"/>
  <c r="C423" i="55" s="1"/>
  <c r="L157" i="11"/>
  <c r="C714" i="55"/>
  <c r="P1539" i="1"/>
  <c r="R1539" s="1"/>
  <c r="I39" i="25"/>
  <c r="I4025" i="1"/>
  <c r="K4010"/>
  <c r="AB3620"/>
  <c r="AD3620" s="1"/>
  <c r="X3620"/>
  <c r="R1490"/>
  <c r="V1451"/>
  <c r="I410"/>
  <c r="K410" s="1"/>
  <c r="I311"/>
  <c r="K311" s="1"/>
  <c r="I335"/>
  <c r="K335" s="1"/>
  <c r="I379"/>
  <c r="K379" s="1"/>
  <c r="I355"/>
  <c r="K355" s="1"/>
  <c r="X3556"/>
  <c r="V3572"/>
  <c r="I3323" i="27"/>
  <c r="K3323" s="1"/>
  <c r="K3324" s="1"/>
  <c r="K3318" s="1"/>
  <c r="K3319" s="1"/>
  <c r="K3298"/>
  <c r="K3299" s="1"/>
  <c r="K3291" s="1"/>
  <c r="K3293" s="1"/>
  <c r="K3294" s="1"/>
  <c r="K2204" s="1"/>
  <c r="AQ63" i="1"/>
  <c r="AS63" s="1"/>
  <c r="AQ87"/>
  <c r="AS87" s="1"/>
  <c r="AQ107"/>
  <c r="AS107" s="1"/>
  <c r="AU107" s="1"/>
  <c r="AV107" s="1"/>
  <c r="AQ163"/>
  <c r="AQ132"/>
  <c r="AS132" s="1"/>
  <c r="AU132" s="1"/>
  <c r="AV132" s="1"/>
  <c r="F44" i="32"/>
  <c r="H44" s="1"/>
  <c r="D107"/>
  <c r="F107" s="1"/>
  <c r="K3057" i="27"/>
  <c r="I3892"/>
  <c r="K3892" s="1"/>
  <c r="K3898" s="1"/>
  <c r="K3899" s="1"/>
  <c r="AG3556" i="1"/>
  <c r="V3619"/>
  <c r="AD1374"/>
  <c r="AB1391"/>
  <c r="AD1391" s="1"/>
  <c r="AC29"/>
  <c r="C91" s="1"/>
  <c r="Z34"/>
  <c r="AC34" s="1"/>
  <c r="C77" s="1"/>
  <c r="I444" s="1"/>
  <c r="K444" s="1"/>
  <c r="AE388"/>
  <c r="AE335"/>
  <c r="AG335" s="1"/>
  <c r="AE311"/>
  <c r="AG311" s="1"/>
  <c r="AE364"/>
  <c r="AG364" s="1"/>
  <c r="F103" i="25"/>
  <c r="N1121" i="55"/>
  <c r="L1121"/>
  <c r="R1121"/>
  <c r="N1120"/>
  <c r="L1120"/>
  <c r="R1120"/>
  <c r="R1080"/>
  <c r="H1131"/>
  <c r="N1131"/>
  <c r="L1131"/>
  <c r="R1131"/>
  <c r="R1081"/>
  <c r="R1110"/>
  <c r="I4012" i="1"/>
  <c r="K3996"/>
  <c r="K3998" s="1"/>
  <c r="K3999" s="1"/>
  <c r="R1111" i="55"/>
  <c r="AD1378" i="1"/>
  <c r="AB1395"/>
  <c r="AD1395" s="1"/>
  <c r="F1110" i="55"/>
  <c r="F1121"/>
  <c r="H1121"/>
  <c r="F1111"/>
  <c r="F1120"/>
  <c r="H1120"/>
  <c r="F1080"/>
  <c r="F1081"/>
  <c r="S33" i="11"/>
  <c r="R32"/>
  <c r="R65"/>
  <c r="S67"/>
  <c r="T65"/>
  <c r="T64" s="1"/>
  <c r="K3187" i="1"/>
  <c r="K3188" s="1"/>
  <c r="C1167" i="55" s="1"/>
  <c r="H116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8" i="11"/>
  <c r="C1157" i="55" s="1"/>
  <c r="H1157" s="1"/>
  <c r="L1079" i="11"/>
  <c r="M1078"/>
  <c r="C579" i="55"/>
  <c r="K617" i="11"/>
  <c r="I657"/>
  <c r="K657" s="1"/>
  <c r="AD1402" i="1"/>
  <c r="AB1419"/>
  <c r="AD1419" s="1"/>
  <c r="P2890" i="27"/>
  <c r="R2890" s="1"/>
  <c r="R2895" s="1"/>
  <c r="R2857"/>
  <c r="R2862" s="1"/>
  <c r="J664" i="1"/>
  <c r="W488"/>
  <c r="AC488" s="1"/>
  <c r="K1651"/>
  <c r="K1653" s="1"/>
  <c r="C363" i="55" s="1"/>
  <c r="I2940" i="27"/>
  <c r="K2916"/>
  <c r="K2920" s="1"/>
  <c r="I3039"/>
  <c r="K3039" s="1"/>
  <c r="K3043" s="1"/>
  <c r="L2977"/>
  <c r="K2189"/>
  <c r="I3978" i="1"/>
  <c r="K3978" s="1"/>
  <c r="K3961"/>
  <c r="P1495"/>
  <c r="R1464"/>
  <c r="V1425"/>
  <c r="X1425" s="1"/>
  <c r="I2691" i="27"/>
  <c r="K2691" s="1"/>
  <c r="K2696" s="1"/>
  <c r="K2613"/>
  <c r="K2620" s="1"/>
  <c r="F622" i="25"/>
  <c r="D658"/>
  <c r="W539" i="1"/>
  <c r="AC539" s="1"/>
  <c r="AJ539" s="1"/>
  <c r="J540"/>
  <c r="I1154" i="11"/>
  <c r="K1154" s="1"/>
  <c r="I1175"/>
  <c r="K1142"/>
  <c r="K213"/>
  <c r="C1122" i="55" s="1"/>
  <c r="L213" i="11"/>
  <c r="I1636" i="27"/>
  <c r="K1636" s="1"/>
  <c r="K1642" s="1"/>
  <c r="K1644" s="1"/>
  <c r="P604"/>
  <c r="R604" s="1"/>
  <c r="I209"/>
  <c r="K209" s="1"/>
  <c r="K216" s="1"/>
  <c r="K218" s="1"/>
  <c r="I269"/>
  <c r="K269" s="1"/>
  <c r="K277" s="1"/>
  <c r="K279" s="1"/>
  <c r="P65"/>
  <c r="R65" s="1"/>
  <c r="R72" s="1"/>
  <c r="R74" s="1"/>
  <c r="P631" s="1"/>
  <c r="R631" s="1"/>
  <c r="R642" s="1"/>
  <c r="I771"/>
  <c r="K771" s="1"/>
  <c r="K779" s="1"/>
  <c r="K781" s="1"/>
  <c r="AD1248" i="1"/>
  <c r="AB1220"/>
  <c r="AD1220" s="1"/>
  <c r="K3615" i="27"/>
  <c r="I3646"/>
  <c r="K3646" s="1"/>
  <c r="K616" i="11"/>
  <c r="I656"/>
  <c r="K656" s="1"/>
  <c r="K658" s="1"/>
  <c r="K659" s="1"/>
  <c r="K649" s="1"/>
  <c r="C855" i="55"/>
  <c r="K2583" i="1"/>
  <c r="C862" i="55"/>
  <c r="H3853" i="1"/>
  <c r="K2608"/>
  <c r="K2612" s="1"/>
  <c r="K2615" s="1"/>
  <c r="M2615" s="1"/>
  <c r="L29" i="11"/>
  <c r="K29"/>
  <c r="K48"/>
  <c r="R788"/>
  <c r="R790" s="1"/>
  <c r="P806" s="1"/>
  <c r="P788"/>
  <c r="AD1368" i="1"/>
  <c r="AB1385"/>
  <c r="AD1385" s="1"/>
  <c r="C863" i="55"/>
  <c r="X3164" i="1"/>
  <c r="D553" i="25"/>
  <c r="S816" i="11"/>
  <c r="C951" i="55"/>
  <c r="I3663" i="27"/>
  <c r="K3663" s="1"/>
  <c r="I3673"/>
  <c r="K3673" s="1"/>
  <c r="C436" i="55"/>
  <c r="K2281" i="1"/>
  <c r="R955"/>
  <c r="R957" s="1"/>
  <c r="R1057"/>
  <c r="R1059" s="1"/>
  <c r="F120" i="25"/>
  <c r="D147"/>
  <c r="AB1411" i="1"/>
  <c r="X1413"/>
  <c r="R1477"/>
  <c r="V1438"/>
  <c r="P1484"/>
  <c r="R1500"/>
  <c r="V1461"/>
  <c r="P2669"/>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K3226" s="1"/>
  <c r="F1168" i="55"/>
  <c r="R1266" i="1"/>
  <c r="P1382"/>
  <c r="R1382" s="1"/>
  <c r="P1243"/>
  <c r="R1243" s="1"/>
  <c r="V1246"/>
  <c r="X1301"/>
  <c r="V1321"/>
  <c r="X1321" s="1"/>
  <c r="AD1247"/>
  <c r="AB1219"/>
  <c r="AD1219" s="1"/>
  <c r="K3242"/>
  <c r="I3267"/>
  <c r="K3267" s="1"/>
  <c r="F1169" i="55"/>
  <c r="P1242" i="1"/>
  <c r="R1242" s="1"/>
  <c r="V1245"/>
  <c r="R1265"/>
  <c r="P1381"/>
  <c r="R1381" s="1"/>
  <c r="X1240"/>
  <c r="AB1245"/>
  <c r="AB1252"/>
  <c r="X1247"/>
  <c r="AB1246"/>
  <c r="X1241"/>
  <c r="F122" i="25"/>
  <c r="D149"/>
  <c r="X3586" i="1"/>
  <c r="V3603"/>
  <c r="X3689"/>
  <c r="X3695" s="1"/>
  <c r="X3696" s="1"/>
  <c r="C944" i="55" s="1"/>
  <c r="V706" i="1"/>
  <c r="D42" i="32" s="1"/>
  <c r="I255" i="1"/>
  <c r="K255" s="1"/>
  <c r="K259" s="1"/>
  <c r="K261" s="1"/>
  <c r="C51" i="55" s="1"/>
  <c r="C79" i="1"/>
  <c r="I36"/>
  <c r="C78"/>
  <c r="I3504"/>
  <c r="R1142"/>
  <c r="P1173"/>
  <c r="R1173" s="1"/>
  <c r="X771"/>
  <c r="X801"/>
  <c r="V816"/>
  <c r="X816" s="1"/>
  <c r="Z15"/>
  <c r="AC14"/>
  <c r="I2897"/>
  <c r="K2897" s="1"/>
  <c r="K503"/>
  <c r="K1310"/>
  <c r="K1312" s="1"/>
  <c r="C336" i="55" s="1"/>
  <c r="D170" i="25"/>
  <c r="F170" s="1"/>
  <c r="F148"/>
  <c r="V3621" i="1"/>
  <c r="AG3558"/>
  <c r="P1892"/>
  <c r="R1861"/>
  <c r="R1868" s="1"/>
  <c r="R1870" s="1"/>
  <c r="P1879" s="1"/>
  <c r="R1879" s="1"/>
  <c r="R1881" s="1"/>
  <c r="X3558"/>
  <c r="V3574"/>
  <c r="P1259"/>
  <c r="R1217"/>
  <c r="T1217" s="1"/>
  <c r="P1461"/>
  <c r="R1444"/>
  <c r="R1454" s="1"/>
  <c r="R1455" s="1"/>
  <c r="C788" i="55" s="1"/>
  <c r="R2094" i="1"/>
  <c r="P2100"/>
  <c r="V878"/>
  <c r="K878"/>
  <c r="I894"/>
  <c r="K894" s="1"/>
  <c r="I860"/>
  <c r="F541" i="64"/>
  <c r="F545" s="1"/>
  <c r="D604"/>
  <c r="F604" s="1"/>
  <c r="F608" s="1"/>
  <c r="AE337" i="1"/>
  <c r="AG337" s="1"/>
  <c r="X337"/>
  <c r="K2196" i="27"/>
  <c r="L3154"/>
  <c r="C673" i="55"/>
  <c r="X591" i="1"/>
  <c r="K2398"/>
  <c r="K2403" s="1"/>
  <c r="C385" i="55" s="1"/>
  <c r="I2410" i="1"/>
  <c r="C610" i="55"/>
  <c r="I1897" i="1"/>
  <c r="K1897" s="1"/>
  <c r="K1899" s="1"/>
  <c r="C913" i="55" s="1"/>
  <c r="K1888" i="1"/>
  <c r="K1890" s="1"/>
  <c r="C278" i="55"/>
  <c r="I709" i="1"/>
  <c r="K709" s="1"/>
  <c r="X883"/>
  <c r="V899"/>
  <c r="X899" s="1"/>
  <c r="K2451" i="27"/>
  <c r="K2448"/>
  <c r="I1092" i="11"/>
  <c r="K1092" s="1"/>
  <c r="K1096" s="1"/>
  <c r="K129"/>
  <c r="K133" s="1"/>
  <c r="P3066" i="1"/>
  <c r="R3066" s="1"/>
  <c r="R3071" s="1"/>
  <c r="R3073" s="1"/>
  <c r="C1114" i="55" s="1"/>
  <c r="K3059" i="1"/>
  <c r="K3064" s="1"/>
  <c r="K3066" s="1"/>
  <c r="C1113" i="55" s="1"/>
  <c r="I3078" i="1"/>
  <c r="K3078" s="1"/>
  <c r="K3083" s="1"/>
  <c r="K3085" s="1"/>
  <c r="C1112" i="55" s="1"/>
  <c r="P3569" i="1"/>
  <c r="R3569" s="1"/>
  <c r="R3572" s="1"/>
  <c r="C696" i="55" s="1"/>
  <c r="K3566" i="1"/>
  <c r="K3569" s="1"/>
  <c r="V412"/>
  <c r="X412" s="1"/>
  <c r="AE390"/>
  <c r="X381"/>
  <c r="AB1387"/>
  <c r="AD1387" s="1"/>
  <c r="AD1370"/>
  <c r="K3446" i="27"/>
  <c r="I3486"/>
  <c r="K3486" s="1"/>
  <c r="AB1404" i="1"/>
  <c r="X1406"/>
  <c r="AB1190"/>
  <c r="R1334"/>
  <c r="V1300"/>
  <c r="AB553"/>
  <c r="AD553" s="1"/>
  <c r="AD529"/>
  <c r="AI529"/>
  <c r="C679" i="55"/>
  <c r="I613" i="1"/>
  <c r="C258" i="55"/>
  <c r="K613" i="1"/>
  <c r="C273" i="55"/>
  <c r="I690" i="1"/>
  <c r="K690" s="1"/>
  <c r="C274" i="55" s="1"/>
  <c r="K3594" i="1"/>
  <c r="I3595" s="1"/>
  <c r="K2199" i="27"/>
  <c r="K3229"/>
  <c r="K3233" s="1"/>
  <c r="K2198" s="1"/>
  <c r="L3221"/>
  <c r="K114" i="11"/>
  <c r="L114"/>
  <c r="X395" i="1"/>
  <c r="V427"/>
  <c r="X427" s="1"/>
  <c r="K3926"/>
  <c r="I3944"/>
  <c r="AB1425"/>
  <c r="AD1425" s="1"/>
  <c r="AD1408"/>
  <c r="X1389"/>
  <c r="X1399" s="1"/>
  <c r="C309" i="55" s="1"/>
  <c r="V1405" i="1"/>
  <c r="K2929"/>
  <c r="I2948"/>
  <c r="P1493"/>
  <c r="P1476"/>
  <c r="R1462"/>
  <c r="K572" i="11"/>
  <c r="I567" s="1"/>
  <c r="I591"/>
  <c r="AE366" i="1"/>
  <c r="AG366" s="1"/>
  <c r="X357"/>
  <c r="K2154"/>
  <c r="K585" i="27"/>
  <c r="I585"/>
  <c r="C20" i="55"/>
  <c r="K121" i="1"/>
  <c r="C21" i="55" s="1"/>
  <c r="I2380" i="27"/>
  <c r="I2382" s="1"/>
  <c r="I2383" s="1"/>
  <c r="I2355" s="1"/>
  <c r="K2355" s="1"/>
  <c r="I2377"/>
  <c r="F1149" i="55"/>
  <c r="F1152"/>
  <c r="AE313" i="1"/>
  <c r="X313"/>
  <c r="AQ65"/>
  <c r="I2956"/>
  <c r="K2956" s="1"/>
  <c r="K2947"/>
  <c r="F1131" i="55"/>
  <c r="I243" i="11"/>
  <c r="K227"/>
  <c r="K231" s="1"/>
  <c r="I3939" i="1"/>
  <c r="K3921"/>
  <c r="F421" i="64"/>
  <c r="F422" s="1"/>
  <c r="F425" s="1"/>
  <c r="V3162" i="1"/>
  <c r="X3137"/>
  <c r="C252" i="55"/>
  <c r="I591" i="1"/>
  <c r="K591" s="1"/>
  <c r="C667" i="55"/>
  <c r="L2988" i="27"/>
  <c r="K2191"/>
  <c r="C1108" i="55"/>
  <c r="C743"/>
  <c r="L638" i="11"/>
  <c r="K3848" i="27"/>
  <c r="K3856" s="1"/>
  <c r="K3857" s="1"/>
  <c r="K3840"/>
  <c r="K3841" s="1"/>
  <c r="K3761"/>
  <c r="K3762" s="1"/>
  <c r="K3744"/>
  <c r="K3908"/>
  <c r="I3911"/>
  <c r="K3911" s="1"/>
  <c r="K2890"/>
  <c r="K2898" s="1"/>
  <c r="K2883"/>
  <c r="M3398"/>
  <c r="K2184"/>
  <c r="L610" i="55" l="1"/>
  <c r="N610"/>
  <c r="H610"/>
  <c r="F610"/>
  <c r="P610"/>
  <c r="R610"/>
  <c r="L862"/>
  <c r="N862"/>
  <c r="H862"/>
  <c r="F862"/>
  <c r="P862"/>
  <c r="R862"/>
  <c r="H863"/>
  <c r="L863"/>
  <c r="N863"/>
  <c r="F863"/>
  <c r="P863"/>
  <c r="R863"/>
  <c r="H718" i="68"/>
  <c r="G291"/>
  <c r="G337"/>
  <c r="G666"/>
  <c r="G672"/>
  <c r="G424"/>
  <c r="K3447" i="27"/>
  <c r="I3487"/>
  <c r="K3487" s="1"/>
  <c r="AB1453" i="1"/>
  <c r="AD1453" s="1"/>
  <c r="X1455"/>
  <c r="K3488" i="27"/>
  <c r="K3489" s="1"/>
  <c r="K3479" s="1"/>
  <c r="S888" i="55"/>
  <c r="T888" s="1"/>
  <c r="S606"/>
  <c r="T606" s="1"/>
  <c r="P2831" i="1"/>
  <c r="I2824"/>
  <c r="R1121"/>
  <c r="K3448" i="27"/>
  <c r="K3449" s="1"/>
  <c r="K3439" s="1"/>
  <c r="K3441" s="1"/>
  <c r="K2210" s="1"/>
  <c r="F624" i="25"/>
  <c r="D660"/>
  <c r="H1055" i="68"/>
  <c r="P1987" i="1"/>
  <c r="R1987" s="1"/>
  <c r="I3544"/>
  <c r="P3532"/>
  <c r="R3532" s="1"/>
  <c r="R3536" s="1"/>
  <c r="R3537" s="1"/>
  <c r="K3528"/>
  <c r="K3532" s="1"/>
  <c r="K3533" s="1"/>
  <c r="C830" i="55" s="1"/>
  <c r="X1459" i="1"/>
  <c r="AB1457"/>
  <c r="AD1457" s="1"/>
  <c r="AD1380"/>
  <c r="C314" i="55" s="1"/>
  <c r="C337"/>
  <c r="X1460" i="1"/>
  <c r="AB1458"/>
  <c r="AD1458" s="1"/>
  <c r="K2264"/>
  <c r="C419" i="55" s="1"/>
  <c r="H1054" i="68"/>
  <c r="H613"/>
  <c r="S608" i="55"/>
  <c r="T608" s="1"/>
  <c r="S911"/>
  <c r="T911" s="1"/>
  <c r="S906"/>
  <c r="T906" s="1"/>
  <c r="S432"/>
  <c r="T432" s="1"/>
  <c r="S719"/>
  <c r="T719" s="1"/>
  <c r="S878"/>
  <c r="T878" s="1"/>
  <c r="S745"/>
  <c r="T745" s="1"/>
  <c r="S19"/>
  <c r="T19" s="1"/>
  <c r="S722"/>
  <c r="T722" s="1"/>
  <c r="S692"/>
  <c r="T692" s="1"/>
  <c r="S612"/>
  <c r="T612" s="1"/>
  <c r="S694"/>
  <c r="T694" s="1"/>
  <c r="S912"/>
  <c r="T912" s="1"/>
  <c r="C879"/>
  <c r="J913"/>
  <c r="G916" i="68"/>
  <c r="J20" i="55"/>
  <c r="J743"/>
  <c r="G742" i="68"/>
  <c r="J667" i="55"/>
  <c r="J21"/>
  <c r="J696"/>
  <c r="G695" i="68"/>
  <c r="H695" s="1"/>
  <c r="J385" i="55"/>
  <c r="J944"/>
  <c r="J710"/>
  <c r="J951"/>
  <c r="G954" i="68"/>
  <c r="J423" i="55"/>
  <c r="J309"/>
  <c r="J273"/>
  <c r="J679"/>
  <c r="J278"/>
  <c r="J788"/>
  <c r="J336"/>
  <c r="J447"/>
  <c r="J579"/>
  <c r="J252"/>
  <c r="J274"/>
  <c r="J314"/>
  <c r="J673"/>
  <c r="J290"/>
  <c r="J855"/>
  <c r="J363"/>
  <c r="J714"/>
  <c r="J41"/>
  <c r="J258"/>
  <c r="J51"/>
  <c r="J436"/>
  <c r="G437" i="68"/>
  <c r="H437" s="1"/>
  <c r="J40" i="55"/>
  <c r="J610"/>
  <c r="J863"/>
  <c r="J862"/>
  <c r="H1174"/>
  <c r="F1174"/>
  <c r="H1175"/>
  <c r="F1175"/>
  <c r="AG3562" i="1"/>
  <c r="V3625"/>
  <c r="X3572"/>
  <c r="V3587"/>
  <c r="K4025"/>
  <c r="I4036"/>
  <c r="K4036" s="1"/>
  <c r="X3562"/>
  <c r="V3578"/>
  <c r="P50"/>
  <c r="R50" s="1"/>
  <c r="P641"/>
  <c r="R641" s="1"/>
  <c r="R645" s="1"/>
  <c r="D107" i="50"/>
  <c r="F107" s="1"/>
  <c r="F44"/>
  <c r="AB3619" i="1"/>
  <c r="AD3619" s="1"/>
  <c r="X3619"/>
  <c r="L3319" i="27"/>
  <c r="K2209"/>
  <c r="X1451" i="1"/>
  <c r="AB1449"/>
  <c r="AD1449" s="1"/>
  <c r="V410"/>
  <c r="X410" s="1"/>
  <c r="X379"/>
  <c r="AS110"/>
  <c r="AU110" s="1"/>
  <c r="AV110" s="1"/>
  <c r="AQ135"/>
  <c r="AE424"/>
  <c r="AG424" s="1"/>
  <c r="AG388"/>
  <c r="AQ195"/>
  <c r="AS195" s="1"/>
  <c r="AU195" s="1"/>
  <c r="AV195" s="1"/>
  <c r="AS163"/>
  <c r="AU163" s="1"/>
  <c r="AV163" s="1"/>
  <c r="R1108" i="55"/>
  <c r="N1122"/>
  <c r="L1122"/>
  <c r="R1122"/>
  <c r="R1114"/>
  <c r="I41" i="25"/>
  <c r="I4027" i="1"/>
  <c r="K4012"/>
  <c r="K4014" s="1"/>
  <c r="K4015" s="1"/>
  <c r="R1113" i="55"/>
  <c r="R1112"/>
  <c r="F1113"/>
  <c r="F1112"/>
  <c r="F1122"/>
  <c r="H1122"/>
  <c r="F1108"/>
  <c r="F1114"/>
  <c r="F1167"/>
  <c r="I1190" i="11"/>
  <c r="K1190" s="1"/>
  <c r="K1175"/>
  <c r="F658" i="25"/>
  <c r="D694"/>
  <c r="F694" s="1"/>
  <c r="R1495" i="1"/>
  <c r="V1456"/>
  <c r="I2960" i="27"/>
  <c r="K2940"/>
  <c r="K2944" s="1"/>
  <c r="I3058"/>
  <c r="R1496" i="1"/>
  <c r="V1457"/>
  <c r="AC1205"/>
  <c r="AJ1204"/>
  <c r="W564"/>
  <c r="AC564" s="1"/>
  <c r="AJ564" s="1"/>
  <c r="J563"/>
  <c r="M3024" i="27"/>
  <c r="K3023"/>
  <c r="N3023"/>
  <c r="J541" i="1"/>
  <c r="W540"/>
  <c r="AC540" s="1"/>
  <c r="AJ540" s="1"/>
  <c r="L3045" i="27"/>
  <c r="K3044"/>
  <c r="W489" i="1"/>
  <c r="AC489" s="1"/>
  <c r="J665"/>
  <c r="F1157" i="55"/>
  <c r="AS111" i="1"/>
  <c r="AU111" s="1"/>
  <c r="AV111" s="1"/>
  <c r="AQ136"/>
  <c r="S2897" i="27"/>
  <c r="R2896"/>
  <c r="K3099"/>
  <c r="P3072"/>
  <c r="R3072" s="1"/>
  <c r="V3605" i="1"/>
  <c r="X3605" s="1"/>
  <c r="X3588"/>
  <c r="AD1397"/>
  <c r="C317" i="55" s="1"/>
  <c r="F125" i="25"/>
  <c r="D115" s="1"/>
  <c r="F115" s="1"/>
  <c r="K618" i="11"/>
  <c r="K619" s="1"/>
  <c r="K609" s="1"/>
  <c r="L2926" i="27"/>
  <c r="K2921"/>
  <c r="R2863"/>
  <c r="T2864"/>
  <c r="D87" i="25"/>
  <c r="F86"/>
  <c r="F621"/>
  <c r="D657"/>
  <c r="C707" i="55"/>
  <c r="K2261" i="1"/>
  <c r="C416" i="55" s="1"/>
  <c r="I608" i="27"/>
  <c r="K608" s="1"/>
  <c r="K612" s="1"/>
  <c r="K614" s="1"/>
  <c r="K284"/>
  <c r="K286" s="1"/>
  <c r="K287" s="1"/>
  <c r="K288" s="1"/>
  <c r="K289" s="1"/>
  <c r="K290" s="1"/>
  <c r="P634"/>
  <c r="R634" s="1"/>
  <c r="X3621" i="1"/>
  <c r="AB3621"/>
  <c r="AD3621" s="1"/>
  <c r="D590" i="25"/>
  <c r="F553"/>
  <c r="J3853" i="1"/>
  <c r="J3857" s="1"/>
  <c r="J3859" s="1"/>
  <c r="H3874"/>
  <c r="K785" i="27"/>
  <c r="K788" s="1"/>
  <c r="K789" s="1"/>
  <c r="K790" s="1"/>
  <c r="K791" s="1"/>
  <c r="K792" s="1"/>
  <c r="I833"/>
  <c r="K833" s="1"/>
  <c r="K846" s="1"/>
  <c r="I815"/>
  <c r="K815" s="1"/>
  <c r="K827" s="1"/>
  <c r="I850"/>
  <c r="K850" s="1"/>
  <c r="K863" s="1"/>
  <c r="W806" i="11"/>
  <c r="R806"/>
  <c r="R808" s="1"/>
  <c r="C960" i="55" s="1"/>
  <c r="K52" i="11"/>
  <c r="K59"/>
  <c r="K67" s="1"/>
  <c r="I1662" i="27"/>
  <c r="K1662" s="1"/>
  <c r="K1665" s="1"/>
  <c r="K1667" s="1"/>
  <c r="I1672" s="1"/>
  <c r="K1672" s="1"/>
  <c r="K1675" s="1"/>
  <c r="K1677" s="1"/>
  <c r="I2465"/>
  <c r="K2465" s="1"/>
  <c r="K2472" s="1"/>
  <c r="K2474" s="1"/>
  <c r="I1651"/>
  <c r="K1651" s="1"/>
  <c r="K1656" s="1"/>
  <c r="K1658" s="1"/>
  <c r="I2306"/>
  <c r="K2306" s="1"/>
  <c r="K2313" s="1"/>
  <c r="K2316" s="1"/>
  <c r="X706" i="1"/>
  <c r="Z706" s="1"/>
  <c r="V676"/>
  <c r="X676" s="1"/>
  <c r="F147" i="25"/>
  <c r="D169"/>
  <c r="F169" s="1"/>
  <c r="V1445" i="1"/>
  <c r="R1484"/>
  <c r="AD1411"/>
  <c r="AB1428"/>
  <c r="AD1428" s="1"/>
  <c r="X1461"/>
  <c r="AB1459"/>
  <c r="AD1459" s="1"/>
  <c r="AB1436"/>
  <c r="AD1436" s="1"/>
  <c r="X1438"/>
  <c r="V3247"/>
  <c r="X3247" s="1"/>
  <c r="P3360"/>
  <c r="R3360" s="1"/>
  <c r="R3291"/>
  <c r="P3394"/>
  <c r="R3394" s="1"/>
  <c r="AE2787"/>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C711" i="55"/>
  <c r="K2265" i="1"/>
  <c r="C420" i="55" s="1"/>
  <c r="P2822" i="1"/>
  <c r="K2815"/>
  <c r="I3479"/>
  <c r="K3479" s="1"/>
  <c r="P1064"/>
  <c r="R1064" s="1"/>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I1017"/>
  <c r="I952"/>
  <c r="K952" s="1"/>
  <c r="I987"/>
  <c r="K987" s="1"/>
  <c r="P3292"/>
  <c r="P3222"/>
  <c r="P3258"/>
  <c r="R3258" s="1"/>
  <c r="R3270" s="1"/>
  <c r="R3272" s="1"/>
  <c r="C1097" i="55" s="1"/>
  <c r="R3189" i="1"/>
  <c r="R3201" s="1"/>
  <c r="R3203" s="1"/>
  <c r="C643" i="55" s="1"/>
  <c r="AB1218" i="1"/>
  <c r="AD1246"/>
  <c r="V3618"/>
  <c r="X3603"/>
  <c r="AD1245"/>
  <c r="AB1217"/>
  <c r="AD1217" s="1"/>
  <c r="L3208"/>
  <c r="L3211" s="1"/>
  <c r="K3245"/>
  <c r="K3247" s="1"/>
  <c r="C1170" i="55" s="1"/>
  <c r="H1170" s="1"/>
  <c r="K3214" i="1"/>
  <c r="K3216" s="1"/>
  <c r="C1171" i="55" s="1"/>
  <c r="H1171" s="1"/>
  <c r="L3177" i="1"/>
  <c r="L3180" s="1"/>
  <c r="L3182" s="1"/>
  <c r="AB1224"/>
  <c r="AD1224" s="1"/>
  <c r="AD1252"/>
  <c r="X1245"/>
  <c r="AB1250"/>
  <c r="K3273"/>
  <c r="K3275" s="1"/>
  <c r="C1173" i="55" s="1"/>
  <c r="H1173" s="1"/>
  <c r="L3233" i="1"/>
  <c r="L3239" s="1"/>
  <c r="L3241" s="1"/>
  <c r="L3192"/>
  <c r="L3195" s="1"/>
  <c r="L3197" s="1"/>
  <c r="K3229"/>
  <c r="K3231" s="1"/>
  <c r="C1172" i="55" s="1"/>
  <c r="H1172" s="1"/>
  <c r="F149" i="25"/>
  <c r="D171"/>
  <c r="F171" s="1"/>
  <c r="AB1251" i="1"/>
  <c r="X1246"/>
  <c r="AS137"/>
  <c r="AU137" s="1"/>
  <c r="AV137" s="1"/>
  <c r="AQ168"/>
  <c r="AS168" s="1"/>
  <c r="AU168" s="1"/>
  <c r="AV168" s="1"/>
  <c r="R2100"/>
  <c r="P2107"/>
  <c r="K3504"/>
  <c r="P22"/>
  <c r="I152"/>
  <c r="K152" s="1"/>
  <c r="K161" s="1"/>
  <c r="C39" i="55" s="1"/>
  <c r="P627" i="1"/>
  <c r="R627" s="1"/>
  <c r="I140"/>
  <c r="K36"/>
  <c r="K40" s="1"/>
  <c r="I45"/>
  <c r="I19"/>
  <c r="I2148"/>
  <c r="I272"/>
  <c r="K272" s="1"/>
  <c r="I54"/>
  <c r="I1753"/>
  <c r="K1753" s="1"/>
  <c r="K1760" s="1"/>
  <c r="K1762" s="1"/>
  <c r="C370" i="55" s="1"/>
  <c r="I505" i="1"/>
  <c r="I73"/>
  <c r="K73" s="1"/>
  <c r="K77" s="1"/>
  <c r="I2128"/>
  <c r="K2128" s="1"/>
  <c r="K2136" s="1"/>
  <c r="K2138" s="1"/>
  <c r="C403" i="55" s="1"/>
  <c r="I809" i="1"/>
  <c r="P10"/>
  <c r="R10" s="1"/>
  <c r="R14" s="1"/>
  <c r="I10"/>
  <c r="P1143"/>
  <c r="I28"/>
  <c r="I64"/>
  <c r="K64" s="1"/>
  <c r="K68" s="1"/>
  <c r="F42" i="32"/>
  <c r="H42" s="1"/>
  <c r="D105"/>
  <c r="F105" s="1"/>
  <c r="V800" i="1"/>
  <c r="C73"/>
  <c r="V705"/>
  <c r="I175"/>
  <c r="K175" s="1"/>
  <c r="K179" s="1"/>
  <c r="C44" i="55" s="1"/>
  <c r="D42" i="50"/>
  <c r="V762" i="1"/>
  <c r="X762" s="1"/>
  <c r="V730"/>
  <c r="X730" s="1"/>
  <c r="AC15"/>
  <c r="I3502"/>
  <c r="I3500"/>
  <c r="X3162"/>
  <c r="D551" i="25"/>
  <c r="I3955" i="1"/>
  <c r="K3939"/>
  <c r="P1536"/>
  <c r="R1536" s="1"/>
  <c r="R1543" s="1"/>
  <c r="R1545" s="1"/>
  <c r="V1454"/>
  <c r="R1493"/>
  <c r="F546" i="64"/>
  <c r="F549" s="1"/>
  <c r="AB1403" i="1"/>
  <c r="X1405"/>
  <c r="X1415" s="1"/>
  <c r="V1320"/>
  <c r="X1320" s="1"/>
  <c r="X1300"/>
  <c r="AD1404"/>
  <c r="AB1421"/>
  <c r="AD1421" s="1"/>
  <c r="K1097" i="11"/>
  <c r="M1097"/>
  <c r="L1098"/>
  <c r="I2468" i="27"/>
  <c r="K2468" s="1"/>
  <c r="I2311"/>
  <c r="K2311" s="1"/>
  <c r="I710" i="1"/>
  <c r="K710" s="1"/>
  <c r="C280" i="55" s="1"/>
  <c r="C279"/>
  <c r="C375"/>
  <c r="C910"/>
  <c r="K2410" i="1"/>
  <c r="K2415" s="1"/>
  <c r="C386" i="55" s="1"/>
  <c r="I2443" i="1"/>
  <c r="K2443" s="1"/>
  <c r="X3574"/>
  <c r="V3589"/>
  <c r="R1892"/>
  <c r="R1899" s="1"/>
  <c r="R1901" s="1"/>
  <c r="P1910" s="1"/>
  <c r="R1910" s="1"/>
  <c r="R1912" s="1"/>
  <c r="C735" i="55" s="1"/>
  <c r="AS65" i="1"/>
  <c r="AQ89"/>
  <c r="K567" i="11"/>
  <c r="I3396" i="27"/>
  <c r="R1476" i="1"/>
  <c r="R1478" s="1"/>
  <c r="R1479" s="1"/>
  <c r="V1437"/>
  <c r="P1483"/>
  <c r="K3944"/>
  <c r="I3960"/>
  <c r="K134" i="11"/>
  <c r="L134"/>
  <c r="V860" i="1"/>
  <c r="X860" s="1"/>
  <c r="P853"/>
  <c r="R853" s="1"/>
  <c r="K860"/>
  <c r="I3300"/>
  <c r="K3300" s="1"/>
  <c r="R1259"/>
  <c r="P1236"/>
  <c r="R1236" s="1"/>
  <c r="V1239"/>
  <c r="I1115" i="11"/>
  <c r="K1115" s="1"/>
  <c r="K1118" s="1"/>
  <c r="K1120" s="1"/>
  <c r="K243"/>
  <c r="K246" s="1"/>
  <c r="I269"/>
  <c r="K591"/>
  <c r="I586" s="1"/>
  <c r="K586" s="1"/>
  <c r="I613"/>
  <c r="K3595" i="1"/>
  <c r="C680" i="55"/>
  <c r="K614" i="1"/>
  <c r="I614"/>
  <c r="C259" i="55"/>
  <c r="AD1190" i="1"/>
  <c r="AI1190"/>
  <c r="AK1190" s="1"/>
  <c r="AG390"/>
  <c r="AE426"/>
  <c r="AQ390"/>
  <c r="AS390" s="1"/>
  <c r="AE404"/>
  <c r="AG404" s="1"/>
  <c r="X592"/>
  <c r="C675" i="55" s="1"/>
  <c r="C674"/>
  <c r="X878" i="1"/>
  <c r="V894"/>
  <c r="X894" s="1"/>
  <c r="I592"/>
  <c r="K592" s="1"/>
  <c r="C668" i="55"/>
  <c r="C253"/>
  <c r="K232" i="11"/>
  <c r="C1123" i="55" s="1"/>
  <c r="L232" i="11"/>
  <c r="AG313" i="1"/>
  <c r="I2396" i="27"/>
  <c r="I2395"/>
  <c r="I2378"/>
  <c r="K2378" s="1"/>
  <c r="I2354" s="1"/>
  <c r="K2354" s="1"/>
  <c r="K2356" s="1"/>
  <c r="K2357" s="1"/>
  <c r="I586"/>
  <c r="K586"/>
  <c r="I2957" i="1"/>
  <c r="K2957" s="1"/>
  <c r="K2948"/>
  <c r="AI553"/>
  <c r="AK553" s="1"/>
  <c r="AK529"/>
  <c r="K2453" i="27"/>
  <c r="K2455"/>
  <c r="F609" i="64"/>
  <c r="F612" s="1"/>
  <c r="V1422" i="1"/>
  <c r="X1422" s="1"/>
  <c r="X1432" s="1"/>
  <c r="R1461"/>
  <c r="R1471" s="1"/>
  <c r="P1492"/>
  <c r="N3398" i="27"/>
  <c r="L2900"/>
  <c r="K2899"/>
  <c r="L2885"/>
  <c r="K2884"/>
  <c r="M3744"/>
  <c r="K2203"/>
  <c r="H742" i="68" l="1"/>
  <c r="H337"/>
  <c r="H291"/>
  <c r="H672"/>
  <c r="H916"/>
  <c r="H424"/>
  <c r="G292"/>
  <c r="H954"/>
  <c r="H666"/>
  <c r="J337" i="55"/>
  <c r="G338" i="68"/>
  <c r="R2831" i="1"/>
  <c r="V2792"/>
  <c r="P2650"/>
  <c r="R2650" s="1"/>
  <c r="P2864"/>
  <c r="D696" i="25"/>
  <c r="F696" s="1"/>
  <c r="F660"/>
  <c r="I2643" i="1"/>
  <c r="K2824"/>
  <c r="F152" i="25"/>
  <c r="D141" s="1"/>
  <c r="AD1218" i="1"/>
  <c r="E123" i="70"/>
  <c r="G123" s="1"/>
  <c r="J419" i="55"/>
  <c r="J830"/>
  <c r="K3544" i="1"/>
  <c r="K3548" s="1"/>
  <c r="K3549" s="1"/>
  <c r="C832" i="55" s="1"/>
  <c r="P3548" i="1"/>
  <c r="R3548" s="1"/>
  <c r="R3552" s="1"/>
  <c r="R3553" s="1"/>
  <c r="V3544"/>
  <c r="AE3544"/>
  <c r="S290" i="55"/>
  <c r="T290" s="1"/>
  <c r="S673"/>
  <c r="T673" s="1"/>
  <c r="S423"/>
  <c r="T423" s="1"/>
  <c r="S436"/>
  <c r="T436" s="1"/>
  <c r="S743"/>
  <c r="T743" s="1"/>
  <c r="S951"/>
  <c r="T951" s="1"/>
  <c r="S696"/>
  <c r="T696" s="1"/>
  <c r="S913"/>
  <c r="T913" s="1"/>
  <c r="S336"/>
  <c r="T336" s="1"/>
  <c r="S667"/>
  <c r="T667" s="1"/>
  <c r="J879"/>
  <c r="J375"/>
  <c r="J44"/>
  <c r="J403"/>
  <c r="J39"/>
  <c r="J420"/>
  <c r="J416"/>
  <c r="J910"/>
  <c r="G913" i="68"/>
  <c r="J370" i="55"/>
  <c r="G371" i="68"/>
  <c r="H371" s="1"/>
  <c r="J291" i="55"/>
  <c r="J253"/>
  <c r="J259"/>
  <c r="J735"/>
  <c r="J386"/>
  <c r="G387" i="68"/>
  <c r="J280" i="55"/>
  <c r="J317"/>
  <c r="J675"/>
  <c r="G674" i="68"/>
  <c r="J668" i="55"/>
  <c r="G667" i="68"/>
  <c r="H667" s="1"/>
  <c r="J674" i="55"/>
  <c r="G673" i="68"/>
  <c r="J680" i="55"/>
  <c r="J279"/>
  <c r="J643"/>
  <c r="J711"/>
  <c r="J960"/>
  <c r="G963" i="68"/>
  <c r="H963" s="1"/>
  <c r="J707" i="55"/>
  <c r="X3578" i="1"/>
  <c r="V3593"/>
  <c r="X3587"/>
  <c r="V3604"/>
  <c r="X3604" s="1"/>
  <c r="K3494"/>
  <c r="AQ166"/>
  <c r="AS166" s="1"/>
  <c r="AU166" s="1"/>
  <c r="AV166" s="1"/>
  <c r="AS135"/>
  <c r="AU135" s="1"/>
  <c r="AV135" s="1"/>
  <c r="AB3625"/>
  <c r="AD3625" s="1"/>
  <c r="X3625"/>
  <c r="X3626"/>
  <c r="K2825"/>
  <c r="K2827" s="1"/>
  <c r="C633" i="55" s="1"/>
  <c r="N1123"/>
  <c r="L1123"/>
  <c r="R1123"/>
  <c r="R1097"/>
  <c r="K4027" i="1"/>
  <c r="K4029" s="1"/>
  <c r="K4030" s="1"/>
  <c r="I4039"/>
  <c r="K4039" s="1"/>
  <c r="K4041" s="1"/>
  <c r="K4042" s="1"/>
  <c r="F1123" i="55"/>
  <c r="H1123"/>
  <c r="J542" i="1"/>
  <c r="W541"/>
  <c r="AC541" s="1"/>
  <c r="AJ541" s="1"/>
  <c r="J564"/>
  <c r="J565" s="1"/>
  <c r="J566" s="1"/>
  <c r="J567" s="1"/>
  <c r="J568" s="1"/>
  <c r="J569" s="1"/>
  <c r="J570" s="1"/>
  <c r="J571" s="1"/>
  <c r="W565"/>
  <c r="AC565" s="1"/>
  <c r="AJ565" s="1"/>
  <c r="AB1455"/>
  <c r="AD1455" s="1"/>
  <c r="X1457"/>
  <c r="I3913" i="27"/>
  <c r="K3913" s="1"/>
  <c r="K3917" s="1"/>
  <c r="K2960"/>
  <c r="K2964" s="1"/>
  <c r="K2945"/>
  <c r="L2946"/>
  <c r="F174" i="25"/>
  <c r="F176" s="1"/>
  <c r="F87"/>
  <c r="F96" s="1"/>
  <c r="F97" s="1"/>
  <c r="D109"/>
  <c r="AQ167" i="1"/>
  <c r="AS167" s="1"/>
  <c r="AU167" s="1"/>
  <c r="AV167" s="1"/>
  <c r="AS136"/>
  <c r="AU136" s="1"/>
  <c r="AV136" s="1"/>
  <c r="AB1454"/>
  <c r="AD1454" s="1"/>
  <c r="X1456"/>
  <c r="AJ1205"/>
  <c r="AC1206"/>
  <c r="K998"/>
  <c r="K1000" s="1"/>
  <c r="F657" i="25"/>
  <c r="D693"/>
  <c r="F693" s="1"/>
  <c r="C901" i="55"/>
  <c r="K2187" i="27"/>
  <c r="J666" i="1"/>
  <c r="J667" s="1"/>
  <c r="J668" s="1"/>
  <c r="J669" s="1"/>
  <c r="J670" s="1"/>
  <c r="W490"/>
  <c r="AC490" s="1"/>
  <c r="AC491" s="1"/>
  <c r="AC492" s="1"/>
  <c r="AC493" s="1"/>
  <c r="AC494" s="1"/>
  <c r="AC495" s="1"/>
  <c r="AC496" s="1"/>
  <c r="AC497" s="1"/>
  <c r="I3074" i="27"/>
  <c r="K3058"/>
  <c r="K3062" s="1"/>
  <c r="S808" i="11"/>
  <c r="C870" i="55"/>
  <c r="F590" i="25"/>
  <c r="D625"/>
  <c r="Y806" i="11"/>
  <c r="Y808" s="1"/>
  <c r="C961" i="55" s="1"/>
  <c r="W816" i="11"/>
  <c r="Y816" s="1"/>
  <c r="Y818" s="1"/>
  <c r="H3890" i="1"/>
  <c r="J3890" s="1"/>
  <c r="J3894" s="1"/>
  <c r="J3896" s="1"/>
  <c r="J3874"/>
  <c r="J3878" s="1"/>
  <c r="J3880" s="1"/>
  <c r="P591" i="27"/>
  <c r="R591" s="1"/>
  <c r="P577"/>
  <c r="R577" s="1"/>
  <c r="P608"/>
  <c r="R608" s="1"/>
  <c r="I2693"/>
  <c r="K2693" s="1"/>
  <c r="I620"/>
  <c r="K620" s="1"/>
  <c r="K626" s="1"/>
  <c r="K628" s="1"/>
  <c r="K630" s="1"/>
  <c r="L68" i="11"/>
  <c r="K68"/>
  <c r="L53"/>
  <c r="K53"/>
  <c r="X1445" i="1"/>
  <c r="V1469"/>
  <c r="X1469" s="1"/>
  <c r="F1097" i="55"/>
  <c r="C713"/>
  <c r="K2267" i="1"/>
  <c r="C422" i="55" s="1"/>
  <c r="C625"/>
  <c r="C1115"/>
  <c r="K3421" i="1"/>
  <c r="K3432" s="1"/>
  <c r="K3434" s="1"/>
  <c r="R2821"/>
  <c r="P2854"/>
  <c r="R2854" s="1"/>
  <c r="P3324"/>
  <c r="R3324" s="1"/>
  <c r="R3222"/>
  <c r="R3236" s="1"/>
  <c r="R3238" s="1"/>
  <c r="P3436"/>
  <c r="R3436" s="1"/>
  <c r="R3450" s="1"/>
  <c r="R3452" s="1"/>
  <c r="C1100" i="55" s="1"/>
  <c r="P2075" i="1"/>
  <c r="R2075" s="1"/>
  <c r="R2085" s="1"/>
  <c r="R2087" s="1"/>
  <c r="K3101"/>
  <c r="K3112" s="1"/>
  <c r="K3114" s="1"/>
  <c r="C626" i="55" s="1"/>
  <c r="I3280" i="1"/>
  <c r="K1102"/>
  <c r="K1110" s="1"/>
  <c r="K1112" s="1"/>
  <c r="R2641"/>
  <c r="R2652" s="1"/>
  <c r="R2654" s="1"/>
  <c r="C635" i="55" s="1"/>
  <c r="K1017" i="1"/>
  <c r="K1028" s="1"/>
  <c r="K1030" s="1"/>
  <c r="C296" i="55" s="1"/>
  <c r="P1091" i="1"/>
  <c r="K1054"/>
  <c r="K1064" s="1"/>
  <c r="K1066" s="1"/>
  <c r="P988"/>
  <c r="R988" s="1"/>
  <c r="R998" s="1"/>
  <c r="R1000" s="1"/>
  <c r="C651" i="55" s="1"/>
  <c r="P1065" i="1"/>
  <c r="R1065" s="1"/>
  <c r="R1075" s="1"/>
  <c r="R1077" s="1"/>
  <c r="P1090"/>
  <c r="AE1063"/>
  <c r="AG1063" s="1"/>
  <c r="AG1073" s="1"/>
  <c r="AG1075" s="1"/>
  <c r="Z2600"/>
  <c r="Z2610" s="1"/>
  <c r="Z2611" s="1"/>
  <c r="AE2616"/>
  <c r="AG2616" s="1"/>
  <c r="AG2627" s="1"/>
  <c r="AG2629" s="1"/>
  <c r="C641" i="55" s="1"/>
  <c r="AE2650" i="1"/>
  <c r="AG2650" s="1"/>
  <c r="X2602"/>
  <c r="K3600"/>
  <c r="K3610" s="1"/>
  <c r="K3612" s="1"/>
  <c r="I3623"/>
  <c r="K3623" s="1"/>
  <c r="K3631" s="1"/>
  <c r="K3633" s="1"/>
  <c r="P3395"/>
  <c r="R3395" s="1"/>
  <c r="R3292"/>
  <c r="R3303" s="1"/>
  <c r="R3305" s="1"/>
  <c r="P3361"/>
  <c r="R3361" s="1"/>
  <c r="R3372" s="1"/>
  <c r="R3374" s="1"/>
  <c r="C1102" i="55" s="1"/>
  <c r="K951" i="1"/>
  <c r="K962" s="1"/>
  <c r="K964" s="1"/>
  <c r="D546" i="25"/>
  <c r="C301" i="55"/>
  <c r="C622"/>
  <c r="C620"/>
  <c r="C299"/>
  <c r="R1089" i="1"/>
  <c r="P1111"/>
  <c r="R2822"/>
  <c r="P2855"/>
  <c r="R2855" s="1"/>
  <c r="R3154"/>
  <c r="V3114"/>
  <c r="R3337"/>
  <c r="R3339" s="1"/>
  <c r="C1099" i="55" s="1"/>
  <c r="R3406" i="1"/>
  <c r="R3408" s="1"/>
  <c r="D307" i="25"/>
  <c r="F307" s="1"/>
  <c r="D164"/>
  <c r="F164" s="1"/>
  <c r="F141"/>
  <c r="F1171" i="55"/>
  <c r="AD1251" i="1"/>
  <c r="AB1223"/>
  <c r="AD1223" s="1"/>
  <c r="F1172" i="55"/>
  <c r="AD1250" i="1"/>
  <c r="AB1222"/>
  <c r="AD1222" s="1"/>
  <c r="AB3618"/>
  <c r="AD3618" s="1"/>
  <c r="X3618"/>
  <c r="F1173" i="55"/>
  <c r="F1170"/>
  <c r="P2114" i="1"/>
  <c r="R2114" s="1"/>
  <c r="R2116" s="1"/>
  <c r="R2107"/>
  <c r="P1174"/>
  <c r="R1174" s="1"/>
  <c r="R1143"/>
  <c r="K54"/>
  <c r="K58" s="1"/>
  <c r="K45"/>
  <c r="K49" s="1"/>
  <c r="K28"/>
  <c r="K32" s="1"/>
  <c r="K809"/>
  <c r="V644"/>
  <c r="V802"/>
  <c r="I2899"/>
  <c r="K2899" s="1"/>
  <c r="K2905" s="1"/>
  <c r="K2907" s="1"/>
  <c r="K2911" s="1"/>
  <c r="K505"/>
  <c r="K511" s="1"/>
  <c r="K513" s="1"/>
  <c r="P2155"/>
  <c r="R2155" s="1"/>
  <c r="R2163" s="1"/>
  <c r="R2165" s="1"/>
  <c r="K2148"/>
  <c r="K2156" s="1"/>
  <c r="K2158" s="1"/>
  <c r="C404" i="55" s="1"/>
  <c r="K19" i="1"/>
  <c r="K23" s="1"/>
  <c r="P2348"/>
  <c r="R2348" s="1"/>
  <c r="K140"/>
  <c r="K144" s="1"/>
  <c r="C38" i="55" s="1"/>
  <c r="R22" i="1"/>
  <c r="R28" s="1"/>
  <c r="R30" s="1"/>
  <c r="W590"/>
  <c r="K10"/>
  <c r="I226"/>
  <c r="K226" s="1"/>
  <c r="K232" s="1"/>
  <c r="K234" s="1"/>
  <c r="C47" i="55" s="1"/>
  <c r="P51" i="1"/>
  <c r="R51" s="1"/>
  <c r="R57" s="1"/>
  <c r="R60" s="1"/>
  <c r="AQ108"/>
  <c r="AS108" s="1"/>
  <c r="AU108" s="1"/>
  <c r="AV108" s="1"/>
  <c r="P164"/>
  <c r="R164" s="1"/>
  <c r="P232"/>
  <c r="R232" s="1"/>
  <c r="I1405"/>
  <c r="K1405" s="1"/>
  <c r="K1412" s="1"/>
  <c r="K1414" s="1"/>
  <c r="C342" i="55" s="1"/>
  <c r="I411" i="1"/>
  <c r="K411" s="1"/>
  <c r="K418" s="1"/>
  <c r="K420" s="1"/>
  <c r="I487"/>
  <c r="K487" s="1"/>
  <c r="K495" s="1"/>
  <c r="K497" s="1"/>
  <c r="C63" i="55" s="1"/>
  <c r="I356" i="1"/>
  <c r="I1200"/>
  <c r="K1200" s="1"/>
  <c r="K1211" s="1"/>
  <c r="K1213" s="1"/>
  <c r="AQ133"/>
  <c r="I445"/>
  <c r="K445" s="1"/>
  <c r="K452" s="1"/>
  <c r="K454" s="1"/>
  <c r="I459" s="1"/>
  <c r="K459" s="1"/>
  <c r="K463" s="1"/>
  <c r="K465" s="1"/>
  <c r="K467" s="1"/>
  <c r="I380"/>
  <c r="P362"/>
  <c r="R362" s="1"/>
  <c r="R370" s="1"/>
  <c r="R372" s="1"/>
  <c r="F42" i="50"/>
  <c r="D105"/>
  <c r="F105" s="1"/>
  <c r="D41" i="32"/>
  <c r="V675" i="1"/>
  <c r="X705"/>
  <c r="P2346"/>
  <c r="C74"/>
  <c r="P231"/>
  <c r="R231" s="1"/>
  <c r="I167"/>
  <c r="K167" s="1"/>
  <c r="K171" s="1"/>
  <c r="C43" i="55" s="1"/>
  <c r="K3502" i="1"/>
  <c r="V815"/>
  <c r="X815" s="1"/>
  <c r="X800"/>
  <c r="K3500"/>
  <c r="P65"/>
  <c r="R65" s="1"/>
  <c r="I1705"/>
  <c r="K1705" s="1"/>
  <c r="I210"/>
  <c r="K210" s="1"/>
  <c r="P195"/>
  <c r="R195" s="1"/>
  <c r="I807"/>
  <c r="K807" s="1"/>
  <c r="P626"/>
  <c r="R626" s="1"/>
  <c r="P1141"/>
  <c r="I270"/>
  <c r="K270" s="1"/>
  <c r="K278" s="1"/>
  <c r="K280" s="1"/>
  <c r="I587" i="27"/>
  <c r="K587"/>
  <c r="I593" i="1"/>
  <c r="K593" s="1"/>
  <c r="C669" i="55"/>
  <c r="C254"/>
  <c r="I653" i="11"/>
  <c r="K613"/>
  <c r="I607" s="1"/>
  <c r="K607" s="1"/>
  <c r="K611" s="1"/>
  <c r="K269"/>
  <c r="K273" s="1"/>
  <c r="I283"/>
  <c r="I985"/>
  <c r="K985" s="1"/>
  <c r="K993" s="1"/>
  <c r="P242"/>
  <c r="AB1244" i="1"/>
  <c r="X1239"/>
  <c r="AB1435"/>
  <c r="AD1435" s="1"/>
  <c r="AD1437" s="1"/>
  <c r="AD1438" s="1"/>
  <c r="X1437"/>
  <c r="X1439" s="1"/>
  <c r="X1440" s="1"/>
  <c r="AS89"/>
  <c r="AQ109"/>
  <c r="AB1420"/>
  <c r="AD1420" s="1"/>
  <c r="AD1430" s="1"/>
  <c r="AD1403"/>
  <c r="AD1413" s="1"/>
  <c r="AB1452"/>
  <c r="AD1452" s="1"/>
  <c r="X1454"/>
  <c r="D588" i="25"/>
  <c r="F551"/>
  <c r="I615" i="1"/>
  <c r="C681" i="55"/>
  <c r="K615" i="1"/>
  <c r="C260" i="55"/>
  <c r="I3977" i="1"/>
  <c r="K3977" s="1"/>
  <c r="K3960"/>
  <c r="V1444"/>
  <c r="R1483"/>
  <c r="R1485" s="1"/>
  <c r="K570" i="11"/>
  <c r="L567"/>
  <c r="K3955" i="1"/>
  <c r="I3972"/>
  <c r="K3972" s="1"/>
  <c r="M1120" i="11"/>
  <c r="K1127"/>
  <c r="L1122"/>
  <c r="K1121"/>
  <c r="C1159" i="55" s="1"/>
  <c r="H1159" s="1"/>
  <c r="I3415" i="27"/>
  <c r="K3415" s="1"/>
  <c r="K3419" s="1"/>
  <c r="I3476"/>
  <c r="K3476" s="1"/>
  <c r="K3481" s="1"/>
  <c r="L3481" s="1"/>
  <c r="K3396"/>
  <c r="K3400" s="1"/>
  <c r="V3606" i="1"/>
  <c r="X3606" s="1"/>
  <c r="X3589"/>
  <c r="C1158" i="55"/>
  <c r="H1158" s="1"/>
  <c r="C936"/>
  <c r="V1453" i="1"/>
  <c r="R1492"/>
  <c r="R1502" s="1"/>
  <c r="X593"/>
  <c r="C676" i="55" s="1"/>
  <c r="AG426" i="1"/>
  <c r="AE441"/>
  <c r="AG441" s="1"/>
  <c r="L586" i="11"/>
  <c r="K589"/>
  <c r="K248"/>
  <c r="K256"/>
  <c r="K260" s="1"/>
  <c r="C850" i="55"/>
  <c r="C319"/>
  <c r="C849"/>
  <c r="C796"/>
  <c r="S1545" i="1"/>
  <c r="K2186" i="27"/>
  <c r="O3398"/>
  <c r="K2185"/>
  <c r="H338" i="68" l="1"/>
  <c r="H292"/>
  <c r="H913"/>
  <c r="H673"/>
  <c r="H674"/>
  <c r="S337" i="55"/>
  <c r="T337" s="1"/>
  <c r="H387" i="68"/>
  <c r="G835"/>
  <c r="P3163" i="1"/>
  <c r="R3163" s="1"/>
  <c r="R2864"/>
  <c r="R2865" s="1"/>
  <c r="R2867" s="1"/>
  <c r="R3164"/>
  <c r="R3166" s="1"/>
  <c r="C653" i="55" s="1"/>
  <c r="AE2796" i="1"/>
  <c r="AG2796" s="1"/>
  <c r="AG2797" s="1"/>
  <c r="AG2799" s="1"/>
  <c r="X2792"/>
  <c r="X2793" s="1"/>
  <c r="X2795" s="1"/>
  <c r="V2612"/>
  <c r="K2643"/>
  <c r="K2645" s="1"/>
  <c r="K2647" s="1"/>
  <c r="C644" i="55" s="1"/>
  <c r="AG3544" i="1"/>
  <c r="AG3548" s="1"/>
  <c r="AG3549" s="1"/>
  <c r="C834" i="55" s="1"/>
  <c r="AE3560" i="1"/>
  <c r="X3544"/>
  <c r="X3548" s="1"/>
  <c r="X3549" s="1"/>
  <c r="C833" i="55" s="1"/>
  <c r="V3524" i="1"/>
  <c r="X3524" s="1"/>
  <c r="X3528" s="1"/>
  <c r="X3529" s="1"/>
  <c r="V3560"/>
  <c r="J832" i="55"/>
  <c r="G882" i="68"/>
  <c r="H882" s="1"/>
  <c r="S674" i="55"/>
  <c r="T674" s="1"/>
  <c r="S879"/>
  <c r="T879" s="1"/>
  <c r="S960"/>
  <c r="T960" s="1"/>
  <c r="S668"/>
  <c r="T668" s="1"/>
  <c r="S675"/>
  <c r="T675" s="1"/>
  <c r="S386"/>
  <c r="T386" s="1"/>
  <c r="S291"/>
  <c r="T291" s="1"/>
  <c r="S370"/>
  <c r="T370" s="1"/>
  <c r="S910"/>
  <c r="T910" s="1"/>
  <c r="J796"/>
  <c r="J669"/>
  <c r="G668" i="68"/>
  <c r="J43" i="55"/>
  <c r="J635"/>
  <c r="G634" i="68"/>
  <c r="H634" s="1"/>
  <c r="J299" i="55"/>
  <c r="J713"/>
  <c r="J961"/>
  <c r="J850"/>
  <c r="J681"/>
  <c r="J254"/>
  <c r="J63"/>
  <c r="J653"/>
  <c r="J301"/>
  <c r="J422"/>
  <c r="J870"/>
  <c r="J319"/>
  <c r="J676"/>
  <c r="G675" i="68"/>
  <c r="H675" s="1"/>
  <c r="J936" i="55"/>
  <c r="J47"/>
  <c r="J38"/>
  <c r="J622"/>
  <c r="J651"/>
  <c r="J625"/>
  <c r="J901"/>
  <c r="G904" i="68"/>
  <c r="J849" i="55"/>
  <c r="J260"/>
  <c r="J342"/>
  <c r="G343" i="68"/>
  <c r="H343" s="1"/>
  <c r="J404" i="55"/>
  <c r="J620"/>
  <c r="J641"/>
  <c r="J296"/>
  <c r="J626"/>
  <c r="G626" i="68"/>
  <c r="H626" s="1"/>
  <c r="J633" i="55"/>
  <c r="X3593" i="1"/>
  <c r="V3610"/>
  <c r="X3610" s="1"/>
  <c r="C638" i="55"/>
  <c r="C637"/>
  <c r="C305"/>
  <c r="C654"/>
  <c r="R1100"/>
  <c r="R1102"/>
  <c r="R1099"/>
  <c r="R1115"/>
  <c r="K2188" i="27"/>
  <c r="I3100"/>
  <c r="I3936"/>
  <c r="K3936" s="1"/>
  <c r="K3939" s="1"/>
  <c r="K3941" s="1"/>
  <c r="K3074"/>
  <c r="K3077" s="1"/>
  <c r="F109" i="25"/>
  <c r="F118" s="1"/>
  <c r="H118" s="1"/>
  <c r="D132"/>
  <c r="K2965" i="27"/>
  <c r="L2966"/>
  <c r="C295" i="55"/>
  <c r="K3918" i="27"/>
  <c r="L3919"/>
  <c r="L3064"/>
  <c r="K3063"/>
  <c r="AC1207" i="1"/>
  <c r="AC1208" s="1"/>
  <c r="AJ1206"/>
  <c r="W542"/>
  <c r="AC542" s="1"/>
  <c r="AJ542" s="1"/>
  <c r="J543"/>
  <c r="K2262"/>
  <c r="C417" i="55" s="1"/>
  <c r="C708"/>
  <c r="F625" i="25"/>
  <c r="D661"/>
  <c r="C709" i="55"/>
  <c r="K2263" i="1"/>
  <c r="C418" i="55" s="1"/>
  <c r="L611" i="11"/>
  <c r="K2287" i="1"/>
  <c r="C446" i="55" s="1"/>
  <c r="K3514" i="1"/>
  <c r="K3515" s="1"/>
  <c r="C571" i="55" s="1"/>
  <c r="K631" i="27"/>
  <c r="K632" s="1"/>
  <c r="K633" s="1"/>
  <c r="K634" s="1"/>
  <c r="I2616"/>
  <c r="K2616" s="1"/>
  <c r="Z808" i="11"/>
  <c r="F1100" i="55"/>
  <c r="F546" i="25"/>
  <c r="D583"/>
  <c r="F1102" i="55"/>
  <c r="F1099"/>
  <c r="F1115"/>
  <c r="C294"/>
  <c r="I4064" i="1"/>
  <c r="K4064" s="1"/>
  <c r="K4074" s="1"/>
  <c r="K4076" s="1"/>
  <c r="V3131"/>
  <c r="X3114"/>
  <c r="X3124" s="1"/>
  <c r="X3126" s="1"/>
  <c r="R1111"/>
  <c r="V3634"/>
  <c r="X3634" s="1"/>
  <c r="V3248"/>
  <c r="X3248" s="1"/>
  <c r="X3259" s="1"/>
  <c r="X3261" s="1"/>
  <c r="K3280"/>
  <c r="K3291" s="1"/>
  <c r="K3293" s="1"/>
  <c r="C640" i="55"/>
  <c r="C1101"/>
  <c r="P1112" i="1"/>
  <c r="R1090"/>
  <c r="R1091"/>
  <c r="P1113"/>
  <c r="C645" i="55"/>
  <c r="C1094"/>
  <c r="C623"/>
  <c r="C302"/>
  <c r="F556" i="25"/>
  <c r="F558" s="1"/>
  <c r="C892" i="55" s="1"/>
  <c r="K815" i="1"/>
  <c r="K817" s="1"/>
  <c r="R2832"/>
  <c r="R2834" s="1"/>
  <c r="R238"/>
  <c r="R240" s="1"/>
  <c r="C603" i="55" s="1"/>
  <c r="C330"/>
  <c r="I2441" i="1"/>
  <c r="K2441" s="1"/>
  <c r="K2446" s="1"/>
  <c r="K2448" s="1"/>
  <c r="I1991"/>
  <c r="I1971"/>
  <c r="P610"/>
  <c r="R610" s="1"/>
  <c r="P623"/>
  <c r="R623" s="1"/>
  <c r="I2105"/>
  <c r="K2105" s="1"/>
  <c r="K2111" s="1"/>
  <c r="P596"/>
  <c r="R596" s="1"/>
  <c r="I1271"/>
  <c r="AB1332"/>
  <c r="AC1332" s="1"/>
  <c r="AC1336" s="1"/>
  <c r="AC1337" s="1"/>
  <c r="V1341" s="1"/>
  <c r="X1341" s="1"/>
  <c r="I211"/>
  <c r="K211" s="1"/>
  <c r="P307"/>
  <c r="R307" s="1"/>
  <c r="R313" s="1"/>
  <c r="R315" s="1"/>
  <c r="P66"/>
  <c r="R66" s="1"/>
  <c r="R72" s="1"/>
  <c r="R74" s="1"/>
  <c r="P653" s="1"/>
  <c r="R653" s="1"/>
  <c r="P319"/>
  <c r="R319" s="1"/>
  <c r="R325" s="1"/>
  <c r="R327" s="1"/>
  <c r="I3807"/>
  <c r="K3807" s="1"/>
  <c r="K3812" s="1"/>
  <c r="K3814" s="1"/>
  <c r="C946" i="55" s="1"/>
  <c r="K2913" i="1"/>
  <c r="C583" i="55"/>
  <c r="V707" i="1"/>
  <c r="AD644"/>
  <c r="AF644" s="1"/>
  <c r="AF650" s="1"/>
  <c r="AF652" s="1"/>
  <c r="AF654" s="1"/>
  <c r="AF655" s="1"/>
  <c r="AF657" s="1"/>
  <c r="X644"/>
  <c r="X650" s="1"/>
  <c r="X652" s="1"/>
  <c r="X654" s="1"/>
  <c r="X655" s="1"/>
  <c r="X657" s="1"/>
  <c r="I1392"/>
  <c r="P80"/>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I312"/>
  <c r="K312" s="1"/>
  <c r="K319" s="1"/>
  <c r="K321" s="1"/>
  <c r="AQ164"/>
  <c r="AS164" s="1"/>
  <c r="AU164" s="1"/>
  <c r="AV164" s="1"/>
  <c r="AS133"/>
  <c r="AU133" s="1"/>
  <c r="AV133" s="1"/>
  <c r="I426"/>
  <c r="K426" s="1"/>
  <c r="K430" s="1"/>
  <c r="K432" s="1"/>
  <c r="K434" s="1"/>
  <c r="P267"/>
  <c r="R267" s="1"/>
  <c r="R271" s="1"/>
  <c r="R273" s="1"/>
  <c r="R275" s="1"/>
  <c r="R276" s="1"/>
  <c r="R277" s="1"/>
  <c r="R278" s="1"/>
  <c r="N14"/>
  <c r="K14"/>
  <c r="I550"/>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K1336" s="1"/>
  <c r="K1342" s="1"/>
  <c r="K1344" s="1"/>
  <c r="P196"/>
  <c r="I1418"/>
  <c r="K1418" s="1"/>
  <c r="K1424" s="1"/>
  <c r="K1426" s="1"/>
  <c r="C343" i="55" s="1"/>
  <c r="I1354" i="1"/>
  <c r="K1354" s="1"/>
  <c r="I1706"/>
  <c r="K1706" s="1"/>
  <c r="K1711" s="1"/>
  <c r="K1713" s="1"/>
  <c r="I620"/>
  <c r="K620" s="1"/>
  <c r="K625" s="1"/>
  <c r="K627" s="1"/>
  <c r="I628" s="1"/>
  <c r="K628" s="1"/>
  <c r="I2424"/>
  <c r="P348"/>
  <c r="R348" s="1"/>
  <c r="R354" s="1"/>
  <c r="R356" s="1"/>
  <c r="P296"/>
  <c r="R296" s="1"/>
  <c r="R302" s="1"/>
  <c r="R304" s="1"/>
  <c r="I1376"/>
  <c r="K1376" s="1"/>
  <c r="I1433"/>
  <c r="K1433" s="1"/>
  <c r="I1249"/>
  <c r="I1220"/>
  <c r="I3455"/>
  <c r="P1333"/>
  <c r="P657"/>
  <c r="R657" s="1"/>
  <c r="C217" i="55"/>
  <c r="K468" i="1"/>
  <c r="I336"/>
  <c r="AQ88"/>
  <c r="AS88" s="1"/>
  <c r="AS95" s="1"/>
  <c r="AS97" s="1"/>
  <c r="AS99" s="1"/>
  <c r="P180"/>
  <c r="R180" s="1"/>
  <c r="V380"/>
  <c r="K380"/>
  <c r="K387" s="1"/>
  <c r="K389" s="1"/>
  <c r="I394" s="1"/>
  <c r="K394" s="1"/>
  <c r="K398" s="1"/>
  <c r="K400" s="1"/>
  <c r="V356"/>
  <c r="K356"/>
  <c r="K363" s="1"/>
  <c r="K365" s="1"/>
  <c r="K367" s="1"/>
  <c r="K217"/>
  <c r="K219" s="1"/>
  <c r="C46" i="55" s="1"/>
  <c r="R2346" i="1"/>
  <c r="P2355"/>
  <c r="R2355" s="1"/>
  <c r="R2357" s="1"/>
  <c r="C729" i="55" s="1"/>
  <c r="X675" i="1"/>
  <c r="V729"/>
  <c r="X729" s="1"/>
  <c r="V761"/>
  <c r="X761" s="1"/>
  <c r="D41" i="50"/>
  <c r="R1141" i="1"/>
  <c r="R1152" s="1"/>
  <c r="R1156" s="1"/>
  <c r="P1172"/>
  <c r="R1172" s="1"/>
  <c r="R1183" s="1"/>
  <c r="V195"/>
  <c r="X195" s="1"/>
  <c r="I195"/>
  <c r="Z705"/>
  <c r="P656"/>
  <c r="R656" s="1"/>
  <c r="I637"/>
  <c r="K637" s="1"/>
  <c r="K641" s="1"/>
  <c r="K643" s="1"/>
  <c r="K285"/>
  <c r="K821"/>
  <c r="I2992"/>
  <c r="K2992" s="1"/>
  <c r="K2999" s="1"/>
  <c r="K3001" s="1"/>
  <c r="F41" i="32"/>
  <c r="D104"/>
  <c r="F104" s="1"/>
  <c r="K261" i="11"/>
  <c r="C1124" i="55" s="1"/>
  <c r="L260" i="11"/>
  <c r="AB1451" i="1"/>
  <c r="AD1451" s="1"/>
  <c r="AD1461" s="1"/>
  <c r="X1453"/>
  <c r="X1463" s="1"/>
  <c r="C313" i="55" s="1"/>
  <c r="K1140" i="11"/>
  <c r="K1131"/>
  <c r="K1132" s="1"/>
  <c r="L570"/>
  <c r="M567"/>
  <c r="L3396" i="27"/>
  <c r="AQ134" i="1"/>
  <c r="AS109"/>
  <c r="R242" i="11"/>
  <c r="R246" s="1"/>
  <c r="AE242"/>
  <c r="AG242" s="1"/>
  <c r="AG246" s="1"/>
  <c r="L589"/>
  <c r="M586"/>
  <c r="X594" i="1"/>
  <c r="X595" s="1"/>
  <c r="Y590" s="1"/>
  <c r="Y591" s="1"/>
  <c r="Y592" s="1"/>
  <c r="Y593" s="1"/>
  <c r="Y594" s="1"/>
  <c r="C677" i="55"/>
  <c r="V1468" i="1"/>
  <c r="X1468" s="1"/>
  <c r="X1470" s="1"/>
  <c r="X1471" s="1"/>
  <c r="X1444"/>
  <c r="X1446" s="1"/>
  <c r="X1447" s="1"/>
  <c r="C851" i="55" s="1"/>
  <c r="K274" i="11"/>
  <c r="L275"/>
  <c r="L590"/>
  <c r="C445" i="55"/>
  <c r="C741"/>
  <c r="F1159"/>
  <c r="S1446" i="1"/>
  <c r="R1486"/>
  <c r="C848" i="55" s="1"/>
  <c r="C320"/>
  <c r="C852"/>
  <c r="P283" i="11"/>
  <c r="K283"/>
  <c r="K287" s="1"/>
  <c r="C670" i="55"/>
  <c r="C255"/>
  <c r="I594" i="1"/>
  <c r="K594" s="1"/>
  <c r="L250" i="11"/>
  <c r="K249"/>
  <c r="K2282" i="1" s="1"/>
  <c r="F1158" i="55"/>
  <c r="L572" i="11"/>
  <c r="C444" i="55"/>
  <c r="C742"/>
  <c r="C682"/>
  <c r="K616" i="1"/>
  <c r="C261" i="55"/>
  <c r="I616" i="1"/>
  <c r="D623" i="25"/>
  <c r="F588"/>
  <c r="AB1216" i="1"/>
  <c r="AD1244"/>
  <c r="M994" i="11"/>
  <c r="K994"/>
  <c r="K1015"/>
  <c r="I798"/>
  <c r="K653"/>
  <c r="I647" s="1"/>
  <c r="K647" s="1"/>
  <c r="K651" s="1"/>
  <c r="L651" s="1"/>
  <c r="H668" i="68" l="1"/>
  <c r="G347"/>
  <c r="S729" i="55"/>
  <c r="G331" i="68"/>
  <c r="H835"/>
  <c r="J644" i="55"/>
  <c r="S832"/>
  <c r="T832" s="1"/>
  <c r="AE2660" i="1"/>
  <c r="AG2660" s="1"/>
  <c r="AG2661" s="1"/>
  <c r="AG2663" s="1"/>
  <c r="X2612"/>
  <c r="X2613" s="1"/>
  <c r="X2615" s="1"/>
  <c r="V3576"/>
  <c r="X3560"/>
  <c r="X3564" s="1"/>
  <c r="X3565" s="1"/>
  <c r="C829" i="55" s="1"/>
  <c r="AD1216" i="1"/>
  <c r="E122" i="70"/>
  <c r="G122" s="1"/>
  <c r="G124" s="1"/>
  <c r="C950" i="55" s="1"/>
  <c r="J833"/>
  <c r="V3623" i="1"/>
  <c r="AG3560"/>
  <c r="AG3564" s="1"/>
  <c r="AG3565" s="1"/>
  <c r="H904" i="68"/>
  <c r="J834" i="55"/>
  <c r="G837" i="68"/>
  <c r="S901" i="55"/>
  <c r="T901" s="1"/>
  <c r="S635"/>
  <c r="T635" s="1"/>
  <c r="S676"/>
  <c r="T676" s="1"/>
  <c r="S669"/>
  <c r="T669" s="1"/>
  <c r="S626"/>
  <c r="T626" s="1"/>
  <c r="S961"/>
  <c r="T961" s="1"/>
  <c r="S342"/>
  <c r="T342" s="1"/>
  <c r="J320"/>
  <c r="J261"/>
  <c r="J444"/>
  <c r="J848"/>
  <c r="J445"/>
  <c r="J851"/>
  <c r="J346"/>
  <c r="J603"/>
  <c r="G604" i="68"/>
  <c r="H604" s="1"/>
  <c r="J302" i="55"/>
  <c r="J446"/>
  <c r="J295"/>
  <c r="J670"/>
  <c r="G669" i="68"/>
  <c r="J313" i="55"/>
  <c r="J729"/>
  <c r="G728" i="68"/>
  <c r="H728" s="1"/>
  <c r="J217" i="55"/>
  <c r="G218" i="68"/>
  <c r="H218" s="1"/>
  <c r="J347" i="55"/>
  <c r="G348" i="68"/>
  <c r="H348" s="1"/>
  <c r="J583" i="55"/>
  <c r="J330"/>
  <c r="J892"/>
  <c r="J645"/>
  <c r="J571"/>
  <c r="J709"/>
  <c r="J417"/>
  <c r="J638"/>
  <c r="J682"/>
  <c r="J255"/>
  <c r="J852"/>
  <c r="J677"/>
  <c r="J46"/>
  <c r="G47" i="68"/>
  <c r="H47" s="1"/>
  <c r="J54" i="55"/>
  <c r="J418"/>
  <c r="J708"/>
  <c r="J305"/>
  <c r="J637"/>
  <c r="J742"/>
  <c r="G741" i="68"/>
  <c r="H741" s="1"/>
  <c r="J741" i="55"/>
  <c r="G740" i="68"/>
  <c r="H740" s="1"/>
  <c r="J343" i="55"/>
  <c r="G344" i="68"/>
  <c r="H344" s="1"/>
  <c r="J345" i="55"/>
  <c r="G346" i="68"/>
  <c r="H346" s="1"/>
  <c r="J946" i="55"/>
  <c r="J623"/>
  <c r="J640"/>
  <c r="J294"/>
  <c r="J654"/>
  <c r="R1101" i="1"/>
  <c r="R1103" s="1"/>
  <c r="H1124" i="55"/>
  <c r="N1124"/>
  <c r="L1124"/>
  <c r="R1124"/>
  <c r="R1094"/>
  <c r="R1101"/>
  <c r="K2190" i="27"/>
  <c r="I3114"/>
  <c r="P3073"/>
  <c r="R3073" s="1"/>
  <c r="R3077" s="1"/>
  <c r="R3078" s="1"/>
  <c r="K3100"/>
  <c r="K3104" s="1"/>
  <c r="D133" i="25"/>
  <c r="D298"/>
  <c r="F298" s="1"/>
  <c r="F132"/>
  <c r="K3948" i="27"/>
  <c r="K3952" s="1"/>
  <c r="K3953" s="1"/>
  <c r="K3942"/>
  <c r="J544" i="1"/>
  <c r="W543"/>
  <c r="AC543" s="1"/>
  <c r="AJ543" s="1"/>
  <c r="K3087" i="27"/>
  <c r="K3091" s="1"/>
  <c r="K3079"/>
  <c r="D697" i="25"/>
  <c r="F697" s="1"/>
  <c r="F661"/>
  <c r="F1101" i="55"/>
  <c r="V3156" i="1"/>
  <c r="X3131"/>
  <c r="X3141" s="1"/>
  <c r="X3143" s="1"/>
  <c r="C437" i="55"/>
  <c r="C717"/>
  <c r="C297"/>
  <c r="C636"/>
  <c r="F1094"/>
  <c r="V3635" i="1"/>
  <c r="X3635" s="1"/>
  <c r="R1112"/>
  <c r="R1113"/>
  <c r="V3636"/>
  <c r="X3636" s="1"/>
  <c r="C1125" i="55"/>
  <c r="F1125" s="1"/>
  <c r="K2283" i="1"/>
  <c r="F583" i="25"/>
  <c r="F593" s="1"/>
  <c r="F595" s="1"/>
  <c r="C891" i="55" s="1"/>
  <c r="D618" i="25"/>
  <c r="C551" i="55"/>
  <c r="AS100" i="1"/>
  <c r="AS101" s="1"/>
  <c r="AU99"/>
  <c r="AV99" s="1"/>
  <c r="I1720"/>
  <c r="K1720" s="1"/>
  <c r="K1725" s="1"/>
  <c r="K1727" s="1"/>
  <c r="I2383"/>
  <c r="K2383" s="1"/>
  <c r="K2390" s="1"/>
  <c r="K2392" s="1"/>
  <c r="C693" i="55" s="1"/>
  <c r="I1731" i="1"/>
  <c r="K1731" s="1"/>
  <c r="K1734" s="1"/>
  <c r="K1736" s="1"/>
  <c r="I1741" s="1"/>
  <c r="K1741" s="1"/>
  <c r="K1744" s="1"/>
  <c r="K1746" s="1"/>
  <c r="C369" i="55" s="1"/>
  <c r="K402" i="1"/>
  <c r="C167" i="55"/>
  <c r="P3461" i="1"/>
  <c r="R3461" s="1"/>
  <c r="R3474" s="1"/>
  <c r="R3476" s="1"/>
  <c r="I3822"/>
  <c r="K3822" s="1"/>
  <c r="K3835" s="1"/>
  <c r="K3837" s="1"/>
  <c r="C945" i="55" s="1"/>
  <c r="K3455" i="1"/>
  <c r="K3468" s="1"/>
  <c r="K3470" s="1"/>
  <c r="I629"/>
  <c r="K629" s="1"/>
  <c r="C661" i="55"/>
  <c r="V196" i="1"/>
  <c r="X196" s="1"/>
  <c r="X202" s="1"/>
  <c r="X204" s="1"/>
  <c r="C604" i="55" s="1"/>
  <c r="R196" i="1"/>
  <c r="R202" s="1"/>
  <c r="R204" s="1"/>
  <c r="C602" i="55" s="1"/>
  <c r="L519" i="1"/>
  <c r="K520"/>
  <c r="K521" s="1"/>
  <c r="K522" s="1"/>
  <c r="P625"/>
  <c r="R625" s="1"/>
  <c r="K323"/>
  <c r="P624"/>
  <c r="R624" s="1"/>
  <c r="C59" i="55"/>
  <c r="AS75" i="1"/>
  <c r="AS76" s="1"/>
  <c r="AS77" s="1"/>
  <c r="AS78" s="1"/>
  <c r="AS79" s="1"/>
  <c r="C549" i="55"/>
  <c r="K1392" i="1"/>
  <c r="K1398" s="1"/>
  <c r="K1400" s="1"/>
  <c r="K1271"/>
  <c r="K1276" s="1"/>
  <c r="K1278" s="1"/>
  <c r="I1285"/>
  <c r="K1285" s="1"/>
  <c r="K1290" s="1"/>
  <c r="K1292" s="1"/>
  <c r="C768" i="55" s="1"/>
  <c r="AB1264" i="1"/>
  <c r="AD1264" s="1"/>
  <c r="AD1269" s="1"/>
  <c r="AD1271" s="1"/>
  <c r="AE365"/>
  <c r="AG365" s="1"/>
  <c r="AG372" s="1"/>
  <c r="AG374" s="1"/>
  <c r="AG376" s="1"/>
  <c r="AG377" s="1"/>
  <c r="X356"/>
  <c r="X363" s="1"/>
  <c r="X365" s="1"/>
  <c r="R1333"/>
  <c r="R1338" s="1"/>
  <c r="R1340" s="1"/>
  <c r="R1341" s="1"/>
  <c r="R1342" s="1"/>
  <c r="R1343" s="1"/>
  <c r="R1344" s="1"/>
  <c r="R1345" s="1"/>
  <c r="Q1341" s="1"/>
  <c r="Q1342" s="1"/>
  <c r="AB1189"/>
  <c r="V1332"/>
  <c r="X1332" s="1"/>
  <c r="V1299"/>
  <c r="P1373"/>
  <c r="R1373" s="1"/>
  <c r="R1386" s="1"/>
  <c r="R1388" s="1"/>
  <c r="K1440"/>
  <c r="K1442" s="1"/>
  <c r="C1092" i="55" s="1"/>
  <c r="L1412" i="1"/>
  <c r="P2431"/>
  <c r="R2431" s="1"/>
  <c r="R2440" s="1"/>
  <c r="R2442" s="1"/>
  <c r="C1090" i="55" s="1"/>
  <c r="K2424" i="1"/>
  <c r="K2433" s="1"/>
  <c r="K2435" s="1"/>
  <c r="C1087" i="55" s="1"/>
  <c r="AG312" i="1"/>
  <c r="AG319" s="1"/>
  <c r="AG321" s="1"/>
  <c r="V677"/>
  <c r="D43" i="32"/>
  <c r="X707" i="1"/>
  <c r="C1118" i="55"/>
  <c r="C601"/>
  <c r="K368" i="1"/>
  <c r="J367"/>
  <c r="C218" i="55"/>
  <c r="K469" i="1"/>
  <c r="K1249"/>
  <c r="K1262" s="1"/>
  <c r="K1264" s="1"/>
  <c r="V1278"/>
  <c r="X1278" s="1"/>
  <c r="X1291" s="1"/>
  <c r="X1293" s="1"/>
  <c r="C767" i="55" s="1"/>
  <c r="I559" i="1"/>
  <c r="K559" s="1"/>
  <c r="C245" i="55"/>
  <c r="K435" i="1"/>
  <c r="C205" i="55"/>
  <c r="AF659" i="1"/>
  <c r="AF660" s="1"/>
  <c r="AF661" s="1"/>
  <c r="AF662" s="1"/>
  <c r="AF663" s="1"/>
  <c r="AF664" s="1"/>
  <c r="AB528"/>
  <c r="C399" i="55"/>
  <c r="C396"/>
  <c r="K1991" i="1"/>
  <c r="P1991"/>
  <c r="R1991" s="1"/>
  <c r="V411"/>
  <c r="X411" s="1"/>
  <c r="X418" s="1"/>
  <c r="X420" s="1"/>
  <c r="V426" s="1"/>
  <c r="X426" s="1"/>
  <c r="X430" s="1"/>
  <c r="X432" s="1"/>
  <c r="X434" s="1"/>
  <c r="X380"/>
  <c r="X387" s="1"/>
  <c r="X389" s="1"/>
  <c r="V394" s="1"/>
  <c r="X394" s="1"/>
  <c r="X398" s="1"/>
  <c r="X400" s="1"/>
  <c r="AE389"/>
  <c r="V336"/>
  <c r="K336"/>
  <c r="K343" s="1"/>
  <c r="K345" s="1"/>
  <c r="K347" s="1"/>
  <c r="K1220"/>
  <c r="K1238" s="1"/>
  <c r="K1241" s="1"/>
  <c r="P1216"/>
  <c r="P1279" s="1"/>
  <c r="R1279" s="1"/>
  <c r="R1291" s="1"/>
  <c r="R1293" s="1"/>
  <c r="C843" i="55" s="1"/>
  <c r="P655" i="1"/>
  <c r="R655" s="1"/>
  <c r="R672" s="1"/>
  <c r="P598"/>
  <c r="R598" s="1"/>
  <c r="P612"/>
  <c r="R612" s="1"/>
  <c r="V1333"/>
  <c r="X1333" s="1"/>
  <c r="I1355"/>
  <c r="K1355" s="1"/>
  <c r="I1377"/>
  <c r="K1377" s="1"/>
  <c r="K1385" s="1"/>
  <c r="K1387" s="1"/>
  <c r="C232" i="55"/>
  <c r="I536" i="1"/>
  <c r="K536" s="1"/>
  <c r="K196"/>
  <c r="C55" i="55"/>
  <c r="X323" i="1"/>
  <c r="X659"/>
  <c r="X660" s="1"/>
  <c r="X661" s="1"/>
  <c r="X662" s="1"/>
  <c r="X663" s="1"/>
  <c r="X664" s="1"/>
  <c r="V528"/>
  <c r="I2927"/>
  <c r="K2927" s="1"/>
  <c r="K2930" s="1"/>
  <c r="K2931" s="1"/>
  <c r="C588" i="55" s="1"/>
  <c r="K2914" i="1"/>
  <c r="C584" i="55"/>
  <c r="K1971" i="1"/>
  <c r="K1977" s="1"/>
  <c r="P1971"/>
  <c r="R1971" s="1"/>
  <c r="R1978" s="1"/>
  <c r="C886" i="55" s="1"/>
  <c r="H41" i="32"/>
  <c r="R1184" i="1"/>
  <c r="C531" i="55"/>
  <c r="I649" i="1"/>
  <c r="K649" s="1"/>
  <c r="K655" s="1"/>
  <c r="K657" s="1"/>
  <c r="I659" s="1"/>
  <c r="K659" s="1"/>
  <c r="P613"/>
  <c r="R613" s="1"/>
  <c r="P630"/>
  <c r="R630" s="1"/>
  <c r="P599"/>
  <c r="R599" s="1"/>
  <c r="K195"/>
  <c r="K202" s="1"/>
  <c r="K204" s="1"/>
  <c r="P163"/>
  <c r="R163" s="1"/>
  <c r="R170" s="1"/>
  <c r="R172" s="1"/>
  <c r="F41" i="50"/>
  <c r="D104"/>
  <c r="F104" s="1"/>
  <c r="K823" i="1"/>
  <c r="I3920"/>
  <c r="C53" i="55"/>
  <c r="K287" i="1"/>
  <c r="C52" i="55"/>
  <c r="S1159" i="1"/>
  <c r="C534" i="55"/>
  <c r="R1158" i="1"/>
  <c r="C1106" i="55"/>
  <c r="C933"/>
  <c r="C1153"/>
  <c r="H1153" s="1"/>
  <c r="P297" i="11"/>
  <c r="R297" s="1"/>
  <c r="R301" s="1"/>
  <c r="R283"/>
  <c r="R287" s="1"/>
  <c r="AI246"/>
  <c r="AG247"/>
  <c r="AI247" s="1"/>
  <c r="AI248" s="1"/>
  <c r="K1027"/>
  <c r="K1019"/>
  <c r="K288"/>
  <c r="C1126" i="55" s="1"/>
  <c r="L289" i="11"/>
  <c r="AQ148" i="1"/>
  <c r="AS148" s="1"/>
  <c r="AQ165"/>
  <c r="AS134"/>
  <c r="M570" i="11"/>
  <c r="P569" s="1"/>
  <c r="M3396" i="27"/>
  <c r="M3400" s="1"/>
  <c r="N567" i="11"/>
  <c r="K798"/>
  <c r="I785" s="1"/>
  <c r="I847"/>
  <c r="K847" s="1"/>
  <c r="C262" i="55"/>
  <c r="C683"/>
  <c r="I595" i="1"/>
  <c r="K595" s="1"/>
  <c r="I596" s="1"/>
  <c r="K596" s="1"/>
  <c r="I597" s="1"/>
  <c r="K597" s="1"/>
  <c r="I598" s="1"/>
  <c r="K598" s="1"/>
  <c r="I599" s="1"/>
  <c r="K599" s="1"/>
  <c r="C671" i="55"/>
  <c r="K602" i="1"/>
  <c r="C256" i="55"/>
  <c r="M589" i="11"/>
  <c r="N586"/>
  <c r="AU109" i="1"/>
  <c r="AV109" s="1"/>
  <c r="AS115"/>
  <c r="L3415" i="27"/>
  <c r="L3419" s="1"/>
  <c r="L3400"/>
  <c r="K1152" i="11"/>
  <c r="K1144"/>
  <c r="K1145" s="1"/>
  <c r="F1124" i="55"/>
  <c r="C718"/>
  <c r="F623" i="25"/>
  <c r="D659"/>
  <c r="R247" i="11"/>
  <c r="S248"/>
  <c r="S250"/>
  <c r="V247"/>
  <c r="V248" s="1"/>
  <c r="V249" s="1"/>
  <c r="T247"/>
  <c r="C1160" i="55"/>
  <c r="H1160" s="1"/>
  <c r="L1132" i="11"/>
  <c r="H669" i="68" l="1"/>
  <c r="L718" i="55"/>
  <c r="N718"/>
  <c r="H718"/>
  <c r="F718"/>
  <c r="P718"/>
  <c r="R718"/>
  <c r="H347" i="68"/>
  <c r="H331"/>
  <c r="G370"/>
  <c r="S834" i="55"/>
  <c r="T834" s="1"/>
  <c r="C552"/>
  <c r="S741"/>
  <c r="T741" s="1"/>
  <c r="H837" i="68"/>
  <c r="X3623" i="1"/>
  <c r="X3627" s="1"/>
  <c r="X3628" s="1"/>
  <c r="C831" i="55" s="1"/>
  <c r="AB3623" i="1"/>
  <c r="AD3623" s="1"/>
  <c r="AD3628" s="1"/>
  <c r="AD3629" s="1"/>
  <c r="C835" i="55" s="1"/>
  <c r="J950"/>
  <c r="G953" i="68"/>
  <c r="J829" i="55"/>
  <c r="V3591" i="1"/>
  <c r="X3576"/>
  <c r="X3580" s="1"/>
  <c r="X3581" s="1"/>
  <c r="C828" i="55" s="1"/>
  <c r="S343"/>
  <c r="T343" s="1"/>
  <c r="S346"/>
  <c r="T346" s="1"/>
  <c r="S46"/>
  <c r="T46" s="1"/>
  <c r="S330"/>
  <c r="T330" s="1"/>
  <c r="T729"/>
  <c r="S742"/>
  <c r="T742" s="1"/>
  <c r="S347"/>
  <c r="T347" s="1"/>
  <c r="S670"/>
  <c r="T670" s="1"/>
  <c r="S603"/>
  <c r="T603" s="1"/>
  <c r="S345"/>
  <c r="T345" s="1"/>
  <c r="S217"/>
  <c r="T217" s="1"/>
  <c r="J256"/>
  <c r="J232"/>
  <c r="J396"/>
  <c r="G397" i="68"/>
  <c r="H397" s="1"/>
  <c r="J205" i="55"/>
  <c r="J767"/>
  <c r="J768"/>
  <c r="J604"/>
  <c r="J945"/>
  <c r="J369"/>
  <c r="J297"/>
  <c r="J534"/>
  <c r="J53"/>
  <c r="J584"/>
  <c r="J843"/>
  <c r="J218"/>
  <c r="G219" i="68"/>
  <c r="H219" s="1"/>
  <c r="J549" i="55"/>
  <c r="J602"/>
  <c r="J891"/>
  <c r="J636"/>
  <c r="J262"/>
  <c r="J52"/>
  <c r="J683"/>
  <c r="J933"/>
  <c r="J671"/>
  <c r="J552"/>
  <c r="J531"/>
  <c r="J245"/>
  <c r="J601"/>
  <c r="J167"/>
  <c r="J437"/>
  <c r="X3645" i="1"/>
  <c r="X3647" s="1"/>
  <c r="J886" i="55"/>
  <c r="J588"/>
  <c r="J55"/>
  <c r="J399"/>
  <c r="J59"/>
  <c r="J661"/>
  <c r="J693"/>
  <c r="J551"/>
  <c r="J717"/>
  <c r="G716" i="68"/>
  <c r="H716" s="1"/>
  <c r="J718" i="55"/>
  <c r="G717" i="68"/>
  <c r="R1106" i="55"/>
  <c r="H1125"/>
  <c r="N1125"/>
  <c r="L1125"/>
  <c r="R1125"/>
  <c r="H1126"/>
  <c r="N1126"/>
  <c r="L1126"/>
  <c r="R1126"/>
  <c r="R1090"/>
  <c r="N1118"/>
  <c r="L1118"/>
  <c r="R1118"/>
  <c r="F1106"/>
  <c r="F1118"/>
  <c r="H1118"/>
  <c r="F1090"/>
  <c r="P3114" i="27"/>
  <c r="K3114"/>
  <c r="K3118" s="1"/>
  <c r="W544" i="1"/>
  <c r="AC544" s="1"/>
  <c r="AJ544" s="1"/>
  <c r="J545"/>
  <c r="F133" i="25"/>
  <c r="D134"/>
  <c r="D299"/>
  <c r="F299" s="1"/>
  <c r="K3092" i="27"/>
  <c r="L3093"/>
  <c r="L3081"/>
  <c r="K3080"/>
  <c r="K2205" s="1"/>
  <c r="K3105"/>
  <c r="K2206" s="1"/>
  <c r="L3106"/>
  <c r="AU100" i="1"/>
  <c r="AV100" s="1"/>
  <c r="C438" i="55"/>
  <c r="C716"/>
  <c r="F618" i="25"/>
  <c r="F628" s="1"/>
  <c r="F630" s="1"/>
  <c r="C893" i="55" s="1"/>
  <c r="D654" i="25"/>
  <c r="X3156" i="1"/>
  <c r="X3166" s="1"/>
  <c r="X3168" s="1"/>
  <c r="C896" i="55" s="1"/>
  <c r="R1122" i="1"/>
  <c r="R1124" s="1"/>
  <c r="C1095" i="55" s="1"/>
  <c r="I2936" i="1"/>
  <c r="K2936" s="1"/>
  <c r="K2939" s="1"/>
  <c r="K2940" s="1"/>
  <c r="C589" i="55" s="1"/>
  <c r="K2915" i="1"/>
  <c r="C585"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K436"/>
  <c r="C206" i="55"/>
  <c r="C686"/>
  <c r="C333"/>
  <c r="C685"/>
  <c r="L368" i="1"/>
  <c r="J368"/>
  <c r="C575" i="55"/>
  <c r="K369" i="1"/>
  <c r="L369" s="1"/>
  <c r="P597"/>
  <c r="AG323"/>
  <c r="C56" i="55"/>
  <c r="AG378" i="1"/>
  <c r="AH368"/>
  <c r="C756" i="55"/>
  <c r="C754"/>
  <c r="C341"/>
  <c r="P628" i="1"/>
  <c r="R628" s="1"/>
  <c r="R634" s="1"/>
  <c r="C662" i="55"/>
  <c r="I630" i="1"/>
  <c r="K630" s="1"/>
  <c r="X1345"/>
  <c r="X1347" s="1"/>
  <c r="C873" i="55" s="1"/>
  <c r="L1335" i="1"/>
  <c r="L1337"/>
  <c r="AE336"/>
  <c r="AG336" s="1"/>
  <c r="AG343" s="1"/>
  <c r="AG345" s="1"/>
  <c r="AG347" s="1"/>
  <c r="X336"/>
  <c r="X343" s="1"/>
  <c r="X345" s="1"/>
  <c r="X347" s="1"/>
  <c r="V763"/>
  <c r="X763" s="1"/>
  <c r="X769" s="1"/>
  <c r="X770" s="1"/>
  <c r="X772" s="1"/>
  <c r="X773" s="1"/>
  <c r="X774" s="1"/>
  <c r="X776" s="1"/>
  <c r="X777" s="1"/>
  <c r="X778" s="1"/>
  <c r="X779" s="1"/>
  <c r="X780" s="1"/>
  <c r="X781" s="1"/>
  <c r="X782" s="1"/>
  <c r="X783" s="1"/>
  <c r="D43" i="50"/>
  <c r="X677" i="1"/>
  <c r="X683" s="1"/>
  <c r="X684" s="1"/>
  <c r="V731"/>
  <c r="X731" s="1"/>
  <c r="X737" s="1"/>
  <c r="X738" s="1"/>
  <c r="C875" i="55"/>
  <c r="X1299" i="1"/>
  <c r="X1306" s="1"/>
  <c r="X1308" s="1"/>
  <c r="X1309" s="1"/>
  <c r="X1310" s="1"/>
  <c r="X1311" s="1"/>
  <c r="X1312" s="1"/>
  <c r="X1313" s="1"/>
  <c r="W1309" s="1"/>
  <c r="W1310" s="1"/>
  <c r="V1319"/>
  <c r="X1319" s="1"/>
  <c r="X1326" s="1"/>
  <c r="X1328" s="1"/>
  <c r="X367"/>
  <c r="K1363"/>
  <c r="K1365" s="1"/>
  <c r="C339" i="55" s="1"/>
  <c r="C387"/>
  <c r="C699"/>
  <c r="X528" i="1"/>
  <c r="X533" s="1"/>
  <c r="X535" s="1"/>
  <c r="V537" s="1"/>
  <c r="X537" s="1"/>
  <c r="V552"/>
  <c r="X552" s="1"/>
  <c r="X557" s="1"/>
  <c r="X559" s="1"/>
  <c r="C464" i="55" s="1"/>
  <c r="L347" i="1"/>
  <c r="C118" i="55"/>
  <c r="K348" i="1"/>
  <c r="C181" i="55"/>
  <c r="X435" i="1"/>
  <c r="C246" i="55"/>
  <c r="I560" i="1"/>
  <c r="K560" s="1"/>
  <c r="D106" i="32"/>
  <c r="F106" s="1"/>
  <c r="F112" s="1"/>
  <c r="F113" s="1"/>
  <c r="F43"/>
  <c r="C757" i="55"/>
  <c r="C684"/>
  <c r="C334"/>
  <c r="C332"/>
  <c r="P284" i="1"/>
  <c r="R284" s="1"/>
  <c r="R289" s="1"/>
  <c r="R291" s="1"/>
  <c r="X402"/>
  <c r="C130" i="55"/>
  <c r="AB552" i="1"/>
  <c r="AD552" s="1"/>
  <c r="AD557" s="1"/>
  <c r="AD559" s="1"/>
  <c r="AD528"/>
  <c r="AD533" s="1"/>
  <c r="AD535" s="1"/>
  <c r="AB537" s="1"/>
  <c r="AD537" s="1"/>
  <c r="K470"/>
  <c r="C219" i="55"/>
  <c r="Z707" i="1"/>
  <c r="X713"/>
  <c r="I1989"/>
  <c r="C573" i="55"/>
  <c r="AD1189" i="1"/>
  <c r="AD1194" s="1"/>
  <c r="AD1196" s="1"/>
  <c r="AD1197" s="1"/>
  <c r="AI1189"/>
  <c r="AK1189" s="1"/>
  <c r="AK1194" s="1"/>
  <c r="AK1196" s="1"/>
  <c r="AK1197" s="1"/>
  <c r="K324"/>
  <c r="L323"/>
  <c r="J402"/>
  <c r="K403"/>
  <c r="C168" i="55"/>
  <c r="C65"/>
  <c r="K288" i="1"/>
  <c r="K824"/>
  <c r="C71" i="55"/>
  <c r="R1185" i="1"/>
  <c r="R1186" s="1"/>
  <c r="C532" i="55"/>
  <c r="C535"/>
  <c r="R1159" i="1"/>
  <c r="K3920"/>
  <c r="K3932" s="1"/>
  <c r="C956" i="55" s="1"/>
  <c r="I3938" i="1"/>
  <c r="C45" i="55"/>
  <c r="I1781" i="1"/>
  <c r="K1781" s="1"/>
  <c r="K1790" s="1"/>
  <c r="C372" i="55" s="1"/>
  <c r="C323"/>
  <c r="C264"/>
  <c r="I660" i="1"/>
  <c r="K660" s="1"/>
  <c r="K1173" i="11"/>
  <c r="K1156"/>
  <c r="N3396" i="27"/>
  <c r="N3400" s="1"/>
  <c r="O567" i="11"/>
  <c r="N570"/>
  <c r="AS165" i="1"/>
  <c r="AQ180"/>
  <c r="R288" i="11"/>
  <c r="C720" i="55" s="1"/>
  <c r="S289" i="11"/>
  <c r="AU115" i="1"/>
  <c r="AV115" s="1"/>
  <c r="AS117"/>
  <c r="AU134"/>
  <c r="AV134" s="1"/>
  <c r="AS140"/>
  <c r="F1126" i="55"/>
  <c r="K1051" i="11"/>
  <c r="K1057" s="1"/>
  <c r="K1035"/>
  <c r="F1153" i="55"/>
  <c r="O586" i="11"/>
  <c r="O589" s="1"/>
  <c r="N589"/>
  <c r="I816"/>
  <c r="K816" s="1"/>
  <c r="K820" s="1"/>
  <c r="L820" s="1"/>
  <c r="K785"/>
  <c r="K789" s="1"/>
  <c r="I3614" i="27"/>
  <c r="L1021" i="11"/>
  <c r="L1019"/>
  <c r="K1020"/>
  <c r="AU101" i="1"/>
  <c r="AV101" s="1"/>
  <c r="C553" i="55"/>
  <c r="AS102" i="1"/>
  <c r="C740" i="55"/>
  <c r="F1160"/>
  <c r="F659" i="25"/>
  <c r="D695"/>
  <c r="F695" s="1"/>
  <c r="I833" i="11"/>
  <c r="I843"/>
  <c r="K843" s="1"/>
  <c r="C1148" i="55"/>
  <c r="AU148" i="1"/>
  <c r="AV148" s="1"/>
  <c r="R302" i="11"/>
  <c r="C721" i="55" s="1"/>
  <c r="S303" i="11"/>
  <c r="H370" i="68" l="1"/>
  <c r="H740" i="55"/>
  <c r="L740"/>
  <c r="N740"/>
  <c r="F740"/>
  <c r="P740"/>
  <c r="R740"/>
  <c r="H875"/>
  <c r="L875"/>
  <c r="N875"/>
  <c r="F875"/>
  <c r="P875"/>
  <c r="R875"/>
  <c r="G753" i="68"/>
  <c r="G57"/>
  <c r="G715"/>
  <c r="G574"/>
  <c r="J828" i="55"/>
  <c r="V3608" i="1"/>
  <c r="X3608" s="1"/>
  <c r="X3612" s="1"/>
  <c r="X3613" s="1"/>
  <c r="C827" i="55" s="1"/>
  <c r="X3591" i="1"/>
  <c r="X3595" s="1"/>
  <c r="X3596" s="1"/>
  <c r="C826" i="55" s="1"/>
  <c r="H953" i="68"/>
  <c r="J835" i="55"/>
  <c r="S950"/>
  <c r="T950" s="1"/>
  <c r="J831"/>
  <c r="S718"/>
  <c r="T718" s="1"/>
  <c r="G889" i="68"/>
  <c r="H889" s="1"/>
  <c r="H717"/>
  <c r="S218" i="55"/>
  <c r="T218" s="1"/>
  <c r="S396"/>
  <c r="T396" s="1"/>
  <c r="S369"/>
  <c r="T369" s="1"/>
  <c r="S717"/>
  <c r="T717" s="1"/>
  <c r="S886"/>
  <c r="T886" s="1"/>
  <c r="J323"/>
  <c r="G324" i="68"/>
  <c r="J553" i="55"/>
  <c r="J264"/>
  <c r="J532"/>
  <c r="J332"/>
  <c r="J387"/>
  <c r="J662"/>
  <c r="J756"/>
  <c r="J686"/>
  <c r="G685" i="68"/>
  <c r="H685" s="1"/>
  <c r="J585" i="55"/>
  <c r="J896"/>
  <c r="J438"/>
  <c r="J720"/>
  <c r="G719" i="68"/>
  <c r="J45" i="55"/>
  <c r="J535"/>
  <c r="J757"/>
  <c r="G756" i="68"/>
  <c r="H756" s="1"/>
  <c r="J246" i="55"/>
  <c r="J118"/>
  <c r="J699"/>
  <c r="J754"/>
  <c r="J56"/>
  <c r="J575"/>
  <c r="J333"/>
  <c r="J716"/>
  <c r="J721"/>
  <c r="G720" i="68"/>
  <c r="H720" s="1"/>
  <c r="J372" i="55"/>
  <c r="G373" i="68"/>
  <c r="H373" s="1"/>
  <c r="J71" i="55"/>
  <c r="J168"/>
  <c r="J684"/>
  <c r="G683" i="68"/>
  <c r="H683" s="1"/>
  <c r="J873" i="55"/>
  <c r="J341"/>
  <c r="G342" i="68"/>
  <c r="H342" s="1"/>
  <c r="J685" i="55"/>
  <c r="J589"/>
  <c r="J893"/>
  <c r="J956"/>
  <c r="J65"/>
  <c r="J573"/>
  <c r="J219"/>
  <c r="J130"/>
  <c r="J334"/>
  <c r="J181"/>
  <c r="J464"/>
  <c r="J339"/>
  <c r="G340" i="68"/>
  <c r="J206" i="55"/>
  <c r="J233"/>
  <c r="J740"/>
  <c r="G739" i="68"/>
  <c r="J875" i="55"/>
  <c r="H1148"/>
  <c r="R1148"/>
  <c r="R1095"/>
  <c r="AS180" i="1"/>
  <c r="AQ196"/>
  <c r="AS196" s="1"/>
  <c r="R1092" i="55"/>
  <c r="R1087"/>
  <c r="V538" i="1"/>
  <c r="X538" s="1"/>
  <c r="C458" i="55"/>
  <c r="F1092"/>
  <c r="F1087"/>
  <c r="V561" i="1"/>
  <c r="X561" s="1"/>
  <c r="J546"/>
  <c r="W545"/>
  <c r="AC545" s="1"/>
  <c r="AJ545" s="1"/>
  <c r="D300" i="25"/>
  <c r="F300" s="1"/>
  <c r="D135"/>
  <c r="F134"/>
  <c r="L3120" i="27"/>
  <c r="K3119"/>
  <c r="R3114"/>
  <c r="R3118" s="1"/>
  <c r="P3128"/>
  <c r="R3128" s="1"/>
  <c r="R3132" s="1"/>
  <c r="R3133" s="1"/>
  <c r="F1095" i="55"/>
  <c r="F654" i="25"/>
  <c r="F664" s="1"/>
  <c r="F666" s="1"/>
  <c r="C894" i="55" s="1"/>
  <c r="D690" i="25"/>
  <c r="F690" s="1"/>
  <c r="F700" s="1"/>
  <c r="F702" s="1"/>
  <c r="C895" i="55" s="1"/>
  <c r="J372" i="1"/>
  <c r="AD1198"/>
  <c r="C838" i="55"/>
  <c r="X714" i="1"/>
  <c r="Z713"/>
  <c r="C483" i="55"/>
  <c r="AB538" i="1"/>
  <c r="AD538" s="1"/>
  <c r="G113" i="32"/>
  <c r="G115" s="1"/>
  <c r="G116" s="1"/>
  <c r="G117" s="1"/>
  <c r="F115"/>
  <c r="F116" s="1"/>
  <c r="F117" s="1"/>
  <c r="Y684" i="1"/>
  <c r="Y686" s="1"/>
  <c r="Y687" s="1"/>
  <c r="Y688" s="1"/>
  <c r="I877" s="1"/>
  <c r="X686"/>
  <c r="X687" s="1"/>
  <c r="X688" s="1"/>
  <c r="X348"/>
  <c r="C85" i="55"/>
  <c r="C874"/>
  <c r="P611" i="1"/>
  <c r="R611" s="1"/>
  <c r="R617" s="1"/>
  <c r="R597"/>
  <c r="R603" s="1"/>
  <c r="J369"/>
  <c r="K370"/>
  <c r="C576" i="55"/>
  <c r="K437" i="1"/>
  <c r="C207" i="55"/>
  <c r="T1216" i="1"/>
  <c r="T1228" s="1"/>
  <c r="T1230" s="1"/>
  <c r="R1228"/>
  <c r="R1230" s="1"/>
  <c r="C1088" i="55" s="1"/>
  <c r="Y324" i="1"/>
  <c r="X325"/>
  <c r="X326" s="1"/>
  <c r="X327" s="1"/>
  <c r="C169" i="55"/>
  <c r="J403" i="1"/>
  <c r="K404"/>
  <c r="AK1198"/>
  <c r="K1989"/>
  <c r="K1998" s="1"/>
  <c r="P1989"/>
  <c r="R1989" s="1"/>
  <c r="R1999" s="1"/>
  <c r="C887" i="55" s="1"/>
  <c r="K471" i="1"/>
  <c r="L470"/>
  <c r="C220" i="55"/>
  <c r="C131"/>
  <c r="X403" i="1"/>
  <c r="H43" i="32"/>
  <c r="F49"/>
  <c r="C182" i="55"/>
  <c r="X436" i="1"/>
  <c r="X368"/>
  <c r="X369" s="1"/>
  <c r="X370" s="1"/>
  <c r="X371" s="1"/>
  <c r="X740"/>
  <c r="X741" s="1"/>
  <c r="X742" s="1"/>
  <c r="Y738"/>
  <c r="Y740" s="1"/>
  <c r="Y741" s="1"/>
  <c r="Y742" s="1"/>
  <c r="AI528" s="1"/>
  <c r="AH323"/>
  <c r="AG324"/>
  <c r="C586" i="55"/>
  <c r="I2946" i="1"/>
  <c r="K2946" s="1"/>
  <c r="K2949" s="1"/>
  <c r="K2950" s="1"/>
  <c r="C590" i="55" s="1"/>
  <c r="K2916" i="1"/>
  <c r="I2955" s="1"/>
  <c r="K2955" s="1"/>
  <c r="K2958" s="1"/>
  <c r="K2959" s="1"/>
  <c r="K325"/>
  <c r="L324"/>
  <c r="F43" i="50"/>
  <c r="F49" s="1"/>
  <c r="F50" s="1"/>
  <c r="D106"/>
  <c r="F106" s="1"/>
  <c r="F112" s="1"/>
  <c r="F113" s="1"/>
  <c r="C137" i="55"/>
  <c r="AG411" i="1"/>
  <c r="C234" i="55"/>
  <c r="I538" i="1"/>
  <c r="K538" s="1"/>
  <c r="R2347"/>
  <c r="R2350" s="1"/>
  <c r="C728" i="55" s="1"/>
  <c r="AB561" i="1"/>
  <c r="AD561" s="1"/>
  <c r="C489" i="55"/>
  <c r="I561" i="1"/>
  <c r="K561" s="1"/>
  <c r="C247" i="55"/>
  <c r="C119"/>
  <c r="K349" i="1"/>
  <c r="L348"/>
  <c r="C91" i="55"/>
  <c r="AG348" i="1"/>
  <c r="I631"/>
  <c r="K631" s="1"/>
  <c r="C663" i="55"/>
  <c r="AH369" i="1"/>
  <c r="AG379"/>
  <c r="C335" i="55"/>
  <c r="AG449" i="1"/>
  <c r="C187" i="55"/>
  <c r="V1238" i="1"/>
  <c r="R1258"/>
  <c r="R1270" s="1"/>
  <c r="R1272" s="1"/>
  <c r="P1235"/>
  <c r="R1235" s="1"/>
  <c r="R1247" s="1"/>
  <c r="R1249" s="1"/>
  <c r="K825"/>
  <c r="C72" i="55"/>
  <c r="I661" i="1"/>
  <c r="K661" s="1"/>
  <c r="C265" i="55"/>
  <c r="K289" i="1"/>
  <c r="C66" i="55"/>
  <c r="K3938" i="1"/>
  <c r="K3950" s="1"/>
  <c r="I3954"/>
  <c r="C536" i="55"/>
  <c r="R1160" i="1"/>
  <c r="F1148" i="55"/>
  <c r="C554"/>
  <c r="AS103" i="1"/>
  <c r="AS104" s="1"/>
  <c r="C556" i="55" s="1"/>
  <c r="AU102" i="1"/>
  <c r="AV102" s="1"/>
  <c r="AU140"/>
  <c r="AV140" s="1"/>
  <c r="AS142"/>
  <c r="K1188" i="11"/>
  <c r="K1192" s="1"/>
  <c r="K1193" s="1"/>
  <c r="K1177"/>
  <c r="K1178" s="1"/>
  <c r="C934" i="55"/>
  <c r="C1154"/>
  <c r="H1154" s="1"/>
  <c r="K1058" i="11"/>
  <c r="L1059"/>
  <c r="AU165" i="1"/>
  <c r="AV165" s="1"/>
  <c r="AS171"/>
  <c r="K1157" i="11"/>
  <c r="L1157" s="1"/>
  <c r="L1159"/>
  <c r="I806"/>
  <c r="L789"/>
  <c r="K1036"/>
  <c r="M1036"/>
  <c r="AU180" i="1"/>
  <c r="AV180" s="1"/>
  <c r="K833" i="11"/>
  <c r="K846" s="1"/>
  <c r="I3662" i="27"/>
  <c r="K3614"/>
  <c r="K3619" s="1"/>
  <c r="I3645"/>
  <c r="K3645" s="1"/>
  <c r="K3650" s="1"/>
  <c r="AS119" i="1"/>
  <c r="AU117"/>
  <c r="AV117" s="1"/>
  <c r="O570" i="11"/>
  <c r="O3396" i="27"/>
  <c r="O3400" s="1"/>
  <c r="H324" i="68" l="1"/>
  <c r="H340"/>
  <c r="H719"/>
  <c r="L874" i="55"/>
  <c r="N874"/>
  <c r="H874"/>
  <c r="F874"/>
  <c r="P874"/>
  <c r="R874"/>
  <c r="H753" i="68"/>
  <c r="L335" i="55"/>
  <c r="N335"/>
  <c r="H335"/>
  <c r="F335"/>
  <c r="R335"/>
  <c r="P335"/>
  <c r="H574" i="68"/>
  <c r="H715"/>
  <c r="H57"/>
  <c r="G727"/>
  <c r="G138"/>
  <c r="G841"/>
  <c r="S740" i="55"/>
  <c r="T740" s="1"/>
  <c r="S573"/>
  <c r="T573" s="1"/>
  <c r="J826"/>
  <c r="J827"/>
  <c r="S372"/>
  <c r="T372" s="1"/>
  <c r="H739" i="68"/>
  <c r="S684" i="55"/>
  <c r="T684" s="1"/>
  <c r="S339"/>
  <c r="T339" s="1"/>
  <c r="S341"/>
  <c r="T341" s="1"/>
  <c r="S754"/>
  <c r="T754" s="1"/>
  <c r="S45"/>
  <c r="T45" s="1"/>
  <c r="S757"/>
  <c r="T757" s="1"/>
  <c r="S720"/>
  <c r="T720" s="1"/>
  <c r="S721"/>
  <c r="T721" s="1"/>
  <c r="S56"/>
  <c r="T56" s="1"/>
  <c r="S686"/>
  <c r="T686" s="1"/>
  <c r="S323"/>
  <c r="T323" s="1"/>
  <c r="G46" i="68"/>
  <c r="H46" s="1"/>
  <c r="S716" i="55"/>
  <c r="T716" s="1"/>
  <c r="C1089"/>
  <c r="C758"/>
  <c r="J556"/>
  <c r="J536"/>
  <c r="J187"/>
  <c r="G188" i="68"/>
  <c r="H188" s="1"/>
  <c r="J91" i="55"/>
  <c r="G92" i="68"/>
  <c r="H92" s="1"/>
  <c r="J247" i="55"/>
  <c r="J728"/>
  <c r="J137"/>
  <c r="J207"/>
  <c r="J85"/>
  <c r="J458"/>
  <c r="J66"/>
  <c r="J72"/>
  <c r="J119"/>
  <c r="J586"/>
  <c r="J220"/>
  <c r="J169"/>
  <c r="J483"/>
  <c r="J489"/>
  <c r="J234"/>
  <c r="J590"/>
  <c r="J182"/>
  <c r="J131"/>
  <c r="J887"/>
  <c r="J576"/>
  <c r="J838"/>
  <c r="J894"/>
  <c r="J934"/>
  <c r="J554"/>
  <c r="J265"/>
  <c r="J663"/>
  <c r="J895"/>
  <c r="J874"/>
  <c r="J335"/>
  <c r="AU196" i="1"/>
  <c r="AV196" s="1"/>
  <c r="AS199"/>
  <c r="V539"/>
  <c r="X539" s="1"/>
  <c r="C459" i="55"/>
  <c r="V562" i="1"/>
  <c r="X562" s="1"/>
  <c r="C465" i="55"/>
  <c r="J547" i="1"/>
  <c r="W547" s="1"/>
  <c r="AC547" s="1"/>
  <c r="AJ547" s="1"/>
  <c r="W546"/>
  <c r="AC546" s="1"/>
  <c r="AJ546" s="1"/>
  <c r="R3119" i="27"/>
  <c r="S3119"/>
  <c r="D301" i="25"/>
  <c r="F301" s="1"/>
  <c r="F309" s="1"/>
  <c r="F310" s="1"/>
  <c r="C790" i="55" s="1"/>
  <c r="D158" i="25"/>
  <c r="F158" s="1"/>
  <c r="F166" s="1"/>
  <c r="F167" s="1"/>
  <c r="C792" i="55" s="1"/>
  <c r="F135" i="25"/>
  <c r="F144" s="1"/>
  <c r="F145" s="1"/>
  <c r="C791" i="55" s="1"/>
  <c r="Y367" i="1"/>
  <c r="Z367" s="1"/>
  <c r="Y368"/>
  <c r="C324" i="55" s="1"/>
  <c r="Y369" i="1"/>
  <c r="X372"/>
  <c r="C138" i="55"/>
  <c r="AG412" i="1"/>
  <c r="C516" i="55"/>
  <c r="X744" i="1"/>
  <c r="K371"/>
  <c r="C577" i="55"/>
  <c r="J370" i="1"/>
  <c r="K372"/>
  <c r="C328" i="55" s="1"/>
  <c r="E9" i="32"/>
  <c r="I2341" i="1"/>
  <c r="K2341" s="1"/>
  <c r="K2343" s="1"/>
  <c r="C871" i="55" s="1"/>
  <c r="E9" i="50"/>
  <c r="F9" s="1"/>
  <c r="F13" s="1"/>
  <c r="F14" s="1"/>
  <c r="C877" i="1"/>
  <c r="AB464"/>
  <c r="AD464" s="1"/>
  <c r="AD468" s="1"/>
  <c r="AD470" s="1"/>
  <c r="AB476" s="1"/>
  <c r="AD476" s="1"/>
  <c r="AD482" s="1"/>
  <c r="AD484" s="1"/>
  <c r="AB486" s="1"/>
  <c r="AD486" s="1"/>
  <c r="C839" i="55"/>
  <c r="AD1199" i="1"/>
  <c r="AB1242"/>
  <c r="X1238"/>
  <c r="X1250" s="1"/>
  <c r="X1252" s="1"/>
  <c r="AG380"/>
  <c r="AG381"/>
  <c r="C325" i="55" s="1"/>
  <c r="C92"/>
  <c r="AG349" i="1"/>
  <c r="C490" i="55"/>
  <c r="AB562" i="1"/>
  <c r="AD562" s="1"/>
  <c r="G50" i="50"/>
  <c r="G52" s="1"/>
  <c r="G53" s="1"/>
  <c r="G54" s="1"/>
  <c r="E73" s="1"/>
  <c r="F73" s="1"/>
  <c r="F77" s="1"/>
  <c r="F78" s="1"/>
  <c r="F81" s="1"/>
  <c r="F52"/>
  <c r="F53" s="1"/>
  <c r="F54" s="1"/>
  <c r="F56" s="1"/>
  <c r="F58" s="1"/>
  <c r="F60" s="1"/>
  <c r="AI552" i="1"/>
  <c r="AK552" s="1"/>
  <c r="AK557" s="1"/>
  <c r="AK559" s="1"/>
  <c r="AK528"/>
  <c r="AK533" s="1"/>
  <c r="AK535" s="1"/>
  <c r="AI537" s="1"/>
  <c r="AK537" s="1"/>
  <c r="H49" i="32"/>
  <c r="F50"/>
  <c r="C700" i="55"/>
  <c r="C388"/>
  <c r="C760"/>
  <c r="S1230" i="1"/>
  <c r="I2789"/>
  <c r="K2789" s="1"/>
  <c r="K2796" s="1"/>
  <c r="K2798" s="1"/>
  <c r="C1119" i="55" s="1"/>
  <c r="C524"/>
  <c r="X690" i="1"/>
  <c r="C484" i="55"/>
  <c r="AB539" i="1"/>
  <c r="AD539" s="1"/>
  <c r="C759" i="55"/>
  <c r="C664"/>
  <c r="I632" i="1"/>
  <c r="K632" s="1"/>
  <c r="C665" i="55" s="1"/>
  <c r="C120"/>
  <c r="L349" i="1"/>
  <c r="K350"/>
  <c r="C235" i="55"/>
  <c r="I539" i="1"/>
  <c r="K539" s="1"/>
  <c r="F115" i="50"/>
  <c r="F116" s="1"/>
  <c r="F117" s="1"/>
  <c r="G113"/>
  <c r="G115" s="1"/>
  <c r="G116" s="1"/>
  <c r="G117" s="1"/>
  <c r="E133" s="1"/>
  <c r="F133" s="1"/>
  <c r="F137" s="1"/>
  <c r="F138" s="1"/>
  <c r="F141" s="1"/>
  <c r="C923" i="55" s="1"/>
  <c r="C170"/>
  <c r="K405" i="1"/>
  <c r="C208" i="55"/>
  <c r="K438" i="1"/>
  <c r="C209" i="55" s="1"/>
  <c r="C86"/>
  <c r="X349" i="1"/>
  <c r="X716"/>
  <c r="X717" s="1"/>
  <c r="X718" s="1"/>
  <c r="Z714"/>
  <c r="Z716" s="1"/>
  <c r="Z717" s="1"/>
  <c r="Z718" s="1"/>
  <c r="P2106" s="1"/>
  <c r="R2106" s="1"/>
  <c r="R2109" s="1"/>
  <c r="AG450"/>
  <c r="C188" i="55"/>
  <c r="C248"/>
  <c r="I562" i="1"/>
  <c r="K562" s="1"/>
  <c r="K326"/>
  <c r="K327" s="1"/>
  <c r="M325"/>
  <c r="AH325"/>
  <c r="AH324"/>
  <c r="AG325"/>
  <c r="AG326" s="1"/>
  <c r="AG327" s="1"/>
  <c r="X437"/>
  <c r="C183" i="55"/>
  <c r="C132"/>
  <c r="X404" i="1"/>
  <c r="C221" i="55"/>
  <c r="L471" i="1"/>
  <c r="K472"/>
  <c r="AK1199"/>
  <c r="C844" i="55"/>
  <c r="I662" i="1"/>
  <c r="K662" s="1"/>
  <c r="C266" i="55"/>
  <c r="C537"/>
  <c r="R1161" i="1"/>
  <c r="C953" i="55"/>
  <c r="L3950" i="1"/>
  <c r="C67" i="55"/>
  <c r="K290" i="1"/>
  <c r="K826"/>
  <c r="C73" i="55"/>
  <c r="K3954" i="1"/>
  <c r="K3966" s="1"/>
  <c r="C955" i="55" s="1"/>
  <c r="I3971" i="1"/>
  <c r="K3971" s="1"/>
  <c r="K3983" s="1"/>
  <c r="C954" i="55" s="1"/>
  <c r="AU119" i="1"/>
  <c r="AV119" s="1"/>
  <c r="AS120"/>
  <c r="AT119"/>
  <c r="L3619" i="27"/>
  <c r="I3636"/>
  <c r="K3636" s="1"/>
  <c r="K806" i="11"/>
  <c r="K808" s="1"/>
  <c r="I3635" i="27"/>
  <c r="K3635" s="1"/>
  <c r="AU171" i="1"/>
  <c r="AV171" s="1"/>
  <c r="AS173"/>
  <c r="I3669" i="27"/>
  <c r="K3669" s="1"/>
  <c r="K3662"/>
  <c r="C1155" i="55"/>
  <c r="H1155" s="1"/>
  <c r="C935"/>
  <c r="C938"/>
  <c r="K1060" i="11"/>
  <c r="C1156" i="55"/>
  <c r="H1156" s="1"/>
  <c r="AU103" i="1"/>
  <c r="AV103" s="1"/>
  <c r="C555" i="55"/>
  <c r="F1154"/>
  <c r="AQ147" i="1"/>
  <c r="AU142"/>
  <c r="AV142" s="1"/>
  <c r="C922" i="55" l="1"/>
  <c r="C593"/>
  <c r="H841" i="68"/>
  <c r="H138"/>
  <c r="H727"/>
  <c r="G93"/>
  <c r="G757"/>
  <c r="J758" i="55"/>
  <c r="G890" i="68"/>
  <c r="H890" s="1"/>
  <c r="S728" i="55"/>
  <c r="T728" s="1"/>
  <c r="S838"/>
  <c r="T838" s="1"/>
  <c r="S887"/>
  <c r="T887" s="1"/>
  <c r="S137"/>
  <c r="T137" s="1"/>
  <c r="S187"/>
  <c r="T187" s="1"/>
  <c r="S91"/>
  <c r="T91" s="1"/>
  <c r="J935"/>
  <c r="J953"/>
  <c r="J183"/>
  <c r="J248"/>
  <c r="J208"/>
  <c r="J759"/>
  <c r="J524"/>
  <c r="G525" i="68"/>
  <c r="H525" s="1"/>
  <c r="J388" i="55"/>
  <c r="J325"/>
  <c r="J516"/>
  <c r="J792"/>
  <c r="J459"/>
  <c r="J221"/>
  <c r="J188"/>
  <c r="G189" i="68"/>
  <c r="J73" i="55"/>
  <c r="J266"/>
  <c r="J132"/>
  <c r="J209"/>
  <c r="J923"/>
  <c r="J664"/>
  <c r="J760"/>
  <c r="G759" i="68"/>
  <c r="H759" s="1"/>
  <c r="J922" i="55"/>
  <c r="J92"/>
  <c r="J328"/>
  <c r="J791"/>
  <c r="J954"/>
  <c r="J555"/>
  <c r="J938"/>
  <c r="J955"/>
  <c r="J67"/>
  <c r="J537"/>
  <c r="J86"/>
  <c r="J170"/>
  <c r="J235"/>
  <c r="J665"/>
  <c r="J484"/>
  <c r="J138"/>
  <c r="G139" i="68"/>
  <c r="H139" s="1"/>
  <c r="J465" i="55"/>
  <c r="J844"/>
  <c r="J120"/>
  <c r="J700"/>
  <c r="J490"/>
  <c r="J839"/>
  <c r="J871"/>
  <c r="J577"/>
  <c r="J324"/>
  <c r="J790"/>
  <c r="H888" i="68"/>
  <c r="AS201" i="1"/>
  <c r="AU199"/>
  <c r="AV199" s="1"/>
  <c r="R1089" i="55"/>
  <c r="R1088"/>
  <c r="V540" i="1"/>
  <c r="X540" s="1"/>
  <c r="C460" i="55"/>
  <c r="N1119"/>
  <c r="L1119"/>
  <c r="R1119"/>
  <c r="V563" i="1"/>
  <c r="X563" s="1"/>
  <c r="C466" i="55"/>
  <c r="F1119"/>
  <c r="H1119"/>
  <c r="F1089"/>
  <c r="F1088"/>
  <c r="L808" i="11"/>
  <c r="K2289" i="1"/>
  <c r="C448" i="55" s="1"/>
  <c r="F17" i="50"/>
  <c r="C921" i="55" s="1"/>
  <c r="X720" i="1"/>
  <c r="C509" i="55"/>
  <c r="C525"/>
  <c r="X691" i="1"/>
  <c r="F52" i="32"/>
  <c r="F53" s="1"/>
  <c r="F54" s="1"/>
  <c r="F56" s="1"/>
  <c r="F58" s="1"/>
  <c r="F60" s="1"/>
  <c r="H50"/>
  <c r="H52" s="1"/>
  <c r="H53" s="1"/>
  <c r="H54" s="1"/>
  <c r="AG350" i="1"/>
  <c r="C93" i="55"/>
  <c r="C496"/>
  <c r="AB487" i="1"/>
  <c r="AD487" s="1"/>
  <c r="E173" i="32"/>
  <c r="E211" s="1"/>
  <c r="F9"/>
  <c r="F13" s="1"/>
  <c r="F14" s="1"/>
  <c r="F17" s="1"/>
  <c r="E73"/>
  <c r="J371" i="1"/>
  <c r="C578" i="55"/>
  <c r="L472" i="1"/>
  <c r="K473"/>
  <c r="C249" i="55"/>
  <c r="I563" i="1"/>
  <c r="K563" s="1"/>
  <c r="P2446"/>
  <c r="R2446" s="1"/>
  <c r="R2448" s="1"/>
  <c r="C872" i="55" s="1"/>
  <c r="V464" i="1"/>
  <c r="X464" s="1"/>
  <c r="X468" s="1"/>
  <c r="X470" s="1"/>
  <c r="V476" s="1"/>
  <c r="X476" s="1"/>
  <c r="X482" s="1"/>
  <c r="X484" s="1"/>
  <c r="V486" s="1"/>
  <c r="X486" s="1"/>
  <c r="P2093"/>
  <c r="K351"/>
  <c r="C121" i="55"/>
  <c r="AI561" i="1"/>
  <c r="AK561" s="1"/>
  <c r="C476" i="55"/>
  <c r="C139"/>
  <c r="AG413" i="1"/>
  <c r="C845" i="55"/>
  <c r="AK1200" i="1"/>
  <c r="C133" i="55"/>
  <c r="X405" i="1"/>
  <c r="AG451"/>
  <c r="C189" i="55"/>
  <c r="AB540" i="1"/>
  <c r="AD540" s="1"/>
  <c r="C485" i="55"/>
  <c r="C470"/>
  <c r="AI538" i="1"/>
  <c r="AK538" s="1"/>
  <c r="C491" i="55"/>
  <c r="AB563" i="1"/>
  <c r="AD563" s="1"/>
  <c r="C840" i="55"/>
  <c r="AD1200" i="1"/>
  <c r="C184" i="55"/>
  <c r="X438" i="1"/>
  <c r="C185" i="55" s="1"/>
  <c r="X350" i="1"/>
  <c r="C87" i="55"/>
  <c r="K406" i="1"/>
  <c r="C171" i="55"/>
  <c r="I540" i="1"/>
  <c r="K540" s="1"/>
  <c r="C236" i="55"/>
  <c r="AD1242" i="1"/>
  <c r="AD1255" s="1"/>
  <c r="AD1257" s="1"/>
  <c r="C1091" i="55" s="1"/>
  <c r="AB1214" i="1"/>
  <c r="AD1214" s="1"/>
  <c r="AD1227" s="1"/>
  <c r="AD1229" s="1"/>
  <c r="C919" i="55" s="1"/>
  <c r="C517"/>
  <c r="X745" i="1"/>
  <c r="C74" i="55"/>
  <c r="K827" i="1"/>
  <c r="K291"/>
  <c r="C69" i="55" s="1"/>
  <c r="C68"/>
  <c r="I663" i="1"/>
  <c r="K663" s="1"/>
  <c r="C267" i="55"/>
  <c r="C538"/>
  <c r="R1162" i="1"/>
  <c r="K3676" i="27"/>
  <c r="M3676" s="1"/>
  <c r="F1156" i="55"/>
  <c r="F1155"/>
  <c r="AU173" i="1"/>
  <c r="AV173" s="1"/>
  <c r="AU120"/>
  <c r="AV120" s="1"/>
  <c r="AS121"/>
  <c r="AT120"/>
  <c r="K3638" i="27"/>
  <c r="AQ179" i="1"/>
  <c r="AS179" s="1"/>
  <c r="AS147"/>
  <c r="N922" i="55" l="1"/>
  <c r="L922"/>
  <c r="H922"/>
  <c r="F922"/>
  <c r="P922"/>
  <c r="R922"/>
  <c r="N593"/>
  <c r="L593"/>
  <c r="H593"/>
  <c r="F593"/>
  <c r="R593"/>
  <c r="P593"/>
  <c r="H93" i="68"/>
  <c r="H757"/>
  <c r="S758" i="55"/>
  <c r="T758" s="1"/>
  <c r="H189" i="68"/>
  <c r="S138" i="55"/>
  <c r="T138" s="1"/>
  <c r="S760"/>
  <c r="T760" s="1"/>
  <c r="S524"/>
  <c r="T524" s="1"/>
  <c r="S92"/>
  <c r="T92" s="1"/>
  <c r="S188"/>
  <c r="T188" s="1"/>
  <c r="J538"/>
  <c r="J470"/>
  <c r="J68"/>
  <c r="J236"/>
  <c r="J87"/>
  <c r="J189"/>
  <c r="G190" i="68"/>
  <c r="H190" s="1"/>
  <c r="J476" i="55"/>
  <c r="J249"/>
  <c r="J509"/>
  <c r="J267"/>
  <c r="J74"/>
  <c r="J184"/>
  <c r="J491"/>
  <c r="J133"/>
  <c r="J139"/>
  <c r="G140" i="68"/>
  <c r="H140" s="1"/>
  <c r="J578" i="55"/>
  <c r="J525"/>
  <c r="G526" i="68"/>
  <c r="H526" s="1"/>
  <c r="J448" i="55"/>
  <c r="J919"/>
  <c r="G922" i="68"/>
  <c r="J171" i="55"/>
  <c r="J185"/>
  <c r="J485"/>
  <c r="J121"/>
  <c r="J872"/>
  <c r="J93"/>
  <c r="G94" i="68"/>
  <c r="H94" s="1"/>
  <c r="J921" i="55"/>
  <c r="J460"/>
  <c r="J69"/>
  <c r="J517"/>
  <c r="J840"/>
  <c r="J845"/>
  <c r="J496"/>
  <c r="J466"/>
  <c r="H887" i="68"/>
  <c r="AU201" i="1"/>
  <c r="AV201" s="1"/>
  <c r="AS203"/>
  <c r="H660" i="68"/>
  <c r="V541" i="1"/>
  <c r="X541" s="1"/>
  <c r="C461" i="55"/>
  <c r="V564" i="1"/>
  <c r="X564" s="1"/>
  <c r="C467" i="55"/>
  <c r="X721" i="1"/>
  <c r="C510" i="55"/>
  <c r="C518"/>
  <c r="X746" i="1"/>
  <c r="AD1201"/>
  <c r="AD1202" s="1"/>
  <c r="AD1203" s="1"/>
  <c r="AD1204" s="1"/>
  <c r="AD1205" s="1"/>
  <c r="AD1206" s="1"/>
  <c r="AD1207" s="1"/>
  <c r="AD1208" s="1"/>
  <c r="C841" i="55"/>
  <c r="C471"/>
  <c r="AI539" i="1"/>
  <c r="AK539" s="1"/>
  <c r="AK1201"/>
  <c r="AK1202" s="1"/>
  <c r="AK1203" s="1"/>
  <c r="AK1204" s="1"/>
  <c r="AK1205" s="1"/>
  <c r="AK1206" s="1"/>
  <c r="C846" i="55"/>
  <c r="I859" i="1"/>
  <c r="K877"/>
  <c r="K889" s="1"/>
  <c r="V877"/>
  <c r="I893"/>
  <c r="K893" s="1"/>
  <c r="I564"/>
  <c r="K564" s="1"/>
  <c r="I565" s="1"/>
  <c r="K565" s="1"/>
  <c r="I566" s="1"/>
  <c r="K566" s="1"/>
  <c r="I567" s="1"/>
  <c r="K567" s="1"/>
  <c r="I568" s="1"/>
  <c r="K568" s="1"/>
  <c r="I569" s="1"/>
  <c r="K569" s="1"/>
  <c r="I570" s="1"/>
  <c r="K570" s="1"/>
  <c r="I571" s="1"/>
  <c r="K571" s="1"/>
  <c r="C250" i="55"/>
  <c r="F211" i="32"/>
  <c r="F215" s="1"/>
  <c r="F216" s="1"/>
  <c r="F219" s="1"/>
  <c r="E254"/>
  <c r="F254" s="1"/>
  <c r="F258" s="1"/>
  <c r="F259" s="1"/>
  <c r="F262" s="1"/>
  <c r="F173"/>
  <c r="F177" s="1"/>
  <c r="F178" s="1"/>
  <c r="F181" s="1"/>
  <c r="AG351" i="1"/>
  <c r="C94" i="55"/>
  <c r="C761"/>
  <c r="C172"/>
  <c r="L406" i="1"/>
  <c r="L407" s="1"/>
  <c r="AB541"/>
  <c r="AD541" s="1"/>
  <c r="C486" i="55"/>
  <c r="L351" i="1"/>
  <c r="L352" s="1"/>
  <c r="L353" s="1"/>
  <c r="C122" i="55"/>
  <c r="C592"/>
  <c r="C596"/>
  <c r="C526"/>
  <c r="X692" i="1"/>
  <c r="C492" i="55"/>
  <c r="AB564" i="1"/>
  <c r="AD564" s="1"/>
  <c r="X406"/>
  <c r="C135" i="55" s="1"/>
  <c r="C134"/>
  <c r="C140"/>
  <c r="AG414" i="1"/>
  <c r="V487"/>
  <c r="X487" s="1"/>
  <c r="C502" i="55"/>
  <c r="L473" i="1"/>
  <c r="K474"/>
  <c r="E133" i="32"/>
  <c r="F133" s="1"/>
  <c r="F137" s="1"/>
  <c r="F138" s="1"/>
  <c r="F141" s="1"/>
  <c r="C594" i="55" s="1"/>
  <c r="F73" i="32"/>
  <c r="F77" s="1"/>
  <c r="F78" s="1"/>
  <c r="F81" s="1"/>
  <c r="C237" i="55"/>
  <c r="I541" i="1"/>
  <c r="K541" s="1"/>
  <c r="C88" i="55"/>
  <c r="X351" i="1"/>
  <c r="C89" i="55" s="1"/>
  <c r="C190"/>
  <c r="AG452" i="1"/>
  <c r="AI562"/>
  <c r="AK562" s="1"/>
  <c r="C477" i="55"/>
  <c r="R2093" i="1"/>
  <c r="R2096" s="1"/>
  <c r="P2099"/>
  <c r="R2099" s="1"/>
  <c r="R2102" s="1"/>
  <c r="C497" i="55"/>
  <c r="AB488" i="1"/>
  <c r="AD488" s="1"/>
  <c r="K828"/>
  <c r="C75" i="55"/>
  <c r="R1163" i="1"/>
  <c r="C539" i="55"/>
  <c r="C268"/>
  <c r="I664" i="1"/>
  <c r="K664" s="1"/>
  <c r="I665" s="1"/>
  <c r="K665" s="1"/>
  <c r="I666" s="1"/>
  <c r="K666" s="1"/>
  <c r="I667" s="1"/>
  <c r="K667" s="1"/>
  <c r="I668" s="1"/>
  <c r="K668" s="1"/>
  <c r="I669" s="1"/>
  <c r="K669" s="1"/>
  <c r="I670" s="1"/>
  <c r="K670" s="1"/>
  <c r="L3638" i="27"/>
  <c r="K2212"/>
  <c r="AS122" i="1"/>
  <c r="AS124" s="1"/>
  <c r="AU121"/>
  <c r="AV121" s="1"/>
  <c r="AU179"/>
  <c r="AV179" s="1"/>
  <c r="AS183"/>
  <c r="AU147"/>
  <c r="AV147" s="1"/>
  <c r="AS151"/>
  <c r="G141" i="68" l="1"/>
  <c r="G95"/>
  <c r="H922"/>
  <c r="S93" i="55"/>
  <c r="T93" s="1"/>
  <c r="S919"/>
  <c r="T919" s="1"/>
  <c r="S139"/>
  <c r="T139" s="1"/>
  <c r="S525"/>
  <c r="T525" s="1"/>
  <c r="S189"/>
  <c r="T189" s="1"/>
  <c r="J594"/>
  <c r="J539"/>
  <c r="J477"/>
  <c r="J89"/>
  <c r="J593"/>
  <c r="J502"/>
  <c r="J134"/>
  <c r="J122"/>
  <c r="J250"/>
  <c r="J467"/>
  <c r="J268"/>
  <c r="J190"/>
  <c r="G191" i="68"/>
  <c r="H191" s="1"/>
  <c r="J237" i="55"/>
  <c r="J140"/>
  <c r="J492"/>
  <c r="J592"/>
  <c r="J94"/>
  <c r="J75"/>
  <c r="J596"/>
  <c r="J486"/>
  <c r="J761"/>
  <c r="J846"/>
  <c r="J841"/>
  <c r="J510"/>
  <c r="J461"/>
  <c r="J497"/>
  <c r="J88"/>
  <c r="J135"/>
  <c r="J526"/>
  <c r="G527" i="68"/>
  <c r="H527" s="1"/>
  <c r="J172" i="55"/>
  <c r="J471"/>
  <c r="J518"/>
  <c r="AS204" i="1"/>
  <c r="AU203"/>
  <c r="AV203" s="1"/>
  <c r="R1091" i="55"/>
  <c r="V565" i="1"/>
  <c r="X565" s="1"/>
  <c r="C468" i="55"/>
  <c r="V542" i="1"/>
  <c r="X542" s="1"/>
  <c r="V543" s="1"/>
  <c r="X543" s="1"/>
  <c r="V544" s="1"/>
  <c r="X544" s="1"/>
  <c r="V545" s="1"/>
  <c r="X545" s="1"/>
  <c r="V546" s="1"/>
  <c r="X546" s="1"/>
  <c r="V547" s="1"/>
  <c r="X547" s="1"/>
  <c r="V548" s="1"/>
  <c r="X548" s="1"/>
  <c r="V549" s="1"/>
  <c r="X549" s="1"/>
  <c r="C462" i="55"/>
  <c r="F1091"/>
  <c r="X722" i="1"/>
  <c r="C511" i="55"/>
  <c r="C191"/>
  <c r="AG453" i="1"/>
  <c r="I542"/>
  <c r="K542" s="1"/>
  <c r="C238" i="55"/>
  <c r="L474" i="1"/>
  <c r="K475"/>
  <c r="AG415"/>
  <c r="C141" i="55"/>
  <c r="C493"/>
  <c r="AB565" i="1"/>
  <c r="AD565" s="1"/>
  <c r="K859"/>
  <c r="K871" s="1"/>
  <c r="V859"/>
  <c r="X859" s="1"/>
  <c r="X871" s="1"/>
  <c r="P852"/>
  <c r="R852" s="1"/>
  <c r="R864" s="1"/>
  <c r="C615" i="55" s="1"/>
  <c r="I3299" i="1"/>
  <c r="K3299" s="1"/>
  <c r="K3311" s="1"/>
  <c r="C478" i="55"/>
  <c r="AI563" i="1"/>
  <c r="AK563" s="1"/>
  <c r="V488"/>
  <c r="X488" s="1"/>
  <c r="C503" i="55"/>
  <c r="C95"/>
  <c r="AG352" i="1"/>
  <c r="C614" i="55"/>
  <c r="K891" i="1"/>
  <c r="C286" i="55"/>
  <c r="L889" i="1"/>
  <c r="AI540"/>
  <c r="AK540" s="1"/>
  <c r="C472" i="55"/>
  <c r="C519"/>
  <c r="X747" i="1"/>
  <c r="Y746"/>
  <c r="AB489"/>
  <c r="AD489" s="1"/>
  <c r="C498" i="55"/>
  <c r="C527"/>
  <c r="X693" i="1"/>
  <c r="X877"/>
  <c r="X889" s="1"/>
  <c r="V893"/>
  <c r="X893" s="1"/>
  <c r="X905" s="1"/>
  <c r="C487" i="55"/>
  <c r="AB542" i="1"/>
  <c r="AD542" s="1"/>
  <c r="AB543" s="1"/>
  <c r="AD543" s="1"/>
  <c r="AB544" s="1"/>
  <c r="AD544" s="1"/>
  <c r="AB545" s="1"/>
  <c r="AD545" s="1"/>
  <c r="AB546" s="1"/>
  <c r="AD546" s="1"/>
  <c r="AB547" s="1"/>
  <c r="AD547" s="1"/>
  <c r="AB548" s="1"/>
  <c r="AD548" s="1"/>
  <c r="AB549" s="1"/>
  <c r="AD549" s="1"/>
  <c r="AJ549" s="1"/>
  <c r="C617" i="55"/>
  <c r="C287"/>
  <c r="R1164" i="1"/>
  <c r="C540" i="55"/>
  <c r="K829" i="1"/>
  <c r="C76" i="55"/>
  <c r="AS153" i="1"/>
  <c r="AU151"/>
  <c r="AV151" s="1"/>
  <c r="AU124"/>
  <c r="AV124" s="1"/>
  <c r="AS185"/>
  <c r="AU183"/>
  <c r="AV183" s="1"/>
  <c r="AS123"/>
  <c r="AU122"/>
  <c r="AV122" s="1"/>
  <c r="H95" i="68" l="1"/>
  <c r="H141"/>
  <c r="S190" i="55"/>
  <c r="T190" s="1"/>
  <c r="S140"/>
  <c r="T140" s="1"/>
  <c r="S526"/>
  <c r="T526" s="1"/>
  <c r="S94"/>
  <c r="T94" s="1"/>
  <c r="J540"/>
  <c r="J76"/>
  <c r="J287"/>
  <c r="J498"/>
  <c r="J519"/>
  <c r="J286"/>
  <c r="J95"/>
  <c r="G96" i="68"/>
  <c r="H96" s="1"/>
  <c r="J478" i="55"/>
  <c r="J468"/>
  <c r="J487"/>
  <c r="J141"/>
  <c r="G142" i="68"/>
  <c r="H142" s="1"/>
  <c r="J238" i="55"/>
  <c r="J511"/>
  <c r="J614"/>
  <c r="G615" i="68"/>
  <c r="J615" i="55"/>
  <c r="J493"/>
  <c r="J191"/>
  <c r="J462"/>
  <c r="J527"/>
  <c r="G528" i="68"/>
  <c r="H528" s="1"/>
  <c r="J617" i="55"/>
  <c r="J472"/>
  <c r="J503"/>
  <c r="AU204" i="1"/>
  <c r="AV204" s="1"/>
  <c r="AS205"/>
  <c r="X723"/>
  <c r="C512" i="55"/>
  <c r="C528"/>
  <c r="X694" i="1"/>
  <c r="C473" i="55"/>
  <c r="AI541" i="1"/>
  <c r="AK541" s="1"/>
  <c r="V489"/>
  <c r="X489" s="1"/>
  <c r="C504" i="55"/>
  <c r="C499"/>
  <c r="AB490" i="1"/>
  <c r="AD490" s="1"/>
  <c r="AB566"/>
  <c r="AD566" s="1"/>
  <c r="C494" i="55"/>
  <c r="L475" i="1"/>
  <c r="K476"/>
  <c r="AE453"/>
  <c r="AG454"/>
  <c r="C616" i="55"/>
  <c r="C288"/>
  <c r="C142"/>
  <c r="AG416" i="1"/>
  <c r="C239" i="55"/>
  <c r="I543" i="1"/>
  <c r="K543" s="1"/>
  <c r="X748"/>
  <c r="C520" i="55"/>
  <c r="AG353" i="1"/>
  <c r="C96" i="55"/>
  <c r="C479"/>
  <c r="AI564" i="1"/>
  <c r="AK564" s="1"/>
  <c r="R1165"/>
  <c r="C541" i="55"/>
  <c r="K830" i="1"/>
  <c r="C77" i="55"/>
  <c r="AU123" i="1"/>
  <c r="AV123" s="1"/>
  <c r="AS155"/>
  <c r="AT155" s="1"/>
  <c r="C558" i="55"/>
  <c r="AU153" i="1"/>
  <c r="AV153" s="1"/>
  <c r="AS187"/>
  <c r="AU185"/>
  <c r="AV185" s="1"/>
  <c r="H615" i="68" l="1"/>
  <c r="S527" i="55"/>
  <c r="T527" s="1"/>
  <c r="S141"/>
  <c r="T141" s="1"/>
  <c r="S95"/>
  <c r="T95" s="1"/>
  <c r="S614"/>
  <c r="T614" s="1"/>
  <c r="J541"/>
  <c r="J96"/>
  <c r="J288"/>
  <c r="J512"/>
  <c r="J558"/>
  <c r="J479"/>
  <c r="J142"/>
  <c r="J528"/>
  <c r="G529" i="68"/>
  <c r="H529" s="1"/>
  <c r="J77" i="55"/>
  <c r="J520"/>
  <c r="J494"/>
  <c r="J504"/>
  <c r="X695" i="1"/>
  <c r="X696" s="1"/>
  <c r="X697" s="1"/>
  <c r="X698" s="1"/>
  <c r="X699" s="1"/>
  <c r="X700" s="1"/>
  <c r="X701" s="1"/>
  <c r="X702" s="1"/>
  <c r="C529" i="55"/>
  <c r="J239"/>
  <c r="J616"/>
  <c r="J499"/>
  <c r="J473"/>
  <c r="AU205" i="1"/>
  <c r="AV205" s="1"/>
  <c r="AS206"/>
  <c r="X724"/>
  <c r="C514" i="55" s="1"/>
  <c r="C513"/>
  <c r="Y748" i="1"/>
  <c r="Y749" s="1"/>
  <c r="C521" i="55"/>
  <c r="X749" i="1"/>
  <c r="V490"/>
  <c r="X490" s="1"/>
  <c r="C506" i="55" s="1"/>
  <c r="C505"/>
  <c r="C480"/>
  <c r="AI565" i="1"/>
  <c r="AK565" s="1"/>
  <c r="AG417"/>
  <c r="C143" i="55"/>
  <c r="AE454" i="1"/>
  <c r="AG455"/>
  <c r="AG354"/>
  <c r="C97" i="55"/>
  <c r="I544" i="1"/>
  <c r="K544" s="1"/>
  <c r="C240" i="55"/>
  <c r="L476" i="1"/>
  <c r="K477"/>
  <c r="C500" i="55"/>
  <c r="AD491" i="1"/>
  <c r="AD492" s="1"/>
  <c r="AD493" s="1"/>
  <c r="AD494" s="1"/>
  <c r="AD495" s="1"/>
  <c r="AD496" s="1"/>
  <c r="AD497" s="1"/>
  <c r="AD498" s="1"/>
  <c r="C474" i="55"/>
  <c r="AI542" i="1"/>
  <c r="AK542" s="1"/>
  <c r="AI543" s="1"/>
  <c r="AK543" s="1"/>
  <c r="AI544" s="1"/>
  <c r="AK544" s="1"/>
  <c r="AI545" s="1"/>
  <c r="AK545" s="1"/>
  <c r="AI546" s="1"/>
  <c r="AK546" s="1"/>
  <c r="AI547" s="1"/>
  <c r="AK547" s="1"/>
  <c r="AI548" s="1"/>
  <c r="AK548" s="1"/>
  <c r="AI549" s="1"/>
  <c r="AK549" s="1"/>
  <c r="R1166"/>
  <c r="C542" i="55"/>
  <c r="K831" i="1"/>
  <c r="C78" i="55"/>
  <c r="AS188" i="1"/>
  <c r="AR187"/>
  <c r="AR203" s="1"/>
  <c r="AU187"/>
  <c r="AV187" s="1"/>
  <c r="C566" i="55"/>
  <c r="AR155" i="1"/>
  <c r="AS156"/>
  <c r="AU155"/>
  <c r="AV155" s="1"/>
  <c r="C559" i="55"/>
  <c r="G530" i="68" l="1"/>
  <c r="S616" i="55"/>
  <c r="T616" s="1"/>
  <c r="S528"/>
  <c r="T528" s="1"/>
  <c r="G617" i="68"/>
  <c r="H617" s="1"/>
  <c r="J542" i="55"/>
  <c r="J240"/>
  <c r="J514"/>
  <c r="J474"/>
  <c r="J506"/>
  <c r="J513"/>
  <c r="J529"/>
  <c r="J97"/>
  <c r="J143"/>
  <c r="J505"/>
  <c r="J559"/>
  <c r="J566"/>
  <c r="J78"/>
  <c r="J500"/>
  <c r="J480"/>
  <c r="J521"/>
  <c r="AS207" i="1"/>
  <c r="AU207" s="1"/>
  <c r="AV207" s="1"/>
  <c r="AU206"/>
  <c r="AV206" s="1"/>
  <c r="K478"/>
  <c r="L477"/>
  <c r="I545"/>
  <c r="K545" s="1"/>
  <c r="C241" i="55"/>
  <c r="AE455" i="1"/>
  <c r="AG456"/>
  <c r="AI566"/>
  <c r="AK566" s="1"/>
  <c r="C481" i="55"/>
  <c r="X750" i="1"/>
  <c r="X751" s="1"/>
  <c r="X752" s="1"/>
  <c r="X753" s="1"/>
  <c r="C522" i="55"/>
  <c r="AG355" i="1"/>
  <c r="C98" i="55"/>
  <c r="AG418" i="1"/>
  <c r="C144" i="55"/>
  <c r="C79"/>
  <c r="K832" i="1"/>
  <c r="C543" i="55"/>
  <c r="R1167" i="1"/>
  <c r="AS157"/>
  <c r="C560" i="55"/>
  <c r="AR156" i="1"/>
  <c r="AU156"/>
  <c r="AV156" s="1"/>
  <c r="AT156"/>
  <c r="AR188"/>
  <c r="AR204" s="1"/>
  <c r="C567" i="55"/>
  <c r="AU188" i="1"/>
  <c r="AV188" s="1"/>
  <c r="AS189"/>
  <c r="H530" i="68" l="1"/>
  <c r="S529" i="55"/>
  <c r="T529" s="1"/>
  <c r="J567"/>
  <c r="J543"/>
  <c r="J79"/>
  <c r="J560"/>
  <c r="J98"/>
  <c r="J481"/>
  <c r="J241"/>
  <c r="J144"/>
  <c r="J522"/>
  <c r="AG419" i="1"/>
  <c r="C145" i="55"/>
  <c r="K479" i="1"/>
  <c r="L479" s="1"/>
  <c r="L478"/>
  <c r="AE456"/>
  <c r="AG457"/>
  <c r="AG356"/>
  <c r="C99" i="55"/>
  <c r="I546" i="1"/>
  <c r="K546" s="1"/>
  <c r="C242" i="55"/>
  <c r="K833" i="1"/>
  <c r="C80" i="55"/>
  <c r="C544"/>
  <c r="R1168" i="1"/>
  <c r="AS190"/>
  <c r="C568" i="55"/>
  <c r="AR189" i="1"/>
  <c r="AR205" s="1"/>
  <c r="AU189"/>
  <c r="AV189" s="1"/>
  <c r="AU157"/>
  <c r="AV157" s="1"/>
  <c r="AS158"/>
  <c r="C561" i="55"/>
  <c r="AR157" i="1"/>
  <c r="J561" i="55" l="1"/>
  <c r="J544"/>
  <c r="J242"/>
  <c r="J145"/>
  <c r="J568"/>
  <c r="J80"/>
  <c r="J99"/>
  <c r="I547" i="1"/>
  <c r="K547" s="1"/>
  <c r="C243" i="55"/>
  <c r="AG420" i="1"/>
  <c r="C146" i="55"/>
  <c r="AG458" i="1"/>
  <c r="AE457"/>
  <c r="AG357"/>
  <c r="C100" i="55"/>
  <c r="K834" i="1"/>
  <c r="C81" i="55"/>
  <c r="C545"/>
  <c r="R1169" i="1"/>
  <c r="AU158"/>
  <c r="AV158" s="1"/>
  <c r="AR158"/>
  <c r="AS159"/>
  <c r="C562" i="55"/>
  <c r="AU190" i="1"/>
  <c r="AV190" s="1"/>
  <c r="AR190"/>
  <c r="AR206" s="1"/>
  <c r="AS191"/>
  <c r="C569" i="55"/>
  <c r="J81" l="1"/>
  <c r="J243"/>
  <c r="J545"/>
  <c r="J569"/>
  <c r="J562"/>
  <c r="J100"/>
  <c r="J146"/>
  <c r="AE458" i="1"/>
  <c r="AG459"/>
  <c r="C101" i="55"/>
  <c r="AG358" i="1"/>
  <c r="AG421"/>
  <c r="C147" i="55"/>
  <c r="C82"/>
  <c r="K835" i="1"/>
  <c r="C83" i="55" s="1"/>
  <c r="C546"/>
  <c r="R1170" i="1"/>
  <c r="AR191"/>
  <c r="AR207" s="1"/>
  <c r="C570" i="55"/>
  <c r="AU191" i="1"/>
  <c r="AV191" s="1"/>
  <c r="AU159"/>
  <c r="AV159" s="1"/>
  <c r="C563" i="55"/>
  <c r="AR159" i="1"/>
  <c r="J546" i="55" l="1"/>
  <c r="J147"/>
  <c r="J82"/>
  <c r="J101"/>
  <c r="J563"/>
  <c r="J570"/>
  <c r="J83"/>
  <c r="AG422" i="1"/>
  <c r="C148" i="55"/>
  <c r="AE459" i="1"/>
  <c r="AG460"/>
  <c r="AG359"/>
  <c r="C102" i="55"/>
  <c r="C547"/>
  <c r="R1171" i="1"/>
  <c r="C548" i="55" s="1"/>
  <c r="J102" l="1"/>
  <c r="J148"/>
  <c r="J547"/>
  <c r="J548"/>
  <c r="C103"/>
  <c r="AG360" i="1"/>
  <c r="C104" i="55" s="1"/>
  <c r="C149"/>
  <c r="AI422" i="1"/>
  <c r="AG461"/>
  <c r="AE460"/>
  <c r="J103" i="55" l="1"/>
  <c r="J104"/>
  <c r="J149"/>
  <c r="AE461" i="1"/>
  <c r="AG462"/>
  <c r="C150" i="55"/>
  <c r="AI423" i="1"/>
  <c r="C151" i="55" s="1"/>
  <c r="J150" l="1"/>
  <c r="N1075"/>
  <c r="D11" i="67" s="1"/>
  <c r="J151" i="55"/>
  <c r="AG463" i="1"/>
  <c r="AE463" s="1"/>
  <c r="AE462"/>
  <c r="P1075" i="55" l="1"/>
  <c r="G12" i="67"/>
  <c r="J1075" i="55"/>
  <c r="D9" i="67" s="1"/>
  <c r="F11"/>
  <c r="I11" s="1"/>
  <c r="H1075" i="55"/>
  <c r="D8" i="67" s="1"/>
  <c r="L1075" i="55"/>
  <c r="D10" i="67" s="1"/>
  <c r="F1075" i="55"/>
  <c r="D5" i="67" s="1"/>
  <c r="F1214" i="55"/>
  <c r="G1056" i="68" l="1"/>
  <c r="H1056" s="1"/>
  <c r="G1033"/>
  <c r="R1077" i="55"/>
  <c r="R1078" s="1"/>
  <c r="S1078" s="1"/>
  <c r="S1075"/>
  <c r="T1075" s="1"/>
  <c r="F8" i="67"/>
  <c r="I8" s="1"/>
  <c r="P1077" i="55"/>
  <c r="P1078" s="1"/>
  <c r="F9" i="67"/>
  <c r="I9" s="1"/>
  <c r="F10"/>
  <c r="I10" s="1"/>
  <c r="P1076" i="55"/>
  <c r="F5" i="67"/>
  <c r="G1124" i="68"/>
  <c r="G6" i="67"/>
  <c r="F1215" i="55"/>
  <c r="F6" i="67" l="1"/>
  <c r="F12" s="1"/>
  <c r="I5"/>
  <c r="I12" s="1"/>
  <c r="V1078" i="55"/>
  <c r="W1078" s="1"/>
  <c r="F13" i="67" l="1"/>
  <c r="F14" s="1"/>
  <c r="F20" l="1"/>
  <c r="F26" s="1"/>
  <c r="G26" s="1"/>
  <c r="G14"/>
  <c r="D27" l="1"/>
  <c r="G27"/>
  <c r="H27"/>
  <c r="F27"/>
  <c r="F29" s="1"/>
</calcChain>
</file>

<file path=xl/sharedStrings.xml><?xml version="1.0" encoding="utf-8"?>
<sst xmlns="http://schemas.openxmlformats.org/spreadsheetml/2006/main" count="36472" uniqueCount="6147">
  <si>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</si>
  <si>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</si>
  <si>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</si>
  <si>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</si>
  <si>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</si>
  <si>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</si>
  <si>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</si>
  <si>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</si>
  <si>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</si>
  <si>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</si>
  <si>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</si>
  <si>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</si>
  <si>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</si>
  <si>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</si>
  <si>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</si>
  <si>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</si>
  <si>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</si>
  <si>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</si>
  <si>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</si>
  <si>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</si>
  <si>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</si>
  <si>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</si>
  <si>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</si>
  <si>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</si>
  <si>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</si>
  <si>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</si>
  <si>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</si>
  <si>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</si>
  <si>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</si>
  <si>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</si>
  <si>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</si>
  <si>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</si>
  <si>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</si>
  <si>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</si>
  <si>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</si>
  <si>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</si>
  <si>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</si>
  <si>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</si>
  <si>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</si>
  <si>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</si>
  <si>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</si>
  <si>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</si>
  <si>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</si>
  <si>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</si>
  <si>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</si>
  <si>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</si>
  <si>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</si>
  <si>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</si>
  <si>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</si>
  <si>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</si>
  <si>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</si>
  <si>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</si>
  <si>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</si>
  <si>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</si>
  <si>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</si>
  <si>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</si>
  <si>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</si>
  <si>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</si>
  <si>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</si>
  <si>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</si>
  <si>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</si>
  <si>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</si>
  <si>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</si>
  <si>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</si>
  <si>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</si>
  <si>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</si>
  <si>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</si>
  <si>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</si>
  <si>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</si>
  <si>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</si>
  <si>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</si>
  <si>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</si>
  <si>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</si>
  <si>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</si>
  <si>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</si>
  <si>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</si>
  <si>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</si>
  <si>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</si>
  <si>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</si>
  <si>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</si>
  <si>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</si>
  <si>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</si>
  <si>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</si>
  <si>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</si>
  <si>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</si>
  <si>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</si>
  <si>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</si>
  <si>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</si>
  <si>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</si>
  <si>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</si>
  <si>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</si>
  <si>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</si>
  <si>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</si>
  <si>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</si>
  <si>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</si>
  <si>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</si>
  <si>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</si>
  <si>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</si>
  <si>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</si>
  <si>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</si>
  <si>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</si>
  <si>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</si>
  <si>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</si>
  <si>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</si>
  <si>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</si>
  <si>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</si>
  <si>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</si>
  <si>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</si>
  <si>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</si>
  <si>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</si>
  <si>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</si>
  <si>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</si>
  <si>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</si>
  <si>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</si>
  <si>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</si>
  <si>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</si>
  <si>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</si>
  <si>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</si>
  <si>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</si>
  <si>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</si>
  <si>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</si>
  <si>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</si>
  <si>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</si>
  <si>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</si>
  <si>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</si>
  <si>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</si>
  <si>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</si>
  <si>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</si>
  <si>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</si>
  <si>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</si>
  <si>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</si>
  <si>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</si>
  <si>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</si>
  <si>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</si>
  <si>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</si>
  <si>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</si>
  <si>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</si>
  <si>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</si>
  <si>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</si>
  <si>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</si>
  <si>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</si>
  <si>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</si>
  <si>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</si>
  <si>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</si>
  <si>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</si>
  <si>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</si>
  <si>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</si>
  <si>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</si>
  <si>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</si>
  <si>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</si>
  <si>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</si>
  <si>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</si>
  <si>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</si>
  <si>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</si>
  <si>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</si>
  <si>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</si>
  <si>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</si>
  <si>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</si>
  <si>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</si>
  <si>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</si>
  <si>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</si>
  <si>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</si>
  <si>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</si>
  <si>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</si>
  <si>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</si>
  <si>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</si>
  <si>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</si>
  <si>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</si>
  <si>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</si>
  <si>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</si>
  <si>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</si>
  <si>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</si>
  <si>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</si>
  <si>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</si>
  <si>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</si>
  <si>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</si>
  <si>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</si>
  <si>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</si>
  <si>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</si>
  <si>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</si>
  <si>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</si>
  <si>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</si>
  <si>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</si>
  <si>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</si>
  <si>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</si>
  <si>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</si>
  <si>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</si>
  <si>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</si>
  <si>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</si>
  <si>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</si>
  <si>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</si>
  <si>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</si>
  <si>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</si>
  <si>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</si>
  <si>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</si>
  <si>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</si>
  <si>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</si>
  <si>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</si>
  <si>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</si>
  <si>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</si>
  <si>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</si>
  <si>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</si>
  <si>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</si>
  <si>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</si>
  <si>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</si>
  <si>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</si>
  <si>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</si>
  <si>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</si>
  <si>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</si>
  <si>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</si>
  <si>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</si>
  <si>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</si>
  <si>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</si>
  <si>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</si>
  <si>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</si>
  <si>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</si>
  <si>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</si>
  <si>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</si>
  <si>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</si>
  <si>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</si>
  <si>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</si>
  <si>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</si>
  <si>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</si>
  <si>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</si>
  <si>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</si>
  <si>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</si>
  <si>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</si>
  <si>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</si>
  <si>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</si>
  <si>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</si>
  <si>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</si>
  <si>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</si>
  <si>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</si>
  <si>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</si>
  <si>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</si>
  <si>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</si>
  <si>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</si>
  <si>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</si>
  <si>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</si>
  <si>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</si>
  <si>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</si>
  <si>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</si>
  <si>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</si>
  <si>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</si>
  <si>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</si>
  <si>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</si>
  <si>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</si>
  <si>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</si>
  <si>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</si>
  <si>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</si>
  <si>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</si>
  <si>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</si>
  <si>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</si>
  <si>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</si>
  <si>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</si>
  <si>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</si>
  <si>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</si>
  <si>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</si>
  <si>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</si>
  <si>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</si>
  <si>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</si>
  <si>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</si>
  <si>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</si>
  <si>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</si>
  <si>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</si>
  <si>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</si>
  <si>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</si>
  <si>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</si>
  <si>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</si>
  <si>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</si>
  <si>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</si>
  <si>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</si>
  <si>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</si>
  <si>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</si>
  <si>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</si>
  <si>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</si>
  <si>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</si>
  <si>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</si>
  <si>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</si>
  <si>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</si>
  <si>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</si>
  <si>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</si>
  <si>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</si>
  <si>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</si>
  <si>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</si>
  <si>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</si>
  <si>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</si>
  <si>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</si>
  <si>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</si>
  <si>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</si>
  <si>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</si>
  <si>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</si>
  <si>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</si>
  <si>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</si>
  <si>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</si>
  <si>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</si>
  <si>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</si>
  <si>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</si>
  <si>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</si>
  <si>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</si>
  <si>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</si>
  <si>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</si>
  <si>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</si>
  <si>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</si>
  <si>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</si>
  <si>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</si>
  <si>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</si>
  <si>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</si>
  <si>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</si>
  <si>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Vadamadurai</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</si>
  <si>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</si>
  <si>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</si>
  <si>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</si>
  <si>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</si>
  <si>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</si>
  <si>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</si>
  <si>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</si>
  <si>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</si>
  <si>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</si>
  <si>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</si>
  <si>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</si>
  <si>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</si>
  <si>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</si>
  <si>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</si>
  <si>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</si>
  <si>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</si>
  <si>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</si>
  <si>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</si>
  <si>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</si>
  <si>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</si>
  <si>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</si>
  <si>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</si>
  <si>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</si>
  <si>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</si>
  <si>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</si>
  <si>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</si>
  <si>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</si>
  <si>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</si>
  <si>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</si>
  <si>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</si>
  <si>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</si>
  <si>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</si>
  <si>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</si>
  <si>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</si>
  <si>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</si>
  <si>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</si>
  <si>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</si>
  <si>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</si>
  <si>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</si>
  <si>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</si>
  <si>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</si>
  <si>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</si>
  <si>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</si>
  <si>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</si>
  <si>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</si>
  <si>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</si>
  <si>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</si>
  <si>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</si>
  <si>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</si>
  <si>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</si>
  <si>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</si>
  <si>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</si>
  <si>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</si>
  <si>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</si>
  <si>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</si>
  <si>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</si>
  <si>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</si>
  <si>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</si>
  <si>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</si>
  <si>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</si>
  <si>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</si>
  <si>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</si>
  <si>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</si>
  <si>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</si>
  <si>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</si>
  <si>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</si>
  <si>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</si>
  <si>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</si>
  <si>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</si>
  <si>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</si>
  <si>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</si>
  <si>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</si>
  <si>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</si>
  <si>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</si>
  <si>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</si>
  <si>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</si>
  <si>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</si>
  <si>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</si>
  <si>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</si>
  <si>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</si>
  <si>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</si>
  <si>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</si>
  <si>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</si>
  <si>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</si>
  <si>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</si>
  <si>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</si>
  <si>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</si>
  <si>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</si>
  <si>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</si>
  <si>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</si>
  <si>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</si>
  <si>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</si>
  <si>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</si>
  <si>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</si>
  <si>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</si>
  <si>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</si>
  <si>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</si>
  <si>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</si>
  <si>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</si>
  <si>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</si>
  <si>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</si>
  <si>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</si>
  <si>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</si>
  <si>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</si>
  <si>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</si>
  <si>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</si>
  <si>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</si>
  <si>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</si>
  <si>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</si>
  <si>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</si>
  <si>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</si>
  <si>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</si>
  <si>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</si>
  <si>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</si>
  <si>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</si>
  <si>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</si>
  <si>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</si>
  <si>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</si>
  <si>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</si>
  <si>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</si>
  <si>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</si>
  <si>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</si>
  <si>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</si>
  <si>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</si>
  <si>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</si>
  <si>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</si>
  <si>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</si>
  <si>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</si>
  <si>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</si>
  <si>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</si>
  <si>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</si>
  <si>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</si>
  <si>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</si>
  <si>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</si>
  <si>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</si>
  <si>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</si>
  <si>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</si>
  <si>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</si>
  <si>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</si>
  <si>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</si>
  <si>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</si>
  <si>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</si>
  <si>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</si>
  <si>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</si>
  <si>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</si>
  <si>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</si>
  <si>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</si>
  <si>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</si>
  <si>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</si>
  <si>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</si>
  <si>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</si>
  <si>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</si>
  <si>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</si>
  <si>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</si>
  <si>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</si>
  <si>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</si>
  <si>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</si>
  <si>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</si>
  <si>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</si>
  <si>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</si>
  <si>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</si>
  <si>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</si>
  <si>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</si>
  <si>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</si>
  <si>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</si>
  <si>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</si>
  <si>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</si>
  <si>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</si>
  <si>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</si>
  <si>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</si>
  <si>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</si>
  <si>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</si>
  <si>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</si>
  <si>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</si>
  <si>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</si>
  <si>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</si>
  <si>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</si>
  <si>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</si>
  <si>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</si>
  <si>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</si>
  <si>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</si>
  <si>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</si>
  <si>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</si>
  <si>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</si>
  <si>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</si>
  <si>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</si>
  <si>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</si>
  <si>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</si>
  <si>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</si>
  <si>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</si>
  <si>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</si>
  <si>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</si>
  <si>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</si>
  <si>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</si>
  <si>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</si>
  <si>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</si>
  <si>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</si>
  <si>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</si>
  <si>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</si>
  <si>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</si>
  <si>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</si>
  <si>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</si>
  <si>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</si>
  <si>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</si>
  <si>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</si>
  <si>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</si>
  <si>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</si>
  <si>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</si>
  <si>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</si>
  <si>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</si>
  <si>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</si>
  <si>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</si>
  <si>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</si>
  <si>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</si>
  <si>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</si>
  <si>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</si>
  <si>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</si>
  <si>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</si>
  <si>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</si>
  <si>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</si>
  <si>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</si>
  <si>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</si>
  <si>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</si>
  <si>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</si>
  <si>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</si>
  <si>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</si>
  <si>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</si>
  <si>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</si>
  <si>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</si>
  <si>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</si>
  <si>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</si>
  <si>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</si>
  <si>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</si>
  <si>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</si>
  <si>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</si>
  <si>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</si>
  <si>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</si>
  <si>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</si>
  <si>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</si>
  <si>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</si>
  <si>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</si>
  <si>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</si>
  <si>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</si>
  <si>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</si>
  <si>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</si>
  <si>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</si>
  <si>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</si>
  <si>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</si>
  <si>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</si>
  <si>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</si>
  <si>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</si>
  <si>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</si>
  <si>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</si>
  <si>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</si>
  <si>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</si>
  <si>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</si>
  <si>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</si>
  <si>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</si>
  <si>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</si>
  <si>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</si>
  <si>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</si>
  <si>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</si>
  <si>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</si>
  <si>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</si>
  <si>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</si>
  <si>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</si>
  <si>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</si>
  <si>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</si>
  <si>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</si>
  <si>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</si>
  <si>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</si>
  <si>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</si>
  <si>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</si>
  <si>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</si>
  <si>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</si>
  <si>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</si>
  <si>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</si>
  <si>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</si>
  <si>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</si>
  <si>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</si>
  <si>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</si>
  <si>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</si>
  <si>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</si>
  <si>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</si>
  <si>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</si>
  <si>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</si>
  <si>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</si>
  <si>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</si>
  <si>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</si>
  <si>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</si>
  <si>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</si>
  <si>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</si>
  <si>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</si>
  <si>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</si>
  <si>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</si>
  <si>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</si>
  <si>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</si>
  <si>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</si>
  <si>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</si>
  <si>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</si>
  <si>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</si>
  <si>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</si>
  <si>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</si>
  <si>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</si>
  <si>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</si>
  <si>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</si>
  <si>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</si>
  <si>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</si>
  <si>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</si>
  <si>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</si>
  <si>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</si>
  <si>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</si>
  <si>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</si>
  <si>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</si>
  <si>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</si>
  <si>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</si>
  <si>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</si>
  <si>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</si>
  <si>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</si>
  <si>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</si>
  <si>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</si>
  <si>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</si>
  <si>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</si>
  <si>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</si>
  <si>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</si>
  <si>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</si>
  <si>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</si>
  <si>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</si>
  <si>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</si>
  <si>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</si>
  <si>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</si>
  <si>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</si>
  <si>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</si>
  <si>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</si>
  <si>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</si>
  <si>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</si>
  <si>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</si>
  <si>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</si>
  <si>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</si>
  <si>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</si>
  <si>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</si>
  <si>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</si>
  <si>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</si>
  <si>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</si>
  <si>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</si>
  <si>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</si>
  <si>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</si>
  <si>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</si>
  <si>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</si>
  <si>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</si>
  <si>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</si>
  <si>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</si>
  <si>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</si>
  <si>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</si>
  <si>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</si>
  <si>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</si>
  <si>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</si>
  <si>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</si>
  <si>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</si>
  <si>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</si>
  <si>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</si>
  <si>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</si>
  <si>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</si>
  <si>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</si>
  <si>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</si>
  <si>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</si>
  <si>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</si>
  <si>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</si>
  <si>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</si>
  <si>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</si>
  <si>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</si>
  <si>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</si>
  <si>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</si>
  <si>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</si>
  <si>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</si>
  <si>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</si>
  <si>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</si>
  <si>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</si>
  <si>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</si>
  <si>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</si>
  <si>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</si>
  <si>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</si>
  <si>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</si>
  <si>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</si>
  <si>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</si>
  <si>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</si>
  <si>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</si>
  <si>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</si>
  <si>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</si>
  <si>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</si>
  <si>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</si>
  <si>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</si>
  <si>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</si>
  <si>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</si>
  <si>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</si>
  <si>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</si>
  <si>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</si>
  <si>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</si>
  <si>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</si>
  <si>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</si>
  <si>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</si>
  <si>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</si>
  <si>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</si>
  <si>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</si>
  <si>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</si>
  <si>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</si>
  <si>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</si>
  <si>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</si>
  <si>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</si>
  <si>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</si>
  <si>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</si>
  <si>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</si>
  <si>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</si>
  <si>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</si>
  <si>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</si>
  <si>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</si>
  <si>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</si>
  <si>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</si>
  <si>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</si>
  <si>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</si>
  <si>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</si>
  <si>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</si>
  <si>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</si>
  <si>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</si>
  <si>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</si>
  <si>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</si>
  <si>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</si>
  <si>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</si>
  <si>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</si>
  <si>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</si>
  <si>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</si>
  <si>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</si>
  <si>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</si>
  <si>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</si>
  <si>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</si>
  <si>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</si>
  <si>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</si>
  <si>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</si>
  <si>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</si>
  <si>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</si>
  <si>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</si>
  <si>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</si>
  <si>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</si>
  <si>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</si>
  <si>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</si>
  <si>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</si>
  <si>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</si>
  <si>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</si>
  <si>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</si>
  <si>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</si>
  <si>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</si>
  <si>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</si>
  <si>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</si>
  <si>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</si>
  <si>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</si>
  <si>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</si>
  <si>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</si>
  <si>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</si>
  <si>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</si>
  <si>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</si>
  <si>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</si>
  <si>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</si>
  <si>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</si>
  <si>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</si>
  <si>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</si>
  <si>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</si>
  <si>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</si>
  <si>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</si>
  <si>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</si>
  <si>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</si>
  <si>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</si>
  <si>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</si>
  <si>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</si>
  <si>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</si>
  <si>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</si>
  <si>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</si>
  <si>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</si>
  <si>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</si>
  <si>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</si>
  <si>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</si>
  <si>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</si>
  <si>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</si>
  <si>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</si>
  <si>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</si>
  <si>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</si>
  <si>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</si>
  <si>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</si>
  <si>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</si>
  <si>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</si>
  <si>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</si>
  <si>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</si>
  <si>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</si>
  <si>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</si>
  <si>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</si>
  <si>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</si>
  <si>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</si>
  <si>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</si>
  <si>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</si>
  <si>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</si>
  <si>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</si>
  <si>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</si>
  <si>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</si>
  <si>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</si>
  <si>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</si>
  <si>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</si>
  <si>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</si>
  <si>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</si>
  <si>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</si>
  <si>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</si>
  <si>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</si>
  <si>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</si>
  <si>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</si>
  <si>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</si>
  <si>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</si>
  <si>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</si>
  <si>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</si>
  <si>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</si>
  <si>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</si>
  <si>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</si>
  <si>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</si>
  <si>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</si>
  <si>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</si>
  <si>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</si>
  <si>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</si>
  <si>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</si>
  <si>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</si>
  <si>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</si>
  <si>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</si>
  <si>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</si>
  <si>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</si>
  <si>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</si>
  <si>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</si>
  <si>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</si>
  <si>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</si>
  <si>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</si>
  <si>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</si>
  <si>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</si>
  <si>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</si>
  <si>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</si>
  <si>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</si>
  <si>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</si>
  <si>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</si>
  <si>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</si>
  <si>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</si>
  <si>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</si>
  <si>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</si>
  <si>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</si>
  <si>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</si>
  <si>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</si>
  <si>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</si>
  <si>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</si>
  <si>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</si>
  <si>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</si>
  <si>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</si>
  <si>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</si>
  <si>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</si>
  <si>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</si>
  <si>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</si>
  <si>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</si>
  <si>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</si>
  <si>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</si>
  <si>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</si>
  <si>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</si>
  <si>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</si>
  <si>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</si>
  <si>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</si>
  <si>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</si>
  <si>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</si>
  <si>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</si>
  <si>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</si>
  <si>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</si>
  <si>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</si>
  <si>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</si>
  <si>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</si>
  <si>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</si>
  <si>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</si>
  <si>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</si>
  <si>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</si>
  <si>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</si>
  <si>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</si>
  <si>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</si>
  <si>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</si>
  <si>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</si>
  <si>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</si>
  <si>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</si>
  <si>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</si>
  <si>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</si>
  <si>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</si>
  <si>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</si>
  <si>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</si>
  <si>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</si>
  <si>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</si>
  <si>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</si>
  <si>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</si>
  <si>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</si>
  <si>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</si>
  <si>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</si>
  <si>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</si>
  <si>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</si>
  <si>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</si>
  <si>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</si>
  <si>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</si>
  <si>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</si>
  <si>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</si>
  <si>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</si>
  <si>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</si>
  <si>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</si>
  <si>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</si>
  <si>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</si>
  <si>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</si>
  <si>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</si>
  <si>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</si>
  <si>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</si>
  <si>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</si>
  <si>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</si>
  <si>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</si>
  <si>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</si>
  <si>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</si>
  <si>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</si>
  <si>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</si>
  <si>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</si>
  <si>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</si>
  <si>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</si>
  <si>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</si>
  <si>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</si>
  <si>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</si>
  <si>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</si>
  <si>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</si>
  <si>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</si>
  <si>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</si>
  <si>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</si>
  <si>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</si>
  <si>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</si>
  <si>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</si>
  <si>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</si>
  <si>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</si>
  <si>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</si>
  <si>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</si>
  <si>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</si>
  <si>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</si>
  <si>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</si>
  <si>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</si>
  <si>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</si>
  <si>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</si>
  <si>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</si>
  <si>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</si>
  <si>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</si>
  <si>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</si>
  <si>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</si>
  <si>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</si>
  <si>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</si>
  <si>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</si>
  <si>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</si>
  <si>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</si>
  <si>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</si>
  <si>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</si>
  <si>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</si>
  <si>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</si>
  <si>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</si>
  <si>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</si>
  <si>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</si>
  <si>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</si>
  <si>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</si>
  <si>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</si>
  <si>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</si>
  <si>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</si>
  <si>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</si>
  <si>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</si>
  <si>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</si>
  <si>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</si>
  <si>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</si>
  <si>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</si>
  <si>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</si>
  <si>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</si>
  <si>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</si>
  <si>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</si>
  <si>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</si>
  <si>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</si>
  <si>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</si>
  <si>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</si>
  <si>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</si>
  <si>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</si>
  <si>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</si>
  <si>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</si>
  <si>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</si>
  <si>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</si>
  <si>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</si>
  <si>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</si>
  <si>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</si>
  <si>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</si>
  <si>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</si>
  <si>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</si>
  <si>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</si>
  <si>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</si>
  <si>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</si>
  <si>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</si>
  <si>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</si>
  <si>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</si>
  <si>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</si>
  <si>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</si>
  <si>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</si>
  <si>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</si>
  <si>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</si>
  <si>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</si>
  <si>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</si>
  <si>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</si>
  <si>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</si>
  <si>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</si>
  <si>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</si>
  <si>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</si>
  <si>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</si>
  <si>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</si>
  <si>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</si>
  <si>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</si>
  <si>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</si>
  <si>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</si>
  <si>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</si>
  <si>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</si>
  <si>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</si>
  <si>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</si>
  <si>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</si>
  <si>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</si>
  <si>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</si>
  <si>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</si>
  <si>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</si>
  <si>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</si>
  <si>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</si>
  <si>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</si>
  <si>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</si>
  <si>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</si>
  <si>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</si>
  <si>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</si>
  <si>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</si>
  <si>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</si>
  <si>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</si>
  <si>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</si>
  <si>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</si>
  <si>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</si>
  <si>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</si>
  <si>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</si>
  <si>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</si>
  <si>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</si>
  <si>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</si>
  <si>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</si>
  <si>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</si>
  <si>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</si>
  <si>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</si>
  <si>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</si>
  <si>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</si>
  <si>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</si>
  <si>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</si>
  <si>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</si>
  <si>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</si>
  <si>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</si>
  <si>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</si>
  <si>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</si>
  <si>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</si>
  <si>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</si>
  <si>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</si>
  <si>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</si>
  <si>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</si>
  <si>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</si>
  <si>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</si>
  <si>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</si>
  <si>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</si>
  <si>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</si>
  <si>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</si>
  <si>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</si>
  <si>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</si>
  <si>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</si>
  <si>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</si>
  <si>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</si>
  <si>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</si>
  <si>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</si>
  <si>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</si>
  <si>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</si>
  <si>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</si>
  <si>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</si>
  <si>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</si>
  <si>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</si>
  <si>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</si>
  <si>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</si>
  <si>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</si>
  <si>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</si>
  <si>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</si>
  <si>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</si>
  <si>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</si>
  <si>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</si>
  <si>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</si>
  <si>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</si>
  <si>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</si>
  <si>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</si>
  <si>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</si>
  <si>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</si>
  <si>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</si>
  <si>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</si>
  <si>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</si>
  <si>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</si>
  <si>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</si>
  <si>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</si>
  <si>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</si>
  <si>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</si>
  <si>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</si>
  <si>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</si>
  <si>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</si>
  <si>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</si>
  <si>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</si>
  <si>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</si>
  <si>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</si>
  <si>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</si>
  <si>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</si>
  <si>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</si>
  <si>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</si>
  <si>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</si>
  <si>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</si>
  <si>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</si>
  <si>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</si>
  <si>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</si>
  <si>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</si>
  <si>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</si>
  <si>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</si>
  <si>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</si>
  <si>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</si>
  <si>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</si>
  <si>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</si>
  <si>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</si>
  <si>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</si>
  <si>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</si>
  <si>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</si>
  <si>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</si>
  <si>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</si>
  <si>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</si>
  <si>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</si>
  <si>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</si>
  <si>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</si>
  <si>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</si>
  <si>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</si>
  <si>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</si>
  <si>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</si>
  <si>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</si>
  <si>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</si>
  <si>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</si>
  <si>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</si>
  <si>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</si>
  <si>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</si>
  <si>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</si>
  <si>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</si>
  <si>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</si>
  <si>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</si>
  <si>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</si>
  <si>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</si>
  <si>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</si>
  <si>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</si>
  <si>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</si>
  <si>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</si>
  <si>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</si>
  <si>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</si>
  <si>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</si>
  <si>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</si>
  <si>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</si>
  <si>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</si>
  <si>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</si>
  <si>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</si>
  <si>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</si>
  <si>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</si>
  <si>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</si>
  <si>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</si>
  <si>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</si>
  <si>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</si>
  <si>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</si>
  <si>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</si>
  <si>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</si>
  <si>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</si>
  <si>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</si>
  <si>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</si>
  <si>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</si>
  <si>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</si>
  <si>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</si>
  <si>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</si>
  <si>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</si>
  <si>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</si>
  <si>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</si>
  <si>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</si>
  <si>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</si>
  <si>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</si>
  <si>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</si>
  <si>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</si>
  <si>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</si>
  <si>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</si>
  <si>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</si>
  <si>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</si>
  <si>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</si>
  <si>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</si>
  <si>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</si>
  <si>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</si>
  <si>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</si>
  <si>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</si>
  <si>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</si>
  <si>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</si>
  <si>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</si>
  <si>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</si>
  <si>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</si>
  <si>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</si>
  <si>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</si>
  <si>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</si>
  <si>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</si>
  <si>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</si>
  <si>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</si>
  <si>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</si>
  <si>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</si>
  <si>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</si>
  <si>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</si>
  <si>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</si>
  <si>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</si>
  <si>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</si>
  <si>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</si>
  <si>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</si>
  <si>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</si>
  <si>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</si>
  <si>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</si>
  <si>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</si>
  <si>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</si>
  <si>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</si>
  <si>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</si>
  <si>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</si>
  <si>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</si>
  <si>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</si>
  <si>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</si>
  <si>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</si>
  <si>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</si>
  <si>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</si>
  <si>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</si>
  <si>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</si>
  <si>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</si>
  <si>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</si>
  <si>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</si>
  <si>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</si>
  <si>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</si>
  <si>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</si>
  <si>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</si>
  <si>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</si>
  <si>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</si>
  <si>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</si>
  <si>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</si>
  <si>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</si>
  <si>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</si>
  <si>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</si>
  <si>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</si>
  <si>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</si>
  <si>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</si>
  <si>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</si>
  <si>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</si>
  <si>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</si>
  <si>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</si>
  <si>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</si>
  <si>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</si>
  <si>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</si>
  <si>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</si>
  <si>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</si>
  <si>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</si>
  <si>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</si>
  <si>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</si>
  <si>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</si>
  <si>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</si>
  <si>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</si>
  <si>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</si>
  <si>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</si>
  <si>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</si>
  <si>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</si>
  <si>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</si>
  <si>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</si>
  <si>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</si>
  <si>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</si>
  <si>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</si>
  <si>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</si>
  <si>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</si>
  <si>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</si>
  <si>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</si>
  <si>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</si>
  <si>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</si>
  <si>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</si>
  <si>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</si>
  <si>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</si>
  <si>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</si>
  <si>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</si>
  <si>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</si>
  <si>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</si>
  <si>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</si>
  <si>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</si>
  <si>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</si>
  <si>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</si>
  <si>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</si>
  <si>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</si>
  <si>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</si>
  <si>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</si>
  <si>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</si>
  <si>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</si>
  <si>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</si>
  <si>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</si>
  <si>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</si>
  <si>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</si>
  <si>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</si>
  <si>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</si>
  <si>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</si>
  <si>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</si>
  <si>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</si>
  <si>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</si>
  <si>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</si>
  <si>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</si>
  <si>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</si>
  <si>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</si>
  <si>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</si>
  <si>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</si>
  <si>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</si>
  <si>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</si>
  <si>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</si>
  <si>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</si>
  <si>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</si>
  <si>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</si>
  <si>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</si>
  <si>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</si>
  <si>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</si>
  <si>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</si>
  <si>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</si>
  <si>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</si>
  <si>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</si>
  <si>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</si>
  <si>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</si>
  <si>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</si>
  <si>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</si>
  <si>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</si>
  <si>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</si>
  <si>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</si>
  <si>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</si>
  <si>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</si>
  <si>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</si>
  <si>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</si>
  <si>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</si>
  <si>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</si>
  <si>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</si>
  <si>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</si>
  <si>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</si>
  <si>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</si>
  <si>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</si>
  <si>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</si>
  <si>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</si>
  <si>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</si>
  <si>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</si>
  <si>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</si>
  <si>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</si>
  <si>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</si>
  <si>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</si>
  <si>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</si>
  <si>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</si>
  <si>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</si>
  <si>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</si>
  <si>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</si>
  <si>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</si>
  <si>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</si>
  <si>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</si>
  <si>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</si>
  <si>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</si>
  <si>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</si>
  <si>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</si>
  <si>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</si>
  <si>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</si>
  <si>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</si>
  <si>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</si>
  <si>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</si>
  <si>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</si>
  <si>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</si>
  <si>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</si>
  <si>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</si>
  <si>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</si>
  <si>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</si>
  <si>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</si>
  <si>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</si>
  <si>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</si>
  <si>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</si>
  <si>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</si>
  <si>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</si>
  <si>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</si>
  <si>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</si>
  <si>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</si>
  <si>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</si>
  <si>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</si>
  <si>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</si>
  <si>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</si>
  <si>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</si>
  <si>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</si>
  <si>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</si>
  <si>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</si>
  <si>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</si>
  <si>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</si>
  <si>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</si>
  <si>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</si>
  <si>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</si>
  <si>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</si>
  <si>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</si>
  <si>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</si>
  <si>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</si>
  <si>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</si>
  <si>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</si>
  <si>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</si>
  <si>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</si>
  <si>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</si>
  <si>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</si>
  <si>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</si>
  <si>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</si>
  <si>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</si>
  <si>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</si>
  <si>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</si>
  <si>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</si>
  <si>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</si>
  <si>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</si>
  <si>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</si>
  <si>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</si>
  <si>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</si>
  <si>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</si>
  <si>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</si>
  <si>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</si>
  <si>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</si>
  <si>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</si>
  <si>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</si>
  <si>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</si>
  <si>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</si>
  <si>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</si>
  <si>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</si>
  <si>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</si>
  <si>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</si>
  <si>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</si>
  <si>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</si>
  <si>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</si>
  <si>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</si>
  <si>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</si>
  <si>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</si>
  <si>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</si>
  <si>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</si>
  <si>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</si>
  <si>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</si>
  <si>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</si>
  <si>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</si>
  <si>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</si>
  <si>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</si>
  <si>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</si>
  <si>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</si>
  <si>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</si>
  <si>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</si>
  <si>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</si>
  <si>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</si>
  <si>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</si>
  <si>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</si>
  <si>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</si>
  <si>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</si>
  <si>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</si>
  <si>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</si>
  <si>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</si>
  <si>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</si>
  <si>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</si>
  <si>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</si>
  <si>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</si>
  <si>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</si>
  <si>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</si>
  <si>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</si>
  <si>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</si>
  <si>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</si>
  <si>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</si>
  <si>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</si>
  <si>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</si>
  <si>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</si>
  <si>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</si>
  <si>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</si>
  <si>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</si>
  <si>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</si>
  <si>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</si>
  <si>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</si>
  <si>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</si>
  <si>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</si>
  <si>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</si>
  <si>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</si>
  <si>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</si>
  <si>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</si>
  <si>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</si>
  <si>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</si>
  <si>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</si>
  <si>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</si>
  <si>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</si>
  <si>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</si>
  <si>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</si>
  <si>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</si>
  <si>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</si>
  <si>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</si>
  <si>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</si>
  <si>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</si>
  <si>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</si>
  <si>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</si>
  <si>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</si>
  <si>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</si>
  <si>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</si>
  <si>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</si>
  <si>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</si>
  <si>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</si>
  <si>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</si>
  <si>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</si>
  <si>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</si>
  <si>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</si>
  <si>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</si>
  <si>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</si>
  <si>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</si>
  <si>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</si>
  <si>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</si>
  <si>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</si>
  <si>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</si>
  <si>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</si>
  <si>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</si>
  <si>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</si>
  <si>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</si>
  <si>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</si>
  <si>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</si>
  <si>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</si>
  <si>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</si>
  <si>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</si>
  <si>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</si>
  <si>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</si>
  <si>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</si>
  <si>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</si>
  <si>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</si>
  <si>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</si>
  <si>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</si>
  <si>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</si>
  <si>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</si>
  <si>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</si>
  <si>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</si>
  <si>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</si>
  <si>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</si>
  <si>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</si>
  <si>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</si>
  <si>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</si>
  <si>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</si>
  <si>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</si>
  <si>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</si>
  <si>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</si>
  <si>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</si>
  <si>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</si>
  <si>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</si>
  <si>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</si>
  <si>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</si>
  <si>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</si>
  <si>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</si>
  <si>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</si>
  <si>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</si>
  <si>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</si>
  <si>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</si>
  <si>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</si>
  <si>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</si>
  <si>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</si>
  <si>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</si>
  <si>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</si>
  <si>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</si>
  <si>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</si>
  <si>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</si>
  <si>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</si>
  <si>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</si>
  <si>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</si>
  <si>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</si>
  <si>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</si>
  <si>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</si>
  <si>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</si>
  <si>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</si>
  <si>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</si>
  <si>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</si>
  <si>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</si>
  <si>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</si>
  <si>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</si>
  <si>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</si>
  <si>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</si>
  <si>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</si>
  <si>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</si>
  <si>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</si>
  <si>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</si>
  <si>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</si>
  <si>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</si>
  <si>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</si>
  <si>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</si>
  <si>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</si>
  <si>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</si>
  <si>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</si>
  <si>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</si>
  <si>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</si>
  <si>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</si>
  <si>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</si>
  <si>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</si>
  <si>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</si>
  <si>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</si>
  <si>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</si>
  <si>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</si>
  <si>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</si>
  <si>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</si>
  <si>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</si>
  <si>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</si>
  <si>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</si>
  <si>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</si>
  <si>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</si>
  <si>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</si>
  <si>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</si>
  <si>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</si>
  <si>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</si>
  <si>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</si>
  <si>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</si>
  <si>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</si>
  <si>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</si>
  <si>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</si>
  <si>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</si>
  <si>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</si>
  <si>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</si>
  <si>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</si>
  <si>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</si>
  <si>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</si>
  <si>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</si>
  <si>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</si>
  <si>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</si>
  <si>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</si>
  <si>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</si>
  <si>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</si>
  <si>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</si>
  <si>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</si>
  <si>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</si>
  <si>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</si>
  <si>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</si>
  <si>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</si>
  <si>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</si>
  <si>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</si>
  <si>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</si>
  <si>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</si>
  <si>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</si>
  <si>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</si>
  <si>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</si>
  <si>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</si>
  <si>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</si>
  <si>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</si>
  <si>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</si>
  <si>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</si>
  <si>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</si>
  <si>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</si>
  <si>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</si>
  <si>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</si>
  <si>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</si>
  <si>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</si>
  <si>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</si>
  <si>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</si>
  <si>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</si>
  <si>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</si>
  <si>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</si>
  <si>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</si>
  <si>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</si>
  <si>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</si>
  <si>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</si>
  <si>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</si>
  <si>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</si>
  <si>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</si>
  <si>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</si>
  <si>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</si>
  <si>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</si>
  <si>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</si>
  <si>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</si>
  <si>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</si>
  <si>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</si>
  <si>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</si>
  <si>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</si>
  <si>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</si>
  <si>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</si>
  <si>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</si>
  <si>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</si>
  <si>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</si>
  <si>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</si>
  <si>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</si>
  <si>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</si>
  <si>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</si>
  <si>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</si>
  <si>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</si>
  <si>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</si>
  <si>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</si>
  <si>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</si>
  <si>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</si>
  <si>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</si>
  <si>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</si>
  <si>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</si>
  <si>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</si>
  <si>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</si>
  <si>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</si>
  <si>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</si>
  <si>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</si>
  <si>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</si>
  <si>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</si>
  <si>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</si>
  <si>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</si>
  <si>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</si>
  <si>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</si>
  <si>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</si>
  <si>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</si>
  <si>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</si>
  <si>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</si>
  <si>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</si>
  <si>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</si>
  <si>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</si>
  <si>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</si>
  <si>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</si>
  <si>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</si>
  <si>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</si>
  <si>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</si>
  <si>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</si>
  <si>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</si>
  <si>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</si>
  <si>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</si>
  <si>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</si>
  <si>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</si>
  <si>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</si>
  <si>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</si>
  <si>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</si>
  <si>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</si>
  <si>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</si>
  <si>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</si>
  <si>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</si>
  <si>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</si>
  <si>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</si>
  <si>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</si>
  <si>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</si>
  <si>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</si>
  <si>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</si>
  <si>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</si>
  <si>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</si>
  <si>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</si>
  <si>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</si>
  <si>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</si>
  <si>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</si>
  <si>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</si>
  <si>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</si>
  <si>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</si>
  <si>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</si>
  <si>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</si>
  <si>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</si>
  <si>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</si>
  <si>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</si>
  <si>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</si>
  <si>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</si>
  <si>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</si>
  <si>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</si>
  <si>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</si>
  <si>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</si>
  <si>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</si>
  <si>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</si>
  <si>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</si>
  <si>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</si>
  <si>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</si>
  <si>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</si>
  <si>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</si>
  <si>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</si>
  <si>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</si>
  <si>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</si>
  <si>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</si>
  <si>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</si>
  <si>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</si>
  <si>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</si>
  <si>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</si>
  <si>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</si>
  <si>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</si>
  <si>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</si>
  <si>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</si>
  <si>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</si>
  <si>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</si>
  <si>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</si>
  <si>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</si>
  <si>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</si>
  <si>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</si>
  <si>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</si>
  <si>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</si>
  <si>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</si>
  <si>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</si>
  <si>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</si>
  <si>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</si>
  <si>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</si>
  <si>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</si>
  <si>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</si>
  <si>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</si>
  <si>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</si>
  <si>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</si>
  <si>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</si>
  <si>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</si>
  <si>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</si>
  <si>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</si>
  <si>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</si>
  <si>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</si>
  <si>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</si>
  <si>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</si>
  <si>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</si>
  <si>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</si>
  <si>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</si>
  <si>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</si>
  <si>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</si>
  <si>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</si>
  <si>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</si>
  <si>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</si>
  <si>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</si>
  <si>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</si>
  <si>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</si>
  <si>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</si>
  <si>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</si>
  <si>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</si>
  <si>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</si>
  <si>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</si>
  <si>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</si>
  <si>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</si>
  <si>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</si>
  <si>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</si>
  <si>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</si>
  <si>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</si>
  <si>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</si>
  <si>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</si>
  <si>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</si>
  <si>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</si>
  <si>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</si>
  <si>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</si>
  <si>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</si>
  <si>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</si>
  <si>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</si>
  <si>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</si>
  <si>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</si>
  <si>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</si>
  <si>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</si>
  <si>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</si>
  <si>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</si>
  <si>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</si>
  <si>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</si>
  <si>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</si>
  <si>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</si>
  <si>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</si>
  <si>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</si>
  <si>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</si>
  <si>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</si>
  <si>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</si>
  <si>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</si>
  <si>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</si>
  <si>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</si>
  <si>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</si>
  <si>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</si>
  <si>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</si>
  <si>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</si>
  <si>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</si>
  <si>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</si>
  <si>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</si>
  <si>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</si>
  <si>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</si>
  <si>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</si>
  <si>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</si>
  <si>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</si>
  <si>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</si>
  <si>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</si>
  <si>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</si>
  <si>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</si>
  <si>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</si>
  <si>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</si>
  <si>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</si>
  <si>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</si>
  <si>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</si>
  <si>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</si>
  <si>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</si>
  <si>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</si>
  <si>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</si>
  <si>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</si>
  <si>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</si>
  <si>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</si>
  <si>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</si>
  <si>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</si>
  <si>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</si>
  <si>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</si>
  <si>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</si>
  <si>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</si>
  <si>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</si>
  <si>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</si>
  <si>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</si>
  <si>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</si>
  <si>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</si>
  <si>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</si>
  <si>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</si>
  <si>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</si>
  <si>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</si>
  <si>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</si>
  <si>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</si>
  <si>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</si>
  <si>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</si>
  <si>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</si>
  <si>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</si>
  <si>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</si>
  <si>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</si>
  <si>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</si>
  <si>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</si>
  <si>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</si>
  <si>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</si>
  <si>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</si>
  <si>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</si>
  <si>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</si>
  <si>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</si>
  <si>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</si>
  <si>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</si>
  <si>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</si>
  <si>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</si>
  <si>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</si>
  <si>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</si>
  <si>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</si>
  <si>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</si>
  <si>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</si>
  <si>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</si>
  <si>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</si>
  <si>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</si>
  <si>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</si>
  <si>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</si>
  <si>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</si>
  <si>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</si>
  <si>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</si>
  <si>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</si>
  <si>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</si>
  <si>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</si>
  <si>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</si>
  <si>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</si>
  <si>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</si>
  <si>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</si>
  <si>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</si>
  <si>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</si>
  <si>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</si>
  <si>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</si>
  <si>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</si>
  <si>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</si>
  <si>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</si>
  <si>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</si>
  <si>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</si>
  <si>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</si>
  <si>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</si>
  <si>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</si>
  <si>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</si>
  <si>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</si>
  <si>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</si>
  <si>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</si>
  <si>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</si>
  <si>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</si>
  <si>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</si>
  <si>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</si>
  <si>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</si>
  <si>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</si>
  <si>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</si>
  <si>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</si>
  <si>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</si>
  <si>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</si>
  <si>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</si>
  <si>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</si>
  <si>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</si>
  <si>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</si>
  <si>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</si>
  <si>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</si>
  <si>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</si>
  <si>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</si>
  <si>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</si>
  <si>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</si>
  <si>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</si>
  <si>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</si>
  <si>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</si>
  <si>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</si>
  <si>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</si>
  <si>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</si>
  <si>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</si>
  <si>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</si>
  <si>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</si>
  <si>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</si>
  <si>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</si>
  <si>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</si>
  <si>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</si>
  <si>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</si>
  <si>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</si>
  <si>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</si>
  <si>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</si>
  <si>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</si>
  <si>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</si>
  <si>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</si>
  <si>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</si>
  <si>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</si>
  <si>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</si>
  <si>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</si>
  <si>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</si>
  <si>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</si>
  <si>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</si>
  <si>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</si>
  <si>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</si>
  <si>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</si>
  <si>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</si>
  <si>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</si>
  <si>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</si>
  <si>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</si>
  <si>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</si>
  <si>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</si>
  <si>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</si>
  <si>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</si>
  <si>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</si>
  <si>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</si>
  <si>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</si>
  <si>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</si>
  <si>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</si>
  <si>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</si>
  <si>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</si>
  <si>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</si>
  <si>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</si>
  <si>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</si>
  <si>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</si>
  <si>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</si>
  <si>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</si>
  <si>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</si>
  <si>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</si>
  <si>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</si>
  <si>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</si>
  <si>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</si>
  <si>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</si>
  <si>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</si>
  <si>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</si>
  <si>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</si>
  <si>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</si>
  <si>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</si>
  <si>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</si>
  <si>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</si>
  <si>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</si>
  <si>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</si>
  <si>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</si>
  <si>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</si>
  <si>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</si>
  <si>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</si>
  <si>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</si>
  <si>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</si>
  <si>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</si>
  <si>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</si>
  <si>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</si>
  <si>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</si>
  <si>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</si>
  <si>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</si>
  <si>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</si>
  <si>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</si>
  <si>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</si>
  <si>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</si>
  <si>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</si>
  <si>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</si>
  <si>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</si>
  <si>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</si>
  <si>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</si>
  <si>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</si>
  <si>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</si>
  <si>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</si>
  <si>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</si>
  <si>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</si>
  <si>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</si>
  <si>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</si>
  <si>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</si>
  <si>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</si>
  <si>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</si>
  <si>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</si>
  <si>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</si>
  <si>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</si>
  <si>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</si>
  <si>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</si>
  <si>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</si>
  <si>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</si>
  <si>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</si>
  <si>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</si>
  <si>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</si>
  <si>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</si>
  <si>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</si>
  <si>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</si>
  <si>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</si>
  <si>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</si>
  <si>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</si>
  <si>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</si>
  <si>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</si>
  <si>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</si>
  <si>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</si>
  <si>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</si>
  <si>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</si>
  <si>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</si>
  <si>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</si>
  <si>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</si>
  <si>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</si>
  <si>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</si>
  <si>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</si>
  <si>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</si>
  <si>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</si>
  <si>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</si>
  <si>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</si>
  <si>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</si>
  <si>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</si>
  <si>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</si>
  <si>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</si>
  <si>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</si>
  <si>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</si>
  <si>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</si>
  <si>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</si>
  <si>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</si>
  <si>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</si>
  <si>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</si>
  <si>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</si>
  <si>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</si>
  <si>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</si>
  <si>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</si>
  <si>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</si>
  <si>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</si>
  <si>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</si>
  <si>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</si>
  <si>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</si>
  <si>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</si>
  <si>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</si>
  <si>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</si>
  <si>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</si>
  <si>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</si>
  <si>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</si>
  <si>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</si>
  <si>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</si>
  <si>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</si>
  <si>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</si>
  <si>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</si>
  <si>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</si>
  <si>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</si>
  <si>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</si>
  <si>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</si>
  <si>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</si>
  <si>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</si>
  <si>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</si>
  <si>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</si>
  <si>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</si>
  <si>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</si>
  <si>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</si>
  <si>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</si>
  <si>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</si>
  <si>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</si>
  <si>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</si>
  <si>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</si>
  <si>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</si>
  <si>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</si>
  <si>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</si>
  <si>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</si>
  <si>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</si>
  <si>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</si>
  <si>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</si>
  <si>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</si>
  <si>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</si>
  <si>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</si>
  <si>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</si>
  <si>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</si>
  <si>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</si>
  <si>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</si>
  <si>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</si>
  <si>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</si>
  <si>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</si>
  <si>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</si>
  <si>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</si>
  <si>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</si>
  <si>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</si>
  <si>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</si>
  <si>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</si>
  <si>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</si>
  <si>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</si>
  <si>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</si>
  <si>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</si>
  <si>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</si>
  <si>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</si>
  <si>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</si>
  <si>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</si>
  <si>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</si>
  <si>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</si>
  <si>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</si>
  <si>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</si>
  <si>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</si>
  <si>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</si>
  <si>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</si>
  <si>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</si>
  <si>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</si>
  <si>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</si>
  <si>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</si>
  <si>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</si>
  <si>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</si>
  <si>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</si>
  <si>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</si>
  <si>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</si>
  <si>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</si>
  <si>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</si>
  <si>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</si>
  <si>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</si>
  <si>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</si>
  <si>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</si>
  <si>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</si>
  <si>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</si>
  <si>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</si>
  <si>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</si>
  <si>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</si>
  <si>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</si>
  <si>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</si>
  <si>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</si>
  <si>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</si>
  <si>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</si>
  <si>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</si>
  <si>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</si>
  <si>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</si>
  <si>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</si>
  <si>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</si>
  <si>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</si>
  <si>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</si>
  <si>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</si>
  <si>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</si>
  <si>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</si>
  <si>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</si>
  <si>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</si>
  <si>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</si>
  <si>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</si>
  <si>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</si>
  <si>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</si>
  <si>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</si>
  <si>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</si>
  <si>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</si>
  <si>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</si>
  <si>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</si>
  <si>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</si>
  <si>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</si>
  <si>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</si>
  <si>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</si>
  <si>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</si>
  <si>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</si>
  <si>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</si>
  <si>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</si>
  <si>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</si>
  <si>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</si>
  <si>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</si>
  <si>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</si>
  <si>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</si>
  <si>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</si>
  <si>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</si>
  <si>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</si>
  <si>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</si>
  <si>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</si>
  <si>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</si>
  <si>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</si>
  <si>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</si>
  <si>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</si>
  <si>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</si>
  <si>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</si>
  <si>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</si>
  <si>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</si>
  <si>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</si>
  <si>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</si>
  <si>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</si>
  <si>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</si>
  <si>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</si>
  <si>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</si>
  <si>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</si>
  <si>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</si>
  <si>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</si>
  <si>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</si>
  <si>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</si>
  <si>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</si>
  <si>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</si>
  <si>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</si>
  <si>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</si>
  <si>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</si>
  <si>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</si>
  <si>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</si>
  <si>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</si>
  <si>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</si>
  <si>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</si>
  <si>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</si>
  <si>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</si>
  <si>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</si>
  <si>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</si>
  <si>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</si>
  <si>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</si>
  <si>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</si>
  <si>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</si>
  <si>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</si>
  <si>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</si>
  <si>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</si>
  <si>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</si>
  <si>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</si>
  <si>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</si>
  <si>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</si>
  <si>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</si>
  <si>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</si>
  <si>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</si>
  <si>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</si>
  <si>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</si>
  <si>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</si>
  <si>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</si>
  <si>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</si>
  <si>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</si>
  <si>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</si>
  <si>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</si>
  <si>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</si>
  <si>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</si>
  <si>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</si>
  <si>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</si>
  <si>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</si>
  <si>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</si>
  <si>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</si>
  <si>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</si>
  <si>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</si>
  <si>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</si>
  <si>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</si>
  <si>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</si>
  <si>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</si>
  <si>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</si>
  <si>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</si>
  <si>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</si>
  <si>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</si>
  <si>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</si>
  <si>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</si>
  <si>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</si>
  <si>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</si>
  <si>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</si>
  <si>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</si>
  <si>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</si>
  <si>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</si>
  <si>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</si>
  <si>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</si>
  <si>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</si>
  <si>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</si>
  <si>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</si>
  <si>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</si>
  <si>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</si>
  <si>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</si>
  <si>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</si>
  <si>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</si>
  <si>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</si>
  <si>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</si>
  <si>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</si>
  <si>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</si>
  <si>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</si>
  <si>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</si>
  <si>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</si>
  <si>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</si>
  <si>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</si>
  <si>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</si>
  <si>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</si>
  <si>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</si>
  <si>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</si>
  <si>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</si>
  <si>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</si>
  <si>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</si>
  <si>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</si>
  <si>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</si>
  <si>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</si>
  <si>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</si>
  <si>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</si>
  <si>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</si>
  <si>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</si>
  <si>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</si>
  <si>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</si>
  <si>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</si>
  <si>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</si>
  <si>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</si>
  <si>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</si>
  <si>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</si>
  <si>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</si>
  <si>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</si>
  <si>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</si>
  <si>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</si>
  <si>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</si>
  <si>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</si>
  <si>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</si>
  <si>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</si>
  <si>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</si>
  <si>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</si>
  <si>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</si>
  <si>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</si>
  <si>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</si>
  <si>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</si>
  <si>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</si>
  <si>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</si>
  <si>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</si>
  <si>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</si>
  <si>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</si>
  <si>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</si>
  <si>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</si>
  <si>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</si>
  <si>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</si>
  <si>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</si>
  <si>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</si>
  <si>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</si>
  <si>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</si>
  <si>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</si>
  <si>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</si>
  <si>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</si>
  <si>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</si>
  <si>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</si>
  <si>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</si>
  <si>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</si>
  <si>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</si>
  <si>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</si>
  <si>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</si>
  <si>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</si>
  <si>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</si>
  <si>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</si>
  <si>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</si>
  <si>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</si>
  <si>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</si>
  <si>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</si>
  <si>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</si>
  <si>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</si>
  <si>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</si>
  <si>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</si>
  <si>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</si>
  <si>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</si>
  <si>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</si>
  <si>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</si>
  <si>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</si>
  <si>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</si>
  <si>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</si>
  <si>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</si>
  <si>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</si>
  <si>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</si>
  <si>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</si>
  <si>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</si>
  <si>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</si>
  <si>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</si>
  <si>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</si>
  <si>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</si>
  <si>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</si>
  <si>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</si>
  <si>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</si>
  <si>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</si>
  <si>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</si>
  <si>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</si>
  <si>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</si>
  <si>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</si>
  <si>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</si>
  <si>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</si>
  <si>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</si>
  <si>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</si>
  <si>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</si>
  <si>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</si>
  <si>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</si>
  <si>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</si>
  <si>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</si>
  <si>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</si>
  <si>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</si>
  <si>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</si>
  <si>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</si>
  <si>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</si>
  <si>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</si>
  <si>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</si>
  <si>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</si>
  <si>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</si>
  <si>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</si>
  <si>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</si>
  <si>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</si>
  <si>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</si>
  <si>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</si>
  <si>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</si>
  <si>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</si>
  <si>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</si>
  <si>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</si>
  <si>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</si>
  <si>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</si>
  <si>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</si>
  <si>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</si>
  <si>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</si>
  <si>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</si>
  <si>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</si>
  <si>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</si>
  <si>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</si>
  <si>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</si>
  <si>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</si>
  <si>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</si>
  <si>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</si>
  <si>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</si>
  <si>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</si>
  <si>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</si>
  <si>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</si>
  <si>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</si>
  <si>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</si>
  <si>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</si>
  <si>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</si>
  <si>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</si>
  <si>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</si>
  <si>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</si>
  <si>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</si>
  <si>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</si>
  <si>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</si>
  <si>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</si>
  <si>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</si>
  <si>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</si>
  <si>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</si>
  <si>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</si>
  <si>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</si>
  <si>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</si>
  <si>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</si>
  <si>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</si>
  <si>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</si>
  <si>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</si>
  <si>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</si>
  <si>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</si>
  <si>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</si>
  <si>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</si>
  <si>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</si>
  <si>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</si>
  <si>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</si>
  <si>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</si>
  <si>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</si>
  <si>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</si>
  <si>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</si>
  <si>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</si>
  <si>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</si>
  <si>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</si>
  <si>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</si>
  <si>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</si>
  <si>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</si>
  <si>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</si>
  <si>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</si>
  <si>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</si>
  <si>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</si>
  <si>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</si>
  <si>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</si>
  <si>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</si>
  <si>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</si>
  <si>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</si>
  <si>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</si>
  <si>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</si>
  <si>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</si>
  <si>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</si>
  <si>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</si>
  <si>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</si>
  <si>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</si>
  <si>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</si>
  <si>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</si>
  <si>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</si>
  <si>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</si>
  <si>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</si>
  <si>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</si>
  <si>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</si>
  <si>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</si>
  <si>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</si>
  <si>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</si>
  <si>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</si>
  <si>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</si>
  <si>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</si>
  <si>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</si>
  <si>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</si>
  <si>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</si>
  <si>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</si>
  <si>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</si>
  <si>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</si>
  <si>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</si>
  <si>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</si>
  <si>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</si>
  <si>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</si>
  <si>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</si>
  <si>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</si>
  <si>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</si>
  <si>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</si>
  <si>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</si>
  <si>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</si>
  <si>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</si>
  <si>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</si>
  <si>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</si>
  <si>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</si>
  <si>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</si>
  <si>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</si>
  <si>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</si>
  <si>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</si>
  <si>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</si>
  <si>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</si>
  <si>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</si>
  <si>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</si>
  <si>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</si>
  <si>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</si>
  <si>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</si>
  <si>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</si>
  <si>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</si>
  <si>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</si>
  <si>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</si>
  <si>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</si>
  <si>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</si>
  <si>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</si>
  <si>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</si>
  <si>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</si>
  <si>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</si>
  <si>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</si>
  <si>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</si>
  <si>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</si>
  <si>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</si>
  <si>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</si>
  <si>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</si>
  <si>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</si>
  <si>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</si>
  <si>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</si>
  <si>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</si>
  <si>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</si>
  <si>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</si>
  <si>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</si>
  <si>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</si>
  <si>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</si>
  <si>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</si>
  <si>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</si>
  <si>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</si>
  <si>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</si>
  <si>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</si>
  <si>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</si>
  <si>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</si>
  <si>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</si>
  <si>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</si>
  <si>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</si>
  <si>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</si>
  <si>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</si>
  <si>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</si>
  <si>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</si>
  <si>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</si>
  <si>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</si>
  <si>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</si>
  <si>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</si>
  <si>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</si>
  <si>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</si>
  <si>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</si>
  <si>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</si>
  <si>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</si>
  <si>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</si>
  <si>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</si>
  <si>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</si>
  <si>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</si>
  <si>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</si>
  <si>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</si>
  <si>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</si>
  <si>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</si>
  <si>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</si>
  <si>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</si>
  <si>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</si>
  <si>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</si>
  <si>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</si>
  <si>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</si>
  <si>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</si>
  <si>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</si>
  <si>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</si>
  <si>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</si>
  <si>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</si>
  <si>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</si>
  <si>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</si>
  <si>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</si>
  <si>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</si>
  <si>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</si>
  <si>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</si>
  <si>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</si>
  <si>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</si>
  <si>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</si>
  <si>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</si>
  <si>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</si>
  <si>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</si>
  <si>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</si>
  <si>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</si>
  <si>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</si>
  <si>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</si>
  <si>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</si>
  <si>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</si>
  <si>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</si>
  <si>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</si>
  <si>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</si>
  <si>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</si>
  <si>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</si>
  <si>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</si>
  <si>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</si>
  <si>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</si>
  <si>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</si>
  <si>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</si>
  <si>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</si>
  <si>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</si>
  <si>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</si>
  <si>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</si>
  <si>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</si>
  <si>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</si>
  <si>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</si>
  <si>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</si>
  <si>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</si>
  <si>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</si>
  <si>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</si>
  <si>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</si>
  <si>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</si>
  <si>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</si>
  <si>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</si>
  <si>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</si>
  <si>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</si>
  <si>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</si>
  <si>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</si>
  <si>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</si>
  <si>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</si>
  <si>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</si>
  <si>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</si>
  <si>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</si>
  <si>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</si>
  <si>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</si>
  <si>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</si>
  <si>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</si>
  <si>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</si>
  <si>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</si>
  <si>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</si>
  <si>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</si>
  <si>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</si>
  <si>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</si>
  <si>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</si>
  <si>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</si>
  <si>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</si>
  <si>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</si>
  <si>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</si>
  <si>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</si>
  <si>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</si>
  <si>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</si>
  <si>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</si>
  <si>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</si>
  <si>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</si>
  <si>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</si>
  <si>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</si>
  <si>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</si>
  <si>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</si>
  <si>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</si>
  <si>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</si>
  <si>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</si>
  <si>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</si>
  <si>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</si>
  <si>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</si>
  <si>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</si>
  <si>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</si>
  <si>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</si>
  <si>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</si>
  <si>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</si>
  <si>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</si>
  <si>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</si>
  <si>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</si>
  <si>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</si>
  <si>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</si>
  <si>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</si>
  <si>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</si>
  <si>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</si>
  <si>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</si>
  <si>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</si>
  <si>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</si>
  <si>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</si>
  <si>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</si>
  <si>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</si>
  <si>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</si>
  <si>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</si>
  <si>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</si>
  <si>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</si>
  <si>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</si>
  <si>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</si>
  <si>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</si>
  <si>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</si>
  <si>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</si>
  <si>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</si>
  <si>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</si>
  <si>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</si>
  <si>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</si>
  <si>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</si>
  <si>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</si>
  <si>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</si>
  <si>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</si>
  <si>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</si>
  <si>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</si>
  <si>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</si>
  <si>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</si>
  <si>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</si>
  <si>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</si>
  <si>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</si>
  <si>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</si>
  <si>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</si>
  <si>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</si>
  <si>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</si>
  <si>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</si>
  <si>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</si>
  <si>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</si>
  <si>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</si>
  <si>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</si>
  <si>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</si>
  <si>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</si>
  <si>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</si>
  <si>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</si>
  <si>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</si>
  <si>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</si>
  <si>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</si>
  <si>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</si>
  <si>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</si>
  <si>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</si>
  <si>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</si>
  <si>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</si>
  <si>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</si>
  <si>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</si>
  <si>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</si>
  <si>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</si>
  <si>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</si>
  <si>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</si>
  <si>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</si>
  <si>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</si>
  <si>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</si>
  <si>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</si>
  <si>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</si>
  <si>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</si>
  <si>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</si>
  <si>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</si>
  <si>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</si>
  <si>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</si>
  <si>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</si>
  <si>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</si>
  <si>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</si>
  <si>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</si>
  <si>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</si>
  <si>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</si>
  <si>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</si>
  <si>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</si>
  <si>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</si>
  <si>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</si>
  <si>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</si>
  <si>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</si>
  <si>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</si>
  <si>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</si>
  <si>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</si>
  <si>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</si>
  <si>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</si>
  <si>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</si>
  <si>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</si>
  <si>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</si>
  <si>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</si>
  <si>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</si>
  <si>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</si>
  <si>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</si>
  <si>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</si>
  <si>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</si>
  <si>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</si>
  <si>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</si>
  <si>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</si>
  <si>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</si>
  <si>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</si>
  <si>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</si>
  <si>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</si>
  <si>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</si>
  <si>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</si>
  <si>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</si>
  <si>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</si>
  <si>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</si>
  <si>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</si>
  <si>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</si>
  <si>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</si>
  <si>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</si>
  <si>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</si>
  <si>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</si>
  <si>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</si>
  <si>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</si>
  <si>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</si>
  <si>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</si>
  <si>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</si>
  <si>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</si>
  <si>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</si>
  <si>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</si>
  <si>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</si>
  <si>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</si>
  <si>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</si>
  <si>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</si>
  <si>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</si>
  <si>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</si>
  <si>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</si>
  <si>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</si>
  <si>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</si>
  <si>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</si>
  <si>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</si>
  <si>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</si>
  <si>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</si>
  <si>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</si>
  <si>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</si>
  <si>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</si>
  <si>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</si>
  <si>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</si>
  <si>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</si>
  <si>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</si>
  <si>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</si>
  <si>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</si>
  <si>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</si>
  <si>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</si>
  <si>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</si>
  <si>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</si>
  <si>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</si>
  <si>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</si>
  <si>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</si>
  <si>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</si>
  <si>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</si>
  <si>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</si>
  <si>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</si>
  <si>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</si>
  <si>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</si>
  <si>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</si>
  <si>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</si>
  <si>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</si>
  <si>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</si>
  <si>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</si>
  <si>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</si>
  <si>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</si>
  <si>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</si>
  <si>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</si>
  <si>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</si>
  <si>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</si>
  <si>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</si>
  <si>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</si>
  <si>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</si>
  <si>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</si>
  <si>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</si>
  <si>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</si>
  <si>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</si>
  <si>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</si>
  <si>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</si>
  <si>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</si>
  <si>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</si>
  <si>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</si>
  <si>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</si>
  <si>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</si>
  <si>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</si>
  <si>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</si>
  <si>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</si>
  <si>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</si>
  <si>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</si>
  <si>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</si>
  <si>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</si>
  <si>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</si>
  <si>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</si>
  <si>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</si>
  <si>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</si>
  <si>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</si>
  <si>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</si>
  <si>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</si>
  <si>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</si>
  <si>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</si>
  <si>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</si>
  <si>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</si>
  <si>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</si>
  <si>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</si>
  <si>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</si>
  <si>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</si>
  <si>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</si>
  <si>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</si>
  <si>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</si>
  <si>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</si>
  <si>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</si>
  <si>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</si>
  <si>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</si>
  <si>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</si>
  <si>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</si>
  <si>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</si>
  <si>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</si>
  <si>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</si>
  <si>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</si>
  <si>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</si>
  <si>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</si>
  <si>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</si>
  <si>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</si>
  <si>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</si>
  <si>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</si>
  <si>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</si>
  <si>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</si>
  <si>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</si>
  <si>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</si>
  <si>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</si>
  <si>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</si>
  <si>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</si>
  <si>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</si>
  <si>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</si>
  <si>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</si>
  <si>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</si>
  <si>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</si>
  <si>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</si>
  <si>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</si>
  <si>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</si>
  <si>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</si>
  <si>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</si>
  <si>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</si>
  <si>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</si>
  <si>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</si>
  <si>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</si>
  <si>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</si>
  <si>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</si>
  <si>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</si>
  <si>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</si>
  <si>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</si>
  <si>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</si>
  <si>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</si>
  <si>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</si>
  <si>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</si>
  <si>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</si>
  <si>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</si>
  <si>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</si>
  <si>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</si>
  <si>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</si>
  <si>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</si>
  <si>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</si>
  <si>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</si>
  <si>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</si>
  <si>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</si>
  <si>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</si>
  <si>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</si>
  <si>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</si>
  <si>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</si>
  <si>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</si>
  <si>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</si>
  <si>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</si>
  <si>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</si>
  <si>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</si>
  <si>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</si>
  <si>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</si>
  <si>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</si>
  <si>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</si>
  <si>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</si>
  <si>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</si>
  <si>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</si>
  <si>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</si>
  <si>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</si>
  <si>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</si>
  <si>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</si>
  <si>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</si>
  <si>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</si>
  <si>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</si>
  <si>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</si>
  <si>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</si>
  <si>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</si>
  <si>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</si>
  <si>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</si>
  <si>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</si>
  <si>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</si>
  <si>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</si>
  <si>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</si>
  <si>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</si>
  <si>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</si>
  <si>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</si>
  <si>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</si>
  <si>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</si>
  <si>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</si>
  <si>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</si>
  <si>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</si>
  <si>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</si>
  <si>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</si>
  <si>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</si>
  <si>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</si>
  <si>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</si>
  <si>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</si>
  <si>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</si>
  <si>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</si>
  <si>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</si>
  <si>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</si>
  <si>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</si>
  <si>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</si>
  <si>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</si>
  <si>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</si>
  <si>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</si>
  <si>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</si>
  <si>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</si>
  <si>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</si>
  <si>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</si>
  <si>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</si>
  <si>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</si>
  <si>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</si>
  <si>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</si>
  <si>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</si>
  <si>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</si>
  <si>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</si>
  <si>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</si>
  <si>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</si>
  <si>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</si>
  <si>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</si>
  <si>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</si>
  <si>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</si>
  <si>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</si>
  <si>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</si>
  <si>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</si>
  <si>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</si>
  <si>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</si>
  <si>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</si>
  <si>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</si>
  <si>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</si>
  <si>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</si>
  <si>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</si>
  <si>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</si>
  <si>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</si>
  <si>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</si>
  <si>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</si>
  <si>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</si>
  <si>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</si>
  <si>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</si>
  <si>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</si>
  <si>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</si>
  <si>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</si>
  <si>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</si>
  <si>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</si>
  <si>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</si>
  <si>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</si>
  <si>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</si>
  <si>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</si>
  <si>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</si>
  <si>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</si>
  <si>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</si>
  <si>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</si>
  <si>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</si>
  <si>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</si>
  <si>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</si>
  <si>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</si>
  <si>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</si>
  <si>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</si>
  <si>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</si>
  <si>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</si>
  <si>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</si>
  <si>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</si>
  <si>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</si>
  <si>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</si>
  <si>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</si>
  <si>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</si>
  <si>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</si>
  <si>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</si>
  <si>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</si>
  <si>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</si>
  <si>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</si>
  <si>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</si>
  <si>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</si>
  <si>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</si>
  <si>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</si>
  <si>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</si>
  <si>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</si>
  <si>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</si>
  <si>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</si>
  <si>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</si>
  <si>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</si>
  <si>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</si>
  <si>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</si>
  <si>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</si>
  <si>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</si>
  <si>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</si>
  <si>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</si>
  <si>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</si>
  <si>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</si>
  <si>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</si>
  <si>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</si>
  <si>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</si>
  <si>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</si>
  <si>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</si>
  <si>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</si>
  <si>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</si>
  <si>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</si>
  <si>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</si>
  <si>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</si>
  <si>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</si>
  <si>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</si>
  <si>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</si>
  <si>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</si>
  <si>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</si>
  <si>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</si>
  <si>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</si>
  <si>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</si>
  <si>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</si>
  <si>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</si>
  <si>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</si>
  <si>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</si>
  <si>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</si>
  <si>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</si>
  <si>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</si>
  <si>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</si>
  <si>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</si>
  <si>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</si>
  <si>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</si>
  <si>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</si>
  <si>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</si>
  <si>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</si>
  <si>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</si>
  <si>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</si>
  <si>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</si>
  <si>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</si>
  <si>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</si>
  <si>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</si>
  <si>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</si>
  <si>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</si>
  <si>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</si>
  <si>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</si>
  <si>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</si>
  <si>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</si>
  <si>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</si>
  <si>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</si>
  <si>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</si>
  <si>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</si>
  <si>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</si>
  <si>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</si>
  <si>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</si>
  <si>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</si>
  <si>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</si>
  <si>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</si>
  <si>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</si>
  <si>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</si>
  <si>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</si>
  <si>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</si>
  <si>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</si>
  <si>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</si>
  <si>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</si>
  <si>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</si>
  <si>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</si>
  <si>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</si>
  <si>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</si>
  <si>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</si>
  <si>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</si>
  <si>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</si>
  <si>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</si>
  <si>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</si>
  <si>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</si>
  <si>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</si>
  <si>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</si>
  <si>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</si>
  <si>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</si>
  <si>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</si>
  <si>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</si>
  <si>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</si>
  <si>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</si>
  <si>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</si>
  <si>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</si>
  <si>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</si>
  <si>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</si>
  <si>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</si>
  <si>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</si>
  <si>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</si>
  <si>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</si>
  <si>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</si>
  <si>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</si>
  <si>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</si>
  <si>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</si>
  <si>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</si>
  <si>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</si>
  <si>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</si>
  <si>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</si>
  <si>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</si>
  <si>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</si>
  <si>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</si>
  <si>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</si>
  <si>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</si>
  <si>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</si>
  <si>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</si>
  <si>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</si>
  <si>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</si>
  <si>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</si>
  <si>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</si>
  <si>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</si>
  <si>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</si>
  <si>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</si>
  <si>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</si>
  <si>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</si>
  <si>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</si>
  <si>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</si>
  <si>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</si>
  <si>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</si>
  <si>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</si>
  <si>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</si>
  <si>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</si>
  <si>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</si>
  <si>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</si>
  <si>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</si>
  <si>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</si>
  <si>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</si>
  <si>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</si>
  <si>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</si>
  <si>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</si>
  <si>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</si>
  <si>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</si>
  <si>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</si>
  <si>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</si>
  <si>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</si>
  <si>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</si>
  <si>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</si>
  <si>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</si>
  <si>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</si>
  <si>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</si>
  <si>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</si>
  <si>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</si>
  <si>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</si>
  <si>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</si>
  <si>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</si>
  <si>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</si>
  <si>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</si>
  <si>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</si>
  <si>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</si>
  <si>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</si>
  <si>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</si>
  <si>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</si>
  <si>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</si>
  <si>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</si>
  <si>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</si>
  <si>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</si>
  <si>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</si>
  <si>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</si>
  <si>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</si>
  <si>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</si>
  <si>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</si>
  <si>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</si>
  <si>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</si>
  <si>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</si>
  <si>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</si>
  <si>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</si>
  <si>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</si>
  <si>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</si>
  <si>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</si>
  <si>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</si>
  <si>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</si>
  <si>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</si>
  <si>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</si>
  <si>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</si>
  <si>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</si>
  <si>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</si>
  <si>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</si>
  <si>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</si>
  <si>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</si>
  <si>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</si>
  <si>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</si>
  <si>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</si>
  <si>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</si>
  <si>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</si>
  <si>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</si>
  <si>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</si>
  <si>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</si>
  <si>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</si>
  <si>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</si>
  <si>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</si>
  <si>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</si>
  <si>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</si>
  <si>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</si>
  <si>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</si>
  <si>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</si>
  <si>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</si>
  <si>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</si>
  <si>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</si>
  <si>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</si>
  <si>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</si>
  <si>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</si>
  <si>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</si>
  <si>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</si>
  <si>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</si>
  <si>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</si>
  <si>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</si>
  <si>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</si>
  <si>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</si>
  <si>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</si>
  <si>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</si>
  <si>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</si>
  <si>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</si>
  <si>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</si>
  <si>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</si>
  <si>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</si>
  <si>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</si>
  <si>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</si>
  <si>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</si>
  <si>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</si>
  <si>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</si>
  <si>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</si>
  <si>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</si>
  <si>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</si>
  <si>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</si>
  <si>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</si>
  <si>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</si>
  <si>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</si>
  <si>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</si>
  <si>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</si>
  <si>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</si>
  <si>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</si>
  <si>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</si>
  <si>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</si>
  <si>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</si>
  <si>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</si>
  <si>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</si>
  <si>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</si>
  <si>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</si>
  <si>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</si>
  <si>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</si>
  <si>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</si>
  <si>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</si>
  <si>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</si>
  <si>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</si>
  <si>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</si>
  <si>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</si>
  <si>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</si>
  <si>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</si>
  <si>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</si>
  <si>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</si>
  <si>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</si>
  <si>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</si>
  <si>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</si>
  <si>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</si>
  <si>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</si>
  <si>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</si>
  <si>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</si>
  <si>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</si>
  <si>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</si>
  <si>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</si>
  <si>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</si>
  <si>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</si>
  <si>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</si>
  <si>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</si>
  <si>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</si>
  <si>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</si>
  <si>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</si>
  <si>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</si>
  <si>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</si>
  <si>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</si>
  <si>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</si>
  <si>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</si>
  <si>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</si>
  <si>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</si>
  <si>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</si>
  <si>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</si>
  <si>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</si>
  <si>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</si>
  <si>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</si>
  <si>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</si>
  <si>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</si>
  <si>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</si>
  <si>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</si>
  <si>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</si>
  <si>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</si>
  <si>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</si>
  <si>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</si>
  <si>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</si>
  <si>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</si>
  <si>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</si>
  <si>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</si>
  <si>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</si>
  <si>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</si>
  <si>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</si>
  <si>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</si>
  <si>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</si>
  <si>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</si>
  <si>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</si>
  <si>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</si>
  <si>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</si>
  <si>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</si>
  <si>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</si>
  <si>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</si>
  <si>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</si>
  <si>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</si>
  <si>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</si>
  <si>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</si>
  <si>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</si>
  <si>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</si>
  <si>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</si>
  <si>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</si>
  <si>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</si>
  <si>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</si>
  <si>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</si>
  <si>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</si>
  <si>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</si>
  <si>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</si>
  <si>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</si>
  <si>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</si>
  <si>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</si>
  <si>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</si>
  <si>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</si>
  <si>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</si>
  <si>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</si>
  <si>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</si>
  <si>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</si>
  <si>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</si>
  <si>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</si>
  <si>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</si>
  <si>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</si>
  <si>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</si>
  <si>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</si>
  <si>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</si>
  <si>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</si>
  <si>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</si>
  <si>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</si>
  <si>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</si>
  <si>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</si>
  <si>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</si>
  <si>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</si>
  <si>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</si>
  <si>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</si>
  <si>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</si>
  <si>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</si>
  <si>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</si>
  <si>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</si>
  <si>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</si>
  <si>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</si>
  <si>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</si>
  <si>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</si>
  <si>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</si>
  <si>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</si>
  <si>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</si>
  <si>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</si>
  <si>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</si>
  <si>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</si>
  <si>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</si>
  <si>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</si>
  <si>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</si>
  <si>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</si>
  <si>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</si>
  <si>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</si>
  <si>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</si>
  <si>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</si>
  <si>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</si>
  <si>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</si>
  <si>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</si>
  <si>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</si>
  <si>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</si>
  <si>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</si>
  <si>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</si>
  <si>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</si>
  <si>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</si>
  <si>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</si>
  <si>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</si>
  <si>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</si>
  <si>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</si>
  <si>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</si>
  <si>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</si>
  <si>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</si>
  <si>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</si>
  <si>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</si>
  <si>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</si>
  <si>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</si>
  <si>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</si>
  <si>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</si>
  <si>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</si>
  <si>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</si>
  <si>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</si>
  <si>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</si>
  <si>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</si>
  <si>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</si>
  <si>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</si>
  <si>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</si>
  <si>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</si>
  <si>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</si>
  <si>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</si>
  <si>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</si>
  <si>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</si>
  <si>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</si>
  <si>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</si>
  <si>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</si>
  <si>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</si>
  <si>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</si>
  <si>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</si>
  <si>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</si>
  <si>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</si>
  <si>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</si>
  <si>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</si>
  <si>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</si>
  <si>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</si>
  <si>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</si>
  <si>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</si>
  <si>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</si>
  <si>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</si>
  <si>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</si>
  <si>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</si>
  <si>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</si>
  <si>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</si>
  <si>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</si>
  <si>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</si>
  <si>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</si>
  <si>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</si>
  <si>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</si>
  <si>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</si>
  <si>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</si>
  <si>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</si>
  <si>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</si>
  <si>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</si>
  <si>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</si>
  <si>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</si>
  <si>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</si>
  <si>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</si>
  <si>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</si>
  <si>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</si>
  <si>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</si>
  <si>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</si>
  <si>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</si>
  <si>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</si>
  <si>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</si>
  <si>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</si>
  <si>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</si>
  <si>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</si>
  <si>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</si>
  <si>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</si>
  <si>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</si>
  <si>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</si>
  <si>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</si>
  <si>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</si>
  <si>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</si>
  <si>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</si>
  <si>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</si>
  <si>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</si>
  <si>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</si>
  <si>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</si>
  <si>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</si>
  <si>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</si>
  <si>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</si>
  <si>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</si>
  <si>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</si>
  <si>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</si>
  <si>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</si>
  <si>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</si>
  <si>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</si>
  <si>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</si>
  <si>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</si>
  <si>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</si>
  <si>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</si>
  <si>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</si>
  <si>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</si>
  <si>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</si>
  <si>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</si>
  <si>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</si>
  <si>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</si>
  <si>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</si>
  <si>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</si>
  <si>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</si>
  <si>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</si>
  <si>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</si>
  <si>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</si>
  <si>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</si>
  <si>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</si>
  <si>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</si>
  <si>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</si>
  <si>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</si>
  <si>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</si>
  <si>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</si>
  <si>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</si>
  <si>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</si>
  <si>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</si>
  <si>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</si>
  <si>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</si>
  <si>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</si>
  <si>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</si>
  <si>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</si>
  <si>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</si>
  <si>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</si>
  <si>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</si>
  <si>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</si>
  <si>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</si>
  <si>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</si>
  <si>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</si>
  <si>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</si>
  <si>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</si>
  <si>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</si>
  <si>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</si>
  <si>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</si>
  <si>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</si>
  <si>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</si>
  <si>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</si>
  <si>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</si>
  <si>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</si>
  <si>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</si>
  <si>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</si>
  <si>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</si>
  <si>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</si>
  <si>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</si>
  <si>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</si>
  <si>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</si>
  <si>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</si>
  <si>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</si>
  <si>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</si>
  <si>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</si>
  <si>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</si>
  <si>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</si>
  <si>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</si>
  <si>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</si>
  <si>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</si>
  <si>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</si>
  <si>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</si>
  <si>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</si>
  <si>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</si>
  <si>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</si>
  <si>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</si>
  <si>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</si>
  <si>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</si>
  <si>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</si>
  <si>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</si>
  <si>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</si>
  <si>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</si>
  <si>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</si>
  <si>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</si>
  <si>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</si>
  <si>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</si>
  <si>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</si>
  <si>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</si>
  <si>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</si>
  <si>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</si>
  <si>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</si>
  <si>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</si>
  <si>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</si>
  <si>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</si>
  <si>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</si>
  <si>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</si>
  <si>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</si>
  <si>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</si>
  <si>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</si>
  <si>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</si>
  <si>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</si>
  <si>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</si>
  <si>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</si>
  <si>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</si>
  <si>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</si>
  <si>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</si>
  <si>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</si>
  <si>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</si>
  <si>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</si>
  <si>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</si>
  <si>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</si>
  <si>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</si>
  <si>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</si>
  <si>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</si>
  <si>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</si>
  <si>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</si>
  <si>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</si>
  <si>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</si>
  <si>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</si>
  <si>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</si>
  <si>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</si>
  <si>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</si>
  <si>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</si>
  <si>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</si>
  <si>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</si>
  <si>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</si>
  <si>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</si>
  <si>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</si>
  <si>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</si>
  <si>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</si>
  <si>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</si>
  <si>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</si>
  <si>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</si>
  <si>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</si>
  <si>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</si>
  <si>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</si>
  <si>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</si>
  <si>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</si>
  <si>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</si>
  <si>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</si>
  <si>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</si>
  <si>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</si>
  <si>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</si>
  <si>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</si>
  <si>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</si>
  <si>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</si>
  <si>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</si>
  <si>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</si>
  <si>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</si>
  <si>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</si>
  <si>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</si>
  <si>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</si>
  <si>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</si>
  <si>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</si>
  <si>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</si>
  <si>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</si>
  <si>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</si>
  <si>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</si>
  <si>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</si>
  <si>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</si>
  <si>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</si>
  <si>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</si>
  <si>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</si>
  <si>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</si>
  <si>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</si>
  <si>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</si>
  <si>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</si>
  <si>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</si>
  <si>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</si>
  <si>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</si>
  <si>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</si>
  <si>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</si>
  <si>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</si>
  <si>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</si>
  <si>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</si>
  <si>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</si>
  <si>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</si>
  <si>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</si>
  <si>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</si>
  <si>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</si>
  <si>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</si>
  <si>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</si>
  <si>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</si>
  <si>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</si>
  <si>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</si>
  <si>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</si>
  <si>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</si>
  <si>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</si>
  <si>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</si>
  <si>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</si>
  <si>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</si>
  <si>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</si>
  <si>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</si>
  <si>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</si>
  <si>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</si>
  <si>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</si>
  <si>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</si>
  <si>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</si>
  <si>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</si>
  <si>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</si>
  <si>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</si>
  <si>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</si>
  <si>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</si>
  <si>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</si>
  <si>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</si>
  <si>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</si>
  <si>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</si>
  <si>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</si>
  <si>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</si>
  <si>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</si>
  <si>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</si>
  <si>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</si>
  <si>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</si>
  <si>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</si>
  <si>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</si>
  <si>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</si>
  <si>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</si>
  <si>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</si>
  <si>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</si>
  <si>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</si>
  <si>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</si>
  <si>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</si>
  <si>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</si>
  <si>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</si>
  <si>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</si>
  <si>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</si>
  <si>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</si>
  <si>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</si>
  <si>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</si>
  <si>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</si>
  <si>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</si>
  <si>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</si>
  <si>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</si>
  <si>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</si>
  <si>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</si>
  <si>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</si>
  <si>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</si>
  <si>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</si>
  <si>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</si>
  <si>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</si>
  <si>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</si>
  <si>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</si>
  <si>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</si>
  <si>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</si>
  <si>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</si>
  <si>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</si>
  <si>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</si>
  <si>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</si>
  <si>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</si>
  <si>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</si>
  <si>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</si>
  <si>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</si>
  <si>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</si>
  <si>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</si>
  <si>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</si>
  <si>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</si>
  <si>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</si>
  <si>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</si>
  <si>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</si>
  <si>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</si>
  <si>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</si>
  <si>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</si>
  <si>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</si>
  <si>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</si>
  <si>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</si>
  <si>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</si>
  <si>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</si>
  <si>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</si>
  <si>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</si>
  <si>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</si>
  <si>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</si>
  <si>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</si>
  <si>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</si>
  <si>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</si>
  <si>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</si>
  <si>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</si>
  <si>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</si>
  <si>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</si>
  <si>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</si>
  <si>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</si>
  <si>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</si>
  <si>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</si>
  <si>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</si>
  <si>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</si>
  <si>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</si>
  <si>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</si>
  <si>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</si>
  <si>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</si>
  <si>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</si>
  <si>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</si>
  <si>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</si>
  <si>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</si>
  <si>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</si>
  <si>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</si>
  <si>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</si>
  <si>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</si>
  <si>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</si>
  <si>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</si>
  <si>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</si>
  <si>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</si>
  <si>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</si>
  <si>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</si>
  <si>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</si>
  <si>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</si>
  <si>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</si>
  <si>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</si>
  <si>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</si>
  <si>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</si>
  <si>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</si>
  <si>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</si>
  <si>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</si>
  <si>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</si>
  <si>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</si>
  <si>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</si>
  <si>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</si>
  <si>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</si>
  <si>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</si>
  <si>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</si>
  <si>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</si>
  <si>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</si>
  <si>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</si>
  <si>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</si>
  <si>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</si>
  <si>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</si>
  <si>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</si>
  <si>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</si>
  <si>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</si>
  <si>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</si>
  <si>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</si>
  <si>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</si>
  <si>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</si>
  <si>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</si>
  <si>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</si>
  <si>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</si>
  <si>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</si>
  <si>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</si>
  <si>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</si>
  <si>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</si>
  <si>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</si>
  <si>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</si>
  <si>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</si>
  <si>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</si>
  <si>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</si>
  <si>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</si>
  <si>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</si>
  <si>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</si>
  <si>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</si>
  <si>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</si>
  <si>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</si>
  <si>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</si>
  <si>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</si>
  <si>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</si>
  <si>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</si>
  <si>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</si>
  <si>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</si>
  <si>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</si>
  <si>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</si>
  <si>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</si>
  <si>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</si>
  <si>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</si>
  <si>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</si>
  <si>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</si>
  <si>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</si>
  <si>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</si>
  <si>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</si>
  <si>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</si>
  <si>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</si>
  <si>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</si>
  <si>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</si>
  <si>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</si>
  <si>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</si>
  <si>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</si>
  <si>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</si>
  <si>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</si>
  <si>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</si>
  <si>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</si>
  <si>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</si>
  <si>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</si>
  <si>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</si>
  <si>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</si>
  <si>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</si>
  <si>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</si>
  <si>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</si>
  <si>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</si>
  <si>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</si>
  <si>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</si>
  <si>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</si>
  <si>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</si>
  <si>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</si>
  <si>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</si>
  <si>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</si>
  <si>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</si>
  <si>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</si>
  <si>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</si>
  <si>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</si>
  <si>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</si>
  <si>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</si>
  <si>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</si>
  <si>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</si>
  <si>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</si>
  <si>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</si>
  <si>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</si>
  <si>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</si>
  <si>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</si>
  <si>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</si>
  <si>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</si>
  <si>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</si>
  <si>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</si>
  <si>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</si>
  <si>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</si>
  <si>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</si>
  <si>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</si>
  <si>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</si>
  <si>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</si>
  <si>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</si>
  <si>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</si>
  <si>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</si>
  <si>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</si>
  <si>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</si>
  <si>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</si>
  <si>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</si>
  <si>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</si>
  <si>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</si>
  <si>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</si>
  <si>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</si>
  <si>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</si>
  <si>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</si>
  <si>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</si>
  <si>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</si>
  <si>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</si>
  <si>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</si>
  <si>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</si>
  <si>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</si>
  <si>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</si>
  <si>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</si>
  <si>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</si>
  <si>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</si>
  <si>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</si>
  <si>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</si>
  <si>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</si>
  <si>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</si>
  <si>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</si>
  <si>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</si>
  <si>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</si>
  <si>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</si>
  <si>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</si>
  <si>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</si>
  <si>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</si>
  <si>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</si>
  <si>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</si>
  <si>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</si>
  <si>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</si>
  <si>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</si>
  <si>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</si>
  <si>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</si>
  <si>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</si>
  <si>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</si>
  <si>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</si>
  <si>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</si>
  <si>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</si>
  <si>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</si>
  <si>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</si>
  <si>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</si>
  <si>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</si>
  <si>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</si>
  <si>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</si>
  <si>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</si>
  <si>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</si>
  <si>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</si>
  <si>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</si>
  <si>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</si>
  <si>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</si>
  <si>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</si>
  <si>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</si>
  <si>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</si>
  <si>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</si>
  <si>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</si>
  <si>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</si>
  <si>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</si>
  <si>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</si>
  <si>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</si>
  <si>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</si>
  <si>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</si>
  <si>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</si>
  <si>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</si>
  <si>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</si>
  <si>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</si>
  <si>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</si>
  <si>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</si>
  <si>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</si>
  <si>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</si>
  <si>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</si>
  <si>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</si>
  <si>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</si>
  <si>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</si>
  <si>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</si>
  <si>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</si>
  <si>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</si>
  <si>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</si>
  <si>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</si>
  <si>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</si>
  <si>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</si>
  <si>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</si>
  <si>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</si>
  <si>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</si>
  <si>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</si>
  <si>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</si>
  <si>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</si>
  <si>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</si>
  <si>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</si>
  <si>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</si>
  <si>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</si>
  <si>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</si>
  <si>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</si>
  <si>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</si>
  <si>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</si>
  <si>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</si>
  <si>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</si>
  <si>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</si>
  <si>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</si>
  <si>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</si>
  <si>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</si>
  <si>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</si>
  <si>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</si>
  <si>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</si>
  <si>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</si>
  <si>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</si>
  <si>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</si>
  <si>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</si>
  <si>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</si>
  <si>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</si>
  <si>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</si>
  <si>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</si>
  <si>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</si>
  <si>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</si>
  <si>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</si>
  <si>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</si>
  <si>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</si>
  <si>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</si>
  <si>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</si>
  <si>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</si>
  <si>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</si>
  <si>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</si>
  <si>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</si>
  <si>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</si>
  <si>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</si>
  <si>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</si>
  <si>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</si>
  <si>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</si>
  <si>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</si>
  <si>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</si>
  <si>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</si>
  <si>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</si>
  <si>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</si>
  <si>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</si>
  <si>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</si>
  <si>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</si>
  <si>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</si>
  <si>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</si>
  <si>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</si>
  <si>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</si>
  <si>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</si>
  <si>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</si>
  <si>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</si>
  <si>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</si>
  <si>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</si>
  <si>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</si>
  <si>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</si>
  <si>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</si>
  <si>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</si>
  <si>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</si>
  <si>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</si>
  <si>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</si>
  <si>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</si>
  <si>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</si>
  <si>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</si>
  <si>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</si>
  <si>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</si>
  <si>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</si>
  <si>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</si>
  <si>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</si>
  <si>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</si>
  <si>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</si>
  <si>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</si>
  <si>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</si>
  <si>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</si>
  <si>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</si>
  <si>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</si>
  <si>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</si>
  <si>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</si>
  <si>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</si>
  <si>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</si>
  <si>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</si>
  <si>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</si>
  <si>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</si>
  <si>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</si>
  <si>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</si>
  <si>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</si>
  <si>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</si>
  <si>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</si>
  <si>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</si>
  <si>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</si>
  <si>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</si>
  <si>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</si>
  <si>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</si>
  <si>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</si>
  <si>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</si>
  <si>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</si>
  <si>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</si>
  <si>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</si>
  <si>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</si>
  <si>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</si>
  <si>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</si>
  <si>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</si>
  <si>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</si>
  <si>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</si>
  <si>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</si>
  <si>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</si>
  <si>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</si>
  <si>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</si>
  <si>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</si>
  <si>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</si>
  <si>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</si>
  <si>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</si>
  <si>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</si>
  <si>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</si>
  <si>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</si>
  <si>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</si>
  <si>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</si>
  <si>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</si>
  <si>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</si>
  <si>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</si>
  <si>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</si>
  <si>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</si>
  <si>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</si>
  <si>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</si>
  <si>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</si>
  <si>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</si>
  <si>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</si>
  <si>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</si>
  <si>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</si>
  <si>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</si>
  <si>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</si>
  <si>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</si>
  <si>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</si>
  <si>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</si>
  <si>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</si>
  <si>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</si>
  <si>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</si>
  <si>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</si>
  <si>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</si>
  <si>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</si>
  <si>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</si>
  <si>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</si>
  <si>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</si>
  <si>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</si>
  <si>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</si>
  <si>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</si>
  <si>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</si>
  <si>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</si>
  <si>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</si>
  <si>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</si>
  <si>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</si>
  <si>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</si>
  <si>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</si>
  <si>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</si>
  <si>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</si>
  <si>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</si>
  <si>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</si>
  <si>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</si>
  <si>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</si>
  <si>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</si>
  <si>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</si>
  <si>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</si>
  <si>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</si>
  <si>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</si>
  <si>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</si>
  <si>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</si>
  <si>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</si>
  <si>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</si>
  <si>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</si>
  <si>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</si>
  <si>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</si>
  <si>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</si>
  <si>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</si>
  <si>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</si>
  <si>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</si>
  <si>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</si>
  <si>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</si>
  <si>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</si>
  <si>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</si>
  <si>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</si>
  <si>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</si>
  <si>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</si>
  <si>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</si>
  <si>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</si>
  <si>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</si>
  <si>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</si>
  <si>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</si>
  <si>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</si>
  <si>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</si>
  <si>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</si>
  <si>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</si>
  <si>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</si>
  <si>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</si>
  <si>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</si>
  <si>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</si>
  <si>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</si>
  <si>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</si>
  <si>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</si>
  <si>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</si>
  <si>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</si>
  <si>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</si>
  <si>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</si>
  <si>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</si>
  <si>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</si>
  <si>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</si>
  <si>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</si>
  <si>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</si>
  <si>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</si>
  <si>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</si>
  <si>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</si>
  <si>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</si>
  <si>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</si>
  <si>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</si>
  <si>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</si>
  <si>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</si>
  <si>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</si>
  <si>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</si>
  <si>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</si>
  <si>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</si>
  <si>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</si>
  <si>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</si>
  <si>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</si>
  <si>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</si>
  <si>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</si>
  <si>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</si>
  <si>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</si>
  <si>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</si>
  <si>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</si>
  <si>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</si>
  <si>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</si>
  <si>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</si>
  <si>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</si>
  <si>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</si>
  <si>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</si>
  <si>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</si>
  <si>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</si>
  <si>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</si>
  <si>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</si>
  <si>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</si>
  <si>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</si>
  <si>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</si>
  <si>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</si>
  <si>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</si>
  <si>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</si>
  <si>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</si>
  <si>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</si>
  <si>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</si>
  <si>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</si>
  <si>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</si>
  <si>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</si>
  <si>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</si>
  <si>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</si>
  <si>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</si>
  <si>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</si>
  <si>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</si>
  <si>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</si>
  <si>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</si>
  <si>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</si>
  <si>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</si>
  <si>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</si>
  <si>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</si>
  <si>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</si>
  <si>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</si>
  <si>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</si>
  <si>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</si>
  <si>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</si>
  <si>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</si>
  <si>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</si>
  <si>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</si>
  <si>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</si>
  <si>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</si>
  <si>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</si>
  <si>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</si>
  <si>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</si>
  <si>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</si>
  <si>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</si>
  <si>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</si>
  <si>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</si>
  <si>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</si>
  <si>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</si>
  <si>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</si>
  <si>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</si>
  <si>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</si>
  <si>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</si>
  <si>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</si>
  <si>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</si>
  <si>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</si>
  <si>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</si>
  <si>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</si>
  <si>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</si>
  <si>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</si>
  <si>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</si>
  <si>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</si>
  <si>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</si>
  <si>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</si>
  <si>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</si>
  <si>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</si>
  <si>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</si>
  <si>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</si>
  <si>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</si>
  <si>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</si>
  <si>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</si>
  <si>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</si>
  <si>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</si>
  <si>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</si>
  <si>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</si>
  <si>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</si>
  <si>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</si>
  <si>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</si>
  <si>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</si>
  <si>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</si>
  <si>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</si>
  <si>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</si>
  <si>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</si>
  <si>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</si>
  <si>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</si>
  <si>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</si>
  <si>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</si>
  <si>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</si>
  <si>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</si>
  <si>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</si>
  <si>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</si>
  <si>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</si>
  <si>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</si>
  <si>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</si>
  <si>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</si>
  <si>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</si>
  <si>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</si>
  <si>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</si>
  <si>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</si>
  <si>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</si>
  <si>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</si>
  <si>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</si>
  <si>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</si>
  <si>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</si>
  <si>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</si>
  <si>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</si>
  <si>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</si>
  <si>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</si>
  <si>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</si>
  <si>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</si>
  <si>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</si>
  <si>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</si>
  <si>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</si>
  <si>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</si>
  <si>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</si>
  <si>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</si>
  <si>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</si>
  <si>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</si>
  <si>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</si>
  <si>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</si>
  <si>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</si>
  <si>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</si>
  <si>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</si>
  <si>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</si>
  <si>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</si>
  <si>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</si>
  <si>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</si>
  <si>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</si>
  <si>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</si>
  <si>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</si>
  <si>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</si>
  <si>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</si>
  <si>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</si>
  <si>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</si>
  <si>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</si>
  <si>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</si>
  <si>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</si>
  <si>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</si>
  <si>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</si>
  <si>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</si>
  <si>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</si>
  <si>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</si>
  <si>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</si>
  <si>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</si>
  <si>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</si>
  <si>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</si>
  <si>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</si>
  <si>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</si>
  <si>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</si>
  <si>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</si>
  <si>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</si>
  <si>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</si>
  <si>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</si>
  <si>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</si>
  <si>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</si>
  <si>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</si>
  <si>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</si>
  <si>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</si>
  <si>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</si>
  <si>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</si>
  <si>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</si>
  <si>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</si>
  <si>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</si>
  <si>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</si>
  <si>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</si>
  <si>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</si>
  <si>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</si>
  <si>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</si>
  <si>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</si>
  <si>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</si>
  <si>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</si>
  <si>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</si>
  <si>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</si>
  <si>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</si>
  <si>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</si>
  <si>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</si>
  <si>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</si>
  <si>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</si>
  <si>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</si>
  <si>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</si>
  <si>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</si>
  <si>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</si>
  <si>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</si>
  <si>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</si>
  <si>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</si>
  <si>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</si>
  <si>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</si>
  <si>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</si>
  <si>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</si>
  <si>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</si>
  <si>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</si>
  <si>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</si>
  <si>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</si>
  <si>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</si>
  <si>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</si>
  <si>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</si>
  <si>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</si>
  <si>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</si>
  <si>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</si>
  <si>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</si>
  <si>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</si>
  <si>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</si>
  <si>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</si>
  <si>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</si>
  <si>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</si>
  <si>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</si>
  <si>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</si>
  <si>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</si>
  <si>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</si>
  <si>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</si>
  <si>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</si>
  <si>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</si>
  <si>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</si>
  <si>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</si>
  <si>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</si>
  <si>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</si>
  <si>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</si>
  <si>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</si>
  <si>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</si>
  <si>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</si>
  <si>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</si>
  <si>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</si>
  <si>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</si>
  <si>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</si>
  <si>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</si>
  <si>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</si>
  <si>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</si>
  <si>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</si>
  <si>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</si>
  <si>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</si>
  <si>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</si>
  <si>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</si>
  <si>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</si>
  <si>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</si>
  <si>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</si>
  <si>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</si>
  <si>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</si>
  <si>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</si>
  <si>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</si>
  <si>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</si>
  <si>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</si>
  <si>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</si>
  <si>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</si>
  <si>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</si>
  <si>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</si>
  <si>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</si>
  <si>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</si>
  <si>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</si>
  <si>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</si>
  <si>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</si>
  <si>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</si>
  <si>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</si>
  <si>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</si>
  <si>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</si>
  <si>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</si>
  <si>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</si>
  <si>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</si>
  <si>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</si>
  <si>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</si>
  <si>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</si>
  <si>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</si>
  <si>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</si>
  <si>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</si>
  <si>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</si>
  <si>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</si>
  <si>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</si>
  <si>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</si>
  <si>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</si>
  <si>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</si>
  <si>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</si>
  <si>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</si>
  <si>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</si>
  <si>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</si>
  <si>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</si>
  <si>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</si>
  <si>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</si>
  <si>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</si>
  <si>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</si>
  <si>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</si>
  <si>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</si>
  <si>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</si>
  <si>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</si>
  <si>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</si>
  <si>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</si>
  <si>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</si>
  <si>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</si>
  <si>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</si>
  <si>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</si>
  <si>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</si>
  <si>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</si>
  <si>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</si>
  <si>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</si>
  <si>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</si>
  <si>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</si>
  <si>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</si>
  <si>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</si>
  <si>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</si>
  <si>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</si>
  <si>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</si>
  <si>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</si>
  <si>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</si>
  <si>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</si>
  <si>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</si>
  <si>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</si>
  <si>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</si>
  <si>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</si>
  <si>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</si>
  <si>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</si>
  <si>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</si>
  <si>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</si>
  <si>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</si>
  <si>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</si>
  <si>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</si>
  <si>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</si>
  <si>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</si>
  <si>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</si>
  <si>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</si>
  <si>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</si>
  <si>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</si>
  <si>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</si>
  <si>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</si>
  <si>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</si>
  <si>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</si>
  <si>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</si>
  <si>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</si>
  <si>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</si>
  <si>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</si>
  <si>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</si>
  <si>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</si>
  <si>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</si>
  <si>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</si>
  <si>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</si>
  <si>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</si>
  <si>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</si>
  <si>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</si>
  <si>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</si>
  <si>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</si>
  <si>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</si>
  <si>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</si>
  <si>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</si>
  <si>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</si>
  <si>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</si>
  <si>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</si>
  <si>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</si>
  <si>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</si>
  <si>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</si>
  <si>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</si>
  <si>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</si>
  <si>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</si>
  <si>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</si>
  <si>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</si>
  <si>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</si>
  <si>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</si>
  <si>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</si>
  <si>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</si>
  <si>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</si>
  <si>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</si>
  <si>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</si>
  <si>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</si>
  <si>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</si>
  <si>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</si>
  <si>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</si>
  <si>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</si>
  <si>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</si>
  <si>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</si>
  <si>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</si>
  <si>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</si>
  <si>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</si>
  <si>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</si>
  <si>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</si>
  <si>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</si>
  <si>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</si>
  <si>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</si>
  <si>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</si>
  <si>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</si>
  <si>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</si>
  <si>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</si>
  <si>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</si>
  <si>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</si>
  <si>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</si>
  <si>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</si>
  <si>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</si>
  <si>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</si>
  <si>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</si>
  <si>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</si>
  <si>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</si>
  <si>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</si>
  <si>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</si>
  <si>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</si>
  <si>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</si>
  <si>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</si>
  <si>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</si>
  <si>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</si>
  <si>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</si>
  <si>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</si>
  <si>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</si>
  <si>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</si>
  <si>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</si>
  <si>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</si>
  <si>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</si>
  <si>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</si>
  <si>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</si>
  <si>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</si>
  <si>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</si>
  <si>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</si>
  <si>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</si>
  <si>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</si>
  <si>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</si>
  <si>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</si>
  <si>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</si>
  <si>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</si>
  <si>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</si>
  <si>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</si>
  <si>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</si>
  <si>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</si>
  <si>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</si>
  <si>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</si>
  <si>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</si>
  <si>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</si>
  <si>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</si>
  <si>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</si>
  <si>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</si>
  <si>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</si>
  <si>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</si>
  <si>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</si>
  <si>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</si>
  <si>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</si>
  <si>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</si>
  <si>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</si>
  <si>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</si>
  <si>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</si>
  <si>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</si>
  <si>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</si>
  <si>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</si>
  <si>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</si>
  <si>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</si>
  <si>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</si>
  <si>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</si>
  <si>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</si>
  <si>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</si>
  <si>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</si>
  <si>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</si>
  <si>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</si>
  <si>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</si>
  <si>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</si>
  <si>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</si>
  <si>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</si>
  <si>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</si>
  <si>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</si>
  <si>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</si>
  <si>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</si>
  <si>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</si>
  <si>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</si>
  <si>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</si>
  <si>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</si>
  <si>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</si>
  <si>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</si>
  <si>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</si>
  <si>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</si>
  <si>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</si>
  <si>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</si>
  <si>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</si>
  <si>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</si>
  <si>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</si>
  <si>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</si>
  <si>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</si>
  <si>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</si>
  <si>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</si>
  <si>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</si>
  <si>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</si>
  <si>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</si>
  <si>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</si>
  <si>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</si>
  <si>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</si>
  <si>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</si>
  <si>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</si>
  <si>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</si>
  <si>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</si>
  <si>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</si>
  <si>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</si>
  <si>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</si>
  <si>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</si>
  <si>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</si>
  <si>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</si>
  <si>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Nerkunram</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</si>
  <si>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</si>
  <si>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</si>
  <si>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</si>
  <si>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</si>
  <si>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</si>
  <si>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</si>
  <si>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</si>
  <si>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</si>
  <si>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</si>
  <si>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</si>
  <si>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</si>
  <si>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</si>
  <si>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</si>
  <si>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</si>
  <si>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</si>
  <si>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</si>
  <si>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</si>
  <si>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</si>
  <si>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</si>
  <si>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</si>
  <si>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</si>
  <si>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</si>
  <si>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</si>
  <si>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</si>
  <si>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</si>
  <si>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</si>
  <si>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</si>
  <si>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</si>
  <si>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</si>
  <si>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</si>
  <si>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</si>
  <si>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</si>
  <si>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</si>
  <si>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</si>
  <si>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</si>
  <si>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</si>
  <si>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</si>
  <si>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</si>
  <si>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</si>
  <si>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</si>
  <si>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</si>
  <si>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</si>
  <si>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</si>
  <si>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</si>
  <si>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</si>
  <si>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</si>
  <si>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</si>
  <si>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</si>
  <si>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</si>
  <si>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 xml:space="preserve">Total Qty.
(Dev)
</t>
  </si>
  <si>
    <t>Supplying and laying of 3.5 core 70 sq.mm PVC armoured LTUG cable (below GL) SD-207</t>
  </si>
  <si>
    <r>
      <t xml:space="preserve">Supplying and fixing of </t>
    </r>
    <r>
      <rPr>
        <b/>
        <sz val="18"/>
        <rFont val="Arial"/>
        <family val="2"/>
      </rPr>
      <t>end termination</t>
    </r>
    <r>
      <rPr>
        <sz val="18"/>
        <rFont val="Arial"/>
        <family val="2"/>
      </rPr>
      <t xml:space="preserve"> suitable for 3.5 core 70 Sqmm PVC armoured LTUG cable </t>
    </r>
  </si>
  <si>
    <t>Supply and fixing of  Bulk Head fitting suitable for  12W LED Bulb</t>
  </si>
  <si>
    <r>
      <t>Supply and fixing of 12 watts  LED bulb  (</t>
    </r>
    <r>
      <rPr>
        <b/>
        <sz val="18"/>
        <rFont val="Arial"/>
        <family val="2"/>
      </rPr>
      <t>qtn)</t>
    </r>
  </si>
  <si>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</si>
  <si>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</si>
  <si>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</si>
  <si>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</si>
  <si>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</si>
  <si>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</si>
  <si>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</si>
  <si>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</si>
  <si>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</si>
  <si>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</si>
  <si>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</si>
  <si>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</si>
  <si>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</si>
  <si>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</si>
  <si>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</si>
  <si>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</si>
  <si>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</si>
  <si>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</si>
  <si>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</si>
  <si>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</si>
  <si>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</si>
  <si>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</si>
  <si>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</si>
  <si>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</si>
  <si>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</si>
  <si>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</si>
  <si>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</si>
  <si>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</si>
  <si>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</si>
  <si>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</si>
  <si>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</si>
  <si>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</si>
  <si>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</si>
  <si>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</si>
  <si>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</si>
  <si>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</si>
  <si>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</si>
  <si>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</si>
  <si>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</si>
  <si>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</si>
  <si>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</si>
  <si>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Supply and fixing of 4' 18 watts  LED  Tube Light</t>
  </si>
  <si>
    <t>b. 160 mm dia PVC Equal tee (TWAD SR 20-21 )</t>
  </si>
  <si>
    <t>Glazed tiles using Grout (Tile Joint Filler), C.M 1:2, 10mm tk</t>
  </si>
  <si>
    <t>Providing Shahabad stone flooring, C.M 1:3, 20mm tk</t>
  </si>
  <si>
    <t>Providing Rajasthan kota stone flooring, C.M 1:3, 20mm tk</t>
  </si>
  <si>
    <r>
      <t xml:space="preserve">Brick work in C.M. 1:5 </t>
    </r>
    <r>
      <rPr>
        <sz val="18"/>
        <rFont val="Arial"/>
        <family val="2"/>
      </rPr>
      <t>using Fly Ash 
bricks of size 23 x 11 x 7 cm in Foundation and Basement</t>
    </r>
  </si>
  <si>
    <t>a. In Foundation and Basement</t>
  </si>
  <si>
    <t>Supply and fixing of Granite tiles Jet black C.M 1:2, 10mm tk for Staircase wall portion</t>
  </si>
  <si>
    <r>
      <t xml:space="preserve">Brick work in C.M. 1:4 </t>
    </r>
    <r>
      <rPr>
        <sz val="18"/>
        <rFont val="Arial"/>
        <family val="2"/>
      </rPr>
      <t xml:space="preserve">using Fly Ash 
bricks of size 23 x 11 x 7 cm </t>
    </r>
    <r>
      <rPr>
        <b/>
        <sz val="18"/>
        <rFont val="Arial"/>
        <family val="2"/>
      </rPr>
      <t>70 mm tk (B.P.)</t>
    </r>
  </si>
  <si>
    <t>Rate using [C.S Sand]</t>
  </si>
  <si>
    <t>Filling C.S. sand</t>
  </si>
  <si>
    <t>Ornamental TW double leaves panelled door shutter of size 2000 x 2400mm with 8mm tk sand blasting Glass</t>
  </si>
  <si>
    <t>Supply and Laying of Nano Polish Virtified tile Flooring with 1st Quality homogeneous tiles in C.M 1:3 20mm Thick incl. pointing with Latricrete or Equivalent make Epoxy Stain Free (SP-100) grout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</si>
  <si>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</si>
  <si>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rmt</t>
  </si>
  <si>
    <t xml:space="preserve">b. Stilt / Ground Floor  </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</si>
  <si>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</si>
  <si>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</si>
  <si>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</si>
  <si>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</si>
  <si>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</si>
  <si>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</si>
  <si>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</si>
  <si>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</si>
  <si>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 xml:space="preserve">a. In Stilt / Ground Floor  </t>
  </si>
  <si>
    <t xml:space="preserve">b. In Stilt / Ground Floor  </t>
  </si>
  <si>
    <t>Supply and fixing of 16 amps power plug (Modular) socke with switch</t>
  </si>
  <si>
    <t xml:space="preserve">5mm thick plain  Glass panels with Aluminium beedings </t>
  </si>
  <si>
    <t>a) 750x2100mm</t>
  </si>
  <si>
    <t>b) 1100x2100mm</t>
  </si>
  <si>
    <t>900X2100mm  without Brass fittings ( Single leaf)</t>
  </si>
  <si>
    <r>
      <t xml:space="preserve">TW double leaves shutter of size  </t>
    </r>
    <r>
      <rPr>
        <b/>
        <sz val="18"/>
        <rFont val="Arial"/>
        <family val="2"/>
      </rPr>
      <t>with brass fittings</t>
    </r>
    <r>
      <rPr>
        <sz val="18"/>
        <rFont val="Arial"/>
        <family val="2"/>
      </rPr>
      <t xml:space="preserve">
a.1800 x 2400mm </t>
    </r>
  </si>
  <si>
    <t>c) 1300x2100mm</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</si>
  <si>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</si>
  <si>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</si>
  <si>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</si>
  <si>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</si>
  <si>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</si>
  <si>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</si>
  <si>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</si>
  <si>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</si>
  <si>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</si>
  <si>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</si>
  <si>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</si>
  <si>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</si>
  <si>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</si>
  <si>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</si>
  <si>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</si>
  <si>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</si>
  <si>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</si>
  <si>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</si>
  <si>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</si>
  <si>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</si>
  <si>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</si>
  <si>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</si>
  <si>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</si>
  <si>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</si>
  <si>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</si>
  <si>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</si>
  <si>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</si>
  <si>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</si>
  <si>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</si>
  <si>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</si>
  <si>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</si>
  <si>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</si>
  <si>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</si>
  <si>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</si>
  <si>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</si>
  <si>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</si>
  <si>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</si>
  <si>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</si>
  <si>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</si>
  <si>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</si>
  <si>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</si>
  <si>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</si>
  <si>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</si>
  <si>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</si>
  <si>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</si>
  <si>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</si>
  <si>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</si>
  <si>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</si>
  <si>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</si>
  <si>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</si>
  <si>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</si>
  <si>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</si>
  <si>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</si>
  <si>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</si>
  <si>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</si>
  <si>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</si>
  <si>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</si>
  <si>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</si>
  <si>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</si>
  <si>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</si>
  <si>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</si>
  <si>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</si>
  <si>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</si>
  <si>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</si>
  <si>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</si>
  <si>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</si>
  <si>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</si>
  <si>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</si>
  <si>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</si>
  <si>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</si>
  <si>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</si>
  <si>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</si>
  <si>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</si>
  <si>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</si>
  <si>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</si>
  <si>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</si>
  <si>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</si>
  <si>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</si>
  <si>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</si>
  <si>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</si>
  <si>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</si>
  <si>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</si>
  <si>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</si>
  <si>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</si>
  <si>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</si>
  <si>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</si>
  <si>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</si>
  <si>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</si>
  <si>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r>
      <t xml:space="preserve">Mortar mix charges manual  </t>
    </r>
    <r>
      <rPr>
        <sz val="10"/>
        <rFont val="Helv"/>
      </rPr>
      <t>sl.125(Ann3 N-29)</t>
    </r>
  </si>
  <si>
    <r>
      <t xml:space="preserve">Vibrat-charges(R.C.C) </t>
    </r>
    <r>
      <rPr>
        <sz val="10"/>
        <rFont val="Helv"/>
      </rPr>
      <t>sl.71/2 p25</t>
    </r>
  </si>
  <si>
    <t>Vibrat-charges(P.C.C) sl.71/1 p25</t>
  </si>
  <si>
    <r>
      <t xml:space="preserve">Sand filling charges </t>
    </r>
    <r>
      <rPr>
        <sz val="10"/>
        <rFont val="Helv"/>
      </rPr>
      <t>sl.46/84p23</t>
    </r>
  </si>
  <si>
    <t>POLISHING STONE (average of rough, medium, fine) it-56 p-37</t>
  </si>
  <si>
    <t>Earth filling charges sl.46/85 p23</t>
  </si>
  <si>
    <t>E.W.  40/62 p-22</t>
  </si>
  <si>
    <r>
      <t xml:space="preserve">L.C.T.W.Door- </t>
    </r>
    <r>
      <rPr>
        <sz val="10"/>
        <rFont val="Helv"/>
      </rPr>
      <t>104/2 p-27</t>
    </r>
  </si>
  <si>
    <r>
      <t>L.C.marine doors-</t>
    </r>
    <r>
      <rPr>
        <sz val="10"/>
        <rFont val="Helv"/>
      </rPr>
      <t>105/3 p-27</t>
    </r>
  </si>
  <si>
    <r>
      <t xml:space="preserve">TW glazed window </t>
    </r>
    <r>
      <rPr>
        <sz val="10"/>
        <rFont val="Helv"/>
      </rPr>
      <t>109/8 p-27</t>
    </r>
  </si>
  <si>
    <r>
      <t>Wrought&amp;putup</t>
    </r>
    <r>
      <rPr>
        <sz val="10"/>
        <rFont val="Helv"/>
      </rPr>
      <t xml:space="preserve"> 103/1 p-27</t>
    </r>
  </si>
  <si>
    <r>
      <t xml:space="preserve">Ventilator </t>
    </r>
    <r>
      <rPr>
        <sz val="10"/>
        <rFont val="Helv"/>
      </rPr>
      <t>113/14 p-28</t>
    </r>
  </si>
  <si>
    <r>
      <t xml:space="preserve">Meter- </t>
    </r>
    <r>
      <rPr>
        <sz val="10"/>
        <rFont val="Helv"/>
      </rPr>
      <t>Cupboard Weldmesh 118/23 p-28</t>
    </r>
  </si>
  <si>
    <t>Earth work lift for addl 1M p-23 it-45/77</t>
  </si>
  <si>
    <t>E.W (SDR) 41/67 p-23</t>
  </si>
  <si>
    <t>Labour for petty iron worksp-29 it-127/1</t>
  </si>
  <si>
    <r>
      <t xml:space="preserve">E.W  loose soil </t>
    </r>
    <r>
      <rPr>
        <sz val="10"/>
        <rFont val="Helv"/>
      </rPr>
      <t>p-22 SS20B/38/50</t>
    </r>
  </si>
  <si>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</si>
  <si>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</si>
  <si>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</si>
  <si>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</si>
  <si>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</si>
  <si>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</si>
  <si>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</si>
  <si>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</si>
  <si>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</si>
  <si>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</si>
  <si>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</si>
  <si>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</si>
  <si>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</si>
  <si>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</si>
  <si>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</si>
  <si>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</si>
  <si>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</si>
  <si>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</si>
  <si>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</si>
  <si>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</si>
  <si>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</si>
  <si>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</si>
  <si>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</si>
  <si>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</si>
  <si>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</si>
  <si>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</si>
  <si>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</si>
  <si>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</si>
  <si>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</si>
  <si>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</si>
  <si>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</si>
  <si>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</si>
  <si>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</si>
  <si>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</si>
  <si>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</si>
  <si>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</si>
  <si>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</si>
  <si>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</si>
  <si>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</si>
  <si>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</si>
  <si>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r>
      <t xml:space="preserve">Glazed-WALL TILES PLAINCOLOUR-6MM T.K (PWD LR) 100x200x6mm 
</t>
    </r>
    <r>
      <rPr>
        <b/>
        <sz val="12"/>
        <rFont val="Helv"/>
      </rPr>
      <t>item no. 11(ii)</t>
    </r>
  </si>
  <si>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</si>
  <si>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</si>
  <si>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</si>
  <si>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</si>
  <si>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</si>
  <si>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</si>
  <si>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</si>
  <si>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</si>
  <si>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</si>
  <si>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</si>
  <si>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</si>
  <si>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</si>
  <si>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</si>
  <si>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</si>
  <si>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</si>
  <si>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</si>
  <si>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</si>
  <si>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</si>
  <si>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</si>
  <si>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</si>
  <si>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</si>
  <si>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</si>
  <si>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</si>
  <si>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</si>
  <si>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</si>
  <si>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</si>
  <si>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</si>
  <si>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</si>
  <si>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</si>
  <si>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</si>
  <si>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r>
      <t xml:space="preserve">Granite slab </t>
    </r>
    <r>
      <rPr>
        <b/>
        <sz val="12"/>
        <color indexed="10"/>
        <rFont val="Helv"/>
      </rPr>
      <t>(Ruby red) P-36 it-29b</t>
    </r>
  </si>
  <si>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</si>
  <si>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</si>
  <si>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</si>
  <si>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</si>
  <si>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</si>
  <si>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</si>
  <si>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</si>
  <si>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</si>
  <si>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</si>
  <si>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</si>
  <si>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</si>
  <si>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</si>
  <si>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</si>
  <si>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</si>
  <si>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</si>
  <si>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</si>
  <si>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</si>
  <si>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</si>
  <si>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</si>
  <si>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</si>
  <si>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</si>
  <si>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</si>
  <si>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</si>
  <si>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</si>
  <si>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</si>
  <si>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</si>
  <si>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</si>
  <si>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</si>
  <si>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</si>
  <si>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</si>
  <si>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</si>
  <si>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</si>
  <si>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</si>
  <si>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</si>
  <si>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</si>
  <si>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</si>
  <si>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</si>
  <si>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</si>
  <si>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</si>
  <si>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</si>
  <si>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</si>
  <si>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</si>
  <si>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</si>
  <si>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</si>
  <si>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</si>
  <si>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</si>
  <si>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</si>
  <si>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</si>
  <si>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</si>
  <si>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</si>
  <si>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</si>
  <si>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</si>
  <si>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</si>
  <si>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</si>
  <si>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</si>
  <si>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</si>
  <si>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</si>
  <si>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</si>
  <si>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</si>
  <si>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</si>
  <si>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</si>
  <si>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</si>
  <si>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</si>
  <si>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</si>
  <si>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</si>
  <si>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</si>
  <si>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</si>
  <si>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</si>
  <si>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</si>
  <si>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</si>
  <si>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</si>
  <si>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</si>
  <si>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</si>
  <si>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</si>
  <si>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</si>
  <si>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</si>
  <si>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</si>
  <si>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</si>
  <si>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</si>
  <si>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</si>
  <si>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</si>
  <si>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</si>
  <si>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</si>
  <si>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</si>
  <si>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</si>
  <si>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</si>
  <si>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</si>
  <si>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</si>
  <si>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</si>
  <si>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</si>
  <si>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</si>
  <si>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</si>
  <si>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</si>
  <si>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</si>
  <si>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</si>
  <si>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</si>
  <si>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</si>
  <si>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</si>
  <si>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</si>
  <si>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</si>
  <si>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</si>
  <si>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</si>
  <si>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</si>
  <si>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</si>
  <si>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</si>
  <si>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</si>
  <si>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</si>
  <si>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</si>
  <si>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</si>
  <si>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</si>
  <si>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</si>
  <si>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</si>
  <si>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</si>
  <si>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</si>
  <si>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</si>
  <si>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</si>
  <si>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</si>
  <si>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</si>
  <si>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</si>
  <si>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</si>
  <si>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</si>
  <si>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</si>
  <si>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</si>
  <si>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</si>
  <si>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</si>
  <si>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</si>
  <si>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</si>
  <si>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</si>
  <si>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</si>
  <si>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</si>
  <si>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</si>
  <si>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</si>
  <si>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</si>
  <si>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</si>
  <si>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</si>
  <si>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</si>
  <si>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</si>
  <si>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</si>
  <si>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</si>
  <si>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</si>
  <si>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</si>
  <si>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</si>
  <si>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</si>
  <si>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</si>
  <si>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</si>
  <si>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</si>
  <si>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Guindy</t>
  </si>
  <si>
    <t>Sembarabakkam</t>
  </si>
  <si>
    <t>CUTTING CHARGES ( P-32/141)</t>
  </si>
  <si>
    <t>GALVANIUM SHEET 0.47MM THICK ( SR p-72)</t>
  </si>
  <si>
    <t>Chennai</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</si>
  <si>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</si>
  <si>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</si>
  <si>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</si>
  <si>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</si>
  <si>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</si>
  <si>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</si>
  <si>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</si>
  <si>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</si>
  <si>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</si>
  <si>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</si>
  <si>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</si>
  <si>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</si>
  <si>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</si>
  <si>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</si>
  <si>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</si>
  <si>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</si>
  <si>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</si>
  <si>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</si>
  <si>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</si>
  <si>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</si>
  <si>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</si>
  <si>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</si>
  <si>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</si>
  <si>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</si>
  <si>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</si>
  <si>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</si>
  <si>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</si>
  <si>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</si>
  <si>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</si>
  <si>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</si>
  <si>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</si>
  <si>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</si>
  <si>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</si>
  <si>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</si>
  <si>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</si>
  <si>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</si>
  <si>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</si>
  <si>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</si>
  <si>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</si>
  <si>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</si>
  <si>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</si>
  <si>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</si>
  <si>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</si>
  <si>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</si>
  <si>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</si>
  <si>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</si>
  <si>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</si>
  <si>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</si>
  <si>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</si>
  <si>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</si>
  <si>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</si>
  <si>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</si>
  <si>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</si>
  <si>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</si>
  <si>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</si>
  <si>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</si>
  <si>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</si>
  <si>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</si>
  <si>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</si>
  <si>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</si>
  <si>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</si>
  <si>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</si>
  <si>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</si>
  <si>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</si>
  <si>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</si>
  <si>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</si>
  <si>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</si>
  <si>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</si>
  <si>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</si>
  <si>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</si>
  <si>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</si>
  <si>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</si>
  <si>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</si>
  <si>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</si>
  <si>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</si>
  <si>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</si>
  <si>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</si>
  <si>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</si>
  <si>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</si>
  <si>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</si>
  <si>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</si>
  <si>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</si>
  <si>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</si>
  <si>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</si>
  <si>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</si>
  <si>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</si>
  <si>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</si>
  <si>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</si>
  <si>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</si>
  <si>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</si>
  <si>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</si>
  <si>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</si>
  <si>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</si>
  <si>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</si>
  <si>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</si>
  <si>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</si>
  <si>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</si>
  <si>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</si>
  <si>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</si>
  <si>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</si>
  <si>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</si>
  <si>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</si>
  <si>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</si>
  <si>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</si>
  <si>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</si>
  <si>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</si>
  <si>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</si>
  <si>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</si>
  <si>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</si>
  <si>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</si>
  <si>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</si>
  <si>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</si>
  <si>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</si>
  <si>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</si>
  <si>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</si>
  <si>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</si>
  <si>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</si>
  <si>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</si>
  <si>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</si>
  <si>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</si>
  <si>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</si>
  <si>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</si>
  <si>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</si>
  <si>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</si>
  <si>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</si>
  <si>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</si>
  <si>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</si>
  <si>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</si>
  <si>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</si>
  <si>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</si>
  <si>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</si>
  <si>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</si>
  <si>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</si>
  <si>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</si>
  <si>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</si>
  <si>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</si>
  <si>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</si>
  <si>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</si>
  <si>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</si>
  <si>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</si>
  <si>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</si>
  <si>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</si>
  <si>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</si>
  <si>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</si>
  <si>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</si>
  <si>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</si>
  <si>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</si>
  <si>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</si>
  <si>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</si>
  <si>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</si>
  <si>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</si>
  <si>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</si>
  <si>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</si>
  <si>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</si>
  <si>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</si>
  <si>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</si>
  <si>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</si>
  <si>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</si>
  <si>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</si>
  <si>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</si>
  <si>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</si>
  <si>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</si>
  <si>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</si>
  <si>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</si>
  <si>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</si>
  <si>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</si>
  <si>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</si>
  <si>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</si>
  <si>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</si>
  <si>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</si>
  <si>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</si>
  <si>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</si>
  <si>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</si>
  <si>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</si>
  <si>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</si>
  <si>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</si>
  <si>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</si>
  <si>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</si>
  <si>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</si>
  <si>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</si>
  <si>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</si>
  <si>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</si>
  <si>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</si>
  <si>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</si>
  <si>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</si>
  <si>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</si>
  <si>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</si>
  <si>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</si>
  <si>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</si>
  <si>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</si>
  <si>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</si>
  <si>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</si>
  <si>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</si>
  <si>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</si>
  <si>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</si>
  <si>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</si>
  <si>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</si>
  <si>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</si>
  <si>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</si>
  <si>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</si>
  <si>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</si>
  <si>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</si>
  <si>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</si>
  <si>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</si>
  <si>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</si>
  <si>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</si>
  <si>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</si>
  <si>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</si>
  <si>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</si>
  <si>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</si>
  <si>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</si>
  <si>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</si>
  <si>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</si>
  <si>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</si>
  <si>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</si>
  <si>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</si>
  <si>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</si>
  <si>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</si>
  <si>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</si>
  <si>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</si>
  <si>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</si>
  <si>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</si>
  <si>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</si>
  <si>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</si>
  <si>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</si>
  <si>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</si>
  <si>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</si>
  <si>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</si>
  <si>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</si>
  <si>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</si>
  <si>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</si>
  <si>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</si>
  <si>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</si>
  <si>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</si>
  <si>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</si>
  <si>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</si>
  <si>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</si>
  <si>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</si>
  <si>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</si>
  <si>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</si>
  <si>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</si>
  <si>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</si>
  <si>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</si>
  <si>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</si>
  <si>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</si>
  <si>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</si>
  <si>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</si>
  <si>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</si>
  <si>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</si>
  <si>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</si>
  <si>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</si>
  <si>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</si>
  <si>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</si>
  <si>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</si>
  <si>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</si>
  <si>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</si>
  <si>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</si>
  <si>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</si>
  <si>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</si>
  <si>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</si>
  <si>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</si>
  <si>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</si>
  <si>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</si>
  <si>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</si>
  <si>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</si>
  <si>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</si>
  <si>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</si>
  <si>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</si>
  <si>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</si>
  <si>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</si>
  <si>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</si>
  <si>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</si>
  <si>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</si>
  <si>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</si>
  <si>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</si>
  <si>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</si>
  <si>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</si>
  <si>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</si>
  <si>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</si>
  <si>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</si>
  <si>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</si>
  <si>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</si>
  <si>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</si>
  <si>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</si>
  <si>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</si>
  <si>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</si>
  <si>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</si>
  <si>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</si>
  <si>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</si>
  <si>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</si>
  <si>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</si>
  <si>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</si>
  <si>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</si>
  <si>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</si>
  <si>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</si>
  <si>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</si>
  <si>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</si>
  <si>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</si>
  <si>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</si>
  <si>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</si>
  <si>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</si>
  <si>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</si>
  <si>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</si>
  <si>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</si>
  <si>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</si>
  <si>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</si>
  <si>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</si>
  <si>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</si>
  <si>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</si>
  <si>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</si>
  <si>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</si>
  <si>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</si>
  <si>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</si>
  <si>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</si>
  <si>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</si>
  <si>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</si>
  <si>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</si>
  <si>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</si>
  <si>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</si>
  <si>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</si>
  <si>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</si>
  <si>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</si>
  <si>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</si>
  <si>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</si>
  <si>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</si>
  <si>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</si>
  <si>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</si>
  <si>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</si>
  <si>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</si>
  <si>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</si>
  <si>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</si>
  <si>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</si>
  <si>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</si>
  <si>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</si>
  <si>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</si>
  <si>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</si>
  <si>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</si>
  <si>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</si>
  <si>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</si>
  <si>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</si>
  <si>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</si>
  <si>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</si>
  <si>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</si>
  <si>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</si>
  <si>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</si>
  <si>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</si>
  <si>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</si>
  <si>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</si>
  <si>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</si>
  <si>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</si>
  <si>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</si>
  <si>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r>
      <t>FITTER-II (</t>
    </r>
    <r>
      <rPr>
        <sz val="10"/>
        <rFont val="Helv"/>
      </rPr>
      <t>Pipe &amp; Bar Bend) 57/20a p-11</t>
    </r>
  </si>
  <si>
    <t xml:space="preserve"> Gravel p17  75</t>
  </si>
  <si>
    <r>
      <t xml:space="preserve">FITTER-I </t>
    </r>
    <r>
      <rPr>
        <sz val="10"/>
        <rFont val="Helv"/>
      </rPr>
      <t>(Pipe &amp; Bar Bend) 16/20A p-9</t>
    </r>
  </si>
  <si>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</si>
  <si>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</si>
  <si>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</si>
  <si>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</si>
  <si>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</si>
  <si>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</si>
  <si>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</si>
  <si>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</si>
  <si>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</si>
  <si>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</si>
  <si>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</si>
  <si>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</si>
  <si>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</si>
  <si>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</si>
  <si>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</si>
  <si>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</si>
  <si>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</si>
  <si>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</si>
  <si>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</si>
  <si>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</si>
  <si>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</si>
  <si>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</si>
  <si>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</si>
  <si>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</si>
  <si>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</si>
  <si>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</si>
  <si>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</si>
  <si>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</si>
  <si>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</si>
  <si>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</si>
  <si>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</si>
  <si>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</si>
  <si>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</si>
  <si>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</si>
  <si>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</si>
  <si>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</si>
  <si>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</si>
  <si>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</si>
  <si>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</si>
  <si>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</si>
  <si>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</si>
  <si>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</si>
  <si>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</si>
  <si>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</si>
  <si>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</si>
  <si>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</si>
  <si>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</si>
  <si>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</si>
  <si>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</si>
  <si>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</si>
  <si>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</si>
  <si>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</si>
  <si>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</si>
  <si>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</si>
  <si>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</si>
  <si>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</si>
  <si>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</si>
  <si>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</si>
  <si>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</si>
  <si>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</si>
  <si>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</si>
  <si>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</si>
  <si>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</si>
  <si>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</si>
  <si>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</si>
  <si>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</si>
  <si>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</si>
  <si>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</si>
  <si>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</si>
  <si>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</si>
  <si>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</si>
  <si>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</si>
  <si>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</si>
  <si>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</si>
  <si>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</si>
  <si>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</si>
  <si>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</si>
  <si>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</si>
  <si>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</si>
  <si>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</si>
  <si>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</si>
  <si>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</si>
  <si>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</si>
  <si>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</si>
  <si>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</si>
  <si>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</si>
  <si>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</si>
  <si>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</si>
  <si>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</si>
  <si>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</si>
  <si>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</si>
  <si>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</si>
  <si>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</si>
  <si>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</si>
  <si>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</si>
  <si>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</si>
  <si>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</si>
  <si>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</si>
  <si>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</si>
  <si>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</si>
  <si>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</si>
  <si>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</si>
  <si>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</si>
  <si>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</si>
  <si>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</si>
  <si>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</si>
  <si>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</si>
  <si>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</si>
  <si>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</si>
  <si>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</si>
  <si>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</si>
  <si>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</si>
  <si>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</si>
  <si>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</si>
  <si>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</si>
  <si>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</si>
  <si>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</si>
  <si>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</si>
  <si>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</si>
  <si>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</si>
  <si>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</si>
  <si>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</si>
  <si>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</si>
  <si>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</si>
  <si>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</si>
  <si>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</si>
  <si>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</si>
  <si>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</si>
  <si>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</si>
  <si>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</si>
  <si>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</si>
  <si>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</si>
  <si>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</si>
  <si>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</si>
  <si>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</si>
  <si>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</si>
  <si>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</si>
  <si>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</si>
  <si>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</si>
  <si>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</si>
  <si>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</si>
  <si>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</si>
  <si>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</si>
  <si>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</si>
  <si>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</si>
  <si>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</si>
  <si>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</si>
  <si>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</si>
  <si>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</si>
  <si>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</si>
  <si>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</si>
  <si>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</si>
  <si>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</si>
  <si>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</si>
  <si>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</si>
  <si>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</si>
  <si>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</si>
  <si>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</si>
  <si>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</si>
  <si>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</si>
  <si>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</si>
  <si>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</si>
  <si>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</si>
  <si>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</si>
  <si>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</si>
  <si>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</si>
  <si>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</si>
  <si>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</si>
  <si>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</si>
  <si>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</si>
  <si>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</si>
  <si>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</si>
  <si>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</si>
  <si>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</si>
  <si>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</si>
  <si>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</si>
  <si>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</si>
  <si>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</si>
  <si>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</si>
  <si>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</si>
  <si>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</si>
  <si>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</si>
  <si>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</si>
  <si>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</si>
  <si>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</si>
  <si>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</si>
  <si>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</si>
  <si>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</si>
  <si>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</si>
  <si>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</si>
  <si>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</si>
  <si>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</si>
  <si>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</si>
  <si>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</si>
  <si>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</si>
  <si>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</si>
  <si>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</si>
  <si>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</si>
  <si>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</si>
  <si>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</si>
  <si>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</si>
  <si>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</si>
  <si>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</si>
  <si>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</si>
  <si>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</si>
  <si>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</si>
  <si>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</si>
  <si>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</si>
  <si>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</si>
  <si>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</si>
  <si>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</si>
  <si>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</si>
  <si>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</si>
  <si>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</si>
  <si>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</si>
  <si>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</si>
  <si>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</si>
  <si>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</si>
  <si>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</si>
  <si>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</si>
  <si>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</si>
  <si>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</si>
  <si>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r>
      <t xml:space="preserve">TW glazed door  </t>
    </r>
    <r>
      <rPr>
        <sz val="10"/>
        <rFont val="Helv"/>
      </rPr>
      <t>/4 p-27</t>
    </r>
  </si>
  <si>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</si>
  <si>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</si>
  <si>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</si>
  <si>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</si>
  <si>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</si>
  <si>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</si>
  <si>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</si>
  <si>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</si>
  <si>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</si>
  <si>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</si>
  <si>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</si>
  <si>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</si>
  <si>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</si>
  <si>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</si>
  <si>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</si>
  <si>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</si>
  <si>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</si>
  <si>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AD559-m30</t>
  </si>
  <si>
    <t>x-559-m20</t>
  </si>
  <si>
    <t xml:space="preserve">4mm thick plain  Glass panels with Aluminium beedings </t>
  </si>
  <si>
    <t xml:space="preserve">4mm glass frosted </t>
  </si>
  <si>
    <r>
      <t>Supplying and fixing 5.5</t>
    </r>
    <r>
      <rPr>
        <b/>
        <sz val="12"/>
        <rFont val="Helv"/>
      </rPr>
      <t>mm thick pin</t>
    </r>
  </si>
  <si>
    <t>Precast Cupboard slab 20 mm tk.using standardised concrete mix M20 (annexure)</t>
  </si>
  <si>
    <t>Precast cupboard slab 40 mm tkusing standardised concrete mix M20 (annexure)</t>
  </si>
  <si>
    <t xml:space="preserve">Total Qty.
(Building + Dev)
</t>
  </si>
  <si>
    <t>TW styles &amp; rails with 9mm thick BWR single leaf shutters  with brass screws size of 900 x 2100 mm</t>
  </si>
  <si>
    <t>Supply, fiing of 25W LED street light etc.,</t>
  </si>
  <si>
    <t>GENERAL ABSTRACT</t>
  </si>
  <si>
    <t>Sl.No.</t>
  </si>
  <si>
    <t>BUILDING WORKS</t>
  </si>
  <si>
    <t>SUB - TOTAL - I Rs.</t>
  </si>
  <si>
    <t>GST at  18.0% ( GST at 9% + CGST 9% )</t>
  </si>
  <si>
    <t>SUB - TOTAL - III Rs.</t>
  </si>
  <si>
    <t>Labour Welfare fund @ 1%</t>
  </si>
  <si>
    <t>As pr PWD Norms</t>
  </si>
  <si>
    <t>SUB - TOTAL - V Rs.</t>
  </si>
  <si>
    <t xml:space="preserve">Advertisement charges </t>
  </si>
  <si>
    <t>Structural Design / Consultancy charges</t>
  </si>
  <si>
    <t>GRAND  TOTAL Rs.</t>
  </si>
  <si>
    <t xml:space="preserve"> AS PER PWD SR 2022-2023</t>
  </si>
  <si>
    <t>TAMIL NADU POLICE HOUSING CORPORATION LTD</t>
  </si>
  <si>
    <t>ABSTRACT</t>
  </si>
  <si>
    <t>Rate
(CS sand)</t>
  </si>
  <si>
    <t>Amount
2022-2023</t>
  </si>
  <si>
    <t>Amount
2020-2021</t>
  </si>
  <si>
    <t>19 mm PVC rigid tees (p-83 4b, 15.3/12=1.39)</t>
  </si>
  <si>
    <t>5 amps flush type switch p-118, Part-C,1 a ( 192.60/12=17.25)</t>
  </si>
  <si>
    <t>19 mm PVC junction box  ( p-129,6-b( 41.20/12=3.43)</t>
  </si>
  <si>
    <t>5 A 5 pin non - inter locking switch and plug ( flush type ) part - c (I a) + part - d (I a)( Rs. 194.50/12 + 24.10)</t>
  </si>
  <si>
    <r>
      <t>Add cost of Bakelite battern type holders 6 nos @</t>
    </r>
    <r>
      <rPr>
        <sz val="12"/>
        <color indexed="10"/>
        <rFont val="Helv"/>
      </rPr>
      <t xml:space="preserve"> 15.80/E</t>
    </r>
    <r>
      <rPr>
        <sz val="12"/>
        <rFont val="Helv"/>
      </rPr>
      <t>ach9 (New item 22-p-77)</t>
    </r>
  </si>
  <si>
    <t>4 sqmm copper PVC insulated unsheathed single core cable for continuous earth connection</t>
  </si>
  <si>
    <t>led</t>
  </si>
  <si>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</si>
  <si>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</si>
  <si>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</si>
  <si>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4' tube light fitting with \electronic ballast p-111 it-20 c</t>
  </si>
  <si>
    <t>Hylem sheet 0.60 Sq m@ 563/Sq m</t>
  </si>
  <si>
    <t>2 X1.5 Sqmm OPEN WIRING PVC conduit</t>
  </si>
  <si>
    <t>25 W LED Street light Fittings p-115  18 a/ lower end</t>
  </si>
  <si>
    <t>63A TPN 10 KA MCB [SR P.132 6 j]</t>
  </si>
  <si>
    <t>63A double 4 pole 30MA ELCB [SR P.133 11 c]</t>
  </si>
  <si>
    <t>63A 10KA double pole MCB [SR P.132 6 d]</t>
  </si>
  <si>
    <t>20A SP MCB [SR P.132 6 a]</t>
  </si>
  <si>
    <t>Total Dev. Qty.</t>
  </si>
  <si>
    <t>Total Qty.
(Buildg.+ Dev.)</t>
  </si>
  <si>
    <t>Supplying &amp; fixing of Stainless steel Hand Rails  for staircase wall side</t>
  </si>
  <si>
    <t>S &amp; F of Granite slab of size 4'x2', 18 to 20mm Thick  (jet black) C.M 1:3, 20mm tk for entrance steps</t>
  </si>
  <si>
    <t>S &amp; F of two way bib cock with health faucet</t>
  </si>
  <si>
    <t>S &amp; F of SFRC manhole cover 600x600mm</t>
  </si>
  <si>
    <t>Supply, fiing of 30W LED street light etc.,</t>
  </si>
  <si>
    <t xml:space="preserve">Providing Aluminium Partition wall using aluminium extruded section with powder coating of any colours (1/3  plain glass 5.5mm on top &amp; 2/3 Novapan sheet 12mm thick) Incl. labour charges </t>
  </si>
  <si>
    <t>Supply and fixing of oval shape wash hand basin of size 560x450mm SRP-51</t>
  </si>
  <si>
    <t>Providing single nosing to the edges of Granite slab  at entrance steps [PWD SR-2022-23/p-36]</t>
  </si>
  <si>
    <t>Granite slab laying in Entrance steps</t>
  </si>
  <si>
    <r>
      <t>S &amp; F of Indian Water closet white glazed (Oriya type) of size 580 x 440mm</t>
    </r>
    <r>
      <rPr>
        <b/>
        <sz val="18"/>
        <rFont val="Arial"/>
        <family val="2"/>
      </rPr>
      <t xml:space="preserve"> with PVC SWR grade ' P' or "S' trap - in G.F.  </t>
    </r>
  </si>
  <si>
    <t>COST OF Granite slab Jet black</t>
  </si>
  <si>
    <t>S &amp; F of Aluminium powder coated door with using 12mm thick novopan sheet,  5.5mm thk plain glass  
size 1000 x 1200mm</t>
  </si>
  <si>
    <t>PVC felt</t>
  </si>
  <si>
    <t>Hydraulic door closer</t>
  </si>
  <si>
    <t xml:space="preserve"> Aluminium SCREWS (75x 10mm)(An-VI -it-233</t>
  </si>
  <si>
    <t>Bolts and nuts (6" x 1/2")</t>
  </si>
  <si>
    <t>Bolts and nuts (3/4" x 1/4")</t>
  </si>
  <si>
    <t>TOTAL FOR 2.10 SQM</t>
  </si>
  <si>
    <t>Prviding Augering  30 cm dia for compound wall (Standardized concrete grade M30)</t>
  </si>
  <si>
    <t>Borewell arrangement</t>
  </si>
  <si>
    <t xml:space="preserve">Providing  two coats of Plastic Emulsion PAINT including primer for inner walls </t>
  </si>
  <si>
    <t xml:space="preserve">Providing  two coats of Exterior Emulsion PAINT including primer for outer walls </t>
  </si>
  <si>
    <t>Exterior Emulsion PAINT</t>
  </si>
  <si>
    <t>DEVELOPMENT WORKS</t>
  </si>
  <si>
    <t>Provision for Planning permission &amp; payment to other department</t>
  </si>
  <si>
    <t>Supply and erection of 125 Amps capacity floor mounting / wall mounting panel board</t>
  </si>
  <si>
    <t>Supply and fixing of 2 x 2' square type recessed / surface mounted fitting with 36 W LED bulbs  and with necessary connection (higher end))</t>
  </si>
  <si>
    <t>b. 900X2100mm  without Brass fittings ( Single leaf)</t>
  </si>
  <si>
    <t>TW styles &amp; rails with 9mm thick BWR single leaf shutters  with brass screws size of 1200 x 2100 mm</t>
  </si>
  <si>
    <t>TW styles &amp; rails with 9mm thick BWR single leaf shutters  with brass screws size of 1000 x 2100 mm</t>
  </si>
  <si>
    <t>Providing rain water harvesting well ring of circular shape of 90cm dia m 60cm depth</t>
  </si>
  <si>
    <t>Supplying and fixing of 1 No of MCB DB for 4way Phase, 1 No Isolator 63 Amps, 6 Amps to 32 Amps MCB 12 Nos with neutral link necessary interconnection and earth connection cost of all materials etc all complete.</t>
  </si>
  <si>
    <t>63A FP Isolator (MCB) (Pg 134 PWD SR 22-23)</t>
  </si>
  <si>
    <t>4 Way TPN MCBDB (Pg 135 PWD SR 22-23)</t>
  </si>
  <si>
    <t>6 A to 32 A SP MCB's P.132/PWD SR 22-23)</t>
  </si>
  <si>
    <t>63A 4 pole ELCB P.130</t>
  </si>
  <si>
    <t>Wall cutting, grouting and finishing SD-167</t>
  </si>
  <si>
    <t>Earth Connection SD-167</t>
  </si>
  <si>
    <t>Add 1% Sundries etc.,</t>
  </si>
  <si>
    <t>Labour Charges (As per SD 159)</t>
  </si>
  <si>
    <t>Rate Per Each</t>
  </si>
  <si>
    <t xml:space="preserve">Main building 
</t>
  </si>
  <si>
    <t>R.C.C.Door frames of size 100 x 75mm with one edge grooves size 't' x 20 mm using M30 grade ( with out vibrating charges)</t>
  </si>
  <si>
    <t>e. In fourth  floor</t>
  </si>
  <si>
    <t>Supplying and laying of 3.5 core 120 sq.mm PVC armoured LTUG cable (below GL) SD-209</t>
  </si>
  <si>
    <t>Supplying and laying of 3.5 core 120 sq.mm PVC armoured LTUG cable (Above. GL) SD-227</t>
  </si>
  <si>
    <r>
      <t xml:space="preserve">Supplying and fixing of  </t>
    </r>
    <r>
      <rPr>
        <b/>
        <sz val="18"/>
        <rFont val="Arial"/>
        <family val="2"/>
      </rPr>
      <t>Brass Chromium Plated Soap Tray of size 150mm x 100mm</t>
    </r>
    <r>
      <rPr>
        <sz val="18"/>
        <rFont val="Arial"/>
        <family val="2"/>
      </rPr>
      <t xml:space="preserve"> including cost of all materials and all labour charges etc complete </t>
    </r>
  </si>
  <si>
    <r>
      <t xml:space="preserve">Supply and fixing of </t>
    </r>
    <r>
      <rPr>
        <b/>
        <sz val="18"/>
        <rFont val="Arial"/>
        <family val="2"/>
      </rPr>
      <t>Health faucet</t>
    </r>
    <r>
      <rPr>
        <sz val="18"/>
        <rFont val="Arial"/>
        <family val="2"/>
      </rPr>
      <t xml:space="preserve"> approved quality with ISI mark  (SR 2022-23 P-57)</t>
    </r>
  </si>
  <si>
    <t>Supply and Bib cock with health facet including cost of labour charge and etc.,</t>
  </si>
  <si>
    <t>S &amp; F of Granite slab of size 4'x2', 18 to 20mm Thick For plat form (Jet block) C.M 1:3, 20mm tk</t>
  </si>
  <si>
    <t>Supply &amp; Installtion of 3 star rated Air- Conditioner with copper coil including cost of 3m copper tube and fixing charge etc (PWD SR 2020-21 , P-141)</t>
  </si>
  <si>
    <t>a. 1.5 TR Split Type AC unit</t>
  </si>
  <si>
    <t>b..2 TR Split Type AC unit</t>
  </si>
  <si>
    <t xml:space="preserve"> Supply and Installation of 4 KVA CpapacityAutomatic Voltage stablizer with time delay relay (V- Guard/ Equivalent)</t>
  </si>
  <si>
    <t>Supply and Installation of 5 KVA CpapacityAutomatic Voltage stablizer with time delay relay (V- Guard/ Equivalent)</t>
  </si>
  <si>
    <t>Supply and laying of 5/8" and 3/8" copper pipe (Extra beyond 3 metrs supplied with AC unit)</t>
  </si>
  <si>
    <t xml:space="preserve">Supply and fixing of AC drain pipe </t>
  </si>
  <si>
    <t>Numbering &amp; lettering arrangements [CER.NO.530 / 2019-2020]</t>
  </si>
  <si>
    <t>Supply and fixing of Aluminium TNPHC Emblem of 18" height</t>
  </si>
  <si>
    <t>Supply and Fixing of 12" Height Aluminium letter s</t>
  </si>
  <si>
    <t>Supply and fixing of 9" Height Aluminium letters</t>
  </si>
  <si>
    <t>Supply and fixing of 20"x5" size plastic foam name plate</t>
  </si>
  <si>
    <t>Supply and fixing of 24"x8" plastic foam name plate with vinyl cutting letter RWH Board</t>
  </si>
  <si>
    <t>Providing Rain Water Harvesting well ring circular shape of 90cm dia, 60cm depth,50mm thick using m20 grade concrete including steel fabrication.
A.Ring</t>
  </si>
  <si>
    <t>Supplying and laying of Granite tiles Flooring  1:3, 10mm tk Ruby red</t>
  </si>
  <si>
    <t xml:space="preserve">Supply and fixing of 2 x 2' square type recessed / surface mounted fitting with 36 W LED bulbs  and with necessary connection Data S </t>
  </si>
  <si>
    <t>Supply and Fixing of PVC Trimes (beeding) P36/SOR-2022-2023</t>
  </si>
  <si>
    <t>Gearless Lift without Machine Room</t>
  </si>
  <si>
    <t>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(Data AQ</t>
  </si>
  <si>
    <t>RCC sump</t>
  </si>
  <si>
    <t>100 KVA DG set</t>
  </si>
  <si>
    <t xml:space="preserve">d. 50 mm dia </t>
  </si>
  <si>
    <t xml:space="preserve">Providing Borewell and Pump Set arrangements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</si>
  <si>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</si>
  <si>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a) Drilline of borewell in upto 60m
page.No.279 TWAD SR 20-21</t>
  </si>
  <si>
    <t>Drilling of 150mm dia vertical bores in hardrock formation 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</si>
  <si>
    <t>(a) Drilling of borewell in rock area</t>
  </si>
  <si>
    <t>a) Drilline of borewell in upto 60m</t>
  </si>
  <si>
    <t>Reaming from 150mm dia pilot bore to 300mm dia bore as directed by the departmental officer’s up to 60m depth ending from ground level.</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</si>
  <si>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officialsP304 -TWAD2022-2023</t>
  </si>
  <si>
    <t>i) l50mm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</si>
  <si>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</si>
  <si>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Hour</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</si>
  <si>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</si>
  <si>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</si>
  <si>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</si>
  <si>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</si>
  <si>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</si>
  <si>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of Nylon rope for  Bore well</t>
  </si>
  <si>
    <t>Supplying and delivery of following materials of best approved quality for erection of  submersible pumpset etc.. all complete and as directed by the departmental officers.</t>
  </si>
  <si>
    <t>a. 32mm Gate valve P48/2022-23</t>
  </si>
  <si>
    <t>b. 50mm Gate valve</t>
  </si>
  <si>
    <t>c. 32mm Union</t>
  </si>
  <si>
    <t>d. 50mm Union</t>
  </si>
  <si>
    <t>e. M.S clamp set TWAD 40 mm</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</si>
  <si>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</si>
  <si>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 and delivery of 1.5 HPMS Fabricated DOL panel control board with ISI Mark for single phase wall moulded type Ammeter, voltmeter ON/OFF Switch etc. complete and as directed by the departmental officers. TWAD SR 2020-2021, item.11.3</t>
  </si>
  <si>
    <t>Supplying and delivery of  MS fabricated DOL panel control board 4HP with ISI mark for three phase (TWAD SR 2019-2020)</t>
  </si>
  <si>
    <t>Supplying and laying 3 core 4 sqmm FLAT COPPER CABLE with ISI mark including cost of all materials specials etc. all complete.</t>
  </si>
  <si>
    <t>Supplying and fixing the following Specials.</t>
  </si>
  <si>
    <t>a. 50 mm non return valve</t>
  </si>
  <si>
    <t>b. 50 mm Gate valve</t>
  </si>
  <si>
    <t>SHUTTER SIZE 0.90 X2.05   =1.85 M2</t>
  </si>
  <si>
    <t>RAILS(BELOW 2M)- 1X3X0.90X0.15X0.0375=      0.01519</t>
  </si>
  <si>
    <t>PLANKS      -1X1X0.75X0.64=0.416</t>
  </si>
  <si>
    <t>PLANKS      -1X1X0.75X0.96=0.6240</t>
  </si>
  <si>
    <t>TOTAL FOR 2.26 SQM</t>
  </si>
  <si>
    <t>Supplying and fixing of PVC Sliding Door with Roller</t>
  </si>
  <si>
    <t xml:space="preserve"> Vitrified Tiles  ( Ivory ) 600 x 600 x 8mm  Flooring in  C.M 1:3 </t>
  </si>
  <si>
    <r>
      <t xml:space="preserve">Supplying and fixing of </t>
    </r>
    <r>
      <rPr>
        <b/>
        <sz val="18"/>
        <rFont val="Arial"/>
        <family val="2"/>
      </rPr>
      <t>shower arm 9"</t>
    </r>
    <r>
      <rPr>
        <sz val="18"/>
        <rFont val="Arial"/>
        <family val="2"/>
      </rPr>
      <t xml:space="preserve"> long including cost of all materials and all labour charges etc. complete  PWD SR-2022-23,P-48</t>
    </r>
  </si>
  <si>
    <t xml:space="preserve">Supply and fixing of  4way Three phase Horizantal Distribution Box  </t>
  </si>
  <si>
    <t xml:space="preserve">4 way DB Enclosure  P-135 SR 2022-2023
</t>
  </si>
  <si>
    <t>63 Amps 30 MA - Isolator (FOUR POLE) Pg -133/SR-2021-2022</t>
  </si>
  <si>
    <t>Single Pole 6A to 32A, 10KA Pg -133/SR-2021-2022</t>
  </si>
  <si>
    <t xml:space="preserve">LS </t>
  </si>
  <si>
    <t>Wall cutting, grouting and finishing (SD  179)</t>
  </si>
  <si>
    <t>Earth connection (SD 74)</t>
  </si>
  <si>
    <t>Add 1% sundries, etc.</t>
  </si>
  <si>
    <t>Labour charges as per SD 159</t>
  </si>
  <si>
    <t xml:space="preserve">Supply and fixing of  6way Three phase Horizantal Distribution Box  </t>
  </si>
  <si>
    <t xml:space="preserve">6 way DB Enclosure  P-136 SR 2022-2023
</t>
  </si>
  <si>
    <t>Wall cutting, grouting and finishing (SD 74) 179</t>
  </si>
  <si>
    <t>Rate for 1No</t>
  </si>
  <si>
    <t xml:space="preserve"> 32 MM DIA UPVC PIPE Below G.L:-</t>
  </si>
  <si>
    <t>32 mm DIA  PIPE BELOW G.L</t>
  </si>
  <si>
    <t>CONVEYING,LOWERING  ANDLAYING(TWAD-Pg.255-11b)</t>
  </si>
  <si>
    <t>CUTTING CHARGES(TWAD S.R-2020-21,P.No-259)</t>
  </si>
  <si>
    <t>COST OF 32MM DIA UPVC PIPE (PWD SR-2022-2023 )</t>
  </si>
  <si>
    <t>50 MM DIA UPVC PIPE Below G.L:-</t>
  </si>
  <si>
    <t>50 mm DIA  PIPE BELOW G.L</t>
  </si>
  <si>
    <t>COST OF 50 MM DIA UPVC PIPE (PWD SR-2022-2023 )</t>
  </si>
  <si>
    <t>Main building</t>
  </si>
  <si>
    <t>Provision for Soil Investigation</t>
  </si>
  <si>
    <t>Unforseen, contingencies &amp; PS charges @1 %</t>
  </si>
  <si>
    <t>Supervision Charges @ 5%</t>
  </si>
  <si>
    <t>Suplly and erection of 125  Amps Capacity floor mounting panel board (Cubical type)</t>
  </si>
  <si>
    <t>TW panelled  single door shutter with  brass fittings.</t>
  </si>
  <si>
    <t>Supplying and laying Granite slab flooring in 
cm 1:3,20mm tk using (Ruby Red ) for Staircase steps</t>
  </si>
  <si>
    <t>P</t>
  </si>
  <si>
    <t>Supply and Laying Rubber Moulded Hyraulic Pressed Paver Block 83 mm thick including labour charges for laying etc</t>
  </si>
  <si>
    <t>Rubber Moulded Hyraulic Pressed Paver Block 83 mm thick</t>
  </si>
  <si>
    <t>Mason -I</t>
  </si>
  <si>
    <t>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P22 -TWAD2022-2023</t>
  </si>
  <si>
    <t>Charges for developing the borewell for the entire depth with air compressor of 300cfm capacity [Minimum 8 hours] including transportation, labour and fuel harges for compressor and conducting  yield tests by V-notch method etc., all complete as directed by the departmental officers.  P309/TWAD2022-23</t>
  </si>
  <si>
    <t>Supply and delivery of 150mm OD of  PVC casing pipes (6kglcm2) as per IS 12818 11992 of approved quality for borewells with average wall thickness of lmm and inner/outer threaded ends in standard length of 3m including transporting charges to site of work and all other taxes etc.P22 -SR.20-21</t>
  </si>
  <si>
    <t>Supply and delivery of 150mm OD of PVC casing pipes (6kglcm2) as per IS 12818 11992 of approved quality for borewells with average wall thickness of  Klmm and inner/outer threaded ends in standard length of 3m including transporting charges to site of work and all other taxes etc., all complete as directed by the departmental ofhcers. (The PVC casing pipe should be got approved.P22 -TWAD2022-2023</t>
  </si>
  <si>
    <t>S&amp;F of stainless steel sink 600mm x 450mm x 200mm PWD SR 22-23</t>
  </si>
  <si>
    <t xml:space="preserve">a. 1200X2100mm.(double leaf)  Four horizontal Panel
</t>
  </si>
  <si>
    <t>b.1500x2100mm (double leaves)</t>
  </si>
  <si>
    <t>T.W. frame &amp; TW styles &amp; rails with BWR double leaf shutters for SPECIAL cup board/ ward robes including two coat enamel paint &amp; one coat primer.</t>
  </si>
  <si>
    <t>S&amp;F 3.5 X70mm LTUG CABLE Above GL</t>
  </si>
  <si>
    <t>S&amp;F 3.5 X 70mm LTUG CABLE below GL SD207</t>
  </si>
  <si>
    <t xml:space="preserve">Supplying and fixing of CP Angle valve Stop cock  including cost of all materials and all labour charges etc complete </t>
  </si>
  <si>
    <t xml:space="preserve">Supply and fixing of Health faucet approved quality with ISI mark </t>
  </si>
  <si>
    <t>S &amp; F TPN 4 way DB encloser</t>
  </si>
  <si>
    <t>Supply and delivery at site and fixing of SFRC manhole cover with frame with locking arrangement
a. 600mm x 600mm (SR 2022-23 P-72)</t>
  </si>
  <si>
    <t>Providing 13 Persons Passenger Lift Car Size (1300 x 1350)</t>
  </si>
  <si>
    <t>c.50mm union</t>
  </si>
  <si>
    <t>d.50mm G.I.pipe</t>
  </si>
  <si>
    <t>e.50mm G.I.bend</t>
  </si>
  <si>
    <t>f.50mm G.I.coupling</t>
  </si>
  <si>
    <t>b).40 mm dia UPVC pipes (below GL)</t>
  </si>
  <si>
    <t>b).40 mm dia UPVC pipes (above GL)</t>
  </si>
  <si>
    <t xml:space="preserve">Genset </t>
  </si>
  <si>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masonry.DATA A</t>
  </si>
  <si>
    <t>Supply and run of 2 of No.8 copper wire for earth connections - Data B (CER.No.110/2020-21)</t>
  </si>
  <si>
    <t>Mts.</t>
  </si>
  <si>
    <t>Providing and fixing 25mm x 3mm copper strip on surface or in recess for connections as required - Data N  SD -76</t>
  </si>
  <si>
    <t>Providing and fixing 25mm x 6mm copper strip on surface or in recess for connections as required for alternator neutral - Data H (SD - 77)</t>
  </si>
  <si>
    <t>Genset arrangement</t>
  </si>
  <si>
    <t xml:space="preserve">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</si>
  <si>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</si>
  <si>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Erection, Testing and commissioning of 62.5KVA Diesel generator set. PWD SR 2020-2021</t>
  </si>
  <si>
    <t>Providing suitable foundation for accomodating the 62.5 KVA DG set.</t>
  </si>
  <si>
    <t>Job</t>
  </si>
  <si>
    <t xml:space="preserve">Insulation for the residential silencer (supply of residential silencer to be included under item for DG Sets)  </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</si>
  <si>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</si>
  <si>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</si>
  <si>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</si>
  <si>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</si>
  <si>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</si>
  <si>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</si>
  <si>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</si>
  <si>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job</t>
  </si>
  <si>
    <t>Supply and laying of  XLPE, aluminium conductor 1.1KV grade armoured ,MV cable of the following sizes in the existing cable trays / trenches as required generally confirming to IS: 1554/Part - I / 1970</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</si>
  <si>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</si>
  <si>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</si>
  <si>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r>
      <t xml:space="preserve"> 3 1/2 x 75 sqmm aluminium cable </t>
    </r>
    <r>
      <rPr>
        <b/>
        <sz val="18"/>
        <rFont val="Arial"/>
        <family val="2"/>
      </rPr>
      <t>(Data-C) SD- 242</t>
    </r>
  </si>
  <si>
    <t>Chipping of RCC pile head to the required cut of level and clearing way debries with an average lead of 3 km entirely with city limits M30 Grade</t>
  </si>
  <si>
    <t>c.1500x2100</t>
  </si>
  <si>
    <t>a). Providing pit (M25)</t>
  </si>
  <si>
    <t>AK-559-M25</t>
  </si>
  <si>
    <r>
      <t>Granite Tile wall cladding using 10mmtk  (Sinthetic Grey</t>
    </r>
    <r>
      <rPr>
        <b/>
        <sz val="18"/>
        <rFont val="Arial"/>
        <family val="2"/>
      </rPr>
      <t>)  tile in</t>
    </r>
    <r>
      <rPr>
        <sz val="18"/>
        <rFont val="Arial"/>
        <family val="2"/>
      </rPr>
      <t xml:space="preserve"> C.M 1:2, 10mm tk .</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</si>
  <si>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 PWDSRP_54</t>
    </r>
  </si>
  <si>
    <t>Supplying and fixing of brass cable gland suitable for 3.5 core 120 Sqmm PVC armoured LTUG cable  SD 191</t>
  </si>
  <si>
    <t xml:space="preserve">Supplying and fixing of end termination suitable for 3.5 core 120 Sqmm PVC armoured LTUG cable SD 240 </t>
  </si>
  <si>
    <t>Supplying and fixing of CP shower arm with overhead shower rose</t>
  </si>
  <si>
    <t>Supplying and fixing of angle cock</t>
  </si>
  <si>
    <r>
      <t xml:space="preserve">Supply and fixing of 75 W mid bay LED luminaire on the main portico with necessary internal connections.  (The type of luminaire shall be got approved by the Executive Engineer) -  </t>
    </r>
    <r>
      <rPr>
        <b/>
        <sz val="18"/>
        <rFont val="Arial"/>
        <family val="2"/>
      </rPr>
      <t>Data X</t>
    </r>
  </si>
  <si>
    <t>a) 3 1/2 x 70 sqmm aluminium cable (Data-A) SD - 207
From DG panel to the common panel</t>
  </si>
  <si>
    <t>3 1/2 x 70 sqmm aluminium cable  SD - 193</t>
  </si>
  <si>
    <t>Providing safety equipments: CO2 fire extinguisher : 1 No.; 9 ltrs capacity fire buckets:  3 Nos., &amp; rubber mat : 1 No. CER NO.124/22-23</t>
  </si>
  <si>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Data K(SD 223)  CER NO.124/22-23</t>
    </r>
  </si>
  <si>
    <t>Supplying &amp; fixing 125A 4 Pole Change Over Switch PWD SRP-121</t>
  </si>
  <si>
    <t xml:space="preserve">Supply and clamping of 4 core 2.5sqm PVC sheathed and armoured copper cable </t>
  </si>
  <si>
    <t>mtr</t>
  </si>
  <si>
    <t>Supply and Delivery of  Submersible motor Pumpset with ISI mark IS 8034 without Panel Board of capacity 50LPM X 100m head</t>
  </si>
  <si>
    <t>Supply and Delivery of  Three phase Openwell Submersible motor Pumpset 50LPM X 40m</t>
  </si>
  <si>
    <t>Provision for CMWSSB</t>
  </si>
  <si>
    <t>Supply and laying 40MM Dia  HDPE PIPES (PWD SR 2022-2023, Pg No. 104)</t>
  </si>
  <si>
    <t xml:space="preserve">Bored cast sit piles installation of vertical cast in Situ Bored piles of following dia using Standardised concrete  mix M30 Grade) </t>
  </si>
  <si>
    <t>Wiring with 1.5 sqmm PVC insulated single core multi strand fire retardant flexible copper cable with ISI mark confirming IS: 694:1990.</t>
  </si>
  <si>
    <r>
      <t xml:space="preserve">Wiring with 1.5 sqmm PVC insulated single core multi strand fire retardant flexible copper cable with ISI mark confirming IS: 694:1990 for </t>
    </r>
    <r>
      <rPr>
        <b/>
        <sz val="18"/>
        <rFont val="Arial"/>
        <family val="2"/>
      </rPr>
      <t>Fan point</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</si>
  <si>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</si>
  <si>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</si>
  <si>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t>
    </r>
  </si>
  <si>
    <t xml:space="preserve">Name of work:- Construction of building for Ambattur Fire and Rescue Services Station and Ambattur District office in Chennai Suburban District under CM’s Announcement scheme for the year 2021 - 2022 </t>
  </si>
  <si>
    <t>Genset 62.5 KVA</t>
  </si>
  <si>
    <t>Provision for EB Deposits &amp; erection transformer</t>
  </si>
  <si>
    <t>SUB - TOTAL - II Rs.</t>
  </si>
  <si>
    <t>SUB - TOTAL - IV Rs.</t>
  </si>
</sst>
</file>

<file path=xl/styles.xml><?xml version="1.0" encoding="utf-8"?>
<styleSheet xmlns="http://schemas.openxmlformats.org/spreadsheetml/2006/main">
  <numFmts count="22">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quot;RS.&quot;\ #,##0;&quot;RS.&quot;\ \-#,##0"/>
  </numFmts>
  <fonts count="207">
    <font>
      <sz val="12"/>
      <name val="Helv"/>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i/>
      <sz val="18"/>
      <name val="Arial"/>
      <family val="2"/>
    </font>
    <font>
      <sz val="18"/>
      <name val="Times New Roman"/>
      <family val="1"/>
    </font>
    <font>
      <sz val="18"/>
      <name val="Book Antiqua"/>
      <family val="1"/>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u/>
      <sz val="16"/>
      <name val="Arial"/>
      <family val="2"/>
    </font>
    <font>
      <b/>
      <u/>
      <sz val="12"/>
      <color theme="0"/>
      <name val="Arial"/>
      <family val="2"/>
    </font>
    <font>
      <sz val="12"/>
      <name val="Arial Narrow"/>
      <family val="2"/>
    </font>
    <font>
      <u/>
      <sz val="12"/>
      <name val="Arial Narrow"/>
      <family val="2"/>
    </font>
    <font>
      <b/>
      <sz val="12"/>
      <name val="Arial Narrow"/>
      <family val="2"/>
    </font>
    <font>
      <sz val="12"/>
      <color theme="1"/>
      <name val="Arial Narrow"/>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sz val="12"/>
      <name val="Helv"/>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20"/>
      <name val="Arial"/>
      <family val="2"/>
    </font>
    <font>
      <sz val="20"/>
      <name val="Times New Roman"/>
      <family val="1"/>
    </font>
    <font>
      <b/>
      <sz val="16"/>
      <color indexed="8"/>
      <name val="Arial"/>
      <family val="2"/>
    </font>
    <font>
      <sz val="16"/>
      <color indexed="8"/>
      <name val="Arial"/>
      <family val="2"/>
    </font>
    <font>
      <sz val="18"/>
      <color indexed="8"/>
      <name val="Arial"/>
      <family val="2"/>
    </font>
    <font>
      <sz val="18"/>
      <color rgb="FF000000"/>
      <name val="Arial"/>
      <family val="2"/>
    </font>
    <font>
      <b/>
      <sz val="11"/>
      <color theme="1"/>
      <name val="Arial"/>
      <family val="2"/>
    </font>
  </fonts>
  <fills count="32">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s>
  <borders count="32">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hair">
        <color indexed="64"/>
      </bottom>
      <diagonal/>
    </border>
    <border>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hair">
        <color indexed="64"/>
      </left>
      <right/>
      <top style="hair">
        <color indexed="64"/>
      </top>
      <bottom style="hair">
        <color indexed="64"/>
      </bottom>
      <diagonal/>
    </border>
  </borders>
  <cellStyleXfs count="125">
    <xf numFmtId="168" fontId="0" fillId="0" borderId="0"/>
    <xf numFmtId="6" fontId="92" fillId="0" borderId="0" applyFont="0" applyFill="0" applyBorder="0" applyAlignment="0" applyProtection="0"/>
    <xf numFmtId="43" fontId="63" fillId="0" borderId="0" applyFont="0" applyFill="0" applyBorder="0" applyAlignment="0" applyProtection="0"/>
    <xf numFmtId="167" fontId="98" fillId="0" borderId="0" applyFont="0" applyFill="0" applyBorder="0" applyAlignment="0" applyProtection="0"/>
    <xf numFmtId="38" fontId="15" fillId="2" borderId="0" applyNumberFormat="0" applyBorder="0" applyAlignment="0" applyProtection="0"/>
    <xf numFmtId="0" fontId="107" fillId="0" borderId="0" applyNumberFormat="0" applyFill="0" applyBorder="0" applyAlignment="0" applyProtection="0">
      <alignment vertical="top"/>
      <protection locked="0"/>
    </xf>
    <xf numFmtId="10" fontId="15" fillId="3" borderId="1" applyNumberFormat="0" applyBorder="0" applyAlignment="0" applyProtection="0"/>
    <xf numFmtId="168" fontId="99" fillId="0" borderId="0"/>
    <xf numFmtId="42" fontId="11" fillId="0" borderId="0"/>
    <xf numFmtId="0" fontId="63" fillId="0" borderId="0"/>
    <xf numFmtId="166" fontId="11" fillId="0" borderId="0"/>
    <xf numFmtId="0" fontId="63" fillId="0" borderId="0"/>
    <xf numFmtId="0" fontId="106" fillId="0" borderId="0"/>
    <xf numFmtId="0" fontId="63" fillId="0" borderId="0"/>
    <xf numFmtId="0" fontId="63" fillId="0" borderId="0"/>
    <xf numFmtId="0" fontId="63" fillId="0" borderId="0"/>
    <xf numFmtId="0" fontId="106" fillId="0" borderId="0"/>
    <xf numFmtId="0" fontId="63" fillId="0" borderId="0"/>
    <xf numFmtId="0" fontId="95" fillId="0" borderId="0"/>
    <xf numFmtId="166" fontId="11" fillId="0" borderId="0"/>
    <xf numFmtId="164" fontId="11" fillId="0" borderId="0"/>
    <xf numFmtId="0" fontId="63" fillId="0" borderId="0"/>
    <xf numFmtId="168" fontId="11" fillId="0" borderId="0"/>
    <xf numFmtId="168" fontId="11" fillId="0" borderId="0"/>
    <xf numFmtId="0" fontId="106" fillId="0" borderId="0"/>
    <xf numFmtId="0" fontId="63" fillId="0" borderId="0"/>
    <xf numFmtId="0" fontId="63" fillId="0" borderId="0"/>
    <xf numFmtId="0" fontId="106" fillId="0" borderId="0"/>
    <xf numFmtId="165" fontId="11" fillId="0" borderId="0"/>
    <xf numFmtId="165" fontId="11" fillId="0" borderId="0"/>
    <xf numFmtId="165" fontId="11" fillId="0" borderId="0"/>
    <xf numFmtId="180" fontId="11" fillId="0" borderId="0"/>
    <xf numFmtId="0" fontId="106" fillId="0" borderId="0"/>
    <xf numFmtId="0" fontId="108" fillId="0" borderId="0"/>
    <xf numFmtId="0" fontId="63" fillId="0" borderId="0"/>
    <xf numFmtId="0" fontId="98" fillId="0" borderId="0"/>
    <xf numFmtId="0" fontId="98" fillId="0" borderId="0"/>
    <xf numFmtId="0" fontId="63" fillId="0" borderId="0"/>
    <xf numFmtId="0" fontId="3" fillId="0" borderId="0"/>
    <xf numFmtId="0" fontId="63" fillId="0" borderId="0"/>
    <xf numFmtId="0" fontId="3" fillId="0" borderId="0"/>
    <xf numFmtId="9" fontId="3" fillId="0" borderId="0" applyFont="0" applyFill="0" applyBorder="0" applyAlignment="0" applyProtection="0"/>
    <xf numFmtId="10" fontId="63"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0" fontId="100" fillId="0" borderId="0"/>
    <xf numFmtId="40" fontId="101" fillId="0" borderId="0"/>
    <xf numFmtId="0" fontId="3" fillId="0" borderId="0"/>
    <xf numFmtId="0" fontId="2" fillId="0" borderId="0"/>
    <xf numFmtId="0" fontId="3" fillId="0" borderId="0"/>
    <xf numFmtId="0" fontId="92" fillId="16" borderId="0" applyNumberFormat="0" applyBorder="0" applyAlignment="0" applyProtection="0"/>
    <xf numFmtId="0" fontId="92" fillId="17" borderId="0" applyNumberFormat="0" applyBorder="0" applyAlignment="0" applyProtection="0"/>
    <xf numFmtId="0" fontId="92" fillId="18" borderId="0" applyNumberFormat="0" applyBorder="0" applyAlignment="0" applyProtection="0"/>
    <xf numFmtId="0" fontId="92" fillId="16" borderId="0" applyNumberFormat="0" applyBorder="0" applyAlignment="0" applyProtection="0"/>
    <xf numFmtId="0" fontId="92" fillId="19" borderId="0" applyNumberFormat="0" applyBorder="0" applyAlignment="0" applyProtection="0"/>
    <xf numFmtId="0" fontId="92" fillId="17" borderId="0" applyNumberFormat="0" applyBorder="0" applyAlignment="0" applyProtection="0"/>
    <xf numFmtId="0" fontId="92" fillId="20" borderId="0" applyNumberFormat="0" applyBorder="0" applyAlignment="0" applyProtection="0"/>
    <xf numFmtId="0" fontId="92" fillId="21" borderId="0" applyNumberFormat="0" applyBorder="0" applyAlignment="0" applyProtection="0"/>
    <xf numFmtId="0" fontId="92" fillId="22" borderId="0" applyNumberFormat="0" applyBorder="0" applyAlignment="0" applyProtection="0"/>
    <xf numFmtId="0" fontId="92" fillId="20" borderId="0" applyNumberFormat="0" applyBorder="0" applyAlignment="0" applyProtection="0"/>
    <xf numFmtId="0" fontId="92" fillId="23" borderId="0" applyNumberFormat="0" applyBorder="0" applyAlignment="0" applyProtection="0"/>
    <xf numFmtId="0" fontId="92" fillId="17" borderId="0" applyNumberFormat="0" applyBorder="0" applyAlignment="0" applyProtection="0"/>
    <xf numFmtId="0" fontId="182" fillId="24" borderId="0" applyNumberFormat="0" applyBorder="0" applyAlignment="0" applyProtection="0"/>
    <xf numFmtId="0" fontId="182" fillId="21" borderId="0" applyNumberFormat="0" applyBorder="0" applyAlignment="0" applyProtection="0"/>
    <xf numFmtId="0" fontId="182" fillId="22" borderId="0" applyNumberFormat="0" applyBorder="0" applyAlignment="0" applyProtection="0"/>
    <xf numFmtId="0" fontId="182" fillId="20" borderId="0" applyNumberFormat="0" applyBorder="0" applyAlignment="0" applyProtection="0"/>
    <xf numFmtId="0" fontId="182" fillId="24" borderId="0" applyNumberFormat="0" applyBorder="0" applyAlignment="0" applyProtection="0"/>
    <xf numFmtId="0" fontId="182" fillId="17" borderId="0" applyNumberFormat="0" applyBorder="0" applyAlignment="0" applyProtection="0"/>
    <xf numFmtId="0" fontId="182" fillId="24" borderId="0" applyNumberFormat="0" applyBorder="0" applyAlignment="0" applyProtection="0"/>
    <xf numFmtId="0" fontId="182" fillId="25" borderId="0" applyNumberFormat="0" applyBorder="0" applyAlignment="0" applyProtection="0"/>
    <xf numFmtId="0" fontId="182" fillId="26" borderId="0" applyNumberFormat="0" applyBorder="0" applyAlignment="0" applyProtection="0"/>
    <xf numFmtId="0" fontId="182" fillId="27" borderId="0" applyNumberFormat="0" applyBorder="0" applyAlignment="0" applyProtection="0"/>
    <xf numFmtId="0" fontId="182" fillId="24" borderId="0" applyNumberFormat="0" applyBorder="0" applyAlignment="0" applyProtection="0"/>
    <xf numFmtId="0" fontId="182" fillId="28" borderId="0" applyNumberFormat="0" applyBorder="0" applyAlignment="0" applyProtection="0"/>
    <xf numFmtId="0" fontId="183" fillId="29" borderId="0" applyNumberFormat="0" applyBorder="0" applyAlignment="0" applyProtection="0"/>
    <xf numFmtId="0" fontId="184" fillId="16" borderId="22" applyNumberFormat="0" applyAlignment="0" applyProtection="0"/>
    <xf numFmtId="0" fontId="185" fillId="30" borderId="23" applyNumberFormat="0" applyAlignment="0" applyProtection="0"/>
    <xf numFmtId="172"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0" fontId="186" fillId="0" borderId="0" applyNumberFormat="0" applyFill="0" applyBorder="0" applyAlignment="0" applyProtection="0"/>
    <xf numFmtId="0" fontId="187" fillId="31" borderId="0" applyNumberFormat="0" applyBorder="0" applyAlignment="0" applyProtection="0"/>
    <xf numFmtId="0" fontId="188" fillId="0" borderId="24" applyNumberFormat="0" applyFill="0" applyAlignment="0" applyProtection="0"/>
    <xf numFmtId="0" fontId="189" fillId="0" borderId="25" applyNumberFormat="0" applyFill="0" applyAlignment="0" applyProtection="0"/>
    <xf numFmtId="0" fontId="190" fillId="0" borderId="26" applyNumberFormat="0" applyFill="0" applyAlignment="0" applyProtection="0"/>
    <xf numFmtId="0" fontId="190" fillId="0" borderId="0" applyNumberFormat="0" applyFill="0" applyBorder="0" applyAlignment="0" applyProtection="0"/>
    <xf numFmtId="0" fontId="191" fillId="0" borderId="0" applyNumberFormat="0" applyFill="0" applyBorder="0" applyAlignment="0" applyProtection="0">
      <alignment vertical="top"/>
      <protection locked="0"/>
    </xf>
    <xf numFmtId="0" fontId="192" fillId="17" borderId="22" applyNumberFormat="0" applyAlignment="0" applyProtection="0"/>
    <xf numFmtId="2" fontId="93" fillId="0" borderId="8" applyNumberFormat="0" applyBorder="0" applyProtection="0">
      <alignment horizontal="center" vertical="center"/>
    </xf>
    <xf numFmtId="0" fontId="193" fillId="0" borderId="27" applyNumberFormat="0" applyFill="0" applyAlignment="0" applyProtection="0"/>
    <xf numFmtId="0" fontId="194" fillId="22" borderId="0" applyNumberFormat="0" applyBorder="0" applyAlignment="0" applyProtection="0"/>
    <xf numFmtId="0" fontId="3" fillId="0" borderId="0"/>
    <xf numFmtId="0" fontId="1" fillId="0" borderId="0"/>
    <xf numFmtId="0" fontId="11" fillId="0" borderId="0"/>
    <xf numFmtId="181" fontId="11" fillId="0" borderId="0"/>
    <xf numFmtId="0" fontId="3" fillId="0" borderId="0"/>
    <xf numFmtId="181" fontId="11" fillId="0" borderId="0"/>
    <xf numFmtId="0" fontId="3" fillId="0" borderId="0"/>
    <xf numFmtId="0" fontId="3" fillId="0" borderId="0"/>
    <xf numFmtId="168" fontId="11" fillId="0" borderId="0"/>
    <xf numFmtId="0" fontId="3" fillId="0" borderId="0"/>
    <xf numFmtId="168"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92" fillId="0" borderId="0"/>
    <xf numFmtId="168" fontId="11" fillId="0" borderId="0"/>
    <xf numFmtId="0" fontId="3" fillId="0" borderId="0"/>
    <xf numFmtId="168" fontId="195" fillId="0" borderId="0"/>
    <xf numFmtId="0" fontId="3" fillId="0" borderId="0"/>
    <xf numFmtId="0" fontId="3" fillId="18" borderId="28" applyNumberFormat="0" applyFont="0" applyAlignment="0" applyProtection="0"/>
    <xf numFmtId="0" fontId="196" fillId="16" borderId="29" applyNumberFormat="0" applyAlignment="0" applyProtection="0"/>
    <xf numFmtId="0" fontId="197" fillId="0" borderId="0" applyNumberFormat="0" applyFill="0" applyBorder="0" applyAlignment="0" applyProtection="0"/>
    <xf numFmtId="0" fontId="198" fillId="0" borderId="30" applyNumberFormat="0" applyFill="0" applyAlignment="0" applyProtection="0"/>
    <xf numFmtId="0" fontId="199" fillId="0" borderId="0" applyNumberFormat="0" applyFill="0" applyBorder="0" applyAlignment="0" applyProtection="0"/>
    <xf numFmtId="0" fontId="3" fillId="0" borderId="0"/>
  </cellStyleXfs>
  <cellXfs count="1602">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9" fontId="0" fillId="0" borderId="0" xfId="0" applyNumberFormat="1" applyProtection="1"/>
    <xf numFmtId="168" fontId="0" fillId="0" borderId="0" xfId="0" applyAlignment="1">
      <alignment horizontal="left"/>
    </xf>
    <xf numFmtId="169" fontId="0" fillId="0" borderId="0" xfId="0" applyNumberFormat="1" applyAlignment="1" applyProtection="1">
      <alignment horizontal="center"/>
    </xf>
    <xf numFmtId="170" fontId="0" fillId="0" borderId="0" xfId="0" applyNumberFormat="1" applyProtection="1"/>
    <xf numFmtId="171" fontId="0" fillId="0" borderId="0" xfId="0" applyNumberFormat="1" applyAlignment="1" applyProtection="1">
      <alignment horizontal="left"/>
    </xf>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68" fontId="6" fillId="0" borderId="0" xfId="0" applyFont="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68" fontId="6" fillId="0" borderId="0" xfId="0" applyNumberFormat="1" applyFont="1" applyAlignment="1" applyProtection="1">
      <alignment horizontal="left"/>
    </xf>
    <xf numFmtId="171" fontId="0" fillId="0" borderId="0" xfId="0" applyNumberFormat="1" applyAlignment="1" applyProtection="1">
      <alignment horizontal="center"/>
    </xf>
    <xf numFmtId="171" fontId="0" fillId="0" borderId="0" xfId="0" applyNumberFormat="1" applyAlignment="1">
      <alignment horizontal="center" vertical="top"/>
    </xf>
    <xf numFmtId="168" fontId="0" fillId="0" borderId="0" xfId="0" applyNumberFormat="1" applyAlignment="1" applyProtection="1">
      <alignment horizontal="left" vertical="top" wrapText="1"/>
    </xf>
    <xf numFmtId="168" fontId="0" fillId="0" borderId="0" xfId="0" applyAlignment="1">
      <alignment wrapText="1"/>
    </xf>
    <xf numFmtId="171" fontId="0" fillId="0" borderId="0" xfId="0" applyNumberFormat="1"/>
    <xf numFmtId="171" fontId="0" fillId="0" borderId="0" xfId="0" applyNumberFormat="1" applyAlignment="1">
      <alignment horizontal="center" vertical="top" wrapText="1"/>
    </xf>
    <xf numFmtId="171" fontId="0" fillId="0" borderId="0" xfId="0" applyNumberFormat="1" applyAlignment="1">
      <alignment horizontal="center"/>
    </xf>
    <xf numFmtId="171" fontId="0" fillId="0" borderId="0" xfId="0" applyNumberFormat="1" applyAlignment="1" applyProtection="1">
      <alignment horizontal="center" vertical="top"/>
    </xf>
    <xf numFmtId="168" fontId="0" fillId="0" borderId="0" xfId="0" applyAlignment="1">
      <alignment horizontal="right"/>
    </xf>
    <xf numFmtId="168" fontId="10" fillId="0" borderId="0" xfId="0" applyNumberFormat="1" applyFont="1" applyAlignment="1" applyProtection="1">
      <alignment horizontal="left"/>
    </xf>
    <xf numFmtId="171" fontId="0" fillId="0" borderId="0" xfId="0" applyNumberFormat="1" applyAlignment="1" applyProtection="1">
      <alignment horizontal="center" vertical="top" wrapText="1"/>
    </xf>
    <xf numFmtId="168" fontId="0" fillId="0" borderId="0" xfId="0" applyNumberFormat="1" applyAlignment="1" applyProtection="1">
      <alignment horizontal="justify" vertical="top" wrapText="1"/>
    </xf>
    <xf numFmtId="168" fontId="10" fillId="0" borderId="0" xfId="0" applyFont="1"/>
    <xf numFmtId="168" fontId="10" fillId="0" borderId="0" xfId="0" applyNumberFormat="1" applyFont="1" applyAlignment="1" applyProtection="1">
      <alignment horizontal="left" wrapText="1"/>
    </xf>
    <xf numFmtId="168" fontId="10" fillId="0" borderId="0" xfId="0" applyNumberFormat="1" applyFont="1" applyProtection="1"/>
    <xf numFmtId="168" fontId="10" fillId="0" borderId="0" xfId="0" applyFont="1" applyAlignment="1">
      <alignment horizontal="center"/>
    </xf>
    <xf numFmtId="168" fontId="10" fillId="0" borderId="0" xfId="0" applyNumberFormat="1" applyFont="1" applyAlignment="1" applyProtection="1">
      <alignment horizontal="fill"/>
    </xf>
    <xf numFmtId="168" fontId="10" fillId="0" borderId="0" xfId="0" applyNumberFormat="1" applyFont="1" applyAlignment="1" applyProtection="1">
      <alignment horizontal="right"/>
    </xf>
    <xf numFmtId="171" fontId="11" fillId="0" borderId="0" xfId="0" applyNumberFormat="1" applyFont="1" applyAlignment="1">
      <alignment horizontal="center"/>
    </xf>
    <xf numFmtId="169" fontId="0" fillId="0" borderId="0" xfId="0" applyNumberFormat="1" applyAlignment="1">
      <alignment horizontal="center"/>
    </xf>
    <xf numFmtId="0" fontId="3" fillId="0" borderId="0" xfId="40"/>
    <xf numFmtId="0" fontId="3" fillId="0" borderId="0" xfId="40" applyAlignment="1">
      <alignment wrapText="1"/>
    </xf>
    <xf numFmtId="168" fontId="13" fillId="0" borderId="0" xfId="0" applyFont="1"/>
    <xf numFmtId="2" fontId="3" fillId="0" borderId="0" xfId="40" applyNumberFormat="1"/>
    <xf numFmtId="0" fontId="15" fillId="0" borderId="0" xfId="40" applyFont="1" applyAlignment="1">
      <alignment wrapText="1"/>
    </xf>
    <xf numFmtId="0" fontId="15" fillId="0" borderId="0" xfId="40" applyFont="1"/>
    <xf numFmtId="170" fontId="0" fillId="0" borderId="0" xfId="0" applyNumberFormat="1"/>
    <xf numFmtId="168" fontId="16" fillId="0" borderId="0" xfId="0" applyNumberFormat="1" applyFont="1" applyProtection="1"/>
    <xf numFmtId="168" fontId="10" fillId="0" borderId="0" xfId="0" applyFont="1" applyAlignment="1">
      <alignment horizontal="left" vertical="top" wrapText="1"/>
    </xf>
    <xf numFmtId="168" fontId="11" fillId="0" borderId="0" xfId="0" applyFont="1" applyAlignment="1"/>
    <xf numFmtId="168" fontId="11" fillId="0" borderId="0" xfId="0" applyFont="1"/>
    <xf numFmtId="168" fontId="0" fillId="0" borderId="0" xfId="0" quotePrefix="1"/>
    <xf numFmtId="168" fontId="11" fillId="0" borderId="0" xfId="0" quotePrefix="1" applyFont="1"/>
    <xf numFmtId="168" fontId="10" fillId="0" borderId="0" xfId="0" applyNumberFormat="1" applyFont="1" applyAlignment="1" applyProtection="1">
      <alignment horizontal="left" vertical="top" wrapText="1"/>
    </xf>
    <xf numFmtId="168" fontId="10" fillId="0" borderId="0" xfId="0" applyNumberFormat="1" applyFont="1" applyAlignment="1" applyProtection="1">
      <alignment horizontal="center"/>
    </xf>
    <xf numFmtId="168" fontId="0" fillId="0" borderId="0" xfId="0" applyAlignment="1">
      <alignment horizontal="left" wrapText="1"/>
    </xf>
    <xf numFmtId="168" fontId="11" fillId="0" borderId="0" xfId="0" applyNumberFormat="1" applyFont="1" applyAlignment="1" applyProtection="1">
      <alignment horizontal="center"/>
    </xf>
    <xf numFmtId="168" fontId="11" fillId="0" borderId="0" xfId="0" applyNumberFormat="1" applyFont="1" applyAlignment="1" applyProtection="1">
      <alignment horizontal="left"/>
    </xf>
    <xf numFmtId="168" fontId="11" fillId="0" borderId="0" xfId="0" applyNumberFormat="1" applyFont="1" applyAlignment="1" applyProtection="1">
      <alignment horizontal="fill"/>
    </xf>
    <xf numFmtId="168" fontId="11" fillId="0" borderId="0" xfId="0" applyNumberFormat="1" applyFont="1" applyProtection="1"/>
    <xf numFmtId="168" fontId="11" fillId="0" borderId="0" xfId="0" applyNumberFormat="1" applyFont="1" applyAlignment="1" applyProtection="1"/>
    <xf numFmtId="170" fontId="11" fillId="0" borderId="0" xfId="0" applyNumberFormat="1" applyFont="1" applyProtection="1"/>
    <xf numFmtId="168" fontId="11" fillId="0" borderId="0" xfId="0" quotePrefix="1" applyNumberFormat="1" applyFont="1" applyAlignment="1" applyProtection="1">
      <alignment horizontal="fill"/>
    </xf>
    <xf numFmtId="168" fontId="10" fillId="0" borderId="0" xfId="0" quotePrefix="1" applyNumberFormat="1" applyFont="1" applyProtection="1"/>
    <xf numFmtId="168" fontId="0" fillId="0" borderId="0" xfId="0" quotePrefix="1" applyNumberFormat="1" applyAlignment="1" applyProtection="1">
      <alignment horizontal="fill"/>
    </xf>
    <xf numFmtId="168" fontId="10" fillId="0" borderId="0" xfId="0" applyFont="1" applyAlignment="1">
      <alignment horizontal="left" wrapText="1"/>
    </xf>
    <xf numFmtId="168" fontId="11" fillId="0" borderId="0" xfId="0" quotePrefix="1" applyNumberFormat="1" applyFont="1" applyProtection="1"/>
    <xf numFmtId="168" fontId="11" fillId="0" borderId="0" xfId="0" applyFont="1" applyAlignment="1">
      <alignment horizontal="left"/>
    </xf>
    <xf numFmtId="168" fontId="10" fillId="0" borderId="0" xfId="0" applyFont="1" applyAlignment="1"/>
    <xf numFmtId="170" fontId="11" fillId="0" borderId="0" xfId="0" applyNumberFormat="1" applyFont="1"/>
    <xf numFmtId="168" fontId="11" fillId="0" borderId="0" xfId="0" applyNumberFormat="1" applyFont="1"/>
    <xf numFmtId="173" fontId="11" fillId="0" borderId="0" xfId="0" applyNumberFormat="1" applyFont="1"/>
    <xf numFmtId="172" fontId="11" fillId="0" borderId="0" xfId="0" applyNumberFormat="1" applyFont="1"/>
    <xf numFmtId="171" fontId="13" fillId="0" borderId="0" xfId="0" applyNumberFormat="1" applyFont="1" applyAlignment="1" applyProtection="1">
      <alignment horizontal="center"/>
    </xf>
    <xf numFmtId="168" fontId="13" fillId="0" borderId="0" xfId="0" applyFont="1" applyAlignment="1"/>
    <xf numFmtId="168" fontId="13" fillId="0" borderId="0" xfId="0" applyNumberFormat="1" applyFont="1" applyAlignment="1" applyProtection="1">
      <alignment horizontal="left"/>
    </xf>
    <xf numFmtId="168" fontId="13" fillId="0" borderId="0" xfId="0" applyNumberFormat="1" applyFont="1" applyAlignment="1" applyProtection="1">
      <alignment horizontal="fill"/>
    </xf>
    <xf numFmtId="168" fontId="13" fillId="0" borderId="0" xfId="0" applyNumberFormat="1" applyFont="1" applyAlignment="1" applyProtection="1">
      <alignment horizontal="center"/>
    </xf>
    <xf numFmtId="172" fontId="13" fillId="0" borderId="0" xfId="0" applyNumberFormat="1" applyFont="1" applyProtection="1"/>
    <xf numFmtId="172" fontId="13" fillId="0" borderId="0" xfId="0" applyNumberFormat="1" applyFont="1" applyAlignment="1" applyProtection="1">
      <alignment horizontal="left"/>
    </xf>
    <xf numFmtId="174" fontId="13" fillId="0" borderId="0" xfId="0" applyNumberFormat="1" applyFont="1" applyProtection="1"/>
    <xf numFmtId="168" fontId="13" fillId="0" borderId="0" xfId="0" applyNumberFormat="1" applyFont="1" applyAlignment="1" applyProtection="1"/>
    <xf numFmtId="168" fontId="13" fillId="0" borderId="0" xfId="0" applyNumberFormat="1" applyFont="1" applyProtection="1"/>
    <xf numFmtId="168" fontId="14" fillId="0" borderId="0" xfId="0" applyFont="1"/>
    <xf numFmtId="168" fontId="14" fillId="0" borderId="0" xfId="0" applyNumberFormat="1" applyFont="1" applyAlignment="1" applyProtection="1">
      <alignment horizontal="fill"/>
    </xf>
    <xf numFmtId="168" fontId="14" fillId="0" borderId="0" xfId="0" applyNumberFormat="1" applyFont="1" applyAlignment="1" applyProtection="1">
      <alignment horizontal="center"/>
    </xf>
    <xf numFmtId="168" fontId="14" fillId="0" borderId="0" xfId="0" applyNumberFormat="1" applyFont="1" applyProtection="1"/>
    <xf numFmtId="168" fontId="10" fillId="0" borderId="0" xfId="0" applyFont="1" applyAlignment="1">
      <alignment horizontal="right"/>
    </xf>
    <xf numFmtId="168" fontId="11" fillId="0" borderId="0" xfId="0" applyFont="1" applyAlignment="1">
      <alignment vertical="top" wrapText="1"/>
    </xf>
    <xf numFmtId="168" fontId="10" fillId="0" borderId="0" xfId="0" applyFont="1" applyAlignment="1">
      <alignment horizontal="right" vertical="top"/>
    </xf>
    <xf numFmtId="2" fontId="0" fillId="0" borderId="0" xfId="0" applyNumberFormat="1"/>
    <xf numFmtId="168" fontId="12" fillId="0" borderId="0" xfId="0" applyFont="1" applyAlignment="1">
      <alignment horizontal="right"/>
    </xf>
    <xf numFmtId="2" fontId="10" fillId="0" borderId="0" xfId="0" applyNumberFormat="1" applyFont="1"/>
    <xf numFmtId="168" fontId="0" fillId="0" borderId="0" xfId="0" applyNumberFormat="1" applyAlignment="1" applyProtection="1">
      <alignment horizontal="left" vertical="center"/>
    </xf>
    <xf numFmtId="168" fontId="10" fillId="0" borderId="0" xfId="0" applyFont="1" applyAlignment="1">
      <alignment horizontal="left"/>
    </xf>
    <xf numFmtId="168" fontId="13" fillId="0" borderId="0" xfId="0" applyFont="1" applyAlignment="1">
      <alignment horizontal="left"/>
    </xf>
    <xf numFmtId="168" fontId="14" fillId="0" borderId="0" xfId="0" applyFont="1" applyAlignment="1">
      <alignment horizontal="left"/>
    </xf>
    <xf numFmtId="0" fontId="12" fillId="0" borderId="0" xfId="40" applyFont="1"/>
    <xf numFmtId="0" fontId="12" fillId="0" borderId="0" xfId="40" applyFont="1" applyAlignment="1">
      <alignment horizontal="center"/>
    </xf>
    <xf numFmtId="0" fontId="17" fillId="0" borderId="0" xfId="40" applyFont="1" applyAlignment="1">
      <alignment horizontal="center"/>
    </xf>
    <xf numFmtId="2" fontId="18" fillId="0" borderId="2" xfId="38" applyNumberFormat="1" applyFont="1" applyBorder="1" applyAlignment="1">
      <alignment vertical="top" wrapText="1"/>
    </xf>
    <xf numFmtId="168" fontId="16" fillId="0" borderId="0" xfId="0" applyFont="1"/>
    <xf numFmtId="0" fontId="12" fillId="0" borderId="0" xfId="40" applyFont="1" applyAlignment="1">
      <alignment vertical="center" wrapText="1"/>
    </xf>
    <xf numFmtId="168" fontId="8" fillId="0" borderId="0" xfId="0" applyNumberFormat="1" applyFont="1" applyAlignment="1" applyProtection="1">
      <alignment horizontal="fill"/>
    </xf>
    <xf numFmtId="168" fontId="8" fillId="0" borderId="0" xfId="0" applyNumberFormat="1" applyFont="1" applyAlignment="1" applyProtection="1">
      <alignment horizontal="left"/>
    </xf>
    <xf numFmtId="168" fontId="8" fillId="0" borderId="0" xfId="0" applyNumberFormat="1" applyFont="1" applyProtection="1"/>
    <xf numFmtId="168" fontId="24" fillId="0" borderId="0" xfId="0" applyFont="1"/>
    <xf numFmtId="168" fontId="24" fillId="0" borderId="0" xfId="0" applyFont="1" applyAlignment="1"/>
    <xf numFmtId="168" fontId="8" fillId="0" borderId="3" xfId="0" applyFont="1" applyBorder="1"/>
    <xf numFmtId="168" fontId="24" fillId="0" borderId="0" xfId="0" applyFont="1" applyAlignment="1">
      <alignment horizontal="center"/>
    </xf>
    <xf numFmtId="168" fontId="24" fillId="0" borderId="0" xfId="0" applyFont="1" applyAlignment="1">
      <alignment horizontal="right"/>
    </xf>
    <xf numFmtId="168" fontId="8" fillId="0" borderId="0" xfId="0" applyFont="1" applyAlignment="1">
      <alignment horizontal="right"/>
    </xf>
    <xf numFmtId="168" fontId="8" fillId="0" borderId="0" xfId="0" applyFont="1"/>
    <xf numFmtId="168" fontId="24" fillId="0" borderId="0" xfId="0" applyNumberFormat="1" applyFont="1" applyAlignment="1" applyProtection="1">
      <alignment horizontal="center"/>
    </xf>
    <xf numFmtId="168" fontId="24" fillId="0" borderId="0" xfId="0" applyNumberFormat="1" applyFont="1" applyAlignment="1" applyProtection="1"/>
    <xf numFmtId="168" fontId="24" fillId="0" borderId="0" xfId="0" applyNumberFormat="1" applyFont="1" applyAlignment="1" applyProtection="1">
      <alignment horizontal="left"/>
    </xf>
    <xf numFmtId="168" fontId="24" fillId="0" borderId="0" xfId="0" applyNumberFormat="1" applyFont="1" applyAlignment="1" applyProtection="1">
      <alignment horizontal="fill"/>
    </xf>
    <xf numFmtId="168" fontId="24" fillId="0" borderId="0" xfId="0" applyNumberFormat="1" applyFont="1" applyProtection="1"/>
    <xf numFmtId="168" fontId="8" fillId="0" borderId="0" xfId="0" applyFont="1" applyAlignment="1">
      <alignment horizontal="center"/>
    </xf>
    <xf numFmtId="168" fontId="8" fillId="0" borderId="0" xfId="0" applyNumberFormat="1" applyFont="1" applyAlignment="1" applyProtection="1">
      <alignment horizontal="right"/>
    </xf>
    <xf numFmtId="168" fontId="24" fillId="0" borderId="0" xfId="0" applyNumberFormat="1" applyFont="1" applyAlignment="1" applyProtection="1">
      <alignment horizontal="right"/>
    </xf>
    <xf numFmtId="171" fontId="24" fillId="0" borderId="0" xfId="0" applyNumberFormat="1" applyFont="1" applyAlignment="1" applyProtection="1">
      <alignment horizontal="center"/>
    </xf>
    <xf numFmtId="168" fontId="24" fillId="0" borderId="0" xfId="0" applyNumberFormat="1" applyFont="1" applyAlignment="1" applyProtection="1">
      <alignment horizontal="left" wrapText="1"/>
    </xf>
    <xf numFmtId="169" fontId="24" fillId="0" borderId="0" xfId="0" applyNumberFormat="1" applyFont="1" applyAlignment="1">
      <alignment horizontal="center"/>
    </xf>
    <xf numFmtId="170" fontId="24" fillId="0" borderId="0" xfId="0" applyNumberFormat="1" applyFont="1" applyAlignment="1"/>
    <xf numFmtId="170" fontId="24" fillId="0" borderId="0" xfId="0" applyNumberFormat="1" applyFont="1"/>
    <xf numFmtId="172" fontId="24" fillId="0" borderId="0" xfId="0" applyNumberFormat="1" applyFont="1" applyProtection="1"/>
    <xf numFmtId="172" fontId="24" fillId="0" borderId="0" xfId="0" applyNumberFormat="1" applyFont="1" applyAlignment="1" applyProtection="1">
      <alignment horizontal="center"/>
    </xf>
    <xf numFmtId="173" fontId="24" fillId="0" borderId="0" xfId="0" applyNumberFormat="1" applyFont="1" applyProtection="1"/>
    <xf numFmtId="170" fontId="24" fillId="0" borderId="0" xfId="0" applyNumberFormat="1" applyFont="1" applyProtection="1"/>
    <xf numFmtId="168" fontId="24" fillId="0" borderId="0" xfId="0" applyFont="1" applyAlignment="1">
      <alignment horizontal="left"/>
    </xf>
    <xf numFmtId="172" fontId="24" fillId="0" borderId="0" xfId="0" applyNumberFormat="1" applyFont="1" applyAlignment="1" applyProtection="1">
      <alignment horizontal="left"/>
    </xf>
    <xf numFmtId="173" fontId="24" fillId="0" borderId="0" xfId="0" applyNumberFormat="1" applyFont="1"/>
    <xf numFmtId="172" fontId="24" fillId="0" borderId="0" xfId="0" applyNumberFormat="1" applyFont="1"/>
    <xf numFmtId="174" fontId="24" fillId="0" borderId="0" xfId="0" applyNumberFormat="1" applyFont="1" applyProtection="1"/>
    <xf numFmtId="168" fontId="8" fillId="0" borderId="0" xfId="0" applyFont="1" applyAlignment="1">
      <alignment horizontal="left"/>
    </xf>
    <xf numFmtId="168" fontId="8" fillId="0" borderId="0" xfId="0" applyNumberFormat="1" applyFont="1" applyAlignment="1" applyProtection="1">
      <alignment horizontal="center"/>
    </xf>
    <xf numFmtId="168" fontId="8" fillId="0" borderId="0" xfId="0" applyFont="1" applyAlignment="1">
      <alignment vertical="top" wrapText="1"/>
    </xf>
    <xf numFmtId="168" fontId="24" fillId="0" borderId="0" xfId="0" applyFont="1" applyAlignment="1">
      <alignment vertical="top" wrapText="1"/>
    </xf>
    <xf numFmtId="168" fontId="24" fillId="0" borderId="0" xfId="0" applyFont="1" applyBorder="1"/>
    <xf numFmtId="168" fontId="24" fillId="0" borderId="0" xfId="0" applyFont="1" applyBorder="1" applyAlignment="1"/>
    <xf numFmtId="168" fontId="24" fillId="0" borderId="0" xfId="0" applyFont="1" applyBorder="1" applyAlignment="1">
      <alignment horizontal="center"/>
    </xf>
    <xf numFmtId="173" fontId="24" fillId="0" borderId="0" xfId="0" applyNumberFormat="1" applyFont="1" applyBorder="1" applyAlignment="1"/>
    <xf numFmtId="168" fontId="8" fillId="0" borderId="0" xfId="0" applyFont="1" applyBorder="1"/>
    <xf numFmtId="173" fontId="24" fillId="0" borderId="0" xfId="0" applyNumberFormat="1" applyFont="1" applyBorder="1"/>
    <xf numFmtId="168" fontId="24" fillId="0" borderId="0" xfId="0" applyFont="1" applyBorder="1" applyAlignment="1">
      <alignment horizontal="right"/>
    </xf>
    <xf numFmtId="168" fontId="24" fillId="0" borderId="0" xfId="0" applyFont="1" applyFill="1" applyBorder="1"/>
    <xf numFmtId="168" fontId="24" fillId="0" borderId="0" xfId="0" applyFont="1" applyFill="1" applyBorder="1" applyAlignment="1"/>
    <xf numFmtId="168" fontId="8" fillId="0" borderId="0" xfId="0" applyFont="1" applyBorder="1" applyAlignment="1"/>
    <xf numFmtId="168" fontId="0" fillId="0" borderId="0" xfId="0" applyFill="1" applyBorder="1"/>
    <xf numFmtId="2" fontId="18" fillId="0" borderId="0" xfId="38" applyNumberFormat="1" applyFont="1" applyBorder="1" applyAlignment="1">
      <alignment vertical="top" wrapText="1"/>
    </xf>
    <xf numFmtId="168" fontId="0" fillId="0" borderId="0" xfId="0" applyBorder="1" applyAlignment="1">
      <alignment horizontal="center"/>
    </xf>
    <xf numFmtId="173" fontId="10" fillId="0" borderId="0" xfId="0" applyNumberFormat="1" applyFont="1"/>
    <xf numFmtId="173" fontId="10" fillId="0" borderId="0" xfId="0" applyNumberFormat="1" applyFont="1" applyAlignment="1">
      <alignment horizontal="right"/>
    </xf>
    <xf numFmtId="168" fontId="16" fillId="0" borderId="0" xfId="0" applyNumberFormat="1" applyFont="1" applyAlignment="1" applyProtection="1">
      <alignment horizontal="left"/>
    </xf>
    <xf numFmtId="168" fontId="11" fillId="0" borderId="0" xfId="0" applyNumberFormat="1" applyFont="1" applyAlignment="1" applyProtection="1">
      <alignment horizontal="left" wrapText="1"/>
    </xf>
    <xf numFmtId="168" fontId="11" fillId="0" borderId="0" xfId="0" applyNumberFormat="1" applyFont="1" applyAlignment="1" applyProtection="1">
      <alignment vertical="center"/>
    </xf>
    <xf numFmtId="168" fontId="28" fillId="0" borderId="0" xfId="0" applyNumberFormat="1" applyFont="1" applyProtection="1"/>
    <xf numFmtId="168" fontId="29" fillId="0" borderId="0" xfId="0" applyFont="1"/>
    <xf numFmtId="168" fontId="30" fillId="0" borderId="0" xfId="0" applyFont="1"/>
    <xf numFmtId="168" fontId="31" fillId="0" borderId="0" xfId="0" applyNumberFormat="1" applyFont="1" applyProtection="1"/>
    <xf numFmtId="168" fontId="28" fillId="0" borderId="0" xfId="0" applyFont="1"/>
    <xf numFmtId="168" fontId="28" fillId="0" borderId="0" xfId="0" applyNumberFormat="1" applyFont="1" applyAlignment="1" applyProtection="1">
      <alignment horizontal="right" vertical="center"/>
    </xf>
    <xf numFmtId="168" fontId="0" fillId="0" borderId="0" xfId="0" applyNumberFormat="1" applyFill="1" applyBorder="1" applyAlignment="1" applyProtection="1">
      <alignment horizontal="left"/>
    </xf>
    <xf numFmtId="172" fontId="0" fillId="0" borderId="0" xfId="0" applyNumberFormat="1"/>
    <xf numFmtId="168" fontId="32" fillId="0" borderId="0" xfId="0" applyNumberFormat="1" applyFont="1" applyProtection="1"/>
    <xf numFmtId="168" fontId="32" fillId="0" borderId="0" xfId="0" applyNumberFormat="1" applyFont="1" applyAlignment="1" applyProtection="1">
      <alignment vertical="center"/>
    </xf>
    <xf numFmtId="169" fontId="20" fillId="0" borderId="4" xfId="0" applyNumberFormat="1" applyFont="1" applyBorder="1" applyAlignment="1" applyProtection="1">
      <alignment horizontal="center"/>
    </xf>
    <xf numFmtId="168" fontId="0" fillId="0" borderId="5" xfId="0" applyNumberFormat="1" applyBorder="1" applyAlignment="1" applyProtection="1"/>
    <xf numFmtId="168" fontId="0" fillId="0" borderId="5" xfId="0" applyNumberFormat="1" applyBorder="1" applyAlignment="1" applyProtection="1">
      <alignment horizontal="left"/>
    </xf>
    <xf numFmtId="168" fontId="0" fillId="0" borderId="5" xfId="0" applyBorder="1"/>
    <xf numFmtId="168" fontId="0" fillId="0" borderId="5" xfId="0" applyBorder="1" applyAlignment="1">
      <alignment horizontal="left"/>
    </xf>
    <xf numFmtId="168" fontId="0" fillId="0" borderId="6" xfId="0" applyBorder="1"/>
    <xf numFmtId="168" fontId="0" fillId="0" borderId="7" xfId="0" applyBorder="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8" xfId="0" applyBorder="1"/>
    <xf numFmtId="168" fontId="0" fillId="0" borderId="0" xfId="0" applyNumberFormat="1" applyBorder="1" applyAlignment="1" applyProtection="1">
      <alignment horizontal="fill"/>
    </xf>
    <xf numFmtId="168" fontId="0" fillId="0" borderId="7" xfId="0" applyNumberFormat="1" applyBorder="1" applyProtection="1"/>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10" fillId="0" borderId="0" xfId="0" applyNumberFormat="1" applyFont="1" applyBorder="1" applyAlignment="1" applyProtection="1">
      <alignment horizontal="center"/>
    </xf>
    <xf numFmtId="168" fontId="10" fillId="0" borderId="0" xfId="0" applyFont="1" applyBorder="1"/>
    <xf numFmtId="168" fontId="10" fillId="0" borderId="0" xfId="0" applyFont="1" applyBorder="1" applyAlignment="1">
      <alignment horizontal="left"/>
    </xf>
    <xf numFmtId="168" fontId="10" fillId="0" borderId="0" xfId="0" applyNumberFormat="1" applyFont="1" applyBorder="1" applyProtection="1"/>
    <xf numFmtId="168" fontId="0" fillId="0" borderId="9" xfId="0" applyBorder="1"/>
    <xf numFmtId="168" fontId="0" fillId="0" borderId="3" xfId="0" applyBorder="1" applyAlignment="1"/>
    <xf numFmtId="168" fontId="0" fillId="0" borderId="3" xfId="0" applyBorder="1"/>
    <xf numFmtId="168" fontId="0" fillId="0" borderId="3" xfId="0" applyBorder="1" applyAlignment="1">
      <alignment horizontal="left"/>
    </xf>
    <xf numFmtId="168" fontId="0" fillId="0" borderId="3" xfId="0" applyNumberFormat="1" applyBorder="1" applyAlignment="1" applyProtection="1">
      <alignment horizontal="fill"/>
    </xf>
    <xf numFmtId="168" fontId="0" fillId="0" borderId="10" xfId="0" applyBorder="1"/>
    <xf numFmtId="168" fontId="20" fillId="0" borderId="4" xfId="0" applyNumberFormat="1" applyFont="1" applyBorder="1" applyAlignment="1" applyProtection="1">
      <alignment horizontal="center"/>
    </xf>
    <xf numFmtId="170" fontId="0" fillId="0" borderId="7" xfId="0" applyNumberFormat="1" applyBorder="1" applyProtection="1"/>
    <xf numFmtId="170" fontId="0" fillId="0" borderId="9" xfId="0" applyNumberFormat="1" applyBorder="1" applyProtection="1"/>
    <xf numFmtId="168" fontId="10" fillId="0" borderId="3" xfId="0" applyNumberFormat="1" applyFont="1" applyBorder="1" applyAlignment="1" applyProtection="1">
      <alignment horizontal="center"/>
    </xf>
    <xf numFmtId="168" fontId="10" fillId="0" borderId="3" xfId="0" applyFont="1" applyBorder="1"/>
    <xf numFmtId="168" fontId="10" fillId="0" borderId="3" xfId="0" applyFont="1" applyBorder="1" applyAlignment="1">
      <alignment horizontal="left"/>
    </xf>
    <xf numFmtId="168" fontId="10" fillId="0" borderId="3" xfId="0" applyNumberFormat="1" applyFont="1" applyBorder="1" applyProtection="1"/>
    <xf numFmtId="168" fontId="24" fillId="0" borderId="4" xfId="0" applyFont="1" applyBorder="1"/>
    <xf numFmtId="168" fontId="24" fillId="0" borderId="5" xfId="0" applyFont="1" applyBorder="1"/>
    <xf numFmtId="171" fontId="24" fillId="0" borderId="7" xfId="0" applyNumberFormat="1" applyFont="1" applyBorder="1" applyAlignment="1" applyProtection="1">
      <alignment horizontal="center"/>
    </xf>
    <xf numFmtId="168" fontId="24" fillId="0" borderId="7" xfId="0" applyFont="1" applyBorder="1"/>
    <xf numFmtId="168" fontId="25" fillId="0" borderId="0" xfId="0" applyFont="1" applyBorder="1" applyAlignment="1">
      <alignment horizontal="fill"/>
    </xf>
    <xf numFmtId="168" fontId="24" fillId="0" borderId="9" xfId="0" applyFont="1" applyBorder="1"/>
    <xf numFmtId="168" fontId="24" fillId="0" borderId="3" xfId="0" applyFont="1" applyBorder="1" applyAlignment="1"/>
    <xf numFmtId="168" fontId="24" fillId="0" borderId="3" xfId="0" applyFont="1" applyBorder="1"/>
    <xf numFmtId="168" fontId="24" fillId="0" borderId="3" xfId="0" applyFont="1" applyBorder="1" applyAlignment="1">
      <alignment horizontal="center"/>
    </xf>
    <xf numFmtId="168" fontId="25" fillId="0" borderId="3" xfId="0" applyFont="1" applyBorder="1" applyAlignment="1">
      <alignment horizontal="fill"/>
    </xf>
    <xf numFmtId="168" fontId="0" fillId="0" borderId="0" xfId="0" quotePrefix="1" applyNumberFormat="1" applyProtection="1"/>
    <xf numFmtId="168" fontId="33" fillId="0" borderId="0" xfId="0" applyFont="1"/>
    <xf numFmtId="168" fontId="34" fillId="0" borderId="0" xfId="0" applyNumberFormat="1" applyFont="1" applyAlignment="1" applyProtection="1">
      <alignment horizontal="left"/>
    </xf>
    <xf numFmtId="169" fontId="35" fillId="0" borderId="0" xfId="0" applyNumberFormat="1" applyFont="1" applyProtection="1"/>
    <xf numFmtId="168" fontId="35" fillId="0" borderId="0" xfId="0" applyNumberFormat="1" applyFont="1" applyAlignment="1" applyProtection="1">
      <alignment horizontal="left"/>
    </xf>
    <xf numFmtId="168" fontId="35" fillId="0" borderId="0" xfId="0" applyNumberFormat="1" applyFont="1" applyProtection="1"/>
    <xf numFmtId="168" fontId="35" fillId="0" borderId="0" xfId="0" applyFont="1"/>
    <xf numFmtId="171" fontId="35" fillId="0" borderId="0" xfId="0" applyNumberFormat="1" applyFont="1"/>
    <xf numFmtId="168" fontId="35" fillId="0" borderId="0" xfId="0" applyNumberFormat="1" applyFont="1" applyAlignment="1" applyProtection="1">
      <alignment horizontal="center"/>
    </xf>
    <xf numFmtId="0" fontId="36" fillId="0" borderId="0" xfId="40" applyFont="1"/>
    <xf numFmtId="2" fontId="36" fillId="0" borderId="0" xfId="40" applyNumberFormat="1" applyFont="1"/>
    <xf numFmtId="168" fontId="0" fillId="0" borderId="0" xfId="0" applyAlignment="1">
      <alignment vertical="top"/>
    </xf>
    <xf numFmtId="168" fontId="16" fillId="0" borderId="0" xfId="0" applyNumberFormat="1" applyFont="1" applyAlignment="1" applyProtection="1">
      <alignment horizontal="right"/>
    </xf>
    <xf numFmtId="174" fontId="44" fillId="4" borderId="0" xfId="0" applyNumberFormat="1" applyFont="1" applyFill="1" applyProtection="1"/>
    <xf numFmtId="168" fontId="44" fillId="4" borderId="0" xfId="0" applyNumberFormat="1" applyFont="1" applyFill="1" applyAlignment="1" applyProtection="1"/>
    <xf numFmtId="168" fontId="44" fillId="4" borderId="0" xfId="0" applyNumberFormat="1" applyFont="1" applyFill="1" applyAlignment="1" applyProtection="1">
      <alignment horizontal="left"/>
    </xf>
    <xf numFmtId="168" fontId="44" fillId="4" borderId="0" xfId="0" applyNumberFormat="1" applyFont="1" applyFill="1" applyProtection="1"/>
    <xf numFmtId="168" fontId="44" fillId="4" borderId="0" xfId="0" applyFont="1" applyFill="1"/>
    <xf numFmtId="168" fontId="0" fillId="0" borderId="0" xfId="0" applyNumberFormat="1" applyBorder="1" applyAlignment="1" applyProtection="1">
      <alignment horizontal="center"/>
    </xf>
    <xf numFmtId="168" fontId="4" fillId="0" borderId="0" xfId="0" applyNumberFormat="1" applyFont="1" applyBorder="1" applyAlignment="1" applyProtection="1">
      <alignment horizontal="center"/>
    </xf>
    <xf numFmtId="168" fontId="5" fillId="0" borderId="0" xfId="0" applyNumberFormat="1" applyFont="1" applyBorder="1" applyAlignment="1" applyProtection="1">
      <alignment horizontal="left"/>
    </xf>
    <xf numFmtId="168" fontId="6"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11" fillId="0" borderId="0" xfId="0" applyNumberFormat="1" applyFont="1" applyAlignment="1" applyProtection="1">
      <alignment horizontal="right"/>
    </xf>
    <xf numFmtId="168" fontId="45"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10" fillId="0" borderId="0" xfId="0" applyNumberFormat="1" applyFont="1" applyBorder="1" applyAlignment="1" applyProtection="1">
      <alignment horizontal="left"/>
    </xf>
    <xf numFmtId="168" fontId="10"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11"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10" fillId="0" borderId="0" xfId="0" applyFont="1" applyFill="1" applyBorder="1" applyAlignment="1">
      <alignment wrapText="1"/>
    </xf>
    <xf numFmtId="169" fontId="0" fillId="0" borderId="0" xfId="0" applyNumberFormat="1" applyBorder="1" applyAlignment="1">
      <alignment horizontal="center" vertical="top"/>
    </xf>
    <xf numFmtId="168" fontId="10" fillId="0" borderId="0" xfId="0" applyFont="1" applyFill="1" applyBorder="1"/>
    <xf numFmtId="168" fontId="16" fillId="0" borderId="0" xfId="0" applyFont="1" applyAlignment="1">
      <alignment horizontal="right"/>
    </xf>
    <xf numFmtId="168" fontId="11"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10"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6"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6"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46" fillId="0" borderId="0" xfId="0" applyFont="1" applyBorder="1"/>
    <xf numFmtId="168" fontId="46" fillId="0" borderId="0" xfId="0" applyFont="1" applyBorder="1" applyAlignment="1"/>
    <xf numFmtId="168" fontId="47" fillId="0" borderId="0" xfId="0" applyFont="1" applyBorder="1"/>
    <xf numFmtId="168" fontId="46" fillId="0" borderId="0" xfId="0" applyFont="1" applyBorder="1" applyAlignment="1">
      <alignment horizontal="center"/>
    </xf>
    <xf numFmtId="168" fontId="46" fillId="0" borderId="0" xfId="0" applyNumberFormat="1" applyFont="1" applyBorder="1" applyProtection="1"/>
    <xf numFmtId="168" fontId="46" fillId="0" borderId="0" xfId="0" applyFont="1" applyBorder="1" applyAlignment="1">
      <alignment horizontal="right"/>
    </xf>
    <xf numFmtId="168" fontId="48" fillId="0" borderId="0" xfId="0" applyFont="1" applyBorder="1" applyAlignment="1">
      <alignment wrapText="1"/>
    </xf>
    <xf numFmtId="168" fontId="46" fillId="0" borderId="0" xfId="0" applyFont="1" applyBorder="1" applyAlignment="1">
      <alignment wrapText="1"/>
    </xf>
    <xf numFmtId="174" fontId="46" fillId="0" borderId="0" xfId="0" applyNumberFormat="1" applyFont="1" applyBorder="1" applyAlignment="1"/>
    <xf numFmtId="168" fontId="46" fillId="0" borderId="0" xfId="0" applyNumberFormat="1" applyFont="1" applyBorder="1" applyAlignment="1"/>
    <xf numFmtId="168" fontId="46" fillId="0" borderId="0" xfId="0" applyNumberFormat="1" applyFont="1" applyBorder="1" applyAlignment="1" applyProtection="1">
      <alignment horizontal="fill"/>
    </xf>
    <xf numFmtId="168" fontId="48" fillId="0" borderId="0" xfId="0" applyFont="1" applyBorder="1"/>
    <xf numFmtId="168" fontId="46" fillId="0" borderId="0" xfId="0" applyFont="1" applyBorder="1" applyAlignment="1">
      <alignment horizontal="left"/>
    </xf>
    <xf numFmtId="168" fontId="49" fillId="0" borderId="0" xfId="0" applyFont="1" applyBorder="1" applyAlignment="1">
      <alignment horizontal="center" wrapText="1"/>
    </xf>
    <xf numFmtId="168" fontId="7" fillId="0" borderId="0" xfId="0" applyFont="1" applyBorder="1" applyAlignment="1">
      <alignment horizontal="center" wrapText="1"/>
    </xf>
    <xf numFmtId="2" fontId="7" fillId="0" borderId="0" xfId="0" applyNumberFormat="1" applyFont="1" applyBorder="1" applyAlignment="1">
      <alignment horizontal="center" vertical="center" wrapText="1"/>
    </xf>
    <xf numFmtId="168" fontId="25" fillId="0" borderId="0" xfId="0" applyFont="1" applyBorder="1" applyAlignment="1">
      <alignment horizontal="left" vertical="justify" wrapText="1"/>
    </xf>
    <xf numFmtId="168" fontId="25" fillId="0" borderId="0" xfId="0" applyFont="1" applyBorder="1"/>
    <xf numFmtId="168" fontId="7" fillId="0" borderId="0" xfId="0" applyFont="1" applyBorder="1" applyAlignment="1">
      <alignment horizontal="center" vertical="center" wrapText="1"/>
    </xf>
    <xf numFmtId="2" fontId="25" fillId="0" borderId="0" xfId="0" applyNumberFormat="1" applyFont="1" applyBorder="1"/>
    <xf numFmtId="175" fontId="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168" fontId="7" fillId="0" borderId="0" xfId="0" applyFont="1" applyBorder="1" applyAlignment="1">
      <alignment horizontal="left" vertical="justify" wrapText="1"/>
    </xf>
    <xf numFmtId="168" fontId="25" fillId="0" borderId="0" xfId="0" applyFont="1" applyBorder="1" applyAlignment="1">
      <alignment horizontal="justify" vertical="justify" wrapText="1"/>
    </xf>
    <xf numFmtId="2" fontId="25" fillId="0" borderId="0" xfId="0" applyNumberFormat="1" applyFont="1" applyBorder="1" applyAlignment="1">
      <alignment horizontal="center" vertical="center"/>
    </xf>
    <xf numFmtId="168" fontId="25" fillId="0" borderId="0" xfId="0" applyFont="1" applyBorder="1" applyAlignment="1">
      <alignment horizontal="center" vertical="center"/>
    </xf>
    <xf numFmtId="168" fontId="25" fillId="0" borderId="0" xfId="0" applyFont="1" applyBorder="1" applyAlignment="1">
      <alignment horizontal="left" vertical="center"/>
    </xf>
    <xf numFmtId="2" fontId="21" fillId="0" borderId="0" xfId="0" applyNumberFormat="1" applyFont="1" applyBorder="1"/>
    <xf numFmtId="2" fontId="7" fillId="0" borderId="0" xfId="0" applyNumberFormat="1" applyFont="1" applyBorder="1"/>
    <xf numFmtId="168" fontId="7" fillId="0" borderId="0" xfId="0" applyFont="1" applyBorder="1" applyAlignment="1">
      <alignment horizontal="center" vertical="center"/>
    </xf>
    <xf numFmtId="168" fontId="7" fillId="0" borderId="0" xfId="0" applyFont="1" applyBorder="1" applyAlignment="1">
      <alignment horizontal="justify" vertical="justify" wrapText="1"/>
    </xf>
    <xf numFmtId="2" fontId="51" fillId="0" borderId="0" xfId="0" applyNumberFormat="1" applyFont="1" applyBorder="1"/>
    <xf numFmtId="168" fontId="25" fillId="0" borderId="0" xfId="0" applyFont="1" applyBorder="1" applyAlignment="1">
      <alignment horizontal="right"/>
    </xf>
    <xf numFmtId="2" fontId="25" fillId="0" borderId="0" xfId="0" quotePrefix="1" applyNumberFormat="1" applyFont="1" applyBorder="1"/>
    <xf numFmtId="2" fontId="25" fillId="0" borderId="0" xfId="0" applyNumberFormat="1" applyFont="1" applyBorder="1" applyAlignment="1">
      <alignment horizontal="right" vertical="center"/>
    </xf>
    <xf numFmtId="168" fontId="7" fillId="0" borderId="0" xfId="0" applyFont="1" applyBorder="1"/>
    <xf numFmtId="168" fontId="7" fillId="0" borderId="0" xfId="0" applyFont="1" applyBorder="1" applyAlignment="1">
      <alignment wrapText="1"/>
    </xf>
    <xf numFmtId="168" fontId="25" fillId="0" borderId="0" xfId="0" applyFont="1" applyBorder="1" applyAlignment="1">
      <alignment wrapText="1"/>
    </xf>
    <xf numFmtId="168" fontId="25" fillId="0" borderId="0" xfId="0" applyFont="1" applyBorder="1" applyAlignment="1">
      <alignment horizontal="right" wrapText="1"/>
    </xf>
    <xf numFmtId="168" fontId="7" fillId="0" borderId="0" xfId="0" applyFont="1" applyBorder="1" applyAlignment="1">
      <alignment horizontal="left" vertical="center" wrapText="1"/>
    </xf>
    <xf numFmtId="168" fontId="7" fillId="0" borderId="0" xfId="0" applyFont="1" applyBorder="1" applyAlignment="1">
      <alignment horizontal="left" wrapText="1"/>
    </xf>
    <xf numFmtId="168" fontId="52" fillId="0" borderId="0" xfId="0" applyNumberFormat="1" applyFont="1" applyAlignment="1" applyProtection="1">
      <alignment horizontal="center" vertical="center"/>
    </xf>
    <xf numFmtId="171" fontId="27" fillId="0" borderId="0" xfId="0" applyNumberFormat="1" applyFont="1" applyAlignment="1" applyProtection="1">
      <alignment horizontal="center"/>
    </xf>
    <xf numFmtId="168" fontId="53" fillId="0" borderId="0" xfId="0" applyFont="1" applyAlignment="1">
      <alignment horizontal="right" vertical="top"/>
    </xf>
    <xf numFmtId="168" fontId="9" fillId="0" borderId="0" xfId="0" applyFont="1" applyBorder="1" applyAlignment="1">
      <alignment horizontal="justify" vertical="top" wrapText="1"/>
    </xf>
    <xf numFmtId="168" fontId="55" fillId="0" borderId="0" xfId="0" applyFont="1"/>
    <xf numFmtId="169" fontId="22"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2"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56" fillId="0" borderId="0" xfId="0" applyNumberFormat="1" applyFont="1" applyAlignment="1">
      <alignment vertical="top"/>
    </xf>
    <xf numFmtId="168" fontId="35" fillId="0" borderId="0" xfId="0" applyFont="1" applyAlignment="1"/>
    <xf numFmtId="168" fontId="35" fillId="0" borderId="0" xfId="0" applyFont="1" applyAlignment="1">
      <alignment wrapText="1"/>
    </xf>
    <xf numFmtId="168" fontId="35" fillId="0" borderId="0" xfId="0" applyFont="1" applyAlignment="1">
      <alignment horizontal="center"/>
    </xf>
    <xf numFmtId="168" fontId="35" fillId="0" borderId="0" xfId="0" quotePrefix="1" applyFont="1" applyAlignment="1">
      <alignment vertical="top"/>
    </xf>
    <xf numFmtId="168" fontId="35" fillId="0" borderId="0" xfId="0" quotePrefix="1" applyFont="1"/>
    <xf numFmtId="171" fontId="10" fillId="0" borderId="0" xfId="0" applyNumberFormat="1" applyFont="1" applyAlignment="1">
      <alignment vertical="top"/>
    </xf>
    <xf numFmtId="168" fontId="11" fillId="0" borderId="0" xfId="0" applyFont="1" applyAlignment="1">
      <alignment horizontal="left" vertical="top" wrapText="1"/>
    </xf>
    <xf numFmtId="168" fontId="11" fillId="0" borderId="0" xfId="0" applyFont="1" applyAlignment="1">
      <alignment horizontal="center"/>
    </xf>
    <xf numFmtId="168" fontId="11" fillId="0" borderId="0" xfId="0" applyFont="1" applyAlignment="1">
      <alignment vertical="top"/>
    </xf>
    <xf numFmtId="169" fontId="10"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2" fillId="0" borderId="0" xfId="0" applyNumberFormat="1" applyFont="1"/>
    <xf numFmtId="168" fontId="22" fillId="0" borderId="0" xfId="0" applyFont="1"/>
    <xf numFmtId="168" fontId="10" fillId="0" borderId="0" xfId="0" applyFont="1" applyBorder="1" applyAlignment="1">
      <alignment horizontal="center"/>
    </xf>
    <xf numFmtId="168" fontId="10"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6" fillId="0" borderId="0" xfId="0" applyFont="1" applyBorder="1" applyAlignment="1">
      <alignment horizontal="left" vertical="top"/>
    </xf>
    <xf numFmtId="168" fontId="29"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57" fillId="0" borderId="0" xfId="0" applyFont="1" applyBorder="1" applyAlignment="1">
      <alignment horizontal="left" vertical="top"/>
    </xf>
    <xf numFmtId="168" fontId="10" fillId="0" borderId="0" xfId="0" applyFont="1" applyBorder="1" applyAlignment="1">
      <alignment horizontal="right" vertical="top"/>
    </xf>
    <xf numFmtId="168" fontId="10" fillId="0" borderId="0" xfId="0" applyFont="1" applyBorder="1" applyAlignment="1">
      <alignment horizontal="left" vertical="top"/>
    </xf>
    <xf numFmtId="168" fontId="11" fillId="0" borderId="0" xfId="0" applyFont="1" applyBorder="1" applyAlignment="1">
      <alignment horizontal="left" vertical="top"/>
    </xf>
    <xf numFmtId="168" fontId="10" fillId="0" borderId="0" xfId="0" applyFont="1" applyBorder="1" applyAlignment="1">
      <alignment horizontal="left" wrapText="1"/>
    </xf>
    <xf numFmtId="168" fontId="10" fillId="0" borderId="0" xfId="0" applyFont="1" applyFill="1" applyBorder="1" applyAlignment="1">
      <alignment horizontal="left" vertical="top"/>
    </xf>
    <xf numFmtId="168" fontId="0" fillId="0" borderId="0" xfId="0" applyFill="1" applyBorder="1" applyAlignment="1">
      <alignment horizontal="left" vertical="top"/>
    </xf>
    <xf numFmtId="168" fontId="11" fillId="0" borderId="0" xfId="0" applyFont="1" applyBorder="1" applyAlignment="1">
      <alignment horizontal="right" vertical="top"/>
    </xf>
    <xf numFmtId="173" fontId="0" fillId="0" borderId="0" xfId="0" applyNumberFormat="1" applyBorder="1" applyAlignment="1">
      <alignment horizontal="left" vertical="top"/>
    </xf>
    <xf numFmtId="168" fontId="55" fillId="0" borderId="0" xfId="0" applyFont="1" applyBorder="1" applyAlignment="1">
      <alignment horizontal="left" vertical="top"/>
    </xf>
    <xf numFmtId="168" fontId="55" fillId="0" borderId="0" xfId="0" applyFont="1" applyBorder="1" applyAlignment="1">
      <alignment horizontal="center" vertical="top"/>
    </xf>
    <xf numFmtId="172" fontId="0" fillId="0" borderId="0" xfId="0" applyNumberFormat="1" applyBorder="1" applyAlignment="1">
      <alignment horizontal="left" vertical="top"/>
    </xf>
    <xf numFmtId="168" fontId="10" fillId="0" borderId="0" xfId="0" applyFont="1" applyBorder="1" applyAlignment="1">
      <alignment horizontal="center" vertical="top"/>
    </xf>
    <xf numFmtId="168" fontId="58" fillId="0" borderId="0" xfId="0" applyFont="1" applyBorder="1" applyAlignment="1">
      <alignment horizontal="left" vertical="top"/>
    </xf>
    <xf numFmtId="174" fontId="0" fillId="0" borderId="0" xfId="0" applyNumberFormat="1" applyBorder="1" applyAlignment="1">
      <alignment horizontal="left" vertical="top"/>
    </xf>
    <xf numFmtId="168" fontId="11" fillId="0" borderId="0" xfId="0" applyFont="1" applyBorder="1" applyAlignment="1">
      <alignment horizontal="left" vertical="top" wrapText="1"/>
    </xf>
    <xf numFmtId="168" fontId="28" fillId="0" borderId="0" xfId="0" applyFont="1" applyBorder="1" applyAlignment="1">
      <alignment horizontal="left" vertical="top"/>
    </xf>
    <xf numFmtId="173" fontId="0" fillId="0" borderId="0" xfId="0" applyNumberFormat="1" applyBorder="1"/>
    <xf numFmtId="168" fontId="10" fillId="0" borderId="0" xfId="0" applyNumberFormat="1" applyFont="1" applyBorder="1" applyAlignment="1">
      <alignment horizontal="left" vertical="top"/>
    </xf>
    <xf numFmtId="168" fontId="14" fillId="0" borderId="0" xfId="0" applyNumberFormat="1" applyFont="1" applyAlignment="1" applyProtection="1">
      <alignment horizontal="left"/>
    </xf>
    <xf numFmtId="168" fontId="4" fillId="0" borderId="0" xfId="0" applyNumberFormat="1" applyFont="1" applyAlignment="1" applyProtection="1"/>
    <xf numFmtId="168" fontId="10" fillId="0" borderId="0" xfId="0" quotePrefix="1" applyNumberFormat="1" applyFont="1" applyAlignment="1" applyProtection="1">
      <alignment horizontal="center"/>
    </xf>
    <xf numFmtId="168" fontId="10" fillId="0" borderId="0" xfId="0" quotePrefix="1" applyFont="1" applyAlignment="1">
      <alignment horizontal="center"/>
    </xf>
    <xf numFmtId="173" fontId="0" fillId="0" borderId="0" xfId="0" applyNumberFormat="1"/>
    <xf numFmtId="168" fontId="7" fillId="0" borderId="0" xfId="0" applyNumberFormat="1" applyFont="1" applyAlignment="1" applyProtection="1">
      <alignment horizontal="left"/>
    </xf>
    <xf numFmtId="170" fontId="8" fillId="0" borderId="0" xfId="0" applyNumberFormat="1" applyFont="1" applyAlignment="1">
      <alignment horizontal="right"/>
    </xf>
    <xf numFmtId="173" fontId="8" fillId="0" borderId="0" xfId="0" applyNumberFormat="1" applyFont="1" applyAlignment="1">
      <alignment horizontal="right"/>
    </xf>
    <xf numFmtId="168" fontId="11" fillId="0" borderId="0" xfId="0" applyFont="1" applyAlignment="1">
      <alignment horizontal="right"/>
    </xf>
    <xf numFmtId="172" fontId="24" fillId="0" borderId="0" xfId="0" applyNumberFormat="1" applyFont="1" applyAlignment="1">
      <alignment horizontal="right"/>
    </xf>
    <xf numFmtId="174" fontId="24" fillId="0" borderId="0" xfId="0" applyNumberFormat="1" applyFont="1" applyAlignment="1">
      <alignment horizontal="right"/>
    </xf>
    <xf numFmtId="172" fontId="8" fillId="0" borderId="0" xfId="0" applyNumberFormat="1" applyFont="1" applyAlignment="1" applyProtection="1">
      <alignment horizontal="right"/>
    </xf>
    <xf numFmtId="173" fontId="0" fillId="0" borderId="0" xfId="0" applyNumberFormat="1" applyAlignment="1">
      <alignment horizontal="right"/>
    </xf>
    <xf numFmtId="173" fontId="24" fillId="0" borderId="0" xfId="0" applyNumberFormat="1" applyFont="1" applyAlignment="1" applyProtection="1">
      <alignment horizontal="right"/>
    </xf>
    <xf numFmtId="173" fontId="8" fillId="0" borderId="0" xfId="0" applyNumberFormat="1" applyFont="1" applyAlignment="1" applyProtection="1">
      <alignment horizontal="right"/>
    </xf>
    <xf numFmtId="170" fontId="24" fillId="0" borderId="0" xfId="0" applyNumberFormat="1" applyFont="1" applyAlignment="1" applyProtection="1">
      <alignment horizontal="right"/>
    </xf>
    <xf numFmtId="168" fontId="24" fillId="0" borderId="0" xfId="0" quotePrefix="1" applyNumberFormat="1" applyFont="1" applyAlignment="1" applyProtection="1">
      <alignment horizontal="left"/>
    </xf>
    <xf numFmtId="171" fontId="10" fillId="0" borderId="0" xfId="0" applyNumberFormat="1" applyFont="1"/>
    <xf numFmtId="168" fontId="11" fillId="0" borderId="0" xfId="0" applyFont="1" applyAlignment="1">
      <alignment horizontal="fill"/>
    </xf>
    <xf numFmtId="168" fontId="11" fillId="0" borderId="0" xfId="0" quotePrefix="1" applyFont="1" applyAlignment="1">
      <alignment horizontal="fill"/>
    </xf>
    <xf numFmtId="169" fontId="10" fillId="0" borderId="0" xfId="0" applyNumberFormat="1" applyFont="1" applyAlignment="1">
      <alignment vertical="center"/>
    </xf>
    <xf numFmtId="168" fontId="29" fillId="5" borderId="0" xfId="0" applyFont="1" applyFill="1"/>
    <xf numFmtId="168" fontId="0" fillId="0" borderId="0" xfId="0" quotePrefix="1" applyBorder="1" applyAlignment="1">
      <alignment horizontal="left" vertical="top"/>
    </xf>
    <xf numFmtId="168" fontId="44" fillId="6" borderId="0" xfId="0" applyFont="1" applyFill="1"/>
    <xf numFmtId="168" fontId="44" fillId="6" borderId="0" xfId="0" applyFont="1" applyFill="1" applyAlignment="1"/>
    <xf numFmtId="168" fontId="60" fillId="0" borderId="0" xfId="0" applyNumberFormat="1" applyFont="1" applyAlignment="1" applyProtection="1">
      <alignment horizontal="right"/>
    </xf>
    <xf numFmtId="173" fontId="0" fillId="0" borderId="0" xfId="0" quotePrefix="1" applyNumberFormat="1" applyProtection="1"/>
    <xf numFmtId="168" fontId="10" fillId="0" borderId="0" xfId="0" applyNumberFormat="1" applyFont="1" applyAlignment="1" applyProtection="1"/>
    <xf numFmtId="178" fontId="10" fillId="0" borderId="0" xfId="0" applyNumberFormat="1" applyFont="1"/>
    <xf numFmtId="172" fontId="10" fillId="0" borderId="0" xfId="0" applyNumberFormat="1" applyFont="1"/>
    <xf numFmtId="168" fontId="10" fillId="0" borderId="0" xfId="0" quotePrefix="1" applyFont="1"/>
    <xf numFmtId="168" fontId="10" fillId="0" borderId="0" xfId="0" applyFont="1" applyAlignment="1">
      <alignment wrapText="1"/>
    </xf>
    <xf numFmtId="170" fontId="0" fillId="0" borderId="0" xfId="0" applyNumberFormat="1" applyAlignment="1" applyProtection="1">
      <alignment horizontal="left"/>
    </xf>
    <xf numFmtId="170" fontId="0" fillId="0" borderId="0" xfId="0" applyNumberFormat="1" applyAlignment="1">
      <alignment horizontal="center" vertical="top"/>
    </xf>
    <xf numFmtId="170" fontId="11" fillId="0" borderId="0" xfId="0" applyNumberFormat="1" applyFont="1" applyAlignment="1">
      <alignment horizontal="center"/>
    </xf>
    <xf numFmtId="170" fontId="44" fillId="4" borderId="0" xfId="0" applyNumberFormat="1" applyFont="1" applyFill="1" applyProtection="1"/>
    <xf numFmtId="170" fontId="0" fillId="0" borderId="0" xfId="0" applyNumberFormat="1" applyAlignment="1" applyProtection="1">
      <alignment horizontal="fill"/>
    </xf>
    <xf numFmtId="170" fontId="24" fillId="0" borderId="0" xfId="0" applyNumberFormat="1" applyFont="1" applyAlignment="1" applyProtection="1">
      <alignment horizontal="center"/>
    </xf>
    <xf numFmtId="170" fontId="10" fillId="0" borderId="0" xfId="0" applyNumberFormat="1" applyFont="1"/>
    <xf numFmtId="170" fontId="0" fillId="0" borderId="0" xfId="0" applyNumberFormat="1" applyAlignment="1">
      <alignment horizontal="right"/>
    </xf>
    <xf numFmtId="170" fontId="10" fillId="0" borderId="0" xfId="0" applyNumberFormat="1" applyFont="1" applyAlignment="1">
      <alignment horizontal="right"/>
    </xf>
    <xf numFmtId="168" fontId="58" fillId="0" borderId="0" xfId="0" applyNumberFormat="1" applyFont="1" applyAlignment="1" applyProtection="1">
      <alignment horizontal="right"/>
    </xf>
    <xf numFmtId="168" fontId="110" fillId="0" borderId="0" xfId="0" applyNumberFormat="1" applyFont="1" applyProtection="1"/>
    <xf numFmtId="2" fontId="111" fillId="8" borderId="0" xfId="40" applyNumberFormat="1" applyFont="1" applyFill="1"/>
    <xf numFmtId="168" fontId="110" fillId="0" borderId="0" xfId="0" applyFont="1" applyBorder="1" applyAlignment="1">
      <alignment horizontal="left" vertical="top"/>
    </xf>
    <xf numFmtId="168" fontId="0" fillId="9" borderId="0" xfId="0" applyFill="1" applyBorder="1" applyAlignment="1">
      <alignment wrapText="1"/>
    </xf>
    <xf numFmtId="168" fontId="0" fillId="9" borderId="0" xfId="0" applyFill="1" applyBorder="1" applyAlignment="1">
      <alignment horizontal="left" vertical="top"/>
    </xf>
    <xf numFmtId="168" fontId="0" fillId="9" borderId="0" xfId="0" applyFill="1" applyBorder="1"/>
    <xf numFmtId="168" fontId="0" fillId="8" borderId="0" xfId="0" applyFill="1" applyBorder="1" applyAlignment="1">
      <alignment horizontal="left" vertical="top"/>
    </xf>
    <xf numFmtId="168" fontId="10" fillId="8" borderId="0" xfId="0" applyFont="1" applyFill="1" applyBorder="1" applyAlignment="1">
      <alignment horizontal="left" vertical="top"/>
    </xf>
    <xf numFmtId="168" fontId="0" fillId="8" borderId="0" xfId="0" applyFill="1" applyBorder="1"/>
    <xf numFmtId="168" fontId="0" fillId="9" borderId="0" xfId="0" applyFill="1" applyBorder="1" applyAlignment="1">
      <alignment horizontal="left" vertical="top" wrapText="1"/>
    </xf>
    <xf numFmtId="168" fontId="110" fillId="9" borderId="0" xfId="0" applyFont="1" applyFill="1" applyBorder="1" applyAlignment="1">
      <alignment horizontal="left" vertical="top"/>
    </xf>
    <xf numFmtId="168" fontId="16" fillId="9" borderId="0" xfId="0" applyFont="1" applyFill="1" applyBorder="1" applyAlignment="1">
      <alignment horizontal="left" vertical="top"/>
    </xf>
    <xf numFmtId="168" fontId="110" fillId="0" borderId="0" xfId="0" applyFont="1"/>
    <xf numFmtId="168" fontId="61" fillId="9" borderId="0" xfId="0" applyFont="1" applyFill="1"/>
    <xf numFmtId="168" fontId="62" fillId="9" borderId="0" xfId="0" applyFont="1" applyFill="1"/>
    <xf numFmtId="168" fontId="62" fillId="9" borderId="0" xfId="0" applyFont="1" applyFill="1" applyAlignment="1">
      <alignment horizontal="left"/>
    </xf>
    <xf numFmtId="0" fontId="63" fillId="0" borderId="0" xfId="40" applyFont="1"/>
    <xf numFmtId="168" fontId="112" fillId="0" borderId="0" xfId="0" applyNumberFormat="1" applyFont="1" applyProtection="1"/>
    <xf numFmtId="168" fontId="110" fillId="0" borderId="0" xfId="0" applyNumberFormat="1" applyFont="1" applyAlignment="1" applyProtection="1">
      <alignment horizontal="right"/>
    </xf>
    <xf numFmtId="168" fontId="0" fillId="0" borderId="0" xfId="0" applyFont="1"/>
    <xf numFmtId="168" fontId="0" fillId="0" borderId="0" xfId="0" applyNumberFormat="1" applyFont="1" applyProtection="1"/>
    <xf numFmtId="168" fontId="110" fillId="0" borderId="0" xfId="0" applyNumberFormat="1" applyFont="1" applyAlignment="1" applyProtection="1">
      <alignment horizontal="left"/>
    </xf>
    <xf numFmtId="168" fontId="113" fillId="0" borderId="0" xfId="0" applyFont="1" applyBorder="1" applyAlignment="1">
      <alignment horizontal="left" vertical="top"/>
    </xf>
    <xf numFmtId="168" fontId="114" fillId="0" borderId="0" xfId="0" applyNumberFormat="1" applyFont="1" applyProtection="1"/>
    <xf numFmtId="168" fontId="112" fillId="0" borderId="0" xfId="0" applyFont="1"/>
    <xf numFmtId="168" fontId="115" fillId="0" borderId="0" xfId="0" applyNumberFormat="1" applyFont="1" applyProtection="1"/>
    <xf numFmtId="168" fontId="116" fillId="0" borderId="0" xfId="0" applyNumberFormat="1" applyFont="1" applyAlignment="1" applyProtection="1">
      <alignment horizontal="left"/>
    </xf>
    <xf numFmtId="168" fontId="116" fillId="0" borderId="0" xfId="0" applyFont="1"/>
    <xf numFmtId="168" fontId="8" fillId="0" borderId="0" xfId="0" applyFont="1" applyAlignment="1">
      <alignment horizontal="left" vertical="top"/>
    </xf>
    <xf numFmtId="168" fontId="25" fillId="0" borderId="0" xfId="0" applyFont="1"/>
    <xf numFmtId="168" fontId="25" fillId="0" borderId="0" xfId="0" applyFont="1" applyAlignment="1"/>
    <xf numFmtId="168" fontId="25" fillId="0" borderId="0" xfId="0" applyFont="1" applyAlignment="1">
      <alignment horizontal="left"/>
    </xf>
    <xf numFmtId="170" fontId="25" fillId="0" borderId="0" xfId="0" applyNumberFormat="1" applyFont="1"/>
    <xf numFmtId="168" fontId="18" fillId="0" borderId="0" xfId="0" applyFont="1"/>
    <xf numFmtId="172" fontId="0" fillId="0" borderId="0" xfId="0" applyNumberFormat="1" applyAlignment="1" applyProtection="1"/>
    <xf numFmtId="172" fontId="0" fillId="0" borderId="0" xfId="0" applyNumberFormat="1" applyAlignment="1"/>
    <xf numFmtId="168" fontId="117"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10" fillId="0" borderId="0" xfId="0" applyFont="1" applyBorder="1" applyAlignment="1">
      <alignment vertical="top"/>
    </xf>
    <xf numFmtId="168" fontId="0" fillId="0" borderId="0" xfId="0" applyBorder="1" applyAlignment="1">
      <alignment vertical="top"/>
    </xf>
    <xf numFmtId="168" fontId="10" fillId="0" borderId="0" xfId="0" applyFont="1" applyBorder="1" applyAlignment="1">
      <alignment horizontal="center" vertical="center"/>
    </xf>
    <xf numFmtId="168" fontId="66" fillId="0" borderId="0" xfId="0" applyFont="1" applyBorder="1" applyAlignment="1">
      <alignment horizontal="center" vertical="center"/>
    </xf>
    <xf numFmtId="168" fontId="118" fillId="0" borderId="0" xfId="0" applyFont="1" applyBorder="1" applyAlignment="1">
      <alignment horizontal="left" vertical="top"/>
    </xf>
    <xf numFmtId="168" fontId="67" fillId="0" borderId="0" xfId="0" applyFont="1" applyBorder="1" applyAlignment="1">
      <alignment horizontal="left" vertical="top" wrapText="1"/>
    </xf>
    <xf numFmtId="168" fontId="24" fillId="0" borderId="0" xfId="0" applyFont="1" applyBorder="1" applyAlignment="1">
      <alignment horizontal="left" vertical="top"/>
    </xf>
    <xf numFmtId="168" fontId="8" fillId="0" borderId="0" xfId="0" applyFont="1" applyBorder="1" applyAlignment="1">
      <alignment horizontal="left" vertical="top"/>
    </xf>
    <xf numFmtId="168" fontId="24" fillId="0" borderId="0" xfId="0" applyFont="1" applyBorder="1" applyAlignment="1">
      <alignment horizontal="right" vertical="top"/>
    </xf>
    <xf numFmtId="168" fontId="38" fillId="0" borderId="0" xfId="0" applyFont="1" applyBorder="1" applyAlignment="1">
      <alignment horizontal="right" vertical="top"/>
    </xf>
    <xf numFmtId="168" fontId="24" fillId="0" borderId="0" xfId="0" applyFont="1" applyBorder="1" applyAlignment="1">
      <alignment horizontal="left" vertical="top" wrapText="1"/>
    </xf>
    <xf numFmtId="168" fontId="8" fillId="0" borderId="0" xfId="0" applyFont="1" applyBorder="1" applyAlignment="1">
      <alignment horizontal="right" vertical="top"/>
    </xf>
    <xf numFmtId="168" fontId="68" fillId="0" borderId="0" xfId="0" applyFont="1" applyBorder="1" applyAlignment="1">
      <alignment horizontal="left" vertical="top"/>
    </xf>
    <xf numFmtId="168" fontId="119" fillId="0" borderId="0" xfId="0" applyFont="1" applyBorder="1" applyAlignment="1">
      <alignment horizontal="left" vertical="top"/>
    </xf>
    <xf numFmtId="168" fontId="120" fillId="0" borderId="0" xfId="0" applyFont="1" applyBorder="1" applyAlignment="1">
      <alignment horizontal="left" vertical="top"/>
    </xf>
    <xf numFmtId="173" fontId="120" fillId="0" borderId="0" xfId="0" applyNumberFormat="1" applyFont="1" applyBorder="1" applyAlignment="1">
      <alignment horizontal="left" vertical="top"/>
    </xf>
    <xf numFmtId="168" fontId="30" fillId="0" borderId="0" xfId="0" applyFont="1" applyBorder="1" applyAlignment="1">
      <alignment horizontal="right" vertical="top"/>
    </xf>
    <xf numFmtId="168" fontId="0" fillId="9" borderId="0" xfId="0" applyFill="1" applyBorder="1" applyAlignment="1">
      <alignment vertical="top" wrapText="1"/>
    </xf>
    <xf numFmtId="168" fontId="0" fillId="0" borderId="0" xfId="0" applyFont="1" applyAlignment="1">
      <alignment horizontal="left"/>
    </xf>
    <xf numFmtId="168" fontId="0" fillId="0" borderId="0" xfId="0" applyFont="1" applyBorder="1" applyAlignment="1">
      <alignment horizontal="left" vertical="top" wrapText="1"/>
    </xf>
    <xf numFmtId="168" fontId="10" fillId="0" borderId="0" xfId="0" applyFont="1" applyBorder="1" applyAlignment="1">
      <alignment horizontal="left" vertical="center"/>
    </xf>
    <xf numFmtId="168" fontId="121" fillId="10" borderId="0" xfId="0" applyNumberFormat="1" applyFont="1" applyFill="1" applyProtection="1"/>
    <xf numFmtId="168" fontId="35" fillId="10" borderId="0" xfId="0" applyNumberFormat="1" applyFont="1" applyFill="1" applyAlignment="1" applyProtection="1">
      <alignment horizontal="left"/>
    </xf>
    <xf numFmtId="168" fontId="0" fillId="10" borderId="0" xfId="0" applyFill="1"/>
    <xf numFmtId="168" fontId="121" fillId="10" borderId="0" xfId="0" applyFont="1" applyFill="1"/>
    <xf numFmtId="168" fontId="32" fillId="10" borderId="0" xfId="0" applyNumberFormat="1" applyFont="1" applyFill="1" applyProtection="1"/>
    <xf numFmtId="168" fontId="43" fillId="10" borderId="0" xfId="0" applyNumberFormat="1" applyFont="1" applyFill="1" applyProtection="1"/>
    <xf numFmtId="168" fontId="114" fillId="10" borderId="0" xfId="0" applyNumberFormat="1" applyFont="1" applyFill="1" applyProtection="1"/>
    <xf numFmtId="168" fontId="122" fillId="10" borderId="0" xfId="0" applyNumberFormat="1" applyFont="1" applyFill="1" applyProtection="1"/>
    <xf numFmtId="168" fontId="37" fillId="10" borderId="0" xfId="0" applyNumberFormat="1" applyFont="1" applyFill="1" applyProtection="1"/>
    <xf numFmtId="168" fontId="29" fillId="10" borderId="0" xfId="0" applyNumberFormat="1" applyFont="1" applyFill="1" applyProtection="1"/>
    <xf numFmtId="168" fontId="40" fillId="10" borderId="0" xfId="0" applyNumberFormat="1" applyFont="1" applyFill="1" applyProtection="1"/>
    <xf numFmtId="168" fontId="32" fillId="10" borderId="0" xfId="0" applyNumberFormat="1" applyFont="1" applyFill="1" applyAlignment="1" applyProtection="1">
      <alignment vertical="center"/>
    </xf>
    <xf numFmtId="168" fontId="32" fillId="10" borderId="0" xfId="0" applyNumberFormat="1" applyFont="1" applyFill="1" applyAlignment="1" applyProtection="1">
      <alignment horizontal="left"/>
    </xf>
    <xf numFmtId="168" fontId="11" fillId="10" borderId="0" xfId="0" applyFont="1" applyFill="1"/>
    <xf numFmtId="168" fontId="0" fillId="10" borderId="0" xfId="0" applyNumberFormat="1" applyFill="1" applyAlignment="1" applyProtection="1">
      <alignment horizontal="left"/>
    </xf>
    <xf numFmtId="168" fontId="114" fillId="10" borderId="0" xfId="0" applyFont="1" applyFill="1"/>
    <xf numFmtId="168" fontId="39" fillId="10" borderId="0" xfId="0" applyNumberFormat="1" applyFont="1" applyFill="1" applyProtection="1"/>
    <xf numFmtId="168" fontId="13" fillId="10" borderId="0" xfId="0" applyNumberFormat="1" applyFont="1" applyFill="1" applyAlignment="1" applyProtection="1">
      <alignment horizontal="left"/>
    </xf>
    <xf numFmtId="168" fontId="24" fillId="10" borderId="0" xfId="0" applyNumberFormat="1" applyFont="1" applyFill="1" applyAlignment="1" applyProtection="1">
      <alignment horizontal="left"/>
    </xf>
    <xf numFmtId="168" fontId="32" fillId="10" borderId="0" xfId="0" applyFont="1" applyFill="1"/>
    <xf numFmtId="168" fontId="123" fillId="10" borderId="0" xfId="0" applyFont="1" applyFill="1"/>
    <xf numFmtId="168" fontId="10" fillId="10" borderId="0" xfId="0" applyFont="1" applyFill="1"/>
    <xf numFmtId="168" fontId="124" fillId="10" borderId="0" xfId="0" applyNumberFormat="1" applyFont="1" applyFill="1" applyProtection="1"/>
    <xf numFmtId="168" fontId="43" fillId="8" borderId="0" xfId="0" applyNumberFormat="1" applyFont="1" applyFill="1" applyProtection="1"/>
    <xf numFmtId="168" fontId="0" fillId="11" borderId="0" xfId="0" applyNumberFormat="1" applyFill="1" applyAlignment="1" applyProtection="1">
      <alignment horizontal="left"/>
    </xf>
    <xf numFmtId="168" fontId="121" fillId="11" borderId="0" xfId="0" applyNumberFormat="1" applyFont="1" applyFill="1" applyBorder="1" applyProtection="1"/>
    <xf numFmtId="168" fontId="32" fillId="11" borderId="0" xfId="0" applyNumberFormat="1" applyFont="1" applyFill="1" applyProtection="1"/>
    <xf numFmtId="168" fontId="32" fillId="11" borderId="0" xfId="0" applyFont="1" applyFill="1"/>
    <xf numFmtId="168" fontId="10" fillId="11" borderId="0" xfId="0" applyFont="1" applyFill="1" applyAlignment="1">
      <alignment wrapText="1"/>
    </xf>
    <xf numFmtId="168" fontId="30" fillId="11" borderId="0" xfId="0" applyFont="1" applyFill="1"/>
    <xf numFmtId="168" fontId="28" fillId="11" borderId="0" xfId="0" applyFont="1" applyFill="1"/>
    <xf numFmtId="168" fontId="10" fillId="11" borderId="0" xfId="0" applyNumberFormat="1" applyFont="1" applyFill="1" applyAlignment="1" applyProtection="1">
      <alignment horizontal="left"/>
    </xf>
    <xf numFmtId="168" fontId="0" fillId="11" borderId="0" xfId="0" applyFill="1"/>
    <xf numFmtId="168" fontId="121" fillId="11" borderId="0" xfId="0" applyNumberFormat="1" applyFont="1" applyFill="1" applyProtection="1"/>
    <xf numFmtId="168" fontId="11" fillId="11" borderId="0" xfId="0" applyFont="1" applyFill="1"/>
    <xf numFmtId="168" fontId="24" fillId="11" borderId="0" xfId="0" applyNumberFormat="1" applyFont="1" applyFill="1" applyAlignment="1" applyProtection="1">
      <alignment horizontal="left"/>
    </xf>
    <xf numFmtId="168" fontId="60" fillId="11" borderId="0" xfId="0" applyNumberFormat="1" applyFont="1" applyFill="1" applyAlignment="1" applyProtection="1">
      <alignment horizontal="right"/>
    </xf>
    <xf numFmtId="168" fontId="11" fillId="0" borderId="0" xfId="0" applyFont="1" applyAlignment="1">
      <alignment wrapText="1"/>
    </xf>
    <xf numFmtId="168" fontId="125" fillId="0" borderId="0" xfId="0" applyFont="1"/>
    <xf numFmtId="172" fontId="24" fillId="0" borderId="0" xfId="0" applyNumberFormat="1" applyFont="1" applyAlignment="1" applyProtection="1"/>
    <xf numFmtId="168" fontId="126" fillId="0" borderId="0" xfId="0" applyNumberFormat="1" applyFont="1" applyProtection="1"/>
    <xf numFmtId="168" fontId="121" fillId="0" borderId="0" xfId="0" applyFont="1" applyBorder="1" applyAlignment="1">
      <alignment horizontal="left" vertical="top"/>
    </xf>
    <xf numFmtId="168" fontId="0" fillId="0" borderId="0" xfId="0" applyNumberFormat="1" applyFont="1" applyAlignment="1" applyProtection="1">
      <alignment horizontal="left"/>
    </xf>
    <xf numFmtId="168" fontId="26" fillId="0" borderId="0" xfId="0" applyFont="1"/>
    <xf numFmtId="168" fontId="7" fillId="0" borderId="0" xfId="0" applyFont="1"/>
    <xf numFmtId="170" fontId="127" fillId="0" borderId="0" xfId="0" applyNumberFormat="1" applyFont="1"/>
    <xf numFmtId="168" fontId="127" fillId="0" borderId="0" xfId="0" applyFont="1" applyAlignment="1"/>
    <xf numFmtId="168" fontId="127" fillId="0" borderId="0" xfId="0" applyFont="1"/>
    <xf numFmtId="168" fontId="0" fillId="10" borderId="0" xfId="0" applyFont="1" applyFill="1"/>
    <xf numFmtId="168" fontId="0" fillId="10" borderId="0" xfId="0" applyNumberFormat="1" applyFont="1" applyFill="1" applyProtection="1"/>
    <xf numFmtId="168" fontId="13" fillId="0" borderId="0" xfId="0" applyNumberFormat="1" applyFont="1" applyAlignment="1" applyProtection="1">
      <alignment horizontal="right"/>
    </xf>
    <xf numFmtId="168" fontId="56" fillId="0" borderId="0" xfId="0" applyNumberFormat="1" applyFont="1" applyAlignment="1" applyProtection="1">
      <alignment horizontal="left"/>
    </xf>
    <xf numFmtId="168" fontId="110" fillId="10" borderId="0" xfId="0" applyFont="1" applyFill="1"/>
    <xf numFmtId="168" fontId="128" fillId="10" borderId="0" xfId="0" applyNumberFormat="1" applyFont="1" applyFill="1" applyProtection="1"/>
    <xf numFmtId="168" fontId="0" fillId="8" borderId="0" xfId="0" applyNumberFormat="1" applyFont="1" applyFill="1" applyAlignment="1" applyProtection="1">
      <alignment horizontal="left"/>
    </xf>
    <xf numFmtId="168" fontId="0" fillId="8" borderId="0" xfId="0" applyFont="1" applyFill="1"/>
    <xf numFmtId="168" fontId="121" fillId="0" borderId="0" xfId="0" applyNumberFormat="1" applyFont="1" applyProtection="1"/>
    <xf numFmtId="168" fontId="0" fillId="9" borderId="0" xfId="0" applyFont="1" applyFill="1" applyBorder="1" applyAlignment="1">
      <alignment horizontal="left" vertical="top"/>
    </xf>
    <xf numFmtId="2" fontId="64" fillId="8" borderId="2" xfId="38" applyNumberFormat="1" applyFont="1" applyFill="1" applyBorder="1" applyAlignment="1">
      <alignment vertical="top" wrapText="1"/>
    </xf>
    <xf numFmtId="168" fontId="10" fillId="0" borderId="11" xfId="0" applyNumberFormat="1" applyFont="1" applyBorder="1" applyProtection="1"/>
    <xf numFmtId="168" fontId="0" fillId="0" borderId="12" xfId="0" applyNumberFormat="1" applyBorder="1" applyAlignment="1" applyProtection="1">
      <alignment horizontal="fill"/>
    </xf>
    <xf numFmtId="168" fontId="10" fillId="0" borderId="0" xfId="0" applyNumberFormat="1" applyFont="1" applyAlignment="1" applyProtection="1">
      <alignment horizontal="center" wrapText="1"/>
    </xf>
    <xf numFmtId="168" fontId="129" fillId="0" borderId="0" xfId="0" applyNumberFormat="1" applyFont="1" applyAlignment="1" applyProtection="1">
      <alignment horizontal="left"/>
    </xf>
    <xf numFmtId="168" fontId="129" fillId="0" borderId="0" xfId="0" applyFont="1" applyAlignment="1"/>
    <xf numFmtId="172" fontId="129" fillId="0" borderId="0" xfId="0" applyNumberFormat="1" applyFont="1"/>
    <xf numFmtId="168" fontId="129" fillId="0" borderId="0" xfId="0" applyFont="1"/>
    <xf numFmtId="172" fontId="129" fillId="0" borderId="0" xfId="0" applyNumberFormat="1" applyFont="1" applyAlignment="1" applyProtection="1">
      <alignment horizontal="left"/>
    </xf>
    <xf numFmtId="168" fontId="130" fillId="0" borderId="0" xfId="0" applyFont="1"/>
    <xf numFmtId="168" fontId="131" fillId="0" borderId="0" xfId="0" applyFont="1"/>
    <xf numFmtId="168" fontId="131" fillId="0" borderId="0" xfId="0" applyFont="1" applyAlignment="1">
      <alignment horizontal="center"/>
    </xf>
    <xf numFmtId="168" fontId="118" fillId="0" borderId="0" xfId="0" applyFont="1"/>
    <xf numFmtId="168" fontId="110" fillId="8" borderId="0" xfId="0" applyFont="1" applyFill="1" applyBorder="1" applyAlignment="1">
      <alignment horizontal="left" vertical="top"/>
    </xf>
    <xf numFmtId="168" fontId="123" fillId="12" borderId="0" xfId="0" applyFont="1" applyFill="1" applyBorder="1" applyAlignment="1">
      <alignment horizontal="left" vertical="top"/>
    </xf>
    <xf numFmtId="168" fontId="132" fillId="0" borderId="0" xfId="0" applyNumberFormat="1" applyFont="1" applyProtection="1"/>
    <xf numFmtId="168" fontId="133" fillId="10" borderId="0" xfId="0" applyNumberFormat="1" applyFont="1" applyFill="1" applyProtection="1"/>
    <xf numFmtId="168" fontId="133" fillId="0" borderId="0" xfId="0" applyNumberFormat="1" applyFont="1" applyProtection="1"/>
    <xf numFmtId="168" fontId="0" fillId="10" borderId="0" xfId="0" applyNumberFormat="1" applyFill="1" applyAlignment="1" applyProtection="1">
      <alignment horizontal="left" wrapText="1"/>
    </xf>
    <xf numFmtId="168" fontId="110" fillId="10" borderId="0" xfId="0" applyNumberFormat="1" applyFont="1" applyFill="1" applyAlignment="1" applyProtection="1">
      <alignment horizontal="left"/>
    </xf>
    <xf numFmtId="168" fontId="122" fillId="8" borderId="0" xfId="0" applyFont="1" applyFill="1"/>
    <xf numFmtId="168" fontId="0" fillId="0" borderId="0" xfId="0" applyNumberFormat="1" applyFont="1" applyAlignment="1" applyProtection="1"/>
    <xf numFmtId="168" fontId="110" fillId="8" borderId="0" xfId="0" applyNumberFormat="1" applyFont="1" applyFill="1" applyProtection="1"/>
    <xf numFmtId="168" fontId="19" fillId="0" borderId="0" xfId="0" applyNumberFormat="1" applyFont="1" applyAlignment="1">
      <alignment horizontal="center"/>
    </xf>
    <xf numFmtId="168" fontId="18" fillId="0" borderId="0" xfId="0" applyNumberFormat="1" applyFont="1"/>
    <xf numFmtId="168" fontId="18" fillId="0" borderId="0" xfId="0" applyNumberFormat="1" applyFont="1" applyAlignment="1">
      <alignment horizontal="center"/>
    </xf>
    <xf numFmtId="168" fontId="18" fillId="0" borderId="0" xfId="0" applyNumberFormat="1" applyFont="1" applyProtection="1"/>
    <xf numFmtId="170" fontId="18" fillId="0" borderId="0" xfId="0" applyNumberFormat="1" applyFont="1"/>
    <xf numFmtId="173" fontId="18" fillId="0" borderId="0" xfId="0" applyNumberFormat="1" applyFont="1" applyProtection="1"/>
    <xf numFmtId="168" fontId="18" fillId="0" borderId="0" xfId="0" applyNumberFormat="1" applyFont="1" applyAlignment="1" applyProtection="1"/>
    <xf numFmtId="168" fontId="18" fillId="0" borderId="0" xfId="0" applyNumberFormat="1" applyFont="1" applyAlignment="1" applyProtection="1">
      <alignment horizontal="left"/>
    </xf>
    <xf numFmtId="168" fontId="18" fillId="0" borderId="0" xfId="0" applyNumberFormat="1" applyFont="1" applyAlignment="1"/>
    <xf numFmtId="168" fontId="19" fillId="0" borderId="0" xfId="0" applyNumberFormat="1" applyFont="1" applyAlignment="1" applyProtection="1">
      <alignment horizontal="right"/>
    </xf>
    <xf numFmtId="168" fontId="19" fillId="0" borderId="0" xfId="0" applyNumberFormat="1" applyFont="1" applyProtection="1"/>
    <xf numFmtId="168" fontId="19" fillId="0" borderId="0" xfId="0" applyNumberFormat="1" applyFont="1"/>
    <xf numFmtId="168" fontId="19" fillId="0" borderId="0" xfId="0" applyNumberFormat="1" applyFont="1" applyAlignment="1" applyProtection="1">
      <alignment horizontal="left"/>
    </xf>
    <xf numFmtId="168" fontId="19" fillId="0" borderId="0" xfId="0" applyNumberFormat="1" applyFont="1" applyAlignment="1" applyProtection="1">
      <alignment horizontal="center"/>
    </xf>
    <xf numFmtId="168" fontId="18" fillId="0" borderId="0" xfId="0" applyNumberFormat="1" applyFont="1" applyAlignment="1" applyProtection="1">
      <alignment horizontal="right"/>
    </xf>
    <xf numFmtId="168" fontId="18" fillId="0" borderId="0" xfId="0" applyNumberFormat="1" applyFont="1" applyAlignment="1">
      <alignment horizontal="left"/>
    </xf>
    <xf numFmtId="168" fontId="18" fillId="0" borderId="0" xfId="0" applyNumberFormat="1" applyFont="1" applyAlignment="1" applyProtection="1">
      <alignment horizontal="fill"/>
    </xf>
    <xf numFmtId="168" fontId="33"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72" fillId="0" borderId="0" xfId="0" applyNumberFormat="1" applyFont="1" applyFill="1" applyAlignment="1">
      <alignment vertical="center"/>
    </xf>
    <xf numFmtId="168" fontId="73" fillId="0" borderId="0" xfId="0" applyNumberFormat="1" applyFont="1" applyFill="1" applyAlignment="1">
      <alignment vertical="center"/>
    </xf>
    <xf numFmtId="168" fontId="73" fillId="0" borderId="0" xfId="0" applyNumberFormat="1" applyFont="1" applyAlignment="1">
      <alignment horizontal="center" vertical="center"/>
    </xf>
    <xf numFmtId="168" fontId="72" fillId="0" borderId="0" xfId="0" applyNumberFormat="1" applyFont="1" applyAlignment="1">
      <alignment horizontal="center" vertical="center"/>
    </xf>
    <xf numFmtId="168" fontId="72" fillId="0" borderId="0" xfId="0" applyNumberFormat="1" applyFont="1" applyAlignment="1">
      <alignment horizontal="left" vertical="center"/>
    </xf>
    <xf numFmtId="0" fontId="72" fillId="0" borderId="0" xfId="0" applyNumberFormat="1" applyFont="1" applyFill="1" applyAlignment="1">
      <alignment vertical="center" wrapText="1"/>
    </xf>
    <xf numFmtId="168" fontId="72" fillId="0" borderId="0" xfId="0" applyNumberFormat="1" applyFont="1" applyAlignment="1">
      <alignment horizontal="left" vertical="center" wrapText="1"/>
    </xf>
    <xf numFmtId="168" fontId="73" fillId="0" borderId="0" xfId="0" applyNumberFormat="1" applyFont="1" applyFill="1" applyAlignment="1">
      <alignment vertical="center" wrapText="1"/>
    </xf>
    <xf numFmtId="2" fontId="134" fillId="0" borderId="0" xfId="0" applyNumberFormat="1" applyFont="1" applyFill="1"/>
    <xf numFmtId="0" fontId="72" fillId="0" borderId="0" xfId="0" applyNumberFormat="1" applyFont="1" applyFill="1"/>
    <xf numFmtId="2" fontId="72" fillId="0" borderId="0" xfId="0" applyNumberFormat="1" applyFont="1" applyFill="1"/>
    <xf numFmtId="176" fontId="72" fillId="0" borderId="0" xfId="0" applyNumberFormat="1" applyFont="1" applyFill="1"/>
    <xf numFmtId="0" fontId="73" fillId="0" borderId="0" xfId="0" applyNumberFormat="1" applyFont="1" applyFill="1"/>
    <xf numFmtId="0" fontId="72" fillId="0" borderId="0" xfId="0" applyNumberFormat="1" applyFont="1" applyFill="1" applyAlignment="1">
      <alignment horizontal="center" vertical="top" wrapText="1"/>
    </xf>
    <xf numFmtId="0" fontId="73" fillId="0" borderId="0" xfId="0" applyNumberFormat="1" applyFont="1" applyFill="1" applyAlignment="1">
      <alignment vertical="top" wrapText="1"/>
    </xf>
    <xf numFmtId="177" fontId="72" fillId="0" borderId="0" xfId="0" applyNumberFormat="1" applyFont="1" applyFill="1"/>
    <xf numFmtId="0" fontId="135" fillId="0" borderId="0" xfId="0" applyNumberFormat="1" applyFont="1" applyFill="1"/>
    <xf numFmtId="0" fontId="72" fillId="0" borderId="0" xfId="0" applyNumberFormat="1" applyFont="1" applyFill="1" applyAlignment="1">
      <alignment horizontal="left" vertical="top" wrapText="1"/>
    </xf>
    <xf numFmtId="0" fontId="75" fillId="0" borderId="0" xfId="0" applyNumberFormat="1" applyFont="1" applyFill="1" applyAlignment="1">
      <alignment vertical="top" wrapText="1"/>
    </xf>
    <xf numFmtId="2" fontId="70" fillId="8" borderId="2" xfId="38" applyNumberFormat="1" applyFont="1" applyFill="1" applyBorder="1" applyAlignment="1">
      <alignment vertical="top" wrapText="1"/>
    </xf>
    <xf numFmtId="168" fontId="64" fillId="8" borderId="2" xfId="0" applyFont="1" applyFill="1" applyBorder="1" applyAlignment="1">
      <alignment vertical="top"/>
    </xf>
    <xf numFmtId="168" fontId="64" fillId="8" borderId="2" xfId="0" applyFont="1" applyFill="1" applyBorder="1" applyAlignment="1">
      <alignment vertical="top" wrapText="1"/>
    </xf>
    <xf numFmtId="168" fontId="71" fillId="0" borderId="0" xfId="0" applyFont="1"/>
    <xf numFmtId="168" fontId="121" fillId="9" borderId="0" xfId="0" applyNumberFormat="1" applyFont="1" applyFill="1" applyAlignment="1" applyProtection="1">
      <alignment horizontal="left"/>
    </xf>
    <xf numFmtId="168" fontId="121" fillId="0" borderId="0" xfId="0" applyNumberFormat="1" applyFont="1" applyAlignment="1" applyProtection="1">
      <alignment horizontal="left"/>
    </xf>
    <xf numFmtId="170" fontId="16" fillId="0" borderId="0" xfId="0" applyNumberFormat="1" applyFont="1"/>
    <xf numFmtId="168" fontId="121" fillId="0" borderId="0" xfId="0" applyFont="1"/>
    <xf numFmtId="168" fontId="121" fillId="9" borderId="0" xfId="0" applyFont="1" applyFill="1" applyBorder="1" applyAlignment="1">
      <alignment horizontal="left" vertical="top" wrapText="1"/>
    </xf>
    <xf numFmtId="168" fontId="121" fillId="9" borderId="0" xfId="0" applyFont="1" applyFill="1" applyBorder="1" applyAlignment="1">
      <alignment horizontal="left" vertical="top"/>
    </xf>
    <xf numFmtId="168" fontId="121" fillId="0" borderId="0" xfId="0" applyFont="1" applyBorder="1" applyAlignment="1">
      <alignment horizontal="left" vertical="top" wrapText="1"/>
    </xf>
    <xf numFmtId="2" fontId="63" fillId="0" borderId="0" xfId="40" applyNumberFormat="1" applyFont="1"/>
    <xf numFmtId="0" fontId="0" fillId="0" borderId="0" xfId="0" applyNumberFormat="1"/>
    <xf numFmtId="0" fontId="109" fillId="0" borderId="0" xfId="0" applyNumberFormat="1" applyFont="1" applyAlignment="1">
      <alignment horizontal="center"/>
    </xf>
    <xf numFmtId="168" fontId="19" fillId="0" borderId="0" xfId="0" applyNumberFormat="1" applyFont="1" applyAlignment="1"/>
    <xf numFmtId="173" fontId="18" fillId="0" borderId="0" xfId="0" applyNumberFormat="1" applyFont="1" applyAlignment="1" applyProtection="1">
      <alignment horizontal="right"/>
    </xf>
    <xf numFmtId="168" fontId="25" fillId="0" borderId="0" xfId="0" applyNumberFormat="1" applyFont="1"/>
    <xf numFmtId="168" fontId="25" fillId="0" borderId="0" xfId="0" applyNumberFormat="1" applyFont="1" applyAlignment="1"/>
    <xf numFmtId="168" fontId="25" fillId="0" borderId="0" xfId="0" applyNumberFormat="1" applyFont="1" applyProtection="1"/>
    <xf numFmtId="168" fontId="25" fillId="0" borderId="0" xfId="0" applyNumberFormat="1" applyFont="1" applyAlignment="1">
      <alignment horizontal="left"/>
    </xf>
    <xf numFmtId="0" fontId="109" fillId="0" borderId="0" xfId="0" applyNumberFormat="1" applyFont="1"/>
    <xf numFmtId="168" fontId="136" fillId="0" borderId="0" xfId="0" applyNumberFormat="1" applyFont="1" applyAlignment="1"/>
    <xf numFmtId="168" fontId="136" fillId="0" borderId="0" xfId="0" applyNumberFormat="1" applyFont="1"/>
    <xf numFmtId="168" fontId="136" fillId="0" borderId="0" xfId="0" applyNumberFormat="1" applyFont="1" applyAlignment="1" applyProtection="1">
      <alignment horizontal="left"/>
    </xf>
    <xf numFmtId="2" fontId="109" fillId="0" borderId="0" xfId="0" applyNumberFormat="1" applyFont="1"/>
    <xf numFmtId="0" fontId="0" fillId="0" borderId="0" xfId="0" applyNumberFormat="1" applyBorder="1"/>
    <xf numFmtId="0" fontId="109" fillId="0" borderId="0" xfId="0" applyNumberFormat="1" applyFont="1" applyBorder="1"/>
    <xf numFmtId="168" fontId="136" fillId="0" borderId="0" xfId="0" applyNumberFormat="1" applyFont="1" applyBorder="1"/>
    <xf numFmtId="168" fontId="136" fillId="0" borderId="0" xfId="0" applyNumberFormat="1" applyFont="1" applyBorder="1" applyAlignment="1" applyProtection="1">
      <alignment horizontal="left"/>
    </xf>
    <xf numFmtId="168" fontId="136" fillId="0" borderId="0" xfId="0" applyNumberFormat="1" applyFont="1" applyBorder="1" applyAlignment="1"/>
    <xf numFmtId="0" fontId="0" fillId="0" borderId="0" xfId="0" applyNumberFormat="1" applyBorder="1" applyAlignment="1">
      <alignment wrapText="1"/>
    </xf>
    <xf numFmtId="0" fontId="109" fillId="0" borderId="0" xfId="0" applyNumberFormat="1" applyFont="1" applyBorder="1" applyAlignment="1">
      <alignment horizontal="right"/>
    </xf>
    <xf numFmtId="168" fontId="137" fillId="0" borderId="0" xfId="0" applyNumberFormat="1" applyFont="1" applyBorder="1"/>
    <xf numFmtId="0" fontId="138" fillId="0" borderId="0" xfId="0" applyNumberFormat="1" applyFont="1"/>
    <xf numFmtId="168" fontId="137" fillId="0" borderId="0" xfId="0" applyNumberFormat="1" applyFont="1" applyAlignment="1" applyProtection="1">
      <alignment horizontal="left"/>
    </xf>
    <xf numFmtId="168" fontId="136" fillId="0" borderId="0" xfId="0" applyNumberFormat="1" applyFont="1" applyAlignment="1">
      <alignment horizontal="left"/>
    </xf>
    <xf numFmtId="168" fontId="139" fillId="0" borderId="0" xfId="0" applyNumberFormat="1" applyFont="1" applyAlignment="1"/>
    <xf numFmtId="168" fontId="140" fillId="0" borderId="0" xfId="0" applyNumberFormat="1" applyFont="1" applyAlignment="1"/>
    <xf numFmtId="170" fontId="136" fillId="0" borderId="0" xfId="0" applyNumberFormat="1" applyFont="1"/>
    <xf numFmtId="168" fontId="136" fillId="0" borderId="0" xfId="0" applyNumberFormat="1" applyFont="1" applyAlignment="1">
      <alignment horizontal="right"/>
    </xf>
    <xf numFmtId="168" fontId="137" fillId="0" borderId="0" xfId="0" applyNumberFormat="1" applyFont="1"/>
    <xf numFmtId="168" fontId="109" fillId="0" borderId="0" xfId="0" applyNumberFormat="1" applyFont="1" applyAlignment="1" applyProtection="1">
      <alignment horizontal="left"/>
    </xf>
    <xf numFmtId="168" fontId="109" fillId="0" borderId="0" xfId="0" applyNumberFormat="1" applyFont="1"/>
    <xf numFmtId="168" fontId="109" fillId="0" borderId="0" xfId="0" applyNumberFormat="1" applyFont="1" applyAlignment="1">
      <alignment horizontal="left"/>
    </xf>
    <xf numFmtId="168" fontId="0" fillId="0" borderId="0" xfId="0" applyNumberFormat="1" applyAlignment="1"/>
    <xf numFmtId="168" fontId="0" fillId="0" borderId="0" xfId="0" applyNumberFormat="1" applyAlignment="1">
      <alignment horizontal="left"/>
    </xf>
    <xf numFmtId="168" fontId="0" fillId="0" borderId="0" xfId="0" applyNumberFormat="1" applyBorder="1" applyAlignment="1">
      <alignment horizontal="left" vertical="top"/>
    </xf>
    <xf numFmtId="168" fontId="10" fillId="0" borderId="0" xfId="0" applyNumberFormat="1" applyFont="1"/>
    <xf numFmtId="168" fontId="10" fillId="0" borderId="0" xfId="0" applyNumberFormat="1" applyFont="1" applyAlignment="1">
      <alignment horizontal="right"/>
    </xf>
    <xf numFmtId="168" fontId="0" fillId="0" borderId="0" xfId="0" applyNumberFormat="1" applyBorder="1" applyAlignment="1">
      <alignment horizontal="left"/>
    </xf>
    <xf numFmtId="168" fontId="18" fillId="0" borderId="0" xfId="0" applyNumberFormat="1" applyFont="1" applyAlignment="1" applyProtection="1">
      <alignment horizontal="left" wrapText="1"/>
    </xf>
    <xf numFmtId="168" fontId="10" fillId="0" borderId="0" xfId="0" applyNumberFormat="1" applyFont="1" applyAlignment="1"/>
    <xf numFmtId="168" fontId="10" fillId="0" borderId="0" xfId="0" applyNumberFormat="1" applyFont="1" applyAlignment="1">
      <alignment horizontal="left"/>
    </xf>
    <xf numFmtId="173" fontId="141" fillId="9" borderId="0" xfId="0" applyNumberFormat="1" applyFont="1" applyFill="1" applyProtection="1"/>
    <xf numFmtId="168" fontId="77" fillId="0" borderId="0" xfId="0" applyFont="1"/>
    <xf numFmtId="0" fontId="10" fillId="0" borderId="0" xfId="0" applyNumberFormat="1" applyFont="1" applyProtection="1"/>
    <xf numFmtId="168" fontId="24" fillId="0" borderId="0" xfId="0" applyFont="1" applyBorder="1" applyAlignment="1">
      <alignment vertical="top" wrapText="1"/>
    </xf>
    <xf numFmtId="168" fontId="78" fillId="0" borderId="0" xfId="0" applyFont="1" applyBorder="1" applyAlignment="1">
      <alignment horizontal="right" vertical="top"/>
    </xf>
    <xf numFmtId="2" fontId="63" fillId="0" borderId="0" xfId="0" applyNumberFormat="1" applyFont="1" applyFill="1" applyBorder="1" applyAlignment="1">
      <alignment horizontal="right" vertical="top" wrapText="1"/>
    </xf>
    <xf numFmtId="49"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2" fontId="63" fillId="0" borderId="0" xfId="0" applyNumberFormat="1" applyFont="1" applyFill="1" applyBorder="1" applyAlignment="1">
      <alignment horizontal="center" vertical="top" wrapText="1"/>
    </xf>
    <xf numFmtId="2" fontId="12" fillId="0" borderId="0" xfId="0" applyNumberFormat="1" applyFont="1" applyFill="1" applyBorder="1" applyAlignment="1">
      <alignment horizontal="right" vertical="top" wrapText="1"/>
    </xf>
    <xf numFmtId="0" fontId="63"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left" vertical="top" wrapText="1"/>
    </xf>
    <xf numFmtId="175" fontId="63" fillId="0" borderId="0" xfId="0" applyNumberFormat="1" applyFont="1" applyFill="1" applyBorder="1" applyAlignment="1">
      <alignment horizontal="right" vertical="top" wrapText="1"/>
    </xf>
    <xf numFmtId="176" fontId="63" fillId="0" borderId="0" xfId="0" applyNumberFormat="1" applyFont="1" applyFill="1" applyBorder="1" applyAlignment="1">
      <alignment horizontal="right" vertical="top" wrapText="1"/>
    </xf>
    <xf numFmtId="1" fontId="63" fillId="0" borderId="0" xfId="0" applyNumberFormat="1" applyFont="1" applyFill="1" applyBorder="1" applyAlignment="1">
      <alignment horizontal="right" vertical="top" wrapText="1"/>
    </xf>
    <xf numFmtId="2" fontId="63" fillId="0" borderId="0" xfId="0" applyNumberFormat="1" applyFont="1" applyFill="1" applyBorder="1" applyAlignment="1">
      <alignment horizontal="right" vertical="center" wrapText="1"/>
    </xf>
    <xf numFmtId="49" fontId="63" fillId="0" borderId="0" xfId="0" applyNumberFormat="1" applyFont="1" applyFill="1" applyBorder="1" applyAlignment="1">
      <alignment horizontal="center" vertical="top" wrapText="1"/>
    </xf>
    <xf numFmtId="176"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left" vertical="top" wrapText="1"/>
    </xf>
    <xf numFmtId="2" fontId="63" fillId="9" borderId="0" xfId="0" applyNumberFormat="1" applyFont="1" applyFill="1" applyBorder="1" applyAlignment="1">
      <alignment horizontal="right" vertical="top" wrapText="1"/>
    </xf>
    <xf numFmtId="49" fontId="63" fillId="9" borderId="0" xfId="0" applyNumberFormat="1" applyFont="1" applyFill="1" applyBorder="1" applyAlignment="1">
      <alignment horizontal="center" vertical="top" wrapText="1"/>
    </xf>
    <xf numFmtId="0" fontId="63" fillId="0" borderId="0" xfId="0" applyNumberFormat="1" applyFont="1" applyFill="1" applyBorder="1" applyAlignment="1">
      <alignment horizontal="justify" vertical="top" wrapText="1"/>
    </xf>
    <xf numFmtId="0" fontId="63" fillId="0" borderId="0" xfId="0" applyNumberFormat="1" applyFont="1" applyFill="1" applyBorder="1" applyAlignment="1">
      <alignment horizontal="center" vertical="top" wrapText="1"/>
    </xf>
    <xf numFmtId="2" fontId="12" fillId="9" borderId="0" xfId="0" applyNumberFormat="1" applyFont="1" applyFill="1" applyBorder="1" applyAlignment="1">
      <alignment horizontal="right" vertical="top" wrapText="1"/>
    </xf>
    <xf numFmtId="170" fontId="42" fillId="0" borderId="0" xfId="0" applyNumberFormat="1" applyFont="1"/>
    <xf numFmtId="168" fontId="42" fillId="0" borderId="0" xfId="0" applyFont="1" applyAlignment="1"/>
    <xf numFmtId="168" fontId="41" fillId="0" borderId="0" xfId="0" applyFont="1"/>
    <xf numFmtId="168" fontId="42" fillId="0" borderId="0" xfId="0" applyFont="1"/>
    <xf numFmtId="168" fontId="42" fillId="0" borderId="0" xfId="0" applyFont="1" applyAlignment="1">
      <alignment horizontal="left"/>
    </xf>
    <xf numFmtId="0" fontId="42" fillId="0" borderId="0" xfId="0" applyNumberFormat="1" applyFont="1"/>
    <xf numFmtId="170" fontId="42" fillId="0" borderId="0" xfId="0" applyNumberFormat="1" applyFont="1" applyProtection="1"/>
    <xf numFmtId="168" fontId="42" fillId="0" borderId="0" xfId="0" applyNumberFormat="1" applyFont="1" applyAlignment="1" applyProtection="1"/>
    <xf numFmtId="168" fontId="42" fillId="0" borderId="0" xfId="0" applyNumberFormat="1" applyFont="1" applyAlignment="1" applyProtection="1">
      <alignment horizontal="left"/>
    </xf>
    <xf numFmtId="168" fontId="42" fillId="0" borderId="0" xfId="0" applyNumberFormat="1" applyFont="1" applyProtection="1"/>
    <xf numFmtId="168" fontId="42" fillId="0" borderId="0" xfId="0" applyFont="1" applyAlignment="1">
      <alignment horizontal="center"/>
    </xf>
    <xf numFmtId="168" fontId="41" fillId="0" borderId="0" xfId="0" applyNumberFormat="1" applyFont="1" applyAlignment="1" applyProtection="1">
      <alignment horizontal="right"/>
    </xf>
    <xf numFmtId="168" fontId="41" fillId="0" borderId="0" xfId="0" applyNumberFormat="1" applyFont="1" applyProtection="1"/>
    <xf numFmtId="0" fontId="80" fillId="7" borderId="0" xfId="0" applyNumberFormat="1" applyFont="1" applyFill="1" applyBorder="1" applyAlignment="1">
      <alignment vertical="top" wrapText="1"/>
    </xf>
    <xf numFmtId="168" fontId="123" fillId="0" borderId="0" xfId="0" applyFont="1"/>
    <xf numFmtId="168" fontId="121" fillId="11" borderId="0" xfId="0" applyNumberFormat="1" applyFont="1" applyFill="1" applyAlignment="1" applyProtection="1">
      <alignment horizontal="left"/>
    </xf>
    <xf numFmtId="168" fontId="123" fillId="0" borderId="0" xfId="0" applyNumberFormat="1" applyFont="1" applyProtection="1"/>
    <xf numFmtId="168" fontId="121" fillId="0" borderId="0" xfId="0" applyNumberFormat="1" applyFont="1" applyBorder="1" applyProtection="1"/>
    <xf numFmtId="168" fontId="123" fillId="0" borderId="0" xfId="0" applyNumberFormat="1" applyFont="1" applyAlignment="1" applyProtection="1">
      <alignment horizontal="left"/>
    </xf>
    <xf numFmtId="168" fontId="142" fillId="0" borderId="0" xfId="0" applyNumberFormat="1" applyFont="1" applyProtection="1"/>
    <xf numFmtId="168" fontId="124" fillId="7" borderId="0" xfId="0" applyFont="1" applyFill="1" applyBorder="1"/>
    <xf numFmtId="2" fontId="12" fillId="0" borderId="2" xfId="39" applyNumberFormat="1" applyFont="1" applyBorder="1" applyAlignment="1">
      <alignment vertical="top" wrapText="1"/>
    </xf>
    <xf numFmtId="168" fontId="64" fillId="8" borderId="2" xfId="0" applyFont="1" applyFill="1" applyBorder="1" applyAlignment="1">
      <alignment horizontal="left" vertical="top"/>
    </xf>
    <xf numFmtId="168" fontId="64" fillId="8" borderId="0" xfId="0" applyFont="1" applyFill="1" applyAlignment="1">
      <alignment vertical="top"/>
    </xf>
    <xf numFmtId="168" fontId="64" fillId="8" borderId="0" xfId="0" applyFont="1" applyFill="1" applyAlignment="1">
      <alignment horizontal="right" vertical="top"/>
    </xf>
    <xf numFmtId="168" fontId="64" fillId="8" borderId="2" xfId="0" applyFont="1" applyFill="1" applyBorder="1" applyAlignment="1">
      <alignment horizontal="right" vertical="top"/>
    </xf>
    <xf numFmtId="168" fontId="0" fillId="9" borderId="0" xfId="0" applyFill="1"/>
    <xf numFmtId="168" fontId="0" fillId="9" borderId="0" xfId="0" applyNumberFormat="1" applyFill="1" applyAlignment="1" applyProtection="1">
      <alignment horizontal="left"/>
    </xf>
    <xf numFmtId="168" fontId="114" fillId="9" borderId="0" xfId="0" applyNumberFormat="1" applyFont="1" applyFill="1" applyAlignment="1" applyProtection="1">
      <alignment horizontal="left"/>
    </xf>
    <xf numFmtId="168" fontId="114" fillId="0" borderId="0" xfId="0" applyNumberFormat="1" applyFont="1" applyAlignment="1" applyProtection="1">
      <alignment horizontal="left"/>
    </xf>
    <xf numFmtId="168" fontId="121" fillId="9" borderId="0" xfId="0" applyNumberFormat="1" applyFont="1" applyFill="1" applyProtection="1"/>
    <xf numFmtId="169" fontId="114" fillId="0" borderId="0" xfId="0" applyNumberFormat="1" applyFont="1" applyAlignment="1" applyProtection="1">
      <alignment horizontal="left"/>
    </xf>
    <xf numFmtId="168" fontId="112" fillId="10" borderId="0" xfId="0" applyNumberFormat="1" applyFont="1" applyFill="1" applyAlignment="1" applyProtection="1">
      <alignment horizontal="left"/>
    </xf>
    <xf numFmtId="168" fontId="0" fillId="10" borderId="0" xfId="0" quotePrefix="1" applyFill="1"/>
    <xf numFmtId="168" fontId="124" fillId="9" borderId="0" xfId="0" applyFont="1" applyFill="1" applyBorder="1"/>
    <xf numFmtId="168" fontId="110" fillId="11" borderId="0" xfId="0" applyNumberFormat="1" applyFont="1" applyFill="1" applyAlignment="1" applyProtection="1">
      <alignment horizontal="left"/>
    </xf>
    <xf numFmtId="168" fontId="121" fillId="0" borderId="0" xfId="0" applyNumberFormat="1" applyFont="1" applyAlignment="1" applyProtection="1">
      <alignment horizontal="right"/>
    </xf>
    <xf numFmtId="168" fontId="124" fillId="9" borderId="0" xfId="0" applyNumberFormat="1" applyFont="1" applyFill="1" applyProtection="1"/>
    <xf numFmtId="168" fontId="0" fillId="9" borderId="0" xfId="0" applyNumberFormat="1" applyFont="1" applyFill="1" applyProtection="1"/>
    <xf numFmtId="168" fontId="110" fillId="0" borderId="0" xfId="0" applyNumberFormat="1" applyFont="1" applyAlignment="1" applyProtection="1">
      <alignment vertical="center"/>
    </xf>
    <xf numFmtId="168" fontId="115" fillId="0" borderId="0" xfId="0" applyNumberFormat="1" applyFont="1" applyBorder="1"/>
    <xf numFmtId="168" fontId="115" fillId="0" borderId="0" xfId="0" applyNumberFormat="1" applyFont="1"/>
    <xf numFmtId="168" fontId="118" fillId="9" borderId="0" xfId="0" applyNumberFormat="1" applyFont="1" applyFill="1" applyProtection="1"/>
    <xf numFmtId="168" fontId="122" fillId="9" borderId="0" xfId="0" applyFont="1" applyFill="1" applyBorder="1" applyAlignment="1">
      <alignment horizontal="left" vertical="top"/>
    </xf>
    <xf numFmtId="168" fontId="122" fillId="0" borderId="0" xfId="0" applyFont="1" applyBorder="1" applyAlignment="1">
      <alignment horizontal="left" vertical="top"/>
    </xf>
    <xf numFmtId="170" fontId="0" fillId="0" borderId="0" xfId="0" applyNumberFormat="1" applyAlignment="1"/>
    <xf numFmtId="168" fontId="53" fillId="0" borderId="0" xfId="0" applyFont="1"/>
    <xf numFmtId="168" fontId="53" fillId="0" borderId="0" xfId="0" applyFont="1" applyAlignment="1"/>
    <xf numFmtId="168" fontId="83" fillId="0" borderId="0" xfId="0" applyFont="1"/>
    <xf numFmtId="168" fontId="53" fillId="0" borderId="0" xfId="0" applyFont="1" applyAlignment="1">
      <alignment horizontal="center"/>
    </xf>
    <xf numFmtId="168" fontId="84" fillId="8" borderId="0" xfId="0" applyFont="1" applyFill="1"/>
    <xf numFmtId="168" fontId="53" fillId="0" borderId="0" xfId="0" applyNumberFormat="1" applyFont="1" applyAlignment="1" applyProtection="1">
      <alignment horizontal="center"/>
    </xf>
    <xf numFmtId="168" fontId="53" fillId="0" borderId="0" xfId="0" applyNumberFormat="1" applyFont="1" applyProtection="1"/>
    <xf numFmtId="168" fontId="53" fillId="0" borderId="0" xfId="0" applyNumberFormat="1" applyFont="1" applyAlignment="1" applyProtection="1"/>
    <xf numFmtId="168" fontId="53" fillId="0" borderId="0" xfId="0" applyNumberFormat="1" applyFont="1" applyAlignment="1" applyProtection="1">
      <alignment horizontal="left"/>
    </xf>
    <xf numFmtId="170" fontId="53" fillId="0" borderId="0" xfId="0" applyNumberFormat="1" applyFont="1" applyProtection="1"/>
    <xf numFmtId="168" fontId="53" fillId="0" borderId="0" xfId="0" applyNumberFormat="1" applyFont="1" applyAlignment="1" applyProtection="1">
      <alignment horizontal="fill"/>
    </xf>
    <xf numFmtId="168" fontId="83" fillId="0" borderId="0" xfId="0" applyNumberFormat="1" applyFont="1" applyAlignment="1" applyProtection="1">
      <alignment horizontal="left"/>
    </xf>
    <xf numFmtId="168" fontId="83" fillId="0" borderId="0" xfId="0" applyNumberFormat="1" applyFont="1" applyProtection="1"/>
    <xf numFmtId="168" fontId="84" fillId="8" borderId="0" xfId="0" applyFont="1" applyFill="1" applyAlignment="1"/>
    <xf numFmtId="168" fontId="53" fillId="8" borderId="0" xfId="0" applyNumberFormat="1" applyFont="1" applyFill="1" applyProtection="1"/>
    <xf numFmtId="168" fontId="53" fillId="8" borderId="0" xfId="0" applyNumberFormat="1" applyFont="1" applyFill="1" applyAlignment="1" applyProtection="1"/>
    <xf numFmtId="168" fontId="0" fillId="0" borderId="0" xfId="0" applyNumberFormat="1" applyFont="1" applyAlignment="1" applyProtection="1">
      <alignment horizontal="fill"/>
    </xf>
    <xf numFmtId="169" fontId="10" fillId="0" borderId="0" xfId="0" applyNumberFormat="1" applyFont="1" applyAlignment="1" applyProtection="1">
      <alignment horizontal="center"/>
    </xf>
    <xf numFmtId="168" fontId="143" fillId="8" borderId="0" xfId="0" applyNumberFormat="1" applyFont="1" applyFill="1" applyAlignment="1" applyProtection="1">
      <alignment horizontal="right"/>
    </xf>
    <xf numFmtId="168" fontId="143" fillId="8" borderId="0" xfId="0" applyNumberFormat="1" applyFont="1" applyFill="1" applyAlignment="1" applyProtection="1">
      <alignment horizontal="left"/>
    </xf>
    <xf numFmtId="168" fontId="64" fillId="8" borderId="2" xfId="0" applyFont="1" applyFill="1" applyBorder="1" applyAlignment="1">
      <alignment horizontal="right" vertical="top" wrapText="1"/>
    </xf>
    <xf numFmtId="2" fontId="64" fillId="8" borderId="2" xfId="38" applyNumberFormat="1" applyFont="1" applyFill="1" applyBorder="1" applyAlignment="1">
      <alignment horizontal="center" vertical="top" wrapText="1"/>
    </xf>
    <xf numFmtId="168" fontId="146" fillId="8" borderId="2" xfId="0" applyFont="1" applyFill="1" applyBorder="1" applyAlignment="1">
      <alignment vertical="top" wrapText="1"/>
    </xf>
    <xf numFmtId="168" fontId="64" fillId="0" borderId="2" xfId="0" applyFont="1" applyFill="1" applyBorder="1" applyAlignment="1">
      <alignment vertical="top"/>
    </xf>
    <xf numFmtId="168" fontId="146" fillId="0" borderId="2" xfId="0" applyFont="1" applyFill="1" applyBorder="1" applyAlignment="1">
      <alignment vertical="top" wrapText="1"/>
    </xf>
    <xf numFmtId="168" fontId="146" fillId="8" borderId="2" xfId="0" applyFont="1" applyFill="1" applyBorder="1" applyAlignment="1">
      <alignment horizontal="right" vertical="top" wrapText="1"/>
    </xf>
    <xf numFmtId="168" fontId="24" fillId="0" borderId="0" xfId="0" applyNumberFormat="1" applyFont="1"/>
    <xf numFmtId="168" fontId="24" fillId="0" borderId="0" xfId="0" applyNumberFormat="1" applyFont="1" applyAlignment="1"/>
    <xf numFmtId="168" fontId="24" fillId="0" borderId="0" xfId="0" applyNumberFormat="1" applyFont="1" applyAlignment="1">
      <alignment horizontal="center"/>
    </xf>
    <xf numFmtId="168" fontId="24" fillId="0" borderId="0" xfId="0" applyNumberFormat="1" applyFont="1" applyAlignment="1">
      <alignment horizontal="right"/>
    </xf>
    <xf numFmtId="173" fontId="109" fillId="0" borderId="0" xfId="0" applyNumberFormat="1" applyFont="1" applyAlignment="1">
      <alignment vertical="top"/>
    </xf>
    <xf numFmtId="173" fontId="119" fillId="0" borderId="0" xfId="0" applyNumberFormat="1" applyFont="1" applyAlignment="1">
      <alignment horizontal="right"/>
    </xf>
    <xf numFmtId="173" fontId="24" fillId="0" borderId="0" xfId="0" applyNumberFormat="1" applyFont="1" applyAlignment="1">
      <alignment horizontal="center"/>
    </xf>
    <xf numFmtId="168" fontId="8" fillId="0" borderId="0" xfId="0" applyNumberFormat="1" applyFont="1" applyAlignment="1">
      <alignment vertical="top"/>
    </xf>
    <xf numFmtId="0" fontId="0" fillId="0" borderId="0" xfId="0" applyNumberFormat="1" applyAlignment="1">
      <alignment horizontal="center" vertical="center"/>
    </xf>
    <xf numFmtId="168" fontId="109" fillId="0" borderId="0" xfId="0" applyNumberFormat="1" applyFont="1" applyAlignment="1" applyProtection="1">
      <alignment horizontal="right"/>
    </xf>
    <xf numFmtId="168" fontId="0" fillId="9" borderId="0" xfId="0" applyNumberFormat="1" applyFill="1"/>
    <xf numFmtId="168" fontId="0" fillId="9" borderId="0" xfId="0" applyNumberFormat="1" applyFill="1" applyAlignment="1"/>
    <xf numFmtId="168" fontId="0" fillId="9" borderId="0" xfId="0" applyNumberFormat="1" applyFill="1" applyAlignment="1">
      <alignment horizontal="left"/>
    </xf>
    <xf numFmtId="168" fontId="0" fillId="9" borderId="0" xfId="0" applyNumberFormat="1" applyFill="1" applyProtection="1"/>
    <xf numFmtId="0" fontId="0" fillId="9" borderId="0" xfId="0" applyNumberFormat="1" applyFill="1"/>
    <xf numFmtId="176" fontId="0" fillId="0" borderId="0" xfId="0" applyNumberFormat="1"/>
    <xf numFmtId="176" fontId="109" fillId="0" borderId="0" xfId="0" applyNumberFormat="1" applyFont="1"/>
    <xf numFmtId="0" fontId="135" fillId="9" borderId="0" xfId="0" applyNumberFormat="1" applyFont="1" applyFill="1"/>
    <xf numFmtId="0" fontId="148" fillId="9" borderId="0" xfId="0" applyNumberFormat="1" applyFont="1" applyFill="1"/>
    <xf numFmtId="168" fontId="24" fillId="0" borderId="0" xfId="0" applyNumberFormat="1" applyFont="1" applyAlignment="1">
      <alignment vertical="top"/>
    </xf>
    <xf numFmtId="168" fontId="24" fillId="9" borderId="0" xfId="0" applyNumberFormat="1" applyFont="1" applyFill="1"/>
    <xf numFmtId="168" fontId="24" fillId="9" borderId="0" xfId="0" applyNumberFormat="1" applyFont="1" applyFill="1" applyAlignment="1" applyProtection="1">
      <alignment horizontal="center"/>
    </xf>
    <xf numFmtId="168" fontId="69" fillId="0" borderId="0" xfId="0" applyNumberFormat="1" applyFont="1" applyAlignment="1" applyProtection="1">
      <alignment horizontal="left"/>
    </xf>
    <xf numFmtId="168" fontId="24" fillId="0" borderId="0" xfId="0" applyFont="1" applyAlignment="1">
      <alignment wrapText="1"/>
    </xf>
    <xf numFmtId="168" fontId="69" fillId="0" borderId="0" xfId="0" applyNumberFormat="1" applyFont="1" applyAlignment="1" applyProtection="1">
      <alignment horizontal="left" wrapText="1"/>
    </xf>
    <xf numFmtId="168" fontId="24" fillId="9" borderId="0" xfId="0" applyNumberFormat="1" applyFont="1" applyFill="1" applyProtection="1"/>
    <xf numFmtId="173" fontId="8" fillId="0" borderId="0" xfId="0" applyNumberFormat="1" applyFont="1"/>
    <xf numFmtId="168" fontId="121" fillId="9" borderId="0" xfId="0" applyFont="1" applyFill="1"/>
    <xf numFmtId="168" fontId="0" fillId="10" borderId="0" xfId="0" applyFill="1" applyAlignment="1">
      <alignment wrapText="1"/>
    </xf>
    <xf numFmtId="168" fontId="24" fillId="10" borderId="0" xfId="0" applyNumberFormat="1" applyFont="1" applyFill="1" applyAlignment="1" applyProtection="1">
      <alignment horizontal="left" wrapText="1"/>
    </xf>
    <xf numFmtId="168" fontId="24" fillId="8" borderId="0" xfId="0" applyNumberFormat="1" applyFont="1" applyFill="1" applyAlignment="1" applyProtection="1">
      <alignment horizontal="left"/>
    </xf>
    <xf numFmtId="168" fontId="110" fillId="13" borderId="0" xfId="0" applyFont="1" applyFill="1" applyBorder="1" applyAlignment="1">
      <alignment horizontal="left" vertical="top"/>
    </xf>
    <xf numFmtId="168" fontId="129" fillId="0" borderId="0" xfId="0" applyFont="1" applyBorder="1" applyAlignment="1">
      <alignment horizontal="left" vertical="top"/>
    </xf>
    <xf numFmtId="169" fontId="35" fillId="9" borderId="0" xfId="0" applyNumberFormat="1" applyFont="1" applyFill="1" applyProtection="1"/>
    <xf numFmtId="168" fontId="110" fillId="9" borderId="0" xfId="0" applyNumberFormat="1" applyFont="1" applyFill="1" applyProtection="1"/>
    <xf numFmtId="168" fontId="0" fillId="9" borderId="0" xfId="0" applyNumberFormat="1" applyFill="1" applyAlignment="1" applyProtection="1"/>
    <xf numFmtId="170" fontId="0" fillId="9" borderId="0" xfId="0" applyNumberFormat="1" applyFill="1"/>
    <xf numFmtId="168" fontId="118" fillId="0" borderId="0" xfId="0" applyNumberFormat="1" applyFont="1" applyAlignment="1" applyProtection="1">
      <alignment horizontal="left"/>
    </xf>
    <xf numFmtId="168" fontId="118" fillId="0" borderId="0" xfId="0" applyNumberFormat="1" applyFont="1" applyAlignment="1" applyProtection="1">
      <alignment horizontal="fill"/>
    </xf>
    <xf numFmtId="168" fontId="0" fillId="0" borderId="0" xfId="0" applyNumberFormat="1" applyAlignment="1" applyProtection="1">
      <alignment horizontal="right" indent="2"/>
    </xf>
    <xf numFmtId="168" fontId="0" fillId="0" borderId="0" xfId="0" applyNumberFormat="1" applyFill="1" applyAlignment="1" applyProtection="1">
      <alignment horizontal="right" indent="2"/>
    </xf>
    <xf numFmtId="168" fontId="0" fillId="0" borderId="0" xfId="0" applyAlignment="1">
      <alignment horizontal="right" indent="2"/>
    </xf>
    <xf numFmtId="168" fontId="10" fillId="0" borderId="0" xfId="0" quotePrefix="1" applyNumberFormat="1" applyFont="1" applyAlignment="1" applyProtection="1">
      <alignment horizontal="right"/>
    </xf>
    <xf numFmtId="168" fontId="77" fillId="0" borderId="0" xfId="0" applyFont="1" applyBorder="1" applyAlignment="1">
      <alignment horizontal="left" vertical="top"/>
    </xf>
    <xf numFmtId="168" fontId="33" fillId="0" borderId="0" xfId="0" applyFont="1" applyBorder="1" applyAlignment="1">
      <alignment horizontal="left" vertical="top"/>
    </xf>
    <xf numFmtId="168" fontId="129" fillId="0" borderId="0" xfId="0" applyNumberFormat="1" applyFont="1" applyProtection="1"/>
    <xf numFmtId="168" fontId="52" fillId="0" borderId="0" xfId="0" applyFont="1"/>
    <xf numFmtId="168" fontId="147" fillId="8" borderId="2" xfId="0" applyFont="1" applyFill="1" applyBorder="1" applyAlignment="1">
      <alignment horizontal="right" vertical="top" wrapText="1"/>
    </xf>
    <xf numFmtId="168" fontId="70" fillId="8" borderId="2" xfId="0" applyFont="1" applyFill="1" applyBorder="1" applyAlignment="1">
      <alignment vertical="top" wrapText="1"/>
    </xf>
    <xf numFmtId="168" fontId="136" fillId="0" borderId="0" xfId="0" applyNumberFormat="1" applyFont="1" applyFill="1" applyBorder="1"/>
    <xf numFmtId="168" fontId="136" fillId="0" borderId="0" xfId="0" applyNumberFormat="1" applyFont="1" applyBorder="1" applyAlignment="1">
      <alignment vertical="center"/>
    </xf>
    <xf numFmtId="0" fontId="0" fillId="0" borderId="0" xfId="0" applyNumberFormat="1" applyBorder="1" applyAlignment="1">
      <alignment vertical="center"/>
    </xf>
    <xf numFmtId="168" fontId="136" fillId="0" borderId="0" xfId="0" applyNumberFormat="1" applyFont="1" applyBorder="1" applyAlignment="1" applyProtection="1">
      <alignment horizontal="left" vertical="center"/>
    </xf>
    <xf numFmtId="168" fontId="136" fillId="0" borderId="0" xfId="0" applyNumberFormat="1" applyFont="1" applyFill="1" applyBorder="1" applyAlignment="1"/>
    <xf numFmtId="2" fontId="0" fillId="0" borderId="0" xfId="0" applyNumberFormat="1" applyBorder="1"/>
    <xf numFmtId="2" fontId="106" fillId="0" borderId="0" xfId="0" applyNumberFormat="1" applyFont="1" applyBorder="1"/>
    <xf numFmtId="168" fontId="24" fillId="0" borderId="0" xfId="0" applyFont="1" applyBorder="1" applyAlignment="1">
      <alignment horizontal="right" vertical="center"/>
    </xf>
    <xf numFmtId="168" fontId="24" fillId="0" borderId="0" xfId="0" applyFont="1" applyBorder="1" applyAlignment="1">
      <alignment horizontal="left" vertical="center"/>
    </xf>
    <xf numFmtId="168" fontId="24" fillId="0" borderId="0" xfId="0" applyFont="1" applyFill="1" applyBorder="1" applyAlignment="1">
      <alignment horizontal="left" vertical="top" wrapText="1"/>
    </xf>
    <xf numFmtId="168" fontId="0" fillId="0" borderId="0" xfId="0" applyNumberFormat="1" applyAlignment="1" applyProtection="1">
      <alignment wrapText="1"/>
    </xf>
    <xf numFmtId="168" fontId="150" fillId="0" borderId="0" xfId="0" applyFont="1"/>
    <xf numFmtId="168" fontId="89" fillId="8" borderId="0" xfId="0" applyFont="1" applyFill="1" applyAlignment="1">
      <alignment vertical="top"/>
    </xf>
    <xf numFmtId="168" fontId="64" fillId="8" borderId="0" xfId="0" applyFont="1" applyFill="1" applyAlignment="1">
      <alignment horizontal="center" vertical="top"/>
    </xf>
    <xf numFmtId="168" fontId="64" fillId="0" borderId="0" xfId="0" applyFont="1" applyFill="1" applyAlignment="1">
      <alignment vertical="top"/>
    </xf>
    <xf numFmtId="168" fontId="89" fillId="8" borderId="0" xfId="0" applyFont="1" applyFill="1" applyBorder="1" applyAlignment="1">
      <alignment vertical="top"/>
    </xf>
    <xf numFmtId="168" fontId="64" fillId="8" borderId="0" xfId="0" applyFont="1" applyFill="1" applyBorder="1" applyAlignment="1">
      <alignment vertical="top"/>
    </xf>
    <xf numFmtId="168" fontId="147" fillId="8" borderId="0" xfId="0" applyFont="1" applyFill="1" applyAlignment="1">
      <alignment vertical="top"/>
    </xf>
    <xf numFmtId="168" fontId="64" fillId="14" borderId="0" xfId="0" applyFont="1" applyFill="1" applyAlignment="1">
      <alignment vertical="top"/>
    </xf>
    <xf numFmtId="168" fontId="70" fillId="8" borderId="0" xfId="0" applyFont="1" applyFill="1" applyAlignment="1">
      <alignment vertical="top"/>
    </xf>
    <xf numFmtId="168" fontId="64" fillId="8" borderId="2" xfId="0" applyFont="1" applyFill="1" applyBorder="1" applyAlignment="1">
      <alignment horizontal="center" vertical="top"/>
    </xf>
    <xf numFmtId="168" fontId="64" fillId="8" borderId="2" xfId="0" applyFont="1" applyFill="1" applyBorder="1" applyAlignment="1"/>
    <xf numFmtId="168" fontId="93" fillId="0" borderId="0" xfId="0" applyFont="1" applyAlignment="1">
      <alignment wrapText="1"/>
    </xf>
    <xf numFmtId="168" fontId="93" fillId="0" borderId="0" xfId="0" applyFont="1" applyAlignment="1">
      <alignment horizontal="fill" wrapText="1"/>
    </xf>
    <xf numFmtId="170" fontId="93" fillId="0" borderId="0" xfId="0" applyNumberFormat="1" applyFont="1" applyAlignment="1">
      <alignment wrapText="1"/>
    </xf>
    <xf numFmtId="168" fontId="10" fillId="0" borderId="0" xfId="0" applyFont="1" applyAlignment="1">
      <alignment vertical="top"/>
    </xf>
    <xf numFmtId="0" fontId="95" fillId="0" borderId="0" xfId="0" applyNumberFormat="1" applyFont="1" applyFill="1" applyBorder="1" applyAlignment="1">
      <alignment vertical="top"/>
    </xf>
    <xf numFmtId="168" fontId="96" fillId="0" borderId="0" xfId="0" applyNumberFormat="1" applyFont="1" applyAlignment="1" applyProtection="1">
      <alignment horizontal="left"/>
    </xf>
    <xf numFmtId="168" fontId="96" fillId="0" borderId="0" xfId="0" applyFont="1"/>
    <xf numFmtId="168" fontId="97" fillId="0" borderId="0" xfId="0" applyNumberFormat="1" applyFont="1" applyAlignment="1" applyProtection="1">
      <alignment horizontal="center"/>
    </xf>
    <xf numFmtId="168" fontId="97" fillId="0" borderId="0" xfId="0" applyNumberFormat="1" applyFont="1" applyAlignment="1" applyProtection="1"/>
    <xf numFmtId="168" fontId="97" fillId="0" borderId="0" xfId="0" applyNumberFormat="1" applyFont="1" applyAlignment="1" applyProtection="1">
      <alignment horizontal="left"/>
    </xf>
    <xf numFmtId="168" fontId="97" fillId="0" borderId="0" xfId="0" applyFont="1"/>
    <xf numFmtId="168" fontId="97" fillId="0" borderId="0" xfId="0" applyFont="1" applyAlignment="1">
      <alignment horizontal="left"/>
    </xf>
    <xf numFmtId="168" fontId="97" fillId="0" borderId="0" xfId="0" applyFont="1" applyAlignment="1"/>
    <xf numFmtId="168" fontId="97" fillId="0" borderId="0" xfId="0" applyNumberFormat="1" applyFont="1" applyAlignment="1" applyProtection="1">
      <alignment horizontal="fill"/>
    </xf>
    <xf numFmtId="170" fontId="97" fillId="0" borderId="0" xfId="0" applyNumberFormat="1" applyFont="1"/>
    <xf numFmtId="170" fontId="96" fillId="0" borderId="0" xfId="0" applyNumberFormat="1" applyFont="1"/>
    <xf numFmtId="168" fontId="97" fillId="0" borderId="0" xfId="0" applyNumberFormat="1" applyFont="1" applyFill="1" applyProtection="1"/>
    <xf numFmtId="168" fontId="97" fillId="0" borderId="0" xfId="0" applyNumberFormat="1" applyFont="1" applyProtection="1"/>
    <xf numFmtId="168" fontId="96" fillId="0" borderId="0" xfId="0" applyNumberFormat="1" applyFont="1" applyAlignment="1" applyProtection="1">
      <alignment horizontal="center"/>
    </xf>
    <xf numFmtId="168" fontId="96" fillId="0" borderId="0" xfId="0" applyNumberFormat="1" applyFont="1" applyProtection="1"/>
    <xf numFmtId="171" fontId="97" fillId="0" borderId="0" xfId="0" applyNumberFormat="1" applyFont="1" applyAlignment="1" applyProtection="1">
      <alignment horizontal="center"/>
    </xf>
    <xf numFmtId="172" fontId="97" fillId="0" borderId="0" xfId="0" applyNumberFormat="1" applyFont="1" applyAlignment="1" applyProtection="1">
      <alignment horizontal="left"/>
    </xf>
    <xf numFmtId="174" fontId="97" fillId="0" borderId="0" xfId="0" applyNumberFormat="1" applyFont="1" applyProtection="1"/>
    <xf numFmtId="17" fontId="63" fillId="0" borderId="0" xfId="40" quotePrefix="1" applyNumberFormat="1" applyFont="1"/>
    <xf numFmtId="0" fontId="63" fillId="0" borderId="0" xfId="40" applyFont="1" applyAlignment="1">
      <alignment wrapText="1"/>
    </xf>
    <xf numFmtId="168" fontId="86" fillId="0" borderId="0" xfId="0" applyNumberFormat="1" applyFont="1" applyAlignment="1" applyProtection="1">
      <alignment horizontal="left" vertical="top" wrapText="1"/>
    </xf>
    <xf numFmtId="168" fontId="86" fillId="0" borderId="0" xfId="0" applyNumberFormat="1" applyFont="1" applyAlignment="1" applyProtection="1">
      <alignment horizontal="left" vertical="top"/>
    </xf>
    <xf numFmtId="168" fontId="86" fillId="0" borderId="0" xfId="0" applyNumberFormat="1" applyFont="1" applyAlignment="1" applyProtection="1">
      <alignment horizontal="fill"/>
    </xf>
    <xf numFmtId="168" fontId="153" fillId="0" borderId="0" xfId="0" applyNumberFormat="1" applyFont="1" applyProtection="1"/>
    <xf numFmtId="168" fontId="0" fillId="9" borderId="0" xfId="0" applyNumberFormat="1" applyFont="1" applyFill="1" applyAlignment="1" applyProtection="1">
      <alignment horizontal="left"/>
    </xf>
    <xf numFmtId="168" fontId="153" fillId="0" borderId="0" xfId="0" applyFont="1"/>
    <xf numFmtId="168" fontId="154" fillId="0" borderId="0" xfId="0" applyFont="1"/>
    <xf numFmtId="168" fontId="0" fillId="0" borderId="0" xfId="0" applyNumberFormat="1" applyFill="1" applyAlignment="1" applyProtection="1">
      <alignment horizontal="left"/>
    </xf>
    <xf numFmtId="168" fontId="121" fillId="8" borderId="0" xfId="0" applyNumberFormat="1" applyFont="1" applyFill="1" applyProtection="1"/>
    <xf numFmtId="168" fontId="121" fillId="8" borderId="0" xfId="0" applyFont="1" applyFill="1"/>
    <xf numFmtId="168" fontId="153" fillId="9" borderId="0" xfId="0" applyNumberFormat="1" applyFont="1" applyFill="1" applyProtection="1"/>
    <xf numFmtId="169" fontId="0" fillId="0" borderId="0" xfId="0" applyNumberFormat="1" applyAlignment="1" applyProtection="1">
      <alignment vertical="center" wrapText="1"/>
    </xf>
    <xf numFmtId="168" fontId="0" fillId="0" borderId="0" xfId="0" applyNumberFormat="1" applyFont="1" applyAlignment="1" applyProtection="1">
      <alignment horizontal="left" wrapText="1"/>
    </xf>
    <xf numFmtId="169" fontId="114" fillId="0" borderId="0" xfId="0" applyNumberFormat="1" applyFont="1" applyAlignment="1" applyProtection="1">
      <alignment horizontal="left" wrapText="1"/>
    </xf>
    <xf numFmtId="168" fontId="121" fillId="0" borderId="0" xfId="0" applyNumberFormat="1" applyFont="1" applyAlignment="1" applyProtection="1">
      <alignment horizontal="fill"/>
    </xf>
    <xf numFmtId="168" fontId="124" fillId="0" borderId="0" xfId="0" applyFont="1" applyBorder="1"/>
    <xf numFmtId="168" fontId="24" fillId="0" borderId="0" xfId="0" applyFont="1" applyFill="1"/>
    <xf numFmtId="168" fontId="141" fillId="0" borderId="0" xfId="0" applyNumberFormat="1" applyFont="1" applyProtection="1"/>
    <xf numFmtId="168" fontId="155" fillId="0" borderId="0" xfId="0" applyNumberFormat="1" applyFont="1" applyProtection="1"/>
    <xf numFmtId="168" fontId="124" fillId="0" borderId="0" xfId="0" applyNumberFormat="1" applyFont="1" applyBorder="1" applyAlignment="1">
      <alignment vertical="center"/>
    </xf>
    <xf numFmtId="168" fontId="124" fillId="0" borderId="0" xfId="0" applyNumberFormat="1" applyFont="1" applyBorder="1"/>
    <xf numFmtId="168" fontId="115" fillId="0" borderId="0" xfId="0" applyNumberFormat="1" applyFont="1" applyFill="1" applyBorder="1"/>
    <xf numFmtId="168" fontId="141" fillId="9" borderId="0" xfId="0" applyNumberFormat="1" applyFont="1" applyFill="1" applyAlignment="1" applyProtection="1"/>
    <xf numFmtId="168" fontId="127" fillId="0" borderId="0" xfId="0" applyNumberFormat="1" applyFont="1" applyProtection="1"/>
    <xf numFmtId="168" fontId="124" fillId="0" borderId="0" xfId="0" applyFont="1" applyBorder="1" applyAlignment="1">
      <alignment vertical="top" wrapText="1"/>
    </xf>
    <xf numFmtId="168" fontId="124" fillId="0" borderId="0" xfId="0" applyFont="1" applyBorder="1" applyAlignment="1">
      <alignment horizontal="right" vertical="top"/>
    </xf>
    <xf numFmtId="168" fontId="115" fillId="0" borderId="0" xfId="0" applyFont="1" applyBorder="1" applyAlignment="1">
      <alignment horizontal="right" vertical="top"/>
    </xf>
    <xf numFmtId="168" fontId="115" fillId="0" borderId="0" xfId="0" applyFont="1" applyBorder="1" applyAlignment="1">
      <alignment horizontal="right" vertical="center"/>
    </xf>
    <xf numFmtId="2" fontId="111" fillId="0" borderId="0" xfId="0" applyNumberFormat="1" applyFont="1" applyFill="1" applyBorder="1" applyAlignment="1">
      <alignment horizontal="right" vertical="top" wrapText="1"/>
    </xf>
    <xf numFmtId="2" fontId="156" fillId="0" borderId="0" xfId="0" applyNumberFormat="1" applyFont="1" applyFill="1" applyBorder="1" applyAlignment="1">
      <alignment horizontal="right" vertical="top" wrapText="1"/>
    </xf>
    <xf numFmtId="168" fontId="121" fillId="0" borderId="0" xfId="0" applyFont="1" applyBorder="1"/>
    <xf numFmtId="168" fontId="110" fillId="9" borderId="0" xfId="0" applyNumberFormat="1" applyFont="1" applyFill="1" applyAlignment="1" applyProtection="1">
      <alignment horizontal="right"/>
    </xf>
    <xf numFmtId="168" fontId="118" fillId="11" borderId="0" xfId="0" applyNumberFormat="1" applyFont="1" applyFill="1" applyProtection="1"/>
    <xf numFmtId="168" fontId="0" fillId="0" borderId="0" xfId="0" applyFont="1" applyBorder="1"/>
    <xf numFmtId="2" fontId="95" fillId="0" borderId="0" xfId="0" applyNumberFormat="1" applyFont="1" applyFill="1" applyBorder="1" applyAlignment="1">
      <alignment horizontal="right" vertical="top" wrapText="1"/>
    </xf>
    <xf numFmtId="49" fontId="95" fillId="0" borderId="0" xfId="0" applyNumberFormat="1" applyFont="1" applyFill="1" applyBorder="1" applyAlignment="1">
      <alignment horizontal="left" vertical="top" wrapText="1"/>
    </xf>
    <xf numFmtId="0" fontId="94" fillId="0" borderId="0" xfId="0" applyNumberFormat="1" applyFont="1" applyFill="1" applyBorder="1" applyAlignment="1">
      <alignment horizontal="center" vertical="top" wrapText="1"/>
    </xf>
    <xf numFmtId="2" fontId="95" fillId="0" borderId="0" xfId="0" applyNumberFormat="1" applyFont="1" applyFill="1" applyBorder="1" applyAlignment="1">
      <alignment horizontal="center" vertical="top" wrapText="1"/>
    </xf>
    <xf numFmtId="0" fontId="94" fillId="0" borderId="0" xfId="0" applyNumberFormat="1" applyFont="1" applyFill="1" applyBorder="1" applyAlignment="1">
      <alignment horizontal="left" vertical="top" wrapText="1"/>
    </xf>
    <xf numFmtId="0" fontId="95" fillId="0" borderId="0" xfId="0" applyNumberFormat="1" applyFont="1" applyFill="1" applyBorder="1" applyAlignment="1">
      <alignment horizontal="left" vertical="top" wrapText="1"/>
    </xf>
    <xf numFmtId="49" fontId="95" fillId="0" borderId="0" xfId="0" applyNumberFormat="1" applyFont="1" applyFill="1" applyBorder="1" applyAlignment="1">
      <alignment horizontal="center" vertical="top" wrapText="1"/>
    </xf>
    <xf numFmtId="2" fontId="94" fillId="0" borderId="0" xfId="0" applyNumberFormat="1" applyFont="1" applyFill="1" applyBorder="1" applyAlignment="1">
      <alignment horizontal="right" vertical="top" wrapText="1"/>
    </xf>
    <xf numFmtId="0" fontId="94" fillId="0" borderId="0" xfId="0" applyNumberFormat="1" applyFont="1" applyFill="1" applyBorder="1" applyAlignment="1">
      <alignment horizontal="right" vertical="top" wrapText="1"/>
    </xf>
    <xf numFmtId="176" fontId="95" fillId="0" borderId="0" xfId="0" applyNumberFormat="1" applyFont="1" applyFill="1" applyBorder="1" applyAlignment="1">
      <alignment horizontal="right" vertical="top" wrapText="1"/>
    </xf>
    <xf numFmtId="168" fontId="24" fillId="0" borderId="0" xfId="0" applyFont="1" applyFill="1" applyBorder="1" applyAlignment="1">
      <alignment horizontal="right" vertical="top"/>
    </xf>
    <xf numFmtId="2" fontId="95" fillId="0" borderId="0" xfId="12" applyNumberFormat="1" applyFont="1" applyFill="1" applyBorder="1" applyAlignment="1">
      <alignment horizontal="right" vertical="top" wrapText="1"/>
    </xf>
    <xf numFmtId="49" fontId="95" fillId="0" borderId="0" xfId="12" applyNumberFormat="1" applyFont="1" applyFill="1" applyBorder="1" applyAlignment="1">
      <alignment horizontal="left" vertical="top" wrapText="1"/>
    </xf>
    <xf numFmtId="0" fontId="94" fillId="0" borderId="0" xfId="12" applyFont="1" applyFill="1" applyBorder="1" applyAlignment="1">
      <alignment horizontal="center" vertical="top" wrapText="1"/>
    </xf>
    <xf numFmtId="2" fontId="95" fillId="0" borderId="0" xfId="12" applyNumberFormat="1" applyFont="1" applyFill="1" applyBorder="1" applyAlignment="1">
      <alignment vertical="top" wrapText="1"/>
    </xf>
    <xf numFmtId="2" fontId="95" fillId="0" borderId="0" xfId="12" applyNumberFormat="1" applyFont="1" applyFill="1" applyBorder="1" applyAlignment="1">
      <alignment horizontal="center" vertical="top" wrapText="1"/>
    </xf>
    <xf numFmtId="2" fontId="94" fillId="0" borderId="0" xfId="12" applyNumberFormat="1" applyFont="1" applyFill="1" applyBorder="1" applyAlignment="1">
      <alignment horizontal="right" vertical="top" wrapText="1"/>
    </xf>
    <xf numFmtId="0" fontId="95" fillId="0" borderId="0" xfId="12" applyFont="1" applyFill="1" applyBorder="1" applyAlignment="1">
      <alignment horizontal="left" vertical="top" wrapText="1"/>
    </xf>
    <xf numFmtId="0" fontId="94" fillId="0" borderId="0" xfId="12" applyFont="1" applyFill="1" applyBorder="1" applyAlignment="1">
      <alignment horizontal="left" vertical="top" wrapText="1"/>
    </xf>
    <xf numFmtId="2" fontId="157" fillId="0" borderId="0" xfId="12" applyNumberFormat="1" applyFont="1" applyFill="1" applyBorder="1" applyAlignment="1">
      <alignment vertical="top" wrapText="1"/>
    </xf>
    <xf numFmtId="2" fontId="157" fillId="0" borderId="0" xfId="12" applyNumberFormat="1" applyFont="1" applyFill="1" applyBorder="1" applyAlignment="1">
      <alignment horizontal="center" vertical="top" wrapText="1"/>
    </xf>
    <xf numFmtId="2" fontId="157" fillId="0" borderId="0" xfId="12" applyNumberFormat="1" applyFont="1" applyFill="1" applyBorder="1" applyAlignment="1">
      <alignment horizontal="right" vertical="top" wrapText="1"/>
    </xf>
    <xf numFmtId="175" fontId="95" fillId="0" borderId="0" xfId="12" applyNumberFormat="1" applyFont="1" applyFill="1" applyBorder="1" applyAlignment="1">
      <alignment horizontal="right" vertical="top" wrapText="1"/>
    </xf>
    <xf numFmtId="2" fontId="158" fillId="0" borderId="0" xfId="0" applyNumberFormat="1" applyFont="1" applyFill="1"/>
    <xf numFmtId="0" fontId="95" fillId="0" borderId="15" xfId="0" applyNumberFormat="1" applyFont="1" applyFill="1" applyBorder="1" applyAlignment="1">
      <alignment horizontal="justify" vertical="top" wrapText="1"/>
    </xf>
    <xf numFmtId="168" fontId="24" fillId="0" borderId="0" xfId="0" applyNumberFormat="1" applyFont="1" applyFill="1" applyAlignment="1" applyProtection="1">
      <alignment horizontal="center"/>
    </xf>
    <xf numFmtId="168" fontId="24" fillId="0" borderId="0" xfId="0" applyNumberFormat="1" applyFont="1" applyFill="1" applyAlignment="1" applyProtection="1"/>
    <xf numFmtId="168" fontId="24" fillId="0" borderId="0" xfId="0" applyNumberFormat="1" applyFont="1" applyFill="1" applyAlignment="1" applyProtection="1">
      <alignment horizontal="left"/>
    </xf>
    <xf numFmtId="168" fontId="24" fillId="0" borderId="0" xfId="0" applyFont="1" applyFill="1" applyAlignment="1">
      <alignment horizontal="center"/>
    </xf>
    <xf numFmtId="168" fontId="24" fillId="0" borderId="0" xfId="0" applyFont="1" applyFill="1" applyAlignment="1"/>
    <xf numFmtId="168" fontId="8" fillId="0" borderId="0" xfId="0" applyFont="1" applyFill="1"/>
    <xf numFmtId="168" fontId="24" fillId="0" borderId="0" xfId="0" applyNumberFormat="1" applyFont="1" applyFill="1" applyAlignment="1" applyProtection="1">
      <alignment horizontal="fill"/>
    </xf>
    <xf numFmtId="172" fontId="24" fillId="0" borderId="0" xfId="0" applyNumberFormat="1" applyFont="1" applyFill="1" applyProtection="1"/>
    <xf numFmtId="172" fontId="24" fillId="0" borderId="0" xfId="0" applyNumberFormat="1" applyFont="1" applyFill="1" applyAlignment="1" applyProtection="1">
      <alignment horizontal="center"/>
    </xf>
    <xf numFmtId="174" fontId="24" fillId="0" borderId="0" xfId="0" applyNumberFormat="1" applyFont="1" applyFill="1"/>
    <xf numFmtId="168" fontId="24" fillId="0" borderId="0" xfId="0" applyNumberFormat="1" applyFont="1" applyFill="1" applyProtection="1"/>
    <xf numFmtId="173" fontId="24" fillId="0" borderId="0" xfId="0" applyNumberFormat="1" applyFont="1" applyFill="1" applyProtection="1"/>
    <xf numFmtId="168" fontId="115" fillId="0" borderId="0" xfId="0" applyNumberFormat="1" applyFont="1" applyFill="1" applyProtection="1"/>
    <xf numFmtId="168" fontId="136" fillId="0" borderId="0" xfId="0" applyFont="1" applyFill="1"/>
    <xf numFmtId="168" fontId="10" fillId="0" borderId="0" xfId="0" applyFont="1" applyAlignment="1">
      <alignment horizontal="center" vertical="top" wrapText="1"/>
    </xf>
    <xf numFmtId="2" fontId="72" fillId="0" borderId="0" xfId="0" applyNumberFormat="1" applyFont="1" applyFill="1" applyAlignment="1">
      <alignment horizontal="left" vertical="top"/>
    </xf>
    <xf numFmtId="0" fontId="95" fillId="0" borderId="16" xfId="0" applyNumberFormat="1" applyFont="1" applyFill="1" applyBorder="1" applyAlignment="1">
      <alignment horizontal="justify" vertical="top" wrapText="1"/>
    </xf>
    <xf numFmtId="2" fontId="95" fillId="0" borderId="16" xfId="0" applyNumberFormat="1" applyFont="1" applyFill="1" applyBorder="1" applyAlignment="1">
      <alignment horizontal="center" vertical="top" wrapText="1"/>
    </xf>
    <xf numFmtId="49" fontId="95" fillId="0" borderId="16" xfId="0" applyNumberFormat="1" applyFont="1" applyFill="1" applyBorder="1" applyAlignment="1">
      <alignment horizontal="center" vertical="top" wrapText="1"/>
    </xf>
    <xf numFmtId="0" fontId="94" fillId="0" borderId="16" xfId="0" applyNumberFormat="1" applyFont="1" applyFill="1" applyBorder="1" applyAlignment="1">
      <alignment horizontal="center" vertical="top" wrapText="1"/>
    </xf>
    <xf numFmtId="2" fontId="95" fillId="0" borderId="16" xfId="0" applyNumberFormat="1" applyFont="1" applyFill="1" applyBorder="1" applyAlignment="1">
      <alignment horizontal="right" vertical="top" wrapText="1"/>
    </xf>
    <xf numFmtId="0" fontId="94" fillId="0" borderId="16" xfId="0" applyNumberFormat="1" applyFont="1" applyFill="1" applyBorder="1" applyAlignment="1">
      <alignment horizontal="left" vertical="top" wrapText="1"/>
    </xf>
    <xf numFmtId="0" fontId="95" fillId="0" borderId="16" xfId="0" applyNumberFormat="1" applyFont="1" applyFill="1" applyBorder="1" applyAlignment="1">
      <alignment horizontal="left" vertical="top" wrapText="1"/>
    </xf>
    <xf numFmtId="2" fontId="94" fillId="0" borderId="16" xfId="0" applyNumberFormat="1" applyFont="1" applyFill="1" applyBorder="1" applyAlignment="1">
      <alignment horizontal="right" vertical="top" wrapText="1"/>
    </xf>
    <xf numFmtId="0" fontId="95" fillId="0" borderId="0" xfId="0" applyNumberFormat="1" applyFont="1" applyFill="1" applyBorder="1" applyAlignment="1">
      <alignment horizontal="center" vertical="top" wrapText="1"/>
    </xf>
    <xf numFmtId="0" fontId="95" fillId="0" borderId="0" xfId="0" applyNumberFormat="1" applyFont="1" applyFill="1" applyBorder="1" applyAlignment="1">
      <alignment vertical="top" wrapText="1"/>
    </xf>
    <xf numFmtId="2" fontId="95" fillId="0" borderId="0" xfId="0" applyNumberFormat="1" applyFont="1" applyFill="1" applyBorder="1" applyAlignment="1">
      <alignment vertical="top" wrapText="1"/>
    </xf>
    <xf numFmtId="2" fontId="94" fillId="0" borderId="0" xfId="0" applyNumberFormat="1" applyFont="1" applyFill="1" applyBorder="1" applyAlignment="1">
      <alignment vertical="top" wrapText="1"/>
    </xf>
    <xf numFmtId="0" fontId="95" fillId="0" borderId="17" xfId="0" applyNumberFormat="1" applyFont="1" applyFill="1" applyBorder="1" applyAlignment="1">
      <alignment horizontal="left" vertical="top" wrapText="1"/>
    </xf>
    <xf numFmtId="0" fontId="95" fillId="0" borderId="1" xfId="0" applyNumberFormat="1" applyFont="1" applyFill="1" applyBorder="1" applyAlignment="1">
      <alignment horizontal="justify" vertical="top" wrapText="1"/>
    </xf>
    <xf numFmtId="0" fontId="95" fillId="0" borderId="16" xfId="0" applyNumberFormat="1" applyFont="1" applyFill="1" applyBorder="1" applyAlignment="1">
      <alignment horizontal="center" vertical="top" wrapText="1"/>
    </xf>
    <xf numFmtId="2" fontId="95" fillId="0" borderId="16" xfId="0" applyNumberFormat="1" applyFont="1" applyFill="1" applyBorder="1" applyAlignment="1">
      <alignment vertical="top" wrapText="1"/>
    </xf>
    <xf numFmtId="2" fontId="94" fillId="0" borderId="16" xfId="0" applyNumberFormat="1" applyFont="1" applyFill="1" applyBorder="1" applyAlignment="1">
      <alignment vertical="top" wrapText="1"/>
    </xf>
    <xf numFmtId="0" fontId="160" fillId="0" borderId="0" xfId="12" applyFont="1" applyFill="1" applyAlignment="1">
      <alignment vertical="top"/>
    </xf>
    <xf numFmtId="2" fontId="160" fillId="0" borderId="0" xfId="12" applyNumberFormat="1" applyFont="1" applyFill="1" applyAlignment="1">
      <alignment vertical="top"/>
    </xf>
    <xf numFmtId="0" fontId="95" fillId="0" borderId="0" xfId="0" applyNumberFormat="1" applyFont="1" applyFill="1" applyBorder="1" applyAlignment="1">
      <alignment horizontal="justify" vertical="top" wrapText="1"/>
    </xf>
    <xf numFmtId="0" fontId="160" fillId="0" borderId="0" xfId="12" applyFont="1" applyFill="1" applyAlignment="1">
      <alignment vertical="top" wrapText="1"/>
    </xf>
    <xf numFmtId="168" fontId="95" fillId="0" borderId="0" xfId="0" applyFont="1" applyFill="1" applyAlignment="1">
      <alignment vertical="top"/>
    </xf>
    <xf numFmtId="2" fontId="152" fillId="0" borderId="0" xfId="12" applyNumberFormat="1" applyFont="1" applyFill="1" applyAlignment="1">
      <alignment vertical="top"/>
    </xf>
    <xf numFmtId="168" fontId="94" fillId="0" borderId="0" xfId="0" applyFont="1" applyFill="1" applyAlignment="1">
      <alignment vertical="top"/>
    </xf>
    <xf numFmtId="0" fontId="152" fillId="0" borderId="0" xfId="12" applyFont="1" applyFill="1" applyAlignment="1">
      <alignment vertical="top"/>
    </xf>
    <xf numFmtId="2" fontId="95" fillId="0" borderId="0" xfId="0" applyNumberFormat="1" applyFont="1" applyFill="1" applyAlignment="1">
      <alignment vertical="top"/>
    </xf>
    <xf numFmtId="2" fontId="160" fillId="0" borderId="0" xfId="12" applyNumberFormat="1" applyFont="1" applyFill="1" applyAlignment="1">
      <alignment vertical="top" wrapText="1"/>
    </xf>
    <xf numFmtId="168" fontId="95" fillId="0" borderId="0" xfId="0" applyNumberFormat="1" applyFont="1" applyFill="1" applyBorder="1" applyAlignment="1">
      <alignment horizontal="left" vertical="top"/>
    </xf>
    <xf numFmtId="1" fontId="95" fillId="0" borderId="0" xfId="12" applyNumberFormat="1" applyFont="1" applyFill="1" applyBorder="1" applyAlignment="1">
      <alignment horizontal="right" vertical="top" wrapText="1"/>
    </xf>
    <xf numFmtId="49" fontId="95" fillId="0" borderId="0" xfId="12" applyNumberFormat="1" applyFont="1" applyFill="1" applyBorder="1" applyAlignment="1">
      <alignment horizontal="center" vertical="top" wrapText="1"/>
    </xf>
    <xf numFmtId="0" fontId="95" fillId="0" borderId="0" xfId="12" applyFont="1" applyFill="1" applyBorder="1" applyAlignment="1">
      <alignment horizontal="center" vertical="top" wrapText="1"/>
    </xf>
    <xf numFmtId="175" fontId="95" fillId="0" borderId="0" xfId="0" applyNumberFormat="1" applyFont="1" applyFill="1" applyBorder="1" applyAlignment="1">
      <alignment horizontal="right" vertical="top" wrapText="1"/>
    </xf>
    <xf numFmtId="1" fontId="95" fillId="0" borderId="0" xfId="0" applyNumberFormat="1" applyFont="1" applyFill="1" applyBorder="1" applyAlignment="1">
      <alignment horizontal="right" vertical="top" wrapText="1"/>
    </xf>
    <xf numFmtId="0" fontId="95" fillId="0" borderId="1" xfId="9" applyFont="1" applyFill="1" applyBorder="1" applyAlignment="1">
      <alignment horizontal="left" vertical="top" wrapText="1"/>
    </xf>
    <xf numFmtId="0" fontId="95" fillId="0" borderId="0" xfId="12" applyFont="1" applyFill="1" applyAlignment="1">
      <alignment vertical="top"/>
    </xf>
    <xf numFmtId="2" fontId="95" fillId="0" borderId="0" xfId="12" applyNumberFormat="1" applyFont="1" applyFill="1" applyAlignment="1">
      <alignment vertical="top"/>
    </xf>
    <xf numFmtId="0" fontId="95" fillId="0" borderId="0" xfId="0" applyNumberFormat="1" applyFont="1" applyFill="1" applyAlignment="1">
      <alignment horizontal="center" vertical="top"/>
    </xf>
    <xf numFmtId="0" fontId="95" fillId="0" borderId="16" xfId="12" applyFont="1" applyFill="1" applyBorder="1" applyAlignment="1">
      <alignment vertical="top"/>
    </xf>
    <xf numFmtId="2" fontId="95" fillId="0" borderId="16" xfId="12" applyNumberFormat="1" applyFont="1" applyFill="1" applyBorder="1" applyAlignment="1">
      <alignment vertical="top"/>
    </xf>
    <xf numFmtId="2" fontId="95" fillId="0" borderId="16" xfId="0" applyNumberFormat="1" applyFont="1" applyFill="1" applyBorder="1" applyAlignment="1">
      <alignment vertical="top"/>
    </xf>
    <xf numFmtId="0" fontId="95" fillId="0" borderId="16" xfId="0" applyNumberFormat="1" applyFont="1" applyFill="1" applyBorder="1" applyAlignment="1">
      <alignment horizontal="center" vertical="top"/>
    </xf>
    <xf numFmtId="168" fontId="94" fillId="0" borderId="0" xfId="0" applyNumberFormat="1" applyFont="1" applyFill="1" applyAlignment="1" applyProtection="1">
      <alignment horizontal="left" vertical="top"/>
    </xf>
    <xf numFmtId="168" fontId="94" fillId="0" borderId="0" xfId="0" applyNumberFormat="1" applyFont="1" applyFill="1" applyAlignment="1" applyProtection="1">
      <alignment vertical="top"/>
    </xf>
    <xf numFmtId="168" fontId="95" fillId="0" borderId="0" xfId="0" applyNumberFormat="1" applyFont="1" applyFill="1" applyAlignment="1" applyProtection="1">
      <alignment horizontal="center" vertical="top"/>
    </xf>
    <xf numFmtId="168" fontId="95" fillId="0" borderId="0" xfId="0" applyFont="1" applyFill="1" applyAlignment="1">
      <alignment horizontal="left" vertical="top"/>
    </xf>
    <xf numFmtId="168" fontId="94" fillId="0" borderId="0" xfId="0" applyNumberFormat="1" applyFont="1" applyFill="1" applyAlignment="1" applyProtection="1">
      <alignment horizontal="right" vertical="top"/>
    </xf>
    <xf numFmtId="168" fontId="95" fillId="0" borderId="0" xfId="0" applyNumberFormat="1" applyFont="1" applyFill="1" applyAlignment="1" applyProtection="1">
      <alignment vertical="top"/>
    </xf>
    <xf numFmtId="168" fontId="95" fillId="0" borderId="0" xfId="0" applyNumberFormat="1" applyFont="1" applyFill="1" applyAlignment="1" applyProtection="1">
      <alignment horizontal="fill" vertical="top"/>
    </xf>
    <xf numFmtId="168" fontId="94" fillId="0" borderId="0" xfId="0" applyNumberFormat="1" applyFont="1" applyFill="1" applyAlignment="1" applyProtection="1">
      <alignment horizontal="center" vertical="top"/>
    </xf>
    <xf numFmtId="2" fontId="94" fillId="0" borderId="0" xfId="12" applyNumberFormat="1" applyFont="1" applyFill="1" applyBorder="1" applyAlignment="1">
      <alignment vertical="top" wrapText="1"/>
    </xf>
    <xf numFmtId="0" fontId="94" fillId="0" borderId="0" xfId="12" applyNumberFormat="1" applyFont="1" applyFill="1" applyBorder="1" applyAlignment="1">
      <alignment horizontal="center" vertical="top" wrapText="1"/>
    </xf>
    <xf numFmtId="2" fontId="94" fillId="0" borderId="0" xfId="12" applyNumberFormat="1" applyFont="1" applyFill="1" applyBorder="1" applyAlignment="1">
      <alignment horizontal="center" vertical="top" wrapText="1"/>
    </xf>
    <xf numFmtId="0" fontId="95" fillId="0" borderId="0" xfId="12" applyFont="1" applyFill="1" applyBorder="1" applyAlignment="1">
      <alignment vertical="top" wrapText="1"/>
    </xf>
    <xf numFmtId="0" fontId="160" fillId="0" borderId="0" xfId="12" applyFont="1" applyFill="1" applyAlignment="1">
      <alignment horizontal="center" vertical="top"/>
    </xf>
    <xf numFmtId="0" fontId="95" fillId="0" borderId="0" xfId="0" applyNumberFormat="1" applyFont="1" applyAlignment="1">
      <alignment vertical="top"/>
    </xf>
    <xf numFmtId="0" fontId="152" fillId="0" borderId="0" xfId="0" applyNumberFormat="1" applyFont="1" applyAlignment="1">
      <alignment horizontal="center" vertical="top" wrapText="1"/>
    </xf>
    <xf numFmtId="0" fontId="152" fillId="0" borderId="0" xfId="0" applyNumberFormat="1" applyFont="1" applyAlignment="1">
      <alignment horizontal="center" vertical="top"/>
    </xf>
    <xf numFmtId="0" fontId="95" fillId="0" borderId="0" xfId="0" applyNumberFormat="1" applyFont="1" applyAlignment="1">
      <alignment horizontal="left" vertical="top"/>
    </xf>
    <xf numFmtId="0" fontId="159" fillId="0" borderId="0" xfId="0" applyNumberFormat="1" applyFont="1" applyAlignment="1">
      <alignment vertical="top"/>
    </xf>
    <xf numFmtId="2" fontId="95" fillId="0" borderId="0" xfId="0" applyNumberFormat="1" applyFont="1" applyAlignment="1">
      <alignment vertical="top"/>
    </xf>
    <xf numFmtId="0" fontId="95" fillId="0" borderId="0" xfId="0" applyNumberFormat="1" applyFont="1" applyAlignment="1">
      <alignment horizontal="right" vertical="top"/>
    </xf>
    <xf numFmtId="2" fontId="95" fillId="0" borderId="0" xfId="0" applyNumberFormat="1" applyFont="1" applyAlignment="1">
      <alignment horizontal="center" vertical="top"/>
    </xf>
    <xf numFmtId="0" fontId="95" fillId="0" borderId="0" xfId="0" applyNumberFormat="1" applyFont="1" applyAlignment="1">
      <alignment horizontal="center" vertical="top"/>
    </xf>
    <xf numFmtId="0" fontId="95" fillId="0" borderId="0" xfId="0" applyNumberFormat="1" applyFont="1" applyFill="1" applyAlignment="1">
      <alignment vertical="top" wrapText="1"/>
    </xf>
    <xf numFmtId="2" fontId="95" fillId="0" borderId="0" xfId="0" applyNumberFormat="1" applyFont="1" applyFill="1" applyAlignment="1">
      <alignment horizontal="center" vertical="top" wrapText="1"/>
    </xf>
    <xf numFmtId="1" fontId="95" fillId="0" borderId="0" xfId="0" applyNumberFormat="1" applyFont="1" applyAlignment="1">
      <alignment horizontal="center" vertical="top"/>
    </xf>
    <xf numFmtId="0" fontId="152" fillId="0" borderId="0" xfId="0" applyNumberFormat="1" applyFont="1" applyFill="1" applyAlignment="1">
      <alignment vertical="top" wrapText="1"/>
    </xf>
    <xf numFmtId="2" fontId="95" fillId="0" borderId="0" xfId="0" applyNumberFormat="1" applyFont="1" applyFill="1" applyAlignment="1">
      <alignment vertical="top" wrapText="1"/>
    </xf>
    <xf numFmtId="0" fontId="95" fillId="0" borderId="0" xfId="0" applyNumberFormat="1" applyFont="1" applyAlignment="1">
      <alignment vertical="top" wrapText="1"/>
    </xf>
    <xf numFmtId="0" fontId="152" fillId="0" borderId="0" xfId="0" applyNumberFormat="1" applyFont="1" applyAlignment="1">
      <alignment horizontal="right" vertical="top"/>
    </xf>
    <xf numFmtId="2" fontId="152" fillId="0" borderId="0" xfId="0" applyNumberFormat="1" applyFont="1" applyFill="1" applyAlignment="1">
      <alignment vertical="top"/>
    </xf>
    <xf numFmtId="0" fontId="95" fillId="0" borderId="0" xfId="0" applyNumberFormat="1" applyFont="1" applyFill="1" applyAlignment="1">
      <alignment vertical="top"/>
    </xf>
    <xf numFmtId="0" fontId="160" fillId="0" borderId="16" xfId="12" applyFont="1" applyFill="1" applyBorder="1" applyAlignment="1">
      <alignment vertical="top"/>
    </xf>
    <xf numFmtId="2" fontId="160" fillId="0" borderId="16" xfId="12" applyNumberFormat="1" applyFont="1" applyFill="1" applyBorder="1" applyAlignment="1">
      <alignment vertical="top"/>
    </xf>
    <xf numFmtId="2" fontId="94" fillId="0" borderId="0" xfId="0" applyNumberFormat="1" applyFont="1" applyAlignment="1">
      <alignment vertical="top"/>
    </xf>
    <xf numFmtId="0" fontId="157" fillId="0" borderId="0" xfId="0" applyNumberFormat="1" applyFont="1" applyAlignment="1">
      <alignment vertical="top"/>
    </xf>
    <xf numFmtId="2" fontId="157" fillId="0" borderId="0" xfId="0" applyNumberFormat="1" applyFont="1" applyAlignment="1">
      <alignment vertical="top"/>
    </xf>
    <xf numFmtId="2" fontId="160" fillId="0" borderId="0" xfId="0" applyNumberFormat="1" applyFont="1" applyFill="1" applyAlignment="1">
      <alignment horizontal="center" vertical="top" wrapText="1"/>
    </xf>
    <xf numFmtId="0" fontId="95" fillId="0" borderId="0" xfId="0" applyNumberFormat="1" applyFont="1" applyFill="1" applyBorder="1" applyAlignment="1">
      <alignment horizontal="justify" vertical="top"/>
    </xf>
    <xf numFmtId="168" fontId="6" fillId="0" borderId="0" xfId="0" applyNumberFormat="1" applyFont="1" applyAlignment="1" applyProtection="1">
      <alignment horizontal="center"/>
    </xf>
    <xf numFmtId="168" fontId="86" fillId="0" borderId="0" xfId="0" applyNumberFormat="1" applyFont="1" applyAlignment="1" applyProtection="1">
      <alignment horizontal="center"/>
    </xf>
    <xf numFmtId="168" fontId="86" fillId="0" borderId="0" xfId="0" applyFont="1" applyAlignment="1" applyProtection="1">
      <alignment horizontal="center"/>
    </xf>
    <xf numFmtId="168" fontId="86" fillId="9" borderId="0" xfId="0" applyNumberFormat="1" applyFont="1" applyFill="1" applyAlignment="1" applyProtection="1">
      <alignment horizontal="center"/>
    </xf>
    <xf numFmtId="168" fontId="0" fillId="9" borderId="0" xfId="0" applyFill="1" applyAlignment="1">
      <alignment horizontal="center"/>
    </xf>
    <xf numFmtId="168" fontId="110" fillId="0" borderId="0" xfId="0" applyFont="1" applyAlignment="1">
      <alignment horizontal="center"/>
    </xf>
    <xf numFmtId="170" fontId="0" fillId="0" borderId="0" xfId="0" applyNumberFormat="1" applyAlignment="1">
      <alignment horizontal="center"/>
    </xf>
    <xf numFmtId="168" fontId="161" fillId="0" borderId="0" xfId="0" applyNumberFormat="1" applyFont="1" applyProtection="1"/>
    <xf numFmtId="168" fontId="161" fillId="0" borderId="0" xfId="0" applyFont="1"/>
    <xf numFmtId="168" fontId="162" fillId="0" borderId="0" xfId="0" applyNumberFormat="1" applyFont="1" applyProtection="1"/>
    <xf numFmtId="168" fontId="162" fillId="0" borderId="0" xfId="0" applyNumberFormat="1" applyFont="1" applyAlignment="1" applyProtection="1">
      <alignment horizontal="left"/>
    </xf>
    <xf numFmtId="168" fontId="163" fillId="0" borderId="0" xfId="0" applyNumberFormat="1" applyFont="1" applyProtection="1"/>
    <xf numFmtId="168" fontId="164" fillId="0" borderId="0" xfId="0" applyFont="1"/>
    <xf numFmtId="168" fontId="162" fillId="0" borderId="0" xfId="0" applyFont="1"/>
    <xf numFmtId="168" fontId="44" fillId="4" borderId="0" xfId="0" applyFont="1" applyFill="1" applyAlignment="1">
      <alignment horizontal="center"/>
    </xf>
    <xf numFmtId="168" fontId="165" fillId="0" borderId="0" xfId="0" applyNumberFormat="1" applyFont="1" applyProtection="1"/>
    <xf numFmtId="168" fontId="110" fillId="0" borderId="0" xfId="0" applyNumberFormat="1" applyFont="1" applyBorder="1" applyAlignment="1">
      <alignment horizontal="right" vertical="top"/>
    </xf>
    <xf numFmtId="168" fontId="124" fillId="0" borderId="0" xfId="0" applyNumberFormat="1" applyFont="1" applyFill="1" applyProtection="1"/>
    <xf numFmtId="168" fontId="115" fillId="10" borderId="0" xfId="0" applyFont="1" applyFill="1"/>
    <xf numFmtId="168" fontId="124" fillId="0" borderId="0" xfId="0" applyFont="1" applyFill="1"/>
    <xf numFmtId="168" fontId="129" fillId="0" borderId="0" xfId="0" applyFont="1" applyAlignment="1">
      <alignment horizontal="center"/>
    </xf>
    <xf numFmtId="168" fontId="129" fillId="0" borderId="0" xfId="0" applyNumberFormat="1" applyFont="1" applyAlignment="1" applyProtection="1">
      <alignment horizontal="center"/>
    </xf>
    <xf numFmtId="172" fontId="129" fillId="0" borderId="0" xfId="0" applyNumberFormat="1" applyFont="1" applyAlignment="1" applyProtection="1">
      <alignment horizontal="center"/>
    </xf>
    <xf numFmtId="168" fontId="112" fillId="10" borderId="0" xfId="0" applyFont="1" applyFill="1"/>
    <xf numFmtId="172" fontId="10" fillId="0" borderId="0" xfId="0" applyNumberFormat="1" applyFont="1" applyAlignment="1">
      <alignment vertical="top"/>
    </xf>
    <xf numFmtId="168" fontId="10" fillId="10" borderId="0" xfId="0" applyFont="1" applyFill="1" applyAlignment="1">
      <alignment vertical="top" wrapText="1"/>
    </xf>
    <xf numFmtId="168" fontId="112" fillId="0" borderId="0" xfId="0" applyFont="1" applyAlignment="1">
      <alignment vertical="top"/>
    </xf>
    <xf numFmtId="168" fontId="10" fillId="0" borderId="0" xfId="0" applyFont="1" applyAlignment="1">
      <alignment horizontal="left" vertical="top"/>
    </xf>
    <xf numFmtId="168" fontId="123" fillId="0" borderId="0" xfId="0" applyNumberFormat="1" applyFont="1" applyAlignment="1" applyProtection="1">
      <alignment horizontal="right"/>
    </xf>
    <xf numFmtId="168" fontId="25" fillId="0" borderId="0" xfId="0" applyFont="1" applyAlignment="1">
      <alignment horizontal="center"/>
    </xf>
    <xf numFmtId="168" fontId="127" fillId="0" borderId="0" xfId="0" applyFont="1" applyAlignment="1">
      <alignment horizontal="center"/>
    </xf>
    <xf numFmtId="168" fontId="0" fillId="0" borderId="0" xfId="0" applyNumberFormat="1" applyAlignment="1" applyProtection="1">
      <alignment vertical="top"/>
    </xf>
    <xf numFmtId="168" fontId="110" fillId="0" borderId="0" xfId="0" applyFont="1" applyAlignment="1">
      <alignment vertical="top"/>
    </xf>
    <xf numFmtId="168" fontId="0" fillId="0" borderId="0" xfId="0" applyAlignment="1">
      <alignment horizontal="left" vertical="top"/>
    </xf>
    <xf numFmtId="168" fontId="18" fillId="0" borderId="0" xfId="0" applyNumberFormat="1" applyFont="1" applyAlignment="1" applyProtection="1">
      <alignment horizontal="center"/>
    </xf>
    <xf numFmtId="168" fontId="166" fillId="0" borderId="0" xfId="0" applyNumberFormat="1" applyFont="1" applyProtection="1"/>
    <xf numFmtId="168" fontId="25" fillId="0" borderId="0" xfId="0" applyNumberFormat="1" applyFont="1" applyAlignment="1">
      <alignment horizontal="center"/>
    </xf>
    <xf numFmtId="0" fontId="0" fillId="0" borderId="0" xfId="0" applyNumberFormat="1" applyAlignment="1">
      <alignment horizontal="center"/>
    </xf>
    <xf numFmtId="168" fontId="10" fillId="0" borderId="0" xfId="0" applyNumberFormat="1" applyFont="1" applyAlignment="1">
      <alignment horizontal="center"/>
    </xf>
    <xf numFmtId="0" fontId="80" fillId="7" borderId="0" xfId="0" applyNumberFormat="1" applyFont="1" applyFill="1" applyBorder="1" applyAlignment="1">
      <alignment horizontal="center" wrapText="1"/>
    </xf>
    <xf numFmtId="0" fontId="0" fillId="0" borderId="0" xfId="0" applyNumberFormat="1" applyBorder="1" applyAlignment="1"/>
    <xf numFmtId="168" fontId="110" fillId="0" borderId="0" xfId="0" applyFont="1" applyBorder="1" applyAlignment="1">
      <alignment horizontal="left" vertical="top" wrapText="1"/>
    </xf>
    <xf numFmtId="168" fontId="110" fillId="0" borderId="0" xfId="0" applyFont="1" applyFill="1" applyBorder="1" applyAlignment="1">
      <alignment horizontal="left" vertical="top"/>
    </xf>
    <xf numFmtId="0" fontId="72" fillId="0" borderId="0" xfId="0" applyNumberFormat="1" applyFont="1" applyFill="1" applyAlignment="1">
      <alignment wrapText="1"/>
    </xf>
    <xf numFmtId="2" fontId="159" fillId="0" borderId="0" xfId="12" applyNumberFormat="1" applyFont="1" applyFill="1" applyBorder="1" applyAlignment="1">
      <alignment vertical="top" wrapText="1"/>
    </xf>
    <xf numFmtId="2" fontId="168" fillId="0" borderId="0" xfId="12" applyNumberFormat="1" applyFont="1" applyFill="1" applyBorder="1" applyAlignment="1">
      <alignment vertical="top" wrapText="1"/>
    </xf>
    <xf numFmtId="0" fontId="95" fillId="0" borderId="0" xfId="0" applyNumberFormat="1" applyFont="1" applyFill="1" applyBorder="1" applyAlignment="1">
      <alignment horizontal="right" vertical="top" wrapText="1"/>
    </xf>
    <xf numFmtId="2" fontId="95" fillId="9" borderId="0" xfId="0" applyNumberFormat="1" applyFont="1" applyFill="1" applyBorder="1" applyAlignment="1">
      <alignment vertical="top"/>
    </xf>
    <xf numFmtId="0" fontId="95" fillId="9" borderId="0" xfId="0" applyNumberFormat="1" applyFont="1" applyFill="1" applyBorder="1" applyAlignment="1">
      <alignment vertical="top"/>
    </xf>
    <xf numFmtId="0" fontId="95" fillId="9" borderId="0" xfId="0" applyNumberFormat="1" applyFont="1" applyFill="1" applyAlignment="1">
      <alignment vertical="top"/>
    </xf>
    <xf numFmtId="0" fontId="95" fillId="9" borderId="0" xfId="0" applyNumberFormat="1" applyFont="1" applyFill="1" applyBorder="1" applyAlignment="1">
      <alignment horizontal="center" vertical="top"/>
    </xf>
    <xf numFmtId="0" fontId="160" fillId="9" borderId="0" xfId="12" applyFont="1" applyFill="1" applyAlignment="1">
      <alignment vertical="top"/>
    </xf>
    <xf numFmtId="2" fontId="160" fillId="9" borderId="0" xfId="12" applyNumberFormat="1" applyFont="1" applyFill="1" applyAlignment="1">
      <alignment vertical="top"/>
    </xf>
    <xf numFmtId="2" fontId="95" fillId="0" borderId="0" xfId="0" applyNumberFormat="1" applyFont="1" applyFill="1" applyBorder="1" applyAlignment="1">
      <alignment horizontal="left" vertical="top" wrapText="1"/>
    </xf>
    <xf numFmtId="168" fontId="10" fillId="9" borderId="0" xfId="0" applyFont="1" applyFill="1" applyBorder="1" applyAlignment="1">
      <alignment horizontal="left" vertical="top"/>
    </xf>
    <xf numFmtId="168" fontId="89" fillId="8" borderId="0" xfId="0" applyFont="1" applyFill="1" applyAlignment="1">
      <alignment horizontal="right" vertical="top"/>
    </xf>
    <xf numFmtId="168" fontId="146" fillId="8" borderId="0" xfId="0" applyFont="1" applyFill="1" applyBorder="1" applyAlignment="1">
      <alignment horizontal="right" vertical="top" wrapText="1"/>
    </xf>
    <xf numFmtId="0" fontId="0" fillId="0" borderId="0" xfId="0" applyNumberFormat="1" applyFill="1"/>
    <xf numFmtId="0" fontId="169"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09"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09" fillId="0" borderId="0" xfId="0" applyNumberFormat="1" applyFont="1" applyFill="1" applyAlignment="1">
      <alignment horizontal="center" wrapText="1"/>
    </xf>
    <xf numFmtId="0" fontId="171" fillId="0" borderId="0" xfId="0" applyNumberFormat="1" applyFont="1" applyFill="1" applyAlignment="1">
      <alignment vertical="center" wrapText="1"/>
    </xf>
    <xf numFmtId="2" fontId="170"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09" fillId="0" borderId="0" xfId="0" applyNumberFormat="1" applyFont="1" applyFill="1" applyAlignment="1">
      <alignment wrapText="1"/>
    </xf>
    <xf numFmtId="2" fontId="109" fillId="0" borderId="0" xfId="0" applyNumberFormat="1" applyFont="1" applyFill="1"/>
    <xf numFmtId="0" fontId="0" fillId="0" borderId="0" xfId="0" applyNumberFormat="1" applyFill="1" applyAlignment="1">
      <alignment vertical="top" wrapText="1"/>
    </xf>
    <xf numFmtId="0" fontId="173" fillId="0" borderId="0" xfId="0" applyNumberFormat="1" applyFont="1" applyAlignment="1">
      <alignment horizontal="center"/>
    </xf>
    <xf numFmtId="0" fontId="169"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0" fillId="0" borderId="0" xfId="0" applyNumberFormat="1" applyFont="1"/>
    <xf numFmtId="2" fontId="174"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1" fillId="0" borderId="0" xfId="0" applyNumberFormat="1" applyFont="1" applyFill="1" applyAlignment="1">
      <alignment vertical="top" wrapText="1"/>
    </xf>
    <xf numFmtId="2" fontId="109" fillId="0" borderId="0" xfId="0" applyNumberFormat="1" applyFont="1" applyFill="1" applyAlignment="1">
      <alignment horizontal="center" vertical="top" wrapText="1"/>
    </xf>
    <xf numFmtId="2" fontId="170"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09" fillId="0" borderId="0" xfId="0" applyNumberFormat="1" applyFont="1" applyAlignment="1">
      <alignment vertical="top"/>
    </xf>
    <xf numFmtId="168" fontId="64" fillId="8" borderId="14" xfId="0" applyFont="1" applyFill="1" applyBorder="1" applyAlignment="1">
      <alignment vertical="top"/>
    </xf>
    <xf numFmtId="168" fontId="64" fillId="0" borderId="14" xfId="0" applyFont="1" applyFill="1" applyBorder="1" applyAlignment="1">
      <alignment vertical="top"/>
    </xf>
    <xf numFmtId="168" fontId="89" fillId="0" borderId="14" xfId="0" applyFont="1" applyFill="1" applyBorder="1" applyAlignment="1">
      <alignment vertical="top"/>
    </xf>
    <xf numFmtId="168" fontId="146" fillId="8" borderId="1" xfId="0" applyFont="1" applyFill="1" applyBorder="1" applyAlignment="1">
      <alignment horizontal="right" vertical="top" wrapText="1"/>
    </xf>
    <xf numFmtId="168" fontId="164" fillId="0" borderId="0" xfId="0" applyNumberFormat="1" applyFont="1" applyProtection="1"/>
    <xf numFmtId="168" fontId="175" fillId="0" borderId="0" xfId="0" applyNumberFormat="1" applyFont="1" applyProtection="1"/>
    <xf numFmtId="168" fontId="175" fillId="0" borderId="0" xfId="0" applyNumberFormat="1" applyFont="1" applyAlignment="1" applyProtection="1">
      <alignment horizontal="left"/>
    </xf>
    <xf numFmtId="168" fontId="164" fillId="0" borderId="0" xfId="0" applyNumberFormat="1" applyFont="1" applyAlignment="1" applyProtection="1">
      <alignment horizontal="left"/>
    </xf>
    <xf numFmtId="168" fontId="110" fillId="0" borderId="0" xfId="0" applyFont="1" applyAlignment="1">
      <alignment vertical="top" wrapText="1"/>
    </xf>
    <xf numFmtId="0" fontId="3" fillId="0" borderId="0" xfId="40" applyFont="1"/>
    <xf numFmtId="168" fontId="0" fillId="0" borderId="0" xfId="0" applyNumberFormat="1" applyAlignment="1" applyProtection="1">
      <alignment horizontal="center"/>
    </xf>
    <xf numFmtId="170" fontId="64" fillId="8" borderId="2" xfId="0" applyNumberFormat="1" applyFont="1" applyFill="1" applyBorder="1" applyAlignment="1">
      <alignment horizontal="right" vertical="top" wrapText="1"/>
    </xf>
    <xf numFmtId="168" fontId="64" fillId="8" borderId="17" xfId="0" applyFont="1" applyFill="1" applyBorder="1" applyAlignment="1">
      <alignment vertical="top"/>
    </xf>
    <xf numFmtId="168" fontId="70" fillId="8" borderId="17" xfId="0" applyFont="1" applyFill="1" applyBorder="1" applyAlignment="1">
      <alignment horizontal="right" vertical="top"/>
    </xf>
    <xf numFmtId="168" fontId="64" fillId="8" borderId="17" xfId="0" applyFont="1" applyFill="1" applyBorder="1" applyAlignment="1">
      <alignment horizontal="right" vertical="top"/>
    </xf>
    <xf numFmtId="168" fontId="64" fillId="8" borderId="17" xfId="0" applyFont="1" applyFill="1" applyBorder="1" applyAlignment="1">
      <alignment horizontal="center" vertical="top"/>
    </xf>
    <xf numFmtId="175" fontId="64" fillId="8" borderId="2" xfId="38" applyNumberFormat="1" applyFont="1" applyFill="1" applyBorder="1" applyAlignment="1">
      <alignment vertical="top" wrapText="1"/>
    </xf>
    <xf numFmtId="168" fontId="64" fillId="9" borderId="2" xfId="0" applyFont="1" applyFill="1" applyBorder="1" applyAlignment="1">
      <alignment horizontal="right" vertical="top" wrapText="1"/>
    </xf>
    <xf numFmtId="175" fontId="64" fillId="0" borderId="2" xfId="38" applyNumberFormat="1" applyFont="1" applyFill="1" applyBorder="1" applyAlignment="1">
      <alignment vertical="top" wrapText="1"/>
    </xf>
    <xf numFmtId="2" fontId="64" fillId="0" borderId="2" xfId="38" applyNumberFormat="1" applyFont="1" applyFill="1" applyBorder="1" applyAlignment="1">
      <alignment vertical="top" wrapText="1"/>
    </xf>
    <xf numFmtId="168" fontId="64" fillId="0" borderId="2" xfId="0" applyFont="1" applyFill="1" applyBorder="1" applyAlignment="1">
      <alignment horizontal="right" vertical="top" wrapText="1"/>
    </xf>
    <xf numFmtId="2" fontId="64" fillId="0" borderId="2" xfId="38" applyNumberFormat="1" applyFont="1" applyFill="1" applyBorder="1" applyAlignment="1">
      <alignment horizontal="center" vertical="top" wrapText="1"/>
    </xf>
    <xf numFmtId="168" fontId="64" fillId="0" borderId="2" xfId="0" applyFont="1" applyFill="1" applyBorder="1" applyAlignment="1">
      <alignment vertical="top" wrapText="1"/>
    </xf>
    <xf numFmtId="2" fontId="70" fillId="0" borderId="2" xfId="38" applyNumberFormat="1" applyFont="1" applyFill="1" applyBorder="1" applyAlignment="1">
      <alignment vertical="top" wrapText="1"/>
    </xf>
    <xf numFmtId="175" fontId="64" fillId="8" borderId="2" xfId="0" applyNumberFormat="1" applyFont="1" applyFill="1" applyBorder="1" applyAlignment="1">
      <alignment vertical="top" wrapText="1"/>
    </xf>
    <xf numFmtId="175" fontId="64" fillId="8" borderId="2" xfId="0" applyNumberFormat="1" applyFont="1" applyFill="1" applyBorder="1" applyAlignment="1">
      <alignment vertical="top"/>
    </xf>
    <xf numFmtId="175" fontId="64" fillId="0" borderId="2" xfId="0" applyNumberFormat="1" applyFont="1" applyFill="1" applyBorder="1" applyAlignment="1">
      <alignment vertical="top" wrapText="1"/>
    </xf>
    <xf numFmtId="171" fontId="64" fillId="0" borderId="2" xfId="38" applyNumberFormat="1" applyFont="1" applyFill="1" applyBorder="1" applyAlignment="1">
      <alignment vertical="top" wrapText="1"/>
    </xf>
    <xf numFmtId="171" fontId="64" fillId="8" borderId="2" xfId="0" applyNumberFormat="1" applyFont="1" applyFill="1" applyBorder="1" applyAlignment="1">
      <alignment vertical="top"/>
    </xf>
    <xf numFmtId="171" fontId="64" fillId="8" borderId="2" xfId="38" applyNumberFormat="1" applyFont="1" applyFill="1" applyBorder="1" applyAlignment="1">
      <alignment vertical="top" wrapText="1"/>
    </xf>
    <xf numFmtId="2" fontId="70" fillId="8" borderId="2" xfId="38" applyNumberFormat="1" applyFont="1" applyFill="1" applyBorder="1" applyAlignment="1">
      <alignment horizontal="center" vertical="top" wrapText="1"/>
    </xf>
    <xf numFmtId="2" fontId="146" fillId="8" borderId="2" xfId="38" applyNumberFormat="1" applyFont="1" applyFill="1" applyBorder="1" applyAlignment="1">
      <alignment vertical="top" wrapText="1"/>
    </xf>
    <xf numFmtId="2" fontId="146" fillId="8" borderId="2" xfId="38" applyNumberFormat="1" applyFont="1" applyFill="1" applyBorder="1" applyAlignment="1">
      <alignment horizontal="center" vertical="top" wrapText="1"/>
    </xf>
    <xf numFmtId="2" fontId="146" fillId="8" borderId="2" xfId="38" applyNumberFormat="1" applyFont="1" applyFill="1" applyBorder="1" applyAlignment="1">
      <alignment horizontal="right" vertical="top" wrapText="1"/>
    </xf>
    <xf numFmtId="2" fontId="144" fillId="8" borderId="2" xfId="38" applyNumberFormat="1" applyFont="1" applyFill="1" applyBorder="1" applyAlignment="1">
      <alignment vertical="top" wrapText="1"/>
    </xf>
    <xf numFmtId="2" fontId="64" fillId="8" borderId="2" xfId="38" applyNumberFormat="1" applyFont="1" applyFill="1" applyBorder="1" applyAlignment="1">
      <alignment horizontal="right" vertical="top" wrapText="1"/>
    </xf>
    <xf numFmtId="168" fontId="146" fillId="0" borderId="2" xfId="0" applyFont="1" applyFill="1" applyBorder="1" applyAlignment="1">
      <alignment horizontal="right" vertical="top" wrapText="1"/>
    </xf>
    <xf numFmtId="1" fontId="64" fillId="8" borderId="2" xfId="38" applyNumberFormat="1" applyFont="1" applyFill="1" applyBorder="1" applyAlignment="1">
      <alignment vertical="top" wrapText="1"/>
    </xf>
    <xf numFmtId="175" fontId="64" fillId="8" borderId="2" xfId="38" applyNumberFormat="1" applyFont="1" applyFill="1" applyBorder="1" applyAlignment="1">
      <alignment horizontal="right" vertical="top" wrapText="1"/>
    </xf>
    <xf numFmtId="2" fontId="64" fillId="0" borderId="2" xfId="38" applyNumberFormat="1" applyFont="1" applyFill="1" applyBorder="1" applyAlignment="1">
      <alignment horizontal="right" vertical="top" wrapText="1"/>
    </xf>
    <xf numFmtId="2" fontId="64" fillId="8" borderId="2" xfId="39" applyNumberFormat="1" applyFont="1" applyFill="1" applyBorder="1" applyAlignment="1">
      <alignment vertical="top" wrapText="1"/>
    </xf>
    <xf numFmtId="179" fontId="64" fillId="0" borderId="2" xfId="38" applyNumberFormat="1" applyFont="1" applyFill="1" applyBorder="1" applyAlignment="1">
      <alignment vertical="top" wrapText="1"/>
    </xf>
    <xf numFmtId="175" fontId="64" fillId="0" borderId="2" xfId="0" applyNumberFormat="1" applyFont="1" applyFill="1" applyBorder="1" applyAlignment="1">
      <alignment vertical="top"/>
    </xf>
    <xf numFmtId="175" fontId="64" fillId="0" borderId="2" xfId="38" applyNumberFormat="1" applyFont="1" applyFill="1" applyBorder="1" applyAlignment="1">
      <alignment horizontal="right" vertical="top" wrapText="1"/>
    </xf>
    <xf numFmtId="0" fontId="70" fillId="8" borderId="2" xfId="0" applyNumberFormat="1" applyFont="1" applyFill="1" applyBorder="1" applyAlignment="1">
      <alignment horizontal="left" vertical="top" wrapText="1"/>
    </xf>
    <xf numFmtId="168" fontId="70" fillId="0" borderId="2" xfId="0" applyFont="1" applyFill="1" applyBorder="1" applyAlignment="1">
      <alignment horizontal="center" vertical="top" wrapText="1"/>
    </xf>
    <xf numFmtId="168" fontId="70" fillId="8" borderId="2" xfId="0" applyFont="1" applyFill="1" applyBorder="1" applyAlignment="1">
      <alignment horizontal="center" vertical="top"/>
    </xf>
    <xf numFmtId="2" fontId="64" fillId="8" borderId="2" xfId="38" applyNumberFormat="1" applyFont="1" applyFill="1" applyBorder="1" applyAlignment="1">
      <alignment horizontal="center" wrapText="1"/>
    </xf>
    <xf numFmtId="2" fontId="64" fillId="8" borderId="2" xfId="39" applyNumberFormat="1" applyFont="1" applyFill="1" applyBorder="1" applyAlignment="1">
      <alignment horizontal="left" vertical="center" wrapText="1"/>
    </xf>
    <xf numFmtId="2" fontId="64" fillId="8" borderId="2" xfId="41" applyNumberFormat="1" applyFont="1" applyFill="1" applyBorder="1" applyAlignment="1">
      <alignment horizontal="right" vertical="top" wrapText="1"/>
    </xf>
    <xf numFmtId="2" fontId="64" fillId="8" borderId="2" xfId="39" applyNumberFormat="1" applyFont="1" applyFill="1" applyBorder="1" applyAlignment="1">
      <alignment horizontal="center" vertical="top" wrapText="1"/>
    </xf>
    <xf numFmtId="2" fontId="64" fillId="8" borderId="2" xfId="39" applyNumberFormat="1" applyFont="1" applyFill="1" applyBorder="1" applyAlignment="1">
      <alignment horizontal="right" vertical="center" wrapText="1"/>
    </xf>
    <xf numFmtId="2" fontId="64" fillId="8" borderId="2" xfId="39" applyNumberFormat="1" applyFont="1" applyFill="1" applyBorder="1" applyAlignment="1">
      <alignment horizontal="center" wrapText="1"/>
    </xf>
    <xf numFmtId="2" fontId="90" fillId="8" borderId="2" xfId="39" applyNumberFormat="1" applyFont="1" applyFill="1" applyBorder="1" applyAlignment="1">
      <alignment vertical="top" wrapText="1"/>
    </xf>
    <xf numFmtId="168" fontId="146" fillId="9" borderId="2" xfId="0" applyFont="1" applyFill="1" applyBorder="1" applyAlignment="1">
      <alignment vertical="top" wrapText="1"/>
    </xf>
    <xf numFmtId="2" fontId="146" fillId="0" borderId="2" xfId="38" applyNumberFormat="1" applyFont="1" applyFill="1" applyBorder="1" applyAlignment="1">
      <alignment horizontal="center" vertical="top" wrapText="1"/>
    </xf>
    <xf numFmtId="175" fontId="64" fillId="14" borderId="2" xfId="38" applyNumberFormat="1" applyFont="1" applyFill="1" applyBorder="1" applyAlignment="1">
      <alignment vertical="top" wrapText="1"/>
    </xf>
    <xf numFmtId="2" fontId="64" fillId="14" borderId="2" xfId="38" applyNumberFormat="1" applyFont="1" applyFill="1" applyBorder="1" applyAlignment="1">
      <alignment vertical="top" wrapText="1"/>
    </xf>
    <xf numFmtId="168" fontId="64" fillId="14" borderId="2" xfId="0" applyFont="1" applyFill="1" applyBorder="1" applyAlignment="1">
      <alignment vertical="top" wrapText="1"/>
    </xf>
    <xf numFmtId="2" fontId="64" fillId="14" borderId="2" xfId="38" applyNumberFormat="1" applyFont="1" applyFill="1" applyBorder="1" applyAlignment="1">
      <alignment horizontal="center" vertical="top" wrapText="1"/>
    </xf>
    <xf numFmtId="175" fontId="64" fillId="14" borderId="2" xfId="38" applyNumberFormat="1" applyFont="1" applyFill="1" applyBorder="1" applyAlignment="1">
      <alignment horizontal="right" vertical="top" wrapText="1"/>
    </xf>
    <xf numFmtId="168" fontId="64" fillId="14" borderId="2" xfId="0" applyFont="1" applyFill="1" applyBorder="1" applyAlignment="1">
      <alignment vertical="top"/>
    </xf>
    <xf numFmtId="168" fontId="64" fillId="8" borderId="2" xfId="0" applyFont="1" applyFill="1" applyBorder="1" applyAlignment="1">
      <alignment horizontal="center" vertical="top" wrapText="1"/>
    </xf>
    <xf numFmtId="2" fontId="64" fillId="9" borderId="2" xfId="38" applyNumberFormat="1" applyFont="1" applyFill="1" applyBorder="1" applyAlignment="1">
      <alignment vertical="top" wrapText="1"/>
    </xf>
    <xf numFmtId="2" fontId="64" fillId="0" borderId="2" xfId="39" applyNumberFormat="1" applyFont="1" applyBorder="1" applyAlignment="1">
      <alignment vertical="top" wrapText="1"/>
    </xf>
    <xf numFmtId="1" fontId="64" fillId="0" borderId="2" xfId="38" applyNumberFormat="1" applyFont="1" applyFill="1" applyBorder="1" applyAlignment="1">
      <alignment horizontal="right" vertical="top" wrapText="1"/>
    </xf>
    <xf numFmtId="2" fontId="64" fillId="0" borderId="2" xfId="0" applyNumberFormat="1" applyFont="1" applyFill="1" applyBorder="1" applyAlignment="1">
      <alignment horizontal="center" vertical="top" wrapText="1"/>
    </xf>
    <xf numFmtId="168" fontId="64" fillId="0" borderId="2" xfId="0" applyFont="1" applyFill="1" applyBorder="1" applyAlignment="1">
      <alignment horizontal="center" vertical="top" wrapText="1"/>
    </xf>
    <xf numFmtId="1" fontId="64" fillId="8" borderId="2" xfId="38" applyNumberFormat="1" applyFont="1" applyFill="1" applyBorder="1" applyAlignment="1">
      <alignment horizontal="center" vertical="top" wrapText="1"/>
    </xf>
    <xf numFmtId="2" fontId="70" fillId="14" borderId="2" xfId="38" applyNumberFormat="1" applyFont="1" applyFill="1" applyBorder="1" applyAlignment="1">
      <alignment vertical="top" wrapText="1"/>
    </xf>
    <xf numFmtId="168" fontId="64" fillId="14" borderId="2" xfId="0" applyFont="1" applyFill="1" applyBorder="1" applyAlignment="1">
      <alignment horizontal="right" wrapText="1"/>
    </xf>
    <xf numFmtId="168" fontId="64" fillId="14" borderId="2" xfId="0" applyFont="1" applyFill="1" applyBorder="1" applyAlignment="1">
      <alignment horizontal="center" wrapText="1"/>
    </xf>
    <xf numFmtId="1" fontId="64" fillId="0" borderId="2" xfId="38" applyNumberFormat="1" applyFont="1" applyFill="1" applyBorder="1" applyAlignment="1">
      <alignment vertical="top" wrapText="1"/>
    </xf>
    <xf numFmtId="1" fontId="64" fillId="0" borderId="2" xfId="38" applyNumberFormat="1" applyFont="1" applyFill="1" applyBorder="1" applyAlignment="1">
      <alignment horizontal="center" vertical="top" wrapText="1"/>
    </xf>
    <xf numFmtId="2" fontId="70" fillId="9" borderId="2" xfId="39" applyNumberFormat="1" applyFont="1" applyFill="1" applyBorder="1" applyAlignment="1">
      <alignment horizontal="left" vertical="center" wrapText="1"/>
    </xf>
    <xf numFmtId="168" fontId="64" fillId="9" borderId="2" xfId="0" applyFont="1" applyFill="1" applyBorder="1" applyAlignment="1">
      <alignment horizontal="center" vertical="top" wrapText="1"/>
    </xf>
    <xf numFmtId="2" fontId="64" fillId="9" borderId="2" xfId="39" applyNumberFormat="1" applyFont="1" applyFill="1" applyBorder="1" applyAlignment="1">
      <alignment horizontal="left" vertical="center" wrapText="1"/>
    </xf>
    <xf numFmtId="2" fontId="64" fillId="15" borderId="2" xfId="39" applyNumberFormat="1" applyFont="1" applyFill="1" applyBorder="1" applyAlignment="1">
      <alignment vertical="top" wrapText="1"/>
    </xf>
    <xf numFmtId="168" fontId="64" fillId="8" borderId="2" xfId="13" applyNumberFormat="1" applyFont="1" applyFill="1" applyBorder="1" applyAlignment="1">
      <alignment horizontal="center" vertical="top" wrapText="1"/>
    </xf>
    <xf numFmtId="2" fontId="70" fillId="9" borderId="2" xfId="39" applyNumberFormat="1" applyFont="1" applyFill="1" applyBorder="1" applyAlignment="1">
      <alignment vertical="top" wrapText="1"/>
    </xf>
    <xf numFmtId="168" fontId="70" fillId="9" borderId="2" xfId="0" applyFont="1" applyFill="1" applyBorder="1" applyAlignment="1">
      <alignment vertical="top"/>
    </xf>
    <xf numFmtId="2" fontId="70" fillId="9" borderId="2" xfId="38" applyNumberFormat="1" applyFont="1" applyFill="1" applyBorder="1" applyAlignment="1">
      <alignment vertical="top" wrapText="1"/>
    </xf>
    <xf numFmtId="0" fontId="64" fillId="8" borderId="2" xfId="13" applyNumberFormat="1" applyFont="1" applyFill="1" applyBorder="1" applyAlignment="1">
      <alignment horizontal="left" vertical="center" wrapText="1"/>
    </xf>
    <xf numFmtId="2" fontId="147" fillId="8" borderId="2" xfId="41" applyNumberFormat="1" applyFont="1" applyFill="1" applyBorder="1" applyAlignment="1">
      <alignment horizontal="right" vertical="top" wrapText="1"/>
    </xf>
    <xf numFmtId="0" fontId="64" fillId="8" borderId="2" xfId="13" applyNumberFormat="1" applyFont="1" applyFill="1" applyBorder="1" applyAlignment="1">
      <alignment horizontal="center" vertical="top" wrapText="1"/>
    </xf>
    <xf numFmtId="175" fontId="70" fillId="8" borderId="2" xfId="38" applyNumberFormat="1" applyFont="1" applyFill="1" applyBorder="1" applyAlignment="1">
      <alignment vertical="top" wrapText="1"/>
    </xf>
    <xf numFmtId="2" fontId="70" fillId="8" borderId="2" xfId="39" applyNumberFormat="1" applyFont="1" applyFill="1" applyBorder="1" applyAlignment="1">
      <alignment horizontal="left" vertical="center" wrapText="1"/>
    </xf>
    <xf numFmtId="2" fontId="70" fillId="8" borderId="2" xfId="41" applyNumberFormat="1" applyFont="1" applyFill="1" applyBorder="1" applyAlignment="1">
      <alignment horizontal="right" vertical="top" wrapText="1"/>
    </xf>
    <xf numFmtId="2" fontId="70" fillId="8" borderId="2" xfId="39" applyNumberFormat="1" applyFont="1" applyFill="1" applyBorder="1" applyAlignment="1">
      <alignment horizontal="center" vertical="top" wrapText="1"/>
    </xf>
    <xf numFmtId="2" fontId="65" fillId="8" borderId="2" xfId="39" applyNumberFormat="1" applyFont="1" applyFill="1" applyBorder="1" applyAlignment="1">
      <alignment vertical="top" wrapText="1"/>
    </xf>
    <xf numFmtId="168" fontId="65" fillId="8" borderId="2" xfId="0" applyFont="1" applyFill="1" applyBorder="1" applyAlignment="1">
      <alignment vertical="top"/>
    </xf>
    <xf numFmtId="168" fontId="65" fillId="8" borderId="2" xfId="0" applyFont="1" applyFill="1" applyBorder="1" applyAlignment="1">
      <alignment horizontal="center" vertical="top"/>
    </xf>
    <xf numFmtId="2" fontId="146" fillId="8" borderId="2" xfId="38" applyNumberFormat="1" applyFont="1" applyFill="1" applyBorder="1" applyAlignment="1">
      <alignment horizontal="left" vertical="center" wrapText="1"/>
    </xf>
    <xf numFmtId="2" fontId="146" fillId="8" borderId="2" xfId="41" applyNumberFormat="1" applyFont="1" applyFill="1" applyBorder="1" applyAlignment="1">
      <alignment horizontal="right" vertical="top" wrapText="1"/>
    </xf>
    <xf numFmtId="2" fontId="146" fillId="8" borderId="2" xfId="38" applyNumberFormat="1" applyFont="1" applyFill="1" applyBorder="1" applyAlignment="1">
      <alignment horizontal="left" vertical="top" wrapText="1"/>
    </xf>
    <xf numFmtId="2" fontId="146" fillId="9" borderId="2" xfId="41" applyNumberFormat="1" applyFont="1" applyFill="1" applyBorder="1" applyAlignment="1">
      <alignment horizontal="right" vertical="top" wrapText="1"/>
    </xf>
    <xf numFmtId="2" fontId="70" fillId="0" borderId="2" xfId="39" applyNumberFormat="1" applyFont="1" applyFill="1" applyBorder="1" applyAlignment="1">
      <alignment vertical="top" wrapText="1"/>
    </xf>
    <xf numFmtId="2" fontId="64" fillId="9" borderId="2" xfId="39" applyNumberFormat="1" applyFont="1" applyFill="1" applyBorder="1" applyAlignment="1">
      <alignment vertical="top" wrapText="1"/>
    </xf>
    <xf numFmtId="2" fontId="64" fillId="0" borderId="2" xfId="41" applyNumberFormat="1" applyFont="1" applyFill="1" applyBorder="1" applyAlignment="1">
      <alignment horizontal="right" vertical="top" wrapText="1"/>
    </xf>
    <xf numFmtId="2" fontId="64" fillId="0" borderId="2" xfId="38" applyNumberFormat="1" applyFont="1" applyFill="1" applyBorder="1" applyAlignment="1">
      <alignment horizontal="center" vertical="center" wrapText="1"/>
    </xf>
    <xf numFmtId="2" fontId="64" fillId="0" borderId="2" xfId="39" applyNumberFormat="1" applyFont="1" applyFill="1" applyBorder="1" applyAlignment="1">
      <alignment vertical="top" wrapText="1"/>
    </xf>
    <xf numFmtId="2" fontId="167" fillId="8" borderId="2" xfId="38" applyNumberFormat="1" applyFont="1" applyFill="1" applyBorder="1" applyAlignment="1">
      <alignment vertical="top" wrapText="1"/>
    </xf>
    <xf numFmtId="2" fontId="70" fillId="8" borderId="2" xfId="38" applyNumberFormat="1" applyFont="1" applyFill="1" applyBorder="1" applyAlignment="1">
      <alignment vertical="center" wrapText="1"/>
    </xf>
    <xf numFmtId="2" fontId="167" fillId="8" borderId="2" xfId="38" applyNumberFormat="1" applyFont="1" applyFill="1" applyBorder="1" applyAlignment="1">
      <alignment vertical="center" wrapText="1"/>
    </xf>
    <xf numFmtId="2" fontId="64" fillId="8" borderId="2" xfId="38" applyNumberFormat="1" applyFont="1" applyFill="1" applyBorder="1" applyAlignment="1">
      <alignment vertical="center" wrapText="1"/>
    </xf>
    <xf numFmtId="168" fontId="167" fillId="8" borderId="2" xfId="0" applyFont="1" applyFill="1" applyBorder="1" applyAlignment="1">
      <alignment vertical="top"/>
    </xf>
    <xf numFmtId="2" fontId="147" fillId="8" borderId="2" xfId="38" applyNumberFormat="1" applyFont="1" applyFill="1" applyBorder="1" applyAlignment="1">
      <alignment vertical="top" wrapText="1"/>
    </xf>
    <xf numFmtId="168" fontId="91" fillId="8" borderId="2" xfId="0" applyFont="1" applyFill="1" applyBorder="1" applyAlignment="1">
      <alignment horizontal="right" vertical="center" wrapText="1"/>
    </xf>
    <xf numFmtId="2" fontId="91" fillId="8" borderId="2" xfId="38" applyNumberFormat="1" applyFont="1" applyFill="1" applyBorder="1" applyAlignment="1">
      <alignment horizontal="center" vertical="center" wrapText="1"/>
    </xf>
    <xf numFmtId="2" fontId="64" fillId="0" borderId="2" xfId="38" applyNumberFormat="1" applyFont="1" applyFill="1" applyBorder="1" applyAlignment="1">
      <alignment horizontal="left" vertical="top" wrapText="1"/>
    </xf>
    <xf numFmtId="170" fontId="146" fillId="8" borderId="2" xfId="0" applyNumberFormat="1" applyFont="1" applyFill="1" applyBorder="1" applyAlignment="1">
      <alignment horizontal="right" vertical="top" wrapText="1"/>
    </xf>
    <xf numFmtId="170" fontId="89" fillId="8" borderId="2" xfId="0" applyNumberFormat="1" applyFont="1" applyFill="1" applyBorder="1" applyAlignment="1">
      <alignment horizontal="right" vertical="top"/>
    </xf>
    <xf numFmtId="168" fontId="146" fillId="8" borderId="17" xfId="0" applyFont="1" applyFill="1" applyBorder="1" applyAlignment="1">
      <alignment horizontal="right" vertical="top" wrapText="1"/>
    </xf>
    <xf numFmtId="170" fontId="146" fillId="8" borderId="17" xfId="0" applyNumberFormat="1" applyFont="1" applyFill="1" applyBorder="1" applyAlignment="1">
      <alignment horizontal="right" vertical="top" wrapText="1"/>
    </xf>
    <xf numFmtId="170" fontId="89" fillId="8" borderId="17" xfId="0" applyNumberFormat="1" applyFont="1" applyFill="1" applyBorder="1" applyAlignment="1">
      <alignment horizontal="right" vertical="top"/>
    </xf>
    <xf numFmtId="168" fontId="89" fillId="8" borderId="17" xfId="0" applyFont="1" applyFill="1" applyBorder="1" applyAlignment="1">
      <alignment horizontal="right" vertical="top"/>
    </xf>
    <xf numFmtId="170" fontId="146" fillId="8" borderId="0" xfId="0" applyNumberFormat="1" applyFont="1" applyFill="1" applyBorder="1" applyAlignment="1">
      <alignment horizontal="right" vertical="top" wrapText="1"/>
    </xf>
    <xf numFmtId="170" fontId="89" fillId="8" borderId="0" xfId="0" applyNumberFormat="1" applyFont="1" applyFill="1" applyAlignment="1">
      <alignment horizontal="right" vertical="top"/>
    </xf>
    <xf numFmtId="170" fontId="64" fillId="8" borderId="0" xfId="0" applyNumberFormat="1" applyFont="1" applyFill="1" applyAlignment="1">
      <alignment vertical="top"/>
    </xf>
    <xf numFmtId="170" fontId="64" fillId="8" borderId="2" xfId="0" applyNumberFormat="1" applyFont="1" applyFill="1" applyBorder="1" applyAlignment="1">
      <alignment horizontal="right" vertical="top"/>
    </xf>
    <xf numFmtId="168" fontId="0" fillId="0" borderId="0" xfId="0" applyAlignment="1">
      <alignment vertical="center"/>
    </xf>
    <xf numFmtId="0" fontId="25" fillId="0" borderId="1" xfId="47" applyFont="1" applyBorder="1" applyAlignment="1">
      <alignment horizontal="center" vertical="center" wrapText="1"/>
    </xf>
    <xf numFmtId="2" fontId="42" fillId="0" borderId="1" xfId="47" applyNumberFormat="1" applyFont="1" applyBorder="1" applyAlignment="1">
      <alignment vertical="center" wrapText="1"/>
    </xf>
    <xf numFmtId="2" fontId="41" fillId="0" borderId="1" xfId="47" applyNumberFormat="1" applyFont="1" applyBorder="1" applyAlignment="1">
      <alignment vertical="center" wrapText="1"/>
    </xf>
    <xf numFmtId="0" fontId="7" fillId="0" borderId="1" xfId="47" applyFont="1" applyBorder="1" applyAlignment="1">
      <alignment horizontal="left" vertical="center" wrapText="1"/>
    </xf>
    <xf numFmtId="0" fontId="7" fillId="0" borderId="0" xfId="47" applyFont="1" applyBorder="1" applyAlignment="1">
      <alignment horizontal="center" vertical="center" wrapText="1"/>
    </xf>
    <xf numFmtId="168" fontId="69" fillId="0" borderId="0" xfId="0" applyFont="1" applyFill="1" applyBorder="1" applyAlignment="1">
      <alignment horizontal="right" vertical="center"/>
    </xf>
    <xf numFmtId="168" fontId="178" fillId="0" borderId="0" xfId="0" applyFont="1" applyFill="1" applyBorder="1" applyAlignment="1">
      <alignment horizontal="center" vertical="top"/>
    </xf>
    <xf numFmtId="168" fontId="178" fillId="0" borderId="0" xfId="0" applyFont="1" applyFill="1" applyBorder="1" applyAlignment="1">
      <alignment horizontal="center"/>
    </xf>
    <xf numFmtId="168" fontId="179" fillId="0" borderId="0" xfId="0" applyFont="1" applyFill="1" applyBorder="1" applyAlignment="1">
      <alignment horizontal="center" vertical="top"/>
    </xf>
    <xf numFmtId="168" fontId="179" fillId="0" borderId="0" xfId="0" applyFont="1" applyFill="1" applyBorder="1" applyAlignment="1">
      <alignment horizontal="center" vertical="center"/>
    </xf>
    <xf numFmtId="168" fontId="8" fillId="0" borderId="0" xfId="0" applyFont="1" applyFill="1" applyBorder="1" applyAlignment="1">
      <alignment horizontal="right" vertical="center" wrapText="1"/>
    </xf>
    <xf numFmtId="168" fontId="8" fillId="0" borderId="1" xfId="0" applyFont="1" applyFill="1" applyBorder="1" applyAlignment="1">
      <alignment horizontal="center" vertical="center" wrapText="1"/>
    </xf>
    <xf numFmtId="176" fontId="8" fillId="0" borderId="1" xfId="0" applyNumberFormat="1" applyFont="1" applyFill="1" applyBorder="1" applyAlignment="1">
      <alignment horizontal="center" vertical="center"/>
    </xf>
    <xf numFmtId="176" fontId="137" fillId="0" borderId="1" xfId="0" applyNumberFormat="1" applyFont="1" applyFill="1" applyBorder="1" applyAlignment="1">
      <alignment horizontal="center" vertical="center"/>
    </xf>
    <xf numFmtId="168" fontId="8" fillId="0" borderId="1" xfId="0" applyFont="1" applyFill="1" applyBorder="1" applyAlignment="1">
      <alignment horizontal="center" vertical="center"/>
    </xf>
    <xf numFmtId="168" fontId="8" fillId="0" borderId="1" xfId="0" applyFont="1" applyFill="1" applyBorder="1" applyAlignment="1">
      <alignment horizontal="center" vertical="top" wrapText="1"/>
    </xf>
    <xf numFmtId="168" fontId="180" fillId="0" borderId="0" xfId="0" applyFont="1" applyFill="1" applyBorder="1" applyAlignment="1">
      <alignment horizontal="center"/>
    </xf>
    <xf numFmtId="176" fontId="8" fillId="0" borderId="1" xfId="0" applyNumberFormat="1" applyFont="1" applyFill="1" applyBorder="1" applyAlignment="1">
      <alignment horizontal="center" vertical="top"/>
    </xf>
    <xf numFmtId="168" fontId="136" fillId="0" borderId="1" xfId="0" applyFont="1" applyFill="1" applyBorder="1" applyAlignment="1">
      <alignment horizontal="justify" vertical="center"/>
    </xf>
    <xf numFmtId="168" fontId="8" fillId="0" borderId="1" xfId="0" applyFont="1" applyFill="1" applyBorder="1" applyAlignment="1">
      <alignment horizontal="right" vertical="center"/>
    </xf>
    <xf numFmtId="168" fontId="8" fillId="0" borderId="0" xfId="0" applyFont="1" applyFill="1" applyBorder="1" applyAlignment="1">
      <alignment horizontal="right" vertical="center"/>
    </xf>
    <xf numFmtId="168" fontId="180" fillId="0" borderId="0" xfId="0" applyFont="1" applyFill="1" applyBorder="1" applyAlignment="1">
      <alignment horizontal="center" vertical="top"/>
    </xf>
    <xf numFmtId="168" fontId="180" fillId="0" borderId="0" xfId="0" applyFont="1" applyFill="1" applyBorder="1" applyAlignment="1">
      <alignment horizontal="center" vertical="center" wrapText="1"/>
    </xf>
    <xf numFmtId="175" fontId="24" fillId="0" borderId="1" xfId="47" applyNumberFormat="1" applyFont="1" applyFill="1" applyBorder="1" applyAlignment="1">
      <alignment horizontal="center" vertical="top" wrapText="1"/>
    </xf>
    <xf numFmtId="2" fontId="137" fillId="0" borderId="1" xfId="47" applyNumberFormat="1" applyFont="1" applyFill="1" applyBorder="1" applyAlignment="1">
      <alignment horizontal="justify" vertical="top" wrapText="1"/>
    </xf>
    <xf numFmtId="2" fontId="24" fillId="0" borderId="1" xfId="47" applyNumberFormat="1" applyFont="1" applyFill="1" applyBorder="1" applyAlignment="1">
      <alignment horizontal="right" vertical="top" wrapText="1"/>
    </xf>
    <xf numFmtId="2" fontId="120" fillId="0" borderId="1" xfId="47" applyNumberFormat="1" applyFont="1" applyFill="1" applyBorder="1" applyAlignment="1">
      <alignment horizontal="right" vertical="top" wrapText="1"/>
    </xf>
    <xf numFmtId="2" fontId="120" fillId="0" borderId="0" xfId="47" applyNumberFormat="1" applyFont="1" applyFill="1" applyBorder="1" applyAlignment="1">
      <alignment horizontal="right" vertical="top" wrapText="1"/>
    </xf>
    <xf numFmtId="168" fontId="178" fillId="0" borderId="0" xfId="0" applyFont="1" applyFill="1" applyBorder="1" applyAlignment="1">
      <alignment horizontal="center" vertical="center"/>
    </xf>
    <xf numFmtId="2" fontId="136" fillId="0" borderId="1" xfId="47" applyNumberFormat="1" applyFont="1" applyFill="1" applyBorder="1" applyAlignment="1">
      <alignment horizontal="justify" vertical="top" wrapText="1"/>
    </xf>
    <xf numFmtId="2" fontId="24" fillId="0" borderId="0" xfId="47" applyNumberFormat="1" applyFont="1" applyFill="1" applyBorder="1" applyAlignment="1">
      <alignment horizontal="right" vertical="top" wrapText="1"/>
    </xf>
    <xf numFmtId="168" fontId="72" fillId="0" borderId="0" xfId="0" applyFont="1" applyFill="1" applyBorder="1" applyAlignment="1">
      <alignment horizontal="center"/>
    </xf>
    <xf numFmtId="2" fontId="8" fillId="0" borderId="1" xfId="47" applyNumberFormat="1" applyFont="1" applyFill="1" applyBorder="1" applyAlignment="1">
      <alignment horizontal="right" vertical="top" wrapText="1"/>
    </xf>
    <xf numFmtId="168" fontId="178" fillId="0" borderId="0" xfId="0" applyFont="1" applyFill="1" applyBorder="1" applyAlignment="1">
      <alignment horizontal="right"/>
    </xf>
    <xf numFmtId="176" fontId="178" fillId="0" borderId="0" xfId="0" applyNumberFormat="1" applyFont="1" applyFill="1" applyBorder="1" applyAlignment="1">
      <alignment horizontal="center" vertical="top"/>
    </xf>
    <xf numFmtId="168" fontId="181" fillId="0" borderId="0" xfId="0" applyFont="1" applyFill="1" applyBorder="1" applyAlignment="1">
      <alignment horizontal="justify"/>
    </xf>
    <xf numFmtId="2" fontId="200" fillId="8" borderId="2" xfId="38" applyNumberFormat="1" applyFont="1" applyFill="1" applyBorder="1" applyAlignment="1">
      <alignment vertical="top" wrapText="1"/>
    </xf>
    <xf numFmtId="170" fontId="70" fillId="8" borderId="2" xfId="0" applyNumberFormat="1" applyFont="1" applyFill="1" applyBorder="1" applyAlignment="1">
      <alignment horizontal="center" vertical="center" wrapText="1"/>
    </xf>
    <xf numFmtId="0" fontId="7" fillId="0" borderId="1" xfId="47" applyFont="1" applyBorder="1" applyAlignment="1">
      <alignment horizontal="center" vertical="center" wrapText="1"/>
    </xf>
    <xf numFmtId="175" fontId="25" fillId="0" borderId="1" xfId="47" applyNumberFormat="1" applyFont="1" applyBorder="1" applyAlignment="1">
      <alignment horizontal="center" vertical="center" wrapText="1"/>
    </xf>
    <xf numFmtId="168" fontId="19" fillId="0" borderId="0" xfId="0" applyNumberFormat="1" applyFont="1" applyAlignment="1">
      <alignment horizontal="center"/>
    </xf>
    <xf numFmtId="168" fontId="0" fillId="0" borderId="0" xfId="0" applyNumberFormat="1" applyAlignment="1" applyProtection="1">
      <alignment horizontal="center"/>
    </xf>
    <xf numFmtId="168" fontId="0" fillId="0" borderId="0" xfId="0" applyAlignment="1">
      <alignment horizontal="center"/>
    </xf>
    <xf numFmtId="169" fontId="0" fillId="0" borderId="0" xfId="0" applyNumberFormat="1" applyFont="1" applyAlignment="1" applyProtection="1">
      <alignment horizontal="left" wrapText="1"/>
    </xf>
    <xf numFmtId="169" fontId="0" fillId="0" borderId="0" xfId="0" applyNumberFormat="1" applyFont="1" applyAlignment="1" applyProtection="1">
      <alignment horizontal="left"/>
    </xf>
    <xf numFmtId="168" fontId="18" fillId="9" borderId="0" xfId="0" applyNumberFormat="1" applyFont="1" applyFill="1" applyAlignment="1" applyProtection="1"/>
    <xf numFmtId="168" fontId="18" fillId="9" borderId="0" xfId="0" applyNumberFormat="1" applyFont="1" applyFill="1" applyAlignment="1" applyProtection="1">
      <alignment horizontal="left"/>
    </xf>
    <xf numFmtId="168" fontId="25" fillId="9" borderId="0" xfId="0" applyNumberFormat="1" applyFont="1" applyFill="1" applyAlignment="1"/>
    <xf numFmtId="168" fontId="25" fillId="9" borderId="0" xfId="0" applyNumberFormat="1" applyFont="1" applyFill="1"/>
    <xf numFmtId="168" fontId="25" fillId="9" borderId="0" xfId="0" applyNumberFormat="1" applyFont="1" applyFill="1" applyAlignment="1" applyProtection="1">
      <alignment horizontal="left"/>
    </xf>
    <xf numFmtId="176" fontId="120" fillId="8" borderId="1" xfId="47" applyNumberFormat="1" applyFont="1" applyFill="1" applyBorder="1" applyAlignment="1">
      <alignment horizontal="center" vertical="top" wrapText="1"/>
    </xf>
    <xf numFmtId="0" fontId="25" fillId="0" borderId="1" xfId="47" applyFont="1" applyBorder="1" applyAlignment="1">
      <alignment horizontal="left" vertical="center" wrapText="1"/>
    </xf>
    <xf numFmtId="2" fontId="25" fillId="0" borderId="1" xfId="47" applyNumberFormat="1" applyFont="1" applyBorder="1" applyAlignment="1">
      <alignment horizontal="center" vertical="center" wrapText="1"/>
    </xf>
    <xf numFmtId="2" fontId="25" fillId="0" borderId="1" xfId="47" applyNumberFormat="1" applyFont="1" applyBorder="1" applyAlignment="1">
      <alignment vertical="center" wrapText="1"/>
    </xf>
    <xf numFmtId="2" fontId="7" fillId="0" borderId="1" xfId="47" applyNumberFormat="1" applyFont="1" applyBorder="1" applyAlignment="1">
      <alignment vertical="center" wrapText="1"/>
    </xf>
    <xf numFmtId="175" fontId="25" fillId="0" borderId="1" xfId="47" applyNumberFormat="1" applyFont="1" applyBorder="1" applyAlignment="1">
      <alignment vertical="center" wrapText="1"/>
    </xf>
    <xf numFmtId="168" fontId="22" fillId="0" borderId="1" xfId="0" applyFont="1" applyBorder="1" applyAlignment="1">
      <alignment vertical="center"/>
    </xf>
    <xf numFmtId="168" fontId="0" fillId="0" borderId="0" xfId="0" applyNumberFormat="1" applyFont="1"/>
    <xf numFmtId="168" fontId="18" fillId="9" borderId="0" xfId="0" applyNumberFormat="1" applyFont="1" applyFill="1"/>
    <xf numFmtId="168" fontId="18" fillId="9" borderId="0" xfId="0" applyNumberFormat="1" applyFont="1" applyFill="1" applyAlignment="1" applyProtection="1">
      <alignment horizontal="right"/>
    </xf>
    <xf numFmtId="2" fontId="70" fillId="8" borderId="13" xfId="39" applyNumberFormat="1" applyFont="1" applyFill="1" applyBorder="1" applyAlignment="1">
      <alignment vertical="top" wrapText="1"/>
    </xf>
    <xf numFmtId="2" fontId="64" fillId="8" borderId="13" xfId="41" applyNumberFormat="1" applyFont="1" applyFill="1" applyBorder="1" applyAlignment="1">
      <alignment horizontal="right" vertical="top" wrapText="1"/>
    </xf>
    <xf numFmtId="168" fontId="64" fillId="8" borderId="13" xfId="0" applyFont="1" applyFill="1" applyBorder="1" applyAlignment="1">
      <alignment horizontal="center" vertical="top" wrapText="1"/>
    </xf>
    <xf numFmtId="170" fontId="146" fillId="8" borderId="13" xfId="0" applyNumberFormat="1" applyFont="1" applyFill="1" applyBorder="1" applyAlignment="1">
      <alignment horizontal="right" vertical="top" wrapText="1"/>
    </xf>
    <xf numFmtId="168" fontId="64" fillId="0" borderId="2" xfId="0" applyFont="1" applyFill="1" applyBorder="1" applyAlignment="1">
      <alignment horizontal="center" vertical="top"/>
    </xf>
    <xf numFmtId="2" fontId="64" fillId="0" borderId="2" xfId="37" applyNumberFormat="1" applyFont="1" applyFill="1" applyBorder="1" applyAlignment="1">
      <alignment horizontal="right" vertical="top" wrapText="1"/>
    </xf>
    <xf numFmtId="170" fontId="147" fillId="8" borderId="2" xfId="0" applyNumberFormat="1" applyFont="1" applyFill="1" applyBorder="1" applyAlignment="1">
      <alignment horizontal="right" vertical="top" wrapText="1"/>
    </xf>
    <xf numFmtId="168" fontId="147" fillId="8" borderId="2" xfId="0" applyFont="1" applyFill="1" applyBorder="1" applyAlignment="1">
      <alignment vertical="top" wrapText="1"/>
    </xf>
    <xf numFmtId="170" fontId="147" fillId="8" borderId="13" xfId="0" applyNumberFormat="1" applyFont="1" applyFill="1" applyBorder="1" applyAlignment="1">
      <alignment horizontal="right" vertical="top" wrapText="1"/>
    </xf>
    <xf numFmtId="168" fontId="146" fillId="9" borderId="2" xfId="0" applyFont="1" applyFill="1" applyBorder="1" applyAlignment="1">
      <alignment horizontal="right" vertical="top" wrapText="1"/>
    </xf>
    <xf numFmtId="2" fontId="64" fillId="8" borderId="2" xfId="124" applyNumberFormat="1" applyFont="1" applyFill="1" applyBorder="1" applyAlignment="1">
      <alignment vertical="top" wrapText="1"/>
    </xf>
    <xf numFmtId="0" fontId="64" fillId="8" borderId="2" xfId="93" applyNumberFormat="1" applyFont="1" applyFill="1" applyBorder="1" applyAlignment="1">
      <alignment horizontal="left" vertical="center" wrapText="1"/>
    </xf>
    <xf numFmtId="170" fontId="147" fillId="8" borderId="17" xfId="0" applyNumberFormat="1" applyFont="1" applyFill="1" applyBorder="1" applyAlignment="1">
      <alignment horizontal="right" vertical="top" wrapText="1"/>
    </xf>
    <xf numFmtId="2" fontId="64" fillId="8" borderId="2" xfId="41" applyNumberFormat="1" applyFont="1" applyFill="1" applyBorder="1" applyAlignment="1">
      <alignment horizontal="center" vertical="center" wrapText="1"/>
    </xf>
    <xf numFmtId="168" fontId="64" fillId="8" borderId="2" xfId="95" applyNumberFormat="1" applyFont="1" applyFill="1" applyBorder="1" applyAlignment="1">
      <alignment horizontal="center" vertical="center" wrapText="1"/>
    </xf>
    <xf numFmtId="2" fontId="64" fillId="8" borderId="2" xfId="38" applyNumberFormat="1" applyFont="1" applyFill="1" applyBorder="1" applyAlignment="1">
      <alignment horizontal="center" vertical="center" wrapText="1"/>
    </xf>
    <xf numFmtId="2" fontId="147" fillId="8" borderId="2" xfId="41" applyNumberFormat="1" applyFont="1" applyFill="1" applyBorder="1" applyAlignment="1">
      <alignment horizontal="center" vertical="center" wrapText="1"/>
    </xf>
    <xf numFmtId="0" fontId="64" fillId="8" borderId="2" xfId="95" applyNumberFormat="1" applyFont="1" applyFill="1" applyBorder="1" applyAlignment="1">
      <alignment horizontal="left" vertical="center" wrapText="1"/>
    </xf>
    <xf numFmtId="2" fontId="64" fillId="8" borderId="2" xfId="124" applyNumberFormat="1" applyFont="1" applyFill="1" applyBorder="1" applyAlignment="1">
      <alignment horizontal="center" vertical="top" wrapText="1"/>
    </xf>
    <xf numFmtId="168" fontId="64" fillId="8" borderId="2" xfId="0" applyFont="1" applyFill="1" applyBorder="1" applyAlignment="1">
      <alignment horizontal="center" vertical="center" wrapText="1"/>
    </xf>
    <xf numFmtId="175" fontId="25" fillId="0" borderId="1" xfId="47" applyNumberFormat="1" applyFont="1" applyBorder="1" applyAlignment="1">
      <alignment horizontal="center" vertical="center" wrapText="1"/>
    </xf>
    <xf numFmtId="168" fontId="162" fillId="0" borderId="0" xfId="0" applyNumberFormat="1" applyFont="1" applyAlignment="1" applyProtection="1">
      <alignment horizontal="right"/>
    </xf>
    <xf numFmtId="168" fontId="94" fillId="0" borderId="0" xfId="0" applyFont="1" applyFill="1" applyBorder="1" applyAlignment="1">
      <alignment horizontal="right" vertical="top"/>
    </xf>
    <xf numFmtId="168" fontId="97" fillId="0" borderId="0" xfId="0" applyFont="1" applyFill="1" applyAlignment="1">
      <alignment vertical="top"/>
    </xf>
    <xf numFmtId="168" fontId="95" fillId="0" borderId="0" xfId="0" applyNumberFormat="1" applyFont="1" applyFill="1" applyAlignment="1" applyProtection="1">
      <alignment horizontal="left" vertical="top"/>
    </xf>
    <xf numFmtId="168" fontId="0" fillId="0" borderId="0" xfId="0" applyFill="1" applyAlignment="1">
      <alignment vertical="top"/>
    </xf>
    <xf numFmtId="172" fontId="95" fillId="0" borderId="0" xfId="0" applyNumberFormat="1" applyFont="1" applyFill="1" applyAlignment="1">
      <alignment vertical="top"/>
    </xf>
    <xf numFmtId="172" fontId="95" fillId="0" borderId="0" xfId="0" applyNumberFormat="1" applyFont="1" applyFill="1" applyAlignment="1" applyProtection="1">
      <alignment horizontal="left" vertical="top"/>
    </xf>
    <xf numFmtId="173" fontId="95" fillId="0" borderId="0" xfId="0" applyNumberFormat="1" applyFont="1" applyFill="1" applyAlignment="1">
      <alignment vertical="top"/>
    </xf>
    <xf numFmtId="173" fontId="94" fillId="0" borderId="0" xfId="0" applyNumberFormat="1" applyFont="1" applyFill="1" applyAlignment="1">
      <alignment vertical="top"/>
    </xf>
    <xf numFmtId="174" fontId="95" fillId="0" borderId="0" xfId="0" applyNumberFormat="1" applyFont="1" applyFill="1" applyAlignment="1" applyProtection="1">
      <alignment vertical="top"/>
    </xf>
    <xf numFmtId="168" fontId="95" fillId="0" borderId="0" xfId="0" applyNumberFormat="1" applyFont="1" applyFill="1" applyAlignment="1">
      <alignment vertical="top"/>
    </xf>
    <xf numFmtId="168" fontId="95" fillId="0" borderId="0" xfId="0" applyNumberFormat="1" applyFont="1" applyFill="1" applyAlignment="1" applyProtection="1">
      <alignment horizontal="left" vertical="top" wrapText="1"/>
    </xf>
    <xf numFmtId="168" fontId="95" fillId="0" borderId="0" xfId="0" applyNumberFormat="1" applyFont="1" applyFill="1" applyAlignment="1">
      <alignment horizontal="center" vertical="top"/>
    </xf>
    <xf numFmtId="168" fontId="95" fillId="0" borderId="0" xfId="0" applyFont="1" applyFill="1" applyAlignment="1">
      <alignment horizontal="center" vertical="top"/>
    </xf>
    <xf numFmtId="0" fontId="64" fillId="0" borderId="2" xfId="0" applyNumberFormat="1" applyFont="1" applyFill="1" applyBorder="1" applyAlignment="1">
      <alignment horizontal="left" vertical="top" wrapText="1"/>
    </xf>
    <xf numFmtId="168" fontId="97" fillId="0" borderId="0" xfId="0" applyFont="1" applyAlignment="1">
      <alignment horizontal="fill"/>
    </xf>
    <xf numFmtId="2" fontId="25" fillId="0" borderId="0" xfId="47" applyNumberFormat="1" applyFont="1" applyFill="1" applyBorder="1" applyAlignment="1">
      <alignment vertical="center" wrapText="1"/>
    </xf>
    <xf numFmtId="168" fontId="97" fillId="0" borderId="0" xfId="0" applyFont="1" applyAlignment="1">
      <alignment wrapText="1"/>
    </xf>
    <xf numFmtId="168" fontId="97" fillId="0" borderId="0" xfId="0" applyFont="1" applyAlignment="1">
      <alignment vertical="top" wrapText="1"/>
    </xf>
    <xf numFmtId="0" fontId="64" fillId="8" borderId="2" xfId="93" applyNumberFormat="1" applyFont="1" applyFill="1" applyBorder="1" applyAlignment="1">
      <alignment horizontal="left" vertical="top" wrapText="1"/>
    </xf>
    <xf numFmtId="168" fontId="70" fillId="8" borderId="2" xfId="0" applyFont="1" applyFill="1" applyBorder="1" applyAlignment="1">
      <alignment vertical="center" wrapText="1"/>
    </xf>
    <xf numFmtId="168" fontId="146" fillId="8" borderId="2" xfId="0" applyFont="1" applyFill="1" applyBorder="1" applyAlignment="1">
      <alignment vertical="center" wrapText="1"/>
    </xf>
    <xf numFmtId="170" fontId="146" fillId="8" borderId="2" xfId="0" applyNumberFormat="1" applyFont="1" applyFill="1" applyBorder="1" applyAlignment="1">
      <alignment vertical="center" wrapText="1"/>
    </xf>
    <xf numFmtId="168" fontId="64" fillId="8" borderId="2" xfId="0" applyFont="1" applyFill="1" applyBorder="1" applyAlignment="1">
      <alignment vertical="center" wrapText="1"/>
    </xf>
    <xf numFmtId="168" fontId="144" fillId="8" borderId="2" xfId="0" applyFont="1" applyFill="1" applyBorder="1" applyAlignment="1">
      <alignment vertical="center" wrapText="1"/>
    </xf>
    <xf numFmtId="168" fontId="146" fillId="8" borderId="1" xfId="0" applyFont="1" applyFill="1" applyBorder="1" applyAlignment="1">
      <alignment vertical="center" wrapText="1"/>
    </xf>
    <xf numFmtId="168" fontId="146" fillId="8" borderId="0" xfId="0" applyFont="1" applyFill="1" applyBorder="1" applyAlignment="1">
      <alignment vertical="center" wrapText="1"/>
    </xf>
    <xf numFmtId="168" fontId="151" fillId="8" borderId="0" xfId="0" applyFont="1" applyFill="1" applyAlignment="1">
      <alignment vertical="center"/>
    </xf>
    <xf numFmtId="1" fontId="64" fillId="0" borderId="2" xfId="38" applyNumberFormat="1" applyFont="1" applyFill="1" applyBorder="1" applyAlignment="1">
      <alignment horizontal="center" vertical="center" wrapText="1"/>
    </xf>
    <xf numFmtId="2" fontId="200" fillId="8" borderId="2" xfId="38" applyNumberFormat="1" applyFont="1" applyFill="1" applyBorder="1" applyAlignment="1">
      <alignment horizontal="center" vertical="center" wrapText="1"/>
    </xf>
    <xf numFmtId="168" fontId="10" fillId="0" borderId="0" xfId="0" applyFont="1" applyAlignment="1">
      <alignment vertical="center"/>
    </xf>
    <xf numFmtId="168" fontId="64" fillId="0" borderId="0" xfId="0" applyFont="1" applyFill="1" applyAlignment="1">
      <alignment horizontal="right" vertical="top"/>
    </xf>
    <xf numFmtId="168" fontId="147" fillId="0" borderId="2" xfId="0" applyFont="1" applyFill="1" applyBorder="1" applyAlignment="1">
      <alignment horizontal="right" vertical="top" wrapText="1"/>
    </xf>
    <xf numFmtId="175" fontId="64" fillId="0" borderId="2" xfId="38" applyNumberFormat="1" applyFont="1" applyFill="1" applyBorder="1" applyAlignment="1">
      <alignment horizontal="center" vertical="center" wrapText="1"/>
    </xf>
    <xf numFmtId="2" fontId="64" fillId="8" borderId="2" xfId="38" applyNumberFormat="1" applyFont="1" applyFill="1" applyBorder="1" applyAlignment="1">
      <alignment horizontal="left" vertical="top" wrapText="1"/>
    </xf>
    <xf numFmtId="2" fontId="146" fillId="0" borderId="2" xfId="38" applyNumberFormat="1" applyFont="1" applyFill="1" applyBorder="1" applyAlignment="1">
      <alignment horizontal="left" vertical="top" wrapText="1"/>
    </xf>
    <xf numFmtId="168" fontId="64" fillId="8" borderId="2" xfId="93" applyNumberFormat="1" applyFont="1" applyFill="1" applyBorder="1" applyAlignment="1">
      <alignment horizontal="center" vertical="top" wrapText="1"/>
    </xf>
    <xf numFmtId="168" fontId="64" fillId="0" borderId="2" xfId="0" applyFont="1" applyFill="1" applyBorder="1" applyAlignment="1">
      <alignment horizontal="left" vertical="top" wrapText="1"/>
    </xf>
    <xf numFmtId="0" fontId="64" fillId="0" borderId="2" xfId="37" applyFont="1" applyFill="1" applyBorder="1" applyAlignment="1">
      <alignment horizontal="center" vertical="top" wrapText="1"/>
    </xf>
    <xf numFmtId="2" fontId="24" fillId="0" borderId="0" xfId="47" applyNumberFormat="1" applyFont="1" applyFill="1" applyBorder="1" applyAlignment="1">
      <alignment horizontal="right" vertical="center" wrapText="1"/>
    </xf>
    <xf numFmtId="168" fontId="70" fillId="0" borderId="2" xfId="0" applyFont="1" applyFill="1" applyBorder="1" applyAlignment="1">
      <alignment horizontal="center" vertical="center" wrapText="1"/>
    </xf>
    <xf numFmtId="168" fontId="70" fillId="0" borderId="2" xfId="0" applyFont="1" applyFill="1" applyBorder="1" applyAlignment="1">
      <alignment horizontal="left" vertical="top" wrapText="1"/>
    </xf>
    <xf numFmtId="168" fontId="70" fillId="0" borderId="2" xfId="0" applyFont="1" applyFill="1" applyBorder="1" applyAlignment="1">
      <alignment horizontal="right" vertical="top" wrapText="1"/>
    </xf>
    <xf numFmtId="170" fontId="70" fillId="0" borderId="2" xfId="0" applyNumberFormat="1" applyFont="1" applyFill="1" applyBorder="1" applyAlignment="1">
      <alignment horizontal="right" vertical="top" wrapText="1"/>
    </xf>
    <xf numFmtId="170" fontId="146" fillId="0" borderId="2" xfId="0" applyNumberFormat="1" applyFont="1" applyFill="1" applyBorder="1" applyAlignment="1">
      <alignment horizontal="right" vertical="top" wrapText="1"/>
    </xf>
    <xf numFmtId="170" fontId="64" fillId="0" borderId="2" xfId="0" applyNumberFormat="1" applyFont="1" applyFill="1" applyBorder="1" applyAlignment="1">
      <alignment horizontal="right" vertical="top" wrapText="1"/>
    </xf>
    <xf numFmtId="168" fontId="64" fillId="0" borderId="0" xfId="0" applyFont="1" applyFill="1" applyAlignment="1">
      <alignment horizontal="center" vertical="center"/>
    </xf>
    <xf numFmtId="170" fontId="70" fillId="0" borderId="14" xfId="0" applyNumberFormat="1" applyFont="1" applyFill="1" applyBorder="1" applyAlignment="1">
      <alignment horizontal="center" vertical="center" wrapText="1"/>
    </xf>
    <xf numFmtId="168" fontId="64" fillId="0" borderId="2" xfId="0" applyFont="1" applyFill="1" applyBorder="1" applyAlignment="1">
      <alignment horizontal="right" vertical="top"/>
    </xf>
    <xf numFmtId="170" fontId="64" fillId="0" borderId="2" xfId="0" applyNumberFormat="1" applyFont="1" applyFill="1" applyBorder="1" applyAlignment="1">
      <alignment horizontal="right" vertical="top"/>
    </xf>
    <xf numFmtId="170" fontId="145" fillId="0" borderId="2" xfId="0" applyNumberFormat="1" applyFont="1" applyFill="1" applyBorder="1" applyAlignment="1">
      <alignment horizontal="right" vertical="top"/>
    </xf>
    <xf numFmtId="170" fontId="147" fillId="0" borderId="2" xfId="0" applyNumberFormat="1" applyFont="1" applyFill="1" applyBorder="1" applyAlignment="1">
      <alignment horizontal="right" vertical="top" wrapText="1"/>
    </xf>
    <xf numFmtId="170" fontId="89" fillId="0" borderId="2" xfId="0" applyNumberFormat="1" applyFont="1" applyFill="1" applyBorder="1" applyAlignment="1">
      <alignment horizontal="right" vertical="top"/>
    </xf>
    <xf numFmtId="2" fontId="70" fillId="0" borderId="2" xfId="38" applyNumberFormat="1" applyFont="1" applyFill="1" applyBorder="1" applyAlignment="1">
      <alignment horizontal="left" vertical="top" wrapText="1"/>
    </xf>
    <xf numFmtId="2" fontId="70" fillId="0" borderId="2" xfId="38" applyNumberFormat="1" applyFont="1" applyFill="1" applyBorder="1" applyAlignment="1">
      <alignment horizontal="center" vertical="top" wrapText="1"/>
    </xf>
    <xf numFmtId="168" fontId="147" fillId="0" borderId="2" xfId="0" applyFont="1" applyFill="1" applyBorder="1" applyAlignment="1">
      <alignment horizontal="right" vertical="top"/>
    </xf>
    <xf numFmtId="168" fontId="70" fillId="0" borderId="2" xfId="0" applyFont="1" applyFill="1" applyBorder="1" applyAlignment="1">
      <alignment horizontal="left" vertical="top"/>
    </xf>
    <xf numFmtId="168" fontId="64" fillId="0" borderId="2" xfId="0" applyFont="1" applyFill="1" applyBorder="1" applyAlignment="1">
      <alignment horizontal="left" vertical="top"/>
    </xf>
    <xf numFmtId="168" fontId="64" fillId="0" borderId="2" xfId="0" applyFont="1" applyFill="1" applyBorder="1" applyAlignment="1">
      <alignment horizontal="center" vertical="center"/>
    </xf>
    <xf numFmtId="2" fontId="70" fillId="0" borderId="2" xfId="39" applyNumberFormat="1" applyFont="1" applyFill="1" applyBorder="1" applyAlignment="1">
      <alignment horizontal="left" vertical="top" wrapText="1"/>
    </xf>
    <xf numFmtId="168" fontId="64" fillId="0" borderId="2" xfId="13" applyNumberFormat="1" applyFont="1" applyFill="1" applyBorder="1" applyAlignment="1">
      <alignment horizontal="center" vertical="top" wrapText="1"/>
    </xf>
    <xf numFmtId="2" fontId="64" fillId="0" borderId="2" xfId="39" applyNumberFormat="1" applyFont="1" applyFill="1" applyBorder="1" applyAlignment="1">
      <alignment horizontal="center" vertical="top" wrapText="1"/>
    </xf>
    <xf numFmtId="2" fontId="64" fillId="0" borderId="2" xfId="39" applyNumberFormat="1" applyFont="1" applyFill="1" applyBorder="1" applyAlignment="1">
      <alignment horizontal="left" vertical="top" wrapText="1"/>
    </xf>
    <xf numFmtId="2" fontId="64" fillId="0" borderId="2" xfId="39" applyNumberFormat="1" applyFont="1" applyFill="1" applyBorder="1" applyAlignment="1">
      <alignment horizontal="right" vertical="top" wrapText="1"/>
    </xf>
    <xf numFmtId="168" fontId="64" fillId="0" borderId="2" xfId="95" applyNumberFormat="1" applyFont="1" applyFill="1" applyBorder="1" applyAlignment="1">
      <alignment horizontal="center" vertical="top" wrapText="1"/>
    </xf>
    <xf numFmtId="2" fontId="64" fillId="0" borderId="2" xfId="124" applyNumberFormat="1" applyFont="1" applyFill="1" applyBorder="1" applyAlignment="1">
      <alignment horizontal="left" vertical="top" wrapText="1"/>
    </xf>
    <xf numFmtId="2" fontId="64" fillId="0" borderId="2" xfId="124" applyNumberFormat="1" applyFont="1" applyFill="1" applyBorder="1" applyAlignment="1">
      <alignment horizontal="right" vertical="top" wrapText="1"/>
    </xf>
    <xf numFmtId="2" fontId="64" fillId="0" borderId="2" xfId="124" applyNumberFormat="1" applyFont="1" applyFill="1" applyBorder="1" applyAlignment="1">
      <alignment horizontal="center" vertical="top" wrapText="1"/>
    </xf>
    <xf numFmtId="2" fontId="70" fillId="0" borderId="2" xfId="124" applyNumberFormat="1" applyFont="1" applyFill="1" applyBorder="1" applyAlignment="1">
      <alignment horizontal="left" vertical="top" wrapText="1"/>
    </xf>
    <xf numFmtId="2" fontId="70" fillId="0" borderId="2" xfId="38" applyNumberFormat="1" applyFont="1" applyFill="1" applyBorder="1" applyAlignment="1">
      <alignment horizontal="left" vertical="center" wrapText="1"/>
    </xf>
    <xf numFmtId="168" fontId="144" fillId="0" borderId="2" xfId="0" applyFont="1" applyFill="1" applyBorder="1" applyAlignment="1">
      <alignment horizontal="right" vertical="center" wrapText="1"/>
    </xf>
    <xf numFmtId="170" fontId="144" fillId="0" borderId="2" xfId="0" applyNumberFormat="1" applyFont="1" applyFill="1" applyBorder="1" applyAlignment="1">
      <alignment horizontal="right" vertical="center" wrapText="1"/>
    </xf>
    <xf numFmtId="170" fontId="64" fillId="0" borderId="2" xfId="0" applyNumberFormat="1" applyFont="1" applyFill="1" applyBorder="1" applyAlignment="1">
      <alignment horizontal="right" vertical="center"/>
    </xf>
    <xf numFmtId="168" fontId="64" fillId="0" borderId="0" xfId="0" applyFont="1" applyFill="1" applyAlignment="1">
      <alignment horizontal="right" vertical="center"/>
    </xf>
    <xf numFmtId="2" fontId="64" fillId="0" borderId="1" xfId="38" applyNumberFormat="1" applyFont="1" applyFill="1" applyBorder="1" applyAlignment="1">
      <alignment horizontal="left" vertical="top" wrapText="1"/>
    </xf>
    <xf numFmtId="2" fontId="64" fillId="0" borderId="1" xfId="38" applyNumberFormat="1" applyFont="1" applyFill="1" applyBorder="1" applyAlignment="1">
      <alignment horizontal="center" vertical="top" wrapText="1"/>
    </xf>
    <xf numFmtId="168" fontId="146" fillId="0" borderId="1" xfId="0" applyFont="1" applyFill="1" applyBorder="1" applyAlignment="1">
      <alignment horizontal="right" vertical="top" wrapText="1"/>
    </xf>
    <xf numFmtId="170" fontId="146" fillId="0" borderId="1" xfId="0" applyNumberFormat="1" applyFont="1" applyFill="1" applyBorder="1" applyAlignment="1">
      <alignment horizontal="right" vertical="top" wrapText="1"/>
    </xf>
    <xf numFmtId="168" fontId="64" fillId="0" borderId="13" xfId="0" applyFont="1" applyFill="1" applyBorder="1" applyAlignment="1">
      <alignment horizontal="center" vertical="center"/>
    </xf>
    <xf numFmtId="2" fontId="64" fillId="0" borderId="13" xfId="38" applyNumberFormat="1" applyFont="1" applyFill="1" applyBorder="1" applyAlignment="1">
      <alignment horizontal="left" vertical="top" wrapText="1"/>
    </xf>
    <xf numFmtId="2" fontId="64" fillId="0" borderId="13" xfId="38" applyNumberFormat="1" applyFont="1" applyFill="1" applyBorder="1" applyAlignment="1">
      <alignment horizontal="center" vertical="top" wrapText="1"/>
    </xf>
    <xf numFmtId="170" fontId="147" fillId="0" borderId="13" xfId="0" applyNumberFormat="1" applyFont="1" applyFill="1" applyBorder="1" applyAlignment="1">
      <alignment horizontal="right" vertical="top" wrapText="1"/>
    </xf>
    <xf numFmtId="170" fontId="146" fillId="0" borderId="0" xfId="0" applyNumberFormat="1" applyFont="1" applyFill="1" applyBorder="1" applyAlignment="1">
      <alignment horizontal="right" vertical="top" wrapText="1"/>
    </xf>
    <xf numFmtId="170" fontId="89" fillId="0" borderId="1" xfId="0" applyNumberFormat="1" applyFont="1" applyFill="1" applyBorder="1" applyAlignment="1">
      <alignment horizontal="right" vertical="top"/>
    </xf>
    <xf numFmtId="168" fontId="89" fillId="0" borderId="1" xfId="0" applyFont="1" applyFill="1" applyBorder="1" applyAlignment="1">
      <alignment horizontal="right" vertical="top"/>
    </xf>
    <xf numFmtId="170" fontId="64" fillId="0" borderId="0" xfId="0" applyNumberFormat="1" applyFont="1" applyFill="1" applyAlignment="1">
      <alignment horizontal="right" vertical="top"/>
    </xf>
    <xf numFmtId="170" fontId="89" fillId="0" borderId="0" xfId="0" applyNumberFormat="1" applyFont="1" applyFill="1" applyAlignment="1">
      <alignment horizontal="right" vertical="top"/>
    </xf>
    <xf numFmtId="170" fontId="64" fillId="0" borderId="2" xfId="38" applyNumberFormat="1" applyFont="1" applyFill="1" applyBorder="1" applyAlignment="1">
      <alignment horizontal="right" vertical="top" wrapText="1"/>
    </xf>
    <xf numFmtId="168" fontId="146" fillId="0" borderId="0" xfId="0" applyFont="1" applyFill="1" applyBorder="1" applyAlignment="1">
      <alignment horizontal="right" vertical="top" wrapText="1"/>
    </xf>
    <xf numFmtId="168" fontId="89" fillId="0" borderId="0" xfId="0" applyFont="1" applyFill="1" applyAlignment="1">
      <alignment horizontal="right" vertical="top"/>
    </xf>
    <xf numFmtId="168" fontId="64" fillId="0" borderId="0" xfId="0" applyFont="1" applyFill="1" applyAlignment="1">
      <alignment horizontal="left" vertical="top"/>
    </xf>
    <xf numFmtId="168" fontId="64" fillId="0" borderId="0" xfId="0" applyFont="1" applyFill="1" applyAlignment="1">
      <alignment horizontal="center" vertical="top"/>
    </xf>
    <xf numFmtId="168" fontId="151" fillId="0" borderId="0" xfId="0" applyFont="1" applyFill="1" applyAlignment="1">
      <alignment horizontal="right" vertical="top"/>
    </xf>
    <xf numFmtId="170" fontId="151" fillId="0" borderId="0" xfId="0" applyNumberFormat="1" applyFont="1" applyFill="1" applyAlignment="1">
      <alignment horizontal="right" vertical="top"/>
    </xf>
    <xf numFmtId="170" fontId="146" fillId="0" borderId="0" xfId="0" applyNumberFormat="1" applyFont="1" applyFill="1" applyAlignment="1">
      <alignment horizontal="right" vertical="top"/>
    </xf>
    <xf numFmtId="168" fontId="70" fillId="0" borderId="2" xfId="0" applyFont="1" applyFill="1" applyBorder="1" applyAlignment="1">
      <alignment horizontal="center" vertical="center" wrapText="1"/>
    </xf>
    <xf numFmtId="170" fontId="70" fillId="0" borderId="2" xfId="0" applyNumberFormat="1" applyFont="1" applyFill="1" applyBorder="1" applyAlignment="1">
      <alignment horizontal="center" vertical="center" wrapText="1"/>
    </xf>
    <xf numFmtId="168" fontId="147" fillId="8" borderId="2" xfId="0" applyFont="1" applyFill="1" applyBorder="1" applyAlignment="1">
      <alignment horizontal="center" vertical="center" wrapText="1"/>
    </xf>
    <xf numFmtId="2" fontId="147" fillId="0" borderId="2" xfId="124" applyNumberFormat="1" applyFont="1" applyFill="1" applyBorder="1" applyAlignment="1">
      <alignment horizontal="right" vertical="top" wrapText="1"/>
    </xf>
    <xf numFmtId="168" fontId="146" fillId="10" borderId="2" xfId="0" applyFont="1" applyFill="1" applyBorder="1" applyAlignment="1">
      <alignment horizontal="right" vertical="top" wrapText="1"/>
    </xf>
    <xf numFmtId="168" fontId="64" fillId="10" borderId="0" xfId="0" applyFont="1" applyFill="1" applyAlignment="1">
      <alignment vertical="top"/>
    </xf>
    <xf numFmtId="0" fontId="70" fillId="8" borderId="2" xfId="93" applyNumberFormat="1" applyFont="1" applyFill="1" applyBorder="1" applyAlignment="1">
      <alignment horizontal="left" vertical="center" wrapText="1"/>
    </xf>
    <xf numFmtId="0" fontId="64" fillId="8" borderId="2" xfId="0" applyNumberFormat="1" applyFont="1" applyFill="1" applyBorder="1" applyAlignment="1">
      <alignment horizontal="left" vertical="top" wrapText="1"/>
    </xf>
    <xf numFmtId="2" fontId="64" fillId="8" borderId="2" xfId="0" applyNumberFormat="1" applyFont="1" applyFill="1" applyBorder="1" applyAlignment="1">
      <alignment horizontal="left" vertical="center"/>
    </xf>
    <xf numFmtId="168" fontId="64" fillId="8" borderId="2" xfId="0" applyNumberFormat="1" applyFont="1" applyFill="1" applyBorder="1" applyAlignment="1">
      <alignment horizontal="left" vertical="top" wrapText="1"/>
    </xf>
    <xf numFmtId="168" fontId="64" fillId="8" borderId="2" xfId="0" applyNumberFormat="1" applyFont="1" applyFill="1" applyBorder="1" applyAlignment="1">
      <alignment horizontal="left" vertical="center"/>
    </xf>
    <xf numFmtId="168" fontId="202" fillId="8" borderId="2" xfId="0" applyNumberFormat="1" applyFont="1" applyFill="1" applyBorder="1" applyAlignment="1">
      <alignment horizontal="left" vertical="top" wrapText="1"/>
    </xf>
    <xf numFmtId="168" fontId="203" fillId="8" borderId="2" xfId="0" applyNumberFormat="1" applyFont="1" applyFill="1" applyBorder="1" applyAlignment="1">
      <alignment horizontal="left" vertical="top" wrapText="1"/>
    </xf>
    <xf numFmtId="168" fontId="203" fillId="8" borderId="2" xfId="0" applyNumberFormat="1" applyFont="1" applyFill="1" applyBorder="1" applyAlignment="1">
      <alignment horizontal="left" vertical="center" wrapText="1"/>
    </xf>
    <xf numFmtId="168" fontId="204" fillId="8" borderId="2" xfId="0" applyNumberFormat="1" applyFont="1" applyFill="1" applyBorder="1" applyAlignment="1">
      <alignment horizontal="left" vertical="top" wrapText="1"/>
    </xf>
    <xf numFmtId="168" fontId="70" fillId="8" borderId="2" xfId="0" applyNumberFormat="1" applyFont="1" applyFill="1" applyBorder="1" applyAlignment="1">
      <alignment horizontal="left" vertical="top" wrapText="1"/>
    </xf>
    <xf numFmtId="168" fontId="70" fillId="0" borderId="2" xfId="0" applyFont="1" applyFill="1" applyBorder="1" applyAlignment="1">
      <alignment horizontal="center" vertical="center" wrapText="1"/>
    </xf>
    <xf numFmtId="168" fontId="70" fillId="0" borderId="0" xfId="0" applyFont="1" applyFill="1" applyAlignment="1">
      <alignment horizontal="right" vertical="top"/>
    </xf>
    <xf numFmtId="168" fontId="70" fillId="8" borderId="31" xfId="0" applyFont="1" applyFill="1" applyBorder="1" applyAlignment="1">
      <alignment horizontal="center" vertical="center" wrapText="1"/>
    </xf>
    <xf numFmtId="168" fontId="70" fillId="8" borderId="31" xfId="0" applyFont="1" applyFill="1" applyBorder="1" applyAlignment="1">
      <alignment vertical="center" wrapText="1"/>
    </xf>
    <xf numFmtId="168" fontId="146" fillId="8" borderId="31" xfId="0" applyFont="1" applyFill="1" applyBorder="1" applyAlignment="1">
      <alignment vertical="center" wrapText="1"/>
    </xf>
    <xf numFmtId="168" fontId="146" fillId="8" borderId="31" xfId="0" applyFont="1" applyFill="1" applyBorder="1" applyAlignment="1">
      <alignment horizontal="right" vertical="top" wrapText="1"/>
    </xf>
    <xf numFmtId="168" fontId="144" fillId="8" borderId="31" xfId="0" applyFont="1" applyFill="1" applyBorder="1" applyAlignment="1">
      <alignment vertical="center" wrapText="1"/>
    </xf>
    <xf numFmtId="175" fontId="64" fillId="0" borderId="13" xfId="38" applyNumberFormat="1" applyFont="1" applyFill="1" applyBorder="1" applyAlignment="1">
      <alignment vertical="top" wrapText="1"/>
    </xf>
    <xf numFmtId="2" fontId="64" fillId="0" borderId="13" xfId="38" applyNumberFormat="1" applyFont="1" applyFill="1" applyBorder="1" applyAlignment="1">
      <alignment vertical="top" wrapText="1"/>
    </xf>
    <xf numFmtId="168" fontId="64" fillId="0" borderId="13" xfId="0" applyFont="1" applyFill="1" applyBorder="1" applyAlignment="1">
      <alignment horizontal="right" vertical="top" wrapText="1"/>
    </xf>
    <xf numFmtId="170" fontId="89" fillId="8" borderId="13" xfId="0" applyNumberFormat="1" applyFont="1" applyFill="1" applyBorder="1" applyAlignment="1">
      <alignment horizontal="right" vertical="top"/>
    </xf>
    <xf numFmtId="170" fontId="64" fillId="0" borderId="13" xfId="0" applyNumberFormat="1" applyFont="1" applyFill="1" applyBorder="1" applyAlignment="1">
      <alignment horizontal="right" vertical="top"/>
    </xf>
    <xf numFmtId="175" fontId="64" fillId="8" borderId="13" xfId="38" applyNumberFormat="1" applyFont="1" applyFill="1" applyBorder="1" applyAlignment="1">
      <alignment vertical="top" wrapText="1"/>
    </xf>
    <xf numFmtId="2" fontId="64" fillId="8" borderId="13" xfId="38" applyNumberFormat="1" applyFont="1" applyFill="1" applyBorder="1" applyAlignment="1">
      <alignment vertical="top" wrapText="1"/>
    </xf>
    <xf numFmtId="168" fontId="64" fillId="8" borderId="13" xfId="0" applyFont="1" applyFill="1" applyBorder="1" applyAlignment="1">
      <alignment vertical="top" wrapText="1"/>
    </xf>
    <xf numFmtId="2" fontId="64" fillId="8" borderId="13" xfId="38" applyNumberFormat="1" applyFont="1" applyFill="1" applyBorder="1" applyAlignment="1">
      <alignment horizontal="center" vertical="top" wrapText="1"/>
    </xf>
    <xf numFmtId="168" fontId="64" fillId="8" borderId="13" xfId="0" applyFont="1" applyFill="1" applyBorder="1" applyAlignment="1">
      <alignment horizontal="right" vertical="top" wrapText="1"/>
    </xf>
    <xf numFmtId="170" fontId="64" fillId="8" borderId="13" xfId="0" applyNumberFormat="1" applyFont="1" applyFill="1" applyBorder="1" applyAlignment="1">
      <alignment horizontal="right" vertical="top"/>
    </xf>
    <xf numFmtId="2" fontId="70" fillId="8" borderId="13" xfId="38" applyNumberFormat="1" applyFont="1" applyFill="1" applyBorder="1" applyAlignment="1">
      <alignment vertical="top" wrapText="1"/>
    </xf>
    <xf numFmtId="175" fontId="64" fillId="8" borderId="13" xfId="0" applyNumberFormat="1" applyFont="1" applyFill="1" applyBorder="1" applyAlignment="1">
      <alignment vertical="top"/>
    </xf>
    <xf numFmtId="175" fontId="146" fillId="8" borderId="13" xfId="38" applyNumberFormat="1" applyFont="1" applyFill="1" applyBorder="1" applyAlignment="1">
      <alignment vertical="top" wrapText="1"/>
    </xf>
    <xf numFmtId="2" fontId="146" fillId="8" borderId="13" xfId="38" applyNumberFormat="1" applyFont="1" applyFill="1" applyBorder="1" applyAlignment="1">
      <alignment vertical="top" wrapText="1"/>
    </xf>
    <xf numFmtId="168" fontId="146" fillId="8" borderId="13" xfId="0" applyFont="1" applyFill="1" applyBorder="1" applyAlignment="1">
      <alignment vertical="top" wrapText="1"/>
    </xf>
    <xf numFmtId="2" fontId="146" fillId="8" borderId="13" xfId="38" applyNumberFormat="1" applyFont="1" applyFill="1" applyBorder="1" applyAlignment="1">
      <alignment horizontal="center" vertical="top" wrapText="1"/>
    </xf>
    <xf numFmtId="175" fontId="64" fillId="0" borderId="13" xfId="38" applyNumberFormat="1" applyFont="1" applyFill="1" applyBorder="1" applyAlignment="1">
      <alignment horizontal="center" vertical="center" wrapText="1"/>
    </xf>
    <xf numFmtId="170" fontId="146" fillId="0" borderId="13" xfId="0" applyNumberFormat="1" applyFont="1" applyFill="1" applyBorder="1" applyAlignment="1">
      <alignment horizontal="right" vertical="top" wrapText="1"/>
    </xf>
    <xf numFmtId="1" fontId="64" fillId="8" borderId="13" xfId="38" applyNumberFormat="1" applyFont="1" applyFill="1" applyBorder="1" applyAlignment="1">
      <alignment vertical="top" wrapText="1"/>
    </xf>
    <xf numFmtId="175" fontId="64" fillId="8" borderId="13" xfId="38" applyNumberFormat="1" applyFont="1" applyFill="1" applyBorder="1" applyAlignment="1">
      <alignment horizontal="right" vertical="top" wrapText="1"/>
    </xf>
    <xf numFmtId="2" fontId="64" fillId="0" borderId="13" xfId="38" applyNumberFormat="1" applyFont="1" applyFill="1" applyBorder="1" applyAlignment="1">
      <alignment horizontal="right" vertical="top" wrapText="1"/>
    </xf>
    <xf numFmtId="2" fontId="70" fillId="0" borderId="13" xfId="38" applyNumberFormat="1" applyFont="1" applyFill="1" applyBorder="1" applyAlignment="1">
      <alignment vertical="top" wrapText="1"/>
    </xf>
    <xf numFmtId="168" fontId="147" fillId="8" borderId="13" xfId="0" applyFont="1" applyFill="1" applyBorder="1" applyAlignment="1">
      <alignment horizontal="right" vertical="top" wrapText="1"/>
    </xf>
    <xf numFmtId="168" fontId="64" fillId="8" borderId="13" xfId="0" applyFont="1" applyFill="1" applyBorder="1" applyAlignment="1">
      <alignment vertical="top"/>
    </xf>
    <xf numFmtId="175" fontId="64" fillId="0" borderId="13" xfId="38" applyNumberFormat="1" applyFont="1" applyFill="1" applyBorder="1" applyAlignment="1">
      <alignment horizontal="right" vertical="top" wrapText="1"/>
    </xf>
    <xf numFmtId="170" fontId="89" fillId="0" borderId="13" xfId="0" applyNumberFormat="1" applyFont="1" applyFill="1" applyBorder="1" applyAlignment="1">
      <alignment horizontal="right" vertical="top"/>
    </xf>
    <xf numFmtId="168" fontId="149" fillId="8" borderId="13" xfId="0" applyFont="1" applyFill="1" applyBorder="1" applyAlignment="1">
      <alignment horizontal="center" vertical="top" wrapText="1"/>
    </xf>
    <xf numFmtId="0" fontId="64" fillId="8" borderId="13" xfId="0" applyNumberFormat="1" applyFont="1" applyFill="1" applyBorder="1" applyAlignment="1">
      <alignment horizontal="center" vertical="top" wrapText="1"/>
    </xf>
    <xf numFmtId="2" fontId="64" fillId="8" borderId="13" xfId="39" applyNumberFormat="1" applyFont="1" applyFill="1" applyBorder="1" applyAlignment="1">
      <alignment horizontal="left" vertical="center" wrapText="1"/>
    </xf>
    <xf numFmtId="2" fontId="64" fillId="8" borderId="13" xfId="39" applyNumberFormat="1" applyFont="1" applyFill="1" applyBorder="1" applyAlignment="1">
      <alignment horizontal="center" vertical="top" wrapText="1"/>
    </xf>
    <xf numFmtId="170" fontId="64" fillId="8" borderId="13" xfId="0" applyNumberFormat="1" applyFont="1" applyFill="1" applyBorder="1" applyAlignment="1">
      <alignment horizontal="right" vertical="top" wrapText="1"/>
    </xf>
    <xf numFmtId="175" fontId="64" fillId="14" borderId="13" xfId="38" applyNumberFormat="1" applyFont="1" applyFill="1" applyBorder="1" applyAlignment="1">
      <alignment vertical="top" wrapText="1"/>
    </xf>
    <xf numFmtId="2" fontId="64" fillId="14" borderId="13" xfId="38" applyNumberFormat="1" applyFont="1" applyFill="1" applyBorder="1" applyAlignment="1">
      <alignment vertical="top" wrapText="1"/>
    </xf>
    <xf numFmtId="168" fontId="64" fillId="14" borderId="13" xfId="0" applyFont="1" applyFill="1" applyBorder="1" applyAlignment="1">
      <alignment vertical="top" wrapText="1"/>
    </xf>
    <xf numFmtId="2" fontId="64" fillId="14" borderId="13" xfId="38" applyNumberFormat="1" applyFont="1" applyFill="1" applyBorder="1" applyAlignment="1">
      <alignment horizontal="center" vertical="top" wrapText="1"/>
    </xf>
    <xf numFmtId="2" fontId="64" fillId="0" borderId="13" xfId="0" applyNumberFormat="1" applyFont="1" applyFill="1" applyBorder="1" applyAlignment="1">
      <alignment horizontal="center" vertical="top" wrapText="1"/>
    </xf>
    <xf numFmtId="168" fontId="64" fillId="8" borderId="13" xfId="0" applyFont="1" applyFill="1" applyBorder="1" applyAlignment="1">
      <alignment horizontal="right" vertical="center" wrapText="1"/>
    </xf>
    <xf numFmtId="168" fontId="64" fillId="8" borderId="13" xfId="0" applyFont="1" applyFill="1" applyBorder="1" applyAlignment="1">
      <alignment horizontal="center" wrapText="1"/>
    </xf>
    <xf numFmtId="168" fontId="64" fillId="0" borderId="13" xfId="0" applyFont="1" applyFill="1" applyBorder="1" applyAlignment="1">
      <alignment horizontal="center" vertical="top" wrapText="1"/>
    </xf>
    <xf numFmtId="1" fontId="64" fillId="0" borderId="13" xfId="38" applyNumberFormat="1" applyFont="1" applyFill="1" applyBorder="1" applyAlignment="1">
      <alignment vertical="top" wrapText="1"/>
    </xf>
    <xf numFmtId="168" fontId="64" fillId="0" borderId="13" xfId="0" applyFont="1" applyFill="1" applyBorder="1" applyAlignment="1">
      <alignment vertical="top" wrapText="1"/>
    </xf>
    <xf numFmtId="1" fontId="64" fillId="0" borderId="13" xfId="38" applyNumberFormat="1" applyFont="1" applyFill="1" applyBorder="1" applyAlignment="1">
      <alignment horizontal="center" vertical="top" wrapText="1"/>
    </xf>
    <xf numFmtId="168" fontId="65" fillId="0" borderId="13" xfId="0" applyFont="1" applyFill="1" applyBorder="1" applyAlignment="1">
      <alignment vertical="top" wrapText="1"/>
    </xf>
    <xf numFmtId="168" fontId="65" fillId="0" borderId="13" xfId="0" applyFont="1" applyFill="1" applyBorder="1" applyAlignment="1">
      <alignment horizontal="center" vertical="top"/>
    </xf>
    <xf numFmtId="0" fontId="65" fillId="0" borderId="13" xfId="37" applyFont="1" applyFill="1" applyBorder="1" applyAlignment="1">
      <alignment horizontal="center" vertical="top" wrapText="1"/>
    </xf>
    <xf numFmtId="2" fontId="64" fillId="9" borderId="13" xfId="41" applyNumberFormat="1" applyFont="1" applyFill="1" applyBorder="1" applyAlignment="1">
      <alignment horizontal="right" vertical="top" wrapText="1"/>
    </xf>
    <xf numFmtId="2" fontId="64" fillId="0" borderId="13" xfId="41" applyNumberFormat="1" applyFont="1" applyFill="1" applyBorder="1" applyAlignment="1">
      <alignment horizontal="right" vertical="top" wrapText="1"/>
    </xf>
    <xf numFmtId="168" fontId="64" fillId="8" borderId="13" xfId="13" applyNumberFormat="1" applyFont="1" applyFill="1" applyBorder="1" applyAlignment="1">
      <alignment horizontal="center" vertical="top" wrapText="1"/>
    </xf>
    <xf numFmtId="2" fontId="64" fillId="8" borderId="13" xfId="39" applyNumberFormat="1" applyFont="1" applyFill="1" applyBorder="1" applyAlignment="1">
      <alignment vertical="top" wrapText="1"/>
    </xf>
    <xf numFmtId="2" fontId="146" fillId="8" borderId="13" xfId="38" applyNumberFormat="1" applyFont="1" applyFill="1" applyBorder="1" applyAlignment="1">
      <alignment horizontal="left" vertical="center" wrapText="1"/>
    </xf>
    <xf numFmtId="2" fontId="146" fillId="8" borderId="13" xfId="41" applyNumberFormat="1" applyFont="1" applyFill="1" applyBorder="1" applyAlignment="1">
      <alignment horizontal="right" vertical="top" wrapText="1"/>
    </xf>
    <xf numFmtId="2" fontId="146" fillId="8" borderId="13" xfId="39" applyNumberFormat="1" applyFont="1" applyFill="1" applyBorder="1" applyAlignment="1">
      <alignment horizontal="center" vertical="top" wrapText="1"/>
    </xf>
    <xf numFmtId="2" fontId="146" fillId="8" borderId="13" xfId="38" applyNumberFormat="1" applyFont="1" applyFill="1" applyBorder="1" applyAlignment="1">
      <alignment horizontal="left" vertical="top" wrapText="1"/>
    </xf>
    <xf numFmtId="2" fontId="64" fillId="8" borderId="13" xfId="39" applyNumberFormat="1" applyFont="1" applyFill="1" applyBorder="1" applyAlignment="1">
      <alignment horizontal="right" wrapText="1"/>
    </xf>
    <xf numFmtId="2" fontId="64" fillId="8" borderId="13" xfId="38" applyNumberFormat="1" applyFont="1" applyFill="1" applyBorder="1" applyAlignment="1">
      <alignment horizontal="center" wrapText="1"/>
    </xf>
    <xf numFmtId="168" fontId="64" fillId="8" borderId="13" xfId="0" applyFont="1" applyFill="1" applyBorder="1" applyAlignment="1">
      <alignment horizontal="center" vertical="top"/>
    </xf>
    <xf numFmtId="168" fontId="91" fillId="8" borderId="13" xfId="0" applyFont="1" applyFill="1" applyBorder="1" applyAlignment="1">
      <alignment horizontal="right" vertical="center" wrapText="1"/>
    </xf>
    <xf numFmtId="2" fontId="91" fillId="8" borderId="13" xfId="38" applyNumberFormat="1" applyFont="1" applyFill="1" applyBorder="1" applyAlignment="1">
      <alignment horizontal="center" vertical="center" wrapText="1"/>
    </xf>
    <xf numFmtId="2" fontId="147" fillId="0" borderId="13" xfId="38" applyNumberFormat="1" applyFont="1" applyFill="1" applyBorder="1" applyAlignment="1">
      <alignment vertical="top" wrapText="1"/>
    </xf>
    <xf numFmtId="2" fontId="200" fillId="8" borderId="13" xfId="38" applyNumberFormat="1" applyFont="1" applyFill="1" applyBorder="1" applyAlignment="1">
      <alignment vertical="top" wrapText="1"/>
    </xf>
    <xf numFmtId="1" fontId="64" fillId="0" borderId="13" xfId="38" applyNumberFormat="1" applyFont="1" applyFill="1" applyBorder="1" applyAlignment="1">
      <alignment horizontal="center" vertical="center" wrapText="1"/>
    </xf>
    <xf numFmtId="168" fontId="147" fillId="0" borderId="13" xfId="0" applyFont="1" applyFill="1" applyBorder="1" applyAlignment="1">
      <alignment horizontal="right" vertical="top" wrapText="1"/>
    </xf>
    <xf numFmtId="2" fontId="64" fillId="8" borderId="13" xfId="124" applyNumberFormat="1" applyFont="1" applyFill="1" applyBorder="1" applyAlignment="1">
      <alignment vertical="top" wrapText="1"/>
    </xf>
    <xf numFmtId="2" fontId="64" fillId="8" borderId="13" xfId="124" applyNumberFormat="1" applyFont="1" applyFill="1" applyBorder="1" applyAlignment="1">
      <alignment horizontal="center" vertical="top" wrapText="1"/>
    </xf>
    <xf numFmtId="2" fontId="147" fillId="8" borderId="13" xfId="124" applyNumberFormat="1" applyFont="1" applyFill="1" applyBorder="1" applyAlignment="1">
      <alignment vertical="top" wrapText="1"/>
    </xf>
    <xf numFmtId="1" fontId="64" fillId="10" borderId="13" xfId="38" applyNumberFormat="1" applyFont="1" applyFill="1" applyBorder="1" applyAlignment="1">
      <alignment vertical="top" wrapText="1"/>
    </xf>
    <xf numFmtId="2" fontId="64" fillId="10" borderId="13" xfId="124" applyNumberFormat="1" applyFont="1" applyFill="1" applyBorder="1" applyAlignment="1">
      <alignment vertical="top" wrapText="1"/>
    </xf>
    <xf numFmtId="2" fontId="64" fillId="10" borderId="13" xfId="124" applyNumberFormat="1" applyFont="1" applyFill="1" applyBorder="1" applyAlignment="1">
      <alignment horizontal="center" vertical="top" wrapText="1"/>
    </xf>
    <xf numFmtId="2" fontId="147" fillId="10" borderId="13" xfId="124" applyNumberFormat="1" applyFont="1" applyFill="1" applyBorder="1" applyAlignment="1">
      <alignment vertical="top" wrapText="1"/>
    </xf>
    <xf numFmtId="170" fontId="146" fillId="10" borderId="13" xfId="0" applyNumberFormat="1" applyFont="1" applyFill="1" applyBorder="1" applyAlignment="1">
      <alignment horizontal="right" vertical="top" wrapText="1"/>
    </xf>
    <xf numFmtId="170" fontId="89" fillId="10" borderId="13" xfId="0" applyNumberFormat="1" applyFont="1" applyFill="1" applyBorder="1" applyAlignment="1">
      <alignment horizontal="right" vertical="top"/>
    </xf>
    <xf numFmtId="1" fontId="64" fillId="8" borderId="13" xfId="38" applyNumberFormat="1" applyFont="1" applyFill="1" applyBorder="1" applyAlignment="1">
      <alignment horizontal="center" vertical="center" wrapText="1"/>
    </xf>
    <xf numFmtId="2" fontId="64" fillId="8" borderId="13" xfId="38" applyNumberFormat="1" applyFont="1" applyFill="1" applyBorder="1" applyAlignment="1">
      <alignment horizontal="left" vertical="top" wrapText="1"/>
    </xf>
    <xf numFmtId="168" fontId="64" fillId="8" borderId="13" xfId="0" applyFont="1" applyFill="1" applyBorder="1" applyAlignment="1">
      <alignment horizontal="center" vertical="center" wrapText="1"/>
    </xf>
    <xf numFmtId="168" fontId="147" fillId="8" borderId="13" xfId="0" applyFont="1" applyFill="1" applyBorder="1" applyAlignment="1">
      <alignment vertical="top" wrapText="1"/>
    </xf>
    <xf numFmtId="2" fontId="70" fillId="0" borderId="13" xfId="38" applyNumberFormat="1" applyFont="1" applyFill="1" applyBorder="1" applyAlignment="1">
      <alignment horizontal="left" vertical="top" wrapText="1"/>
    </xf>
    <xf numFmtId="175" fontId="64" fillId="0" borderId="2" xfId="38" applyNumberFormat="1" applyFont="1" applyFill="1" applyBorder="1" applyAlignment="1">
      <alignment horizontal="center" vertical="top" wrapText="1"/>
    </xf>
    <xf numFmtId="175" fontId="146" fillId="0" borderId="2" xfId="38" applyNumberFormat="1" applyFont="1" applyFill="1" applyBorder="1" applyAlignment="1">
      <alignment horizontal="center" vertical="top" wrapText="1"/>
    </xf>
    <xf numFmtId="175" fontId="64" fillId="0" borderId="2" xfId="0" applyNumberFormat="1" applyFont="1" applyFill="1" applyBorder="1" applyAlignment="1">
      <alignment horizontal="center" vertical="top" wrapText="1"/>
    </xf>
    <xf numFmtId="168" fontId="64" fillId="0" borderId="1" xfId="0" applyFont="1" applyFill="1" applyBorder="1" applyAlignment="1">
      <alignment horizontal="center" vertical="top"/>
    </xf>
    <xf numFmtId="168" fontId="64" fillId="0" borderId="13" xfId="0" applyFont="1" applyFill="1" applyBorder="1" applyAlignment="1">
      <alignment horizontal="center" vertical="top"/>
    </xf>
    <xf numFmtId="170" fontId="205" fillId="8" borderId="13" xfId="0" applyNumberFormat="1" applyFont="1" applyFill="1" applyBorder="1" applyAlignment="1">
      <alignment horizontal="right" vertical="top" wrapText="1"/>
    </xf>
    <xf numFmtId="170" fontId="64" fillId="0" borderId="13" xfId="0" applyNumberFormat="1" applyFont="1" applyFill="1" applyBorder="1" applyAlignment="1">
      <alignment horizontal="right" vertical="top" wrapText="1"/>
    </xf>
    <xf numFmtId="168" fontId="64" fillId="8" borderId="2" xfId="95" applyNumberFormat="1" applyFont="1" applyFill="1" applyBorder="1" applyAlignment="1">
      <alignment horizontal="center" vertical="top" wrapText="1"/>
    </xf>
    <xf numFmtId="2" fontId="64" fillId="8" borderId="2" xfId="12" applyNumberFormat="1" applyFont="1" applyFill="1" applyBorder="1" applyAlignment="1">
      <alignment horizontal="left" vertical="top" wrapText="1"/>
    </xf>
    <xf numFmtId="2" fontId="201" fillId="8" borderId="2" xfId="12" applyNumberFormat="1" applyFont="1" applyFill="1" applyBorder="1" applyAlignment="1">
      <alignment horizontal="right" vertical="center" wrapText="1"/>
    </xf>
    <xf numFmtId="168" fontId="64" fillId="8" borderId="2" xfId="0" applyNumberFormat="1" applyFont="1" applyFill="1" applyBorder="1" applyAlignment="1">
      <alignment horizontal="right" vertical="center"/>
    </xf>
    <xf numFmtId="170" fontId="64" fillId="0" borderId="2" xfId="0" applyNumberFormat="1" applyFont="1" applyFill="1" applyBorder="1" applyAlignment="1">
      <alignment horizontal="right" vertical="center" wrapText="1"/>
    </xf>
    <xf numFmtId="170" fontId="64" fillId="0" borderId="1" xfId="0" applyNumberFormat="1" applyFont="1" applyFill="1" applyBorder="1" applyAlignment="1">
      <alignment horizontal="right" vertical="top" wrapText="1"/>
    </xf>
    <xf numFmtId="2" fontId="64" fillId="8" borderId="2" xfId="47" applyNumberFormat="1" applyFont="1" applyFill="1" applyBorder="1" applyAlignment="1">
      <alignment vertical="top" wrapText="1"/>
    </xf>
    <xf numFmtId="168" fontId="70" fillId="0" borderId="2" xfId="0" applyFont="1" applyFill="1" applyBorder="1" applyAlignment="1">
      <alignment vertical="top" wrapText="1"/>
    </xf>
    <xf numFmtId="9" fontId="64" fillId="0" borderId="2" xfId="41" applyFont="1" applyFill="1" applyBorder="1" applyAlignment="1">
      <alignment vertical="top" wrapText="1"/>
    </xf>
    <xf numFmtId="2" fontId="64" fillId="8" borderId="2" xfId="41" applyNumberFormat="1" applyFont="1" applyFill="1" applyBorder="1" applyAlignment="1">
      <alignment vertical="top" wrapText="1"/>
    </xf>
    <xf numFmtId="168" fontId="64" fillId="8" borderId="2" xfId="0" applyNumberFormat="1" applyFont="1" applyFill="1" applyBorder="1" applyAlignment="1">
      <alignment vertical="center" wrapText="1"/>
    </xf>
    <xf numFmtId="168" fontId="147" fillId="0" borderId="2" xfId="0" applyFont="1" applyFill="1" applyBorder="1" applyAlignment="1">
      <alignment vertical="top" wrapText="1"/>
    </xf>
    <xf numFmtId="2" fontId="64" fillId="0" borderId="2" xfId="41" applyNumberFormat="1" applyFont="1" applyFill="1" applyBorder="1" applyAlignment="1">
      <alignment vertical="top" wrapText="1"/>
    </xf>
    <xf numFmtId="2" fontId="146" fillId="8" borderId="2" xfId="41" applyNumberFormat="1" applyFont="1" applyFill="1" applyBorder="1" applyAlignment="1">
      <alignment vertical="top" wrapText="1"/>
    </xf>
    <xf numFmtId="2" fontId="146" fillId="0" borderId="2" xfId="41" applyNumberFormat="1" applyFont="1" applyFill="1" applyBorder="1" applyAlignment="1">
      <alignment vertical="top" wrapText="1"/>
    </xf>
    <xf numFmtId="2" fontId="64" fillId="0" borderId="2" xfId="37" applyNumberFormat="1" applyFont="1" applyFill="1" applyBorder="1" applyAlignment="1">
      <alignment vertical="top" wrapText="1"/>
    </xf>
    <xf numFmtId="2" fontId="147" fillId="0" borderId="2" xfId="41" applyNumberFormat="1" applyFont="1" applyFill="1" applyBorder="1" applyAlignment="1">
      <alignment vertical="top" wrapText="1"/>
    </xf>
    <xf numFmtId="2" fontId="64" fillId="0" borderId="2" xfId="124" applyNumberFormat="1" applyFont="1" applyFill="1" applyBorder="1" applyAlignment="1">
      <alignment vertical="top" wrapText="1"/>
    </xf>
    <xf numFmtId="2" fontId="64" fillId="8" borderId="2" xfId="37" applyNumberFormat="1" applyFont="1" applyFill="1" applyBorder="1" applyAlignment="1">
      <alignment vertical="center" wrapText="1"/>
    </xf>
    <xf numFmtId="2" fontId="64" fillId="8" borderId="2" xfId="12" applyNumberFormat="1" applyFont="1" applyFill="1" applyBorder="1" applyAlignment="1">
      <alignment vertical="center" wrapText="1"/>
    </xf>
    <xf numFmtId="2" fontId="64" fillId="0" borderId="2" xfId="43" applyNumberFormat="1" applyFont="1" applyFill="1" applyBorder="1" applyAlignment="1">
      <alignment vertical="top" wrapText="1"/>
    </xf>
    <xf numFmtId="168" fontId="203" fillId="8" borderId="2" xfId="0" applyNumberFormat="1" applyFont="1" applyFill="1" applyBorder="1" applyAlignment="1">
      <alignment vertical="center" wrapText="1"/>
    </xf>
    <xf numFmtId="2" fontId="64" fillId="8" borderId="2" xfId="78" applyNumberFormat="1" applyFont="1" applyFill="1" applyBorder="1" applyAlignment="1">
      <alignment vertical="center"/>
    </xf>
    <xf numFmtId="2" fontId="64" fillId="8" borderId="2" xfId="37" applyNumberFormat="1" applyFont="1" applyFill="1" applyBorder="1" applyAlignment="1">
      <alignment vertical="top" wrapText="1"/>
    </xf>
    <xf numFmtId="168" fontId="64" fillId="0" borderId="2" xfId="0" applyFont="1" applyFill="1" applyBorder="1" applyAlignment="1">
      <alignment vertical="center" wrapText="1"/>
    </xf>
    <xf numFmtId="168" fontId="64" fillId="0" borderId="1" xfId="0" applyFont="1" applyFill="1" applyBorder="1" applyAlignment="1">
      <alignment vertical="top"/>
    </xf>
    <xf numFmtId="168" fontId="64" fillId="0" borderId="13" xfId="0" applyFont="1" applyFill="1" applyBorder="1" applyAlignment="1">
      <alignment vertical="top"/>
    </xf>
    <xf numFmtId="168" fontId="8" fillId="0" borderId="1" xfId="0" applyFont="1" applyFill="1" applyBorder="1" applyAlignment="1">
      <alignment horizontal="center" vertical="center" wrapText="1"/>
    </xf>
    <xf numFmtId="176" fontId="24" fillId="8" borderId="1" xfId="47" applyNumberFormat="1" applyFont="1" applyFill="1" applyBorder="1" applyAlignment="1">
      <alignment horizontal="center" vertical="top" wrapText="1"/>
    </xf>
    <xf numFmtId="2" fontId="206" fillId="0" borderId="1" xfId="47" applyNumberFormat="1" applyFont="1" applyFill="1" applyBorder="1" applyAlignment="1">
      <alignment horizontal="justify" vertical="top" wrapText="1"/>
    </xf>
    <xf numFmtId="0" fontId="74" fillId="0" borderId="0" xfId="0" applyNumberFormat="1" applyFont="1" applyFill="1" applyAlignment="1">
      <alignment horizontal="left" vertical="top" wrapText="1"/>
    </xf>
    <xf numFmtId="0" fontId="73" fillId="0" borderId="0" xfId="0" applyNumberFormat="1" applyFont="1" applyFill="1" applyAlignment="1">
      <alignment horizontal="center" vertical="top" wrapText="1"/>
    </xf>
    <xf numFmtId="0" fontId="72" fillId="0" borderId="0" xfId="0" applyNumberFormat="1" applyFont="1" applyFill="1" applyAlignment="1">
      <alignment horizontal="left" wrapText="1"/>
    </xf>
    <xf numFmtId="168" fontId="73" fillId="0" borderId="0" xfId="0" applyNumberFormat="1" applyFont="1" applyFill="1" applyAlignment="1">
      <alignment horizontal="left" vertical="center" wrapText="1"/>
    </xf>
    <xf numFmtId="0" fontId="73" fillId="0" borderId="0" xfId="0" applyNumberFormat="1" applyFont="1" applyFill="1" applyBorder="1" applyAlignment="1">
      <alignment horizontal="center" vertical="center" wrapText="1"/>
    </xf>
    <xf numFmtId="168" fontId="73" fillId="0" borderId="0" xfId="0" applyNumberFormat="1" applyFont="1" applyFill="1" applyAlignment="1">
      <alignment horizontal="center" vertical="center" wrapText="1"/>
    </xf>
    <xf numFmtId="168" fontId="73" fillId="0" borderId="0" xfId="0" applyNumberFormat="1" applyFont="1" applyFill="1" applyAlignment="1">
      <alignment horizontal="center" vertical="center"/>
    </xf>
    <xf numFmtId="0" fontId="76" fillId="0" borderId="0" xfId="0" applyNumberFormat="1" applyFont="1" applyFill="1" applyAlignment="1">
      <alignment horizontal="left" vertical="top" wrapText="1"/>
    </xf>
    <xf numFmtId="168" fontId="0" fillId="0" borderId="0" xfId="0" applyBorder="1" applyAlignment="1">
      <alignment horizontal="center" vertical="top" wrapText="1"/>
    </xf>
    <xf numFmtId="168" fontId="69" fillId="0" borderId="0" xfId="0" applyFont="1" applyBorder="1" applyAlignment="1">
      <alignment horizontal="center" vertical="center"/>
    </xf>
    <xf numFmtId="168" fontId="24" fillId="0" borderId="0" xfId="0" applyFont="1" applyBorder="1" applyAlignment="1">
      <alignment horizontal="center" vertical="center" wrapText="1"/>
    </xf>
    <xf numFmtId="168" fontId="24" fillId="0" borderId="0" xfId="0" applyFont="1" applyBorder="1" applyAlignment="1">
      <alignment horizontal="center" vertical="top"/>
    </xf>
    <xf numFmtId="168" fontId="180" fillId="0" borderId="0" xfId="0" applyFont="1" applyFill="1" applyBorder="1" applyAlignment="1">
      <alignment horizontal="center" vertical="center" wrapText="1"/>
    </xf>
    <xf numFmtId="168" fontId="69" fillId="0" borderId="1" xfId="0" applyFont="1" applyFill="1" applyBorder="1" applyAlignment="1">
      <alignment horizontal="center" vertical="center"/>
    </xf>
    <xf numFmtId="176" fontId="177" fillId="0" borderId="1" xfId="0" applyNumberFormat="1" applyFont="1" applyFill="1" applyBorder="1" applyAlignment="1">
      <alignment horizontal="right" vertical="top"/>
    </xf>
    <xf numFmtId="168" fontId="68" fillId="0" borderId="1" xfId="0" applyFont="1" applyFill="1" applyBorder="1" applyAlignment="1">
      <alignment horizontal="justify" vertical="center"/>
    </xf>
    <xf numFmtId="168" fontId="69" fillId="0" borderId="1" xfId="0" applyFont="1" applyFill="1" applyBorder="1" applyAlignment="1">
      <alignment horizontal="right" vertical="center"/>
    </xf>
    <xf numFmtId="168" fontId="8" fillId="0" borderId="1" xfId="0" applyFont="1" applyFill="1" applyBorder="1" applyAlignment="1">
      <alignment horizontal="center" vertical="center" wrapText="1"/>
    </xf>
    <xf numFmtId="176" fontId="119" fillId="0" borderId="1" xfId="0" applyNumberFormat="1" applyFont="1" applyFill="1" applyBorder="1" applyAlignment="1">
      <alignment horizontal="right" vertical="top" wrapText="1"/>
    </xf>
    <xf numFmtId="168" fontId="24" fillId="0" borderId="1" xfId="0" applyFont="1" applyFill="1" applyBorder="1" applyAlignment="1">
      <alignment horizontal="justify" vertical="center" wrapText="1"/>
    </xf>
    <xf numFmtId="168" fontId="8" fillId="0" borderId="1" xfId="0" applyFont="1" applyFill="1" applyBorder="1" applyAlignment="1">
      <alignment horizontal="right" vertical="center" wrapText="1"/>
    </xf>
    <xf numFmtId="0" fontId="7" fillId="0" borderId="1" xfId="47" applyFont="1" applyBorder="1" applyAlignment="1">
      <alignment horizontal="center" vertical="center" wrapText="1"/>
    </xf>
    <xf numFmtId="0" fontId="25" fillId="0" borderId="18" xfId="47" applyFont="1" applyBorder="1" applyAlignment="1">
      <alignment horizontal="center" vertical="center" wrapText="1"/>
    </xf>
    <xf numFmtId="0" fontId="25" fillId="0" borderId="19" xfId="47" applyFont="1" applyBorder="1" applyAlignment="1">
      <alignment horizontal="center" vertical="center" wrapText="1"/>
    </xf>
    <xf numFmtId="0" fontId="176" fillId="0" borderId="1" xfId="47" applyFont="1" applyBorder="1" applyAlignment="1">
      <alignment horizontal="center" vertical="center" wrapText="1"/>
    </xf>
    <xf numFmtId="0" fontId="23" fillId="0" borderId="1" xfId="47" applyFont="1" applyBorder="1" applyAlignment="1">
      <alignment horizontal="center" vertical="center" wrapText="1"/>
    </xf>
    <xf numFmtId="168" fontId="22" fillId="0" borderId="1" xfId="0" applyFont="1" applyBorder="1" applyAlignment="1">
      <alignment horizontal="center" vertical="center"/>
    </xf>
    <xf numFmtId="175" fontId="25" fillId="0" borderId="1" xfId="47" applyNumberFormat="1" applyFont="1" applyBorder="1" applyAlignment="1">
      <alignment horizontal="center" vertical="center" wrapText="1"/>
    </xf>
    <xf numFmtId="175" fontId="25" fillId="0" borderId="1" xfId="47" applyNumberFormat="1" applyFont="1" applyFill="1" applyBorder="1" applyAlignment="1">
      <alignment horizontal="center" vertical="center" wrapText="1"/>
    </xf>
    <xf numFmtId="2" fontId="94" fillId="0" borderId="0" xfId="0" applyNumberFormat="1" applyFont="1" applyFill="1" applyBorder="1" applyAlignment="1">
      <alignment horizontal="center" vertical="top" wrapText="1"/>
    </xf>
    <xf numFmtId="0" fontId="160" fillId="0" borderId="0" xfId="12" applyFont="1" applyFill="1" applyAlignment="1">
      <alignment horizontal="center" vertical="top"/>
    </xf>
    <xf numFmtId="0" fontId="160" fillId="0" borderId="0" xfId="12" applyFont="1" applyFill="1" applyAlignment="1">
      <alignment horizontal="center" vertical="top" wrapText="1"/>
    </xf>
    <xf numFmtId="0" fontId="0" fillId="0" borderId="0" xfId="0" applyNumberFormat="1" applyAlignment="1">
      <alignment horizontal="center"/>
    </xf>
    <xf numFmtId="0" fontId="94" fillId="0" borderId="0" xfId="12" applyFont="1" applyFill="1" applyBorder="1" applyAlignment="1">
      <alignment horizontal="center" vertical="top" wrapText="1"/>
    </xf>
    <xf numFmtId="2" fontId="95" fillId="0" borderId="0" xfId="12" applyNumberFormat="1" applyFont="1" applyFill="1" applyBorder="1" applyAlignment="1">
      <alignment horizontal="center" vertical="top" wrapText="1"/>
    </xf>
    <xf numFmtId="2" fontId="95" fillId="0" borderId="0" xfId="0" applyNumberFormat="1" applyFont="1" applyFill="1" applyBorder="1" applyAlignment="1">
      <alignment horizontal="center" vertical="top" wrapText="1"/>
    </xf>
    <xf numFmtId="168" fontId="7" fillId="0" borderId="0" xfId="0" applyFont="1" applyBorder="1" applyAlignment="1">
      <alignment horizontal="center" wrapText="1"/>
    </xf>
    <xf numFmtId="168" fontId="25" fillId="0" borderId="0" xfId="0" applyFont="1" applyBorder="1" applyAlignment="1">
      <alignment horizontal="center" vertical="center"/>
    </xf>
    <xf numFmtId="2" fontId="25" fillId="0" borderId="0" xfId="0" applyNumberFormat="1" applyFont="1" applyBorder="1" applyAlignment="1">
      <alignment horizontal="center"/>
    </xf>
    <xf numFmtId="168" fontId="11" fillId="0" borderId="0" xfId="0" applyFont="1" applyAlignment="1">
      <alignment horizontal="left" vertical="top" wrapText="1"/>
    </xf>
    <xf numFmtId="168" fontId="7" fillId="0" borderId="0" xfId="0" applyFont="1" applyBorder="1" applyAlignment="1">
      <alignment horizontal="center" vertical="center" wrapText="1"/>
    </xf>
    <xf numFmtId="168" fontId="0" fillId="0" borderId="0" xfId="0" applyAlignment="1">
      <alignment horizontal="center" vertical="top" wrapText="1"/>
    </xf>
    <xf numFmtId="168" fontId="8" fillId="0" borderId="0" xfId="0" applyNumberFormat="1" applyFont="1" applyAlignment="1">
      <alignment horizontal="center"/>
    </xf>
    <xf numFmtId="168" fontId="19" fillId="0" borderId="0" xfId="0" applyNumberFormat="1" applyFont="1" applyAlignment="1">
      <alignment horizontal="center"/>
    </xf>
    <xf numFmtId="168" fontId="10" fillId="0" borderId="0" xfId="0" applyFont="1" applyAlignment="1">
      <alignment horizontal="center"/>
    </xf>
    <xf numFmtId="168" fontId="19" fillId="0" borderId="0" xfId="0" applyNumberFormat="1" applyFont="1" applyAlignment="1">
      <alignment horizontal="left"/>
    </xf>
    <xf numFmtId="0" fontId="109" fillId="0" borderId="0" xfId="0" applyNumberFormat="1" applyFont="1" applyAlignment="1">
      <alignment horizontal="center" vertical="center" wrapText="1"/>
    </xf>
    <xf numFmtId="0" fontId="0" fillId="0" borderId="0" xfId="0" applyNumberFormat="1" applyBorder="1" applyAlignment="1">
      <alignment horizontal="center"/>
    </xf>
    <xf numFmtId="168" fontId="33" fillId="0" borderId="0" xfId="0" applyNumberFormat="1" applyFont="1" applyAlignment="1">
      <alignment horizontal="center"/>
    </xf>
    <xf numFmtId="0" fontId="169" fillId="0" borderId="0" xfId="0" applyNumberFormat="1" applyFont="1" applyBorder="1" applyAlignment="1">
      <alignment horizontal="center" wrapText="1"/>
    </xf>
    <xf numFmtId="168" fontId="0" fillId="10" borderId="0" xfId="0" applyNumberFormat="1" applyFill="1" applyAlignment="1" applyProtection="1">
      <alignment horizontal="left" vertical="top" wrapText="1"/>
    </xf>
    <xf numFmtId="168" fontId="11" fillId="10" borderId="0" xfId="0" applyNumberFormat="1" applyFont="1" applyFill="1" applyAlignment="1" applyProtection="1">
      <alignment horizontal="left" vertical="top" wrapText="1"/>
    </xf>
    <xf numFmtId="168" fontId="10" fillId="0" borderId="0" xfId="0" applyNumberFormat="1" applyFont="1" applyAlignment="1" applyProtection="1">
      <alignment horizontal="left" vertical="top"/>
    </xf>
    <xf numFmtId="168" fontId="19" fillId="0" borderId="0" xfId="0" applyNumberFormat="1" applyFont="1" applyAlignment="1">
      <alignment horizontal="center" wrapText="1"/>
    </xf>
    <xf numFmtId="168" fontId="0" fillId="0" borderId="0" xfId="0" quotePrefix="1" applyNumberFormat="1" applyAlignment="1" applyProtection="1">
      <alignment horizontal="center"/>
    </xf>
    <xf numFmtId="168" fontId="0" fillId="0" borderId="0" xfId="0" applyNumberFormat="1" applyAlignment="1" applyProtection="1">
      <alignment horizontal="center"/>
    </xf>
    <xf numFmtId="168" fontId="10" fillId="0" borderId="0" xfId="0" applyFont="1" applyAlignment="1">
      <alignment vertical="top" wrapText="1"/>
    </xf>
    <xf numFmtId="168" fontId="0" fillId="0" borderId="0" xfId="0" applyAlignment="1">
      <alignment vertical="top"/>
    </xf>
    <xf numFmtId="168" fontId="10" fillId="0" borderId="0" xfId="0" applyNumberFormat="1" applyFont="1" applyAlignment="1" applyProtection="1">
      <alignment vertical="top"/>
    </xf>
    <xf numFmtId="168" fontId="0" fillId="11" borderId="0" xfId="0" applyNumberFormat="1" applyFill="1" applyAlignment="1" applyProtection="1">
      <alignment horizontal="left" vertical="top" wrapText="1"/>
    </xf>
    <xf numFmtId="168" fontId="11" fillId="11" borderId="0" xfId="0" applyNumberFormat="1" applyFont="1" applyFill="1" applyAlignment="1" applyProtection="1">
      <alignment horizontal="left" vertical="top" wrapText="1"/>
    </xf>
    <xf numFmtId="168" fontId="0" fillId="0" borderId="0" xfId="0" applyNumberFormat="1" applyAlignment="1" applyProtection="1">
      <alignment horizontal="center" wrapText="1"/>
    </xf>
    <xf numFmtId="0" fontId="25" fillId="0" borderId="0" xfId="0" applyNumberFormat="1" applyFont="1" applyAlignment="1">
      <alignment horizontal="center" wrapText="1"/>
    </xf>
    <xf numFmtId="168" fontId="10" fillId="0" borderId="0" xfId="0" applyFont="1" applyAlignment="1">
      <alignment horizontal="right"/>
    </xf>
    <xf numFmtId="170" fontId="0" fillId="0" borderId="0" xfId="0" applyNumberFormat="1" applyAlignment="1">
      <alignment horizontal="right"/>
    </xf>
    <xf numFmtId="168" fontId="0" fillId="0" borderId="0" xfId="0" applyAlignment="1">
      <alignment horizontal="center"/>
    </xf>
    <xf numFmtId="168" fontId="70" fillId="0" borderId="2" xfId="0" applyFont="1" applyFill="1" applyBorder="1" applyAlignment="1">
      <alignment horizontal="center" vertical="center" wrapText="1"/>
    </xf>
    <xf numFmtId="170" fontId="70" fillId="0" borderId="14" xfId="0" applyNumberFormat="1" applyFont="1" applyFill="1" applyBorder="1" applyAlignment="1">
      <alignment horizontal="center" vertical="center" wrapText="1"/>
    </xf>
    <xf numFmtId="168" fontId="70" fillId="0" borderId="20" xfId="0" applyFont="1" applyFill="1" applyBorder="1" applyAlignment="1">
      <alignment horizontal="center" vertical="top" wrapText="1"/>
    </xf>
    <xf numFmtId="168" fontId="70" fillId="0" borderId="21" xfId="0" applyFont="1" applyFill="1" applyBorder="1" applyAlignment="1">
      <alignment horizontal="left" vertical="top" wrapText="1"/>
    </xf>
    <xf numFmtId="168" fontId="70" fillId="0" borderId="21" xfId="0" applyFont="1" applyFill="1" applyBorder="1" applyAlignment="1">
      <alignment vertical="top" wrapText="1"/>
    </xf>
    <xf numFmtId="168" fontId="70" fillId="0" borderId="21" xfId="0" applyFont="1" applyFill="1" applyBorder="1" applyAlignment="1">
      <alignment horizontal="center" vertical="top" wrapText="1"/>
    </xf>
    <xf numFmtId="168" fontId="70" fillId="0" borderId="21" xfId="0" applyFont="1" applyFill="1" applyBorder="1" applyAlignment="1">
      <alignment horizontal="right" vertical="top" wrapText="1"/>
    </xf>
    <xf numFmtId="168" fontId="70" fillId="8" borderId="21" xfId="0" applyFont="1" applyFill="1" applyBorder="1" applyAlignment="1">
      <alignment vertical="center" wrapText="1"/>
    </xf>
    <xf numFmtId="168" fontId="70" fillId="0" borderId="2" xfId="0" applyFont="1" applyFill="1" applyBorder="1" applyAlignment="1">
      <alignment horizontal="center" vertical="top" wrapText="1"/>
    </xf>
    <xf numFmtId="168" fontId="70" fillId="0" borderId="2" xfId="0" applyFont="1" applyFill="1" applyBorder="1" applyAlignment="1">
      <alignment vertical="center" wrapText="1"/>
    </xf>
    <xf numFmtId="170" fontId="70" fillId="0" borderId="2" xfId="0" applyNumberFormat="1" applyFont="1" applyFill="1" applyBorder="1" applyAlignment="1">
      <alignment horizontal="center" vertical="center" wrapText="1"/>
    </xf>
    <xf numFmtId="168" fontId="70" fillId="8" borderId="2" xfId="0" applyFont="1" applyFill="1" applyBorder="1" applyAlignment="1">
      <alignment horizontal="center" vertical="center" wrapText="1"/>
    </xf>
    <xf numFmtId="168" fontId="70" fillId="8" borderId="31" xfId="0" applyFont="1" applyFill="1" applyBorder="1" applyAlignment="1">
      <alignment horizontal="center" vertical="center" wrapText="1"/>
    </xf>
  </cellXfs>
  <cellStyles count="125">
    <cellStyle name="20% - Accent1 2" xfId="50"/>
    <cellStyle name="20% - Accent2 2" xfId="51"/>
    <cellStyle name="20% - Accent3 2" xfId="52"/>
    <cellStyle name="20% - Accent4 2" xfId="53"/>
    <cellStyle name="20% - Accent5 2" xfId="54"/>
    <cellStyle name="20% - Accent6 2" xfId="55"/>
    <cellStyle name="40% - Accent1 2" xfId="56"/>
    <cellStyle name="40% - Accent2 2" xfId="57"/>
    <cellStyle name="40% - Accent3 2" xfId="58"/>
    <cellStyle name="40% - Accent4 2" xfId="59"/>
    <cellStyle name="40% - Accent5 2" xfId="60"/>
    <cellStyle name="40% - Accent6 2" xfId="61"/>
    <cellStyle name="60% - Accent1 2" xfId="62"/>
    <cellStyle name="60% - Accent2 2" xfId="63"/>
    <cellStyle name="60% - Accent3 2" xfId="64"/>
    <cellStyle name="60% - Accent4 2" xfId="65"/>
    <cellStyle name="60% - Accent5 2" xfId="66"/>
    <cellStyle name="60% - Accent6 2" xfId="67"/>
    <cellStyle name="Accent1 2" xfId="68"/>
    <cellStyle name="Accent2 2" xfId="69"/>
    <cellStyle name="Accent3 2" xfId="70"/>
    <cellStyle name="Accent4 2" xfId="71"/>
    <cellStyle name="Accent5 2" xfId="72"/>
    <cellStyle name="Accent6 2" xfId="73"/>
    <cellStyle name="Bad 2" xfId="74"/>
    <cellStyle name="Calculation 2" xfId="75"/>
    <cellStyle name="Check Cell 2" xfId="76"/>
    <cellStyle name="Comma 10" xfId="1"/>
    <cellStyle name="Comma 2" xfId="2"/>
    <cellStyle name="Comma 2 2" xfId="3"/>
    <cellStyle name="Comma 3" xfId="77"/>
    <cellStyle name="Comma 4" xfId="78"/>
    <cellStyle name="Currency 2" xfId="79"/>
    <cellStyle name="Explanatory Text 2" xfId="80"/>
    <cellStyle name="Good 2" xfId="81"/>
    <cellStyle name="Grey" xfId="4"/>
    <cellStyle name="Heading 1 2" xfId="82"/>
    <cellStyle name="Heading 2 2" xfId="83"/>
    <cellStyle name="Heading 3 2" xfId="84"/>
    <cellStyle name="Heading 4 2" xfId="85"/>
    <cellStyle name="Hyperlink 2" xfId="5"/>
    <cellStyle name="Hyperlink 3" xfId="86"/>
    <cellStyle name="Input [yellow]" xfId="6"/>
    <cellStyle name="Input 2" xfId="87"/>
    <cellStyle name="integer" xfId="88"/>
    <cellStyle name="Linked Cell 2" xfId="89"/>
    <cellStyle name="Neutral 2" xfId="90"/>
    <cellStyle name="Normal" xfId="0" builtinId="0"/>
    <cellStyle name="Normal - Style1" xfId="7"/>
    <cellStyle name="Normal 10" xfId="8"/>
    <cellStyle name="Normal 10 2" xfId="91"/>
    <cellStyle name="Normal 10 2 2" xfId="9"/>
    <cellStyle name="Normal 11 2" xfId="10"/>
    <cellStyle name="Normal 13" xfId="11"/>
    <cellStyle name="Normal 15 5" xfId="12"/>
    <cellStyle name="Normal 2" xfId="13"/>
    <cellStyle name="Normal 2 10" xfId="92"/>
    <cellStyle name="Normal 2 13" xfId="14"/>
    <cellStyle name="Normal 2 2" xfId="15"/>
    <cellStyle name="Normal 2 2 2" xfId="16"/>
    <cellStyle name="Normal 2 2 3" xfId="93"/>
    <cellStyle name="Normal 2 3" xfId="17"/>
    <cellStyle name="Normal 2 3 2" xfId="18"/>
    <cellStyle name="Normal 2 4" xfId="19"/>
    <cellStyle name="Normal 2 5" xfId="20"/>
    <cellStyle name="Normal 2 5 2" xfId="94"/>
    <cellStyle name="Normal 2 6" xfId="95"/>
    <cellStyle name="Normal 2 6 2" xfId="96"/>
    <cellStyle name="Normal 2 7" xfId="97"/>
    <cellStyle name="Normal 2 8" xfId="98"/>
    <cellStyle name="Normal 2 9" xfId="99"/>
    <cellStyle name="Normal 2_1.Tha" xfId="100"/>
    <cellStyle name="Normal 3" xfId="21"/>
    <cellStyle name="Normal 3 2" xfId="22"/>
    <cellStyle name="Normal 3 2 2" xfId="23"/>
    <cellStyle name="Normal 3 2 2 2" xfId="101"/>
    <cellStyle name="Normal 3 2 2 2 4" xfId="24"/>
    <cellStyle name="Normal 3 3" xfId="48"/>
    <cellStyle name="Normal 3 4" xfId="25"/>
    <cellStyle name="Normal 3 5" xfId="102"/>
    <cellStyle name="Normal 3 6" xfId="103"/>
    <cellStyle name="Normal 3 7" xfId="104"/>
    <cellStyle name="Normal 3 8" xfId="105"/>
    <cellStyle name="Normal 3 9" xfId="106"/>
    <cellStyle name="Normal 3_est" xfId="107"/>
    <cellStyle name="Normal 4" xfId="26"/>
    <cellStyle name="Normal 4 2" xfId="108"/>
    <cellStyle name="Normal 4 3" xfId="109"/>
    <cellStyle name="Normal 4 4" xfId="110"/>
    <cellStyle name="Normal 4 5" xfId="111"/>
    <cellStyle name="Normal 4 6" xfId="112"/>
    <cellStyle name="Normal 4 7" xfId="113"/>
    <cellStyle name="Normal 4_AMST Road" xfId="114"/>
    <cellStyle name="Normal 5" xfId="27"/>
    <cellStyle name="Normal 5 2" xfId="28"/>
    <cellStyle name="Normal 5 3" xfId="29"/>
    <cellStyle name="Normal 5 4" xfId="30"/>
    <cellStyle name="Normal 5 5" xfId="31"/>
    <cellStyle name="Normal 5 6" xfId="115"/>
    <cellStyle name="Normal 5_AMST Road" xfId="116"/>
    <cellStyle name="Normal 6" xfId="32"/>
    <cellStyle name="Normal 6 2" xfId="117"/>
    <cellStyle name="Normal 7" xfId="33"/>
    <cellStyle name="Normal 7 2" xfId="34"/>
    <cellStyle name="Normal 7 3 2" xfId="49"/>
    <cellStyle name="Normal 8" xfId="35"/>
    <cellStyle name="Normal 8 2" xfId="36"/>
    <cellStyle name="Normal 9" xfId="118"/>
    <cellStyle name="Normal_Alandur Detail 2" xfId="37"/>
    <cellStyle name="Normal_Phase XI QS" xfId="38"/>
    <cellStyle name="Normal_Phase XI QS 2" xfId="39"/>
    <cellStyle name="Normal_Phase XI QS 2 2" xfId="47"/>
    <cellStyle name="Normal_Phase XI QS 4" xfId="124"/>
    <cellStyle name="Normal_test-1" xfId="40"/>
    <cellStyle name="Note 2" xfId="119"/>
    <cellStyle name="Output 2" xfId="120"/>
    <cellStyle name="Percent" xfId="41" builtinId="5"/>
    <cellStyle name="Percent [2]" xfId="42"/>
    <cellStyle name="Percent 2" xfId="43"/>
    <cellStyle name="Percent 3" xfId="44"/>
    <cellStyle name="Style 1" xfId="45"/>
    <cellStyle name="Times New Roman" xfId="46"/>
    <cellStyle name="Title 2" xfId="121"/>
    <cellStyle name="Total 2" xfId="122"/>
    <cellStyle name="Warning Text 2" xfId="123"/>
  </cellStyles>
  <dxfs count="0"/>
  <tableStyles count="0" defaultTableStyle="TableStyleMedium9"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4899</xdr:row>
      <xdr:rowOff>190500</xdr:rowOff>
    </xdr:from>
    <xdr:to>
      <xdr:col>14</xdr:col>
      <xdr:colOff>542925</xdr:colOff>
      <xdr:row>4901</xdr:row>
      <xdr:rowOff>19050</xdr:rowOff>
    </xdr:to>
    <xdr:sp macro="" textlink="">
      <xdr:nvSpPr>
        <xdr:cNvPr id="2" name="Text Box 1">
          <a:extLst>
            <a:ext uri="{FF2B5EF4-FFF2-40B4-BE49-F238E27FC236}">
              <a16:creationId xmlns="" xmlns:a16="http://schemas.microsoft.com/office/drawing/2014/main" id="{00000000-0008-0000-0100-000002000000}"/>
            </a:ext>
          </a:extLst>
        </xdr:cNvPr>
        <xdr:cNvSpPr txBox="1">
          <a:spLocks noChangeArrowheads="1"/>
        </xdr:cNvSpPr>
      </xdr:nvSpPr>
      <xdr:spPr bwMode="auto">
        <a:xfrm>
          <a:off x="11258550" y="1114767900"/>
          <a:ext cx="95250" cy="228600"/>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4915</xdr:row>
      <xdr:rowOff>190500</xdr:rowOff>
    </xdr:from>
    <xdr:to>
      <xdr:col>14</xdr:col>
      <xdr:colOff>542925</xdr:colOff>
      <xdr:row>4916</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n-314-pc\share\KASPER\Bank\DGP%20office%202022-23%20-%20Cop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hennai%20Division-II/Estimate%202020-2021/Vepery%20Fire%20and%20rescue%20service%20station%20and%20SF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hare%20313/Users/CEDB1/Desktop/karur%20150%20pc/SR-17-18-J-Karur%20%20Corrected%20on%20CE%20Office%20-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hare%20313/Chennai%20Division-II/Estimate%202019-20/MGR%20Nagar%20Police%20Statio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ichy%20Division/Estimate%202022-2023/DNA%20Lab%20Thanjavu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esktop%20bk%20up%2015.9.22\triplica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ore well"/>
      <sheetName val="Plinth detail"/>
      <sheetName val="  Coastal  Elec.Data "/>
      <sheetName val="Data"/>
      <sheetName val="Elec.Data"/>
      <sheetName val="Print data"/>
      <sheetName val="Main Detail"/>
      <sheetName val="pile data ( M30 grade) (2)"/>
      <sheetName val="Building (2)"/>
      <sheetName val="Sheet6 (2)"/>
      <sheetName val="RCC sump"/>
      <sheetName val="G. Abstract (2)"/>
      <sheetName val="pile data ( M20 grade)"/>
      <sheetName val="Abstract (21.4.18)"/>
      <sheetName val="lead  charge"/>
      <sheetName val="Elec.abs"/>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row r="18">
          <cell r="Y18">
            <v>5709</v>
          </cell>
        </row>
      </sheetData>
      <sheetData sheetId="4">
        <row r="2851">
          <cell r="P2851">
            <v>287</v>
          </cell>
        </row>
        <row r="2854">
          <cell r="P2854">
            <v>175.24</v>
          </cell>
        </row>
        <row r="3354">
          <cell r="H3354" t="str">
            <v>Mason I ( it-29 /37  ,p-12)</v>
          </cell>
        </row>
        <row r="3384">
          <cell r="H3384" t="str">
            <v>25 Amps rating single phase ELCB with 10 to 25 MA sensitivity (ISI make ) (DP) P-132   9-b havells  part -L</v>
          </cell>
          <cell r="I3384">
            <v>1492</v>
          </cell>
        </row>
        <row r="3389">
          <cell r="I3389">
            <v>1840</v>
          </cell>
        </row>
        <row r="3396">
          <cell r="I3396">
            <v>83.6</v>
          </cell>
          <cell r="L3396">
            <v>186.6</v>
          </cell>
          <cell r="M3396">
            <v>47.2</v>
          </cell>
          <cell r="N3396">
            <v>337</v>
          </cell>
          <cell r="O3396">
            <v>545</v>
          </cell>
        </row>
        <row r="3454">
          <cell r="H3454" t="str">
            <v>Single phase ELCB (ISI 25 Amps 30 MA)P-94  9-b</v>
          </cell>
          <cell r="I3454">
            <v>1492</v>
          </cell>
        </row>
        <row r="3455">
          <cell r="H3455" t="str">
            <v>3 No of 30 amps MCB ( Part -L, P-131   6-a havells)</v>
          </cell>
          <cell r="I3455">
            <v>172</v>
          </cell>
        </row>
        <row r="3545">
          <cell r="H3545" t="str">
            <v>GI pipe of 40 mm dia  (P-50 142 -iii)</v>
          </cell>
          <cell r="I3545">
            <v>161.6</v>
          </cell>
        </row>
        <row r="3553">
          <cell r="H3553" t="str">
            <v>40 x 40 x 6 mm MS angle (P-125  part -G)</v>
          </cell>
        </row>
        <row r="3578">
          <cell r="H3578" t="str">
            <v>M.S. Clamps/ Saddles 32mm (It- 3d p-130 ,part-L )</v>
          </cell>
          <cell r="I3578">
            <v>58.6</v>
          </cell>
        </row>
        <row r="3579">
          <cell r="H3579" t="str">
            <v>Brass screws  ( 40 mm x 6 no) P130  Part-L 1-c</v>
          </cell>
          <cell r="I3579">
            <v>69.400000000000006</v>
          </cell>
        </row>
        <row r="3580">
          <cell r="H3580" t="str">
            <v>TW plugs 1 1/2x 1'x2"( part-J 1-e P-129  )</v>
          </cell>
          <cell r="I3580">
            <v>287</v>
          </cell>
        </row>
        <row r="3612">
          <cell r="H3612" t="str">
            <v>GI pipe of 20 mm dia  (P-50 142 -iv)</v>
          </cell>
          <cell r="I3612">
            <v>97.7</v>
          </cell>
        </row>
        <row r="3614">
          <cell r="I3614">
            <v>47.2</v>
          </cell>
        </row>
        <row r="3634">
          <cell r="H3634" t="str">
            <v>Tube light fittings P-111 ,11a-An-VII</v>
          </cell>
          <cell r="I3634">
            <v>630</v>
          </cell>
        </row>
        <row r="3635">
          <cell r="H3635" t="str">
            <v>Tubular lamp P-110 ,4b</v>
          </cell>
          <cell r="I3635">
            <v>35.299999999999997</v>
          </cell>
        </row>
        <row r="3643">
          <cell r="H3643" t="str">
            <v>GI pipe B class of 50 mm dia  (P-50 142 -ii)</v>
          </cell>
          <cell r="I3643">
            <v>207</v>
          </cell>
        </row>
        <row r="3662">
          <cell r="I3662">
            <v>270</v>
          </cell>
        </row>
        <row r="3664">
          <cell r="I3664">
            <v>83.6</v>
          </cell>
        </row>
        <row r="3666">
          <cell r="I3666">
            <v>97.7</v>
          </cell>
        </row>
        <row r="3670">
          <cell r="H3670" t="str">
            <v>32 A DPIC switch p-117 2d, Part-C</v>
          </cell>
          <cell r="I3670">
            <v>754</v>
          </cell>
        </row>
        <row r="3683">
          <cell r="I3683">
            <v>6040</v>
          </cell>
        </row>
        <row r="3694">
          <cell r="H3694" t="str">
            <v>Add cost of 25 mm dia PVC pipe heavy dutyp-89 part -I c</v>
          </cell>
          <cell r="I3694">
            <v>25.4</v>
          </cell>
        </row>
        <row r="3699">
          <cell r="H3699" t="str">
            <v>TW board 8" x6" x3" (p-129, part-j/b)</v>
          </cell>
          <cell r="I3699">
            <v>36.799999999999997</v>
          </cell>
        </row>
        <row r="3708">
          <cell r="H3708" t="str">
            <v>TW board 4" x4" x3" (p-129, part-j/d)</v>
          </cell>
          <cell r="I3708">
            <v>13.7</v>
          </cell>
        </row>
        <row r="3710">
          <cell r="I3710">
            <v>49.5</v>
          </cell>
        </row>
        <row r="3718">
          <cell r="H3718" t="str">
            <v>65 mm dia GI pipe ' B' class p50,142-i</v>
          </cell>
          <cell r="I3718">
            <v>242</v>
          </cell>
        </row>
        <row r="3719">
          <cell r="H3719" t="str">
            <v>20 mm dia 'B' class GI pipe p- 50 it-142 iv</v>
          </cell>
          <cell r="I3719">
            <v>97.7</v>
          </cell>
        </row>
        <row r="3721">
          <cell r="I3721">
            <v>89.3</v>
          </cell>
        </row>
        <row r="3722">
          <cell r="I3722">
            <v>4600</v>
          </cell>
        </row>
        <row r="3765">
          <cell r="H3765" t="str">
            <v>1200mm A.C ceiling fan (without regulator)( Part- B 1 a p-115</v>
          </cell>
          <cell r="I3765">
            <v>1366</v>
          </cell>
        </row>
        <row r="3766">
          <cell r="I3766">
            <v>185.9</v>
          </cell>
        </row>
        <row r="3770">
          <cell r="H3770" t="str">
            <v>4' tube light fitting with \electronic ballast P-  111 7 b</v>
          </cell>
          <cell r="I3770">
            <v>442</v>
          </cell>
        </row>
        <row r="3777">
          <cell r="H3777" t="str">
            <v>4' tube light fitting with \electronic ballast p-111 it-20 c</v>
          </cell>
          <cell r="I3777">
            <v>269</v>
          </cell>
        </row>
        <row r="3778">
          <cell r="I3778">
            <v>34.5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row r="7">
          <cell r="D7">
            <v>195.54</v>
          </cell>
        </row>
        <row r="8">
          <cell r="D8">
            <v>203.64</v>
          </cell>
          <cell r="F8">
            <v>8858.34</v>
          </cell>
        </row>
        <row r="39">
          <cell r="D39">
            <v>879.19</v>
          </cell>
          <cell r="F39">
            <v>4483.87</v>
          </cell>
        </row>
        <row r="220">
          <cell r="D220">
            <v>362.44</v>
          </cell>
          <cell r="F220">
            <v>2029.66</v>
          </cell>
        </row>
        <row r="356">
          <cell r="D356">
            <v>54.5</v>
          </cell>
          <cell r="F356">
            <v>151668.04999999999</v>
          </cell>
        </row>
        <row r="357">
          <cell r="D357">
            <v>209.27</v>
          </cell>
          <cell r="F357">
            <v>10505.35</v>
          </cell>
        </row>
        <row r="358">
          <cell r="D358">
            <v>124.12</v>
          </cell>
          <cell r="F358">
            <v>12846.42</v>
          </cell>
        </row>
        <row r="369">
          <cell r="D369">
            <v>95</v>
          </cell>
          <cell r="F369">
            <v>1710</v>
          </cell>
        </row>
        <row r="374">
          <cell r="D374">
            <v>303.26</v>
          </cell>
          <cell r="F374">
            <v>3639.12</v>
          </cell>
        </row>
        <row r="375">
          <cell r="D375">
            <v>790.6</v>
          </cell>
          <cell r="F375">
            <v>9487.2000000000007</v>
          </cell>
        </row>
        <row r="376">
          <cell r="D376">
            <v>15381.73</v>
          </cell>
          <cell r="F376">
            <v>15381.73</v>
          </cell>
        </row>
        <row r="382">
          <cell r="D382">
            <v>282.89</v>
          </cell>
          <cell r="F382">
            <v>7920.92</v>
          </cell>
        </row>
        <row r="385">
          <cell r="D385">
            <v>30</v>
          </cell>
          <cell r="F385">
            <v>300</v>
          </cell>
        </row>
        <row r="403">
          <cell r="D403">
            <v>1705.74</v>
          </cell>
          <cell r="F403">
            <v>34114.800000000003</v>
          </cell>
        </row>
        <row r="405">
          <cell r="D405">
            <v>136.69999999999999</v>
          </cell>
          <cell r="F405">
            <v>3554.2</v>
          </cell>
        </row>
        <row r="419">
          <cell r="D419">
            <v>0</v>
          </cell>
        </row>
        <row r="433">
          <cell r="D433">
            <v>33.9</v>
          </cell>
          <cell r="F433">
            <v>983.1</v>
          </cell>
        </row>
        <row r="435">
          <cell r="D435">
            <v>3250</v>
          </cell>
          <cell r="F435">
            <v>13000</v>
          </cell>
        </row>
        <row r="444">
          <cell r="D444">
            <v>76</v>
          </cell>
          <cell r="F444">
            <v>912</v>
          </cell>
        </row>
        <row r="445">
          <cell r="D445">
            <v>73.599999999999994</v>
          </cell>
          <cell r="F445">
            <v>12070.4</v>
          </cell>
        </row>
        <row r="446">
          <cell r="D446">
            <v>2588</v>
          </cell>
          <cell r="F446">
            <v>7764</v>
          </cell>
        </row>
        <row r="451">
          <cell r="D451">
            <v>2292.0700000000002</v>
          </cell>
          <cell r="F451">
            <v>5271.76</v>
          </cell>
        </row>
        <row r="458">
          <cell r="D458">
            <v>1919</v>
          </cell>
          <cell r="F458">
            <v>11514</v>
          </cell>
        </row>
        <row r="459">
          <cell r="D459">
            <v>4366.75</v>
          </cell>
          <cell r="F459">
            <v>229044.77</v>
          </cell>
        </row>
        <row r="460">
          <cell r="D460">
            <v>0</v>
          </cell>
        </row>
        <row r="480">
          <cell r="D480">
            <v>0</v>
          </cell>
        </row>
        <row r="481">
          <cell r="D481">
            <v>1398.83</v>
          </cell>
          <cell r="F481">
            <v>10770.99</v>
          </cell>
        </row>
        <row r="487">
          <cell r="D487">
            <v>0</v>
          </cell>
        </row>
        <row r="488">
          <cell r="D488">
            <v>2529.69</v>
          </cell>
          <cell r="F488">
            <v>7336.1</v>
          </cell>
        </row>
        <row r="489">
          <cell r="D489">
            <v>2537.02</v>
          </cell>
          <cell r="F489">
            <v>9640.68</v>
          </cell>
        </row>
        <row r="490">
          <cell r="D490">
            <v>2544.35</v>
          </cell>
          <cell r="F490">
            <v>9668.5300000000007</v>
          </cell>
        </row>
        <row r="491">
          <cell r="D491">
            <v>2551.6799999999998</v>
          </cell>
          <cell r="F491">
            <v>7399.87</v>
          </cell>
        </row>
        <row r="507">
          <cell r="D507">
            <v>0</v>
          </cell>
        </row>
        <row r="508">
          <cell r="D508">
            <v>7288.72</v>
          </cell>
          <cell r="F508">
            <v>1262406.3</v>
          </cell>
        </row>
        <row r="509">
          <cell r="D509">
            <v>7387.61</v>
          </cell>
          <cell r="F509">
            <v>378984.39</v>
          </cell>
        </row>
        <row r="510">
          <cell r="D510">
            <v>7582.31</v>
          </cell>
          <cell r="F510">
            <v>682407.9</v>
          </cell>
        </row>
        <row r="511">
          <cell r="D511">
            <v>7777.01</v>
          </cell>
          <cell r="F511">
            <v>665712.06000000006</v>
          </cell>
        </row>
        <row r="512">
          <cell r="D512">
            <v>7971.71</v>
          </cell>
          <cell r="F512">
            <v>192118.21</v>
          </cell>
        </row>
        <row r="551">
          <cell r="D551">
            <v>2964.62</v>
          </cell>
          <cell r="F551">
            <v>133704.35999999999</v>
          </cell>
        </row>
        <row r="552">
          <cell r="D552">
            <v>284.93</v>
          </cell>
          <cell r="F552">
            <v>74309.740000000005</v>
          </cell>
        </row>
        <row r="553">
          <cell r="D553">
            <v>231.12</v>
          </cell>
          <cell r="F553">
            <v>31987.01</v>
          </cell>
        </row>
        <row r="583">
          <cell r="D583">
            <v>4201.45</v>
          </cell>
          <cell r="F583">
            <v>44955.519999999997</v>
          </cell>
        </row>
        <row r="585">
          <cell r="D585">
            <v>0</v>
          </cell>
        </row>
        <row r="586">
          <cell r="D586">
            <v>722.82</v>
          </cell>
          <cell r="F586">
            <v>385913.59999999998</v>
          </cell>
        </row>
        <row r="587">
          <cell r="D587">
            <v>813.94</v>
          </cell>
          <cell r="F587">
            <v>1459801.39</v>
          </cell>
        </row>
        <row r="588">
          <cell r="D588">
            <v>976.73</v>
          </cell>
          <cell r="F588">
            <v>357190.16</v>
          </cell>
        </row>
        <row r="589">
          <cell r="D589">
            <v>895.33</v>
          </cell>
          <cell r="F589">
            <v>40916.58</v>
          </cell>
        </row>
        <row r="591">
          <cell r="D591">
            <v>1220.9100000000001</v>
          </cell>
          <cell r="F591">
            <v>77771.97</v>
          </cell>
        </row>
        <row r="592">
          <cell r="D592">
            <v>1627.88</v>
          </cell>
          <cell r="F592">
            <v>190136.38</v>
          </cell>
        </row>
        <row r="593">
          <cell r="D593">
            <v>0</v>
          </cell>
        </row>
        <row r="594">
          <cell r="D594">
            <v>2368.27</v>
          </cell>
          <cell r="F594">
            <v>9473.08</v>
          </cell>
        </row>
        <row r="596">
          <cell r="D596">
            <v>2386.75</v>
          </cell>
          <cell r="F596">
            <v>21480.75</v>
          </cell>
        </row>
        <row r="628">
          <cell r="D628">
            <v>3359.98</v>
          </cell>
          <cell r="F628">
            <v>21839.87</v>
          </cell>
        </row>
        <row r="631">
          <cell r="D631">
            <v>2828</v>
          </cell>
          <cell r="F631">
            <v>71265.600000000006</v>
          </cell>
        </row>
        <row r="639">
          <cell r="D639">
            <v>0</v>
          </cell>
        </row>
        <row r="640">
          <cell r="D640">
            <v>519.79</v>
          </cell>
          <cell r="F640">
            <v>6029.56</v>
          </cell>
        </row>
        <row r="641">
          <cell r="D641">
            <v>523.67999999999995</v>
          </cell>
          <cell r="F641">
            <v>16024.61</v>
          </cell>
        </row>
        <row r="642">
          <cell r="D642">
            <v>527.57000000000005</v>
          </cell>
          <cell r="F642">
            <v>25745.42</v>
          </cell>
        </row>
        <row r="645">
          <cell r="D645">
            <v>0</v>
          </cell>
        </row>
        <row r="646">
          <cell r="D646">
            <v>552.77</v>
          </cell>
          <cell r="F646">
            <v>3206.07</v>
          </cell>
        </row>
        <row r="647">
          <cell r="D647">
            <v>560.55999999999995</v>
          </cell>
          <cell r="F647">
            <v>6278.27</v>
          </cell>
        </row>
        <row r="648">
          <cell r="D648">
            <v>568.35</v>
          </cell>
          <cell r="F648">
            <v>6365.52</v>
          </cell>
        </row>
        <row r="657">
          <cell r="D657">
            <v>1199.51</v>
          </cell>
          <cell r="F657">
            <v>295319.36</v>
          </cell>
        </row>
        <row r="659">
          <cell r="D659">
            <v>1048.25</v>
          </cell>
          <cell r="F659">
            <v>72224.429999999993</v>
          </cell>
        </row>
        <row r="660">
          <cell r="D660">
            <v>112.57</v>
          </cell>
          <cell r="F660">
            <v>1924.95</v>
          </cell>
        </row>
        <row r="662">
          <cell r="D662">
            <v>52.84</v>
          </cell>
          <cell r="F662">
            <v>117669.4</v>
          </cell>
        </row>
        <row r="668">
          <cell r="D668">
            <v>1828</v>
          </cell>
          <cell r="F668">
            <v>10968</v>
          </cell>
        </row>
        <row r="674">
          <cell r="D674">
            <v>641.9</v>
          </cell>
          <cell r="F674">
            <v>70865.759999999995</v>
          </cell>
        </row>
        <row r="675">
          <cell r="D675">
            <v>529.1</v>
          </cell>
          <cell r="F675">
            <v>54761.85</v>
          </cell>
        </row>
        <row r="676">
          <cell r="D676">
            <v>81.2</v>
          </cell>
          <cell r="F676">
            <v>2598.4</v>
          </cell>
        </row>
        <row r="687">
          <cell r="D687">
            <v>1284</v>
          </cell>
          <cell r="F687">
            <v>43656</v>
          </cell>
        </row>
        <row r="688">
          <cell r="D688">
            <v>219</v>
          </cell>
          <cell r="F688">
            <v>10950</v>
          </cell>
        </row>
        <row r="690">
          <cell r="D690">
            <v>187</v>
          </cell>
          <cell r="F690">
            <v>60962</v>
          </cell>
        </row>
        <row r="694">
          <cell r="D694">
            <v>1768</v>
          </cell>
          <cell r="F694">
            <v>10608</v>
          </cell>
        </row>
        <row r="702">
          <cell r="D702">
            <v>1179.79</v>
          </cell>
          <cell r="F702">
            <v>8258.5300000000007</v>
          </cell>
        </row>
        <row r="704">
          <cell r="D704">
            <v>375.7</v>
          </cell>
          <cell r="F704">
            <v>3005.6</v>
          </cell>
        </row>
        <row r="705">
          <cell r="D705">
            <v>1000</v>
          </cell>
          <cell r="F705">
            <v>2000</v>
          </cell>
        </row>
        <row r="706">
          <cell r="D706">
            <v>235</v>
          </cell>
          <cell r="F706">
            <v>2350</v>
          </cell>
        </row>
        <row r="708">
          <cell r="D708">
            <v>1489.95</v>
          </cell>
          <cell r="F708">
            <v>2979.9</v>
          </cell>
        </row>
        <row r="710">
          <cell r="D710">
            <v>2566.5</v>
          </cell>
          <cell r="F710">
            <v>7142.57</v>
          </cell>
        </row>
        <row r="711">
          <cell r="D711">
            <v>2007</v>
          </cell>
          <cell r="F711">
            <v>12042</v>
          </cell>
        </row>
        <row r="722">
          <cell r="D722">
            <v>118.08</v>
          </cell>
          <cell r="F722">
            <v>472.32</v>
          </cell>
        </row>
        <row r="727">
          <cell r="D727">
            <v>1123.4100000000001</v>
          </cell>
          <cell r="F727">
            <v>403753.55</v>
          </cell>
        </row>
        <row r="729">
          <cell r="D729">
            <v>1299.25</v>
          </cell>
          <cell r="F729">
            <v>63273.48</v>
          </cell>
        </row>
        <row r="759">
          <cell r="D759">
            <v>353</v>
          </cell>
          <cell r="F759">
            <v>1412</v>
          </cell>
        </row>
        <row r="775">
          <cell r="D775">
            <v>762</v>
          </cell>
          <cell r="F775">
            <v>6096</v>
          </cell>
        </row>
        <row r="793">
          <cell r="D793">
            <v>6893</v>
          </cell>
          <cell r="F793">
            <v>35154.300000000003</v>
          </cell>
        </row>
        <row r="794">
          <cell r="D794">
            <v>6363</v>
          </cell>
          <cell r="F794">
            <v>458136</v>
          </cell>
        </row>
        <row r="797">
          <cell r="D797">
            <v>0</v>
          </cell>
        </row>
        <row r="804">
          <cell r="D804">
            <v>2881.36</v>
          </cell>
          <cell r="F804">
            <v>47254.3</v>
          </cell>
        </row>
        <row r="809">
          <cell r="D809">
            <v>0</v>
          </cell>
        </row>
        <row r="811">
          <cell r="D811">
            <v>1896.48</v>
          </cell>
          <cell r="F811">
            <v>6068.74</v>
          </cell>
        </row>
        <row r="812">
          <cell r="D812">
            <v>1900.37</v>
          </cell>
          <cell r="F812">
            <v>6081.18</v>
          </cell>
        </row>
        <row r="840">
          <cell r="D840">
            <v>229</v>
          </cell>
          <cell r="F840">
            <v>2977</v>
          </cell>
        </row>
        <row r="841">
          <cell r="D841">
            <v>218</v>
          </cell>
          <cell r="F841">
            <v>2398</v>
          </cell>
        </row>
        <row r="844">
          <cell r="D844">
            <v>1267.8599999999999</v>
          </cell>
          <cell r="F844">
            <v>420802.73</v>
          </cell>
        </row>
        <row r="846">
          <cell r="D846">
            <v>0</v>
          </cell>
        </row>
        <row r="847">
          <cell r="D847">
            <v>359.93</v>
          </cell>
          <cell r="F847">
            <v>36712.86</v>
          </cell>
        </row>
        <row r="848">
          <cell r="D848">
            <v>587.20000000000005</v>
          </cell>
          <cell r="F848">
            <v>26424</v>
          </cell>
        </row>
        <row r="849">
          <cell r="D849">
            <v>0</v>
          </cell>
        </row>
        <row r="850">
          <cell r="D850">
            <v>156</v>
          </cell>
          <cell r="F850">
            <v>312</v>
          </cell>
        </row>
        <row r="851">
          <cell r="D851">
            <v>497</v>
          </cell>
          <cell r="F851">
            <v>994</v>
          </cell>
        </row>
        <row r="852">
          <cell r="D852">
            <v>0</v>
          </cell>
        </row>
        <row r="853">
          <cell r="D853">
            <v>186</v>
          </cell>
          <cell r="F853">
            <v>372</v>
          </cell>
        </row>
        <row r="854">
          <cell r="D854">
            <v>328</v>
          </cell>
          <cell r="F854">
            <v>656</v>
          </cell>
        </row>
        <row r="856">
          <cell r="D856">
            <v>4600.74</v>
          </cell>
          <cell r="F856">
            <v>18402.96</v>
          </cell>
        </row>
        <row r="857">
          <cell r="D857">
            <v>6410.25</v>
          </cell>
          <cell r="F857">
            <v>51282</v>
          </cell>
        </row>
        <row r="866">
          <cell r="D866">
            <v>0</v>
          </cell>
        </row>
        <row r="867">
          <cell r="D867">
            <v>1343</v>
          </cell>
          <cell r="F867">
            <v>116841</v>
          </cell>
        </row>
        <row r="868">
          <cell r="D868">
            <v>1346</v>
          </cell>
          <cell r="F868">
            <v>60570</v>
          </cell>
        </row>
        <row r="871">
          <cell r="D871">
            <v>2509</v>
          </cell>
          <cell r="F871">
            <v>30108</v>
          </cell>
        </row>
        <row r="872">
          <cell r="D872">
            <v>688</v>
          </cell>
          <cell r="F872">
            <v>27520</v>
          </cell>
        </row>
        <row r="873">
          <cell r="D873">
            <v>937</v>
          </cell>
          <cell r="F873">
            <v>20614</v>
          </cell>
        </row>
        <row r="874">
          <cell r="D874">
            <v>132</v>
          </cell>
          <cell r="F874">
            <v>3168</v>
          </cell>
        </row>
        <row r="875">
          <cell r="D875">
            <v>71393.8</v>
          </cell>
          <cell r="F875">
            <v>3744747.6</v>
          </cell>
        </row>
        <row r="876">
          <cell r="D876">
            <v>321.14</v>
          </cell>
          <cell r="F876">
            <v>44092.52</v>
          </cell>
        </row>
        <row r="881">
          <cell r="D881">
            <v>202.75</v>
          </cell>
          <cell r="F881">
            <v>19017.95</v>
          </cell>
        </row>
        <row r="882">
          <cell r="D882">
            <v>328.33</v>
          </cell>
          <cell r="F882">
            <v>372030.71999999997</v>
          </cell>
        </row>
        <row r="915">
          <cell r="D915">
            <v>8460</v>
          </cell>
          <cell r="F915">
            <v>16920</v>
          </cell>
        </row>
        <row r="921">
          <cell r="D921">
            <v>81</v>
          </cell>
          <cell r="F921">
            <v>3402</v>
          </cell>
        </row>
        <row r="922">
          <cell r="D922">
            <v>635</v>
          </cell>
          <cell r="F922">
            <v>40005</v>
          </cell>
        </row>
        <row r="923">
          <cell r="D923">
            <v>462</v>
          </cell>
          <cell r="F923">
            <v>13398</v>
          </cell>
        </row>
        <row r="924">
          <cell r="D924">
            <v>2991</v>
          </cell>
          <cell r="F924">
            <v>29910</v>
          </cell>
        </row>
        <row r="925">
          <cell r="D925">
            <v>170</v>
          </cell>
          <cell r="F925">
            <v>1700</v>
          </cell>
        </row>
        <row r="929">
          <cell r="D929">
            <v>34607</v>
          </cell>
          <cell r="F929">
            <v>103821</v>
          </cell>
        </row>
        <row r="930">
          <cell r="D930">
            <v>410</v>
          </cell>
          <cell r="F930">
            <v>23575</v>
          </cell>
        </row>
        <row r="931">
          <cell r="D931">
            <v>301</v>
          </cell>
          <cell r="F931">
            <v>3010</v>
          </cell>
        </row>
        <row r="941">
          <cell r="D941">
            <v>13283</v>
          </cell>
          <cell r="F941">
            <v>26566</v>
          </cell>
        </row>
        <row r="945">
          <cell r="D945">
            <v>166</v>
          </cell>
          <cell r="F945">
            <v>24900</v>
          </cell>
        </row>
        <row r="953">
          <cell r="D953">
            <v>0</v>
          </cell>
        </row>
        <row r="955">
          <cell r="D955">
            <v>584</v>
          </cell>
          <cell r="F955">
            <v>91688</v>
          </cell>
        </row>
        <row r="978">
          <cell r="D978">
            <v>150</v>
          </cell>
          <cell r="F978">
            <v>300</v>
          </cell>
        </row>
        <row r="981">
          <cell r="D981">
            <v>0</v>
          </cell>
        </row>
        <row r="982">
          <cell r="D982">
            <v>2650</v>
          </cell>
          <cell r="F982">
            <v>39750</v>
          </cell>
        </row>
        <row r="984">
          <cell r="D984">
            <v>90</v>
          </cell>
          <cell r="F984">
            <v>7128</v>
          </cell>
        </row>
        <row r="985">
          <cell r="D985">
            <v>364.41</v>
          </cell>
          <cell r="F985">
            <v>2915.28</v>
          </cell>
        </row>
        <row r="986">
          <cell r="D986">
            <v>6250</v>
          </cell>
          <cell r="F986">
            <v>6250</v>
          </cell>
        </row>
        <row r="999">
          <cell r="D999">
            <v>325.89999999999998</v>
          </cell>
          <cell r="F999">
            <v>35849</v>
          </cell>
        </row>
        <row r="1001">
          <cell r="D1001">
            <v>1709.45</v>
          </cell>
          <cell r="F1001">
            <v>13675.6</v>
          </cell>
        </row>
      </sheetData>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20 grade)"/>
      <sheetName val="pile data (2)"/>
      <sheetName val="  Coastal  Elec.Data "/>
      <sheetName val="duplicate"/>
      <sheetName val="lead  charge"/>
      <sheetName val="Elec.Data"/>
      <sheetName val="Elec.abs"/>
      <sheetName val="Data"/>
      <sheetName val="Develop"/>
      <sheetName val="Building (2)"/>
      <sheetName val="Det for 8 in 1 G+3 (2)"/>
      <sheetName val="Det for 8 in 1 G+3"/>
      <sheetName val="Det for 4 in 1 G+3"/>
      <sheetName val="Det for 6 in 1 G+2"/>
      <sheetName val="Building+Dev( Main)"/>
      <sheetName val="Building+Dev( Coding)"/>
      <sheetName val="Dev (cod)"/>
      <sheetName val="Abstract"/>
      <sheetName val="G.Abstract"/>
      <sheetName val="Sheet1"/>
      <sheetName val="data -1"/>
      <sheetName val="Water tank"/>
      <sheetName val="sump"/>
      <sheetName val="PP"/>
      <sheetName val="paver road"/>
      <sheetName val="culvert"/>
      <sheetName val="septic tank"/>
      <sheetName val="sull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867">
          <cell r="AD867">
            <v>142895581.52000001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010">
          <cell r="V1010">
            <v>13097514.1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
      <sheetName val="building"/>
      <sheetName val="G. Abstract"/>
      <sheetName val="pile data "/>
      <sheetName val="  Coastal  Elec.Data "/>
      <sheetName val="lead  charge"/>
      <sheetName val="Elec.Data"/>
      <sheetName val="Data"/>
      <sheetName val="spl data"/>
      <sheetName val="Sliding and french window"/>
      <sheetName val="Sheet2"/>
    </sheetNames>
    <sheetDataSet>
      <sheetData sheetId="0" refreshError="1"/>
      <sheetData sheetId="1"/>
      <sheetData sheetId="2">
        <row r="1">
          <cell r="A1" t="str">
            <v xml:space="preserve">Name of work :  Construction of New Building For DNA Analysis Division , Regional Forensic Laboratory  with development works at Thanjavur in Thanjavur District </v>
          </cell>
        </row>
        <row r="1175">
          <cell r="Y1175">
            <v>28992907.280000001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pile data ( M30 grade) (2)"/>
      <sheetName val="Chart1"/>
      <sheetName val="2 in 1 incl. F.E."/>
      <sheetName val="pile data "/>
      <sheetName val="  Coastal  Elec.Data "/>
      <sheetName val="lead  charge"/>
      <sheetName val="Elec.Data"/>
      <sheetName val="Sliding and french window"/>
      <sheetName val="Data"/>
      <sheetName val="G. Abstract "/>
      <sheetName val="Abstract"/>
      <sheetName val="building"/>
      <sheetName val="Sheet1"/>
      <sheetName val="Sheet2"/>
    </sheetNames>
    <sheetDataSet>
      <sheetData sheetId="0"/>
      <sheetData sheetId="1" refreshError="1"/>
      <sheetData sheetId="2"/>
      <sheetData sheetId="3"/>
      <sheetData sheetId="4"/>
      <sheetData sheetId="5"/>
      <sheetData sheetId="6"/>
      <sheetData sheetId="7">
        <row r="1053">
          <cell r="I1053">
            <v>111600</v>
          </cell>
        </row>
      </sheetData>
      <sheetData sheetId="8">
        <row r="1053">
          <cell r="I1053">
            <v>111600</v>
          </cell>
        </row>
        <row r="1054">
          <cell r="I1054">
            <v>99400</v>
          </cell>
        </row>
        <row r="1055">
          <cell r="I1055">
            <v>387.4</v>
          </cell>
        </row>
        <row r="1056">
          <cell r="I1056">
            <v>1275.75</v>
          </cell>
        </row>
        <row r="1057">
          <cell r="H1057" t="str">
            <v xml:space="preserve"> 6"X1/2"TOWER BOLT (p-40)</v>
          </cell>
          <cell r="I1057">
            <v>64.8</v>
          </cell>
        </row>
        <row r="1058">
          <cell r="I1058">
            <v>89.6</v>
          </cell>
        </row>
        <row r="1059">
          <cell r="I1059">
            <v>181</v>
          </cell>
        </row>
        <row r="1060">
          <cell r="I1060">
            <v>7.3</v>
          </cell>
        </row>
        <row r="1061">
          <cell r="I1061">
            <v>57.65</v>
          </cell>
        </row>
        <row r="1062">
          <cell r="I1062">
            <v>49.55</v>
          </cell>
        </row>
        <row r="1063">
          <cell r="I1063">
            <v>2.41</v>
          </cell>
        </row>
      </sheetData>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C:\Users\BASKAR\Desktop\Final%20Tey%20FS%20Estimate%2020.12.2022\2273" TargetMode="External"/><Relationship Id="rId1" Type="http://schemas.openxmlformats.org/officeDocument/2006/relationships/hyperlink" Target="file:///C:\Users\BASKAR\Desktop\Final%20Tey%20FS%20Estimate%2020.12.2022\2273" TargetMode="External"/><Relationship Id="rId4"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77" zoomScale="115" zoomScaleSheetLayoutView="115" workbookViewId="0">
      <selection activeCell="F94" sqref="F94"/>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527" t="s">
        <v>4070</v>
      </c>
      <c r="B1" s="1527"/>
      <c r="C1" s="1527"/>
      <c r="D1" s="1527"/>
      <c r="E1" s="1527"/>
      <c r="F1" s="1527"/>
    </row>
    <row r="2" spans="1:7" ht="17.25" customHeight="1">
      <c r="A2" s="1527" t="s">
        <v>4069</v>
      </c>
      <c r="B2" s="1527"/>
      <c r="C2" s="1527"/>
      <c r="D2" s="1527"/>
      <c r="E2" s="1527"/>
      <c r="F2" s="1527"/>
    </row>
    <row r="3" spans="1:7" ht="31.5" customHeight="1">
      <c r="A3" s="1528" t="s">
        <v>4311</v>
      </c>
      <c r="B3" s="1528"/>
      <c r="C3" s="1528"/>
      <c r="D3" s="1528"/>
      <c r="E3" s="1528"/>
      <c r="F3" s="1528"/>
    </row>
    <row r="4" spans="1:7" ht="17.25">
      <c r="A4" s="1529" t="s">
        <v>4831</v>
      </c>
      <c r="B4" s="1529"/>
      <c r="C4" s="1529"/>
      <c r="D4" s="1529"/>
      <c r="E4" s="1529"/>
      <c r="F4" s="581"/>
    </row>
    <row r="5" spans="1:7" ht="6" customHeight="1">
      <c r="A5" s="581"/>
      <c r="B5" s="581"/>
      <c r="C5" s="581"/>
      <c r="D5" s="581"/>
      <c r="E5" s="581"/>
      <c r="F5" s="581"/>
    </row>
    <row r="6" spans="1:7" ht="45.75" customHeight="1">
      <c r="B6" s="599"/>
      <c r="C6" s="1530" t="s">
        <v>4833</v>
      </c>
      <c r="D6" s="1530"/>
      <c r="E6" s="1530"/>
      <c r="F6" s="599"/>
      <c r="G6" s="4" t="s">
        <v>2190</v>
      </c>
    </row>
    <row r="7" spans="1:7" ht="24" customHeight="1">
      <c r="A7" s="598"/>
      <c r="B7" s="1523" t="s">
        <v>4832</v>
      </c>
      <c r="C7" s="1523"/>
      <c r="D7" s="1523"/>
      <c r="E7" s="1523"/>
      <c r="F7" s="1523"/>
      <c r="G7" s="50">
        <f>ROUND(3.14*0.75*0.75*8/4,2)</f>
        <v>3.53</v>
      </c>
    </row>
    <row r="8" spans="1:7" ht="28.5" customHeight="1">
      <c r="A8" s="590"/>
      <c r="B8" s="590"/>
      <c r="C8" s="597" t="s">
        <v>4067</v>
      </c>
      <c r="D8" s="590"/>
      <c r="E8" s="590"/>
      <c r="F8" s="590"/>
    </row>
    <row r="9" spans="1:7" ht="30.75" customHeight="1">
      <c r="A9" s="592">
        <f>G7</f>
        <v>3.53</v>
      </c>
      <c r="B9" s="590" t="s">
        <v>2190</v>
      </c>
      <c r="C9" s="590" t="s">
        <v>4181</v>
      </c>
      <c r="D9" s="581"/>
      <c r="E9" s="591">
        <f>Data!Y688</f>
        <v>8472.39</v>
      </c>
      <c r="F9" s="591">
        <f>A9*E9</f>
        <v>29907.54</v>
      </c>
    </row>
    <row r="10" spans="1:7" ht="30.75" customHeight="1">
      <c r="A10" s="596">
        <f>A9*10/100</f>
        <v>0.35299999999999998</v>
      </c>
      <c r="B10" s="590" t="s">
        <v>535</v>
      </c>
      <c r="C10" s="590" t="s">
        <v>5462</v>
      </c>
      <c r="D10" s="581"/>
      <c r="E10" s="591">
        <f>6.05*1000</f>
        <v>6050</v>
      </c>
      <c r="F10" s="591">
        <f>A10*E10</f>
        <v>2135.65</v>
      </c>
    </row>
    <row r="11" spans="1:7" ht="30.75" customHeight="1">
      <c r="A11" s="591">
        <v>8</v>
      </c>
      <c r="B11" s="590" t="s">
        <v>842</v>
      </c>
      <c r="C11" s="590" t="s">
        <v>2691</v>
      </c>
      <c r="D11" s="581"/>
      <c r="E11" s="902">
        <v>960</v>
      </c>
      <c r="F11" s="591">
        <f>A11*E11</f>
        <v>7680</v>
      </c>
    </row>
    <row r="12" spans="1:7" ht="21" customHeight="1">
      <c r="A12" s="590"/>
      <c r="B12" s="590"/>
      <c r="C12" s="590"/>
      <c r="D12" s="581"/>
      <c r="E12" s="590"/>
      <c r="F12" s="590"/>
    </row>
    <row r="13" spans="1:7" ht="21" customHeight="1">
      <c r="A13" s="590"/>
      <c r="B13" s="590"/>
      <c r="C13" s="590" t="s">
        <v>4064</v>
      </c>
      <c r="D13" s="581"/>
      <c r="E13" s="590"/>
      <c r="F13" s="591">
        <f>SUM(F9:F12)</f>
        <v>39723.19</v>
      </c>
    </row>
    <row r="14" spans="1:7" ht="21" customHeight="1">
      <c r="A14" s="590"/>
      <c r="B14" s="590"/>
      <c r="C14" s="590" t="s">
        <v>1670</v>
      </c>
      <c r="D14" s="581"/>
      <c r="E14" s="590"/>
      <c r="F14" s="591">
        <f>F13/8</f>
        <v>4965.3999999999996</v>
      </c>
    </row>
    <row r="15" spans="1:7" ht="21" customHeight="1">
      <c r="A15" s="590"/>
      <c r="B15" s="590"/>
      <c r="C15" s="590" t="s">
        <v>4063</v>
      </c>
      <c r="D15" s="581"/>
      <c r="E15" s="590"/>
      <c r="F15" s="590">
        <f>1000/8</f>
        <v>125</v>
      </c>
    </row>
    <row r="16" spans="1:7" ht="21" customHeight="1">
      <c r="A16" s="590"/>
      <c r="B16" s="590"/>
      <c r="C16" s="590"/>
      <c r="D16" s="581"/>
      <c r="E16" s="590"/>
      <c r="F16" s="590"/>
    </row>
    <row r="17" spans="1:13" ht="21" customHeight="1">
      <c r="A17" s="590"/>
      <c r="B17" s="590"/>
      <c r="C17" s="590" t="s">
        <v>1670</v>
      </c>
      <c r="D17" s="581"/>
      <c r="E17" s="590"/>
      <c r="F17" s="589">
        <f>SUM(F14:F16)</f>
        <v>5090.3999999999996</v>
      </c>
    </row>
    <row r="18" spans="1:13" ht="21" customHeight="1">
      <c r="A18" s="590"/>
      <c r="B18" s="590"/>
      <c r="C18" s="590" t="s">
        <v>4062</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524" t="s">
        <v>4061</v>
      </c>
      <c r="D21" s="1524"/>
      <c r="E21" s="1524"/>
      <c r="F21" s="595"/>
    </row>
    <row r="22" spans="1:13" ht="30.75" customHeight="1">
      <c r="A22" s="594"/>
      <c r="B22" s="1523" t="s">
        <v>4060</v>
      </c>
      <c r="C22" s="1523"/>
      <c r="D22" s="1523"/>
      <c r="E22" s="1523"/>
      <c r="F22" s="1523"/>
      <c r="G22" s="50">
        <v>0.19600000000000001</v>
      </c>
    </row>
    <row r="23" spans="1:13" ht="30.75" customHeight="1">
      <c r="A23" s="590"/>
      <c r="B23" s="590"/>
      <c r="C23" s="593" t="s">
        <v>4059</v>
      </c>
      <c r="D23" s="590"/>
      <c r="E23" s="590"/>
      <c r="F23" s="590"/>
    </row>
    <row r="24" spans="1:13" ht="30.75" customHeight="1">
      <c r="A24" s="592">
        <f>G22</f>
        <v>0.19600000000000001</v>
      </c>
      <c r="B24" s="590" t="s">
        <v>2190</v>
      </c>
      <c r="C24" s="590" t="s">
        <v>5769</v>
      </c>
      <c r="D24" s="581"/>
      <c r="E24" s="591">
        <f>Data!AE62</f>
        <v>7018</v>
      </c>
      <c r="F24" s="591">
        <f>A24*E24</f>
        <v>1375.53</v>
      </c>
    </row>
    <row r="25" spans="1:13" ht="42.75" customHeight="1">
      <c r="A25" s="592">
        <f>+A24</f>
        <v>0.19600000000000001</v>
      </c>
      <c r="B25" s="590" t="s">
        <v>2190</v>
      </c>
      <c r="C25" s="1525" t="s">
        <v>5770</v>
      </c>
      <c r="D25" s="1525"/>
      <c r="E25" s="591">
        <f>Data!AE63*3</f>
        <v>37.799999999999997</v>
      </c>
      <c r="F25" s="591">
        <f>E25*A25</f>
        <v>7.41</v>
      </c>
      <c r="I25">
        <f>8.69*0.125</f>
        <v>1.0900000000000001</v>
      </c>
    </row>
    <row r="26" spans="1:13" ht="36" customHeight="1">
      <c r="A26" s="592">
        <f>+A25</f>
        <v>0.19600000000000001</v>
      </c>
      <c r="B26" s="590" t="s">
        <v>2190</v>
      </c>
      <c r="C26" s="590" t="s">
        <v>4490</v>
      </c>
      <c r="D26" s="581"/>
      <c r="E26" s="591">
        <f>Data!AE64</f>
        <v>48.68</v>
      </c>
      <c r="F26" s="591">
        <f>A26*E26</f>
        <v>9.5399999999999991</v>
      </c>
      <c r="I26" s="36">
        <f>0.125*26.3</f>
        <v>3.29</v>
      </c>
    </row>
    <row r="27" spans="1:13" ht="17.25">
      <c r="A27" s="591"/>
      <c r="B27" s="590"/>
      <c r="C27" s="590"/>
      <c r="D27" s="581"/>
      <c r="E27" s="591"/>
      <c r="F27" s="591"/>
      <c r="I27">
        <f>26.58/3</f>
        <v>8.86</v>
      </c>
    </row>
    <row r="28" spans="1:13" ht="17.25">
      <c r="A28" s="590"/>
      <c r="B28" s="590"/>
      <c r="C28" s="590" t="s">
        <v>1670</v>
      </c>
      <c r="D28" s="581"/>
      <c r="E28" s="590"/>
      <c r="F28" s="589">
        <f>SUM(F24:F27)</f>
        <v>1392.48</v>
      </c>
    </row>
    <row r="29" spans="1:13" ht="17.25">
      <c r="A29" s="581"/>
      <c r="B29" s="581"/>
      <c r="C29" s="581"/>
      <c r="D29" s="581"/>
      <c r="E29" s="581"/>
      <c r="F29" s="581"/>
    </row>
    <row r="30" spans="1:13" ht="51" customHeight="1">
      <c r="B30" s="588"/>
      <c r="C30" s="1526" t="s">
        <v>4056</v>
      </c>
      <c r="D30" s="1526"/>
      <c r="E30" s="1526"/>
      <c r="F30" s="588"/>
    </row>
    <row r="31" spans="1:13" ht="17.25">
      <c r="A31" s="581"/>
      <c r="B31" s="581"/>
      <c r="C31" s="581"/>
      <c r="D31" s="581"/>
      <c r="E31" s="581"/>
      <c r="F31" s="581"/>
      <c r="M31">
        <f>8.69*3</f>
        <v>26.07</v>
      </c>
    </row>
    <row r="32" spans="1:13" ht="60" customHeight="1">
      <c r="A32" s="584" t="s">
        <v>4054</v>
      </c>
      <c r="B32" s="584">
        <v>3</v>
      </c>
      <c r="C32" s="587" t="s">
        <v>4055</v>
      </c>
      <c r="E32" s="591">
        <v>9.16</v>
      </c>
      <c r="F32" s="591"/>
      <c r="G32" s="584">
        <f>E32*B32</f>
        <v>27.48</v>
      </c>
    </row>
    <row r="33" spans="1:10" ht="21.75" customHeight="1">
      <c r="A33" s="584" t="s">
        <v>4054</v>
      </c>
      <c r="B33" s="584">
        <v>3</v>
      </c>
      <c r="C33" s="586" t="s">
        <v>4053</v>
      </c>
      <c r="E33" s="591">
        <v>30.1</v>
      </c>
      <c r="F33" s="591"/>
      <c r="G33" s="584">
        <f>E33*B33</f>
        <v>90.3</v>
      </c>
      <c r="J33" t="s">
        <v>4491</v>
      </c>
    </row>
    <row r="34" spans="1:10" ht="17.25">
      <c r="A34" s="584"/>
      <c r="B34" s="584"/>
      <c r="C34" s="585"/>
      <c r="E34" s="591"/>
      <c r="F34" s="591"/>
      <c r="G34" s="584"/>
    </row>
    <row r="35" spans="1:10" ht="17.25">
      <c r="A35" s="584"/>
      <c r="B35" s="584"/>
      <c r="C35" s="585" t="s">
        <v>4052</v>
      </c>
      <c r="E35" s="584"/>
      <c r="F35" s="584"/>
      <c r="G35" s="583">
        <f>SUM(G32:G34)</f>
        <v>117.78</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B40" s="36">
        <v>4.2</v>
      </c>
      <c r="C40" s="36" t="s">
        <v>4158</v>
      </c>
    </row>
    <row r="41" spans="1:10" ht="24" customHeight="1">
      <c r="A41" s="50">
        <v>5</v>
      </c>
      <c r="B41" t="s">
        <v>1365</v>
      </c>
      <c r="C41" t="s">
        <v>4167</v>
      </c>
      <c r="D41">
        <f>Data!V675</f>
        <v>1704.69</v>
      </c>
      <c r="F41">
        <f>D41*A41</f>
        <v>8523.4500000000007</v>
      </c>
    </row>
    <row r="42" spans="1:10" ht="24" customHeight="1">
      <c r="A42" s="50">
        <v>3.3</v>
      </c>
      <c r="B42" t="s">
        <v>1365</v>
      </c>
      <c r="C42" t="s">
        <v>4168</v>
      </c>
      <c r="D42">
        <f>Data!V676</f>
        <v>1419.19</v>
      </c>
      <c r="F42">
        <f t="shared" ref="F42:F48" si="0">D42*A42</f>
        <v>4683.33</v>
      </c>
    </row>
    <row r="43" spans="1:10" ht="24" customHeight="1">
      <c r="A43" s="50">
        <v>4.79</v>
      </c>
      <c r="B43" t="s">
        <v>1365</v>
      </c>
      <c r="C43" t="s">
        <v>4169</v>
      </c>
      <c r="D43">
        <f>Data!V677</f>
        <v>1608.7</v>
      </c>
      <c r="F43">
        <f t="shared" si="0"/>
        <v>7705.67</v>
      </c>
    </row>
    <row r="44" spans="1:10" ht="24" customHeight="1">
      <c r="A44" s="50">
        <v>4</v>
      </c>
      <c r="B44" t="s">
        <v>535</v>
      </c>
      <c r="C44" t="s">
        <v>395</v>
      </c>
      <c r="D44">
        <f>Data!V678</f>
        <v>6040</v>
      </c>
      <c r="F44">
        <f t="shared" si="0"/>
        <v>24160</v>
      </c>
    </row>
    <row r="45" spans="1:10" ht="24" customHeight="1">
      <c r="A45" s="50">
        <v>40</v>
      </c>
      <c r="B45" t="s">
        <v>1676</v>
      </c>
      <c r="C45" t="s">
        <v>4176</v>
      </c>
      <c r="D45">
        <f>Data!V679</f>
        <v>43.2</v>
      </c>
      <c r="F45">
        <f t="shared" si="0"/>
        <v>1728</v>
      </c>
    </row>
    <row r="46" spans="1:10" ht="24" customHeight="1">
      <c r="A46" s="50">
        <v>3.5</v>
      </c>
      <c r="B46" t="s">
        <v>1457</v>
      </c>
      <c r="C46" t="s">
        <v>471</v>
      </c>
      <c r="D46">
        <f>Data!V680</f>
        <v>972.4</v>
      </c>
      <c r="F46">
        <f>D46*A46</f>
        <v>3403.4</v>
      </c>
    </row>
    <row r="47" spans="1:10" ht="24" customHeight="1">
      <c r="A47" s="50">
        <v>21.2</v>
      </c>
      <c r="B47" t="s">
        <v>1457</v>
      </c>
      <c r="C47" t="s">
        <v>3539</v>
      </c>
      <c r="D47">
        <f>Data!V681</f>
        <v>679.8</v>
      </c>
      <c r="F47">
        <f t="shared" si="0"/>
        <v>14411.76</v>
      </c>
    </row>
    <row r="48" spans="1:10" ht="24" customHeight="1">
      <c r="A48" s="50">
        <v>35.299999999999997</v>
      </c>
      <c r="B48" t="s">
        <v>1457</v>
      </c>
      <c r="C48" t="s">
        <v>3540</v>
      </c>
      <c r="D48">
        <f>Data!V682</f>
        <v>557.70000000000005</v>
      </c>
      <c r="F48">
        <f t="shared" si="0"/>
        <v>19686.810000000001</v>
      </c>
    </row>
    <row r="49" spans="1:8" ht="24" customHeight="1">
      <c r="A49" s="50"/>
      <c r="C49" s="36" t="s">
        <v>4171</v>
      </c>
      <c r="D49">
        <f>Data!V683</f>
        <v>0</v>
      </c>
      <c r="F49" s="36">
        <f>SUM(F41:F48)</f>
        <v>84302.42</v>
      </c>
    </row>
    <row r="50" spans="1:8" ht="24" customHeight="1">
      <c r="A50" s="50"/>
      <c r="C50" s="36" t="s">
        <v>4172</v>
      </c>
      <c r="D50">
        <f>Data!V684</f>
        <v>0</v>
      </c>
      <c r="F50" s="36">
        <f>F49/10</f>
        <v>8430.24</v>
      </c>
      <c r="G50">
        <f>F50</f>
        <v>8430.24</v>
      </c>
    </row>
    <row r="51" spans="1:8" ht="24" customHeight="1">
      <c r="A51" s="50">
        <v>1</v>
      </c>
      <c r="B51" t="s">
        <v>1365</v>
      </c>
      <c r="C51" t="s">
        <v>3541</v>
      </c>
      <c r="D51">
        <f>Data!V685</f>
        <v>98.34</v>
      </c>
      <c r="F51">
        <f>D51</f>
        <v>98.34</v>
      </c>
    </row>
    <row r="52" spans="1:8" ht="24" customHeight="1">
      <c r="A52" s="50"/>
      <c r="C52" t="s">
        <v>4173</v>
      </c>
      <c r="F52" s="36">
        <f>SUM(F50:F51)</f>
        <v>8528.58</v>
      </c>
      <c r="G52">
        <f>SUM(G50:G51)</f>
        <v>8430.24</v>
      </c>
    </row>
    <row r="53" spans="1:8">
      <c r="A53" s="416" t="s">
        <v>669</v>
      </c>
      <c r="C53" t="s">
        <v>4174</v>
      </c>
      <c r="D53" s="416" t="s">
        <v>669</v>
      </c>
      <c r="F53">
        <f>F52*0.5%</f>
        <v>42.64</v>
      </c>
      <c r="G53">
        <f>G52*0.5/100</f>
        <v>42.15</v>
      </c>
    </row>
    <row r="54" spans="1:8" ht="47.25">
      <c r="A54" s="50"/>
      <c r="B54" s="3"/>
      <c r="C54" s="36" t="s">
        <v>3667</v>
      </c>
      <c r="E54" s="10"/>
      <c r="F54" s="38">
        <f>SUM(F52:F53)</f>
        <v>8571.2199999999993</v>
      </c>
      <c r="G54" s="36">
        <f>SUM(G52:G53)</f>
        <v>8472.39</v>
      </c>
      <c r="H54" s="408" t="s">
        <v>4185</v>
      </c>
    </row>
    <row r="55" spans="1:8">
      <c r="A55" s="50"/>
      <c r="B55" s="3"/>
      <c r="E55" s="10"/>
      <c r="F55" s="5" t="s">
        <v>1615</v>
      </c>
    </row>
    <row r="56" spans="1:8">
      <c r="A56" s="50"/>
      <c r="B56" s="3"/>
      <c r="C56" s="1" t="s">
        <v>391</v>
      </c>
      <c r="E56" s="10"/>
      <c r="F56" s="38">
        <f>F54+Data!C23</f>
        <v>8817.4</v>
      </c>
    </row>
    <row r="57" spans="1:8">
      <c r="A57" s="50"/>
      <c r="B57" s="3"/>
      <c r="C57" s="1" t="s">
        <v>393</v>
      </c>
      <c r="E57" s="10"/>
      <c r="F57" s="655"/>
    </row>
    <row r="58" spans="1:8">
      <c r="A58" s="50"/>
      <c r="B58" s="3"/>
      <c r="C58" s="1" t="s">
        <v>2271</v>
      </c>
      <c r="E58" s="10"/>
      <c r="F58" s="38">
        <f>F56+Data!C25</f>
        <v>8915.74</v>
      </c>
    </row>
    <row r="59" spans="1:8">
      <c r="A59" s="50"/>
      <c r="B59" s="3"/>
      <c r="C59" s="1" t="s">
        <v>385</v>
      </c>
      <c r="E59" s="10"/>
      <c r="F59" s="38"/>
    </row>
    <row r="60" spans="1:8">
      <c r="A60" s="50"/>
      <c r="B60" s="3"/>
      <c r="C60" s="1" t="s">
        <v>1560</v>
      </c>
      <c r="E60" s="10"/>
      <c r="F60" s="38">
        <f>F58+Data!C27</f>
        <v>8951.44</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527" t="s">
        <v>4070</v>
      </c>
      <c r="B65" s="1527"/>
      <c r="C65" s="1527"/>
      <c r="D65" s="1527"/>
      <c r="E65" s="1527"/>
      <c r="F65" s="1527"/>
    </row>
    <row r="66" spans="1:7" ht="17.25">
      <c r="A66" s="1527" t="s">
        <v>4069</v>
      </c>
      <c r="B66" s="1527"/>
      <c r="C66" s="1527"/>
      <c r="D66" s="1527"/>
      <c r="E66" s="1527"/>
      <c r="F66" s="1527"/>
    </row>
    <row r="67" spans="1:7" ht="17.25">
      <c r="A67" s="1528" t="s">
        <v>4311</v>
      </c>
      <c r="B67" s="1528"/>
      <c r="C67" s="1528"/>
      <c r="D67" s="1528"/>
      <c r="E67" s="1528"/>
      <c r="F67" s="1528"/>
    </row>
    <row r="68" spans="1:7" ht="17.25">
      <c r="A68" s="1529" t="s">
        <v>4068</v>
      </c>
      <c r="B68" s="1529"/>
      <c r="C68" s="1529"/>
      <c r="D68" s="1529"/>
      <c r="E68" s="1529"/>
      <c r="F68" s="581"/>
    </row>
    <row r="69" spans="1:7" ht="17.25">
      <c r="A69" s="581"/>
      <c r="B69" s="581"/>
      <c r="C69" s="581"/>
      <c r="D69" s="581"/>
      <c r="E69" s="581"/>
      <c r="F69" s="581"/>
    </row>
    <row r="70" spans="1:7" ht="19.5">
      <c r="B70" s="599"/>
      <c r="C70" s="1530" t="s">
        <v>4312</v>
      </c>
      <c r="D70" s="1530"/>
      <c r="E70" s="1530"/>
      <c r="F70" s="599"/>
      <c r="G70" s="4" t="s">
        <v>2190</v>
      </c>
    </row>
    <row r="71" spans="1:7" ht="20.25">
      <c r="A71" s="598"/>
      <c r="B71" s="1523" t="s">
        <v>4313</v>
      </c>
      <c r="C71" s="1523"/>
      <c r="D71" s="1523"/>
      <c r="E71" s="1523"/>
      <c r="F71" s="1523"/>
      <c r="G71" s="50">
        <f>ROUND(3.14*0.45*0.45*8/4,2)</f>
        <v>1.27</v>
      </c>
    </row>
    <row r="72" spans="1:7" ht="39" customHeight="1">
      <c r="A72" s="590"/>
      <c r="B72" s="590"/>
      <c r="C72" s="767" t="s">
        <v>4318</v>
      </c>
      <c r="D72" s="590"/>
      <c r="E72" s="590"/>
      <c r="F72" s="590"/>
      <c r="G72" s="50">
        <v>1.272</v>
      </c>
    </row>
    <row r="73" spans="1:7" ht="28.5" customHeight="1">
      <c r="A73" s="592">
        <f>G72</f>
        <v>1.272</v>
      </c>
      <c r="B73" s="590" t="s">
        <v>2190</v>
      </c>
      <c r="C73" s="590" t="s">
        <v>4181</v>
      </c>
      <c r="D73" s="581"/>
      <c r="E73" s="591">
        <f>G54</f>
        <v>8472.39</v>
      </c>
      <c r="F73" s="591">
        <f>A73*E73</f>
        <v>10776.88</v>
      </c>
    </row>
    <row r="74" spans="1:7" ht="28.5" customHeight="1">
      <c r="A74" s="596">
        <f>A73*10/100</f>
        <v>0.12720000000000001</v>
      </c>
      <c r="B74" s="590" t="s">
        <v>535</v>
      </c>
      <c r="C74" s="590" t="s">
        <v>4065</v>
      </c>
      <c r="D74" s="581"/>
      <c r="E74" s="591">
        <v>6050</v>
      </c>
      <c r="F74" s="591">
        <f>A74*E74</f>
        <v>769.56</v>
      </c>
    </row>
    <row r="75" spans="1:7" ht="28.5" customHeight="1">
      <c r="A75" s="591">
        <v>8</v>
      </c>
      <c r="B75" s="590" t="s">
        <v>842</v>
      </c>
      <c r="C75" s="590" t="s">
        <v>2691</v>
      </c>
      <c r="D75" s="581"/>
      <c r="E75" s="591">
        <v>975</v>
      </c>
      <c r="F75" s="591">
        <f>A75*E75</f>
        <v>7800</v>
      </c>
    </row>
    <row r="76" spans="1:7" ht="17.25">
      <c r="A76" s="590"/>
      <c r="B76" s="590"/>
      <c r="C76" s="590"/>
      <c r="D76" s="581"/>
      <c r="E76" s="590"/>
      <c r="F76" s="590"/>
    </row>
    <row r="77" spans="1:7" ht="17.25">
      <c r="A77" s="590"/>
      <c r="B77" s="590"/>
      <c r="C77" s="590" t="s">
        <v>4064</v>
      </c>
      <c r="D77" s="581"/>
      <c r="E77" s="590"/>
      <c r="F77" s="591">
        <f>SUM(F73:F76)</f>
        <v>19346.439999999999</v>
      </c>
    </row>
    <row r="78" spans="1:7" ht="17.25">
      <c r="A78" s="590"/>
      <c r="B78" s="590"/>
      <c r="C78" s="590" t="s">
        <v>1670</v>
      </c>
      <c r="D78" s="581"/>
      <c r="E78" s="590"/>
      <c r="F78" s="591">
        <f>F77/8</f>
        <v>2418.31</v>
      </c>
    </row>
    <row r="79" spans="1:7" ht="17.25">
      <c r="A79" s="590"/>
      <c r="B79" s="590"/>
      <c r="C79" s="590" t="s">
        <v>4063</v>
      </c>
      <c r="D79" s="581"/>
      <c r="E79" s="590"/>
      <c r="F79" s="590">
        <v>125</v>
      </c>
    </row>
    <row r="80" spans="1:7" ht="17.25">
      <c r="A80" s="590"/>
      <c r="B80" s="590"/>
      <c r="C80" s="590"/>
      <c r="D80" s="581"/>
      <c r="E80" s="590"/>
      <c r="F80" s="590"/>
    </row>
    <row r="81" spans="1:7" ht="17.25">
      <c r="A81" s="590"/>
      <c r="B81" s="590"/>
      <c r="C81" s="590" t="s">
        <v>1670</v>
      </c>
      <c r="D81" s="581"/>
      <c r="E81" s="590"/>
      <c r="F81" s="589">
        <f>SUM(F78:F80)</f>
        <v>2543.31</v>
      </c>
    </row>
    <row r="82" spans="1:7" ht="17.25">
      <c r="A82" s="590"/>
      <c r="B82" s="590"/>
      <c r="C82" s="590" t="s">
        <v>4062</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524" t="s">
        <v>4061</v>
      </c>
      <c r="D85" s="1524"/>
      <c r="E85" s="1524"/>
      <c r="F85" s="595"/>
      <c r="G85" s="36"/>
    </row>
    <row r="86" spans="1:7" ht="20.25">
      <c r="A86" s="594"/>
      <c r="B86" s="1523" t="s">
        <v>4314</v>
      </c>
      <c r="C86" s="1523"/>
      <c r="D86" s="1523"/>
      <c r="E86" s="1523"/>
      <c r="F86" s="1523"/>
      <c r="G86" s="50">
        <f>3.14*0.45*0.45/4</f>
        <v>0.159</v>
      </c>
    </row>
    <row r="87" spans="1:7" ht="17.25">
      <c r="A87" s="590"/>
      <c r="B87" s="590"/>
      <c r="C87" s="593" t="s">
        <v>4059</v>
      </c>
      <c r="D87" s="590"/>
      <c r="E87" s="590"/>
      <c r="F87" s="590"/>
    </row>
    <row r="88" spans="1:7" ht="17.25">
      <c r="A88" s="592">
        <f>G86</f>
        <v>0.159</v>
      </c>
      <c r="B88" s="590" t="s">
        <v>2190</v>
      </c>
      <c r="C88" s="590" t="s">
        <v>4058</v>
      </c>
      <c r="D88" s="581"/>
      <c r="E88" s="591">
        <f>E24</f>
        <v>7018</v>
      </c>
      <c r="F88" s="591">
        <f>A88*E88</f>
        <v>1115.8599999999999</v>
      </c>
    </row>
    <row r="89" spans="1:7" ht="17.25">
      <c r="A89" s="592">
        <f>+A88</f>
        <v>0.159</v>
      </c>
      <c r="B89" s="590" t="s">
        <v>2190</v>
      </c>
      <c r="C89" s="1525" t="s">
        <v>4489</v>
      </c>
      <c r="D89" s="1525"/>
      <c r="E89" s="591">
        <f>E25</f>
        <v>37.799999999999997</v>
      </c>
      <c r="F89" s="591">
        <f>E89*A89</f>
        <v>6.01</v>
      </c>
    </row>
    <row r="90" spans="1:7" ht="17.25">
      <c r="A90" s="592">
        <f>+A89</f>
        <v>0.159</v>
      </c>
      <c r="B90" s="590" t="s">
        <v>2190</v>
      </c>
      <c r="C90" s="590" t="s">
        <v>4490</v>
      </c>
      <c r="D90" s="581"/>
      <c r="E90" s="591">
        <v>30.1</v>
      </c>
      <c r="F90" s="591">
        <f>A90*E90</f>
        <v>4.79</v>
      </c>
    </row>
    <row r="91" spans="1:7" ht="17.25">
      <c r="A91" s="591"/>
      <c r="B91" s="590"/>
      <c r="C91" s="590"/>
      <c r="D91" s="581"/>
      <c r="E91" s="591"/>
      <c r="F91" s="591"/>
    </row>
    <row r="92" spans="1:7" ht="17.25">
      <c r="A92" s="590"/>
      <c r="B92" s="590"/>
      <c r="C92" s="590" t="s">
        <v>1670</v>
      </c>
      <c r="D92" s="581"/>
      <c r="E92" s="590"/>
      <c r="F92" s="589">
        <f>SUM(F88:F91)</f>
        <v>1126.6600000000001</v>
      </c>
    </row>
    <row r="93" spans="1:7" ht="17.25">
      <c r="A93" s="581"/>
      <c r="B93" s="581"/>
      <c r="C93" s="581"/>
      <c r="D93" s="581"/>
      <c r="E93" s="581"/>
      <c r="F93" s="581"/>
    </row>
    <row r="94" spans="1:7" ht="17.25">
      <c r="B94" s="588"/>
      <c r="C94" s="1526" t="s">
        <v>4056</v>
      </c>
      <c r="D94" s="1526"/>
      <c r="E94" s="1526"/>
      <c r="F94" s="588"/>
    </row>
    <row r="95" spans="1:7" ht="17.25">
      <c r="A95" s="581"/>
      <c r="B95" s="581"/>
      <c r="C95" s="581"/>
      <c r="D95" s="581"/>
      <c r="E95" s="581"/>
      <c r="F95" s="581"/>
    </row>
    <row r="96" spans="1:7" ht="34.5">
      <c r="A96" s="584" t="s">
        <v>4054</v>
      </c>
      <c r="B96" s="584">
        <v>3</v>
      </c>
      <c r="C96" s="587" t="s">
        <v>4055</v>
      </c>
      <c r="E96" s="584">
        <v>9.6199999999999992</v>
      </c>
      <c r="F96" s="584" t="s">
        <v>1365</v>
      </c>
      <c r="G96" s="584">
        <f>E96*B96</f>
        <v>28.86</v>
      </c>
    </row>
    <row r="97" spans="1:7" ht="17.25">
      <c r="A97" s="584" t="s">
        <v>4054</v>
      </c>
      <c r="B97" s="584">
        <v>3</v>
      </c>
      <c r="C97" s="586" t="s">
        <v>4053</v>
      </c>
      <c r="E97" s="584">
        <f>E90</f>
        <v>30.1</v>
      </c>
      <c r="F97" s="584" t="s">
        <v>1365</v>
      </c>
      <c r="G97" s="584">
        <f>E97*B97</f>
        <v>90.3</v>
      </c>
    </row>
    <row r="98" spans="1:7" ht="17.25">
      <c r="A98" s="584"/>
      <c r="B98" s="584"/>
      <c r="C98" s="585"/>
      <c r="E98" s="584"/>
      <c r="F98" s="584"/>
      <c r="G98" s="584"/>
    </row>
    <row r="99" spans="1:7" ht="17.25">
      <c r="A99" s="584"/>
      <c r="B99" s="584"/>
      <c r="C99" s="585" t="s">
        <v>4052</v>
      </c>
      <c r="E99" s="584"/>
      <c r="F99" s="584"/>
      <c r="G99" s="583">
        <f>SUM(G96:G98)</f>
        <v>119.16</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4158</v>
      </c>
    </row>
    <row r="104" spans="1:7" ht="30" hidden="1" customHeight="1">
      <c r="A104" s="50">
        <v>5</v>
      </c>
      <c r="B104" t="s">
        <v>1365</v>
      </c>
      <c r="C104" t="s">
        <v>4167</v>
      </c>
      <c r="D104">
        <f>D41</f>
        <v>1704.69</v>
      </c>
      <c r="F104">
        <f>D104*A104</f>
        <v>8523.4500000000007</v>
      </c>
    </row>
    <row r="105" spans="1:7" ht="30" hidden="1" customHeight="1">
      <c r="A105" s="50">
        <v>3.3</v>
      </c>
      <c r="B105" t="s">
        <v>1365</v>
      </c>
      <c r="C105" t="s">
        <v>4168</v>
      </c>
      <c r="D105">
        <f t="shared" ref="D105:D116" si="1">D42</f>
        <v>1419.19</v>
      </c>
      <c r="F105">
        <f t="shared" ref="F105:F111" si="2">D105*A105</f>
        <v>4683.33</v>
      </c>
    </row>
    <row r="106" spans="1:7" ht="30" hidden="1" customHeight="1">
      <c r="A106" s="50">
        <v>4.79</v>
      </c>
      <c r="B106" t="s">
        <v>1365</v>
      </c>
      <c r="C106" t="s">
        <v>4169</v>
      </c>
      <c r="D106">
        <f t="shared" si="1"/>
        <v>1608.7</v>
      </c>
      <c r="F106">
        <f t="shared" si="2"/>
        <v>7705.67</v>
      </c>
    </row>
    <row r="107" spans="1:7" ht="30" hidden="1" customHeight="1">
      <c r="A107" s="50">
        <v>4</v>
      </c>
      <c r="B107" t="s">
        <v>535</v>
      </c>
      <c r="C107" t="s">
        <v>395</v>
      </c>
      <c r="D107">
        <f t="shared" si="1"/>
        <v>6040</v>
      </c>
      <c r="F107">
        <f t="shared" si="2"/>
        <v>24160</v>
      </c>
    </row>
    <row r="108" spans="1:7" ht="30" hidden="1" customHeight="1">
      <c r="A108" s="50">
        <v>40</v>
      </c>
      <c r="B108" t="s">
        <v>1676</v>
      </c>
      <c r="C108" t="s">
        <v>4176</v>
      </c>
      <c r="D108">
        <f t="shared" si="1"/>
        <v>43.2</v>
      </c>
      <c r="F108">
        <f t="shared" si="2"/>
        <v>1728</v>
      </c>
    </row>
    <row r="109" spans="1:7" ht="30" hidden="1" customHeight="1">
      <c r="A109" s="50">
        <v>3.5</v>
      </c>
      <c r="B109" t="s">
        <v>1457</v>
      </c>
      <c r="C109" t="s">
        <v>471</v>
      </c>
      <c r="D109">
        <f t="shared" si="1"/>
        <v>972.4</v>
      </c>
      <c r="F109">
        <f>D109*A109</f>
        <v>3403.4</v>
      </c>
    </row>
    <row r="110" spans="1:7" ht="30" hidden="1" customHeight="1">
      <c r="A110" s="50">
        <v>21.2</v>
      </c>
      <c r="B110" t="s">
        <v>1457</v>
      </c>
      <c r="C110" t="s">
        <v>3539</v>
      </c>
      <c r="D110">
        <f t="shared" si="1"/>
        <v>679.8</v>
      </c>
      <c r="F110">
        <f t="shared" si="2"/>
        <v>14411.76</v>
      </c>
    </row>
    <row r="111" spans="1:7" ht="30" hidden="1" customHeight="1">
      <c r="A111" s="50">
        <v>35.299999999999997</v>
      </c>
      <c r="B111" t="s">
        <v>1457</v>
      </c>
      <c r="C111" t="s">
        <v>3540</v>
      </c>
      <c r="D111">
        <f t="shared" si="1"/>
        <v>557.70000000000005</v>
      </c>
      <c r="F111">
        <f t="shared" si="2"/>
        <v>19686.810000000001</v>
      </c>
    </row>
    <row r="112" spans="1:7" ht="30" hidden="1" customHeight="1">
      <c r="A112" s="50"/>
      <c r="C112" s="36" t="s">
        <v>4171</v>
      </c>
      <c r="D112">
        <f t="shared" si="1"/>
        <v>0</v>
      </c>
      <c r="F112" s="36">
        <f>SUM(F104:F111)</f>
        <v>84302.42</v>
      </c>
    </row>
    <row r="113" spans="1:7" ht="30" hidden="1" customHeight="1">
      <c r="A113" s="50"/>
      <c r="C113" s="36" t="s">
        <v>4172</v>
      </c>
      <c r="D113">
        <f t="shared" si="1"/>
        <v>0</v>
      </c>
      <c r="F113" s="36">
        <f>F112/10</f>
        <v>8430.24</v>
      </c>
      <c r="G113">
        <f>F113</f>
        <v>8430.24</v>
      </c>
    </row>
    <row r="114" spans="1:7" ht="30" hidden="1" customHeight="1">
      <c r="A114" s="50">
        <v>1</v>
      </c>
      <c r="B114" t="s">
        <v>1365</v>
      </c>
      <c r="C114" t="s">
        <v>3541</v>
      </c>
      <c r="D114">
        <f t="shared" si="1"/>
        <v>98.34</v>
      </c>
      <c r="F114">
        <f>D114</f>
        <v>98.34</v>
      </c>
    </row>
    <row r="115" spans="1:7" ht="30" hidden="1" customHeight="1">
      <c r="A115" s="50"/>
      <c r="C115" t="s">
        <v>4173</v>
      </c>
      <c r="D115">
        <f t="shared" si="1"/>
        <v>0</v>
      </c>
      <c r="F115" s="36">
        <f>SUM(F113:F114)</f>
        <v>8528.58</v>
      </c>
      <c r="G115">
        <f>SUM(G113:G114)</f>
        <v>8430.24</v>
      </c>
    </row>
    <row r="116" spans="1:7" ht="30" hidden="1" customHeight="1">
      <c r="A116" s="416" t="s">
        <v>669</v>
      </c>
      <c r="C116" t="s">
        <v>4174</v>
      </c>
      <c r="D116" t="str">
        <f t="shared" si="1"/>
        <v>LS</v>
      </c>
      <c r="F116">
        <f>F115*0.5%</f>
        <v>42.64</v>
      </c>
      <c r="G116">
        <f>G115*0.5/100</f>
        <v>42.15</v>
      </c>
    </row>
    <row r="117" spans="1:7" ht="30" hidden="1" customHeight="1">
      <c r="A117" s="50"/>
      <c r="B117" s="3"/>
      <c r="C117" s="36" t="s">
        <v>3667</v>
      </c>
      <c r="E117" s="10"/>
      <c r="F117" s="38">
        <f>SUM(F115:F116)</f>
        <v>8571.2199999999993</v>
      </c>
      <c r="G117" s="36">
        <f>SUM(G115:G116)</f>
        <v>8472.39</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527" t="s">
        <v>4070</v>
      </c>
      <c r="B125" s="1527"/>
      <c r="C125" s="1527"/>
      <c r="D125" s="1527"/>
      <c r="E125" s="1527"/>
      <c r="F125" s="1527"/>
    </row>
    <row r="126" spans="1:7" ht="17.25">
      <c r="A126" s="1527" t="s">
        <v>4069</v>
      </c>
      <c r="B126" s="1527"/>
      <c r="C126" s="1527"/>
      <c r="D126" s="1527"/>
      <c r="E126" s="1527"/>
      <c r="F126" s="1527"/>
    </row>
    <row r="127" spans="1:7" ht="17.25">
      <c r="A127" s="1528" t="s">
        <v>4311</v>
      </c>
      <c r="B127" s="1528"/>
      <c r="C127" s="1528"/>
      <c r="D127" s="1528"/>
      <c r="E127" s="1528"/>
      <c r="F127" s="1528"/>
    </row>
    <row r="128" spans="1:7" ht="17.25">
      <c r="A128" s="1529" t="s">
        <v>4068</v>
      </c>
      <c r="B128" s="1529"/>
      <c r="C128" s="1529"/>
      <c r="D128" s="1529"/>
      <c r="E128" s="1529"/>
      <c r="F128" s="581"/>
    </row>
    <row r="129" spans="1:7" ht="17.25">
      <c r="A129" s="581"/>
      <c r="B129" s="581"/>
      <c r="C129" s="581"/>
      <c r="D129" s="581"/>
      <c r="E129" s="581"/>
      <c r="F129" s="581"/>
    </row>
    <row r="130" spans="1:7" ht="19.5">
      <c r="B130" s="599"/>
      <c r="C130" s="1530" t="s">
        <v>4315</v>
      </c>
      <c r="D130" s="1530"/>
      <c r="E130" s="1530"/>
      <c r="F130" s="599"/>
      <c r="G130" s="4" t="s">
        <v>2190</v>
      </c>
    </row>
    <row r="131" spans="1:7" ht="20.25">
      <c r="A131" s="598"/>
      <c r="B131" s="1523" t="s">
        <v>4316</v>
      </c>
      <c r="C131" s="1523"/>
      <c r="D131" s="1523"/>
      <c r="E131" s="1523"/>
      <c r="F131" s="1523"/>
      <c r="G131" s="50">
        <f>3.14*0.4*0.4*8/4</f>
        <v>1.0049999999999999</v>
      </c>
    </row>
    <row r="132" spans="1:7" ht="39.75" customHeight="1">
      <c r="A132" s="590"/>
      <c r="B132" s="590"/>
      <c r="C132" s="767" t="s">
        <v>4319</v>
      </c>
      <c r="D132" s="590"/>
      <c r="E132" s="590"/>
      <c r="F132" s="590"/>
    </row>
    <row r="133" spans="1:7" ht="17.25">
      <c r="A133" s="592">
        <f>G131</f>
        <v>1.0049999999999999</v>
      </c>
      <c r="B133" s="590" t="s">
        <v>2190</v>
      </c>
      <c r="C133" s="590" t="s">
        <v>4066</v>
      </c>
      <c r="D133" s="581"/>
      <c r="E133" s="591">
        <f>G117</f>
        <v>8472.39</v>
      </c>
      <c r="F133" s="591">
        <f>A133*E133</f>
        <v>8514.75</v>
      </c>
    </row>
    <row r="134" spans="1:7" ht="17.25">
      <c r="A134" s="596">
        <f>A133*10/100</f>
        <v>0.10050000000000001</v>
      </c>
      <c r="B134" s="590" t="s">
        <v>535</v>
      </c>
      <c r="C134" s="590" t="s">
        <v>4065</v>
      </c>
      <c r="D134" s="581"/>
      <c r="E134" s="591">
        <v>4000</v>
      </c>
      <c r="F134" s="591">
        <f>A134*E134</f>
        <v>402</v>
      </c>
    </row>
    <row r="135" spans="1:7" ht="17.25">
      <c r="A135" s="591">
        <v>8</v>
      </c>
      <c r="B135" s="590" t="s">
        <v>842</v>
      </c>
      <c r="C135" s="590" t="s">
        <v>2691</v>
      </c>
      <c r="D135" s="581"/>
      <c r="E135" s="591">
        <v>960</v>
      </c>
      <c r="F135" s="591">
        <f>A135*E135</f>
        <v>7680</v>
      </c>
    </row>
    <row r="136" spans="1:7" ht="17.25">
      <c r="A136" s="590"/>
      <c r="B136" s="590"/>
      <c r="C136" s="590"/>
      <c r="D136" s="581"/>
      <c r="E136" s="590"/>
      <c r="F136" s="590"/>
    </row>
    <row r="137" spans="1:7" ht="17.25">
      <c r="A137" s="590"/>
      <c r="B137" s="590"/>
      <c r="C137" s="590" t="s">
        <v>4064</v>
      </c>
      <c r="D137" s="581"/>
      <c r="E137" s="590"/>
      <c r="F137" s="591">
        <f>SUM(F133:F136)</f>
        <v>16596.75</v>
      </c>
    </row>
    <row r="138" spans="1:7" ht="17.25">
      <c r="A138" s="590"/>
      <c r="B138" s="590"/>
      <c r="C138" s="590" t="s">
        <v>1670</v>
      </c>
      <c r="D138" s="581"/>
      <c r="E138" s="590"/>
      <c r="F138" s="591">
        <f>F137/7</f>
        <v>2370.96</v>
      </c>
    </row>
    <row r="139" spans="1:7" ht="17.25">
      <c r="A139" s="590"/>
      <c r="B139" s="590"/>
      <c r="C139" s="590" t="s">
        <v>4063</v>
      </c>
      <c r="D139" s="581"/>
      <c r="E139" s="590"/>
      <c r="F139" s="590">
        <f>1000/8</f>
        <v>125</v>
      </c>
    </row>
    <row r="140" spans="1:7" ht="17.25">
      <c r="A140" s="590"/>
      <c r="B140" s="590"/>
      <c r="C140" s="590"/>
      <c r="D140" s="581"/>
      <c r="E140" s="590"/>
      <c r="F140" s="590"/>
    </row>
    <row r="141" spans="1:7" ht="17.25">
      <c r="A141" s="590"/>
      <c r="B141" s="590"/>
      <c r="C141" s="590" t="s">
        <v>1670</v>
      </c>
      <c r="D141" s="581"/>
      <c r="E141" s="590"/>
      <c r="F141" s="589">
        <f>SUM(F138:F140)</f>
        <v>2495.96</v>
      </c>
    </row>
    <row r="142" spans="1:7" ht="17.25">
      <c r="A142" s="590"/>
      <c r="B142" s="590"/>
      <c r="C142" s="590" t="s">
        <v>4062</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524" t="s">
        <v>4061</v>
      </c>
      <c r="D145" s="1524"/>
      <c r="E145" s="1524"/>
      <c r="F145" s="595"/>
      <c r="G145" s="36"/>
    </row>
    <row r="146" spans="1:7" ht="20.25">
      <c r="A146" s="594"/>
      <c r="B146" s="1523" t="s">
        <v>4317</v>
      </c>
      <c r="C146" s="1523"/>
      <c r="D146" s="1523"/>
      <c r="E146" s="1523"/>
      <c r="F146" s="1523"/>
      <c r="G146" s="50">
        <f>3.14*0.4*0.4/4</f>
        <v>0.126</v>
      </c>
    </row>
    <row r="147" spans="1:7" ht="17.25">
      <c r="A147" s="590"/>
      <c r="B147" s="590"/>
      <c r="C147" s="593" t="s">
        <v>4320</v>
      </c>
      <c r="D147" s="590"/>
      <c r="E147" s="590"/>
      <c r="F147" s="590"/>
    </row>
    <row r="148" spans="1:7" ht="17.25">
      <c r="A148" s="592">
        <f>G146</f>
        <v>0.126</v>
      </c>
      <c r="B148" s="590" t="s">
        <v>2190</v>
      </c>
      <c r="C148" s="590" t="s">
        <v>4058</v>
      </c>
      <c r="D148" s="581"/>
      <c r="E148" s="591">
        <f>E88</f>
        <v>7018</v>
      </c>
      <c r="F148" s="591">
        <f>A148*E148</f>
        <v>884.27</v>
      </c>
    </row>
    <row r="149" spans="1:7" ht="17.25">
      <c r="A149" s="592">
        <f>+A148</f>
        <v>0.126</v>
      </c>
      <c r="B149" s="590" t="s">
        <v>2190</v>
      </c>
      <c r="C149" s="1525" t="s">
        <v>4057</v>
      </c>
      <c r="D149" s="1525"/>
      <c r="E149" s="591">
        <f>E89</f>
        <v>37.799999999999997</v>
      </c>
      <c r="F149" s="591">
        <f>E149*A149</f>
        <v>4.76</v>
      </c>
    </row>
    <row r="150" spans="1:7" ht="17.25">
      <c r="A150" s="592">
        <f>+A149</f>
        <v>0.126</v>
      </c>
      <c r="B150" s="590" t="s">
        <v>2190</v>
      </c>
      <c r="C150" s="590" t="s">
        <v>4053</v>
      </c>
      <c r="D150" s="581"/>
      <c r="E150" s="591">
        <f>E90</f>
        <v>30.1</v>
      </c>
      <c r="F150" s="591">
        <f>A150*E150</f>
        <v>3.79</v>
      </c>
    </row>
    <row r="151" spans="1:7" ht="17.25">
      <c r="A151" s="591"/>
      <c r="B151" s="590"/>
      <c r="C151" s="590"/>
      <c r="D151" s="581"/>
      <c r="E151" s="591"/>
      <c r="F151" s="591"/>
    </row>
    <row r="152" spans="1:7" ht="17.25">
      <c r="A152" s="590"/>
      <c r="B152" s="590"/>
      <c r="C152" s="590" t="s">
        <v>1670</v>
      </c>
      <c r="D152" s="581"/>
      <c r="E152" s="590"/>
      <c r="F152" s="589">
        <f>SUM(F148:F151)</f>
        <v>892.82</v>
      </c>
    </row>
    <row r="153" spans="1:7" ht="17.25">
      <c r="A153" s="581"/>
      <c r="B153" s="581"/>
      <c r="C153" s="581"/>
      <c r="D153" s="581"/>
      <c r="E153" s="581"/>
      <c r="F153" s="581"/>
    </row>
    <row r="154" spans="1:7" ht="17.25">
      <c r="B154" s="588"/>
      <c r="C154" s="1526" t="s">
        <v>4056</v>
      </c>
      <c r="D154" s="1526"/>
      <c r="E154" s="1526"/>
      <c r="F154" s="588"/>
    </row>
    <row r="155" spans="1:7" ht="17.25">
      <c r="A155" s="581"/>
      <c r="B155" s="581"/>
      <c r="C155" s="581"/>
      <c r="D155" s="581"/>
      <c r="E155" s="581"/>
      <c r="F155" s="581"/>
    </row>
    <row r="156" spans="1:7" ht="34.5">
      <c r="A156" s="584" t="s">
        <v>4054</v>
      </c>
      <c r="B156" s="584">
        <v>3</v>
      </c>
      <c r="C156" s="587" t="s">
        <v>4055</v>
      </c>
      <c r="E156" s="584">
        <f>E96</f>
        <v>9.6199999999999992</v>
      </c>
      <c r="F156" s="584" t="s">
        <v>1365</v>
      </c>
      <c r="G156" s="584">
        <f>E156*B156</f>
        <v>28.86</v>
      </c>
    </row>
    <row r="157" spans="1:7" ht="17.25">
      <c r="A157" s="584" t="s">
        <v>4054</v>
      </c>
      <c r="B157" s="584">
        <v>3</v>
      </c>
      <c r="C157" s="586" t="s">
        <v>4053</v>
      </c>
      <c r="E157" s="584">
        <f>E97</f>
        <v>30.1</v>
      </c>
      <c r="F157" s="584" t="s">
        <v>1365</v>
      </c>
      <c r="G157" s="584">
        <f>E157*B157</f>
        <v>90.3</v>
      </c>
    </row>
    <row r="158" spans="1:7" ht="17.25">
      <c r="A158" s="584"/>
      <c r="B158" s="584"/>
      <c r="C158" s="585"/>
      <c r="E158" s="584"/>
      <c r="F158" s="584"/>
      <c r="G158" s="584"/>
    </row>
    <row r="159" spans="1:7" ht="17.25">
      <c r="A159" s="584"/>
      <c r="B159" s="584"/>
      <c r="C159" s="585" t="s">
        <v>4052</v>
      </c>
      <c r="E159" s="584"/>
      <c r="F159" s="584"/>
      <c r="G159" s="583">
        <f>SUM(G156:G158)</f>
        <v>119.16</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4"/>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1"/>
    </row>
    <row r="218" spans="1:13">
      <c r="D218" s="431"/>
    </row>
    <row r="219" spans="1:13">
      <c r="M219" s="36"/>
    </row>
    <row r="221" spans="1:13">
      <c r="C221" s="455"/>
      <c r="E221" s="455"/>
      <c r="F221" s="455"/>
      <c r="J221" s="455"/>
      <c r="L221" s="549"/>
      <c r="M221" s="549"/>
    </row>
    <row r="222" spans="1:13">
      <c r="C222" s="455"/>
      <c r="D222" s="36"/>
      <c r="E222" s="548"/>
      <c r="F222" s="548"/>
      <c r="J222" s="548"/>
      <c r="K222" s="36"/>
      <c r="L222" s="36"/>
      <c r="M222" s="36"/>
    </row>
    <row r="223" spans="1:13">
      <c r="C223" s="548"/>
      <c r="E223" s="455"/>
      <c r="F223" s="455"/>
      <c r="J223" s="455"/>
      <c r="L223" s="455"/>
      <c r="M223" s="455"/>
    </row>
    <row r="224" spans="1:13">
      <c r="C224" s="455"/>
      <c r="E224" s="455"/>
      <c r="F224" s="455"/>
      <c r="L224" s="455"/>
      <c r="M224" s="455"/>
    </row>
    <row r="225" spans="3:13">
      <c r="C225" s="455"/>
      <c r="J225" s="455"/>
      <c r="L225" s="36"/>
      <c r="M225" s="36"/>
    </row>
    <row r="226" spans="3:13">
      <c r="C226" s="455"/>
      <c r="D226" s="455"/>
      <c r="E226" s="455"/>
      <c r="F226" s="455"/>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sheetPr syncVertical="1" syncRef="F520" transitionEvaluation="1"/>
  <dimension ref="A1:W5462"/>
  <sheetViews>
    <sheetView view="pageBreakPreview" topLeftCell="F520" zoomScale="80" zoomScaleNormal="60" zoomScaleSheetLayoutView="80" workbookViewId="0">
      <selection activeCell="I523" sqref="I523"/>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2.554687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256" width="7.44140625" style="180"/>
    <col min="257" max="261" width="0" style="180" hidden="1" customWidth="1"/>
    <col min="262" max="262" width="8.88671875" style="180" customWidth="1"/>
    <col min="263" max="263" width="6.5546875" style="180" customWidth="1"/>
    <col min="264" max="264" width="48.6640625" style="180" customWidth="1"/>
    <col min="265" max="265" width="10" style="180" customWidth="1"/>
    <col min="266" max="266" width="11.44140625" style="180" customWidth="1"/>
    <col min="267" max="267" width="11.33203125" style="180" customWidth="1"/>
    <col min="268" max="268" width="9.77734375" style="180" customWidth="1"/>
    <col min="269" max="269" width="9.44140625" style="180" customWidth="1"/>
    <col min="270" max="270" width="10" style="180" bestFit="1" customWidth="1"/>
    <col min="271" max="271" width="32.77734375" style="180" customWidth="1"/>
    <col min="272" max="272" width="12.109375" style="180" customWidth="1"/>
    <col min="273" max="273" width="7.77734375" style="180" customWidth="1"/>
    <col min="274" max="274" width="10.77734375" style="180" customWidth="1"/>
    <col min="275" max="275" width="8.5546875" style="180" bestFit="1" customWidth="1"/>
    <col min="276" max="276" width="7.77734375" style="180" customWidth="1"/>
    <col min="277" max="277" width="49.77734375" style="180" customWidth="1"/>
    <col min="278" max="279" width="0" style="180" hidden="1" customWidth="1"/>
    <col min="280" max="280" width="9.109375" style="180" customWidth="1"/>
    <col min="281" max="281" width="11.21875" style="180" bestFit="1" customWidth="1"/>
    <col min="282" max="282" width="9.6640625" style="180" customWidth="1"/>
    <col min="283" max="283" width="8.6640625" style="180" customWidth="1"/>
    <col min="284" max="284" width="9.6640625" style="180" customWidth="1"/>
    <col min="285" max="285" width="10.6640625" style="180" customWidth="1"/>
    <col min="286" max="286" width="23.21875" style="180" customWidth="1"/>
    <col min="287" max="287" width="8.77734375" style="180" customWidth="1"/>
    <col min="288" max="288" width="8.109375" style="180" bestFit="1" customWidth="1"/>
    <col min="289" max="289" width="9" style="180" customWidth="1"/>
    <col min="290" max="290" width="8.77734375" style="180" customWidth="1"/>
    <col min="291" max="512" width="7.44140625" style="180"/>
    <col min="513" max="517" width="0" style="180" hidden="1" customWidth="1"/>
    <col min="518" max="518" width="8.88671875" style="180" customWidth="1"/>
    <col min="519" max="519" width="6.5546875" style="180" customWidth="1"/>
    <col min="520" max="520" width="48.6640625" style="180" customWidth="1"/>
    <col min="521" max="521" width="10" style="180" customWidth="1"/>
    <col min="522" max="522" width="11.44140625" style="180" customWidth="1"/>
    <col min="523" max="523" width="11.33203125" style="180" customWidth="1"/>
    <col min="524" max="524" width="9.77734375" style="180" customWidth="1"/>
    <col min="525" max="525" width="9.44140625" style="180" customWidth="1"/>
    <col min="526" max="526" width="10" style="180" bestFit="1" customWidth="1"/>
    <col min="527" max="527" width="32.77734375" style="180" customWidth="1"/>
    <col min="528" max="528" width="12.109375" style="180" customWidth="1"/>
    <col min="529" max="529" width="7.77734375" style="180" customWidth="1"/>
    <col min="530" max="530" width="10.77734375" style="180" customWidth="1"/>
    <col min="531" max="531" width="8.5546875" style="180" bestFit="1" customWidth="1"/>
    <col min="532" max="532" width="7.77734375" style="180" customWidth="1"/>
    <col min="533" max="533" width="49.77734375" style="180" customWidth="1"/>
    <col min="534" max="535" width="0" style="180" hidden="1" customWidth="1"/>
    <col min="536" max="536" width="9.109375" style="180" customWidth="1"/>
    <col min="537" max="537" width="11.21875" style="180" bestFit="1" customWidth="1"/>
    <col min="538" max="538" width="9.6640625" style="180" customWidth="1"/>
    <col min="539" max="539" width="8.6640625" style="180" customWidth="1"/>
    <col min="540" max="540" width="9.6640625" style="180" customWidth="1"/>
    <col min="541" max="541" width="10.6640625" style="180" customWidth="1"/>
    <col min="542" max="542" width="23.21875" style="180" customWidth="1"/>
    <col min="543" max="543" width="8.77734375" style="180" customWidth="1"/>
    <col min="544" max="544" width="8.109375" style="180" bestFit="1" customWidth="1"/>
    <col min="545" max="545" width="9" style="180" customWidth="1"/>
    <col min="546" max="546" width="8.77734375" style="180" customWidth="1"/>
    <col min="547" max="768" width="7.44140625" style="180"/>
    <col min="769" max="773" width="0" style="180" hidden="1" customWidth="1"/>
    <col min="774" max="774" width="8.88671875" style="180" customWidth="1"/>
    <col min="775" max="775" width="6.5546875" style="180" customWidth="1"/>
    <col min="776" max="776" width="48.6640625" style="180" customWidth="1"/>
    <col min="777" max="777" width="10" style="180" customWidth="1"/>
    <col min="778" max="778" width="11.44140625" style="180" customWidth="1"/>
    <col min="779" max="779" width="11.33203125" style="180" customWidth="1"/>
    <col min="780" max="780" width="9.77734375" style="180" customWidth="1"/>
    <col min="781" max="781" width="9.44140625" style="180" customWidth="1"/>
    <col min="782" max="782" width="10" style="180" bestFit="1" customWidth="1"/>
    <col min="783" max="783" width="32.77734375" style="180" customWidth="1"/>
    <col min="784" max="784" width="12.109375" style="180" customWidth="1"/>
    <col min="785" max="785" width="7.77734375" style="180" customWidth="1"/>
    <col min="786" max="786" width="10.77734375" style="180" customWidth="1"/>
    <col min="787" max="787" width="8.5546875" style="180" bestFit="1" customWidth="1"/>
    <col min="788" max="788" width="7.77734375" style="180" customWidth="1"/>
    <col min="789" max="789" width="49.77734375" style="180" customWidth="1"/>
    <col min="790" max="791" width="0" style="180" hidden="1" customWidth="1"/>
    <col min="792" max="792" width="9.109375" style="180" customWidth="1"/>
    <col min="793" max="793" width="11.21875" style="180" bestFit="1" customWidth="1"/>
    <col min="794" max="794" width="9.6640625" style="180" customWidth="1"/>
    <col min="795" max="795" width="8.6640625" style="180" customWidth="1"/>
    <col min="796" max="796" width="9.6640625" style="180" customWidth="1"/>
    <col min="797" max="797" width="10.6640625" style="180" customWidth="1"/>
    <col min="798" max="798" width="23.21875" style="180" customWidth="1"/>
    <col min="799" max="799" width="8.77734375" style="180" customWidth="1"/>
    <col min="800" max="800" width="8.109375" style="180" bestFit="1" customWidth="1"/>
    <col min="801" max="801" width="9" style="180" customWidth="1"/>
    <col min="802" max="802" width="8.77734375" style="180" customWidth="1"/>
    <col min="803" max="1024" width="7.44140625" style="180"/>
    <col min="1025" max="1029" width="0" style="180" hidden="1" customWidth="1"/>
    <col min="1030" max="1030" width="8.88671875" style="180" customWidth="1"/>
    <col min="1031" max="1031" width="6.5546875" style="180" customWidth="1"/>
    <col min="1032" max="1032" width="48.6640625" style="180" customWidth="1"/>
    <col min="1033" max="1033" width="10" style="180" customWidth="1"/>
    <col min="1034" max="1034" width="11.44140625" style="180" customWidth="1"/>
    <col min="1035" max="1035" width="11.33203125" style="180" customWidth="1"/>
    <col min="1036" max="1036" width="9.77734375" style="180" customWidth="1"/>
    <col min="1037" max="1037" width="9.44140625" style="180" customWidth="1"/>
    <col min="1038" max="1038" width="10" style="180" bestFit="1" customWidth="1"/>
    <col min="1039" max="1039" width="32.77734375" style="180" customWidth="1"/>
    <col min="1040" max="1040" width="12.109375" style="180" customWidth="1"/>
    <col min="1041" max="1041" width="7.77734375" style="180" customWidth="1"/>
    <col min="1042" max="1042" width="10.77734375" style="180" customWidth="1"/>
    <col min="1043" max="1043" width="8.5546875" style="180" bestFit="1" customWidth="1"/>
    <col min="1044" max="1044" width="7.77734375" style="180" customWidth="1"/>
    <col min="1045" max="1045" width="49.77734375" style="180" customWidth="1"/>
    <col min="1046" max="1047" width="0" style="180" hidden="1" customWidth="1"/>
    <col min="1048" max="1048" width="9.109375" style="180" customWidth="1"/>
    <col min="1049" max="1049" width="11.21875" style="180" bestFit="1" customWidth="1"/>
    <col min="1050" max="1050" width="9.6640625" style="180" customWidth="1"/>
    <col min="1051" max="1051" width="8.6640625" style="180" customWidth="1"/>
    <col min="1052" max="1052" width="9.6640625" style="180" customWidth="1"/>
    <col min="1053" max="1053" width="10.6640625" style="180" customWidth="1"/>
    <col min="1054" max="1054" width="23.21875" style="180" customWidth="1"/>
    <col min="1055" max="1055" width="8.77734375" style="180" customWidth="1"/>
    <col min="1056" max="1056" width="8.109375" style="180" bestFit="1" customWidth="1"/>
    <col min="1057" max="1057" width="9" style="180" customWidth="1"/>
    <col min="1058" max="1058" width="8.77734375" style="180" customWidth="1"/>
    <col min="1059" max="1280" width="7.44140625" style="180"/>
    <col min="1281" max="1285" width="0" style="180" hidden="1" customWidth="1"/>
    <col min="1286" max="1286" width="8.88671875" style="180" customWidth="1"/>
    <col min="1287" max="1287" width="6.5546875" style="180" customWidth="1"/>
    <col min="1288" max="1288" width="48.6640625" style="180" customWidth="1"/>
    <col min="1289" max="1289" width="10" style="180" customWidth="1"/>
    <col min="1290" max="1290" width="11.44140625" style="180" customWidth="1"/>
    <col min="1291" max="1291" width="11.33203125" style="180" customWidth="1"/>
    <col min="1292" max="1292" width="9.77734375" style="180" customWidth="1"/>
    <col min="1293" max="1293" width="9.44140625" style="180" customWidth="1"/>
    <col min="1294" max="1294" width="10" style="180" bestFit="1" customWidth="1"/>
    <col min="1295" max="1295" width="32.77734375" style="180" customWidth="1"/>
    <col min="1296" max="1296" width="12.109375" style="180" customWidth="1"/>
    <col min="1297" max="1297" width="7.77734375" style="180" customWidth="1"/>
    <col min="1298" max="1298" width="10.77734375" style="180" customWidth="1"/>
    <col min="1299" max="1299" width="8.5546875" style="180" bestFit="1" customWidth="1"/>
    <col min="1300" max="1300" width="7.77734375" style="180" customWidth="1"/>
    <col min="1301" max="1301" width="49.77734375" style="180" customWidth="1"/>
    <col min="1302" max="1303" width="0" style="180" hidden="1" customWidth="1"/>
    <col min="1304" max="1304" width="9.109375" style="180" customWidth="1"/>
    <col min="1305" max="1305" width="11.21875" style="180" bestFit="1" customWidth="1"/>
    <col min="1306" max="1306" width="9.6640625" style="180" customWidth="1"/>
    <col min="1307" max="1307" width="8.6640625" style="180" customWidth="1"/>
    <col min="1308" max="1308" width="9.6640625" style="180" customWidth="1"/>
    <col min="1309" max="1309" width="10.6640625" style="180" customWidth="1"/>
    <col min="1310" max="1310" width="23.21875" style="180" customWidth="1"/>
    <col min="1311" max="1311" width="8.77734375" style="180" customWidth="1"/>
    <col min="1312" max="1312" width="8.109375" style="180" bestFit="1" customWidth="1"/>
    <col min="1313" max="1313" width="9" style="180" customWidth="1"/>
    <col min="1314" max="1314" width="8.77734375" style="180" customWidth="1"/>
    <col min="1315" max="1536" width="7.44140625" style="180"/>
    <col min="1537" max="1541" width="0" style="180" hidden="1" customWidth="1"/>
    <col min="1542" max="1542" width="8.88671875" style="180" customWidth="1"/>
    <col min="1543" max="1543" width="6.5546875" style="180" customWidth="1"/>
    <col min="1544" max="1544" width="48.6640625" style="180" customWidth="1"/>
    <col min="1545" max="1545" width="10" style="180" customWidth="1"/>
    <col min="1546" max="1546" width="11.44140625" style="180" customWidth="1"/>
    <col min="1547" max="1547" width="11.33203125" style="180" customWidth="1"/>
    <col min="1548" max="1548" width="9.77734375" style="180" customWidth="1"/>
    <col min="1549" max="1549" width="9.44140625" style="180" customWidth="1"/>
    <col min="1550" max="1550" width="10" style="180" bestFit="1" customWidth="1"/>
    <col min="1551" max="1551" width="32.77734375" style="180" customWidth="1"/>
    <col min="1552" max="1552" width="12.109375" style="180" customWidth="1"/>
    <col min="1553" max="1553" width="7.77734375" style="180" customWidth="1"/>
    <col min="1554" max="1554" width="10.77734375" style="180" customWidth="1"/>
    <col min="1555" max="1555" width="8.5546875" style="180" bestFit="1" customWidth="1"/>
    <col min="1556" max="1556" width="7.77734375" style="180" customWidth="1"/>
    <col min="1557" max="1557" width="49.77734375" style="180" customWidth="1"/>
    <col min="1558" max="1559" width="0" style="180" hidden="1" customWidth="1"/>
    <col min="1560" max="1560" width="9.109375" style="180" customWidth="1"/>
    <col min="1561" max="1561" width="11.21875" style="180" bestFit="1" customWidth="1"/>
    <col min="1562" max="1562" width="9.6640625" style="180" customWidth="1"/>
    <col min="1563" max="1563" width="8.6640625" style="180" customWidth="1"/>
    <col min="1564" max="1564" width="9.6640625" style="180" customWidth="1"/>
    <col min="1565" max="1565" width="10.6640625" style="180" customWidth="1"/>
    <col min="1566" max="1566" width="23.21875" style="180" customWidth="1"/>
    <col min="1567" max="1567" width="8.77734375" style="180" customWidth="1"/>
    <col min="1568" max="1568" width="8.109375" style="180" bestFit="1" customWidth="1"/>
    <col min="1569" max="1569" width="9" style="180" customWidth="1"/>
    <col min="1570" max="1570" width="8.77734375" style="180" customWidth="1"/>
    <col min="1571" max="1792" width="7.44140625" style="180"/>
    <col min="1793" max="1797" width="0" style="180" hidden="1" customWidth="1"/>
    <col min="1798" max="1798" width="8.88671875" style="180" customWidth="1"/>
    <col min="1799" max="1799" width="6.5546875" style="180" customWidth="1"/>
    <col min="1800" max="1800" width="48.6640625" style="180" customWidth="1"/>
    <col min="1801" max="1801" width="10" style="180" customWidth="1"/>
    <col min="1802" max="1802" width="11.44140625" style="180" customWidth="1"/>
    <col min="1803" max="1803" width="11.33203125" style="180" customWidth="1"/>
    <col min="1804" max="1804" width="9.77734375" style="180" customWidth="1"/>
    <col min="1805" max="1805" width="9.44140625" style="180" customWidth="1"/>
    <col min="1806" max="1806" width="10" style="180" bestFit="1" customWidth="1"/>
    <col min="1807" max="1807" width="32.77734375" style="180" customWidth="1"/>
    <col min="1808" max="1808" width="12.109375" style="180" customWidth="1"/>
    <col min="1809" max="1809" width="7.77734375" style="180" customWidth="1"/>
    <col min="1810" max="1810" width="10.77734375" style="180" customWidth="1"/>
    <col min="1811" max="1811" width="8.5546875" style="180" bestFit="1" customWidth="1"/>
    <col min="1812" max="1812" width="7.77734375" style="180" customWidth="1"/>
    <col min="1813" max="1813" width="49.77734375" style="180" customWidth="1"/>
    <col min="1814" max="1815" width="0" style="180" hidden="1" customWidth="1"/>
    <col min="1816" max="1816" width="9.109375" style="180" customWidth="1"/>
    <col min="1817" max="1817" width="11.21875" style="180" bestFit="1" customWidth="1"/>
    <col min="1818" max="1818" width="9.6640625" style="180" customWidth="1"/>
    <col min="1819" max="1819" width="8.6640625" style="180" customWidth="1"/>
    <col min="1820" max="1820" width="9.6640625" style="180" customWidth="1"/>
    <col min="1821" max="1821" width="10.6640625" style="180" customWidth="1"/>
    <col min="1822" max="1822" width="23.21875" style="180" customWidth="1"/>
    <col min="1823" max="1823" width="8.77734375" style="180" customWidth="1"/>
    <col min="1824" max="1824" width="8.109375" style="180" bestFit="1" customWidth="1"/>
    <col min="1825" max="1825" width="9" style="180" customWidth="1"/>
    <col min="1826" max="1826" width="8.77734375" style="180" customWidth="1"/>
    <col min="1827" max="2048" width="7.44140625" style="180"/>
    <col min="2049" max="2053" width="0" style="180" hidden="1" customWidth="1"/>
    <col min="2054" max="2054" width="8.88671875" style="180" customWidth="1"/>
    <col min="2055" max="2055" width="6.5546875" style="180" customWidth="1"/>
    <col min="2056" max="2056" width="48.6640625" style="180" customWidth="1"/>
    <col min="2057" max="2057" width="10" style="180" customWidth="1"/>
    <col min="2058" max="2058" width="11.44140625" style="180" customWidth="1"/>
    <col min="2059" max="2059" width="11.33203125" style="180" customWidth="1"/>
    <col min="2060" max="2060" width="9.77734375" style="180" customWidth="1"/>
    <col min="2061" max="2061" width="9.44140625" style="180" customWidth="1"/>
    <col min="2062" max="2062" width="10" style="180" bestFit="1" customWidth="1"/>
    <col min="2063" max="2063" width="32.77734375" style="180" customWidth="1"/>
    <col min="2064" max="2064" width="12.109375" style="180" customWidth="1"/>
    <col min="2065" max="2065" width="7.77734375" style="180" customWidth="1"/>
    <col min="2066" max="2066" width="10.77734375" style="180" customWidth="1"/>
    <col min="2067" max="2067" width="8.5546875" style="180" bestFit="1" customWidth="1"/>
    <col min="2068" max="2068" width="7.77734375" style="180" customWidth="1"/>
    <col min="2069" max="2069" width="49.77734375" style="180" customWidth="1"/>
    <col min="2070" max="2071" width="0" style="180" hidden="1" customWidth="1"/>
    <col min="2072" max="2072" width="9.109375" style="180" customWidth="1"/>
    <col min="2073" max="2073" width="11.21875" style="180" bestFit="1" customWidth="1"/>
    <col min="2074" max="2074" width="9.6640625" style="180" customWidth="1"/>
    <col min="2075" max="2075" width="8.6640625" style="180" customWidth="1"/>
    <col min="2076" max="2076" width="9.6640625" style="180" customWidth="1"/>
    <col min="2077" max="2077" width="10.6640625" style="180" customWidth="1"/>
    <col min="2078" max="2078" width="23.21875" style="180" customWidth="1"/>
    <col min="2079" max="2079" width="8.77734375" style="180" customWidth="1"/>
    <col min="2080" max="2080" width="8.109375" style="180" bestFit="1" customWidth="1"/>
    <col min="2081" max="2081" width="9" style="180" customWidth="1"/>
    <col min="2082" max="2082" width="8.77734375" style="180" customWidth="1"/>
    <col min="2083" max="2304" width="7.44140625" style="180"/>
    <col min="2305" max="2309" width="0" style="180" hidden="1" customWidth="1"/>
    <col min="2310" max="2310" width="8.88671875" style="180" customWidth="1"/>
    <col min="2311" max="2311" width="6.5546875" style="180" customWidth="1"/>
    <col min="2312" max="2312" width="48.6640625" style="180" customWidth="1"/>
    <col min="2313" max="2313" width="10" style="180" customWidth="1"/>
    <col min="2314" max="2314" width="11.44140625" style="180" customWidth="1"/>
    <col min="2315" max="2315" width="11.33203125" style="180" customWidth="1"/>
    <col min="2316" max="2316" width="9.77734375" style="180" customWidth="1"/>
    <col min="2317" max="2317" width="9.44140625" style="180" customWidth="1"/>
    <col min="2318" max="2318" width="10" style="180" bestFit="1" customWidth="1"/>
    <col min="2319" max="2319" width="32.77734375" style="180" customWidth="1"/>
    <col min="2320" max="2320" width="12.109375" style="180" customWidth="1"/>
    <col min="2321" max="2321" width="7.77734375" style="180" customWidth="1"/>
    <col min="2322" max="2322" width="10.77734375" style="180" customWidth="1"/>
    <col min="2323" max="2323" width="8.5546875" style="180" bestFit="1" customWidth="1"/>
    <col min="2324" max="2324" width="7.77734375" style="180" customWidth="1"/>
    <col min="2325" max="2325" width="49.77734375" style="180" customWidth="1"/>
    <col min="2326" max="2327" width="0" style="180" hidden="1" customWidth="1"/>
    <col min="2328" max="2328" width="9.109375" style="180" customWidth="1"/>
    <col min="2329" max="2329" width="11.21875" style="180" bestFit="1" customWidth="1"/>
    <col min="2330" max="2330" width="9.6640625" style="180" customWidth="1"/>
    <col min="2331" max="2331" width="8.6640625" style="180" customWidth="1"/>
    <col min="2332" max="2332" width="9.6640625" style="180" customWidth="1"/>
    <col min="2333" max="2333" width="10.6640625" style="180" customWidth="1"/>
    <col min="2334" max="2334" width="23.21875" style="180" customWidth="1"/>
    <col min="2335" max="2335" width="8.77734375" style="180" customWidth="1"/>
    <col min="2336" max="2336" width="8.109375" style="180" bestFit="1" customWidth="1"/>
    <col min="2337" max="2337" width="9" style="180" customWidth="1"/>
    <col min="2338" max="2338" width="8.77734375" style="180" customWidth="1"/>
    <col min="2339" max="2560" width="7.44140625" style="180"/>
    <col min="2561" max="2565" width="0" style="180" hidden="1" customWidth="1"/>
    <col min="2566" max="2566" width="8.88671875" style="180" customWidth="1"/>
    <col min="2567" max="2567" width="6.5546875" style="180" customWidth="1"/>
    <col min="2568" max="2568" width="48.6640625" style="180" customWidth="1"/>
    <col min="2569" max="2569" width="10" style="180" customWidth="1"/>
    <col min="2570" max="2570" width="11.44140625" style="180" customWidth="1"/>
    <col min="2571" max="2571" width="11.33203125" style="180" customWidth="1"/>
    <col min="2572" max="2572" width="9.77734375" style="180" customWidth="1"/>
    <col min="2573" max="2573" width="9.44140625" style="180" customWidth="1"/>
    <col min="2574" max="2574" width="10" style="180" bestFit="1" customWidth="1"/>
    <col min="2575" max="2575" width="32.77734375" style="180" customWidth="1"/>
    <col min="2576" max="2576" width="12.109375" style="180" customWidth="1"/>
    <col min="2577" max="2577" width="7.77734375" style="180" customWidth="1"/>
    <col min="2578" max="2578" width="10.77734375" style="180" customWidth="1"/>
    <col min="2579" max="2579" width="8.5546875" style="180" bestFit="1" customWidth="1"/>
    <col min="2580" max="2580" width="7.77734375" style="180" customWidth="1"/>
    <col min="2581" max="2581" width="49.77734375" style="180" customWidth="1"/>
    <col min="2582" max="2583" width="0" style="180" hidden="1" customWidth="1"/>
    <col min="2584" max="2584" width="9.109375" style="180" customWidth="1"/>
    <col min="2585" max="2585" width="11.21875" style="180" bestFit="1" customWidth="1"/>
    <col min="2586" max="2586" width="9.6640625" style="180" customWidth="1"/>
    <col min="2587" max="2587" width="8.6640625" style="180" customWidth="1"/>
    <col min="2588" max="2588" width="9.6640625" style="180" customWidth="1"/>
    <col min="2589" max="2589" width="10.6640625" style="180" customWidth="1"/>
    <col min="2590" max="2590" width="23.21875" style="180" customWidth="1"/>
    <col min="2591" max="2591" width="8.77734375" style="180" customWidth="1"/>
    <col min="2592" max="2592" width="8.109375" style="180" bestFit="1" customWidth="1"/>
    <col min="2593" max="2593" width="9" style="180" customWidth="1"/>
    <col min="2594" max="2594" width="8.77734375" style="180" customWidth="1"/>
    <col min="2595" max="2816" width="7.44140625" style="180"/>
    <col min="2817" max="2821" width="0" style="180" hidden="1" customWidth="1"/>
    <col min="2822" max="2822" width="8.88671875" style="180" customWidth="1"/>
    <col min="2823" max="2823" width="6.5546875" style="180" customWidth="1"/>
    <col min="2824" max="2824" width="48.6640625" style="180" customWidth="1"/>
    <col min="2825" max="2825" width="10" style="180" customWidth="1"/>
    <col min="2826" max="2826" width="11.44140625" style="180" customWidth="1"/>
    <col min="2827" max="2827" width="11.33203125" style="180" customWidth="1"/>
    <col min="2828" max="2828" width="9.77734375" style="180" customWidth="1"/>
    <col min="2829" max="2829" width="9.44140625" style="180" customWidth="1"/>
    <col min="2830" max="2830" width="10" style="180" bestFit="1" customWidth="1"/>
    <col min="2831" max="2831" width="32.77734375" style="180" customWidth="1"/>
    <col min="2832" max="2832" width="12.109375" style="180" customWidth="1"/>
    <col min="2833" max="2833" width="7.77734375" style="180" customWidth="1"/>
    <col min="2834" max="2834" width="10.77734375" style="180" customWidth="1"/>
    <col min="2835" max="2835" width="8.5546875" style="180" bestFit="1" customWidth="1"/>
    <col min="2836" max="2836" width="7.77734375" style="180" customWidth="1"/>
    <col min="2837" max="2837" width="49.77734375" style="180" customWidth="1"/>
    <col min="2838" max="2839" width="0" style="180" hidden="1" customWidth="1"/>
    <col min="2840" max="2840" width="9.109375" style="180" customWidth="1"/>
    <col min="2841" max="2841" width="11.21875" style="180" bestFit="1" customWidth="1"/>
    <col min="2842" max="2842" width="9.6640625" style="180" customWidth="1"/>
    <col min="2843" max="2843" width="8.6640625" style="180" customWidth="1"/>
    <col min="2844" max="2844" width="9.6640625" style="180" customWidth="1"/>
    <col min="2845" max="2845" width="10.6640625" style="180" customWidth="1"/>
    <col min="2846" max="2846" width="23.21875" style="180" customWidth="1"/>
    <col min="2847" max="2847" width="8.77734375" style="180" customWidth="1"/>
    <col min="2848" max="2848" width="8.109375" style="180" bestFit="1" customWidth="1"/>
    <col min="2849" max="2849" width="9" style="180" customWidth="1"/>
    <col min="2850" max="2850" width="8.77734375" style="180" customWidth="1"/>
    <col min="2851" max="3072" width="7.44140625" style="180"/>
    <col min="3073" max="3077" width="0" style="180" hidden="1" customWidth="1"/>
    <col min="3078" max="3078" width="8.88671875" style="180" customWidth="1"/>
    <col min="3079" max="3079" width="6.5546875" style="180" customWidth="1"/>
    <col min="3080" max="3080" width="48.6640625" style="180" customWidth="1"/>
    <col min="3081" max="3081" width="10" style="180" customWidth="1"/>
    <col min="3082" max="3082" width="11.44140625" style="180" customWidth="1"/>
    <col min="3083" max="3083" width="11.33203125" style="180" customWidth="1"/>
    <col min="3084" max="3084" width="9.77734375" style="180" customWidth="1"/>
    <col min="3085" max="3085" width="9.44140625" style="180" customWidth="1"/>
    <col min="3086" max="3086" width="10" style="180" bestFit="1" customWidth="1"/>
    <col min="3087" max="3087" width="32.77734375" style="180" customWidth="1"/>
    <col min="3088" max="3088" width="12.109375" style="180" customWidth="1"/>
    <col min="3089" max="3089" width="7.77734375" style="180" customWidth="1"/>
    <col min="3090" max="3090" width="10.77734375" style="180" customWidth="1"/>
    <col min="3091" max="3091" width="8.5546875" style="180" bestFit="1" customWidth="1"/>
    <col min="3092" max="3092" width="7.77734375" style="180" customWidth="1"/>
    <col min="3093" max="3093" width="49.77734375" style="180" customWidth="1"/>
    <col min="3094" max="3095" width="0" style="180" hidden="1" customWidth="1"/>
    <col min="3096" max="3096" width="9.109375" style="180" customWidth="1"/>
    <col min="3097" max="3097" width="11.21875" style="180" bestFit="1" customWidth="1"/>
    <col min="3098" max="3098" width="9.6640625" style="180" customWidth="1"/>
    <col min="3099" max="3099" width="8.6640625" style="180" customWidth="1"/>
    <col min="3100" max="3100" width="9.6640625" style="180" customWidth="1"/>
    <col min="3101" max="3101" width="10.6640625" style="180" customWidth="1"/>
    <col min="3102" max="3102" width="23.21875" style="180" customWidth="1"/>
    <col min="3103" max="3103" width="8.77734375" style="180" customWidth="1"/>
    <col min="3104" max="3104" width="8.109375" style="180" bestFit="1" customWidth="1"/>
    <col min="3105" max="3105" width="9" style="180" customWidth="1"/>
    <col min="3106" max="3106" width="8.77734375" style="180" customWidth="1"/>
    <col min="3107" max="3328" width="7.44140625" style="180"/>
    <col min="3329" max="3333" width="0" style="180" hidden="1" customWidth="1"/>
    <col min="3334" max="3334" width="8.88671875" style="180" customWidth="1"/>
    <col min="3335" max="3335" width="6.5546875" style="180" customWidth="1"/>
    <col min="3336" max="3336" width="48.6640625" style="180" customWidth="1"/>
    <col min="3337" max="3337" width="10" style="180" customWidth="1"/>
    <col min="3338" max="3338" width="11.44140625" style="180" customWidth="1"/>
    <col min="3339" max="3339" width="11.33203125" style="180" customWidth="1"/>
    <col min="3340" max="3340" width="9.77734375" style="180" customWidth="1"/>
    <col min="3341" max="3341" width="9.44140625" style="180" customWidth="1"/>
    <col min="3342" max="3342" width="10" style="180" bestFit="1" customWidth="1"/>
    <col min="3343" max="3343" width="32.77734375" style="180" customWidth="1"/>
    <col min="3344" max="3344" width="12.109375" style="180" customWidth="1"/>
    <col min="3345" max="3345" width="7.77734375" style="180" customWidth="1"/>
    <col min="3346" max="3346" width="10.77734375" style="180" customWidth="1"/>
    <col min="3347" max="3347" width="8.5546875" style="180" bestFit="1" customWidth="1"/>
    <col min="3348" max="3348" width="7.77734375" style="180" customWidth="1"/>
    <col min="3349" max="3349" width="49.77734375" style="180" customWidth="1"/>
    <col min="3350" max="3351" width="0" style="180" hidden="1" customWidth="1"/>
    <col min="3352" max="3352" width="9.109375" style="180" customWidth="1"/>
    <col min="3353" max="3353" width="11.21875" style="180" bestFit="1" customWidth="1"/>
    <col min="3354" max="3354" width="9.6640625" style="180" customWidth="1"/>
    <col min="3355" max="3355" width="8.6640625" style="180" customWidth="1"/>
    <col min="3356" max="3356" width="9.6640625" style="180" customWidth="1"/>
    <col min="3357" max="3357" width="10.6640625" style="180" customWidth="1"/>
    <col min="3358" max="3358" width="23.21875" style="180" customWidth="1"/>
    <col min="3359" max="3359" width="8.77734375" style="180" customWidth="1"/>
    <col min="3360" max="3360" width="8.109375" style="180" bestFit="1" customWidth="1"/>
    <col min="3361" max="3361" width="9" style="180" customWidth="1"/>
    <col min="3362" max="3362" width="8.77734375" style="180" customWidth="1"/>
    <col min="3363" max="3584" width="7.44140625" style="180"/>
    <col min="3585" max="3589" width="0" style="180" hidden="1" customWidth="1"/>
    <col min="3590" max="3590" width="8.88671875" style="180" customWidth="1"/>
    <col min="3591" max="3591" width="6.5546875" style="180" customWidth="1"/>
    <col min="3592" max="3592" width="48.6640625" style="180" customWidth="1"/>
    <col min="3593" max="3593" width="10" style="180" customWidth="1"/>
    <col min="3594" max="3594" width="11.44140625" style="180" customWidth="1"/>
    <col min="3595" max="3595" width="11.33203125" style="180" customWidth="1"/>
    <col min="3596" max="3596" width="9.77734375" style="180" customWidth="1"/>
    <col min="3597" max="3597" width="9.44140625" style="180" customWidth="1"/>
    <col min="3598" max="3598" width="10" style="180" bestFit="1" customWidth="1"/>
    <col min="3599" max="3599" width="32.77734375" style="180" customWidth="1"/>
    <col min="3600" max="3600" width="12.109375" style="180" customWidth="1"/>
    <col min="3601" max="3601" width="7.77734375" style="180" customWidth="1"/>
    <col min="3602" max="3602" width="10.77734375" style="180" customWidth="1"/>
    <col min="3603" max="3603" width="8.5546875" style="180" bestFit="1" customWidth="1"/>
    <col min="3604" max="3604" width="7.77734375" style="180" customWidth="1"/>
    <col min="3605" max="3605" width="49.77734375" style="180" customWidth="1"/>
    <col min="3606" max="3607" width="0" style="180" hidden="1" customWidth="1"/>
    <col min="3608" max="3608" width="9.109375" style="180" customWidth="1"/>
    <col min="3609" max="3609" width="11.21875" style="180" bestFit="1" customWidth="1"/>
    <col min="3610" max="3610" width="9.6640625" style="180" customWidth="1"/>
    <col min="3611" max="3611" width="8.6640625" style="180" customWidth="1"/>
    <col min="3612" max="3612" width="9.6640625" style="180" customWidth="1"/>
    <col min="3613" max="3613" width="10.6640625" style="180" customWidth="1"/>
    <col min="3614" max="3614" width="23.21875" style="180" customWidth="1"/>
    <col min="3615" max="3615" width="8.77734375" style="180" customWidth="1"/>
    <col min="3616" max="3616" width="8.109375" style="180" bestFit="1" customWidth="1"/>
    <col min="3617" max="3617" width="9" style="180" customWidth="1"/>
    <col min="3618" max="3618" width="8.77734375" style="180" customWidth="1"/>
    <col min="3619" max="3840" width="7.44140625" style="180"/>
    <col min="3841" max="3845" width="0" style="180" hidden="1" customWidth="1"/>
    <col min="3846" max="3846" width="8.88671875" style="180" customWidth="1"/>
    <col min="3847" max="3847" width="6.5546875" style="180" customWidth="1"/>
    <col min="3848" max="3848" width="48.6640625" style="180" customWidth="1"/>
    <col min="3849" max="3849" width="10" style="180" customWidth="1"/>
    <col min="3850" max="3850" width="11.44140625" style="180" customWidth="1"/>
    <col min="3851" max="3851" width="11.33203125" style="180" customWidth="1"/>
    <col min="3852" max="3852" width="9.77734375" style="180" customWidth="1"/>
    <col min="3853" max="3853" width="9.44140625" style="180" customWidth="1"/>
    <col min="3854" max="3854" width="10" style="180" bestFit="1" customWidth="1"/>
    <col min="3855" max="3855" width="32.77734375" style="180" customWidth="1"/>
    <col min="3856" max="3856" width="12.109375" style="180" customWidth="1"/>
    <col min="3857" max="3857" width="7.77734375" style="180" customWidth="1"/>
    <col min="3858" max="3858" width="10.77734375" style="180" customWidth="1"/>
    <col min="3859" max="3859" width="8.5546875" style="180" bestFit="1" customWidth="1"/>
    <col min="3860" max="3860" width="7.77734375" style="180" customWidth="1"/>
    <col min="3861" max="3861" width="49.77734375" style="180" customWidth="1"/>
    <col min="3862" max="3863" width="0" style="180" hidden="1" customWidth="1"/>
    <col min="3864" max="3864" width="9.109375" style="180" customWidth="1"/>
    <col min="3865" max="3865" width="11.21875" style="180" bestFit="1" customWidth="1"/>
    <col min="3866" max="3866" width="9.6640625" style="180" customWidth="1"/>
    <col min="3867" max="3867" width="8.6640625" style="180" customWidth="1"/>
    <col min="3868" max="3868" width="9.6640625" style="180" customWidth="1"/>
    <col min="3869" max="3869" width="10.6640625" style="180" customWidth="1"/>
    <col min="3870" max="3870" width="23.21875" style="180" customWidth="1"/>
    <col min="3871" max="3871" width="8.77734375" style="180" customWidth="1"/>
    <col min="3872" max="3872" width="8.109375" style="180" bestFit="1" customWidth="1"/>
    <col min="3873" max="3873" width="9" style="180" customWidth="1"/>
    <col min="3874" max="3874" width="8.77734375" style="180" customWidth="1"/>
    <col min="3875" max="4096" width="7.44140625" style="180"/>
    <col min="4097" max="4101" width="0" style="180" hidden="1" customWidth="1"/>
    <col min="4102" max="4102" width="8.88671875" style="180" customWidth="1"/>
    <col min="4103" max="4103" width="6.5546875" style="180" customWidth="1"/>
    <col min="4104" max="4104" width="48.6640625" style="180" customWidth="1"/>
    <col min="4105" max="4105" width="10" style="180" customWidth="1"/>
    <col min="4106" max="4106" width="11.44140625" style="180" customWidth="1"/>
    <col min="4107" max="4107" width="11.33203125" style="180" customWidth="1"/>
    <col min="4108" max="4108" width="9.77734375" style="180" customWidth="1"/>
    <col min="4109" max="4109" width="9.44140625" style="180" customWidth="1"/>
    <col min="4110" max="4110" width="10" style="180" bestFit="1" customWidth="1"/>
    <col min="4111" max="4111" width="32.77734375" style="180" customWidth="1"/>
    <col min="4112" max="4112" width="12.109375" style="180" customWidth="1"/>
    <col min="4113" max="4113" width="7.77734375" style="180" customWidth="1"/>
    <col min="4114" max="4114" width="10.77734375" style="180" customWidth="1"/>
    <col min="4115" max="4115" width="8.5546875" style="180" bestFit="1" customWidth="1"/>
    <col min="4116" max="4116" width="7.77734375" style="180" customWidth="1"/>
    <col min="4117" max="4117" width="49.77734375" style="180" customWidth="1"/>
    <col min="4118" max="4119" width="0" style="180" hidden="1" customWidth="1"/>
    <col min="4120" max="4120" width="9.109375" style="180" customWidth="1"/>
    <col min="4121" max="4121" width="11.21875" style="180" bestFit="1" customWidth="1"/>
    <col min="4122" max="4122" width="9.6640625" style="180" customWidth="1"/>
    <col min="4123" max="4123" width="8.6640625" style="180" customWidth="1"/>
    <col min="4124" max="4124" width="9.6640625" style="180" customWidth="1"/>
    <col min="4125" max="4125" width="10.6640625" style="180" customWidth="1"/>
    <col min="4126" max="4126" width="23.21875" style="180" customWidth="1"/>
    <col min="4127" max="4127" width="8.77734375" style="180" customWidth="1"/>
    <col min="4128" max="4128" width="8.109375" style="180" bestFit="1" customWidth="1"/>
    <col min="4129" max="4129" width="9" style="180" customWidth="1"/>
    <col min="4130" max="4130" width="8.77734375" style="180" customWidth="1"/>
    <col min="4131" max="4352" width="7.44140625" style="180"/>
    <col min="4353" max="4357" width="0" style="180" hidden="1" customWidth="1"/>
    <col min="4358" max="4358" width="8.88671875" style="180" customWidth="1"/>
    <col min="4359" max="4359" width="6.5546875" style="180" customWidth="1"/>
    <col min="4360" max="4360" width="48.6640625" style="180" customWidth="1"/>
    <col min="4361" max="4361" width="10" style="180" customWidth="1"/>
    <col min="4362" max="4362" width="11.44140625" style="180" customWidth="1"/>
    <col min="4363" max="4363" width="11.33203125" style="180" customWidth="1"/>
    <col min="4364" max="4364" width="9.77734375" style="180" customWidth="1"/>
    <col min="4365" max="4365" width="9.44140625" style="180" customWidth="1"/>
    <col min="4366" max="4366" width="10" style="180" bestFit="1" customWidth="1"/>
    <col min="4367" max="4367" width="32.77734375" style="180" customWidth="1"/>
    <col min="4368" max="4368" width="12.109375" style="180" customWidth="1"/>
    <col min="4369" max="4369" width="7.77734375" style="180" customWidth="1"/>
    <col min="4370" max="4370" width="10.77734375" style="180" customWidth="1"/>
    <col min="4371" max="4371" width="8.5546875" style="180" bestFit="1" customWidth="1"/>
    <col min="4372" max="4372" width="7.77734375" style="180" customWidth="1"/>
    <col min="4373" max="4373" width="49.77734375" style="180" customWidth="1"/>
    <col min="4374" max="4375" width="0" style="180" hidden="1" customWidth="1"/>
    <col min="4376" max="4376" width="9.109375" style="180" customWidth="1"/>
    <col min="4377" max="4377" width="11.21875" style="180" bestFit="1" customWidth="1"/>
    <col min="4378" max="4378" width="9.6640625" style="180" customWidth="1"/>
    <col min="4379" max="4379" width="8.6640625" style="180" customWidth="1"/>
    <col min="4380" max="4380" width="9.6640625" style="180" customWidth="1"/>
    <col min="4381" max="4381" width="10.6640625" style="180" customWidth="1"/>
    <col min="4382" max="4382" width="23.21875" style="180" customWidth="1"/>
    <col min="4383" max="4383" width="8.77734375" style="180" customWidth="1"/>
    <col min="4384" max="4384" width="8.109375" style="180" bestFit="1" customWidth="1"/>
    <col min="4385" max="4385" width="9" style="180" customWidth="1"/>
    <col min="4386" max="4386" width="8.77734375" style="180" customWidth="1"/>
    <col min="4387" max="4608" width="7.44140625" style="180"/>
    <col min="4609" max="4613" width="0" style="180" hidden="1" customWidth="1"/>
    <col min="4614" max="4614" width="8.88671875" style="180" customWidth="1"/>
    <col min="4615" max="4615" width="6.5546875" style="180" customWidth="1"/>
    <col min="4616" max="4616" width="48.6640625" style="180" customWidth="1"/>
    <col min="4617" max="4617" width="10" style="180" customWidth="1"/>
    <col min="4618" max="4618" width="11.44140625" style="180" customWidth="1"/>
    <col min="4619" max="4619" width="11.33203125" style="180" customWidth="1"/>
    <col min="4620" max="4620" width="9.77734375" style="180" customWidth="1"/>
    <col min="4621" max="4621" width="9.44140625" style="180" customWidth="1"/>
    <col min="4622" max="4622" width="10" style="180" bestFit="1" customWidth="1"/>
    <col min="4623" max="4623" width="32.77734375" style="180" customWidth="1"/>
    <col min="4624" max="4624" width="12.109375" style="180" customWidth="1"/>
    <col min="4625" max="4625" width="7.77734375" style="180" customWidth="1"/>
    <col min="4626" max="4626" width="10.77734375" style="180" customWidth="1"/>
    <col min="4627" max="4627" width="8.5546875" style="180" bestFit="1" customWidth="1"/>
    <col min="4628" max="4628" width="7.77734375" style="180" customWidth="1"/>
    <col min="4629" max="4629" width="49.77734375" style="180" customWidth="1"/>
    <col min="4630" max="4631" width="0" style="180" hidden="1" customWidth="1"/>
    <col min="4632" max="4632" width="9.109375" style="180" customWidth="1"/>
    <col min="4633" max="4633" width="11.21875" style="180" bestFit="1" customWidth="1"/>
    <col min="4634" max="4634" width="9.6640625" style="180" customWidth="1"/>
    <col min="4635" max="4635" width="8.6640625" style="180" customWidth="1"/>
    <col min="4636" max="4636" width="9.6640625" style="180" customWidth="1"/>
    <col min="4637" max="4637" width="10.6640625" style="180" customWidth="1"/>
    <col min="4638" max="4638" width="23.21875" style="180" customWidth="1"/>
    <col min="4639" max="4639" width="8.77734375" style="180" customWidth="1"/>
    <col min="4640" max="4640" width="8.109375" style="180" bestFit="1" customWidth="1"/>
    <col min="4641" max="4641" width="9" style="180" customWidth="1"/>
    <col min="4642" max="4642" width="8.77734375" style="180" customWidth="1"/>
    <col min="4643" max="4864" width="7.44140625" style="180"/>
    <col min="4865" max="4869" width="0" style="180" hidden="1" customWidth="1"/>
    <col min="4870" max="4870" width="8.88671875" style="180" customWidth="1"/>
    <col min="4871" max="4871" width="6.5546875" style="180" customWidth="1"/>
    <col min="4872" max="4872" width="48.6640625" style="180" customWidth="1"/>
    <col min="4873" max="4873" width="10" style="180" customWidth="1"/>
    <col min="4874" max="4874" width="11.44140625" style="180" customWidth="1"/>
    <col min="4875" max="4875" width="11.33203125" style="180" customWidth="1"/>
    <col min="4876" max="4876" width="9.77734375" style="180" customWidth="1"/>
    <col min="4877" max="4877" width="9.44140625" style="180" customWidth="1"/>
    <col min="4878" max="4878" width="10" style="180" bestFit="1" customWidth="1"/>
    <col min="4879" max="4879" width="32.77734375" style="180" customWidth="1"/>
    <col min="4880" max="4880" width="12.109375" style="180" customWidth="1"/>
    <col min="4881" max="4881" width="7.77734375" style="180" customWidth="1"/>
    <col min="4882" max="4882" width="10.77734375" style="180" customWidth="1"/>
    <col min="4883" max="4883" width="8.5546875" style="180" bestFit="1" customWidth="1"/>
    <col min="4884" max="4884" width="7.77734375" style="180" customWidth="1"/>
    <col min="4885" max="4885" width="49.77734375" style="180" customWidth="1"/>
    <col min="4886" max="4887" width="0" style="180" hidden="1" customWidth="1"/>
    <col min="4888" max="4888" width="9.109375" style="180" customWidth="1"/>
    <col min="4889" max="4889" width="11.21875" style="180" bestFit="1" customWidth="1"/>
    <col min="4890" max="4890" width="9.6640625" style="180" customWidth="1"/>
    <col min="4891" max="4891" width="8.6640625" style="180" customWidth="1"/>
    <col min="4892" max="4892" width="9.6640625" style="180" customWidth="1"/>
    <col min="4893" max="4893" width="10.6640625" style="180" customWidth="1"/>
    <col min="4894" max="4894" width="23.21875" style="180" customWidth="1"/>
    <col min="4895" max="4895" width="8.77734375" style="180" customWidth="1"/>
    <col min="4896" max="4896" width="8.109375" style="180" bestFit="1" customWidth="1"/>
    <col min="4897" max="4897" width="9" style="180" customWidth="1"/>
    <col min="4898" max="4898" width="8.77734375" style="180" customWidth="1"/>
    <col min="4899" max="5120" width="7.44140625" style="180"/>
    <col min="5121" max="5125" width="0" style="180" hidden="1" customWidth="1"/>
    <col min="5126" max="5126" width="8.88671875" style="180" customWidth="1"/>
    <col min="5127" max="5127" width="6.5546875" style="180" customWidth="1"/>
    <col min="5128" max="5128" width="48.6640625" style="180" customWidth="1"/>
    <col min="5129" max="5129" width="10" style="180" customWidth="1"/>
    <col min="5130" max="5130" width="11.44140625" style="180" customWidth="1"/>
    <col min="5131" max="5131" width="11.33203125" style="180" customWidth="1"/>
    <col min="5132" max="5132" width="9.77734375" style="180" customWidth="1"/>
    <col min="5133" max="5133" width="9.44140625" style="180" customWidth="1"/>
    <col min="5134" max="5134" width="10" style="180" bestFit="1" customWidth="1"/>
    <col min="5135" max="5135" width="32.77734375" style="180" customWidth="1"/>
    <col min="5136" max="5136" width="12.109375" style="180" customWidth="1"/>
    <col min="5137" max="5137" width="7.77734375" style="180" customWidth="1"/>
    <col min="5138" max="5138" width="10.77734375" style="180" customWidth="1"/>
    <col min="5139" max="5139" width="8.5546875" style="180" bestFit="1" customWidth="1"/>
    <col min="5140" max="5140" width="7.77734375" style="180" customWidth="1"/>
    <col min="5141" max="5141" width="49.77734375" style="180" customWidth="1"/>
    <col min="5142" max="5143" width="0" style="180" hidden="1" customWidth="1"/>
    <col min="5144" max="5144" width="9.109375" style="180" customWidth="1"/>
    <col min="5145" max="5145" width="11.21875" style="180" bestFit="1" customWidth="1"/>
    <col min="5146" max="5146" width="9.6640625" style="180" customWidth="1"/>
    <col min="5147" max="5147" width="8.6640625" style="180" customWidth="1"/>
    <col min="5148" max="5148" width="9.6640625" style="180" customWidth="1"/>
    <col min="5149" max="5149" width="10.6640625" style="180" customWidth="1"/>
    <col min="5150" max="5150" width="23.21875" style="180" customWidth="1"/>
    <col min="5151" max="5151" width="8.77734375" style="180" customWidth="1"/>
    <col min="5152" max="5152" width="8.109375" style="180" bestFit="1" customWidth="1"/>
    <col min="5153" max="5153" width="9" style="180" customWidth="1"/>
    <col min="5154" max="5154" width="8.77734375" style="180" customWidth="1"/>
    <col min="5155" max="5376" width="7.44140625" style="180"/>
    <col min="5377" max="5381" width="0" style="180" hidden="1" customWidth="1"/>
    <col min="5382" max="5382" width="8.88671875" style="180" customWidth="1"/>
    <col min="5383" max="5383" width="6.5546875" style="180" customWidth="1"/>
    <col min="5384" max="5384" width="48.6640625" style="180" customWidth="1"/>
    <col min="5385" max="5385" width="10" style="180" customWidth="1"/>
    <col min="5386" max="5386" width="11.44140625" style="180" customWidth="1"/>
    <col min="5387" max="5387" width="11.33203125" style="180" customWidth="1"/>
    <col min="5388" max="5388" width="9.77734375" style="180" customWidth="1"/>
    <col min="5389" max="5389" width="9.44140625" style="180" customWidth="1"/>
    <col min="5390" max="5390" width="10" style="180" bestFit="1" customWidth="1"/>
    <col min="5391" max="5391" width="32.77734375" style="180" customWidth="1"/>
    <col min="5392" max="5392" width="12.109375" style="180" customWidth="1"/>
    <col min="5393" max="5393" width="7.77734375" style="180" customWidth="1"/>
    <col min="5394" max="5394" width="10.77734375" style="180" customWidth="1"/>
    <col min="5395" max="5395" width="8.5546875" style="180" bestFit="1" customWidth="1"/>
    <col min="5396" max="5396" width="7.77734375" style="180" customWidth="1"/>
    <col min="5397" max="5397" width="49.77734375" style="180" customWidth="1"/>
    <col min="5398" max="5399" width="0" style="180" hidden="1" customWidth="1"/>
    <col min="5400" max="5400" width="9.109375" style="180" customWidth="1"/>
    <col min="5401" max="5401" width="11.21875" style="180" bestFit="1" customWidth="1"/>
    <col min="5402" max="5402" width="9.6640625" style="180" customWidth="1"/>
    <col min="5403" max="5403" width="8.6640625" style="180" customWidth="1"/>
    <col min="5404" max="5404" width="9.6640625" style="180" customWidth="1"/>
    <col min="5405" max="5405" width="10.6640625" style="180" customWidth="1"/>
    <col min="5406" max="5406" width="23.21875" style="180" customWidth="1"/>
    <col min="5407" max="5407" width="8.77734375" style="180" customWidth="1"/>
    <col min="5408" max="5408" width="8.109375" style="180" bestFit="1" customWidth="1"/>
    <col min="5409" max="5409" width="9" style="180" customWidth="1"/>
    <col min="5410" max="5410" width="8.77734375" style="180" customWidth="1"/>
    <col min="5411" max="5632" width="7.44140625" style="180"/>
    <col min="5633" max="5637" width="0" style="180" hidden="1" customWidth="1"/>
    <col min="5638" max="5638" width="8.88671875" style="180" customWidth="1"/>
    <col min="5639" max="5639" width="6.5546875" style="180" customWidth="1"/>
    <col min="5640" max="5640" width="48.6640625" style="180" customWidth="1"/>
    <col min="5641" max="5641" width="10" style="180" customWidth="1"/>
    <col min="5642" max="5642" width="11.44140625" style="180" customWidth="1"/>
    <col min="5643" max="5643" width="11.33203125" style="180" customWidth="1"/>
    <col min="5644" max="5644" width="9.77734375" style="180" customWidth="1"/>
    <col min="5645" max="5645" width="9.44140625" style="180" customWidth="1"/>
    <col min="5646" max="5646" width="10" style="180" bestFit="1" customWidth="1"/>
    <col min="5647" max="5647" width="32.77734375" style="180" customWidth="1"/>
    <col min="5648" max="5648" width="12.109375" style="180" customWidth="1"/>
    <col min="5649" max="5649" width="7.77734375" style="180" customWidth="1"/>
    <col min="5650" max="5650" width="10.77734375" style="180" customWidth="1"/>
    <col min="5651" max="5651" width="8.5546875" style="180" bestFit="1" customWidth="1"/>
    <col min="5652" max="5652" width="7.77734375" style="180" customWidth="1"/>
    <col min="5653" max="5653" width="49.77734375" style="180" customWidth="1"/>
    <col min="5654" max="5655" width="0" style="180" hidden="1" customWidth="1"/>
    <col min="5656" max="5656" width="9.109375" style="180" customWidth="1"/>
    <col min="5657" max="5657" width="11.21875" style="180" bestFit="1" customWidth="1"/>
    <col min="5658" max="5658" width="9.6640625" style="180" customWidth="1"/>
    <col min="5659" max="5659" width="8.6640625" style="180" customWidth="1"/>
    <col min="5660" max="5660" width="9.6640625" style="180" customWidth="1"/>
    <col min="5661" max="5661" width="10.6640625" style="180" customWidth="1"/>
    <col min="5662" max="5662" width="23.21875" style="180" customWidth="1"/>
    <col min="5663" max="5663" width="8.77734375" style="180" customWidth="1"/>
    <col min="5664" max="5664" width="8.109375" style="180" bestFit="1" customWidth="1"/>
    <col min="5665" max="5665" width="9" style="180" customWidth="1"/>
    <col min="5666" max="5666" width="8.77734375" style="180" customWidth="1"/>
    <col min="5667" max="5888" width="7.44140625" style="180"/>
    <col min="5889" max="5893" width="0" style="180" hidden="1" customWidth="1"/>
    <col min="5894" max="5894" width="8.88671875" style="180" customWidth="1"/>
    <col min="5895" max="5895" width="6.5546875" style="180" customWidth="1"/>
    <col min="5896" max="5896" width="48.6640625" style="180" customWidth="1"/>
    <col min="5897" max="5897" width="10" style="180" customWidth="1"/>
    <col min="5898" max="5898" width="11.44140625" style="180" customWidth="1"/>
    <col min="5899" max="5899" width="11.33203125" style="180" customWidth="1"/>
    <col min="5900" max="5900" width="9.77734375" style="180" customWidth="1"/>
    <col min="5901" max="5901" width="9.44140625" style="180" customWidth="1"/>
    <col min="5902" max="5902" width="10" style="180" bestFit="1" customWidth="1"/>
    <col min="5903" max="5903" width="32.77734375" style="180" customWidth="1"/>
    <col min="5904" max="5904" width="12.109375" style="180" customWidth="1"/>
    <col min="5905" max="5905" width="7.77734375" style="180" customWidth="1"/>
    <col min="5906" max="5906" width="10.77734375" style="180" customWidth="1"/>
    <col min="5907" max="5907" width="8.5546875" style="180" bestFit="1" customWidth="1"/>
    <col min="5908" max="5908" width="7.77734375" style="180" customWidth="1"/>
    <col min="5909" max="5909" width="49.77734375" style="180" customWidth="1"/>
    <col min="5910" max="5911" width="0" style="180" hidden="1" customWidth="1"/>
    <col min="5912" max="5912" width="9.109375" style="180" customWidth="1"/>
    <col min="5913" max="5913" width="11.21875" style="180" bestFit="1" customWidth="1"/>
    <col min="5914" max="5914" width="9.6640625" style="180" customWidth="1"/>
    <col min="5915" max="5915" width="8.6640625" style="180" customWidth="1"/>
    <col min="5916" max="5916" width="9.6640625" style="180" customWidth="1"/>
    <col min="5917" max="5917" width="10.6640625" style="180" customWidth="1"/>
    <col min="5918" max="5918" width="23.21875" style="180" customWidth="1"/>
    <col min="5919" max="5919" width="8.77734375" style="180" customWidth="1"/>
    <col min="5920" max="5920" width="8.109375" style="180" bestFit="1" customWidth="1"/>
    <col min="5921" max="5921" width="9" style="180" customWidth="1"/>
    <col min="5922" max="5922" width="8.77734375" style="180" customWidth="1"/>
    <col min="5923" max="6144" width="7.44140625" style="180"/>
    <col min="6145" max="6149" width="0" style="180" hidden="1" customWidth="1"/>
    <col min="6150" max="6150" width="8.88671875" style="180" customWidth="1"/>
    <col min="6151" max="6151" width="6.5546875" style="180" customWidth="1"/>
    <col min="6152" max="6152" width="48.6640625" style="180" customWidth="1"/>
    <col min="6153" max="6153" width="10" style="180" customWidth="1"/>
    <col min="6154" max="6154" width="11.44140625" style="180" customWidth="1"/>
    <col min="6155" max="6155" width="11.33203125" style="180" customWidth="1"/>
    <col min="6156" max="6156" width="9.77734375" style="180" customWidth="1"/>
    <col min="6157" max="6157" width="9.44140625" style="180" customWidth="1"/>
    <col min="6158" max="6158" width="10" style="180" bestFit="1" customWidth="1"/>
    <col min="6159" max="6159" width="32.77734375" style="180" customWidth="1"/>
    <col min="6160" max="6160" width="12.109375" style="180" customWidth="1"/>
    <col min="6161" max="6161" width="7.77734375" style="180" customWidth="1"/>
    <col min="6162" max="6162" width="10.77734375" style="180" customWidth="1"/>
    <col min="6163" max="6163" width="8.5546875" style="180" bestFit="1" customWidth="1"/>
    <col min="6164" max="6164" width="7.77734375" style="180" customWidth="1"/>
    <col min="6165" max="6165" width="49.77734375" style="180" customWidth="1"/>
    <col min="6166" max="6167" width="0" style="180" hidden="1" customWidth="1"/>
    <col min="6168" max="6168" width="9.109375" style="180" customWidth="1"/>
    <col min="6169" max="6169" width="11.21875" style="180" bestFit="1" customWidth="1"/>
    <col min="6170" max="6170" width="9.6640625" style="180" customWidth="1"/>
    <col min="6171" max="6171" width="8.6640625" style="180" customWidth="1"/>
    <col min="6172" max="6172" width="9.6640625" style="180" customWidth="1"/>
    <col min="6173" max="6173" width="10.6640625" style="180" customWidth="1"/>
    <col min="6174" max="6174" width="23.21875" style="180" customWidth="1"/>
    <col min="6175" max="6175" width="8.77734375" style="180" customWidth="1"/>
    <col min="6176" max="6176" width="8.109375" style="180" bestFit="1" customWidth="1"/>
    <col min="6177" max="6177" width="9" style="180" customWidth="1"/>
    <col min="6178" max="6178" width="8.77734375" style="180" customWidth="1"/>
    <col min="6179" max="6400" width="7.44140625" style="180"/>
    <col min="6401" max="6405" width="0" style="180" hidden="1" customWidth="1"/>
    <col min="6406" max="6406" width="8.88671875" style="180" customWidth="1"/>
    <col min="6407" max="6407" width="6.5546875" style="180" customWidth="1"/>
    <col min="6408" max="6408" width="48.6640625" style="180" customWidth="1"/>
    <col min="6409" max="6409" width="10" style="180" customWidth="1"/>
    <col min="6410" max="6410" width="11.44140625" style="180" customWidth="1"/>
    <col min="6411" max="6411" width="11.33203125" style="180" customWidth="1"/>
    <col min="6412" max="6412" width="9.77734375" style="180" customWidth="1"/>
    <col min="6413" max="6413" width="9.44140625" style="180" customWidth="1"/>
    <col min="6414" max="6414" width="10" style="180" bestFit="1" customWidth="1"/>
    <col min="6415" max="6415" width="32.77734375" style="180" customWidth="1"/>
    <col min="6416" max="6416" width="12.109375" style="180" customWidth="1"/>
    <col min="6417" max="6417" width="7.77734375" style="180" customWidth="1"/>
    <col min="6418" max="6418" width="10.77734375" style="180" customWidth="1"/>
    <col min="6419" max="6419" width="8.5546875" style="180" bestFit="1" customWidth="1"/>
    <col min="6420" max="6420" width="7.77734375" style="180" customWidth="1"/>
    <col min="6421" max="6421" width="49.77734375" style="180" customWidth="1"/>
    <col min="6422" max="6423" width="0" style="180" hidden="1" customWidth="1"/>
    <col min="6424" max="6424" width="9.109375" style="180" customWidth="1"/>
    <col min="6425" max="6425" width="11.21875" style="180" bestFit="1" customWidth="1"/>
    <col min="6426" max="6426" width="9.6640625" style="180" customWidth="1"/>
    <col min="6427" max="6427" width="8.6640625" style="180" customWidth="1"/>
    <col min="6428" max="6428" width="9.6640625" style="180" customWidth="1"/>
    <col min="6429" max="6429" width="10.6640625" style="180" customWidth="1"/>
    <col min="6430" max="6430" width="23.21875" style="180" customWidth="1"/>
    <col min="6431" max="6431" width="8.77734375" style="180" customWidth="1"/>
    <col min="6432" max="6432" width="8.109375" style="180" bestFit="1" customWidth="1"/>
    <col min="6433" max="6433" width="9" style="180" customWidth="1"/>
    <col min="6434" max="6434" width="8.77734375" style="180" customWidth="1"/>
    <col min="6435" max="6656" width="7.44140625" style="180"/>
    <col min="6657" max="6661" width="0" style="180" hidden="1" customWidth="1"/>
    <col min="6662" max="6662" width="8.88671875" style="180" customWidth="1"/>
    <col min="6663" max="6663" width="6.5546875" style="180" customWidth="1"/>
    <col min="6664" max="6664" width="48.6640625" style="180" customWidth="1"/>
    <col min="6665" max="6665" width="10" style="180" customWidth="1"/>
    <col min="6666" max="6666" width="11.44140625" style="180" customWidth="1"/>
    <col min="6667" max="6667" width="11.33203125" style="180" customWidth="1"/>
    <col min="6668" max="6668" width="9.77734375" style="180" customWidth="1"/>
    <col min="6669" max="6669" width="9.44140625" style="180" customWidth="1"/>
    <col min="6670" max="6670" width="10" style="180" bestFit="1" customWidth="1"/>
    <col min="6671" max="6671" width="32.77734375" style="180" customWidth="1"/>
    <col min="6672" max="6672" width="12.109375" style="180" customWidth="1"/>
    <col min="6673" max="6673" width="7.77734375" style="180" customWidth="1"/>
    <col min="6674" max="6674" width="10.77734375" style="180" customWidth="1"/>
    <col min="6675" max="6675" width="8.5546875" style="180" bestFit="1" customWidth="1"/>
    <col min="6676" max="6676" width="7.77734375" style="180" customWidth="1"/>
    <col min="6677" max="6677" width="49.77734375" style="180" customWidth="1"/>
    <col min="6678" max="6679" width="0" style="180" hidden="1" customWidth="1"/>
    <col min="6680" max="6680" width="9.109375" style="180" customWidth="1"/>
    <col min="6681" max="6681" width="11.21875" style="180" bestFit="1" customWidth="1"/>
    <col min="6682" max="6682" width="9.6640625" style="180" customWidth="1"/>
    <col min="6683" max="6683" width="8.6640625" style="180" customWidth="1"/>
    <col min="6684" max="6684" width="9.6640625" style="180" customWidth="1"/>
    <col min="6685" max="6685" width="10.6640625" style="180" customWidth="1"/>
    <col min="6686" max="6686" width="23.21875" style="180" customWidth="1"/>
    <col min="6687" max="6687" width="8.77734375" style="180" customWidth="1"/>
    <col min="6688" max="6688" width="8.109375" style="180" bestFit="1" customWidth="1"/>
    <col min="6689" max="6689" width="9" style="180" customWidth="1"/>
    <col min="6690" max="6690" width="8.77734375" style="180" customWidth="1"/>
    <col min="6691" max="6912" width="7.44140625" style="180"/>
    <col min="6913" max="6917" width="0" style="180" hidden="1" customWidth="1"/>
    <col min="6918" max="6918" width="8.88671875" style="180" customWidth="1"/>
    <col min="6919" max="6919" width="6.5546875" style="180" customWidth="1"/>
    <col min="6920" max="6920" width="48.6640625" style="180" customWidth="1"/>
    <col min="6921" max="6921" width="10" style="180" customWidth="1"/>
    <col min="6922" max="6922" width="11.44140625" style="180" customWidth="1"/>
    <col min="6923" max="6923" width="11.33203125" style="180" customWidth="1"/>
    <col min="6924" max="6924" width="9.77734375" style="180" customWidth="1"/>
    <col min="6925" max="6925" width="9.44140625" style="180" customWidth="1"/>
    <col min="6926" max="6926" width="10" style="180" bestFit="1" customWidth="1"/>
    <col min="6927" max="6927" width="32.77734375" style="180" customWidth="1"/>
    <col min="6928" max="6928" width="12.109375" style="180" customWidth="1"/>
    <col min="6929" max="6929" width="7.77734375" style="180" customWidth="1"/>
    <col min="6930" max="6930" width="10.77734375" style="180" customWidth="1"/>
    <col min="6931" max="6931" width="8.5546875" style="180" bestFit="1" customWidth="1"/>
    <col min="6932" max="6932" width="7.77734375" style="180" customWidth="1"/>
    <col min="6933" max="6933" width="49.77734375" style="180" customWidth="1"/>
    <col min="6934" max="6935" width="0" style="180" hidden="1" customWidth="1"/>
    <col min="6936" max="6936" width="9.109375" style="180" customWidth="1"/>
    <col min="6937" max="6937" width="11.21875" style="180" bestFit="1" customWidth="1"/>
    <col min="6938" max="6938" width="9.6640625" style="180" customWidth="1"/>
    <col min="6939" max="6939" width="8.6640625" style="180" customWidth="1"/>
    <col min="6940" max="6940" width="9.6640625" style="180" customWidth="1"/>
    <col min="6941" max="6941" width="10.6640625" style="180" customWidth="1"/>
    <col min="6942" max="6942" width="23.21875" style="180" customWidth="1"/>
    <col min="6943" max="6943" width="8.77734375" style="180" customWidth="1"/>
    <col min="6944" max="6944" width="8.109375" style="180" bestFit="1" customWidth="1"/>
    <col min="6945" max="6945" width="9" style="180" customWidth="1"/>
    <col min="6946" max="6946" width="8.77734375" style="180" customWidth="1"/>
    <col min="6947" max="7168" width="7.44140625" style="180"/>
    <col min="7169" max="7173" width="0" style="180" hidden="1" customWidth="1"/>
    <col min="7174" max="7174" width="8.88671875" style="180" customWidth="1"/>
    <col min="7175" max="7175" width="6.5546875" style="180" customWidth="1"/>
    <col min="7176" max="7176" width="48.6640625" style="180" customWidth="1"/>
    <col min="7177" max="7177" width="10" style="180" customWidth="1"/>
    <col min="7178" max="7178" width="11.44140625" style="180" customWidth="1"/>
    <col min="7179" max="7179" width="11.33203125" style="180" customWidth="1"/>
    <col min="7180" max="7180" width="9.77734375" style="180" customWidth="1"/>
    <col min="7181" max="7181" width="9.44140625" style="180" customWidth="1"/>
    <col min="7182" max="7182" width="10" style="180" bestFit="1" customWidth="1"/>
    <col min="7183" max="7183" width="32.77734375" style="180" customWidth="1"/>
    <col min="7184" max="7184" width="12.109375" style="180" customWidth="1"/>
    <col min="7185" max="7185" width="7.77734375" style="180" customWidth="1"/>
    <col min="7186" max="7186" width="10.77734375" style="180" customWidth="1"/>
    <col min="7187" max="7187" width="8.5546875" style="180" bestFit="1" customWidth="1"/>
    <col min="7188" max="7188" width="7.77734375" style="180" customWidth="1"/>
    <col min="7189" max="7189" width="49.77734375" style="180" customWidth="1"/>
    <col min="7190" max="7191" width="0" style="180" hidden="1" customWidth="1"/>
    <col min="7192" max="7192" width="9.109375" style="180" customWidth="1"/>
    <col min="7193" max="7193" width="11.21875" style="180" bestFit="1" customWidth="1"/>
    <col min="7194" max="7194" width="9.6640625" style="180" customWidth="1"/>
    <col min="7195" max="7195" width="8.6640625" style="180" customWidth="1"/>
    <col min="7196" max="7196" width="9.6640625" style="180" customWidth="1"/>
    <col min="7197" max="7197" width="10.6640625" style="180" customWidth="1"/>
    <col min="7198" max="7198" width="23.21875" style="180" customWidth="1"/>
    <col min="7199" max="7199" width="8.77734375" style="180" customWidth="1"/>
    <col min="7200" max="7200" width="8.109375" style="180" bestFit="1" customWidth="1"/>
    <col min="7201" max="7201" width="9" style="180" customWidth="1"/>
    <col min="7202" max="7202" width="8.77734375" style="180" customWidth="1"/>
    <col min="7203" max="7424" width="7.44140625" style="180"/>
    <col min="7425" max="7429" width="0" style="180" hidden="1" customWidth="1"/>
    <col min="7430" max="7430" width="8.88671875" style="180" customWidth="1"/>
    <col min="7431" max="7431" width="6.5546875" style="180" customWidth="1"/>
    <col min="7432" max="7432" width="48.6640625" style="180" customWidth="1"/>
    <col min="7433" max="7433" width="10" style="180" customWidth="1"/>
    <col min="7434" max="7434" width="11.44140625" style="180" customWidth="1"/>
    <col min="7435" max="7435" width="11.33203125" style="180" customWidth="1"/>
    <col min="7436" max="7436" width="9.77734375" style="180" customWidth="1"/>
    <col min="7437" max="7437" width="9.44140625" style="180" customWidth="1"/>
    <col min="7438" max="7438" width="10" style="180" bestFit="1" customWidth="1"/>
    <col min="7439" max="7439" width="32.77734375" style="180" customWidth="1"/>
    <col min="7440" max="7440" width="12.109375" style="180" customWidth="1"/>
    <col min="7441" max="7441" width="7.77734375" style="180" customWidth="1"/>
    <col min="7442" max="7442" width="10.77734375" style="180" customWidth="1"/>
    <col min="7443" max="7443" width="8.5546875" style="180" bestFit="1" customWidth="1"/>
    <col min="7444" max="7444" width="7.77734375" style="180" customWidth="1"/>
    <col min="7445" max="7445" width="49.77734375" style="180" customWidth="1"/>
    <col min="7446" max="7447" width="0" style="180" hidden="1" customWidth="1"/>
    <col min="7448" max="7448" width="9.109375" style="180" customWidth="1"/>
    <col min="7449" max="7449" width="11.21875" style="180" bestFit="1" customWidth="1"/>
    <col min="7450" max="7450" width="9.6640625" style="180" customWidth="1"/>
    <col min="7451" max="7451" width="8.6640625" style="180" customWidth="1"/>
    <col min="7452" max="7452" width="9.6640625" style="180" customWidth="1"/>
    <col min="7453" max="7453" width="10.6640625" style="180" customWidth="1"/>
    <col min="7454" max="7454" width="23.21875" style="180" customWidth="1"/>
    <col min="7455" max="7455" width="8.77734375" style="180" customWidth="1"/>
    <col min="7456" max="7456" width="8.109375" style="180" bestFit="1" customWidth="1"/>
    <col min="7457" max="7457" width="9" style="180" customWidth="1"/>
    <col min="7458" max="7458" width="8.77734375" style="180" customWidth="1"/>
    <col min="7459" max="7680" width="7.44140625" style="180"/>
    <col min="7681" max="7685" width="0" style="180" hidden="1" customWidth="1"/>
    <col min="7686" max="7686" width="8.88671875" style="180" customWidth="1"/>
    <col min="7687" max="7687" width="6.5546875" style="180" customWidth="1"/>
    <col min="7688" max="7688" width="48.6640625" style="180" customWidth="1"/>
    <col min="7689" max="7689" width="10" style="180" customWidth="1"/>
    <col min="7690" max="7690" width="11.44140625" style="180" customWidth="1"/>
    <col min="7691" max="7691" width="11.33203125" style="180" customWidth="1"/>
    <col min="7692" max="7692" width="9.77734375" style="180" customWidth="1"/>
    <col min="7693" max="7693" width="9.44140625" style="180" customWidth="1"/>
    <col min="7694" max="7694" width="10" style="180" bestFit="1" customWidth="1"/>
    <col min="7695" max="7695" width="32.77734375" style="180" customWidth="1"/>
    <col min="7696" max="7696" width="12.109375" style="180" customWidth="1"/>
    <col min="7697" max="7697" width="7.77734375" style="180" customWidth="1"/>
    <col min="7698" max="7698" width="10.77734375" style="180" customWidth="1"/>
    <col min="7699" max="7699" width="8.5546875" style="180" bestFit="1" customWidth="1"/>
    <col min="7700" max="7700" width="7.77734375" style="180" customWidth="1"/>
    <col min="7701" max="7701" width="49.77734375" style="180" customWidth="1"/>
    <col min="7702" max="7703" width="0" style="180" hidden="1" customWidth="1"/>
    <col min="7704" max="7704" width="9.109375" style="180" customWidth="1"/>
    <col min="7705" max="7705" width="11.21875" style="180" bestFit="1" customWidth="1"/>
    <col min="7706" max="7706" width="9.6640625" style="180" customWidth="1"/>
    <col min="7707" max="7707" width="8.6640625" style="180" customWidth="1"/>
    <col min="7708" max="7708" width="9.6640625" style="180" customWidth="1"/>
    <col min="7709" max="7709" width="10.6640625" style="180" customWidth="1"/>
    <col min="7710" max="7710" width="23.21875" style="180" customWidth="1"/>
    <col min="7711" max="7711" width="8.77734375" style="180" customWidth="1"/>
    <col min="7712" max="7712" width="8.109375" style="180" bestFit="1" customWidth="1"/>
    <col min="7713" max="7713" width="9" style="180" customWidth="1"/>
    <col min="7714" max="7714" width="8.77734375" style="180" customWidth="1"/>
    <col min="7715" max="7936" width="7.44140625" style="180"/>
    <col min="7937" max="7941" width="0" style="180" hidden="1" customWidth="1"/>
    <col min="7942" max="7942" width="8.88671875" style="180" customWidth="1"/>
    <col min="7943" max="7943" width="6.5546875" style="180" customWidth="1"/>
    <col min="7944" max="7944" width="48.6640625" style="180" customWidth="1"/>
    <col min="7945" max="7945" width="10" style="180" customWidth="1"/>
    <col min="7946" max="7946" width="11.44140625" style="180" customWidth="1"/>
    <col min="7947" max="7947" width="11.33203125" style="180" customWidth="1"/>
    <col min="7948" max="7948" width="9.77734375" style="180" customWidth="1"/>
    <col min="7949" max="7949" width="9.44140625" style="180" customWidth="1"/>
    <col min="7950" max="7950" width="10" style="180" bestFit="1" customWidth="1"/>
    <col min="7951" max="7951" width="32.77734375" style="180" customWidth="1"/>
    <col min="7952" max="7952" width="12.109375" style="180" customWidth="1"/>
    <col min="7953" max="7953" width="7.77734375" style="180" customWidth="1"/>
    <col min="7954" max="7954" width="10.77734375" style="180" customWidth="1"/>
    <col min="7955" max="7955" width="8.5546875" style="180" bestFit="1" customWidth="1"/>
    <col min="7956" max="7956" width="7.77734375" style="180" customWidth="1"/>
    <col min="7957" max="7957" width="49.77734375" style="180" customWidth="1"/>
    <col min="7958" max="7959" width="0" style="180" hidden="1" customWidth="1"/>
    <col min="7960" max="7960" width="9.109375" style="180" customWidth="1"/>
    <col min="7961" max="7961" width="11.21875" style="180" bestFit="1" customWidth="1"/>
    <col min="7962" max="7962" width="9.6640625" style="180" customWidth="1"/>
    <col min="7963" max="7963" width="8.6640625" style="180" customWidth="1"/>
    <col min="7964" max="7964" width="9.6640625" style="180" customWidth="1"/>
    <col min="7965" max="7965" width="10.6640625" style="180" customWidth="1"/>
    <col min="7966" max="7966" width="23.21875" style="180" customWidth="1"/>
    <col min="7967" max="7967" width="8.77734375" style="180" customWidth="1"/>
    <col min="7968" max="7968" width="8.109375" style="180" bestFit="1" customWidth="1"/>
    <col min="7969" max="7969" width="9" style="180" customWidth="1"/>
    <col min="7970" max="7970" width="8.77734375" style="180" customWidth="1"/>
    <col min="7971" max="8192" width="7.44140625" style="180"/>
    <col min="8193" max="8197" width="0" style="180" hidden="1" customWidth="1"/>
    <col min="8198" max="8198" width="8.88671875" style="180" customWidth="1"/>
    <col min="8199" max="8199" width="6.5546875" style="180" customWidth="1"/>
    <col min="8200" max="8200" width="48.6640625" style="180" customWidth="1"/>
    <col min="8201" max="8201" width="10" style="180" customWidth="1"/>
    <col min="8202" max="8202" width="11.44140625" style="180" customWidth="1"/>
    <col min="8203" max="8203" width="11.33203125" style="180" customWidth="1"/>
    <col min="8204" max="8204" width="9.77734375" style="180" customWidth="1"/>
    <col min="8205" max="8205" width="9.44140625" style="180" customWidth="1"/>
    <col min="8206" max="8206" width="10" style="180" bestFit="1" customWidth="1"/>
    <col min="8207" max="8207" width="32.77734375" style="180" customWidth="1"/>
    <col min="8208" max="8208" width="12.109375" style="180" customWidth="1"/>
    <col min="8209" max="8209" width="7.77734375" style="180" customWidth="1"/>
    <col min="8210" max="8210" width="10.77734375" style="180" customWidth="1"/>
    <col min="8211" max="8211" width="8.5546875" style="180" bestFit="1" customWidth="1"/>
    <col min="8212" max="8212" width="7.77734375" style="180" customWidth="1"/>
    <col min="8213" max="8213" width="49.77734375" style="180" customWidth="1"/>
    <col min="8214" max="8215" width="0" style="180" hidden="1" customWidth="1"/>
    <col min="8216" max="8216" width="9.109375" style="180" customWidth="1"/>
    <col min="8217" max="8217" width="11.21875" style="180" bestFit="1" customWidth="1"/>
    <col min="8218" max="8218" width="9.6640625" style="180" customWidth="1"/>
    <col min="8219" max="8219" width="8.6640625" style="180" customWidth="1"/>
    <col min="8220" max="8220" width="9.6640625" style="180" customWidth="1"/>
    <col min="8221" max="8221" width="10.6640625" style="180" customWidth="1"/>
    <col min="8222" max="8222" width="23.21875" style="180" customWidth="1"/>
    <col min="8223" max="8223" width="8.77734375" style="180" customWidth="1"/>
    <col min="8224" max="8224" width="8.109375" style="180" bestFit="1" customWidth="1"/>
    <col min="8225" max="8225" width="9" style="180" customWidth="1"/>
    <col min="8226" max="8226" width="8.77734375" style="180" customWidth="1"/>
    <col min="8227" max="8448" width="7.44140625" style="180"/>
    <col min="8449" max="8453" width="0" style="180" hidden="1" customWidth="1"/>
    <col min="8454" max="8454" width="8.88671875" style="180" customWidth="1"/>
    <col min="8455" max="8455" width="6.5546875" style="180" customWidth="1"/>
    <col min="8456" max="8456" width="48.6640625" style="180" customWidth="1"/>
    <col min="8457" max="8457" width="10" style="180" customWidth="1"/>
    <col min="8458" max="8458" width="11.44140625" style="180" customWidth="1"/>
    <col min="8459" max="8459" width="11.33203125" style="180" customWidth="1"/>
    <col min="8460" max="8460" width="9.77734375" style="180" customWidth="1"/>
    <col min="8461" max="8461" width="9.44140625" style="180" customWidth="1"/>
    <col min="8462" max="8462" width="10" style="180" bestFit="1" customWidth="1"/>
    <col min="8463" max="8463" width="32.77734375" style="180" customWidth="1"/>
    <col min="8464" max="8464" width="12.109375" style="180" customWidth="1"/>
    <col min="8465" max="8465" width="7.77734375" style="180" customWidth="1"/>
    <col min="8466" max="8466" width="10.77734375" style="180" customWidth="1"/>
    <col min="8467" max="8467" width="8.5546875" style="180" bestFit="1" customWidth="1"/>
    <col min="8468" max="8468" width="7.77734375" style="180" customWidth="1"/>
    <col min="8469" max="8469" width="49.77734375" style="180" customWidth="1"/>
    <col min="8470" max="8471" width="0" style="180" hidden="1" customWidth="1"/>
    <col min="8472" max="8472" width="9.109375" style="180" customWidth="1"/>
    <col min="8473" max="8473" width="11.21875" style="180" bestFit="1" customWidth="1"/>
    <col min="8474" max="8474" width="9.6640625" style="180" customWidth="1"/>
    <col min="8475" max="8475" width="8.6640625" style="180" customWidth="1"/>
    <col min="8476" max="8476" width="9.6640625" style="180" customWidth="1"/>
    <col min="8477" max="8477" width="10.6640625" style="180" customWidth="1"/>
    <col min="8478" max="8478" width="23.21875" style="180" customWidth="1"/>
    <col min="8479" max="8479" width="8.77734375" style="180" customWidth="1"/>
    <col min="8480" max="8480" width="8.109375" style="180" bestFit="1" customWidth="1"/>
    <col min="8481" max="8481" width="9" style="180" customWidth="1"/>
    <col min="8482" max="8482" width="8.77734375" style="180" customWidth="1"/>
    <col min="8483" max="8704" width="7.44140625" style="180"/>
    <col min="8705" max="8709" width="0" style="180" hidden="1" customWidth="1"/>
    <col min="8710" max="8710" width="8.88671875" style="180" customWidth="1"/>
    <col min="8711" max="8711" width="6.5546875" style="180" customWidth="1"/>
    <col min="8712" max="8712" width="48.6640625" style="180" customWidth="1"/>
    <col min="8713" max="8713" width="10" style="180" customWidth="1"/>
    <col min="8714" max="8714" width="11.44140625" style="180" customWidth="1"/>
    <col min="8715" max="8715" width="11.33203125" style="180" customWidth="1"/>
    <col min="8716" max="8716" width="9.77734375" style="180" customWidth="1"/>
    <col min="8717" max="8717" width="9.44140625" style="180" customWidth="1"/>
    <col min="8718" max="8718" width="10" style="180" bestFit="1" customWidth="1"/>
    <col min="8719" max="8719" width="32.77734375" style="180" customWidth="1"/>
    <col min="8720" max="8720" width="12.109375" style="180" customWidth="1"/>
    <col min="8721" max="8721" width="7.77734375" style="180" customWidth="1"/>
    <col min="8722" max="8722" width="10.77734375" style="180" customWidth="1"/>
    <col min="8723" max="8723" width="8.5546875" style="180" bestFit="1" customWidth="1"/>
    <col min="8724" max="8724" width="7.77734375" style="180" customWidth="1"/>
    <col min="8725" max="8725" width="49.77734375" style="180" customWidth="1"/>
    <col min="8726" max="8727" width="0" style="180" hidden="1" customWidth="1"/>
    <col min="8728" max="8728" width="9.109375" style="180" customWidth="1"/>
    <col min="8729" max="8729" width="11.21875" style="180" bestFit="1" customWidth="1"/>
    <col min="8730" max="8730" width="9.6640625" style="180" customWidth="1"/>
    <col min="8731" max="8731" width="8.6640625" style="180" customWidth="1"/>
    <col min="8732" max="8732" width="9.6640625" style="180" customWidth="1"/>
    <col min="8733" max="8733" width="10.6640625" style="180" customWidth="1"/>
    <col min="8734" max="8734" width="23.21875" style="180" customWidth="1"/>
    <col min="8735" max="8735" width="8.77734375" style="180" customWidth="1"/>
    <col min="8736" max="8736" width="8.109375" style="180" bestFit="1" customWidth="1"/>
    <col min="8737" max="8737" width="9" style="180" customWidth="1"/>
    <col min="8738" max="8738" width="8.77734375" style="180" customWidth="1"/>
    <col min="8739" max="8960" width="7.44140625" style="180"/>
    <col min="8961" max="8965" width="0" style="180" hidden="1" customWidth="1"/>
    <col min="8966" max="8966" width="8.88671875" style="180" customWidth="1"/>
    <col min="8967" max="8967" width="6.5546875" style="180" customWidth="1"/>
    <col min="8968" max="8968" width="48.6640625" style="180" customWidth="1"/>
    <col min="8969" max="8969" width="10" style="180" customWidth="1"/>
    <col min="8970" max="8970" width="11.44140625" style="180" customWidth="1"/>
    <col min="8971" max="8971" width="11.33203125" style="180" customWidth="1"/>
    <col min="8972" max="8972" width="9.77734375" style="180" customWidth="1"/>
    <col min="8973" max="8973" width="9.44140625" style="180" customWidth="1"/>
    <col min="8974" max="8974" width="10" style="180" bestFit="1" customWidth="1"/>
    <col min="8975" max="8975" width="32.77734375" style="180" customWidth="1"/>
    <col min="8976" max="8976" width="12.109375" style="180" customWidth="1"/>
    <col min="8977" max="8977" width="7.77734375" style="180" customWidth="1"/>
    <col min="8978" max="8978" width="10.77734375" style="180" customWidth="1"/>
    <col min="8979" max="8979" width="8.5546875" style="180" bestFit="1" customWidth="1"/>
    <col min="8980" max="8980" width="7.77734375" style="180" customWidth="1"/>
    <col min="8981" max="8981" width="49.77734375" style="180" customWidth="1"/>
    <col min="8982" max="8983" width="0" style="180" hidden="1" customWidth="1"/>
    <col min="8984" max="8984" width="9.109375" style="180" customWidth="1"/>
    <col min="8985" max="8985" width="11.21875" style="180" bestFit="1" customWidth="1"/>
    <col min="8986" max="8986" width="9.6640625" style="180" customWidth="1"/>
    <col min="8987" max="8987" width="8.6640625" style="180" customWidth="1"/>
    <col min="8988" max="8988" width="9.6640625" style="180" customWidth="1"/>
    <col min="8989" max="8989" width="10.6640625" style="180" customWidth="1"/>
    <col min="8990" max="8990" width="23.21875" style="180" customWidth="1"/>
    <col min="8991" max="8991" width="8.77734375" style="180" customWidth="1"/>
    <col min="8992" max="8992" width="8.109375" style="180" bestFit="1" customWidth="1"/>
    <col min="8993" max="8993" width="9" style="180" customWidth="1"/>
    <col min="8994" max="8994" width="8.77734375" style="180" customWidth="1"/>
    <col min="8995" max="9216" width="7.44140625" style="180"/>
    <col min="9217" max="9221" width="0" style="180" hidden="1" customWidth="1"/>
    <col min="9222" max="9222" width="8.88671875" style="180" customWidth="1"/>
    <col min="9223" max="9223" width="6.5546875" style="180" customWidth="1"/>
    <col min="9224" max="9224" width="48.6640625" style="180" customWidth="1"/>
    <col min="9225" max="9225" width="10" style="180" customWidth="1"/>
    <col min="9226" max="9226" width="11.44140625" style="180" customWidth="1"/>
    <col min="9227" max="9227" width="11.33203125" style="180" customWidth="1"/>
    <col min="9228" max="9228" width="9.77734375" style="180" customWidth="1"/>
    <col min="9229" max="9229" width="9.44140625" style="180" customWidth="1"/>
    <col min="9230" max="9230" width="10" style="180" bestFit="1" customWidth="1"/>
    <col min="9231" max="9231" width="32.77734375" style="180" customWidth="1"/>
    <col min="9232" max="9232" width="12.109375" style="180" customWidth="1"/>
    <col min="9233" max="9233" width="7.77734375" style="180" customWidth="1"/>
    <col min="9234" max="9234" width="10.77734375" style="180" customWidth="1"/>
    <col min="9235" max="9235" width="8.5546875" style="180" bestFit="1" customWidth="1"/>
    <col min="9236" max="9236" width="7.77734375" style="180" customWidth="1"/>
    <col min="9237" max="9237" width="49.77734375" style="180" customWidth="1"/>
    <col min="9238" max="9239" width="0" style="180" hidden="1" customWidth="1"/>
    <col min="9240" max="9240" width="9.109375" style="180" customWidth="1"/>
    <col min="9241" max="9241" width="11.21875" style="180" bestFit="1" customWidth="1"/>
    <col min="9242" max="9242" width="9.6640625" style="180" customWidth="1"/>
    <col min="9243" max="9243" width="8.6640625" style="180" customWidth="1"/>
    <col min="9244" max="9244" width="9.6640625" style="180" customWidth="1"/>
    <col min="9245" max="9245" width="10.6640625" style="180" customWidth="1"/>
    <col min="9246" max="9246" width="23.21875" style="180" customWidth="1"/>
    <col min="9247" max="9247" width="8.77734375" style="180" customWidth="1"/>
    <col min="9248" max="9248" width="8.109375" style="180" bestFit="1" customWidth="1"/>
    <col min="9249" max="9249" width="9" style="180" customWidth="1"/>
    <col min="9250" max="9250" width="8.77734375" style="180" customWidth="1"/>
    <col min="9251" max="9472" width="7.44140625" style="180"/>
    <col min="9473" max="9477" width="0" style="180" hidden="1" customWidth="1"/>
    <col min="9478" max="9478" width="8.88671875" style="180" customWidth="1"/>
    <col min="9479" max="9479" width="6.5546875" style="180" customWidth="1"/>
    <col min="9480" max="9480" width="48.6640625" style="180" customWidth="1"/>
    <col min="9481" max="9481" width="10" style="180" customWidth="1"/>
    <col min="9482" max="9482" width="11.44140625" style="180" customWidth="1"/>
    <col min="9483" max="9483" width="11.33203125" style="180" customWidth="1"/>
    <col min="9484" max="9484" width="9.77734375" style="180" customWidth="1"/>
    <col min="9485" max="9485" width="9.44140625" style="180" customWidth="1"/>
    <col min="9486" max="9486" width="10" style="180" bestFit="1" customWidth="1"/>
    <col min="9487" max="9487" width="32.77734375" style="180" customWidth="1"/>
    <col min="9488" max="9488" width="12.109375" style="180" customWidth="1"/>
    <col min="9489" max="9489" width="7.77734375" style="180" customWidth="1"/>
    <col min="9490" max="9490" width="10.77734375" style="180" customWidth="1"/>
    <col min="9491" max="9491" width="8.5546875" style="180" bestFit="1" customWidth="1"/>
    <col min="9492" max="9492" width="7.77734375" style="180" customWidth="1"/>
    <col min="9493" max="9493" width="49.77734375" style="180" customWidth="1"/>
    <col min="9494" max="9495" width="0" style="180" hidden="1" customWidth="1"/>
    <col min="9496" max="9496" width="9.109375" style="180" customWidth="1"/>
    <col min="9497" max="9497" width="11.21875" style="180" bestFit="1" customWidth="1"/>
    <col min="9498" max="9498" width="9.6640625" style="180" customWidth="1"/>
    <col min="9499" max="9499" width="8.6640625" style="180" customWidth="1"/>
    <col min="9500" max="9500" width="9.6640625" style="180" customWidth="1"/>
    <col min="9501" max="9501" width="10.6640625" style="180" customWidth="1"/>
    <col min="9502" max="9502" width="23.21875" style="180" customWidth="1"/>
    <col min="9503" max="9503" width="8.77734375" style="180" customWidth="1"/>
    <col min="9504" max="9504" width="8.109375" style="180" bestFit="1" customWidth="1"/>
    <col min="9505" max="9505" width="9" style="180" customWidth="1"/>
    <col min="9506" max="9506" width="8.77734375" style="180" customWidth="1"/>
    <col min="9507" max="9728" width="7.44140625" style="180"/>
    <col min="9729" max="9733" width="0" style="180" hidden="1" customWidth="1"/>
    <col min="9734" max="9734" width="8.88671875" style="180" customWidth="1"/>
    <col min="9735" max="9735" width="6.5546875" style="180" customWidth="1"/>
    <col min="9736" max="9736" width="48.6640625" style="180" customWidth="1"/>
    <col min="9737" max="9737" width="10" style="180" customWidth="1"/>
    <col min="9738" max="9738" width="11.44140625" style="180" customWidth="1"/>
    <col min="9739" max="9739" width="11.33203125" style="180" customWidth="1"/>
    <col min="9740" max="9740" width="9.77734375" style="180" customWidth="1"/>
    <col min="9741" max="9741" width="9.44140625" style="180" customWidth="1"/>
    <col min="9742" max="9742" width="10" style="180" bestFit="1" customWidth="1"/>
    <col min="9743" max="9743" width="32.77734375" style="180" customWidth="1"/>
    <col min="9744" max="9744" width="12.109375" style="180" customWidth="1"/>
    <col min="9745" max="9745" width="7.77734375" style="180" customWidth="1"/>
    <col min="9746" max="9746" width="10.77734375" style="180" customWidth="1"/>
    <col min="9747" max="9747" width="8.5546875" style="180" bestFit="1" customWidth="1"/>
    <col min="9748" max="9748" width="7.77734375" style="180" customWidth="1"/>
    <col min="9749" max="9749" width="49.77734375" style="180" customWidth="1"/>
    <col min="9750" max="9751" width="0" style="180" hidden="1" customWidth="1"/>
    <col min="9752" max="9752" width="9.109375" style="180" customWidth="1"/>
    <col min="9753" max="9753" width="11.21875" style="180" bestFit="1" customWidth="1"/>
    <col min="9754" max="9754" width="9.6640625" style="180" customWidth="1"/>
    <col min="9755" max="9755" width="8.6640625" style="180" customWidth="1"/>
    <col min="9756" max="9756" width="9.6640625" style="180" customWidth="1"/>
    <col min="9757" max="9757" width="10.6640625" style="180" customWidth="1"/>
    <col min="9758" max="9758" width="23.21875" style="180" customWidth="1"/>
    <col min="9759" max="9759" width="8.77734375" style="180" customWidth="1"/>
    <col min="9760" max="9760" width="8.109375" style="180" bestFit="1" customWidth="1"/>
    <col min="9761" max="9761" width="9" style="180" customWidth="1"/>
    <col min="9762" max="9762" width="8.77734375" style="180" customWidth="1"/>
    <col min="9763" max="9984" width="7.44140625" style="180"/>
    <col min="9985" max="9989" width="0" style="180" hidden="1" customWidth="1"/>
    <col min="9990" max="9990" width="8.88671875" style="180" customWidth="1"/>
    <col min="9991" max="9991" width="6.5546875" style="180" customWidth="1"/>
    <col min="9992" max="9992" width="48.6640625" style="180" customWidth="1"/>
    <col min="9993" max="9993" width="10" style="180" customWidth="1"/>
    <col min="9994" max="9994" width="11.44140625" style="180" customWidth="1"/>
    <col min="9995" max="9995" width="11.33203125" style="180" customWidth="1"/>
    <col min="9996" max="9996" width="9.77734375" style="180" customWidth="1"/>
    <col min="9997" max="9997" width="9.44140625" style="180" customWidth="1"/>
    <col min="9998" max="9998" width="10" style="180" bestFit="1" customWidth="1"/>
    <col min="9999" max="9999" width="32.77734375" style="180" customWidth="1"/>
    <col min="10000" max="10000" width="12.109375" style="180" customWidth="1"/>
    <col min="10001" max="10001" width="7.77734375" style="180" customWidth="1"/>
    <col min="10002" max="10002" width="10.77734375" style="180" customWidth="1"/>
    <col min="10003" max="10003" width="8.5546875" style="180" bestFit="1" customWidth="1"/>
    <col min="10004" max="10004" width="7.77734375" style="180" customWidth="1"/>
    <col min="10005" max="10005" width="49.77734375" style="180" customWidth="1"/>
    <col min="10006" max="10007" width="0" style="180" hidden="1" customWidth="1"/>
    <col min="10008" max="10008" width="9.109375" style="180" customWidth="1"/>
    <col min="10009" max="10009" width="11.21875" style="180" bestFit="1" customWidth="1"/>
    <col min="10010" max="10010" width="9.6640625" style="180" customWidth="1"/>
    <col min="10011" max="10011" width="8.6640625" style="180" customWidth="1"/>
    <col min="10012" max="10012" width="9.6640625" style="180" customWidth="1"/>
    <col min="10013" max="10013" width="10.6640625" style="180" customWidth="1"/>
    <col min="10014" max="10014" width="23.21875" style="180" customWidth="1"/>
    <col min="10015" max="10015" width="8.77734375" style="180" customWidth="1"/>
    <col min="10016" max="10016" width="8.109375" style="180" bestFit="1" customWidth="1"/>
    <col min="10017" max="10017" width="9" style="180" customWidth="1"/>
    <col min="10018" max="10018" width="8.77734375" style="180" customWidth="1"/>
    <col min="10019" max="10240" width="7.44140625" style="180"/>
    <col min="10241" max="10245" width="0" style="180" hidden="1" customWidth="1"/>
    <col min="10246" max="10246" width="8.88671875" style="180" customWidth="1"/>
    <col min="10247" max="10247" width="6.5546875" style="180" customWidth="1"/>
    <col min="10248" max="10248" width="48.6640625" style="180" customWidth="1"/>
    <col min="10249" max="10249" width="10" style="180" customWidth="1"/>
    <col min="10250" max="10250" width="11.44140625" style="180" customWidth="1"/>
    <col min="10251" max="10251" width="11.33203125" style="180" customWidth="1"/>
    <col min="10252" max="10252" width="9.77734375" style="180" customWidth="1"/>
    <col min="10253" max="10253" width="9.44140625" style="180" customWidth="1"/>
    <col min="10254" max="10254" width="10" style="180" bestFit="1" customWidth="1"/>
    <col min="10255" max="10255" width="32.77734375" style="180" customWidth="1"/>
    <col min="10256" max="10256" width="12.109375" style="180" customWidth="1"/>
    <col min="10257" max="10257" width="7.77734375" style="180" customWidth="1"/>
    <col min="10258" max="10258" width="10.77734375" style="180" customWidth="1"/>
    <col min="10259" max="10259" width="8.5546875" style="180" bestFit="1" customWidth="1"/>
    <col min="10260" max="10260" width="7.77734375" style="180" customWidth="1"/>
    <col min="10261" max="10261" width="49.77734375" style="180" customWidth="1"/>
    <col min="10262" max="10263" width="0" style="180" hidden="1" customWidth="1"/>
    <col min="10264" max="10264" width="9.109375" style="180" customWidth="1"/>
    <col min="10265" max="10265" width="11.21875" style="180" bestFit="1" customWidth="1"/>
    <col min="10266" max="10266" width="9.6640625" style="180" customWidth="1"/>
    <col min="10267" max="10267" width="8.6640625" style="180" customWidth="1"/>
    <col min="10268" max="10268" width="9.6640625" style="180" customWidth="1"/>
    <col min="10269" max="10269" width="10.6640625" style="180" customWidth="1"/>
    <col min="10270" max="10270" width="23.21875" style="180" customWidth="1"/>
    <col min="10271" max="10271" width="8.77734375" style="180" customWidth="1"/>
    <col min="10272" max="10272" width="8.109375" style="180" bestFit="1" customWidth="1"/>
    <col min="10273" max="10273" width="9" style="180" customWidth="1"/>
    <col min="10274" max="10274" width="8.77734375" style="180" customWidth="1"/>
    <col min="10275" max="10496" width="7.44140625" style="180"/>
    <col min="10497" max="10501" width="0" style="180" hidden="1" customWidth="1"/>
    <col min="10502" max="10502" width="8.88671875" style="180" customWidth="1"/>
    <col min="10503" max="10503" width="6.5546875" style="180" customWidth="1"/>
    <col min="10504" max="10504" width="48.6640625" style="180" customWidth="1"/>
    <col min="10505" max="10505" width="10" style="180" customWidth="1"/>
    <col min="10506" max="10506" width="11.44140625" style="180" customWidth="1"/>
    <col min="10507" max="10507" width="11.33203125" style="180" customWidth="1"/>
    <col min="10508" max="10508" width="9.77734375" style="180" customWidth="1"/>
    <col min="10509" max="10509" width="9.44140625" style="180" customWidth="1"/>
    <col min="10510" max="10510" width="10" style="180" bestFit="1" customWidth="1"/>
    <col min="10511" max="10511" width="32.77734375" style="180" customWidth="1"/>
    <col min="10512" max="10512" width="12.109375" style="180" customWidth="1"/>
    <col min="10513" max="10513" width="7.77734375" style="180" customWidth="1"/>
    <col min="10514" max="10514" width="10.77734375" style="180" customWidth="1"/>
    <col min="10515" max="10515" width="8.5546875" style="180" bestFit="1" customWidth="1"/>
    <col min="10516" max="10516" width="7.77734375" style="180" customWidth="1"/>
    <col min="10517" max="10517" width="49.77734375" style="180" customWidth="1"/>
    <col min="10518" max="10519" width="0" style="180" hidden="1" customWidth="1"/>
    <col min="10520" max="10520" width="9.109375" style="180" customWidth="1"/>
    <col min="10521" max="10521" width="11.21875" style="180" bestFit="1" customWidth="1"/>
    <col min="10522" max="10522" width="9.6640625" style="180" customWidth="1"/>
    <col min="10523" max="10523" width="8.6640625" style="180" customWidth="1"/>
    <col min="10524" max="10524" width="9.6640625" style="180" customWidth="1"/>
    <col min="10525" max="10525" width="10.6640625" style="180" customWidth="1"/>
    <col min="10526" max="10526" width="23.21875" style="180" customWidth="1"/>
    <col min="10527" max="10527" width="8.77734375" style="180" customWidth="1"/>
    <col min="10528" max="10528" width="8.109375" style="180" bestFit="1" customWidth="1"/>
    <col min="10529" max="10529" width="9" style="180" customWidth="1"/>
    <col min="10530" max="10530" width="8.77734375" style="180" customWidth="1"/>
    <col min="10531" max="10752" width="7.44140625" style="180"/>
    <col min="10753" max="10757" width="0" style="180" hidden="1" customWidth="1"/>
    <col min="10758" max="10758" width="8.88671875" style="180" customWidth="1"/>
    <col min="10759" max="10759" width="6.5546875" style="180" customWidth="1"/>
    <col min="10760" max="10760" width="48.6640625" style="180" customWidth="1"/>
    <col min="10761" max="10761" width="10" style="180" customWidth="1"/>
    <col min="10762" max="10762" width="11.44140625" style="180" customWidth="1"/>
    <col min="10763" max="10763" width="11.33203125" style="180" customWidth="1"/>
    <col min="10764" max="10764" width="9.77734375" style="180" customWidth="1"/>
    <col min="10765" max="10765" width="9.44140625" style="180" customWidth="1"/>
    <col min="10766" max="10766" width="10" style="180" bestFit="1" customWidth="1"/>
    <col min="10767" max="10767" width="32.77734375" style="180" customWidth="1"/>
    <col min="10768" max="10768" width="12.109375" style="180" customWidth="1"/>
    <col min="10769" max="10769" width="7.77734375" style="180" customWidth="1"/>
    <col min="10770" max="10770" width="10.77734375" style="180" customWidth="1"/>
    <col min="10771" max="10771" width="8.5546875" style="180" bestFit="1" customWidth="1"/>
    <col min="10772" max="10772" width="7.77734375" style="180" customWidth="1"/>
    <col min="10773" max="10773" width="49.77734375" style="180" customWidth="1"/>
    <col min="10774" max="10775" width="0" style="180" hidden="1" customWidth="1"/>
    <col min="10776" max="10776" width="9.109375" style="180" customWidth="1"/>
    <col min="10777" max="10777" width="11.21875" style="180" bestFit="1" customWidth="1"/>
    <col min="10778" max="10778" width="9.6640625" style="180" customWidth="1"/>
    <col min="10779" max="10779" width="8.6640625" style="180" customWidth="1"/>
    <col min="10780" max="10780" width="9.6640625" style="180" customWidth="1"/>
    <col min="10781" max="10781" width="10.6640625" style="180" customWidth="1"/>
    <col min="10782" max="10782" width="23.21875" style="180" customWidth="1"/>
    <col min="10783" max="10783" width="8.77734375" style="180" customWidth="1"/>
    <col min="10784" max="10784" width="8.109375" style="180" bestFit="1" customWidth="1"/>
    <col min="10785" max="10785" width="9" style="180" customWidth="1"/>
    <col min="10786" max="10786" width="8.77734375" style="180" customWidth="1"/>
    <col min="10787" max="11008" width="7.44140625" style="180"/>
    <col min="11009" max="11013" width="0" style="180" hidden="1" customWidth="1"/>
    <col min="11014" max="11014" width="8.88671875" style="180" customWidth="1"/>
    <col min="11015" max="11015" width="6.5546875" style="180" customWidth="1"/>
    <col min="11016" max="11016" width="48.6640625" style="180" customWidth="1"/>
    <col min="11017" max="11017" width="10" style="180" customWidth="1"/>
    <col min="11018" max="11018" width="11.44140625" style="180" customWidth="1"/>
    <col min="11019" max="11019" width="11.33203125" style="180" customWidth="1"/>
    <col min="11020" max="11020" width="9.77734375" style="180" customWidth="1"/>
    <col min="11021" max="11021" width="9.44140625" style="180" customWidth="1"/>
    <col min="11022" max="11022" width="10" style="180" bestFit="1" customWidth="1"/>
    <col min="11023" max="11023" width="32.77734375" style="180" customWidth="1"/>
    <col min="11024" max="11024" width="12.109375" style="180" customWidth="1"/>
    <col min="11025" max="11025" width="7.77734375" style="180" customWidth="1"/>
    <col min="11026" max="11026" width="10.77734375" style="180" customWidth="1"/>
    <col min="11027" max="11027" width="8.5546875" style="180" bestFit="1" customWidth="1"/>
    <col min="11028" max="11028" width="7.77734375" style="180" customWidth="1"/>
    <col min="11029" max="11029" width="49.77734375" style="180" customWidth="1"/>
    <col min="11030" max="11031" width="0" style="180" hidden="1" customWidth="1"/>
    <col min="11032" max="11032" width="9.109375" style="180" customWidth="1"/>
    <col min="11033" max="11033" width="11.21875" style="180" bestFit="1" customWidth="1"/>
    <col min="11034" max="11034" width="9.6640625" style="180" customWidth="1"/>
    <col min="11035" max="11035" width="8.6640625" style="180" customWidth="1"/>
    <col min="11036" max="11036" width="9.6640625" style="180" customWidth="1"/>
    <col min="11037" max="11037" width="10.6640625" style="180" customWidth="1"/>
    <col min="11038" max="11038" width="23.21875" style="180" customWidth="1"/>
    <col min="11039" max="11039" width="8.77734375" style="180" customWidth="1"/>
    <col min="11040" max="11040" width="8.109375" style="180" bestFit="1" customWidth="1"/>
    <col min="11041" max="11041" width="9" style="180" customWidth="1"/>
    <col min="11042" max="11042" width="8.77734375" style="180" customWidth="1"/>
    <col min="11043" max="11264" width="7.44140625" style="180"/>
    <col min="11265" max="11269" width="0" style="180" hidden="1" customWidth="1"/>
    <col min="11270" max="11270" width="8.88671875" style="180" customWidth="1"/>
    <col min="11271" max="11271" width="6.5546875" style="180" customWidth="1"/>
    <col min="11272" max="11272" width="48.6640625" style="180" customWidth="1"/>
    <col min="11273" max="11273" width="10" style="180" customWidth="1"/>
    <col min="11274" max="11274" width="11.44140625" style="180" customWidth="1"/>
    <col min="11275" max="11275" width="11.33203125" style="180" customWidth="1"/>
    <col min="11276" max="11276" width="9.77734375" style="180" customWidth="1"/>
    <col min="11277" max="11277" width="9.44140625" style="180" customWidth="1"/>
    <col min="11278" max="11278" width="10" style="180" bestFit="1" customWidth="1"/>
    <col min="11279" max="11279" width="32.77734375" style="180" customWidth="1"/>
    <col min="11280" max="11280" width="12.109375" style="180" customWidth="1"/>
    <col min="11281" max="11281" width="7.77734375" style="180" customWidth="1"/>
    <col min="11282" max="11282" width="10.77734375" style="180" customWidth="1"/>
    <col min="11283" max="11283" width="8.5546875" style="180" bestFit="1" customWidth="1"/>
    <col min="11284" max="11284" width="7.77734375" style="180" customWidth="1"/>
    <col min="11285" max="11285" width="49.77734375" style="180" customWidth="1"/>
    <col min="11286" max="11287" width="0" style="180" hidden="1" customWidth="1"/>
    <col min="11288" max="11288" width="9.109375" style="180" customWidth="1"/>
    <col min="11289" max="11289" width="11.21875" style="180" bestFit="1" customWidth="1"/>
    <col min="11290" max="11290" width="9.6640625" style="180" customWidth="1"/>
    <col min="11291" max="11291" width="8.6640625" style="180" customWidth="1"/>
    <col min="11292" max="11292" width="9.6640625" style="180" customWidth="1"/>
    <col min="11293" max="11293" width="10.6640625" style="180" customWidth="1"/>
    <col min="11294" max="11294" width="23.21875" style="180" customWidth="1"/>
    <col min="11295" max="11295" width="8.77734375" style="180" customWidth="1"/>
    <col min="11296" max="11296" width="8.109375" style="180" bestFit="1" customWidth="1"/>
    <col min="11297" max="11297" width="9" style="180" customWidth="1"/>
    <col min="11298" max="11298" width="8.77734375" style="180" customWidth="1"/>
    <col min="11299" max="11520" width="7.44140625" style="180"/>
    <col min="11521" max="11525" width="0" style="180" hidden="1" customWidth="1"/>
    <col min="11526" max="11526" width="8.88671875" style="180" customWidth="1"/>
    <col min="11527" max="11527" width="6.5546875" style="180" customWidth="1"/>
    <col min="11528" max="11528" width="48.6640625" style="180" customWidth="1"/>
    <col min="11529" max="11529" width="10" style="180" customWidth="1"/>
    <col min="11530" max="11530" width="11.44140625" style="180" customWidth="1"/>
    <col min="11531" max="11531" width="11.33203125" style="180" customWidth="1"/>
    <col min="11532" max="11532" width="9.77734375" style="180" customWidth="1"/>
    <col min="11533" max="11533" width="9.44140625" style="180" customWidth="1"/>
    <col min="11534" max="11534" width="10" style="180" bestFit="1" customWidth="1"/>
    <col min="11535" max="11535" width="32.77734375" style="180" customWidth="1"/>
    <col min="11536" max="11536" width="12.109375" style="180" customWidth="1"/>
    <col min="11537" max="11537" width="7.77734375" style="180" customWidth="1"/>
    <col min="11538" max="11538" width="10.77734375" style="180" customWidth="1"/>
    <col min="11539" max="11539" width="8.5546875" style="180" bestFit="1" customWidth="1"/>
    <col min="11540" max="11540" width="7.77734375" style="180" customWidth="1"/>
    <col min="11541" max="11541" width="49.77734375" style="180" customWidth="1"/>
    <col min="11542" max="11543" width="0" style="180" hidden="1" customWidth="1"/>
    <col min="11544" max="11544" width="9.109375" style="180" customWidth="1"/>
    <col min="11545" max="11545" width="11.21875" style="180" bestFit="1" customWidth="1"/>
    <col min="11546" max="11546" width="9.6640625" style="180" customWidth="1"/>
    <col min="11547" max="11547" width="8.6640625" style="180" customWidth="1"/>
    <col min="11548" max="11548" width="9.6640625" style="180" customWidth="1"/>
    <col min="11549" max="11549" width="10.6640625" style="180" customWidth="1"/>
    <col min="11550" max="11550" width="23.21875" style="180" customWidth="1"/>
    <col min="11551" max="11551" width="8.77734375" style="180" customWidth="1"/>
    <col min="11552" max="11552" width="8.109375" style="180" bestFit="1" customWidth="1"/>
    <col min="11553" max="11553" width="9" style="180" customWidth="1"/>
    <col min="11554" max="11554" width="8.77734375" style="180" customWidth="1"/>
    <col min="11555" max="11776" width="7.44140625" style="180"/>
    <col min="11777" max="11781" width="0" style="180" hidden="1" customWidth="1"/>
    <col min="11782" max="11782" width="8.88671875" style="180" customWidth="1"/>
    <col min="11783" max="11783" width="6.5546875" style="180" customWidth="1"/>
    <col min="11784" max="11784" width="48.6640625" style="180" customWidth="1"/>
    <col min="11785" max="11785" width="10" style="180" customWidth="1"/>
    <col min="11786" max="11786" width="11.44140625" style="180" customWidth="1"/>
    <col min="11787" max="11787" width="11.33203125" style="180" customWidth="1"/>
    <col min="11788" max="11788" width="9.77734375" style="180" customWidth="1"/>
    <col min="11789" max="11789" width="9.44140625" style="180" customWidth="1"/>
    <col min="11790" max="11790" width="10" style="180" bestFit="1" customWidth="1"/>
    <col min="11791" max="11791" width="32.77734375" style="180" customWidth="1"/>
    <col min="11792" max="11792" width="12.109375" style="180" customWidth="1"/>
    <col min="11793" max="11793" width="7.77734375" style="180" customWidth="1"/>
    <col min="11794" max="11794" width="10.77734375" style="180" customWidth="1"/>
    <col min="11795" max="11795" width="8.5546875" style="180" bestFit="1" customWidth="1"/>
    <col min="11796" max="11796" width="7.77734375" style="180" customWidth="1"/>
    <col min="11797" max="11797" width="49.77734375" style="180" customWidth="1"/>
    <col min="11798" max="11799" width="0" style="180" hidden="1" customWidth="1"/>
    <col min="11800" max="11800" width="9.109375" style="180" customWidth="1"/>
    <col min="11801" max="11801" width="11.21875" style="180" bestFit="1" customWidth="1"/>
    <col min="11802" max="11802" width="9.6640625" style="180" customWidth="1"/>
    <col min="11803" max="11803" width="8.6640625" style="180" customWidth="1"/>
    <col min="11804" max="11804" width="9.6640625" style="180" customWidth="1"/>
    <col min="11805" max="11805" width="10.6640625" style="180" customWidth="1"/>
    <col min="11806" max="11806" width="23.21875" style="180" customWidth="1"/>
    <col min="11807" max="11807" width="8.77734375" style="180" customWidth="1"/>
    <col min="11808" max="11808" width="8.109375" style="180" bestFit="1" customWidth="1"/>
    <col min="11809" max="11809" width="9" style="180" customWidth="1"/>
    <col min="11810" max="11810" width="8.77734375" style="180" customWidth="1"/>
    <col min="11811" max="12032" width="7.44140625" style="180"/>
    <col min="12033" max="12037" width="0" style="180" hidden="1" customWidth="1"/>
    <col min="12038" max="12038" width="8.88671875" style="180" customWidth="1"/>
    <col min="12039" max="12039" width="6.5546875" style="180" customWidth="1"/>
    <col min="12040" max="12040" width="48.6640625" style="180" customWidth="1"/>
    <col min="12041" max="12041" width="10" style="180" customWidth="1"/>
    <col min="12042" max="12042" width="11.44140625" style="180" customWidth="1"/>
    <col min="12043" max="12043" width="11.33203125" style="180" customWidth="1"/>
    <col min="12044" max="12044" width="9.77734375" style="180" customWidth="1"/>
    <col min="12045" max="12045" width="9.44140625" style="180" customWidth="1"/>
    <col min="12046" max="12046" width="10" style="180" bestFit="1" customWidth="1"/>
    <col min="12047" max="12047" width="32.77734375" style="180" customWidth="1"/>
    <col min="12048" max="12048" width="12.109375" style="180" customWidth="1"/>
    <col min="12049" max="12049" width="7.77734375" style="180" customWidth="1"/>
    <col min="12050" max="12050" width="10.77734375" style="180" customWidth="1"/>
    <col min="12051" max="12051" width="8.5546875" style="180" bestFit="1" customWidth="1"/>
    <col min="12052" max="12052" width="7.77734375" style="180" customWidth="1"/>
    <col min="12053" max="12053" width="49.77734375" style="180" customWidth="1"/>
    <col min="12054" max="12055" width="0" style="180" hidden="1" customWidth="1"/>
    <col min="12056" max="12056" width="9.109375" style="180" customWidth="1"/>
    <col min="12057" max="12057" width="11.21875" style="180" bestFit="1" customWidth="1"/>
    <col min="12058" max="12058" width="9.6640625" style="180" customWidth="1"/>
    <col min="12059" max="12059" width="8.6640625" style="180" customWidth="1"/>
    <col min="12060" max="12060" width="9.6640625" style="180" customWidth="1"/>
    <col min="12061" max="12061" width="10.6640625" style="180" customWidth="1"/>
    <col min="12062" max="12062" width="23.21875" style="180" customWidth="1"/>
    <col min="12063" max="12063" width="8.77734375" style="180" customWidth="1"/>
    <col min="12064" max="12064" width="8.109375" style="180" bestFit="1" customWidth="1"/>
    <col min="12065" max="12065" width="9" style="180" customWidth="1"/>
    <col min="12066" max="12066" width="8.77734375" style="180" customWidth="1"/>
    <col min="12067" max="12288" width="7.44140625" style="180"/>
    <col min="12289" max="12293" width="0" style="180" hidden="1" customWidth="1"/>
    <col min="12294" max="12294" width="8.88671875" style="180" customWidth="1"/>
    <col min="12295" max="12295" width="6.5546875" style="180" customWidth="1"/>
    <col min="12296" max="12296" width="48.6640625" style="180" customWidth="1"/>
    <col min="12297" max="12297" width="10" style="180" customWidth="1"/>
    <col min="12298" max="12298" width="11.44140625" style="180" customWidth="1"/>
    <col min="12299" max="12299" width="11.33203125" style="180" customWidth="1"/>
    <col min="12300" max="12300" width="9.77734375" style="180" customWidth="1"/>
    <col min="12301" max="12301" width="9.44140625" style="180" customWidth="1"/>
    <col min="12302" max="12302" width="10" style="180" bestFit="1" customWidth="1"/>
    <col min="12303" max="12303" width="32.77734375" style="180" customWidth="1"/>
    <col min="12304" max="12304" width="12.109375" style="180" customWidth="1"/>
    <col min="12305" max="12305" width="7.77734375" style="180" customWidth="1"/>
    <col min="12306" max="12306" width="10.77734375" style="180" customWidth="1"/>
    <col min="12307" max="12307" width="8.5546875" style="180" bestFit="1" customWidth="1"/>
    <col min="12308" max="12308" width="7.77734375" style="180" customWidth="1"/>
    <col min="12309" max="12309" width="49.77734375" style="180" customWidth="1"/>
    <col min="12310" max="12311" width="0" style="180" hidden="1" customWidth="1"/>
    <col min="12312" max="12312" width="9.109375" style="180" customWidth="1"/>
    <col min="12313" max="12313" width="11.21875" style="180" bestFit="1" customWidth="1"/>
    <col min="12314" max="12314" width="9.6640625" style="180" customWidth="1"/>
    <col min="12315" max="12315" width="8.6640625" style="180" customWidth="1"/>
    <col min="12316" max="12316" width="9.6640625" style="180" customWidth="1"/>
    <col min="12317" max="12317" width="10.6640625" style="180" customWidth="1"/>
    <col min="12318" max="12318" width="23.21875" style="180" customWidth="1"/>
    <col min="12319" max="12319" width="8.77734375" style="180" customWidth="1"/>
    <col min="12320" max="12320" width="8.109375" style="180" bestFit="1" customWidth="1"/>
    <col min="12321" max="12321" width="9" style="180" customWidth="1"/>
    <col min="12322" max="12322" width="8.77734375" style="180" customWidth="1"/>
    <col min="12323" max="12544" width="7.44140625" style="180"/>
    <col min="12545" max="12549" width="0" style="180" hidden="1" customWidth="1"/>
    <col min="12550" max="12550" width="8.88671875" style="180" customWidth="1"/>
    <col min="12551" max="12551" width="6.5546875" style="180" customWidth="1"/>
    <col min="12552" max="12552" width="48.6640625" style="180" customWidth="1"/>
    <col min="12553" max="12553" width="10" style="180" customWidth="1"/>
    <col min="12554" max="12554" width="11.44140625" style="180" customWidth="1"/>
    <col min="12555" max="12555" width="11.33203125" style="180" customWidth="1"/>
    <col min="12556" max="12556" width="9.77734375" style="180" customWidth="1"/>
    <col min="12557" max="12557" width="9.44140625" style="180" customWidth="1"/>
    <col min="12558" max="12558" width="10" style="180" bestFit="1" customWidth="1"/>
    <col min="12559" max="12559" width="32.77734375" style="180" customWidth="1"/>
    <col min="12560" max="12560" width="12.109375" style="180" customWidth="1"/>
    <col min="12561" max="12561" width="7.77734375" style="180" customWidth="1"/>
    <col min="12562" max="12562" width="10.77734375" style="180" customWidth="1"/>
    <col min="12563" max="12563" width="8.5546875" style="180" bestFit="1" customWidth="1"/>
    <col min="12564" max="12564" width="7.77734375" style="180" customWidth="1"/>
    <col min="12565" max="12565" width="49.77734375" style="180" customWidth="1"/>
    <col min="12566" max="12567" width="0" style="180" hidden="1" customWidth="1"/>
    <col min="12568" max="12568" width="9.109375" style="180" customWidth="1"/>
    <col min="12569" max="12569" width="11.21875" style="180" bestFit="1" customWidth="1"/>
    <col min="12570" max="12570" width="9.6640625" style="180" customWidth="1"/>
    <col min="12571" max="12571" width="8.6640625" style="180" customWidth="1"/>
    <col min="12572" max="12572" width="9.6640625" style="180" customWidth="1"/>
    <col min="12573" max="12573" width="10.6640625" style="180" customWidth="1"/>
    <col min="12574" max="12574" width="23.21875" style="180" customWidth="1"/>
    <col min="12575" max="12575" width="8.77734375" style="180" customWidth="1"/>
    <col min="12576" max="12576" width="8.109375" style="180" bestFit="1" customWidth="1"/>
    <col min="12577" max="12577" width="9" style="180" customWidth="1"/>
    <col min="12578" max="12578" width="8.77734375" style="180" customWidth="1"/>
    <col min="12579" max="12800" width="7.44140625" style="180"/>
    <col min="12801" max="12805" width="0" style="180" hidden="1" customWidth="1"/>
    <col min="12806" max="12806" width="8.88671875" style="180" customWidth="1"/>
    <col min="12807" max="12807" width="6.5546875" style="180" customWidth="1"/>
    <col min="12808" max="12808" width="48.6640625" style="180" customWidth="1"/>
    <col min="12809" max="12809" width="10" style="180" customWidth="1"/>
    <col min="12810" max="12810" width="11.44140625" style="180" customWidth="1"/>
    <col min="12811" max="12811" width="11.33203125" style="180" customWidth="1"/>
    <col min="12812" max="12812" width="9.77734375" style="180" customWidth="1"/>
    <col min="12813" max="12813" width="9.44140625" style="180" customWidth="1"/>
    <col min="12814" max="12814" width="10" style="180" bestFit="1" customWidth="1"/>
    <col min="12815" max="12815" width="32.77734375" style="180" customWidth="1"/>
    <col min="12816" max="12816" width="12.109375" style="180" customWidth="1"/>
    <col min="12817" max="12817" width="7.77734375" style="180" customWidth="1"/>
    <col min="12818" max="12818" width="10.77734375" style="180" customWidth="1"/>
    <col min="12819" max="12819" width="8.5546875" style="180" bestFit="1" customWidth="1"/>
    <col min="12820" max="12820" width="7.77734375" style="180" customWidth="1"/>
    <col min="12821" max="12821" width="49.77734375" style="180" customWidth="1"/>
    <col min="12822" max="12823" width="0" style="180" hidden="1" customWidth="1"/>
    <col min="12824" max="12824" width="9.109375" style="180" customWidth="1"/>
    <col min="12825" max="12825" width="11.21875" style="180" bestFit="1" customWidth="1"/>
    <col min="12826" max="12826" width="9.6640625" style="180" customWidth="1"/>
    <col min="12827" max="12827" width="8.6640625" style="180" customWidth="1"/>
    <col min="12828" max="12828" width="9.6640625" style="180" customWidth="1"/>
    <col min="12829" max="12829" width="10.6640625" style="180" customWidth="1"/>
    <col min="12830" max="12830" width="23.21875" style="180" customWidth="1"/>
    <col min="12831" max="12831" width="8.77734375" style="180" customWidth="1"/>
    <col min="12832" max="12832" width="8.109375" style="180" bestFit="1" customWidth="1"/>
    <col min="12833" max="12833" width="9" style="180" customWidth="1"/>
    <col min="12834" max="12834" width="8.77734375" style="180" customWidth="1"/>
    <col min="12835" max="13056" width="7.44140625" style="180"/>
    <col min="13057" max="13061" width="0" style="180" hidden="1" customWidth="1"/>
    <col min="13062" max="13062" width="8.88671875" style="180" customWidth="1"/>
    <col min="13063" max="13063" width="6.5546875" style="180" customWidth="1"/>
    <col min="13064" max="13064" width="48.6640625" style="180" customWidth="1"/>
    <col min="13065" max="13065" width="10" style="180" customWidth="1"/>
    <col min="13066" max="13066" width="11.44140625" style="180" customWidth="1"/>
    <col min="13067" max="13067" width="11.33203125" style="180" customWidth="1"/>
    <col min="13068" max="13068" width="9.77734375" style="180" customWidth="1"/>
    <col min="13069" max="13069" width="9.44140625" style="180" customWidth="1"/>
    <col min="13070" max="13070" width="10" style="180" bestFit="1" customWidth="1"/>
    <col min="13071" max="13071" width="32.77734375" style="180" customWidth="1"/>
    <col min="13072" max="13072" width="12.109375" style="180" customWidth="1"/>
    <col min="13073" max="13073" width="7.77734375" style="180" customWidth="1"/>
    <col min="13074" max="13074" width="10.77734375" style="180" customWidth="1"/>
    <col min="13075" max="13075" width="8.5546875" style="180" bestFit="1" customWidth="1"/>
    <col min="13076" max="13076" width="7.77734375" style="180" customWidth="1"/>
    <col min="13077" max="13077" width="49.77734375" style="180" customWidth="1"/>
    <col min="13078" max="13079" width="0" style="180" hidden="1" customWidth="1"/>
    <col min="13080" max="13080" width="9.109375" style="180" customWidth="1"/>
    <col min="13081" max="13081" width="11.21875" style="180" bestFit="1" customWidth="1"/>
    <col min="13082" max="13082" width="9.6640625" style="180" customWidth="1"/>
    <col min="13083" max="13083" width="8.6640625" style="180" customWidth="1"/>
    <col min="13084" max="13084" width="9.6640625" style="180" customWidth="1"/>
    <col min="13085" max="13085" width="10.6640625" style="180" customWidth="1"/>
    <col min="13086" max="13086" width="23.21875" style="180" customWidth="1"/>
    <col min="13087" max="13087" width="8.77734375" style="180" customWidth="1"/>
    <col min="13088" max="13088" width="8.109375" style="180" bestFit="1" customWidth="1"/>
    <col min="13089" max="13089" width="9" style="180" customWidth="1"/>
    <col min="13090" max="13090" width="8.77734375" style="180" customWidth="1"/>
    <col min="13091" max="13312" width="7.44140625" style="180"/>
    <col min="13313" max="13317" width="0" style="180" hidden="1" customWidth="1"/>
    <col min="13318" max="13318" width="8.88671875" style="180" customWidth="1"/>
    <col min="13319" max="13319" width="6.5546875" style="180" customWidth="1"/>
    <col min="13320" max="13320" width="48.6640625" style="180" customWidth="1"/>
    <col min="13321" max="13321" width="10" style="180" customWidth="1"/>
    <col min="13322" max="13322" width="11.44140625" style="180" customWidth="1"/>
    <col min="13323" max="13323" width="11.33203125" style="180" customWidth="1"/>
    <col min="13324" max="13324" width="9.77734375" style="180" customWidth="1"/>
    <col min="13325" max="13325" width="9.44140625" style="180" customWidth="1"/>
    <col min="13326" max="13326" width="10" style="180" bestFit="1" customWidth="1"/>
    <col min="13327" max="13327" width="32.77734375" style="180" customWidth="1"/>
    <col min="13328" max="13328" width="12.109375" style="180" customWidth="1"/>
    <col min="13329" max="13329" width="7.77734375" style="180" customWidth="1"/>
    <col min="13330" max="13330" width="10.77734375" style="180" customWidth="1"/>
    <col min="13331" max="13331" width="8.5546875" style="180" bestFit="1" customWidth="1"/>
    <col min="13332" max="13332" width="7.77734375" style="180" customWidth="1"/>
    <col min="13333" max="13333" width="49.77734375" style="180" customWidth="1"/>
    <col min="13334" max="13335" width="0" style="180" hidden="1" customWidth="1"/>
    <col min="13336" max="13336" width="9.109375" style="180" customWidth="1"/>
    <col min="13337" max="13337" width="11.21875" style="180" bestFit="1" customWidth="1"/>
    <col min="13338" max="13338" width="9.6640625" style="180" customWidth="1"/>
    <col min="13339" max="13339" width="8.6640625" style="180" customWidth="1"/>
    <col min="13340" max="13340" width="9.6640625" style="180" customWidth="1"/>
    <col min="13341" max="13341" width="10.6640625" style="180" customWidth="1"/>
    <col min="13342" max="13342" width="23.21875" style="180" customWidth="1"/>
    <col min="13343" max="13343" width="8.77734375" style="180" customWidth="1"/>
    <col min="13344" max="13344" width="8.109375" style="180" bestFit="1" customWidth="1"/>
    <col min="13345" max="13345" width="9" style="180" customWidth="1"/>
    <col min="13346" max="13346" width="8.77734375" style="180" customWidth="1"/>
    <col min="13347" max="13568" width="7.44140625" style="180"/>
    <col min="13569" max="13573" width="0" style="180" hidden="1" customWidth="1"/>
    <col min="13574" max="13574" width="8.88671875" style="180" customWidth="1"/>
    <col min="13575" max="13575" width="6.5546875" style="180" customWidth="1"/>
    <col min="13576" max="13576" width="48.6640625" style="180" customWidth="1"/>
    <col min="13577" max="13577" width="10" style="180" customWidth="1"/>
    <col min="13578" max="13578" width="11.44140625" style="180" customWidth="1"/>
    <col min="13579" max="13579" width="11.33203125" style="180" customWidth="1"/>
    <col min="13580" max="13580" width="9.77734375" style="180" customWidth="1"/>
    <col min="13581" max="13581" width="9.44140625" style="180" customWidth="1"/>
    <col min="13582" max="13582" width="10" style="180" bestFit="1" customWidth="1"/>
    <col min="13583" max="13583" width="32.77734375" style="180" customWidth="1"/>
    <col min="13584" max="13584" width="12.109375" style="180" customWidth="1"/>
    <col min="13585" max="13585" width="7.77734375" style="180" customWidth="1"/>
    <col min="13586" max="13586" width="10.77734375" style="180" customWidth="1"/>
    <col min="13587" max="13587" width="8.5546875" style="180" bestFit="1" customWidth="1"/>
    <col min="13588" max="13588" width="7.77734375" style="180" customWidth="1"/>
    <col min="13589" max="13589" width="49.77734375" style="180" customWidth="1"/>
    <col min="13590" max="13591" width="0" style="180" hidden="1" customWidth="1"/>
    <col min="13592" max="13592" width="9.109375" style="180" customWidth="1"/>
    <col min="13593" max="13593" width="11.21875" style="180" bestFit="1" customWidth="1"/>
    <col min="13594" max="13594" width="9.6640625" style="180" customWidth="1"/>
    <col min="13595" max="13595" width="8.6640625" style="180" customWidth="1"/>
    <col min="13596" max="13596" width="9.6640625" style="180" customWidth="1"/>
    <col min="13597" max="13597" width="10.6640625" style="180" customWidth="1"/>
    <col min="13598" max="13598" width="23.21875" style="180" customWidth="1"/>
    <col min="13599" max="13599" width="8.77734375" style="180" customWidth="1"/>
    <col min="13600" max="13600" width="8.109375" style="180" bestFit="1" customWidth="1"/>
    <col min="13601" max="13601" width="9" style="180" customWidth="1"/>
    <col min="13602" max="13602" width="8.77734375" style="180" customWidth="1"/>
    <col min="13603" max="13824" width="7.44140625" style="180"/>
    <col min="13825" max="13829" width="0" style="180" hidden="1" customWidth="1"/>
    <col min="13830" max="13830" width="8.88671875" style="180" customWidth="1"/>
    <col min="13831" max="13831" width="6.5546875" style="180" customWidth="1"/>
    <col min="13832" max="13832" width="48.6640625" style="180" customWidth="1"/>
    <col min="13833" max="13833" width="10" style="180" customWidth="1"/>
    <col min="13834" max="13834" width="11.44140625" style="180" customWidth="1"/>
    <col min="13835" max="13835" width="11.33203125" style="180" customWidth="1"/>
    <col min="13836" max="13836" width="9.77734375" style="180" customWidth="1"/>
    <col min="13837" max="13837" width="9.44140625" style="180" customWidth="1"/>
    <col min="13838" max="13838" width="10" style="180" bestFit="1" customWidth="1"/>
    <col min="13839" max="13839" width="32.77734375" style="180" customWidth="1"/>
    <col min="13840" max="13840" width="12.109375" style="180" customWidth="1"/>
    <col min="13841" max="13841" width="7.77734375" style="180" customWidth="1"/>
    <col min="13842" max="13842" width="10.77734375" style="180" customWidth="1"/>
    <col min="13843" max="13843" width="8.5546875" style="180" bestFit="1" customWidth="1"/>
    <col min="13844" max="13844" width="7.77734375" style="180" customWidth="1"/>
    <col min="13845" max="13845" width="49.77734375" style="180" customWidth="1"/>
    <col min="13846" max="13847" width="0" style="180" hidden="1" customWidth="1"/>
    <col min="13848" max="13848" width="9.109375" style="180" customWidth="1"/>
    <col min="13849" max="13849" width="11.21875" style="180" bestFit="1" customWidth="1"/>
    <col min="13850" max="13850" width="9.6640625" style="180" customWidth="1"/>
    <col min="13851" max="13851" width="8.6640625" style="180" customWidth="1"/>
    <col min="13852" max="13852" width="9.6640625" style="180" customWidth="1"/>
    <col min="13853" max="13853" width="10.6640625" style="180" customWidth="1"/>
    <col min="13854" max="13854" width="23.21875" style="180" customWidth="1"/>
    <col min="13855" max="13855" width="8.77734375" style="180" customWidth="1"/>
    <col min="13856" max="13856" width="8.109375" style="180" bestFit="1" customWidth="1"/>
    <col min="13857" max="13857" width="9" style="180" customWidth="1"/>
    <col min="13858" max="13858" width="8.77734375" style="180" customWidth="1"/>
    <col min="13859" max="14080" width="7.44140625" style="180"/>
    <col min="14081" max="14085" width="0" style="180" hidden="1" customWidth="1"/>
    <col min="14086" max="14086" width="8.88671875" style="180" customWidth="1"/>
    <col min="14087" max="14087" width="6.5546875" style="180" customWidth="1"/>
    <col min="14088" max="14088" width="48.6640625" style="180" customWidth="1"/>
    <col min="14089" max="14089" width="10" style="180" customWidth="1"/>
    <col min="14090" max="14090" width="11.44140625" style="180" customWidth="1"/>
    <col min="14091" max="14091" width="11.33203125" style="180" customWidth="1"/>
    <col min="14092" max="14092" width="9.77734375" style="180" customWidth="1"/>
    <col min="14093" max="14093" width="9.44140625" style="180" customWidth="1"/>
    <col min="14094" max="14094" width="10" style="180" bestFit="1" customWidth="1"/>
    <col min="14095" max="14095" width="32.77734375" style="180" customWidth="1"/>
    <col min="14096" max="14096" width="12.109375" style="180" customWidth="1"/>
    <col min="14097" max="14097" width="7.77734375" style="180" customWidth="1"/>
    <col min="14098" max="14098" width="10.77734375" style="180" customWidth="1"/>
    <col min="14099" max="14099" width="8.5546875" style="180" bestFit="1" customWidth="1"/>
    <col min="14100" max="14100" width="7.77734375" style="180" customWidth="1"/>
    <col min="14101" max="14101" width="49.77734375" style="180" customWidth="1"/>
    <col min="14102" max="14103" width="0" style="180" hidden="1" customWidth="1"/>
    <col min="14104" max="14104" width="9.109375" style="180" customWidth="1"/>
    <col min="14105" max="14105" width="11.21875" style="180" bestFit="1" customWidth="1"/>
    <col min="14106" max="14106" width="9.6640625" style="180" customWidth="1"/>
    <col min="14107" max="14107" width="8.6640625" style="180" customWidth="1"/>
    <col min="14108" max="14108" width="9.6640625" style="180" customWidth="1"/>
    <col min="14109" max="14109" width="10.6640625" style="180" customWidth="1"/>
    <col min="14110" max="14110" width="23.21875" style="180" customWidth="1"/>
    <col min="14111" max="14111" width="8.77734375" style="180" customWidth="1"/>
    <col min="14112" max="14112" width="8.109375" style="180" bestFit="1" customWidth="1"/>
    <col min="14113" max="14113" width="9" style="180" customWidth="1"/>
    <col min="14114" max="14114" width="8.77734375" style="180" customWidth="1"/>
    <col min="14115" max="14336" width="7.44140625" style="180"/>
    <col min="14337" max="14341" width="0" style="180" hidden="1" customWidth="1"/>
    <col min="14342" max="14342" width="8.88671875" style="180" customWidth="1"/>
    <col min="14343" max="14343" width="6.5546875" style="180" customWidth="1"/>
    <col min="14344" max="14344" width="48.6640625" style="180" customWidth="1"/>
    <col min="14345" max="14345" width="10" style="180" customWidth="1"/>
    <col min="14346" max="14346" width="11.44140625" style="180" customWidth="1"/>
    <col min="14347" max="14347" width="11.33203125" style="180" customWidth="1"/>
    <col min="14348" max="14348" width="9.77734375" style="180" customWidth="1"/>
    <col min="14349" max="14349" width="9.44140625" style="180" customWidth="1"/>
    <col min="14350" max="14350" width="10" style="180" bestFit="1" customWidth="1"/>
    <col min="14351" max="14351" width="32.77734375" style="180" customWidth="1"/>
    <col min="14352" max="14352" width="12.109375" style="180" customWidth="1"/>
    <col min="14353" max="14353" width="7.77734375" style="180" customWidth="1"/>
    <col min="14354" max="14354" width="10.77734375" style="180" customWidth="1"/>
    <col min="14355" max="14355" width="8.5546875" style="180" bestFit="1" customWidth="1"/>
    <col min="14356" max="14356" width="7.77734375" style="180" customWidth="1"/>
    <col min="14357" max="14357" width="49.77734375" style="180" customWidth="1"/>
    <col min="14358" max="14359" width="0" style="180" hidden="1" customWidth="1"/>
    <col min="14360" max="14360" width="9.109375" style="180" customWidth="1"/>
    <col min="14361" max="14361" width="11.21875" style="180" bestFit="1" customWidth="1"/>
    <col min="14362" max="14362" width="9.6640625" style="180" customWidth="1"/>
    <col min="14363" max="14363" width="8.6640625" style="180" customWidth="1"/>
    <col min="14364" max="14364" width="9.6640625" style="180" customWidth="1"/>
    <col min="14365" max="14365" width="10.6640625" style="180" customWidth="1"/>
    <col min="14366" max="14366" width="23.21875" style="180" customWidth="1"/>
    <col min="14367" max="14367" width="8.77734375" style="180" customWidth="1"/>
    <col min="14368" max="14368" width="8.109375" style="180" bestFit="1" customWidth="1"/>
    <col min="14369" max="14369" width="9" style="180" customWidth="1"/>
    <col min="14370" max="14370" width="8.77734375" style="180" customWidth="1"/>
    <col min="14371" max="14592" width="7.44140625" style="180"/>
    <col min="14593" max="14597" width="0" style="180" hidden="1" customWidth="1"/>
    <col min="14598" max="14598" width="8.88671875" style="180" customWidth="1"/>
    <col min="14599" max="14599" width="6.5546875" style="180" customWidth="1"/>
    <col min="14600" max="14600" width="48.6640625" style="180" customWidth="1"/>
    <col min="14601" max="14601" width="10" style="180" customWidth="1"/>
    <col min="14602" max="14602" width="11.44140625" style="180" customWidth="1"/>
    <col min="14603" max="14603" width="11.33203125" style="180" customWidth="1"/>
    <col min="14604" max="14604" width="9.77734375" style="180" customWidth="1"/>
    <col min="14605" max="14605" width="9.44140625" style="180" customWidth="1"/>
    <col min="14606" max="14606" width="10" style="180" bestFit="1" customWidth="1"/>
    <col min="14607" max="14607" width="32.77734375" style="180" customWidth="1"/>
    <col min="14608" max="14608" width="12.109375" style="180" customWidth="1"/>
    <col min="14609" max="14609" width="7.77734375" style="180" customWidth="1"/>
    <col min="14610" max="14610" width="10.77734375" style="180" customWidth="1"/>
    <col min="14611" max="14611" width="8.5546875" style="180" bestFit="1" customWidth="1"/>
    <col min="14612" max="14612" width="7.77734375" style="180" customWidth="1"/>
    <col min="14613" max="14613" width="49.77734375" style="180" customWidth="1"/>
    <col min="14614" max="14615" width="0" style="180" hidden="1" customWidth="1"/>
    <col min="14616" max="14616" width="9.109375" style="180" customWidth="1"/>
    <col min="14617" max="14617" width="11.21875" style="180" bestFit="1" customWidth="1"/>
    <col min="14618" max="14618" width="9.6640625" style="180" customWidth="1"/>
    <col min="14619" max="14619" width="8.6640625" style="180" customWidth="1"/>
    <col min="14620" max="14620" width="9.6640625" style="180" customWidth="1"/>
    <col min="14621" max="14621" width="10.6640625" style="180" customWidth="1"/>
    <col min="14622" max="14622" width="23.21875" style="180" customWidth="1"/>
    <col min="14623" max="14623" width="8.77734375" style="180" customWidth="1"/>
    <col min="14624" max="14624" width="8.109375" style="180" bestFit="1" customWidth="1"/>
    <col min="14625" max="14625" width="9" style="180" customWidth="1"/>
    <col min="14626" max="14626" width="8.77734375" style="180" customWidth="1"/>
    <col min="14627" max="14848" width="7.44140625" style="180"/>
    <col min="14849" max="14853" width="0" style="180" hidden="1" customWidth="1"/>
    <col min="14854" max="14854" width="8.88671875" style="180" customWidth="1"/>
    <col min="14855" max="14855" width="6.5546875" style="180" customWidth="1"/>
    <col min="14856" max="14856" width="48.6640625" style="180" customWidth="1"/>
    <col min="14857" max="14857" width="10" style="180" customWidth="1"/>
    <col min="14858" max="14858" width="11.44140625" style="180" customWidth="1"/>
    <col min="14859" max="14859" width="11.33203125" style="180" customWidth="1"/>
    <col min="14860" max="14860" width="9.77734375" style="180" customWidth="1"/>
    <col min="14861" max="14861" width="9.44140625" style="180" customWidth="1"/>
    <col min="14862" max="14862" width="10" style="180" bestFit="1" customWidth="1"/>
    <col min="14863" max="14863" width="32.77734375" style="180" customWidth="1"/>
    <col min="14864" max="14864" width="12.109375" style="180" customWidth="1"/>
    <col min="14865" max="14865" width="7.77734375" style="180" customWidth="1"/>
    <col min="14866" max="14866" width="10.77734375" style="180" customWidth="1"/>
    <col min="14867" max="14867" width="8.5546875" style="180" bestFit="1" customWidth="1"/>
    <col min="14868" max="14868" width="7.77734375" style="180" customWidth="1"/>
    <col min="14869" max="14869" width="49.77734375" style="180" customWidth="1"/>
    <col min="14870" max="14871" width="0" style="180" hidden="1" customWidth="1"/>
    <col min="14872" max="14872" width="9.109375" style="180" customWidth="1"/>
    <col min="14873" max="14873" width="11.21875" style="180" bestFit="1" customWidth="1"/>
    <col min="14874" max="14874" width="9.6640625" style="180" customWidth="1"/>
    <col min="14875" max="14875" width="8.6640625" style="180" customWidth="1"/>
    <col min="14876" max="14876" width="9.6640625" style="180" customWidth="1"/>
    <col min="14877" max="14877" width="10.6640625" style="180" customWidth="1"/>
    <col min="14878" max="14878" width="23.21875" style="180" customWidth="1"/>
    <col min="14879" max="14879" width="8.77734375" style="180" customWidth="1"/>
    <col min="14880" max="14880" width="8.109375" style="180" bestFit="1" customWidth="1"/>
    <col min="14881" max="14881" width="9" style="180" customWidth="1"/>
    <col min="14882" max="14882" width="8.77734375" style="180" customWidth="1"/>
    <col min="14883" max="15104" width="7.44140625" style="180"/>
    <col min="15105" max="15109" width="0" style="180" hidden="1" customWidth="1"/>
    <col min="15110" max="15110" width="8.88671875" style="180" customWidth="1"/>
    <col min="15111" max="15111" width="6.5546875" style="180" customWidth="1"/>
    <col min="15112" max="15112" width="48.6640625" style="180" customWidth="1"/>
    <col min="15113" max="15113" width="10" style="180" customWidth="1"/>
    <col min="15114" max="15114" width="11.44140625" style="180" customWidth="1"/>
    <col min="15115" max="15115" width="11.33203125" style="180" customWidth="1"/>
    <col min="15116" max="15116" width="9.77734375" style="180" customWidth="1"/>
    <col min="15117" max="15117" width="9.44140625" style="180" customWidth="1"/>
    <col min="15118" max="15118" width="10" style="180" bestFit="1" customWidth="1"/>
    <col min="15119" max="15119" width="32.77734375" style="180" customWidth="1"/>
    <col min="15120" max="15120" width="12.109375" style="180" customWidth="1"/>
    <col min="15121" max="15121" width="7.77734375" style="180" customWidth="1"/>
    <col min="15122" max="15122" width="10.77734375" style="180" customWidth="1"/>
    <col min="15123" max="15123" width="8.5546875" style="180" bestFit="1" customWidth="1"/>
    <col min="15124" max="15124" width="7.77734375" style="180" customWidth="1"/>
    <col min="15125" max="15125" width="49.77734375" style="180" customWidth="1"/>
    <col min="15126" max="15127" width="0" style="180" hidden="1" customWidth="1"/>
    <col min="15128" max="15128" width="9.109375" style="180" customWidth="1"/>
    <col min="15129" max="15129" width="11.21875" style="180" bestFit="1" customWidth="1"/>
    <col min="15130" max="15130" width="9.6640625" style="180" customWidth="1"/>
    <col min="15131" max="15131" width="8.6640625" style="180" customWidth="1"/>
    <col min="15132" max="15132" width="9.6640625" style="180" customWidth="1"/>
    <col min="15133" max="15133" width="10.6640625" style="180" customWidth="1"/>
    <col min="15134" max="15134" width="23.21875" style="180" customWidth="1"/>
    <col min="15135" max="15135" width="8.77734375" style="180" customWidth="1"/>
    <col min="15136" max="15136" width="8.109375" style="180" bestFit="1" customWidth="1"/>
    <col min="15137" max="15137" width="9" style="180" customWidth="1"/>
    <col min="15138" max="15138" width="8.77734375" style="180" customWidth="1"/>
    <col min="15139" max="15360" width="7.44140625" style="180"/>
    <col min="15361" max="15365" width="0" style="180" hidden="1" customWidth="1"/>
    <col min="15366" max="15366" width="8.88671875" style="180" customWidth="1"/>
    <col min="15367" max="15367" width="6.5546875" style="180" customWidth="1"/>
    <col min="15368" max="15368" width="48.6640625" style="180" customWidth="1"/>
    <col min="15369" max="15369" width="10" style="180" customWidth="1"/>
    <col min="15370" max="15370" width="11.44140625" style="180" customWidth="1"/>
    <col min="15371" max="15371" width="11.33203125" style="180" customWidth="1"/>
    <col min="15372" max="15372" width="9.77734375" style="180" customWidth="1"/>
    <col min="15373" max="15373" width="9.44140625" style="180" customWidth="1"/>
    <col min="15374" max="15374" width="10" style="180" bestFit="1" customWidth="1"/>
    <col min="15375" max="15375" width="32.77734375" style="180" customWidth="1"/>
    <col min="15376" max="15376" width="12.109375" style="180" customWidth="1"/>
    <col min="15377" max="15377" width="7.77734375" style="180" customWidth="1"/>
    <col min="15378" max="15378" width="10.77734375" style="180" customWidth="1"/>
    <col min="15379" max="15379" width="8.5546875" style="180" bestFit="1" customWidth="1"/>
    <col min="15380" max="15380" width="7.77734375" style="180" customWidth="1"/>
    <col min="15381" max="15381" width="49.77734375" style="180" customWidth="1"/>
    <col min="15382" max="15383" width="0" style="180" hidden="1" customWidth="1"/>
    <col min="15384" max="15384" width="9.109375" style="180" customWidth="1"/>
    <col min="15385" max="15385" width="11.21875" style="180" bestFit="1" customWidth="1"/>
    <col min="15386" max="15386" width="9.6640625" style="180" customWidth="1"/>
    <col min="15387" max="15387" width="8.6640625" style="180" customWidth="1"/>
    <col min="15388" max="15388" width="9.6640625" style="180" customWidth="1"/>
    <col min="15389" max="15389" width="10.6640625" style="180" customWidth="1"/>
    <col min="15390" max="15390" width="23.21875" style="180" customWidth="1"/>
    <col min="15391" max="15391" width="8.77734375" style="180" customWidth="1"/>
    <col min="15392" max="15392" width="8.109375" style="180" bestFit="1" customWidth="1"/>
    <col min="15393" max="15393" width="9" style="180" customWidth="1"/>
    <col min="15394" max="15394" width="8.77734375" style="180" customWidth="1"/>
    <col min="15395" max="15616" width="7.44140625" style="180"/>
    <col min="15617" max="15621" width="0" style="180" hidden="1" customWidth="1"/>
    <col min="15622" max="15622" width="8.88671875" style="180" customWidth="1"/>
    <col min="15623" max="15623" width="6.5546875" style="180" customWidth="1"/>
    <col min="15624" max="15624" width="48.6640625" style="180" customWidth="1"/>
    <col min="15625" max="15625" width="10" style="180" customWidth="1"/>
    <col min="15626" max="15626" width="11.44140625" style="180" customWidth="1"/>
    <col min="15627" max="15627" width="11.33203125" style="180" customWidth="1"/>
    <col min="15628" max="15628" width="9.77734375" style="180" customWidth="1"/>
    <col min="15629" max="15629" width="9.44140625" style="180" customWidth="1"/>
    <col min="15630" max="15630" width="10" style="180" bestFit="1" customWidth="1"/>
    <col min="15631" max="15631" width="32.77734375" style="180" customWidth="1"/>
    <col min="15632" max="15632" width="12.109375" style="180" customWidth="1"/>
    <col min="15633" max="15633" width="7.77734375" style="180" customWidth="1"/>
    <col min="15634" max="15634" width="10.77734375" style="180" customWidth="1"/>
    <col min="15635" max="15635" width="8.5546875" style="180" bestFit="1" customWidth="1"/>
    <col min="15636" max="15636" width="7.77734375" style="180" customWidth="1"/>
    <col min="15637" max="15637" width="49.77734375" style="180" customWidth="1"/>
    <col min="15638" max="15639" width="0" style="180" hidden="1" customWidth="1"/>
    <col min="15640" max="15640" width="9.109375" style="180" customWidth="1"/>
    <col min="15641" max="15641" width="11.21875" style="180" bestFit="1" customWidth="1"/>
    <col min="15642" max="15642" width="9.6640625" style="180" customWidth="1"/>
    <col min="15643" max="15643" width="8.6640625" style="180" customWidth="1"/>
    <col min="15644" max="15644" width="9.6640625" style="180" customWidth="1"/>
    <col min="15645" max="15645" width="10.6640625" style="180" customWidth="1"/>
    <col min="15646" max="15646" width="23.21875" style="180" customWidth="1"/>
    <col min="15647" max="15647" width="8.77734375" style="180" customWidth="1"/>
    <col min="15648" max="15648" width="8.109375" style="180" bestFit="1" customWidth="1"/>
    <col min="15649" max="15649" width="9" style="180" customWidth="1"/>
    <col min="15650" max="15650" width="8.77734375" style="180" customWidth="1"/>
    <col min="15651" max="15872" width="7.44140625" style="180"/>
    <col min="15873" max="15877" width="0" style="180" hidden="1" customWidth="1"/>
    <col min="15878" max="15878" width="8.88671875" style="180" customWidth="1"/>
    <col min="15879" max="15879" width="6.5546875" style="180" customWidth="1"/>
    <col min="15880" max="15880" width="48.6640625" style="180" customWidth="1"/>
    <col min="15881" max="15881" width="10" style="180" customWidth="1"/>
    <col min="15882" max="15882" width="11.44140625" style="180" customWidth="1"/>
    <col min="15883" max="15883" width="11.33203125" style="180" customWidth="1"/>
    <col min="15884" max="15884" width="9.77734375" style="180" customWidth="1"/>
    <col min="15885" max="15885" width="9.44140625" style="180" customWidth="1"/>
    <col min="15886" max="15886" width="10" style="180" bestFit="1" customWidth="1"/>
    <col min="15887" max="15887" width="32.77734375" style="180" customWidth="1"/>
    <col min="15888" max="15888" width="12.109375" style="180" customWidth="1"/>
    <col min="15889" max="15889" width="7.77734375" style="180" customWidth="1"/>
    <col min="15890" max="15890" width="10.77734375" style="180" customWidth="1"/>
    <col min="15891" max="15891" width="8.5546875" style="180" bestFit="1" customWidth="1"/>
    <col min="15892" max="15892" width="7.77734375" style="180" customWidth="1"/>
    <col min="15893" max="15893" width="49.77734375" style="180" customWidth="1"/>
    <col min="15894" max="15895" width="0" style="180" hidden="1" customWidth="1"/>
    <col min="15896" max="15896" width="9.109375" style="180" customWidth="1"/>
    <col min="15897" max="15897" width="11.21875" style="180" bestFit="1" customWidth="1"/>
    <col min="15898" max="15898" width="9.6640625" style="180" customWidth="1"/>
    <col min="15899" max="15899" width="8.6640625" style="180" customWidth="1"/>
    <col min="15900" max="15900" width="9.6640625" style="180" customWidth="1"/>
    <col min="15901" max="15901" width="10.6640625" style="180" customWidth="1"/>
    <col min="15902" max="15902" width="23.21875" style="180" customWidth="1"/>
    <col min="15903" max="15903" width="8.77734375" style="180" customWidth="1"/>
    <col min="15904" max="15904" width="8.109375" style="180" bestFit="1" customWidth="1"/>
    <col min="15905" max="15905" width="9" style="180" customWidth="1"/>
    <col min="15906" max="15906" width="8.77734375" style="180" customWidth="1"/>
    <col min="15907" max="16128" width="7.44140625" style="180"/>
    <col min="16129" max="16133" width="0" style="180" hidden="1" customWidth="1"/>
    <col min="16134" max="16134" width="8.88671875" style="180" customWidth="1"/>
    <col min="16135" max="16135" width="6.5546875" style="180" customWidth="1"/>
    <col min="16136" max="16136" width="48.6640625" style="180" customWidth="1"/>
    <col min="16137" max="16137" width="10" style="180" customWidth="1"/>
    <col min="16138" max="16138" width="11.44140625" style="180" customWidth="1"/>
    <col min="16139" max="16139" width="11.33203125" style="180" customWidth="1"/>
    <col min="16140" max="16140" width="9.77734375" style="180" customWidth="1"/>
    <col min="16141" max="16141" width="9.44140625" style="180" customWidth="1"/>
    <col min="16142" max="16142" width="10" style="180" bestFit="1" customWidth="1"/>
    <col min="16143" max="16143" width="32.77734375" style="180" customWidth="1"/>
    <col min="16144" max="16144" width="12.109375" style="180" customWidth="1"/>
    <col min="16145" max="16145" width="7.77734375" style="180" customWidth="1"/>
    <col min="16146" max="16146" width="10.77734375" style="180" customWidth="1"/>
    <col min="16147" max="16147" width="8.5546875" style="180" bestFit="1" customWidth="1"/>
    <col min="16148" max="16148" width="7.77734375" style="180" customWidth="1"/>
    <col min="16149" max="16149" width="49.77734375" style="180" customWidth="1"/>
    <col min="16150" max="16151" width="0" style="180" hidden="1" customWidth="1"/>
    <col min="16152" max="16152" width="9.109375" style="180" customWidth="1"/>
    <col min="16153" max="16153" width="11.21875" style="180" bestFit="1" customWidth="1"/>
    <col min="16154" max="16154" width="9.6640625" style="180" customWidth="1"/>
    <col min="16155" max="16155" width="8.6640625" style="180" customWidth="1"/>
    <col min="16156" max="16156" width="9.6640625" style="180" customWidth="1"/>
    <col min="16157" max="16157" width="10.6640625" style="180" customWidth="1"/>
    <col min="16158" max="16158" width="23.21875" style="180" customWidth="1"/>
    <col min="16159" max="16159" width="8.77734375" style="180" customWidth="1"/>
    <col min="16160" max="16160" width="8.109375" style="180" bestFit="1" customWidth="1"/>
    <col min="16161" max="16161" width="9" style="180" customWidth="1"/>
    <col min="16162" max="16162" width="8.77734375" style="180" customWidth="1"/>
    <col min="16163" max="16384" width="7.44140625" style="180"/>
  </cols>
  <sheetData>
    <row r="1" spans="1:18" ht="9" customHeight="1">
      <c r="A1" s="265"/>
    </row>
    <row r="2" spans="1:18" ht="19.5">
      <c r="A2" s="265"/>
      <c r="H2" s="462" t="s">
        <v>3781</v>
      </c>
    </row>
    <row r="3" spans="1:18">
      <c r="A3" s="265"/>
      <c r="H3" s="349" t="s">
        <v>3997</v>
      </c>
    </row>
    <row r="4" spans="1:18" ht="9" customHeight="1">
      <c r="A4" s="265"/>
    </row>
    <row r="5" spans="1:18" ht="20.25" customHeight="1">
      <c r="A5" s="265"/>
      <c r="H5" s="461" t="s">
        <v>2943</v>
      </c>
    </row>
    <row r="6" spans="1:18" ht="30.75" customHeight="1">
      <c r="A6" s="265"/>
      <c r="H6" s="459" t="s">
        <v>2944</v>
      </c>
      <c r="O6" s="350" t="s">
        <v>2945</v>
      </c>
    </row>
    <row r="7" spans="1:18" ht="16.5" customHeight="1">
      <c r="A7" s="265"/>
      <c r="H7" s="459" t="s">
        <v>2946</v>
      </c>
    </row>
    <row r="8" spans="1:18">
      <c r="A8" s="265"/>
      <c r="H8" s="460"/>
    </row>
    <row r="9" spans="1:18" ht="25.5" customHeight="1">
      <c r="A9" s="265"/>
      <c r="H9" s="459" t="s">
        <v>2947</v>
      </c>
    </row>
    <row r="10" spans="1:18" ht="1.5" customHeight="1">
      <c r="A10" s="265"/>
    </row>
    <row r="11" spans="1:18" ht="273.75" customHeight="1">
      <c r="A11" s="265"/>
      <c r="H11" s="351" t="s">
        <v>2424</v>
      </c>
      <c r="M11" s="352"/>
      <c r="N11" s="352"/>
      <c r="O11" s="351" t="s">
        <v>2891</v>
      </c>
      <c r="P11" s="352"/>
      <c r="Q11" s="352"/>
      <c r="R11" s="352"/>
    </row>
    <row r="12" spans="1:18" ht="36.75" customHeight="1">
      <c r="A12" s="265"/>
      <c r="F12" s="352">
        <v>90</v>
      </c>
      <c r="G12" s="352" t="s">
        <v>842</v>
      </c>
      <c r="H12" s="458" t="s">
        <v>3974</v>
      </c>
      <c r="I12" s="353">
        <f>16.55</f>
        <v>16.55</v>
      </c>
      <c r="J12" s="352" t="s">
        <v>2587</v>
      </c>
      <c r="K12" s="352">
        <f>F12*I12</f>
        <v>1489.5</v>
      </c>
      <c r="M12" s="352"/>
      <c r="N12" s="352"/>
      <c r="O12" s="350"/>
      <c r="P12" s="352"/>
      <c r="Q12" s="352"/>
      <c r="R12" s="352"/>
    </row>
    <row r="13" spans="1:18" ht="42.75" customHeight="1">
      <c r="A13" s="265"/>
      <c r="E13" s="352"/>
      <c r="F13" s="352">
        <v>45</v>
      </c>
      <c r="G13" s="352" t="s">
        <v>842</v>
      </c>
      <c r="H13" s="351" t="s">
        <v>3969</v>
      </c>
      <c r="I13" s="353">
        <f>20</f>
        <v>20</v>
      </c>
      <c r="J13" s="352" t="s">
        <v>2404</v>
      </c>
      <c r="K13" s="352">
        <f>F13*I13</f>
        <v>900</v>
      </c>
      <c r="L13" s="352"/>
      <c r="M13" s="352"/>
      <c r="N13" s="352"/>
      <c r="P13" s="352" t="s">
        <v>992</v>
      </c>
      <c r="Q13" s="352"/>
      <c r="R13" s="352"/>
    </row>
    <row r="14" spans="1:18" ht="24.95" customHeight="1">
      <c r="A14" s="265"/>
      <c r="E14" s="352"/>
      <c r="F14" s="352">
        <v>20</v>
      </c>
      <c r="G14" s="352" t="s">
        <v>1419</v>
      </c>
      <c r="H14" s="352" t="s">
        <v>3968</v>
      </c>
      <c r="I14" s="353">
        <f>3.15</f>
        <v>3.15</v>
      </c>
      <c r="J14" s="352" t="s">
        <v>1419</v>
      </c>
      <c r="K14" s="352">
        <f>F14*I14</f>
        <v>63</v>
      </c>
      <c r="L14" s="352"/>
      <c r="M14" s="352"/>
      <c r="N14" s="352"/>
      <c r="O14" s="352"/>
      <c r="P14" s="352"/>
      <c r="Q14" s="352"/>
      <c r="R14" s="352"/>
    </row>
    <row r="15" spans="1:18" ht="19.5" customHeight="1">
      <c r="A15" s="265"/>
      <c r="E15" s="352"/>
      <c r="F15" s="352">
        <v>10</v>
      </c>
      <c r="G15" s="352" t="s">
        <v>1419</v>
      </c>
      <c r="H15" s="352" t="s">
        <v>5906</v>
      </c>
      <c r="I15" s="353">
        <f>1.34</f>
        <v>1.34</v>
      </c>
      <c r="J15" s="352" t="s">
        <v>1419</v>
      </c>
      <c r="K15" s="352">
        <f>F15*I15</f>
        <v>13.4</v>
      </c>
      <c r="L15" s="352"/>
      <c r="M15" s="352">
        <v>90</v>
      </c>
      <c r="N15" s="352" t="s">
        <v>842</v>
      </c>
      <c r="O15" s="273" t="s">
        <v>2586</v>
      </c>
      <c r="P15" s="352">
        <f>I25</f>
        <v>16.55</v>
      </c>
      <c r="Q15" s="352" t="s">
        <v>842</v>
      </c>
      <c r="R15" s="352">
        <f>M15*P15</f>
        <v>1489.5</v>
      </c>
    </row>
    <row r="16" spans="1:18" ht="42.75" customHeight="1">
      <c r="A16" s="265"/>
      <c r="E16" s="352"/>
      <c r="F16" s="352">
        <v>1</v>
      </c>
      <c r="G16" s="352" t="s">
        <v>1419</v>
      </c>
      <c r="H16" s="360" t="s">
        <v>3940</v>
      </c>
      <c r="I16" s="354">
        <v>58</v>
      </c>
      <c r="J16" s="352" t="s">
        <v>1419</v>
      </c>
      <c r="K16" s="352">
        <f>F16*I16</f>
        <v>58</v>
      </c>
      <c r="L16" s="352"/>
      <c r="M16" s="352">
        <v>45</v>
      </c>
      <c r="N16" s="352" t="s">
        <v>842</v>
      </c>
      <c r="O16" s="351" t="s">
        <v>2403</v>
      </c>
      <c r="P16" s="352">
        <f>I13</f>
        <v>20</v>
      </c>
      <c r="Q16" s="352" t="s">
        <v>2404</v>
      </c>
      <c r="R16" s="352">
        <f>M16*P16</f>
        <v>900</v>
      </c>
    </row>
    <row r="17" spans="1:20">
      <c r="A17" s="265"/>
      <c r="E17" s="352"/>
      <c r="F17" s="352"/>
      <c r="G17" s="352"/>
      <c r="H17" s="352"/>
      <c r="I17" s="352"/>
      <c r="J17" s="352"/>
      <c r="K17" s="352"/>
      <c r="L17" s="352"/>
      <c r="M17" s="352">
        <v>75</v>
      </c>
      <c r="N17" s="352" t="s">
        <v>1419</v>
      </c>
      <c r="O17" s="352" t="s">
        <v>3823</v>
      </c>
      <c r="P17" s="421">
        <v>3.85</v>
      </c>
      <c r="Q17" s="352" t="s">
        <v>3451</v>
      </c>
      <c r="R17" s="352">
        <f>M17*P17/12</f>
        <v>24.06</v>
      </c>
    </row>
    <row r="18" spans="1:20" ht="34.5" customHeight="1">
      <c r="A18" s="265"/>
      <c r="E18" s="352"/>
      <c r="F18" s="355">
        <v>1.4999999999999999E-2</v>
      </c>
      <c r="G18" s="352" t="s">
        <v>2322</v>
      </c>
      <c r="H18" s="352" t="s">
        <v>3970</v>
      </c>
      <c r="I18" s="353">
        <f>661</f>
        <v>661</v>
      </c>
      <c r="J18" s="352" t="s">
        <v>2322</v>
      </c>
      <c r="K18" s="352">
        <f t="shared" ref="K18:K25" si="0">F18*I18</f>
        <v>9.92</v>
      </c>
      <c r="L18" s="352"/>
      <c r="M18" s="352">
        <v>12</v>
      </c>
      <c r="N18" s="352" t="s">
        <v>1419</v>
      </c>
      <c r="O18" s="352" t="s">
        <v>2405</v>
      </c>
      <c r="P18" s="352">
        <f>I14</f>
        <v>3.15</v>
      </c>
      <c r="Q18" s="352" t="s">
        <v>1419</v>
      </c>
      <c r="R18" s="352">
        <f>M18*P18</f>
        <v>37.799999999999997</v>
      </c>
    </row>
    <row r="19" spans="1:20" ht="24.95" customHeight="1">
      <c r="A19" s="265"/>
      <c r="E19" s="352"/>
      <c r="F19" s="352">
        <v>10</v>
      </c>
      <c r="G19" s="352" t="s">
        <v>1419</v>
      </c>
      <c r="H19" s="352" t="s">
        <v>5907</v>
      </c>
      <c r="I19" s="353">
        <f>16.21</f>
        <v>16.21</v>
      </c>
      <c r="J19" s="352" t="s">
        <v>1419</v>
      </c>
      <c r="K19" s="352">
        <f t="shared" si="0"/>
        <v>162.1</v>
      </c>
      <c r="L19" s="352"/>
      <c r="M19" s="352">
        <v>6</v>
      </c>
      <c r="N19" s="352" t="s">
        <v>1419</v>
      </c>
      <c r="O19" s="352" t="s">
        <v>3448</v>
      </c>
      <c r="P19" s="352">
        <f>I15</f>
        <v>1.34</v>
      </c>
      <c r="Q19" s="352" t="s">
        <v>1419</v>
      </c>
      <c r="R19" s="352">
        <f>M19*P19</f>
        <v>8.0399999999999991</v>
      </c>
    </row>
    <row r="20" spans="1:20" ht="24.95" customHeight="1">
      <c r="A20" s="265"/>
      <c r="E20" s="352"/>
      <c r="F20" s="352">
        <v>10</v>
      </c>
      <c r="G20" s="352" t="s">
        <v>1419</v>
      </c>
      <c r="H20" s="352" t="s">
        <v>5191</v>
      </c>
      <c r="I20" s="353">
        <f>13.8</f>
        <v>13.8</v>
      </c>
      <c r="J20" s="352" t="s">
        <v>1419</v>
      </c>
      <c r="K20" s="352">
        <f t="shared" si="0"/>
        <v>138</v>
      </c>
      <c r="L20" s="352"/>
      <c r="M20" s="352">
        <v>150</v>
      </c>
      <c r="N20" s="352" t="s">
        <v>1457</v>
      </c>
      <c r="O20" s="352" t="s">
        <v>2677</v>
      </c>
      <c r="P20" s="352">
        <f>[1]Elec.Data!P2851</f>
        <v>287</v>
      </c>
      <c r="Q20" s="352">
        <v>1000</v>
      </c>
      <c r="R20" s="352">
        <f>(M20*P20)/1000</f>
        <v>43.05</v>
      </c>
    </row>
    <row r="21" spans="1:20" ht="24.95" customHeight="1">
      <c r="A21" s="265"/>
      <c r="E21" s="352"/>
      <c r="F21" s="352">
        <v>10</v>
      </c>
      <c r="G21" s="352" t="s">
        <v>1419</v>
      </c>
      <c r="H21" s="352" t="s">
        <v>5908</v>
      </c>
      <c r="I21" s="353">
        <v>3.6</v>
      </c>
      <c r="J21" s="352" t="s">
        <v>1419</v>
      </c>
      <c r="K21" s="352">
        <f t="shared" si="0"/>
        <v>36</v>
      </c>
      <c r="L21" s="352"/>
      <c r="M21" s="355">
        <v>7</v>
      </c>
      <c r="N21" s="352" t="s">
        <v>1457</v>
      </c>
      <c r="O21" s="352" t="s">
        <v>2679</v>
      </c>
      <c r="P21" s="352">
        <f>I21</f>
        <v>3.6</v>
      </c>
      <c r="Q21" s="352" t="s">
        <v>1419</v>
      </c>
      <c r="R21" s="352">
        <f>M21*P21</f>
        <v>25.2</v>
      </c>
    </row>
    <row r="22" spans="1:20" ht="24.95" customHeight="1">
      <c r="A22" s="265"/>
      <c r="E22" s="352"/>
      <c r="F22" s="352">
        <v>1.25</v>
      </c>
      <c r="G22" s="352" t="s">
        <v>2680</v>
      </c>
      <c r="H22" s="352" t="s">
        <v>395</v>
      </c>
      <c r="I22" s="353">
        <f>302</f>
        <v>302</v>
      </c>
      <c r="J22" s="352" t="s">
        <v>2680</v>
      </c>
      <c r="K22" s="352">
        <f t="shared" si="0"/>
        <v>377.5</v>
      </c>
      <c r="L22" s="352"/>
      <c r="M22" s="352">
        <v>6</v>
      </c>
      <c r="N22" s="352" t="s">
        <v>1419</v>
      </c>
      <c r="O22" s="352" t="s">
        <v>2676</v>
      </c>
      <c r="P22" s="352">
        <f>I20</f>
        <v>13.8</v>
      </c>
      <c r="Q22" s="352" t="s">
        <v>1423</v>
      </c>
      <c r="R22" s="352">
        <f>M22*P22</f>
        <v>82.8</v>
      </c>
    </row>
    <row r="23" spans="1:20" ht="24.95" customHeight="1">
      <c r="A23" s="265"/>
      <c r="E23" s="352"/>
      <c r="F23" s="352">
        <v>10</v>
      </c>
      <c r="G23" s="352" t="s">
        <v>1419</v>
      </c>
      <c r="H23" s="360" t="s">
        <v>3940</v>
      </c>
      <c r="I23" s="354">
        <f>I16</f>
        <v>58</v>
      </c>
      <c r="J23" s="352" t="s">
        <v>1419</v>
      </c>
      <c r="K23" s="352">
        <f t="shared" si="0"/>
        <v>580</v>
      </c>
      <c r="L23" s="352"/>
      <c r="M23" s="352">
        <v>6</v>
      </c>
      <c r="N23" s="352" t="s">
        <v>1419</v>
      </c>
      <c r="O23" s="352" t="s">
        <v>2682</v>
      </c>
      <c r="P23" s="352">
        <f>[1]Elec.Data!P2854</f>
        <v>175.24</v>
      </c>
      <c r="Q23" s="352" t="s">
        <v>3451</v>
      </c>
      <c r="R23" s="352">
        <f>(M23*P23)/12</f>
        <v>87.62</v>
      </c>
    </row>
    <row r="24" spans="1:20" ht="24.95" customHeight="1">
      <c r="A24" s="265"/>
      <c r="E24" s="352"/>
      <c r="F24" s="352">
        <v>0.15</v>
      </c>
      <c r="G24" s="352" t="s">
        <v>2322</v>
      </c>
      <c r="H24" s="352" t="s">
        <v>3970</v>
      </c>
      <c r="I24" s="353">
        <f>661</f>
        <v>661</v>
      </c>
      <c r="J24" s="352" t="s">
        <v>2322</v>
      </c>
      <c r="K24" s="352">
        <f t="shared" si="0"/>
        <v>99.15</v>
      </c>
      <c r="L24" s="352"/>
      <c r="M24" s="352">
        <v>1</v>
      </c>
      <c r="N24" s="352" t="s">
        <v>2684</v>
      </c>
      <c r="O24" s="352" t="s">
        <v>2685</v>
      </c>
      <c r="P24" s="352">
        <v>84.1</v>
      </c>
      <c r="Q24" s="352" t="s">
        <v>2684</v>
      </c>
      <c r="R24" s="352">
        <f>(M24*P24)</f>
        <v>84.1</v>
      </c>
    </row>
    <row r="25" spans="1:20" ht="44.25" customHeight="1">
      <c r="A25" s="265"/>
      <c r="E25" s="352"/>
      <c r="F25" s="352">
        <v>45</v>
      </c>
      <c r="G25" s="352" t="s">
        <v>842</v>
      </c>
      <c r="H25" s="458" t="s">
        <v>3975</v>
      </c>
      <c r="I25" s="353">
        <f>16.55</f>
        <v>16.55</v>
      </c>
      <c r="J25" s="352" t="s">
        <v>3363</v>
      </c>
      <c r="K25" s="352">
        <f t="shared" si="0"/>
        <v>744.75</v>
      </c>
      <c r="L25" s="352"/>
      <c r="M25" s="352">
        <v>6</v>
      </c>
      <c r="N25" s="352" t="s">
        <v>1457</v>
      </c>
      <c r="O25" s="351" t="s">
        <v>3364</v>
      </c>
      <c r="P25" s="352">
        <v>168.95</v>
      </c>
      <c r="Q25" s="352" t="s">
        <v>2680</v>
      </c>
      <c r="R25" s="352">
        <f>M25*P25</f>
        <v>1013.7</v>
      </c>
    </row>
    <row r="26" spans="1:20" ht="24.95" customHeight="1">
      <c r="A26" s="265"/>
      <c r="E26" s="352"/>
      <c r="F26" s="352" t="s">
        <v>669</v>
      </c>
      <c r="G26" s="352"/>
      <c r="H26" s="352" t="s">
        <v>931</v>
      </c>
      <c r="I26" s="352"/>
      <c r="J26" s="352" t="s">
        <v>669</v>
      </c>
      <c r="K26" s="352">
        <f>K42</f>
        <v>11454</v>
      </c>
      <c r="L26" s="352"/>
      <c r="M26" s="356">
        <v>0.16666666666666666</v>
      </c>
      <c r="N26" s="352" t="s">
        <v>3365</v>
      </c>
      <c r="O26" s="352" t="s">
        <v>395</v>
      </c>
      <c r="P26" s="421">
        <f>I22</f>
        <v>302</v>
      </c>
      <c r="Q26" s="352" t="s">
        <v>3365</v>
      </c>
      <c r="R26" s="352">
        <f>M26*P26</f>
        <v>50.33</v>
      </c>
    </row>
    <row r="27" spans="1:20" ht="20.25" customHeight="1">
      <c r="A27" s="265"/>
      <c r="E27" s="352"/>
      <c r="F27" s="352" t="s">
        <v>669</v>
      </c>
      <c r="G27" s="352"/>
      <c r="H27" s="352" t="s">
        <v>2310</v>
      </c>
      <c r="I27" s="352"/>
      <c r="J27" s="352" t="s">
        <v>669</v>
      </c>
      <c r="K27" s="352">
        <v>44.68</v>
      </c>
      <c r="L27" s="352"/>
      <c r="M27" s="352">
        <v>45</v>
      </c>
      <c r="N27" s="352" t="s">
        <v>3516</v>
      </c>
      <c r="O27" s="273" t="s">
        <v>2686</v>
      </c>
      <c r="P27" s="352">
        <f>P15</f>
        <v>16.55</v>
      </c>
      <c r="Q27" s="352" t="s">
        <v>2322</v>
      </c>
      <c r="R27" s="352">
        <f>M27*P27</f>
        <v>744.75</v>
      </c>
    </row>
    <row r="28" spans="1:20" ht="24.95" customHeight="1">
      <c r="A28" s="265"/>
      <c r="E28" s="352"/>
      <c r="F28" s="352"/>
      <c r="G28" s="352"/>
      <c r="H28" s="357" t="s">
        <v>3366</v>
      </c>
      <c r="I28" s="352"/>
      <c r="J28" s="352"/>
      <c r="K28" s="358">
        <f>SUM(K12:K27)</f>
        <v>16170</v>
      </c>
      <c r="L28" s="352"/>
      <c r="M28" s="352">
        <v>6</v>
      </c>
      <c r="N28" s="352" t="s">
        <v>3367</v>
      </c>
      <c r="O28" s="352" t="s">
        <v>931</v>
      </c>
      <c r="P28" s="352">
        <f>R46</f>
        <v>1207</v>
      </c>
      <c r="Q28" s="352" t="s">
        <v>3367</v>
      </c>
      <c r="R28" s="352">
        <f>M28*P28</f>
        <v>7242</v>
      </c>
    </row>
    <row r="29" spans="1:20" ht="21.75" customHeight="1">
      <c r="A29" s="265"/>
      <c r="E29" s="352"/>
      <c r="F29" s="352"/>
      <c r="G29" s="352"/>
      <c r="H29" s="359" t="s">
        <v>3368</v>
      </c>
      <c r="I29" s="352"/>
      <c r="J29" s="352"/>
      <c r="K29" s="360">
        <f>K28/10</f>
        <v>1617</v>
      </c>
      <c r="L29" s="352">
        <f>1343*10</f>
        <v>13430</v>
      </c>
      <c r="M29" s="352"/>
      <c r="N29" s="352" t="s">
        <v>69</v>
      </c>
      <c r="O29" s="352" t="s">
        <v>3369</v>
      </c>
      <c r="P29" s="352"/>
      <c r="Q29" s="352"/>
      <c r="R29" s="352">
        <f>18.56+1.91</f>
        <v>20.47</v>
      </c>
    </row>
    <row r="30" spans="1:20" ht="21" customHeight="1">
      <c r="A30" s="265"/>
      <c r="E30" s="352"/>
      <c r="F30" s="352"/>
      <c r="G30" s="352"/>
      <c r="H30" s="352"/>
      <c r="I30" s="352"/>
      <c r="J30" s="352"/>
      <c r="K30" s="352"/>
      <c r="L30" s="352">
        <f>L29-K28</f>
        <v>-2740</v>
      </c>
      <c r="M30" s="352"/>
      <c r="N30" s="352"/>
      <c r="P30" s="352"/>
      <c r="Q30" s="352"/>
      <c r="R30" s="352"/>
    </row>
    <row r="31" spans="1:20" ht="16.5" customHeight="1">
      <c r="A31" s="265"/>
      <c r="E31" s="352"/>
      <c r="F31" s="352"/>
      <c r="G31" s="352"/>
      <c r="H31" s="360" t="s">
        <v>3370</v>
      </c>
      <c r="I31" s="352"/>
      <c r="J31" s="352"/>
      <c r="K31" s="352"/>
      <c r="L31" s="352">
        <f>L29-K28</f>
        <v>-2740</v>
      </c>
      <c r="M31" s="352"/>
      <c r="N31" s="352"/>
      <c r="O31" s="357" t="s">
        <v>3371</v>
      </c>
      <c r="P31" s="352"/>
      <c r="Q31" s="352"/>
      <c r="R31" s="358">
        <f>SUM(R15:R30)</f>
        <v>11853.42</v>
      </c>
    </row>
    <row r="32" spans="1:20" ht="15.75" customHeight="1">
      <c r="A32" s="265"/>
      <c r="E32" s="352"/>
      <c r="F32" s="352"/>
      <c r="G32" s="352"/>
      <c r="H32" s="352"/>
      <c r="I32" s="352"/>
      <c r="J32" s="352"/>
      <c r="K32" s="352"/>
      <c r="L32" s="352"/>
      <c r="M32" s="352"/>
      <c r="N32" s="352"/>
      <c r="O32" s="359" t="s">
        <v>3368</v>
      </c>
      <c r="P32" s="352"/>
      <c r="Q32" s="352"/>
      <c r="R32" s="360">
        <f>R31/6</f>
        <v>1975.57</v>
      </c>
      <c r="T32" s="180">
        <f>1382*6</f>
        <v>8292</v>
      </c>
    </row>
    <row r="33" spans="1:20" ht="19.5" customHeight="1">
      <c r="A33" s="265"/>
      <c r="E33" s="352"/>
      <c r="F33" s="352"/>
      <c r="G33" s="352"/>
      <c r="H33" s="360" t="s">
        <v>3446</v>
      </c>
      <c r="I33" s="352"/>
      <c r="J33" s="352"/>
      <c r="K33" s="352"/>
      <c r="L33" s="352"/>
      <c r="M33" s="352"/>
      <c r="N33" s="352"/>
      <c r="O33" s="352"/>
      <c r="P33" s="352"/>
      <c r="Q33" s="352"/>
      <c r="R33" s="352"/>
      <c r="T33" s="180">
        <f>T32-R31</f>
        <v>-3561.42</v>
      </c>
    </row>
    <row r="34" spans="1:20" ht="6.75" customHeight="1">
      <c r="A34" s="265"/>
      <c r="E34" s="352"/>
      <c r="F34" s="352"/>
      <c r="G34" s="352"/>
      <c r="H34" s="352"/>
      <c r="I34" s="352"/>
      <c r="J34" s="352"/>
      <c r="K34" s="352"/>
      <c r="L34" s="352"/>
      <c r="M34" s="352"/>
    </row>
    <row r="35" spans="1:20" ht="20.25" customHeight="1">
      <c r="A35" s="265"/>
      <c r="E35" s="352"/>
      <c r="F35" s="352">
        <v>1</v>
      </c>
      <c r="G35" s="352" t="s">
        <v>1419</v>
      </c>
      <c r="H35" s="352" t="s">
        <v>3372</v>
      </c>
      <c r="I35" s="421">
        <v>898</v>
      </c>
      <c r="J35" s="352" t="s">
        <v>1419</v>
      </c>
      <c r="K35" s="352">
        <f>F35*I35</f>
        <v>898</v>
      </c>
      <c r="L35" s="352"/>
      <c r="M35" s="352"/>
      <c r="N35" s="360" t="s">
        <v>3370</v>
      </c>
      <c r="O35" s="352"/>
      <c r="P35" s="352"/>
      <c r="Q35" s="352"/>
    </row>
    <row r="36" spans="1:20" ht="20.25" customHeight="1">
      <c r="A36" s="265"/>
      <c r="E36" s="352"/>
      <c r="F36" s="352">
        <v>2</v>
      </c>
      <c r="G36" s="352" t="s">
        <v>1419</v>
      </c>
      <c r="H36" s="352" t="s">
        <v>3373</v>
      </c>
      <c r="I36" s="421">
        <v>783</v>
      </c>
      <c r="J36" s="352" t="s">
        <v>1419</v>
      </c>
      <c r="K36" s="352">
        <f>F36*I36</f>
        <v>1566</v>
      </c>
      <c r="L36" s="352"/>
      <c r="M36" s="352"/>
      <c r="N36" s="352"/>
      <c r="O36" s="352"/>
      <c r="P36" s="352"/>
      <c r="Q36" s="352"/>
    </row>
    <row r="37" spans="1:20" ht="20.25" customHeight="1">
      <c r="A37" s="265"/>
      <c r="E37" s="352"/>
      <c r="F37" s="352">
        <v>3</v>
      </c>
      <c r="G37" s="352" t="s">
        <v>1419</v>
      </c>
      <c r="H37" s="352" t="s">
        <v>3374</v>
      </c>
      <c r="I37" s="421">
        <v>778</v>
      </c>
      <c r="J37" s="352" t="s">
        <v>1419</v>
      </c>
      <c r="K37" s="352">
        <f>F37*I37</f>
        <v>2334</v>
      </c>
      <c r="L37" s="352"/>
      <c r="M37" s="352"/>
      <c r="N37" s="360" t="s">
        <v>3446</v>
      </c>
      <c r="O37" s="352"/>
      <c r="P37" s="352"/>
      <c r="Q37" s="352"/>
    </row>
    <row r="38" spans="1:20" ht="20.25" customHeight="1">
      <c r="A38" s="265"/>
      <c r="E38" s="352"/>
      <c r="F38" s="352">
        <v>4</v>
      </c>
      <c r="G38" s="352" t="s">
        <v>1419</v>
      </c>
      <c r="H38" s="352" t="s">
        <v>2370</v>
      </c>
      <c r="I38" s="421">
        <v>611</v>
      </c>
      <c r="J38" s="352" t="s">
        <v>1419</v>
      </c>
      <c r="K38" s="352">
        <f>F38*I38</f>
        <v>2444</v>
      </c>
      <c r="L38" s="352"/>
      <c r="M38" s="352"/>
      <c r="N38" s="352"/>
      <c r="O38" s="352"/>
      <c r="P38" s="352"/>
      <c r="Q38" s="352"/>
    </row>
    <row r="39" spans="1:20" ht="24.95" customHeight="1">
      <c r="A39" s="265"/>
      <c r="E39" s="352"/>
      <c r="F39" s="352"/>
      <c r="G39" s="352"/>
      <c r="H39" s="360" t="s">
        <v>3150</v>
      </c>
      <c r="I39" s="421"/>
      <c r="J39" s="352"/>
      <c r="K39" s="352"/>
      <c r="M39" s="352">
        <v>1</v>
      </c>
      <c r="N39" s="352" t="s">
        <v>1419</v>
      </c>
      <c r="O39" s="352" t="s">
        <v>3372</v>
      </c>
      <c r="P39" s="352">
        <f>I35</f>
        <v>898</v>
      </c>
      <c r="Q39" s="352" t="s">
        <v>1419</v>
      </c>
      <c r="R39" s="352">
        <f>M39*P39</f>
        <v>898</v>
      </c>
    </row>
    <row r="40" spans="1:20" ht="24.95" customHeight="1">
      <c r="A40" s="265"/>
      <c r="E40" s="352"/>
      <c r="F40" s="352">
        <v>2</v>
      </c>
      <c r="G40" s="352" t="s">
        <v>1419</v>
      </c>
      <c r="H40" s="352" t="s">
        <v>2892</v>
      </c>
      <c r="I40" s="421">
        <v>884</v>
      </c>
      <c r="J40" s="352" t="s">
        <v>1419</v>
      </c>
      <c r="K40" s="352">
        <f>F40*I40</f>
        <v>1768</v>
      </c>
      <c r="M40" s="352">
        <v>2</v>
      </c>
      <c r="N40" s="352" t="s">
        <v>1419</v>
      </c>
      <c r="O40" s="352" t="s">
        <v>3373</v>
      </c>
      <c r="P40" s="352">
        <f>I36</f>
        <v>783</v>
      </c>
      <c r="Q40" s="352" t="s">
        <v>1419</v>
      </c>
      <c r="R40" s="352">
        <f>M40*P40</f>
        <v>1566</v>
      </c>
    </row>
    <row r="41" spans="1:20" ht="24.95" customHeight="1">
      <c r="A41" s="265"/>
      <c r="E41" s="352"/>
      <c r="F41" s="352">
        <v>4</v>
      </c>
      <c r="G41" s="352" t="s">
        <v>1419</v>
      </c>
      <c r="H41" s="352" t="s">
        <v>3137</v>
      </c>
      <c r="I41" s="421">
        <v>611</v>
      </c>
      <c r="J41" s="352" t="s">
        <v>1419</v>
      </c>
      <c r="K41" s="352">
        <f>F41*I41</f>
        <v>2444</v>
      </c>
      <c r="M41" s="352">
        <v>3</v>
      </c>
      <c r="N41" s="352" t="s">
        <v>1419</v>
      </c>
      <c r="O41" s="352" t="s">
        <v>3374</v>
      </c>
      <c r="P41" s="352">
        <f>I37</f>
        <v>778</v>
      </c>
      <c r="Q41" s="352" t="s">
        <v>1419</v>
      </c>
      <c r="R41" s="352">
        <f>M41*P41</f>
        <v>2334</v>
      </c>
    </row>
    <row r="42" spans="1:20" ht="20.25" customHeight="1">
      <c r="A42" s="265"/>
      <c r="E42" s="352"/>
      <c r="F42" s="352"/>
      <c r="G42" s="352"/>
      <c r="H42" s="352"/>
      <c r="I42" s="352"/>
      <c r="J42" s="352"/>
      <c r="K42" s="367">
        <f>SUM(K35:K41)</f>
        <v>11454</v>
      </c>
      <c r="M42" s="352">
        <v>4</v>
      </c>
      <c r="N42" s="352" t="s">
        <v>1419</v>
      </c>
      <c r="O42" s="352" t="s">
        <v>2370</v>
      </c>
      <c r="P42" s="352">
        <f>I38</f>
        <v>611</v>
      </c>
      <c r="Q42" s="352" t="s">
        <v>1419</v>
      </c>
      <c r="R42" s="352">
        <f>M42*P42</f>
        <v>2444</v>
      </c>
    </row>
    <row r="43" spans="1:20" ht="5.25" customHeight="1">
      <c r="A43" s="265"/>
      <c r="E43" s="352"/>
      <c r="F43" s="352"/>
      <c r="G43" s="352"/>
      <c r="H43" s="352"/>
      <c r="I43" s="352"/>
      <c r="J43" s="352"/>
      <c r="K43" s="358"/>
      <c r="M43" s="352"/>
      <c r="N43" s="352"/>
      <c r="O43" s="352"/>
      <c r="P43" s="352"/>
      <c r="Q43" s="352"/>
      <c r="R43" s="352"/>
    </row>
    <row r="44" spans="1:20" ht="39.950000000000003" customHeight="1">
      <c r="A44" s="265"/>
      <c r="E44" s="352"/>
      <c r="F44" s="352"/>
      <c r="G44" s="352"/>
      <c r="H44" s="189" t="s">
        <v>3151</v>
      </c>
      <c r="I44" s="352"/>
      <c r="J44" s="352"/>
      <c r="K44" s="352"/>
      <c r="L44" s="352"/>
      <c r="M44" s="352"/>
      <c r="O44" s="362" t="s">
        <v>2893</v>
      </c>
      <c r="R44" s="363">
        <f>SUM(R39:R42)</f>
        <v>7242</v>
      </c>
    </row>
    <row r="45" spans="1:20" ht="30.75" customHeight="1">
      <c r="A45" s="265"/>
      <c r="E45" s="352"/>
      <c r="F45" s="352"/>
      <c r="G45" s="352"/>
      <c r="H45" s="189" t="s">
        <v>3457</v>
      </c>
      <c r="I45" s="352"/>
      <c r="J45" s="352"/>
      <c r="K45" s="352"/>
      <c r="L45" s="352"/>
      <c r="M45" s="352"/>
    </row>
    <row r="46" spans="1:20">
      <c r="A46" s="265"/>
      <c r="E46" s="352"/>
      <c r="F46" s="352"/>
      <c r="G46" s="352"/>
      <c r="H46" s="352"/>
      <c r="I46" s="352"/>
      <c r="J46" s="352"/>
      <c r="K46" s="352"/>
      <c r="L46" s="352"/>
      <c r="M46" s="352"/>
      <c r="Q46" s="364" t="s">
        <v>3458</v>
      </c>
      <c r="R46" s="190">
        <f>R44/6</f>
        <v>1207</v>
      </c>
    </row>
    <row r="47" spans="1:20" ht="186.75" customHeight="1">
      <c r="A47" s="265"/>
      <c r="E47" s="352"/>
      <c r="F47" s="352"/>
      <c r="G47" s="352"/>
      <c r="H47" s="351" t="s">
        <v>2529</v>
      </c>
      <c r="I47" s="352"/>
      <c r="J47" s="352"/>
      <c r="K47" s="352"/>
      <c r="L47" s="352"/>
      <c r="M47" s="352"/>
      <c r="O47" s="351" t="s">
        <v>2492</v>
      </c>
    </row>
    <row r="48" spans="1:20" ht="30" customHeight="1">
      <c r="A48" s="265"/>
      <c r="E48" s="352"/>
      <c r="F48" s="352"/>
      <c r="G48" s="352"/>
      <c r="H48" s="352" t="s">
        <v>2493</v>
      </c>
      <c r="I48" s="352"/>
      <c r="J48" s="352"/>
      <c r="K48" s="352">
        <f>K28-K27</f>
        <v>16125.32</v>
      </c>
      <c r="L48" s="352"/>
      <c r="M48" s="352">
        <v>90</v>
      </c>
      <c r="N48" s="352" t="s">
        <v>842</v>
      </c>
      <c r="O48" s="273" t="s">
        <v>2586</v>
      </c>
      <c r="P48" s="352">
        <f t="shared" ref="P48:P56" si="1">P15</f>
        <v>16.55</v>
      </c>
      <c r="Q48" s="352" t="s">
        <v>842</v>
      </c>
      <c r="R48" s="352">
        <f>M48*P48</f>
        <v>1489.5</v>
      </c>
    </row>
    <row r="49" spans="1:18" ht="30" customHeight="1">
      <c r="A49" s="265"/>
      <c r="E49" s="352"/>
      <c r="F49" s="352"/>
      <c r="G49" s="352"/>
      <c r="H49" s="352" t="s">
        <v>2494</v>
      </c>
      <c r="I49" s="352"/>
      <c r="J49" s="352"/>
      <c r="K49" s="352">
        <f>K20</f>
        <v>138</v>
      </c>
      <c r="L49" s="352"/>
      <c r="M49" s="352">
        <v>45</v>
      </c>
      <c r="N49" s="352" t="s">
        <v>842</v>
      </c>
      <c r="O49" s="351" t="s">
        <v>2403</v>
      </c>
      <c r="P49" s="352">
        <f t="shared" si="1"/>
        <v>20</v>
      </c>
      <c r="Q49" s="352" t="s">
        <v>2404</v>
      </c>
      <c r="R49" s="352">
        <f>M49*P49</f>
        <v>900</v>
      </c>
    </row>
    <row r="50" spans="1:18" ht="30" customHeight="1">
      <c r="A50" s="265"/>
      <c r="E50" s="352"/>
      <c r="F50" s="352"/>
      <c r="G50" s="352"/>
      <c r="H50" s="421" t="s">
        <v>3780</v>
      </c>
      <c r="I50" s="421"/>
      <c r="J50" s="421"/>
      <c r="K50" s="421">
        <v>165</v>
      </c>
      <c r="L50" s="352"/>
      <c r="M50" s="352">
        <v>75</v>
      </c>
      <c r="N50" s="352" t="s">
        <v>1419</v>
      </c>
      <c r="O50" s="352" t="s">
        <v>3450</v>
      </c>
      <c r="P50" s="352">
        <f t="shared" si="1"/>
        <v>3.85</v>
      </c>
      <c r="Q50" s="352" t="s">
        <v>3451</v>
      </c>
      <c r="R50" s="352">
        <f>M50*P50/12</f>
        <v>24.06</v>
      </c>
    </row>
    <row r="51" spans="1:18" ht="30" customHeight="1">
      <c r="A51" s="265"/>
      <c r="E51" s="352"/>
      <c r="F51" s="352"/>
      <c r="G51" s="352"/>
      <c r="H51" s="352" t="s">
        <v>2310</v>
      </c>
      <c r="I51" s="352"/>
      <c r="J51" s="352"/>
      <c r="K51" s="352">
        <v>47.7</v>
      </c>
      <c r="L51" s="352"/>
      <c r="M51" s="352">
        <v>12</v>
      </c>
      <c r="N51" s="352" t="s">
        <v>1419</v>
      </c>
      <c r="O51" s="352" t="s">
        <v>2405</v>
      </c>
      <c r="P51" s="352">
        <f t="shared" si="1"/>
        <v>3.15</v>
      </c>
      <c r="Q51" s="352" t="s">
        <v>1419</v>
      </c>
      <c r="R51" s="352">
        <f>M51*P51</f>
        <v>37.799999999999997</v>
      </c>
    </row>
    <row r="52" spans="1:18" ht="39.950000000000003" customHeight="1">
      <c r="A52" s="265"/>
      <c r="E52" s="352"/>
      <c r="F52" s="352"/>
      <c r="G52" s="352"/>
      <c r="H52" s="357" t="s">
        <v>2472</v>
      </c>
      <c r="I52" s="352"/>
      <c r="J52" s="352"/>
      <c r="K52" s="358">
        <f>K48-K49+K50+K51</f>
        <v>16200.02</v>
      </c>
      <c r="L52" s="352"/>
      <c r="M52" s="352">
        <v>6</v>
      </c>
      <c r="N52" s="352" t="s">
        <v>1419</v>
      </c>
      <c r="O52" s="352" t="s">
        <v>3448</v>
      </c>
      <c r="P52" s="352">
        <f t="shared" si="1"/>
        <v>1.34</v>
      </c>
      <c r="Q52" s="352" t="s">
        <v>1419</v>
      </c>
      <c r="R52" s="352">
        <f>M52*P52</f>
        <v>8.0399999999999991</v>
      </c>
    </row>
    <row r="53" spans="1:18" ht="25.5" customHeight="1">
      <c r="A53" s="265"/>
      <c r="E53" s="352"/>
      <c r="F53" s="352"/>
      <c r="G53" s="352"/>
      <c r="H53" s="359" t="s">
        <v>2473</v>
      </c>
      <c r="I53" s="352"/>
      <c r="J53" s="352"/>
      <c r="K53" s="360">
        <f>K52/10</f>
        <v>1620</v>
      </c>
      <c r="L53" s="352">
        <f>1346*10</f>
        <v>13460</v>
      </c>
      <c r="M53" s="352">
        <v>150</v>
      </c>
      <c r="N53" s="352" t="s">
        <v>1457</v>
      </c>
      <c r="O53" s="352" t="s">
        <v>2677</v>
      </c>
      <c r="P53" s="352">
        <f t="shared" si="1"/>
        <v>287</v>
      </c>
      <c r="Q53" s="352">
        <v>1000</v>
      </c>
      <c r="R53" s="352">
        <f>(M53*P53)/1000</f>
        <v>43.05</v>
      </c>
    </row>
    <row r="54" spans="1:18">
      <c r="A54" s="265"/>
      <c r="E54" s="352"/>
      <c r="F54" s="352"/>
      <c r="G54" s="352"/>
      <c r="H54" s="352"/>
      <c r="I54" s="352"/>
      <c r="J54" s="352"/>
      <c r="K54" s="352"/>
      <c r="L54" s="352">
        <f>L53-K52</f>
        <v>-2740.02</v>
      </c>
      <c r="M54" s="355">
        <v>7</v>
      </c>
      <c r="N54" s="352" t="s">
        <v>1457</v>
      </c>
      <c r="O54" s="352" t="s">
        <v>2679</v>
      </c>
      <c r="P54" s="352">
        <f t="shared" si="1"/>
        <v>3.6</v>
      </c>
      <c r="Q54" s="352" t="s">
        <v>1419</v>
      </c>
      <c r="R54" s="352">
        <f>M54*P54</f>
        <v>25.2</v>
      </c>
    </row>
    <row r="55" spans="1:18" ht="24.95" customHeight="1">
      <c r="A55" s="265"/>
      <c r="E55" s="352"/>
      <c r="F55" s="352"/>
      <c r="G55" s="352"/>
      <c r="H55" s="360" t="s">
        <v>3068</v>
      </c>
      <c r="I55" s="352"/>
      <c r="J55" s="352"/>
      <c r="K55" s="352"/>
      <c r="L55" s="352"/>
      <c r="M55" s="352">
        <v>6</v>
      </c>
      <c r="N55" s="352" t="s">
        <v>1419</v>
      </c>
      <c r="O55" s="352" t="s">
        <v>2676</v>
      </c>
      <c r="P55" s="352">
        <f t="shared" si="1"/>
        <v>13.8</v>
      </c>
      <c r="Q55" s="352" t="s">
        <v>1423</v>
      </c>
      <c r="R55" s="352">
        <f>M55*P55</f>
        <v>82.8</v>
      </c>
    </row>
    <row r="56" spans="1:18" ht="56.25" customHeight="1">
      <c r="A56" s="265"/>
      <c r="E56" s="352"/>
      <c r="F56" s="352"/>
      <c r="G56" s="352"/>
      <c r="H56" s="350" t="s">
        <v>3069</v>
      </c>
      <c r="I56" s="352"/>
      <c r="J56" s="352"/>
      <c r="K56" s="352"/>
      <c r="L56" s="352"/>
      <c r="M56" s="352">
        <v>6</v>
      </c>
      <c r="N56" s="352" t="s">
        <v>1419</v>
      </c>
      <c r="O56" s="352" t="s">
        <v>2682</v>
      </c>
      <c r="P56" s="352">
        <f t="shared" si="1"/>
        <v>175.24</v>
      </c>
      <c r="Q56" s="352" t="s">
        <v>3451</v>
      </c>
      <c r="R56" s="352">
        <f>(M56*P56)/12</f>
        <v>87.62</v>
      </c>
    </row>
    <row r="57" spans="1:18">
      <c r="A57" s="265"/>
      <c r="E57" s="352"/>
      <c r="F57" s="352"/>
      <c r="G57" s="352"/>
      <c r="H57" s="352"/>
      <c r="I57" s="352"/>
      <c r="J57" s="352"/>
      <c r="K57" s="352"/>
      <c r="L57" s="352"/>
      <c r="M57" s="352">
        <v>1</v>
      </c>
      <c r="N57" s="352" t="s">
        <v>2684</v>
      </c>
      <c r="O57" s="352" t="s">
        <v>2685</v>
      </c>
      <c r="P57" s="352">
        <f>P24</f>
        <v>84.1</v>
      </c>
      <c r="Q57" s="352" t="s">
        <v>2684</v>
      </c>
      <c r="R57" s="352">
        <f>(M57*P57)</f>
        <v>84.1</v>
      </c>
    </row>
    <row r="58" spans="1:18" ht="186" customHeight="1">
      <c r="A58" s="265"/>
      <c r="E58" s="352"/>
      <c r="F58" s="352"/>
      <c r="G58" s="352"/>
      <c r="H58" s="351" t="s">
        <v>3532</v>
      </c>
      <c r="I58" s="352"/>
      <c r="J58" s="352"/>
      <c r="K58" s="352"/>
      <c r="L58" s="352"/>
      <c r="M58" s="352">
        <v>6</v>
      </c>
      <c r="N58" s="352" t="s">
        <v>1457</v>
      </c>
      <c r="O58" s="351" t="s">
        <v>3455</v>
      </c>
      <c r="P58" s="352">
        <v>42.25</v>
      </c>
      <c r="Q58" s="352" t="s">
        <v>2680</v>
      </c>
      <c r="R58" s="352">
        <f>M58*P58</f>
        <v>253.5</v>
      </c>
    </row>
    <row r="59" spans="1:18" ht="21.75" customHeight="1">
      <c r="A59" s="265"/>
      <c r="E59" s="352"/>
      <c r="F59" s="352"/>
      <c r="G59" s="352"/>
      <c r="H59" s="352" t="s">
        <v>3456</v>
      </c>
      <c r="I59" s="352"/>
      <c r="J59" s="352"/>
      <c r="K59" s="352">
        <f>K48</f>
        <v>16125.32</v>
      </c>
      <c r="L59" s="352"/>
      <c r="M59" s="356">
        <v>0.16666666666666666</v>
      </c>
      <c r="N59" s="352" t="s">
        <v>3365</v>
      </c>
      <c r="O59" s="352" t="s">
        <v>395</v>
      </c>
      <c r="P59" s="352">
        <f>P26</f>
        <v>302</v>
      </c>
      <c r="Q59" s="352" t="s">
        <v>3365</v>
      </c>
      <c r="R59" s="352">
        <f>M59*P59</f>
        <v>50.33</v>
      </c>
    </row>
    <row r="60" spans="1:18" ht="30" customHeight="1">
      <c r="A60" s="265"/>
      <c r="E60" s="352"/>
      <c r="F60" s="352"/>
      <c r="G60" s="352"/>
      <c r="H60" s="352" t="s">
        <v>3043</v>
      </c>
      <c r="I60" s="352"/>
      <c r="J60" s="352"/>
      <c r="K60" s="352">
        <f>K49</f>
        <v>138</v>
      </c>
      <c r="L60" s="352"/>
      <c r="M60" s="352"/>
      <c r="N60" s="352"/>
      <c r="O60" s="273"/>
      <c r="P60" s="352"/>
      <c r="Q60" s="352"/>
      <c r="R60" s="352"/>
    </row>
    <row r="61" spans="1:18" ht="30" customHeight="1">
      <c r="A61" s="265"/>
      <c r="E61" s="352"/>
      <c r="F61" s="352"/>
      <c r="G61" s="352"/>
      <c r="H61" s="352" t="s">
        <v>3044</v>
      </c>
      <c r="I61" s="352"/>
      <c r="J61" s="352"/>
      <c r="K61" s="352">
        <f>K21</f>
        <v>36</v>
      </c>
      <c r="L61" s="352"/>
      <c r="M61" s="352">
        <v>6</v>
      </c>
      <c r="N61" s="352" t="s">
        <v>3367</v>
      </c>
      <c r="O61" s="352" t="s">
        <v>931</v>
      </c>
      <c r="P61" s="352">
        <f>R46</f>
        <v>1207</v>
      </c>
      <c r="Q61" s="352" t="s">
        <v>3367</v>
      </c>
      <c r="R61" s="352">
        <f>M61*P61</f>
        <v>7242</v>
      </c>
    </row>
    <row r="62" spans="1:18" ht="30" customHeight="1">
      <c r="A62" s="265"/>
      <c r="E62" s="352"/>
      <c r="F62" s="352"/>
      <c r="G62" s="352"/>
      <c r="H62" s="352" t="s">
        <v>3045</v>
      </c>
      <c r="I62" s="352"/>
      <c r="J62" s="352"/>
      <c r="K62" s="352">
        <f>K19</f>
        <v>162.1</v>
      </c>
      <c r="L62" s="352"/>
      <c r="M62" s="352"/>
      <c r="N62" s="352" t="s">
        <v>69</v>
      </c>
      <c r="O62" s="352" t="s">
        <v>3369</v>
      </c>
      <c r="P62" s="352"/>
      <c r="Q62" s="352"/>
      <c r="R62" s="352">
        <v>13.68</v>
      </c>
    </row>
    <row r="63" spans="1:18" ht="30" customHeight="1">
      <c r="A63" s="265"/>
      <c r="E63" s="352"/>
      <c r="F63" s="352"/>
      <c r="G63" s="352"/>
      <c r="H63" s="352" t="str">
        <f>Elec.Data!H63</f>
        <v>Add the cost of 10 Nos Buzer/Bell @ 41.70/Each it-31a p-116</v>
      </c>
      <c r="I63" s="352">
        <f>Elec.Data!I63</f>
        <v>0</v>
      </c>
      <c r="J63" s="352">
        <f>Elec.Data!J63</f>
        <v>0</v>
      </c>
      <c r="K63" s="421">
        <f>Elec.Data!K63</f>
        <v>417</v>
      </c>
      <c r="L63" s="352"/>
      <c r="M63" s="352"/>
      <c r="N63" s="352"/>
      <c r="P63" s="352"/>
      <c r="Q63" s="352"/>
      <c r="R63" s="352"/>
    </row>
    <row r="64" spans="1:18" ht="30" customHeight="1">
      <c r="A64" s="265"/>
      <c r="E64" s="352"/>
      <c r="F64" s="352"/>
      <c r="G64" s="352"/>
      <c r="H64" s="352" t="s">
        <v>3046</v>
      </c>
      <c r="I64" s="352"/>
      <c r="J64" s="352"/>
      <c r="K64" s="352">
        <f>10*9</f>
        <v>90</v>
      </c>
      <c r="L64" s="352"/>
      <c r="M64" s="352"/>
      <c r="N64" s="352"/>
      <c r="O64" s="357" t="s">
        <v>3371</v>
      </c>
      <c r="P64" s="352"/>
      <c r="Q64" s="352"/>
      <c r="R64" s="358">
        <f>SUM(R48:R63)</f>
        <v>10341.68</v>
      </c>
    </row>
    <row r="65" spans="1:19" ht="30" customHeight="1">
      <c r="A65" s="265"/>
      <c r="E65" s="352"/>
      <c r="F65" s="352"/>
      <c r="G65" s="352"/>
      <c r="H65" s="352" t="s">
        <v>3777</v>
      </c>
      <c r="I65" s="352"/>
      <c r="J65" s="352"/>
      <c r="K65" s="353">
        <f>Elec.Data!K65</f>
        <v>165</v>
      </c>
      <c r="L65" s="352"/>
      <c r="M65" s="352"/>
      <c r="N65" s="352"/>
      <c r="O65" s="359" t="s">
        <v>3368</v>
      </c>
      <c r="P65" s="352"/>
      <c r="Q65" s="352"/>
      <c r="R65" s="360">
        <f>R64/6</f>
        <v>1723.61</v>
      </c>
      <c r="S65" s="180">
        <f>1199*6</f>
        <v>7194</v>
      </c>
    </row>
    <row r="66" spans="1:19" ht="30" customHeight="1">
      <c r="A66" s="265"/>
      <c r="E66" s="352"/>
      <c r="F66" s="352"/>
      <c r="G66" s="352"/>
      <c r="H66" s="352" t="s">
        <v>2310</v>
      </c>
      <c r="I66" s="352"/>
      <c r="J66" s="352"/>
      <c r="K66" s="352">
        <v>48.78</v>
      </c>
      <c r="L66" s="352"/>
      <c r="M66" s="352"/>
      <c r="S66" s="180">
        <f>S65-R64</f>
        <v>-3147.68</v>
      </c>
    </row>
    <row r="67" spans="1:19" ht="25.5" customHeight="1">
      <c r="A67" s="265"/>
      <c r="E67" s="352"/>
      <c r="F67" s="352"/>
      <c r="G67" s="352"/>
      <c r="H67" s="357" t="s">
        <v>2472</v>
      </c>
      <c r="I67" s="352"/>
      <c r="J67" s="352"/>
      <c r="K67" s="358">
        <f>(K59-K60-K61-K62)+(K63+K64+K65+K66)</f>
        <v>16510</v>
      </c>
      <c r="L67" s="352"/>
      <c r="M67" s="352"/>
    </row>
    <row r="68" spans="1:19" ht="27.75" customHeight="1">
      <c r="A68" s="265"/>
      <c r="E68" s="352"/>
      <c r="F68" s="352"/>
      <c r="G68" s="352"/>
      <c r="H68" s="359" t="s">
        <v>3220</v>
      </c>
      <c r="I68" s="352"/>
      <c r="J68" s="352"/>
      <c r="K68" s="360">
        <f>K67/10</f>
        <v>1651</v>
      </c>
      <c r="L68" s="352">
        <f>1651*10</f>
        <v>16510</v>
      </c>
      <c r="M68" s="352"/>
    </row>
    <row r="69" spans="1:19">
      <c r="A69" s="265"/>
      <c r="E69" s="352"/>
      <c r="F69" s="352"/>
      <c r="G69" s="352"/>
      <c r="H69" s="352"/>
      <c r="I69" s="352"/>
      <c r="J69" s="352"/>
      <c r="K69" s="352"/>
      <c r="L69" s="352">
        <f>L68-K67</f>
        <v>0</v>
      </c>
      <c r="M69" s="352"/>
    </row>
    <row r="70" spans="1:19">
      <c r="A70" s="265"/>
      <c r="E70" s="352"/>
      <c r="F70" s="352"/>
      <c r="G70" s="352"/>
      <c r="H70" s="360" t="s">
        <v>3221</v>
      </c>
      <c r="I70" s="352"/>
      <c r="J70" s="352"/>
      <c r="K70" s="352"/>
      <c r="L70" s="352"/>
      <c r="M70" s="352"/>
    </row>
    <row r="71" spans="1:19">
      <c r="A71" s="265"/>
      <c r="E71" s="352"/>
      <c r="F71" s="352"/>
      <c r="G71" s="352"/>
      <c r="H71" s="360" t="s">
        <v>3222</v>
      </c>
      <c r="I71" s="352"/>
      <c r="J71" s="352"/>
      <c r="K71" s="352"/>
      <c r="L71" s="352"/>
      <c r="M71" s="352"/>
    </row>
    <row r="72" spans="1:19" ht="157.5">
      <c r="A72" s="265"/>
      <c r="E72" s="352"/>
      <c r="F72" s="352"/>
      <c r="G72" s="352"/>
      <c r="H72" s="351" t="s">
        <v>2830</v>
      </c>
      <c r="I72" s="352"/>
      <c r="J72" s="352"/>
      <c r="K72" s="352"/>
      <c r="L72" s="352"/>
      <c r="M72" s="352"/>
    </row>
    <row r="73" spans="1:19">
      <c r="A73" s="265"/>
      <c r="E73" s="352"/>
      <c r="F73" s="352"/>
      <c r="G73" s="352"/>
      <c r="H73" s="352"/>
      <c r="I73" s="352"/>
      <c r="J73" s="352"/>
      <c r="K73" s="352"/>
      <c r="L73" s="352"/>
      <c r="M73" s="352"/>
    </row>
    <row r="74" spans="1:19" ht="31.5">
      <c r="A74" s="265"/>
      <c r="E74" s="352"/>
      <c r="F74" s="352">
        <v>90</v>
      </c>
      <c r="G74" s="352" t="s">
        <v>842</v>
      </c>
      <c r="H74" s="273" t="str">
        <f>H12</f>
        <v>1.5 sqmm copper PVC insulated unsheathed single core cable (P-79 it-2/b)</v>
      </c>
      <c r="I74" s="352">
        <f>I12</f>
        <v>16.55</v>
      </c>
      <c r="J74" s="352" t="s">
        <v>3363</v>
      </c>
      <c r="K74" s="352">
        <f t="shared" ref="K74:K86" si="2">F74*I74</f>
        <v>1489.5</v>
      </c>
      <c r="L74" s="352"/>
      <c r="M74" s="352"/>
    </row>
    <row r="75" spans="1:19" ht="31.5">
      <c r="A75" s="265"/>
      <c r="E75" s="352"/>
      <c r="F75" s="352">
        <v>45</v>
      </c>
      <c r="G75" s="352" t="s">
        <v>842</v>
      </c>
      <c r="H75" s="351" t="s">
        <v>3969</v>
      </c>
      <c r="I75" s="352">
        <f>I13</f>
        <v>20</v>
      </c>
      <c r="J75" s="352" t="s">
        <v>842</v>
      </c>
      <c r="K75" s="352">
        <f t="shared" si="2"/>
        <v>900</v>
      </c>
      <c r="L75" s="352"/>
      <c r="M75" s="352"/>
    </row>
    <row r="76" spans="1:19">
      <c r="A76" s="265"/>
      <c r="E76" s="352"/>
      <c r="F76" s="352">
        <v>20</v>
      </c>
      <c r="G76" s="352" t="s">
        <v>1419</v>
      </c>
      <c r="H76" s="352" t="s">
        <v>3968</v>
      </c>
      <c r="I76" s="352">
        <f>I14</f>
        <v>3.15</v>
      </c>
      <c r="J76" s="352" t="s">
        <v>1419</v>
      </c>
      <c r="K76" s="352">
        <f t="shared" si="2"/>
        <v>63</v>
      </c>
      <c r="L76" s="352"/>
      <c r="M76" s="352"/>
    </row>
    <row r="77" spans="1:19">
      <c r="A77" s="265"/>
      <c r="E77" s="352"/>
      <c r="F77" s="352">
        <v>10</v>
      </c>
      <c r="G77" s="352" t="s">
        <v>1419</v>
      </c>
      <c r="H77" s="352" t="s">
        <v>3976</v>
      </c>
      <c r="I77" s="352">
        <f>I15</f>
        <v>1.34</v>
      </c>
      <c r="J77" s="352" t="s">
        <v>1419</v>
      </c>
      <c r="K77" s="352">
        <f t="shared" si="2"/>
        <v>13.4</v>
      </c>
      <c r="L77" s="352"/>
      <c r="M77" s="352"/>
    </row>
    <row r="78" spans="1:19">
      <c r="A78" s="265"/>
      <c r="E78" s="352"/>
      <c r="F78" s="352">
        <v>10</v>
      </c>
      <c r="G78" s="352" t="s">
        <v>1419</v>
      </c>
      <c r="H78" s="352" t="str">
        <f>H21</f>
        <v>19 mm PVC junction box  ( p-129,6-b( 41.20/12=3.43)</v>
      </c>
      <c r="I78" s="352">
        <f>I21</f>
        <v>3.6</v>
      </c>
      <c r="J78" s="352" t="s">
        <v>1419</v>
      </c>
      <c r="K78" s="352">
        <f t="shared" si="2"/>
        <v>36</v>
      </c>
      <c r="L78" s="352"/>
      <c r="M78" s="352"/>
    </row>
    <row r="79" spans="1:19">
      <c r="A79" s="265"/>
      <c r="E79" s="352"/>
      <c r="F79" s="352">
        <v>10</v>
      </c>
      <c r="G79" s="352" t="s">
        <v>1419</v>
      </c>
      <c r="H79" s="352" t="str">
        <f>H20</f>
        <v>Ceiling rose p-116 it-27</v>
      </c>
      <c r="I79" s="352">
        <f>I20</f>
        <v>13.8</v>
      </c>
      <c r="J79" s="352" t="s">
        <v>1419</v>
      </c>
      <c r="K79" s="352">
        <f t="shared" si="2"/>
        <v>138</v>
      </c>
      <c r="L79" s="352"/>
      <c r="M79" s="352"/>
    </row>
    <row r="80" spans="1:19">
      <c r="A80" s="265"/>
      <c r="E80" s="352"/>
      <c r="F80" s="352">
        <v>10</v>
      </c>
      <c r="G80" s="352" t="s">
        <v>1419</v>
      </c>
      <c r="H80" s="352" t="str">
        <f>H19</f>
        <v>5 amps flush type switch p-118, Part-C,1 a ( 192.60/12=17.25)</v>
      </c>
      <c r="I80" s="352">
        <f>I19</f>
        <v>16.21</v>
      </c>
      <c r="J80" s="352" t="s">
        <v>1419</v>
      </c>
      <c r="K80" s="352">
        <f t="shared" si="2"/>
        <v>162.1</v>
      </c>
      <c r="L80" s="352"/>
      <c r="M80" s="352"/>
    </row>
    <row r="81" spans="1:13">
      <c r="A81" s="265"/>
      <c r="E81" s="352"/>
      <c r="F81" s="352">
        <v>10</v>
      </c>
      <c r="G81" s="352" t="s">
        <v>1419</v>
      </c>
      <c r="H81" s="360" t="s">
        <v>3936</v>
      </c>
      <c r="I81" s="371">
        <v>85</v>
      </c>
      <c r="J81" s="352" t="s">
        <v>1419</v>
      </c>
      <c r="K81" s="352">
        <f t="shared" si="2"/>
        <v>850</v>
      </c>
      <c r="L81" s="352"/>
      <c r="M81" s="352"/>
    </row>
    <row r="82" spans="1:13">
      <c r="A82" s="265"/>
      <c r="E82" s="352"/>
      <c r="F82" s="352">
        <v>0.6</v>
      </c>
      <c r="G82" s="352" t="s">
        <v>2322</v>
      </c>
      <c r="H82" s="352" t="s">
        <v>2683</v>
      </c>
      <c r="I82" s="352">
        <f>I18</f>
        <v>661</v>
      </c>
      <c r="J82" s="352" t="s">
        <v>2322</v>
      </c>
      <c r="K82" s="352">
        <f t="shared" si="2"/>
        <v>396.6</v>
      </c>
      <c r="L82" s="352"/>
      <c r="M82" s="352"/>
    </row>
    <row r="83" spans="1:13">
      <c r="A83" s="265"/>
      <c r="E83" s="352"/>
      <c r="F83" s="352">
        <v>1</v>
      </c>
      <c r="G83" s="352" t="s">
        <v>1419</v>
      </c>
      <c r="H83" s="360" t="s">
        <v>3940</v>
      </c>
      <c r="I83" s="421">
        <f>I23</f>
        <v>58</v>
      </c>
      <c r="J83" s="352" t="s">
        <v>1419</v>
      </c>
      <c r="K83" s="352">
        <f t="shared" si="2"/>
        <v>58</v>
      </c>
      <c r="L83" s="352"/>
      <c r="M83" s="352"/>
    </row>
    <row r="84" spans="1:13">
      <c r="A84" s="265"/>
      <c r="E84" s="352"/>
      <c r="F84" s="355">
        <v>1.4999999999999999E-2</v>
      </c>
      <c r="G84" s="352" t="s">
        <v>2322</v>
      </c>
      <c r="H84" s="352" t="s">
        <v>3970</v>
      </c>
      <c r="I84" s="352">
        <f>I82</f>
        <v>661</v>
      </c>
      <c r="J84" s="352" t="s">
        <v>2322</v>
      </c>
      <c r="K84" s="352">
        <f t="shared" si="2"/>
        <v>9.92</v>
      </c>
      <c r="L84" s="352"/>
      <c r="M84" s="352"/>
    </row>
    <row r="85" spans="1:13">
      <c r="A85" s="265"/>
      <c r="E85" s="352"/>
      <c r="F85" s="352">
        <v>1.25</v>
      </c>
      <c r="G85" s="352" t="s">
        <v>2680</v>
      </c>
      <c r="H85" s="352" t="s">
        <v>395</v>
      </c>
      <c r="I85" s="352">
        <f>I22</f>
        <v>302</v>
      </c>
      <c r="J85" s="352" t="s">
        <v>2680</v>
      </c>
      <c r="K85" s="352">
        <f t="shared" si="2"/>
        <v>377.5</v>
      </c>
      <c r="L85" s="352"/>
      <c r="M85" s="352"/>
    </row>
    <row r="86" spans="1:13" ht="31.5">
      <c r="A86" s="265"/>
      <c r="E86" s="352"/>
      <c r="F86" s="352">
        <v>45</v>
      </c>
      <c r="G86" s="352" t="s">
        <v>842</v>
      </c>
      <c r="H86" s="458" t="s">
        <v>3975</v>
      </c>
      <c r="I86" s="352">
        <f>I12</f>
        <v>16.55</v>
      </c>
      <c r="J86" s="352" t="s">
        <v>3363</v>
      </c>
      <c r="K86" s="352">
        <f t="shared" si="2"/>
        <v>744.75</v>
      </c>
      <c r="L86" s="352"/>
      <c r="M86" s="352"/>
    </row>
    <row r="87" spans="1:13">
      <c r="A87" s="265"/>
      <c r="E87" s="352"/>
      <c r="F87" s="352" t="s">
        <v>669</v>
      </c>
      <c r="G87" s="352"/>
      <c r="H87" s="352" t="s">
        <v>931</v>
      </c>
      <c r="I87" s="352"/>
      <c r="J87" s="352"/>
      <c r="K87" s="352">
        <f>K42</f>
        <v>11454</v>
      </c>
      <c r="L87" s="352"/>
      <c r="M87" s="352"/>
    </row>
    <row r="88" spans="1:13">
      <c r="A88" s="265"/>
      <c r="E88" s="352"/>
      <c r="F88" s="352" t="s">
        <v>669</v>
      </c>
      <c r="G88" s="352"/>
      <c r="H88" s="352" t="s">
        <v>2310</v>
      </c>
      <c r="I88" s="352"/>
      <c r="J88" s="352"/>
      <c r="K88" s="352">
        <v>27.25</v>
      </c>
      <c r="L88" s="352"/>
      <c r="M88" s="352"/>
    </row>
    <row r="89" spans="1:13">
      <c r="A89" s="265"/>
      <c r="E89" s="352"/>
      <c r="F89" s="352"/>
      <c r="G89" s="352"/>
      <c r="H89" s="357" t="s">
        <v>2472</v>
      </c>
      <c r="I89" s="352"/>
      <c r="J89" s="352"/>
      <c r="K89" s="358">
        <f>SUM(K74:K88)</f>
        <v>16720.02</v>
      </c>
      <c r="L89" s="352"/>
      <c r="M89" s="352"/>
    </row>
    <row r="90" spans="1:13">
      <c r="A90" s="265"/>
      <c r="E90" s="352"/>
      <c r="F90" s="352"/>
      <c r="G90" s="352"/>
      <c r="H90" s="359" t="s">
        <v>3220</v>
      </c>
      <c r="I90" s="352"/>
      <c r="J90" s="352"/>
      <c r="K90" s="360">
        <f>K89/10</f>
        <v>1672</v>
      </c>
      <c r="L90" s="352">
        <f>1394*10</f>
        <v>13940</v>
      </c>
      <c r="M90" s="352"/>
    </row>
    <row r="91" spans="1:13">
      <c r="A91" s="265"/>
      <c r="E91" s="352"/>
      <c r="F91" s="352"/>
      <c r="G91" s="352"/>
      <c r="H91" s="360" t="s">
        <v>3531</v>
      </c>
      <c r="I91" s="352"/>
      <c r="J91" s="352"/>
      <c r="K91" s="360"/>
      <c r="L91" s="352"/>
      <c r="M91" s="352"/>
    </row>
    <row r="92" spans="1:13">
      <c r="A92" s="265"/>
      <c r="E92" s="352"/>
      <c r="F92" s="352"/>
      <c r="G92" s="352"/>
      <c r="H92" s="365" t="s">
        <v>2881</v>
      </c>
      <c r="I92" s="352">
        <f>90</f>
        <v>90</v>
      </c>
      <c r="J92" s="352"/>
      <c r="K92" s="360"/>
      <c r="L92" s="352"/>
      <c r="M92" s="352"/>
    </row>
    <row r="93" spans="1:13">
      <c r="A93" s="265"/>
      <c r="E93" s="352"/>
      <c r="F93" s="352"/>
      <c r="G93" s="352"/>
      <c r="H93" s="365" t="s">
        <v>2882</v>
      </c>
      <c r="I93" s="366">
        <v>8.2500000000000004E-2</v>
      </c>
      <c r="J93" s="352"/>
      <c r="K93" s="360"/>
      <c r="L93" s="352"/>
      <c r="M93" s="352"/>
    </row>
    <row r="94" spans="1:13" ht="18">
      <c r="A94" s="265"/>
      <c r="E94" s="352"/>
      <c r="F94" s="352"/>
      <c r="G94" s="352"/>
      <c r="H94" s="365" t="s">
        <v>2894</v>
      </c>
      <c r="I94" s="355">
        <v>0.13500000000000001</v>
      </c>
      <c r="J94" s="352"/>
      <c r="K94" s="360">
        <f>I92*I94/I93</f>
        <v>147.27000000000001</v>
      </c>
      <c r="L94" s="352"/>
      <c r="M94" s="352"/>
    </row>
    <row r="95" spans="1:13">
      <c r="A95" s="265"/>
      <c r="E95" s="352"/>
      <c r="F95" s="352"/>
      <c r="G95" s="352"/>
      <c r="H95" s="359"/>
      <c r="I95" s="352"/>
      <c r="J95" s="352"/>
      <c r="K95" s="360"/>
      <c r="L95" s="352">
        <f>L90-K89</f>
        <v>-2780.02</v>
      </c>
      <c r="M95" s="352"/>
    </row>
    <row r="96" spans="1:13" ht="6" customHeight="1">
      <c r="A96" s="265"/>
      <c r="E96" s="352"/>
      <c r="F96" s="352"/>
      <c r="G96" s="352"/>
      <c r="H96" s="352"/>
      <c r="I96" s="352"/>
      <c r="J96" s="352"/>
      <c r="K96" s="352"/>
      <c r="L96" s="352"/>
      <c r="M96" s="352"/>
    </row>
    <row r="97" spans="1:13" ht="24.75" customHeight="1">
      <c r="A97" s="265"/>
      <c r="E97" s="352"/>
      <c r="F97" s="352"/>
      <c r="G97" s="352"/>
      <c r="H97" s="360" t="s">
        <v>2883</v>
      </c>
      <c r="I97" s="352"/>
      <c r="J97" s="352"/>
      <c r="K97" s="352"/>
      <c r="L97" s="352"/>
      <c r="M97" s="352"/>
    </row>
    <row r="98" spans="1:13" ht="29.25" customHeight="1">
      <c r="A98" s="265"/>
      <c r="E98" s="352"/>
      <c r="F98" s="352"/>
      <c r="G98" s="352"/>
      <c r="H98" s="360" t="s">
        <v>2884</v>
      </c>
      <c r="I98" s="352"/>
      <c r="J98" s="352"/>
      <c r="K98" s="352"/>
      <c r="L98" s="352"/>
      <c r="M98" s="352"/>
    </row>
    <row r="99" spans="1:13" ht="177.75" customHeight="1">
      <c r="A99" s="265"/>
      <c r="E99" s="352"/>
      <c r="F99" s="352"/>
      <c r="G99" s="352"/>
      <c r="H99" s="351" t="s">
        <v>2489</v>
      </c>
      <c r="I99" s="352"/>
      <c r="J99" s="352"/>
      <c r="K99" s="352"/>
      <c r="L99" s="352"/>
      <c r="M99" s="352"/>
    </row>
    <row r="100" spans="1:13" ht="31.5">
      <c r="A100" s="265"/>
      <c r="E100" s="352"/>
      <c r="F100" s="352">
        <v>90</v>
      </c>
      <c r="G100" s="352" t="s">
        <v>842</v>
      </c>
      <c r="H100" s="458" t="s">
        <v>3974</v>
      </c>
      <c r="I100" s="352">
        <f>I12</f>
        <v>16.55</v>
      </c>
      <c r="J100" s="352" t="s">
        <v>2587</v>
      </c>
      <c r="K100" s="352">
        <f t="shared" ref="K100:K110" si="3">F100*I100</f>
        <v>1489.5</v>
      </c>
      <c r="L100" s="352"/>
      <c r="M100" s="352"/>
    </row>
    <row r="101" spans="1:13" ht="31.5">
      <c r="A101" s="265"/>
      <c r="E101" s="352"/>
      <c r="F101" s="352">
        <v>30</v>
      </c>
      <c r="G101" s="352" t="s">
        <v>842</v>
      </c>
      <c r="H101" s="351" t="s">
        <v>3969</v>
      </c>
      <c r="I101" s="352">
        <f>I75</f>
        <v>20</v>
      </c>
      <c r="J101" s="352" t="s">
        <v>842</v>
      </c>
      <c r="K101" s="352">
        <f t="shared" si="3"/>
        <v>600</v>
      </c>
      <c r="L101" s="352"/>
      <c r="M101" s="352"/>
    </row>
    <row r="102" spans="1:13">
      <c r="A102" s="265"/>
      <c r="E102" s="352"/>
      <c r="F102" s="352">
        <v>10</v>
      </c>
      <c r="G102" s="352" t="s">
        <v>1419</v>
      </c>
      <c r="H102" s="352" t="s">
        <v>3968</v>
      </c>
      <c r="I102" s="352">
        <f>I76</f>
        <v>3.15</v>
      </c>
      <c r="J102" s="352" t="s">
        <v>1419</v>
      </c>
      <c r="K102" s="352">
        <f t="shared" si="3"/>
        <v>31.5</v>
      </c>
      <c r="L102" s="352"/>
      <c r="M102" s="352"/>
    </row>
    <row r="103" spans="1:13">
      <c r="A103" s="265"/>
      <c r="E103" s="352"/>
      <c r="F103" s="352">
        <v>5</v>
      </c>
      <c r="G103" s="352" t="s">
        <v>1419</v>
      </c>
      <c r="H103" s="352" t="s">
        <v>3976</v>
      </c>
      <c r="I103" s="352">
        <f>I77</f>
        <v>1.34</v>
      </c>
      <c r="J103" s="352" t="s">
        <v>1419</v>
      </c>
      <c r="K103" s="352">
        <f t="shared" si="3"/>
        <v>6.7</v>
      </c>
      <c r="L103" s="352"/>
      <c r="M103" s="352"/>
    </row>
    <row r="104" spans="1:13">
      <c r="A104" s="265"/>
      <c r="E104" s="352"/>
      <c r="F104" s="352">
        <v>10</v>
      </c>
      <c r="G104" s="352" t="s">
        <v>1419</v>
      </c>
      <c r="H104" s="352" t="s">
        <v>3977</v>
      </c>
      <c r="I104" s="421">
        <f>ROUND(241.3/12,2)</f>
        <v>20.11</v>
      </c>
      <c r="J104" s="352" t="s">
        <v>1419</v>
      </c>
      <c r="K104" s="352">
        <f t="shared" si="3"/>
        <v>201.1</v>
      </c>
      <c r="L104" s="352"/>
      <c r="M104" s="352">
        <f>253/12</f>
        <v>21.08</v>
      </c>
    </row>
    <row r="105" spans="1:13">
      <c r="A105" s="265"/>
      <c r="E105" s="352"/>
      <c r="F105" s="352">
        <v>5</v>
      </c>
      <c r="G105" s="352" t="s">
        <v>1419</v>
      </c>
      <c r="H105" s="352" t="str">
        <f>H79</f>
        <v>Ceiling rose p-116 it-27</v>
      </c>
      <c r="I105" s="352">
        <f>I79</f>
        <v>13.8</v>
      </c>
      <c r="J105" s="352" t="s">
        <v>1419</v>
      </c>
      <c r="K105" s="352">
        <f t="shared" si="3"/>
        <v>69</v>
      </c>
      <c r="L105" s="352"/>
      <c r="M105" s="352"/>
    </row>
    <row r="106" spans="1:13">
      <c r="A106" s="265"/>
      <c r="E106" s="352"/>
      <c r="F106" s="352">
        <v>5</v>
      </c>
      <c r="G106" s="352" t="s">
        <v>1419</v>
      </c>
      <c r="H106" s="352" t="str">
        <f>H78</f>
        <v>19 mm PVC junction box  ( p-129,6-b( 41.20/12=3.43)</v>
      </c>
      <c r="I106" s="352">
        <f>I78</f>
        <v>3.6</v>
      </c>
      <c r="J106" s="352" t="s">
        <v>1419</v>
      </c>
      <c r="K106" s="352">
        <f t="shared" si="3"/>
        <v>18</v>
      </c>
      <c r="L106" s="352"/>
      <c r="M106" s="352"/>
    </row>
    <row r="107" spans="1:13">
      <c r="A107" s="265"/>
      <c r="E107" s="352"/>
      <c r="F107" s="352">
        <v>6</v>
      </c>
      <c r="G107" s="352" t="s">
        <v>1419</v>
      </c>
      <c r="H107" s="360" t="s">
        <v>3940</v>
      </c>
      <c r="I107" s="360">
        <f>I83</f>
        <v>58</v>
      </c>
      <c r="J107" s="352" t="s">
        <v>1419</v>
      </c>
      <c r="K107" s="352">
        <f t="shared" si="3"/>
        <v>348</v>
      </c>
      <c r="L107" s="352"/>
      <c r="M107" s="352"/>
    </row>
    <row r="108" spans="1:13">
      <c r="A108" s="265"/>
      <c r="E108" s="352"/>
      <c r="F108" s="352">
        <v>0.09</v>
      </c>
      <c r="G108" s="352" t="s">
        <v>2322</v>
      </c>
      <c r="H108" s="352" t="s">
        <v>3970</v>
      </c>
      <c r="I108" s="352">
        <f>I82</f>
        <v>661</v>
      </c>
      <c r="J108" s="352" t="s">
        <v>2322</v>
      </c>
      <c r="K108" s="352">
        <f t="shared" si="3"/>
        <v>59.49</v>
      </c>
      <c r="L108" s="352"/>
      <c r="M108" s="352"/>
    </row>
    <row r="109" spans="1:13">
      <c r="A109" s="265"/>
      <c r="E109" s="352"/>
      <c r="F109" s="352">
        <v>1.25</v>
      </c>
      <c r="G109" s="352" t="s">
        <v>2680</v>
      </c>
      <c r="H109" s="352" t="s">
        <v>395</v>
      </c>
      <c r="I109" s="352">
        <f>I85</f>
        <v>302</v>
      </c>
      <c r="J109" s="352" t="s">
        <v>2680</v>
      </c>
      <c r="K109" s="352">
        <f t="shared" si="3"/>
        <v>377.5</v>
      </c>
      <c r="L109" s="352"/>
      <c r="M109" s="352"/>
    </row>
    <row r="110" spans="1:13" ht="31.5">
      <c r="A110" s="265"/>
      <c r="E110" s="352"/>
      <c r="F110" s="352">
        <v>30</v>
      </c>
      <c r="G110" s="352" t="s">
        <v>842</v>
      </c>
      <c r="H110" s="458" t="s">
        <v>3975</v>
      </c>
      <c r="I110" s="352">
        <f>I100</f>
        <v>16.55</v>
      </c>
      <c r="J110" s="352" t="s">
        <v>3363</v>
      </c>
      <c r="K110" s="352">
        <f t="shared" si="3"/>
        <v>496.5</v>
      </c>
      <c r="L110" s="352"/>
      <c r="M110" s="352"/>
    </row>
    <row r="111" spans="1:13">
      <c r="A111" s="265"/>
      <c r="E111" s="352"/>
      <c r="F111" s="352"/>
      <c r="G111" s="352"/>
      <c r="H111" s="352" t="s">
        <v>931</v>
      </c>
      <c r="I111" s="352"/>
      <c r="J111" s="352"/>
      <c r="K111" s="352">
        <f>K42</f>
        <v>11454</v>
      </c>
      <c r="L111" s="352"/>
      <c r="M111" s="352"/>
    </row>
    <row r="112" spans="1:13">
      <c r="A112" s="265"/>
      <c r="E112" s="352"/>
      <c r="F112" s="352"/>
      <c r="G112" s="352"/>
      <c r="H112" s="352" t="s">
        <v>2310</v>
      </c>
      <c r="I112" s="352"/>
      <c r="J112" s="352"/>
      <c r="K112" s="361">
        <v>38.71</v>
      </c>
      <c r="L112" s="352"/>
      <c r="M112" s="352"/>
    </row>
    <row r="113" spans="1:14">
      <c r="A113" s="265"/>
      <c r="E113" s="352"/>
      <c r="F113" s="352"/>
      <c r="G113" s="352"/>
      <c r="H113" s="357" t="s">
        <v>2600</v>
      </c>
      <c r="I113" s="352"/>
      <c r="J113" s="352"/>
      <c r="K113" s="358">
        <f>SUM(K100:K112)</f>
        <v>15190</v>
      </c>
      <c r="L113" s="352"/>
      <c r="M113" s="352"/>
    </row>
    <row r="114" spans="1:14">
      <c r="A114" s="265"/>
      <c r="E114" s="352"/>
      <c r="F114" s="352"/>
      <c r="G114" s="352"/>
      <c r="H114" s="359" t="s">
        <v>3220</v>
      </c>
      <c r="I114" s="352"/>
      <c r="J114" s="352"/>
      <c r="K114" s="360">
        <f>K113/5</f>
        <v>3038</v>
      </c>
      <c r="L114" s="352">
        <f>3038*5</f>
        <v>15190</v>
      </c>
      <c r="M114" s="352"/>
    </row>
    <row r="115" spans="1:14">
      <c r="A115" s="265"/>
      <c r="E115" s="352"/>
      <c r="F115" s="352"/>
      <c r="G115" s="352"/>
      <c r="H115" s="352"/>
      <c r="I115" s="352"/>
      <c r="J115" s="352"/>
      <c r="K115" s="352"/>
      <c r="L115" s="352">
        <f>L114-K113</f>
        <v>0</v>
      </c>
      <c r="M115" s="352"/>
    </row>
    <row r="116" spans="1:14">
      <c r="A116" s="265"/>
      <c r="E116" s="352"/>
      <c r="F116" s="352"/>
      <c r="G116" s="352"/>
      <c r="H116" s="360" t="s">
        <v>2601</v>
      </c>
      <c r="I116" s="352"/>
      <c r="J116" s="352"/>
      <c r="K116" s="352"/>
      <c r="L116" s="352"/>
      <c r="M116" s="352"/>
    </row>
    <row r="117" spans="1:14">
      <c r="A117" s="265"/>
      <c r="E117" s="352"/>
      <c r="F117" s="352"/>
      <c r="G117" s="352"/>
      <c r="H117" s="360" t="s">
        <v>2602</v>
      </c>
      <c r="I117" s="352"/>
      <c r="J117" s="352"/>
      <c r="K117" s="352"/>
      <c r="L117" s="352"/>
      <c r="M117" s="352"/>
    </row>
    <row r="118" spans="1:14" ht="6.75" customHeight="1">
      <c r="A118" s="265"/>
      <c r="E118" s="352"/>
      <c r="F118" s="352"/>
      <c r="G118" s="352"/>
      <c r="H118" s="352"/>
      <c r="I118" s="352"/>
      <c r="J118" s="352"/>
      <c r="K118" s="352"/>
      <c r="L118" s="352"/>
      <c r="M118" s="352"/>
    </row>
    <row r="119" spans="1:14" ht="147.75" customHeight="1">
      <c r="A119" s="265"/>
      <c r="E119" s="352"/>
      <c r="F119" s="352"/>
      <c r="G119" s="352"/>
      <c r="H119" s="351" t="s">
        <v>2770</v>
      </c>
      <c r="I119" s="352"/>
      <c r="J119" s="352"/>
      <c r="K119" s="352"/>
      <c r="L119" s="352"/>
      <c r="M119" s="352"/>
    </row>
    <row r="120" spans="1:14" ht="31.5">
      <c r="A120" s="265"/>
      <c r="E120" s="352"/>
      <c r="F120" s="352">
        <v>90</v>
      </c>
      <c r="G120" s="352" t="s">
        <v>842</v>
      </c>
      <c r="H120" s="273" t="s">
        <v>2586</v>
      </c>
      <c r="I120" s="352">
        <f>I100</f>
        <v>16.55</v>
      </c>
      <c r="J120" s="352" t="s">
        <v>3363</v>
      </c>
      <c r="K120" s="352">
        <f t="shared" ref="K120:K130" si="4">F120*I120</f>
        <v>1489.5</v>
      </c>
      <c r="L120" s="352"/>
      <c r="M120" s="352"/>
    </row>
    <row r="121" spans="1:14" ht="31.5">
      <c r="E121" s="352"/>
      <c r="F121" s="352">
        <v>45</v>
      </c>
      <c r="G121" s="352" t="s">
        <v>842</v>
      </c>
      <c r="H121" s="351" t="s">
        <v>2403</v>
      </c>
      <c r="I121" s="352">
        <f>I101</f>
        <v>20</v>
      </c>
      <c r="J121" s="352" t="s">
        <v>842</v>
      </c>
      <c r="K121" s="352">
        <f t="shared" si="4"/>
        <v>900</v>
      </c>
      <c r="L121" s="352"/>
      <c r="M121" s="352"/>
    </row>
    <row r="122" spans="1:14" ht="20.100000000000001" customHeight="1">
      <c r="E122" s="352"/>
      <c r="F122" s="352">
        <v>20</v>
      </c>
      <c r="G122" s="352" t="s">
        <v>1419</v>
      </c>
      <c r="H122" s="352" t="s">
        <v>2405</v>
      </c>
      <c r="I122" s="352">
        <f>I102</f>
        <v>3.15</v>
      </c>
      <c r="J122" s="352" t="s">
        <v>3451</v>
      </c>
      <c r="K122" s="352">
        <f t="shared" si="4"/>
        <v>63</v>
      </c>
      <c r="L122" s="352"/>
      <c r="M122" s="352"/>
    </row>
    <row r="123" spans="1:14" ht="20.100000000000001" customHeight="1">
      <c r="E123" s="352"/>
      <c r="F123" s="352">
        <v>10</v>
      </c>
      <c r="G123" s="352" t="s">
        <v>1419</v>
      </c>
      <c r="H123" s="352" t="s">
        <v>3448</v>
      </c>
      <c r="I123" s="352">
        <f>I103</f>
        <v>1.34</v>
      </c>
      <c r="J123" s="352" t="s">
        <v>3451</v>
      </c>
      <c r="K123" s="352">
        <f t="shared" si="4"/>
        <v>13.4</v>
      </c>
      <c r="L123" s="352"/>
      <c r="M123" s="352"/>
    </row>
    <row r="124" spans="1:14" ht="20.100000000000001" customHeight="1">
      <c r="E124" s="352"/>
      <c r="F124" s="352">
        <v>1</v>
      </c>
      <c r="G124" s="352" t="s">
        <v>1419</v>
      </c>
      <c r="H124" s="360" t="s">
        <v>3940</v>
      </c>
      <c r="I124" s="360">
        <f>I107</f>
        <v>58</v>
      </c>
      <c r="J124" s="352" t="s">
        <v>1419</v>
      </c>
      <c r="K124" s="352">
        <f t="shared" si="4"/>
        <v>58</v>
      </c>
      <c r="L124" s="352"/>
      <c r="M124" s="352"/>
    </row>
    <row r="125" spans="1:14" ht="20.100000000000001" customHeight="1">
      <c r="E125" s="352"/>
      <c r="F125" s="355">
        <v>1.4999999999999999E-2</v>
      </c>
      <c r="G125" s="352" t="s">
        <v>2322</v>
      </c>
      <c r="H125" s="352" t="s">
        <v>2599</v>
      </c>
      <c r="I125" s="352">
        <f>I18</f>
        <v>661</v>
      </c>
      <c r="J125" s="352" t="s">
        <v>2322</v>
      </c>
      <c r="K125" s="352">
        <f t="shared" si="4"/>
        <v>9.92</v>
      </c>
      <c r="L125" s="352"/>
      <c r="M125" s="352"/>
    </row>
    <row r="126" spans="1:14" ht="31.5" customHeight="1">
      <c r="E126" s="352"/>
      <c r="F126" s="352">
        <v>15</v>
      </c>
      <c r="G126" s="352" t="s">
        <v>1419</v>
      </c>
      <c r="H126" s="351" t="s">
        <v>5909</v>
      </c>
      <c r="I126" s="421">
        <f>40.31</f>
        <v>40.31</v>
      </c>
      <c r="J126" s="352" t="s">
        <v>1419</v>
      </c>
      <c r="K126" s="352">
        <f t="shared" si="4"/>
        <v>604.65</v>
      </c>
      <c r="L126" s="463">
        <f>185+230</f>
        <v>415</v>
      </c>
      <c r="M126" s="352">
        <f>L126/12</f>
        <v>34.58</v>
      </c>
      <c r="N126" s="180">
        <f>M126/12</f>
        <v>2.88</v>
      </c>
    </row>
    <row r="127" spans="1:14" ht="20.100000000000001" customHeight="1">
      <c r="E127" s="352"/>
      <c r="F127" s="352">
        <v>15</v>
      </c>
      <c r="G127" s="352" t="s">
        <v>1419</v>
      </c>
      <c r="H127" s="360" t="s">
        <v>3940</v>
      </c>
      <c r="I127" s="352">
        <f>I124</f>
        <v>58</v>
      </c>
      <c r="J127" s="352" t="s">
        <v>1419</v>
      </c>
      <c r="K127" s="352">
        <f t="shared" si="4"/>
        <v>870</v>
      </c>
      <c r="L127" s="352"/>
      <c r="M127" s="352"/>
    </row>
    <row r="128" spans="1:14" ht="20.100000000000001" customHeight="1">
      <c r="E128" s="352"/>
      <c r="F128" s="355">
        <v>0.22500000000000001</v>
      </c>
      <c r="G128" s="352" t="s">
        <v>2322</v>
      </c>
      <c r="H128" s="352" t="s">
        <v>3970</v>
      </c>
      <c r="I128" s="352">
        <f>I125</f>
        <v>661</v>
      </c>
      <c r="J128" s="352" t="s">
        <v>2772</v>
      </c>
      <c r="K128" s="352">
        <f t="shared" si="4"/>
        <v>148.72999999999999</v>
      </c>
      <c r="L128" s="352"/>
      <c r="M128" s="352"/>
    </row>
    <row r="129" spans="5:13" ht="20.100000000000001" customHeight="1">
      <c r="E129" s="352"/>
      <c r="F129" s="352">
        <v>1.25</v>
      </c>
      <c r="G129" s="352" t="s">
        <v>2680</v>
      </c>
      <c r="H129" s="352" t="s">
        <v>395</v>
      </c>
      <c r="I129" s="352">
        <f>I109</f>
        <v>302</v>
      </c>
      <c r="J129" s="352" t="s">
        <v>2680</v>
      </c>
      <c r="K129" s="352">
        <f t="shared" si="4"/>
        <v>377.5</v>
      </c>
      <c r="L129" s="352"/>
      <c r="M129" s="352"/>
    </row>
    <row r="130" spans="5:13" ht="31.5">
      <c r="E130" s="352"/>
      <c r="F130" s="352">
        <v>45</v>
      </c>
      <c r="G130" s="352" t="s">
        <v>2322</v>
      </c>
      <c r="H130" s="458" t="s">
        <v>3975</v>
      </c>
      <c r="I130" s="352">
        <f>I120</f>
        <v>16.55</v>
      </c>
      <c r="J130" s="352" t="s">
        <v>3363</v>
      </c>
      <c r="K130" s="352">
        <f t="shared" si="4"/>
        <v>744.75</v>
      </c>
      <c r="L130" s="352"/>
      <c r="M130" s="352"/>
    </row>
    <row r="131" spans="5:13" ht="15.75" customHeight="1">
      <c r="E131" s="352"/>
      <c r="F131" s="352"/>
      <c r="G131" s="352"/>
      <c r="H131" s="352" t="s">
        <v>931</v>
      </c>
      <c r="I131" s="352"/>
      <c r="J131" s="352"/>
      <c r="K131" s="352">
        <f>K87</f>
        <v>11454</v>
      </c>
      <c r="L131" s="352"/>
      <c r="M131" s="352"/>
    </row>
    <row r="132" spans="5:13" ht="17.25" customHeight="1">
      <c r="E132" s="352"/>
      <c r="F132" s="352"/>
      <c r="G132" s="352"/>
      <c r="H132" s="352" t="s">
        <v>2310</v>
      </c>
      <c r="I132" s="352"/>
      <c r="J132" s="352"/>
      <c r="K132" s="352">
        <v>66.5</v>
      </c>
      <c r="L132" s="352"/>
      <c r="M132" s="352"/>
    </row>
    <row r="133" spans="5:13">
      <c r="E133" s="352"/>
      <c r="F133" s="352"/>
      <c r="G133" s="352"/>
      <c r="H133" s="357" t="s">
        <v>2773</v>
      </c>
      <c r="I133" s="352"/>
      <c r="J133" s="352"/>
      <c r="K133" s="358">
        <f>SUM(K120:K132)</f>
        <v>16799.95</v>
      </c>
      <c r="L133" s="352"/>
      <c r="M133" s="352"/>
    </row>
    <row r="134" spans="5:13">
      <c r="E134" s="352"/>
      <c r="F134" s="352"/>
      <c r="G134" s="352"/>
      <c r="H134" s="359" t="s">
        <v>3220</v>
      </c>
      <c r="I134" s="352"/>
      <c r="J134" s="352"/>
      <c r="K134" s="360">
        <f>K133/15</f>
        <v>1120</v>
      </c>
      <c r="L134" s="352">
        <f>938*15</f>
        <v>14070</v>
      </c>
      <c r="M134" s="352"/>
    </row>
    <row r="135" spans="5:13" ht="16.5" customHeight="1">
      <c r="E135" s="352"/>
      <c r="F135" s="352"/>
      <c r="G135" s="352"/>
      <c r="H135" s="352"/>
      <c r="I135" s="352"/>
      <c r="J135" s="352"/>
      <c r="K135" s="352"/>
      <c r="L135" s="352">
        <f>L134-K133</f>
        <v>-2729.95</v>
      </c>
      <c r="M135" s="352"/>
    </row>
    <row r="136" spans="5:13">
      <c r="E136" s="352"/>
      <c r="F136" s="352"/>
      <c r="G136" s="352"/>
      <c r="H136" s="360" t="s">
        <v>2774</v>
      </c>
      <c r="I136" s="352"/>
      <c r="J136" s="352"/>
      <c r="K136" s="352"/>
      <c r="L136" s="352"/>
      <c r="M136" s="352"/>
    </row>
    <row r="137" spans="5:13">
      <c r="E137" s="352"/>
      <c r="F137" s="352"/>
      <c r="G137" s="352"/>
      <c r="H137" s="360" t="s">
        <v>2775</v>
      </c>
      <c r="I137" s="352"/>
      <c r="J137" s="352"/>
      <c r="K137" s="352"/>
      <c r="L137" s="352"/>
      <c r="M137" s="352"/>
    </row>
    <row r="138" spans="5:13" ht="3.75" customHeight="1">
      <c r="E138" s="352"/>
      <c r="F138" s="352"/>
      <c r="G138" s="352"/>
      <c r="H138" s="352"/>
      <c r="I138" s="352"/>
      <c r="J138" s="352"/>
      <c r="K138" s="352"/>
      <c r="L138" s="352"/>
      <c r="M138" s="352"/>
    </row>
    <row r="139" spans="5:13" ht="147.75" customHeight="1">
      <c r="E139" s="352"/>
      <c r="F139" s="352"/>
      <c r="G139" s="352"/>
      <c r="H139" s="351" t="s">
        <v>2577</v>
      </c>
      <c r="I139" s="352"/>
      <c r="J139" s="352"/>
      <c r="K139" s="352"/>
      <c r="L139" s="352"/>
      <c r="M139" s="352"/>
    </row>
    <row r="140" spans="5:13" ht="2.25" customHeight="1">
      <c r="E140" s="352"/>
      <c r="F140" s="352"/>
      <c r="G140" s="352"/>
      <c r="H140" s="352"/>
      <c r="I140" s="352"/>
      <c r="J140" s="352"/>
      <c r="K140" s="352"/>
      <c r="L140" s="352"/>
      <c r="M140" s="352"/>
    </row>
    <row r="141" spans="5:13" ht="31.5">
      <c r="E141" s="352"/>
      <c r="F141" s="352">
        <v>5</v>
      </c>
      <c r="G141" s="352" t="s">
        <v>842</v>
      </c>
      <c r="H141" s="273" t="s">
        <v>2586</v>
      </c>
      <c r="I141" s="352">
        <f>I120</f>
        <v>16.55</v>
      </c>
      <c r="J141" s="352" t="s">
        <v>2404</v>
      </c>
      <c r="K141" s="352">
        <f>F141*I141</f>
        <v>82.75</v>
      </c>
      <c r="L141" s="352"/>
      <c r="M141" s="352"/>
    </row>
    <row r="142" spans="5:13" ht="24.75" customHeight="1">
      <c r="E142" s="352"/>
      <c r="F142" s="352">
        <v>2.5</v>
      </c>
      <c r="G142" s="352" t="s">
        <v>842</v>
      </c>
      <c r="H142" s="351" t="s">
        <v>2403</v>
      </c>
      <c r="I142" s="352">
        <f>I121</f>
        <v>20</v>
      </c>
      <c r="J142" s="352" t="s">
        <v>842</v>
      </c>
      <c r="K142" s="352">
        <f>F142*I142</f>
        <v>50</v>
      </c>
      <c r="L142" s="352"/>
      <c r="M142" s="352"/>
    </row>
    <row r="143" spans="5:13" ht="39.75" customHeight="1">
      <c r="E143" s="352"/>
      <c r="F143" s="352">
        <v>1</v>
      </c>
      <c r="G143" s="352" t="s">
        <v>1419</v>
      </c>
      <c r="H143" s="351" t="s">
        <v>3978</v>
      </c>
      <c r="I143" s="353">
        <f>I126</f>
        <v>40.31</v>
      </c>
      <c r="J143" s="352" t="s">
        <v>1419</v>
      </c>
      <c r="K143" s="352">
        <f>F143*I143</f>
        <v>40.31</v>
      </c>
      <c r="L143" s="352"/>
      <c r="M143" s="352"/>
    </row>
    <row r="144" spans="5:13">
      <c r="E144" s="352"/>
      <c r="F144" s="352"/>
      <c r="G144" s="352"/>
      <c r="H144" s="352" t="s">
        <v>931</v>
      </c>
      <c r="I144" s="352"/>
      <c r="J144" s="352"/>
      <c r="K144" s="352">
        <f>ROUND(K42*5/90,2)</f>
        <v>636.33000000000004</v>
      </c>
      <c r="L144" s="352"/>
      <c r="M144" s="352"/>
    </row>
    <row r="145" spans="5:13">
      <c r="E145" s="352"/>
      <c r="F145" s="352"/>
      <c r="G145" s="352"/>
      <c r="H145" s="352" t="s">
        <v>2310</v>
      </c>
      <c r="I145" s="352"/>
      <c r="J145" s="352"/>
      <c r="K145" s="352">
        <v>20.61</v>
      </c>
      <c r="L145" s="352"/>
      <c r="M145" s="352"/>
    </row>
    <row r="146" spans="5:13" ht="16.5" customHeight="1">
      <c r="E146" s="352"/>
      <c r="F146" s="352"/>
      <c r="G146" s="352"/>
      <c r="H146" s="359" t="s">
        <v>3220</v>
      </c>
      <c r="I146" s="352"/>
      <c r="J146" s="352"/>
      <c r="K146" s="367">
        <f>SUM(K141:K145)</f>
        <v>830</v>
      </c>
      <c r="L146" s="352">
        <f>612-K146</f>
        <v>-218</v>
      </c>
      <c r="M146" s="352"/>
    </row>
    <row r="147" spans="5:13" ht="0.75" customHeight="1">
      <c r="E147" s="352"/>
      <c r="F147" s="352"/>
      <c r="G147" s="352"/>
      <c r="H147" s="352"/>
      <c r="I147" s="352"/>
      <c r="J147" s="352"/>
      <c r="K147" s="352"/>
      <c r="L147" s="352"/>
      <c r="M147" s="352"/>
    </row>
    <row r="148" spans="5:13">
      <c r="E148" s="352"/>
      <c r="F148" s="352"/>
      <c r="G148" s="352"/>
      <c r="H148" s="360" t="s">
        <v>2578</v>
      </c>
      <c r="I148" s="352"/>
      <c r="J148" s="352"/>
      <c r="K148" s="352"/>
      <c r="L148" s="352"/>
      <c r="M148" s="352"/>
    </row>
    <row r="149" spans="5:13" ht="14.25" customHeight="1">
      <c r="E149" s="352"/>
      <c r="F149" s="352"/>
      <c r="G149" s="352"/>
      <c r="H149" s="360" t="s">
        <v>2579</v>
      </c>
      <c r="I149" s="352"/>
      <c r="J149" s="352"/>
      <c r="K149" s="352"/>
      <c r="L149" s="352"/>
      <c r="M149" s="352"/>
    </row>
    <row r="150" spans="5:13" ht="1.5" customHeight="1">
      <c r="E150" s="352"/>
      <c r="F150" s="352"/>
      <c r="G150" s="352"/>
      <c r="H150" s="352"/>
      <c r="I150" s="352"/>
      <c r="J150" s="352"/>
      <c r="K150" s="352"/>
      <c r="L150" s="352"/>
      <c r="M150" s="352"/>
    </row>
    <row r="151" spans="5:13" ht="65.25" customHeight="1">
      <c r="E151" s="352"/>
      <c r="F151" s="352"/>
      <c r="G151" s="352"/>
      <c r="H151" s="351" t="s">
        <v>2895</v>
      </c>
      <c r="I151" s="352"/>
      <c r="J151" s="352"/>
      <c r="K151" s="352"/>
      <c r="L151" s="352"/>
      <c r="M151" s="352"/>
    </row>
    <row r="152" spans="5:13" ht="2.25" customHeight="1">
      <c r="E152" s="352"/>
      <c r="F152" s="352"/>
      <c r="G152" s="352"/>
      <c r="H152" s="352"/>
      <c r="I152" s="352"/>
      <c r="J152" s="352"/>
      <c r="K152" s="352"/>
      <c r="L152" s="352"/>
      <c r="M152" s="352"/>
    </row>
    <row r="153" spans="5:13" ht="17.25" customHeight="1">
      <c r="E153" s="352"/>
      <c r="F153" s="352">
        <v>1</v>
      </c>
      <c r="G153" s="352" t="s">
        <v>1419</v>
      </c>
      <c r="H153" s="352" t="s">
        <v>3201</v>
      </c>
      <c r="I153" s="421">
        <f>54.5</f>
        <v>54.5</v>
      </c>
      <c r="J153" s="352" t="s">
        <v>1419</v>
      </c>
      <c r="K153" s="352">
        <f>F153*I153</f>
        <v>54.5</v>
      </c>
      <c r="L153" s="352"/>
      <c r="M153" s="352"/>
    </row>
    <row r="154" spans="5:13" ht="14.25" customHeight="1">
      <c r="E154" s="352"/>
      <c r="F154" s="352">
        <v>1</v>
      </c>
      <c r="G154" s="352" t="s">
        <v>1419</v>
      </c>
      <c r="H154" s="360" t="s">
        <v>3940</v>
      </c>
      <c r="I154" s="352">
        <f>I124</f>
        <v>58</v>
      </c>
      <c r="J154" s="352" t="s">
        <v>1419</v>
      </c>
      <c r="K154" s="352">
        <f>F154*I154</f>
        <v>58</v>
      </c>
      <c r="L154" s="352"/>
      <c r="M154" s="352"/>
    </row>
    <row r="155" spans="5:13" ht="13.5" customHeight="1">
      <c r="E155" s="352"/>
      <c r="F155" s="355">
        <v>1.4999999999999999E-2</v>
      </c>
      <c r="G155" s="352" t="s">
        <v>2322</v>
      </c>
      <c r="H155" s="352" t="s">
        <v>3203</v>
      </c>
      <c r="I155" s="352">
        <f>I125</f>
        <v>661</v>
      </c>
      <c r="J155" s="352" t="s">
        <v>2322</v>
      </c>
      <c r="K155" s="352">
        <f>F155*I155</f>
        <v>9.92</v>
      </c>
      <c r="L155" s="352"/>
      <c r="M155" s="352"/>
    </row>
    <row r="156" spans="5:13" ht="17.25" customHeight="1">
      <c r="E156" s="352"/>
      <c r="F156" s="352" t="s">
        <v>669</v>
      </c>
      <c r="G156" s="352"/>
      <c r="H156" s="352" t="s">
        <v>3204</v>
      </c>
      <c r="I156" s="352"/>
      <c r="J156" s="352"/>
      <c r="K156" s="352">
        <v>12.58</v>
      </c>
      <c r="L156" s="352"/>
      <c r="M156" s="352"/>
    </row>
    <row r="157" spans="5:13" ht="20.25" customHeight="1">
      <c r="E157" s="352"/>
      <c r="F157" s="352"/>
      <c r="G157" s="352"/>
      <c r="H157" s="359" t="s">
        <v>1083</v>
      </c>
      <c r="I157" s="352"/>
      <c r="J157" s="352"/>
      <c r="K157" s="367">
        <f>SUM(K153:K156)</f>
        <v>135</v>
      </c>
      <c r="L157" s="352">
        <f>131-K157</f>
        <v>-4</v>
      </c>
      <c r="M157" s="352"/>
    </row>
    <row r="158" spans="5:13">
      <c r="E158" s="352"/>
      <c r="F158" s="352"/>
      <c r="G158" s="352"/>
      <c r="H158" s="352"/>
      <c r="I158" s="352"/>
      <c r="J158" s="352"/>
      <c r="K158" s="352"/>
      <c r="L158" s="352"/>
      <c r="M158" s="352"/>
    </row>
    <row r="159" spans="5:13">
      <c r="E159" s="352"/>
      <c r="F159" s="352"/>
      <c r="G159" s="352"/>
      <c r="H159" s="360" t="s">
        <v>3205</v>
      </c>
      <c r="I159" s="352"/>
      <c r="J159" s="352"/>
      <c r="K159" s="352"/>
      <c r="L159" s="352"/>
      <c r="M159" s="352"/>
    </row>
    <row r="160" spans="5:13" ht="47.25">
      <c r="E160" s="352"/>
      <c r="F160" s="352"/>
      <c r="G160" s="352"/>
      <c r="H160" s="350" t="s">
        <v>3206</v>
      </c>
      <c r="I160" s="352"/>
      <c r="J160" s="352"/>
      <c r="K160" s="352"/>
      <c r="L160" s="352"/>
      <c r="M160" s="352"/>
    </row>
    <row r="161" spans="5:13">
      <c r="E161" s="352"/>
      <c r="F161" s="352"/>
      <c r="G161" s="352"/>
      <c r="H161" s="350"/>
      <c r="I161" s="352"/>
      <c r="J161" s="352"/>
      <c r="K161" s="352"/>
      <c r="L161" s="352"/>
      <c r="M161" s="352"/>
    </row>
    <row r="162" spans="5:13" ht="210.75" customHeight="1">
      <c r="E162" s="352"/>
      <c r="F162" s="352"/>
      <c r="G162" s="352"/>
      <c r="H162" s="351" t="s">
        <v>2474</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842</v>
      </c>
      <c r="H164" s="273" t="s">
        <v>2586</v>
      </c>
      <c r="I164" s="352">
        <f>I12</f>
        <v>16.55</v>
      </c>
      <c r="J164" s="352" t="s">
        <v>842</v>
      </c>
      <c r="K164" s="352">
        <f t="shared" ref="K164:K176" si="5">F164*I164</f>
        <v>1489.5</v>
      </c>
      <c r="L164" s="352"/>
      <c r="M164" s="352"/>
    </row>
    <row r="165" spans="5:13" ht="31.5">
      <c r="E165" s="352"/>
      <c r="F165" s="352">
        <v>45</v>
      </c>
      <c r="G165" s="352" t="s">
        <v>842</v>
      </c>
      <c r="H165" s="351" t="s">
        <v>2403</v>
      </c>
      <c r="I165" s="352">
        <f>I13</f>
        <v>20</v>
      </c>
      <c r="J165" s="352" t="s">
        <v>2404</v>
      </c>
      <c r="K165" s="352">
        <f t="shared" si="5"/>
        <v>900</v>
      </c>
      <c r="L165" s="352"/>
      <c r="M165" s="352"/>
    </row>
    <row r="166" spans="5:13">
      <c r="E166" s="352"/>
      <c r="F166" s="352">
        <v>12</v>
      </c>
      <c r="G166" s="352" t="s">
        <v>1419</v>
      </c>
      <c r="H166" s="352" t="s">
        <v>2405</v>
      </c>
      <c r="I166" s="352">
        <f>I14</f>
        <v>3.15</v>
      </c>
      <c r="J166" s="352" t="s">
        <v>1419</v>
      </c>
      <c r="K166" s="352">
        <f t="shared" si="5"/>
        <v>37.799999999999997</v>
      </c>
      <c r="L166" s="352"/>
      <c r="M166" s="352"/>
    </row>
    <row r="167" spans="5:13">
      <c r="E167" s="352"/>
      <c r="F167" s="352">
        <v>6</v>
      </c>
      <c r="G167" s="352" t="s">
        <v>1419</v>
      </c>
      <c r="H167" s="352" t="s">
        <v>3448</v>
      </c>
      <c r="I167" s="352">
        <f>I15</f>
        <v>1.34</v>
      </c>
      <c r="J167" s="352" t="s">
        <v>1419</v>
      </c>
      <c r="K167" s="352">
        <f t="shared" si="5"/>
        <v>8.0399999999999991</v>
      </c>
      <c r="L167" s="352"/>
      <c r="M167" s="352"/>
    </row>
    <row r="168" spans="5:13">
      <c r="E168" s="352"/>
      <c r="F168" s="352">
        <v>1</v>
      </c>
      <c r="G168" s="352" t="s">
        <v>1419</v>
      </c>
      <c r="H168" s="360" t="s">
        <v>3940</v>
      </c>
      <c r="I168" s="521">
        <f>I16</f>
        <v>58</v>
      </c>
      <c r="J168" s="352" t="s">
        <v>1419</v>
      </c>
      <c r="K168" s="352">
        <f t="shared" si="5"/>
        <v>58</v>
      </c>
      <c r="L168" s="352"/>
      <c r="M168" s="352"/>
    </row>
    <row r="169" spans="5:13">
      <c r="E169" s="352"/>
      <c r="F169" s="355">
        <v>1.4999999999999999E-2</v>
      </c>
      <c r="G169" s="352" t="s">
        <v>2322</v>
      </c>
      <c r="H169" s="352" t="s">
        <v>3319</v>
      </c>
      <c r="I169" s="352">
        <f t="shared" ref="I169:I176" si="6">I18</f>
        <v>661</v>
      </c>
      <c r="J169" s="352" t="s">
        <v>2322</v>
      </c>
      <c r="K169" s="352">
        <f t="shared" si="5"/>
        <v>9.92</v>
      </c>
      <c r="L169" s="352"/>
      <c r="M169" s="352"/>
    </row>
    <row r="170" spans="5:13">
      <c r="E170" s="352"/>
      <c r="F170" s="352">
        <v>6</v>
      </c>
      <c r="G170" s="352" t="s">
        <v>1419</v>
      </c>
      <c r="H170" s="352" t="s">
        <v>3320</v>
      </c>
      <c r="I170" s="352">
        <f t="shared" si="6"/>
        <v>16.21</v>
      </c>
      <c r="J170" s="352" t="s">
        <v>3451</v>
      </c>
      <c r="K170" s="352">
        <f t="shared" si="5"/>
        <v>97.26</v>
      </c>
      <c r="L170" s="352"/>
      <c r="M170" s="352"/>
    </row>
    <row r="171" spans="5:13">
      <c r="E171" s="352"/>
      <c r="F171" s="352">
        <v>6</v>
      </c>
      <c r="G171" s="352" t="s">
        <v>1419</v>
      </c>
      <c r="H171" s="352" t="s">
        <v>2676</v>
      </c>
      <c r="I171" s="352">
        <f t="shared" si="6"/>
        <v>13.8</v>
      </c>
      <c r="J171" s="352" t="s">
        <v>1419</v>
      </c>
      <c r="K171" s="352">
        <f t="shared" si="5"/>
        <v>82.8</v>
      </c>
      <c r="L171" s="352"/>
      <c r="M171" s="352"/>
    </row>
    <row r="172" spans="5:13">
      <c r="E172" s="352"/>
      <c r="F172" s="352">
        <v>6</v>
      </c>
      <c r="G172" s="352" t="s">
        <v>1419</v>
      </c>
      <c r="H172" s="352" t="s">
        <v>2678</v>
      </c>
      <c r="I172" s="352">
        <f t="shared" si="6"/>
        <v>3.6</v>
      </c>
      <c r="J172" s="352" t="s">
        <v>1419</v>
      </c>
      <c r="K172" s="352">
        <f t="shared" si="5"/>
        <v>21.6</v>
      </c>
      <c r="L172" s="352"/>
      <c r="M172" s="352"/>
    </row>
    <row r="173" spans="5:13">
      <c r="E173" s="352"/>
      <c r="F173" s="352">
        <v>1.25</v>
      </c>
      <c r="G173" s="352" t="s">
        <v>2680</v>
      </c>
      <c r="H173" s="352" t="s">
        <v>395</v>
      </c>
      <c r="I173" s="352">
        <f t="shared" si="6"/>
        <v>302</v>
      </c>
      <c r="J173" s="352" t="s">
        <v>2680</v>
      </c>
      <c r="K173" s="352">
        <f t="shared" si="5"/>
        <v>377.5</v>
      </c>
      <c r="L173" s="352"/>
      <c r="M173" s="352"/>
    </row>
    <row r="174" spans="5:13">
      <c r="E174" s="352"/>
      <c r="F174" s="352">
        <v>6</v>
      </c>
      <c r="G174" s="352" t="s">
        <v>1419</v>
      </c>
      <c r="H174" s="360" t="s">
        <v>3940</v>
      </c>
      <c r="I174" s="521">
        <f t="shared" si="6"/>
        <v>58</v>
      </c>
      <c r="J174" s="352" t="s">
        <v>1419</v>
      </c>
      <c r="K174" s="352">
        <f t="shared" si="5"/>
        <v>348</v>
      </c>
      <c r="L174" s="352"/>
      <c r="M174" s="352"/>
    </row>
    <row r="175" spans="5:13">
      <c r="E175" s="352"/>
      <c r="F175" s="352">
        <v>0.09</v>
      </c>
      <c r="G175" s="352" t="s">
        <v>2322</v>
      </c>
      <c r="H175" s="352" t="s">
        <v>2683</v>
      </c>
      <c r="I175" s="352">
        <f t="shared" si="6"/>
        <v>661</v>
      </c>
      <c r="J175" s="352" t="s">
        <v>2322</v>
      </c>
      <c r="K175" s="352">
        <f t="shared" si="5"/>
        <v>59.49</v>
      </c>
      <c r="L175" s="352"/>
      <c r="M175" s="352"/>
    </row>
    <row r="176" spans="5:13" ht="31.5">
      <c r="E176" s="352"/>
      <c r="F176" s="352">
        <v>45</v>
      </c>
      <c r="G176" s="352"/>
      <c r="H176" s="273" t="s">
        <v>2686</v>
      </c>
      <c r="I176" s="352">
        <f t="shared" si="6"/>
        <v>16.55</v>
      </c>
      <c r="J176" s="352" t="s">
        <v>3363</v>
      </c>
      <c r="K176" s="352">
        <f t="shared" si="5"/>
        <v>744.75</v>
      </c>
      <c r="L176" s="352"/>
      <c r="M176" s="352"/>
    </row>
    <row r="177" spans="5:14">
      <c r="E177" s="352"/>
      <c r="F177" s="352"/>
      <c r="G177" s="352"/>
      <c r="H177" s="352" t="s">
        <v>931</v>
      </c>
      <c r="I177" s="352"/>
      <c r="J177" s="352" t="s">
        <v>669</v>
      </c>
      <c r="K177" s="352">
        <f>K26</f>
        <v>11454</v>
      </c>
      <c r="L177" s="352"/>
      <c r="M177" s="352"/>
    </row>
    <row r="178" spans="5:14">
      <c r="E178" s="352"/>
      <c r="F178" s="352"/>
      <c r="G178" s="352"/>
      <c r="H178" s="352" t="s">
        <v>2310</v>
      </c>
      <c r="I178" s="352"/>
      <c r="J178" s="352" t="s">
        <v>669</v>
      </c>
      <c r="K178" s="352">
        <f>37.25+2.97+4.89+2.67</f>
        <v>47.78</v>
      </c>
      <c r="L178" s="352"/>
      <c r="M178" s="352"/>
    </row>
    <row r="179" spans="5:14" ht="30" customHeight="1">
      <c r="E179" s="352"/>
      <c r="F179" s="352"/>
      <c r="G179" s="352"/>
      <c r="H179" s="357" t="s">
        <v>3371</v>
      </c>
      <c r="I179" s="352"/>
      <c r="J179" s="352"/>
      <c r="K179" s="358">
        <f>SUM(K164:K178)</f>
        <v>15736.44</v>
      </c>
      <c r="L179" s="352"/>
      <c r="M179" s="352"/>
    </row>
    <row r="180" spans="5:14" ht="30" customHeight="1">
      <c r="E180" s="352"/>
      <c r="F180" s="352"/>
      <c r="G180" s="352"/>
      <c r="H180" s="359" t="s">
        <v>3368</v>
      </c>
      <c r="I180" s="352"/>
      <c r="J180" s="352"/>
      <c r="K180" s="360">
        <f>K179/6</f>
        <v>2622.74</v>
      </c>
      <c r="L180" s="352">
        <f>1724*6</f>
        <v>10344</v>
      </c>
      <c r="M180" s="352"/>
    </row>
    <row r="181" spans="5:14">
      <c r="E181" s="352"/>
      <c r="F181" s="352"/>
      <c r="G181" s="352"/>
      <c r="H181" s="352"/>
      <c r="I181" s="352"/>
      <c r="J181" s="352"/>
      <c r="K181" s="352"/>
      <c r="L181" s="352">
        <f>L180-K179</f>
        <v>-5392.44</v>
      </c>
      <c r="M181" s="352"/>
    </row>
    <row r="182" spans="5:14" ht="30" customHeight="1">
      <c r="E182" s="352"/>
      <c r="F182" s="352"/>
      <c r="G182" s="352"/>
      <c r="H182" s="360" t="s">
        <v>2475</v>
      </c>
      <c r="I182" s="352"/>
      <c r="J182" s="352"/>
      <c r="K182" s="352"/>
      <c r="L182" s="352"/>
      <c r="M182" s="352"/>
    </row>
    <row r="183" spans="5:14" ht="47.25">
      <c r="E183" s="352"/>
      <c r="F183" s="352"/>
      <c r="G183" s="352"/>
      <c r="H183" s="350" t="s">
        <v>2476</v>
      </c>
      <c r="I183" s="352"/>
      <c r="J183" s="352"/>
      <c r="K183" s="352"/>
      <c r="L183" s="352"/>
      <c r="M183" s="352"/>
    </row>
    <row r="184" spans="5:14">
      <c r="E184" s="352"/>
      <c r="F184" s="352"/>
      <c r="G184" s="352"/>
      <c r="H184" s="352"/>
      <c r="I184" s="352"/>
      <c r="J184" s="352"/>
      <c r="K184" s="352"/>
      <c r="L184" s="352"/>
      <c r="M184" s="352"/>
    </row>
    <row r="185" spans="5:14" ht="194.25" customHeight="1">
      <c r="E185" s="352"/>
      <c r="F185" s="352"/>
      <c r="G185" s="352"/>
      <c r="H185" s="351" t="s">
        <v>2343</v>
      </c>
      <c r="I185" s="352"/>
      <c r="J185" s="352"/>
      <c r="K185" s="352"/>
      <c r="L185" s="352"/>
      <c r="M185" s="352"/>
    </row>
    <row r="186" spans="5:14">
      <c r="E186" s="352"/>
      <c r="F186" s="352"/>
      <c r="G186" s="352"/>
      <c r="H186" s="352"/>
      <c r="I186" s="352"/>
      <c r="J186" s="352"/>
      <c r="K186" s="352"/>
      <c r="L186" s="352"/>
      <c r="M186" s="352"/>
    </row>
    <row r="187" spans="5:14" ht="15.75" customHeight="1">
      <c r="E187" s="352"/>
      <c r="F187" s="352"/>
      <c r="G187" s="352"/>
      <c r="H187" s="352" t="s">
        <v>2344</v>
      </c>
      <c r="I187" s="352"/>
      <c r="J187" s="352"/>
      <c r="K187" s="352">
        <f>K179-K178</f>
        <v>15688.66</v>
      </c>
      <c r="L187" s="352"/>
      <c r="M187" s="352"/>
    </row>
    <row r="188" spans="5:14" ht="19.5" customHeight="1">
      <c r="E188" s="352"/>
      <c r="F188" s="352"/>
      <c r="G188" s="352"/>
      <c r="H188" s="352" t="s">
        <v>2901</v>
      </c>
      <c r="I188" s="352"/>
      <c r="J188" s="352"/>
      <c r="K188" s="352">
        <f>K171</f>
        <v>82.8</v>
      </c>
      <c r="L188" s="352"/>
      <c r="M188" s="352"/>
    </row>
    <row r="189" spans="5:14" ht="21.75" customHeight="1">
      <c r="E189" s="352"/>
      <c r="F189" s="352"/>
      <c r="G189" s="352"/>
      <c r="H189" s="352" t="s">
        <v>5910</v>
      </c>
      <c r="I189" s="352"/>
      <c r="J189" s="352"/>
      <c r="K189" s="421">
        <f>15.8*6</f>
        <v>94.8</v>
      </c>
      <c r="L189" s="352"/>
      <c r="M189" s="352"/>
    </row>
    <row r="190" spans="5:14" ht="16.5" customHeight="1">
      <c r="E190" s="352"/>
      <c r="F190" s="352"/>
      <c r="G190" s="352"/>
      <c r="H190" s="352" t="s">
        <v>2310</v>
      </c>
      <c r="I190" s="352"/>
      <c r="J190" s="352"/>
      <c r="K190" s="352">
        <f>32.33+11.82-0.27</f>
        <v>43.88</v>
      </c>
      <c r="L190" s="352"/>
      <c r="M190" s="352"/>
    </row>
    <row r="191" spans="5:14" ht="15.75" customHeight="1">
      <c r="E191" s="352"/>
      <c r="F191" s="352"/>
      <c r="G191" s="352"/>
      <c r="H191" s="357" t="s">
        <v>2902</v>
      </c>
      <c r="I191" s="352"/>
      <c r="J191" s="352"/>
      <c r="K191" s="358">
        <f>(K187-K188)+K189+K190</f>
        <v>15744.54</v>
      </c>
      <c r="L191" s="352"/>
      <c r="M191" s="352"/>
    </row>
    <row r="192" spans="5:14" ht="24" customHeight="1">
      <c r="E192" s="352"/>
      <c r="F192" s="352"/>
      <c r="G192" s="352"/>
      <c r="H192" s="359" t="s">
        <v>2903</v>
      </c>
      <c r="I192" s="352"/>
      <c r="J192" s="352"/>
      <c r="K192" s="360">
        <f>K191/6</f>
        <v>2624.09</v>
      </c>
      <c r="L192" s="352"/>
      <c r="M192" s="352">
        <f>1726*6</f>
        <v>10356</v>
      </c>
      <c r="N192" s="180">
        <f>M192-K191</f>
        <v>-5388.54</v>
      </c>
    </row>
    <row r="193" spans="5:13">
      <c r="E193" s="352"/>
      <c r="F193" s="352"/>
      <c r="G193" s="352"/>
      <c r="H193" s="352"/>
      <c r="I193" s="352"/>
      <c r="J193" s="352"/>
      <c r="K193" s="352"/>
      <c r="L193" s="352"/>
      <c r="M193" s="352">
        <f>M192-K191</f>
        <v>-5388.54</v>
      </c>
    </row>
    <row r="194" spans="5:13">
      <c r="E194" s="352"/>
      <c r="F194" s="352"/>
      <c r="G194" s="352"/>
      <c r="H194" s="360" t="s">
        <v>2904</v>
      </c>
      <c r="I194" s="352"/>
      <c r="J194" s="352"/>
      <c r="K194" s="352"/>
      <c r="L194" s="352"/>
      <c r="M194" s="352"/>
    </row>
    <row r="195" spans="5:13" ht="30.75" customHeight="1">
      <c r="E195" s="352"/>
      <c r="F195" s="352"/>
      <c r="G195" s="352"/>
      <c r="H195" s="350" t="s">
        <v>2945</v>
      </c>
      <c r="I195" s="352"/>
      <c r="J195" s="352"/>
      <c r="K195" s="352"/>
      <c r="L195" s="352"/>
      <c r="M195" s="352"/>
    </row>
    <row r="196" spans="5:13" ht="173.25">
      <c r="E196" s="352"/>
      <c r="F196" s="352"/>
      <c r="G196" s="352"/>
      <c r="H196" s="351" t="s">
        <v>2975</v>
      </c>
      <c r="I196" s="352"/>
      <c r="J196" s="352"/>
      <c r="K196" s="352"/>
      <c r="L196" s="352"/>
      <c r="M196" s="352"/>
    </row>
    <row r="197" spans="5:13" ht="30.75" customHeight="1">
      <c r="E197" s="352"/>
      <c r="F197" s="352">
        <v>90</v>
      </c>
      <c r="G197" s="352" t="s">
        <v>842</v>
      </c>
      <c r="H197" s="273" t="s">
        <v>2586</v>
      </c>
      <c r="I197" s="352">
        <f t="shared" ref="I197:I209" si="7">I74</f>
        <v>16.55</v>
      </c>
      <c r="J197" s="352" t="s">
        <v>2587</v>
      </c>
      <c r="K197" s="352">
        <f t="shared" ref="K197:K209" si="8">F197*I197</f>
        <v>1489.5</v>
      </c>
      <c r="L197" s="352"/>
      <c r="M197" s="352"/>
    </row>
    <row r="198" spans="5:13" ht="27.75" customHeight="1">
      <c r="E198" s="352"/>
      <c r="F198" s="352">
        <v>45</v>
      </c>
      <c r="G198" s="352" t="s">
        <v>842</v>
      </c>
      <c r="H198" s="351" t="s">
        <v>2403</v>
      </c>
      <c r="I198" s="352">
        <f t="shared" si="7"/>
        <v>20</v>
      </c>
      <c r="J198" s="352" t="s">
        <v>842</v>
      </c>
      <c r="K198" s="352">
        <f t="shared" si="8"/>
        <v>900</v>
      </c>
      <c r="L198" s="352"/>
      <c r="M198" s="352"/>
    </row>
    <row r="199" spans="5:13">
      <c r="E199" s="352"/>
      <c r="F199" s="352">
        <v>12</v>
      </c>
      <c r="G199" s="352" t="s">
        <v>1419</v>
      </c>
      <c r="H199" s="352" t="s">
        <v>2405</v>
      </c>
      <c r="I199" s="352">
        <f t="shared" si="7"/>
        <v>3.15</v>
      </c>
      <c r="J199" s="352" t="s">
        <v>1419</v>
      </c>
      <c r="K199" s="352">
        <f t="shared" si="8"/>
        <v>37.799999999999997</v>
      </c>
      <c r="L199" s="352"/>
      <c r="M199" s="352"/>
    </row>
    <row r="200" spans="5:13">
      <c r="E200" s="352"/>
      <c r="F200" s="352">
        <v>6</v>
      </c>
      <c r="G200" s="352" t="s">
        <v>1419</v>
      </c>
      <c r="H200" s="352" t="s">
        <v>3448</v>
      </c>
      <c r="I200" s="352">
        <f t="shared" si="7"/>
        <v>1.34</v>
      </c>
      <c r="J200" s="352" t="s">
        <v>1419</v>
      </c>
      <c r="K200" s="352">
        <f t="shared" si="8"/>
        <v>8.0399999999999991</v>
      </c>
      <c r="L200" s="352"/>
      <c r="M200" s="352"/>
    </row>
    <row r="201" spans="5:13">
      <c r="E201" s="352"/>
      <c r="F201" s="352">
        <v>6</v>
      </c>
      <c r="G201" s="352" t="s">
        <v>1419</v>
      </c>
      <c r="H201" s="352" t="s">
        <v>3530</v>
      </c>
      <c r="I201" s="352">
        <f t="shared" si="7"/>
        <v>3.6</v>
      </c>
      <c r="J201" s="352" t="s">
        <v>1419</v>
      </c>
      <c r="K201" s="352">
        <f t="shared" si="8"/>
        <v>21.6</v>
      </c>
      <c r="L201" s="352"/>
      <c r="M201" s="352"/>
    </row>
    <row r="202" spans="5:13">
      <c r="E202" s="352"/>
      <c r="F202" s="352">
        <v>6</v>
      </c>
      <c r="G202" s="352" t="s">
        <v>1419</v>
      </c>
      <c r="H202" s="352" t="s">
        <v>2676</v>
      </c>
      <c r="I202" s="352">
        <f t="shared" si="7"/>
        <v>13.8</v>
      </c>
      <c r="J202" s="352" t="s">
        <v>1419</v>
      </c>
      <c r="K202" s="352">
        <f t="shared" si="8"/>
        <v>82.8</v>
      </c>
      <c r="L202" s="352"/>
      <c r="M202" s="352"/>
    </row>
    <row r="203" spans="5:13">
      <c r="E203" s="352"/>
      <c r="F203" s="352">
        <v>6</v>
      </c>
      <c r="G203" s="352" t="s">
        <v>1419</v>
      </c>
      <c r="H203" s="352" t="s">
        <v>3320</v>
      </c>
      <c r="I203" s="352">
        <f t="shared" si="7"/>
        <v>16.21</v>
      </c>
      <c r="J203" s="352" t="s">
        <v>3451</v>
      </c>
      <c r="K203" s="352">
        <f t="shared" si="8"/>
        <v>97.26</v>
      </c>
      <c r="L203" s="352"/>
      <c r="M203" s="352"/>
    </row>
    <row r="204" spans="5:13">
      <c r="E204" s="352"/>
      <c r="F204" s="352">
        <v>6</v>
      </c>
      <c r="G204" s="352" t="s">
        <v>1419</v>
      </c>
      <c r="H204" s="360" t="s">
        <v>3936</v>
      </c>
      <c r="I204" s="352">
        <f t="shared" si="7"/>
        <v>85</v>
      </c>
      <c r="J204" s="352" t="s">
        <v>1419</v>
      </c>
      <c r="K204" s="352">
        <f t="shared" si="8"/>
        <v>510</v>
      </c>
      <c r="L204" s="352"/>
      <c r="M204" s="352"/>
    </row>
    <row r="205" spans="5:13">
      <c r="E205" s="352"/>
      <c r="F205" s="352">
        <v>0.36</v>
      </c>
      <c r="G205" s="352" t="s">
        <v>2322</v>
      </c>
      <c r="H205" s="352" t="s">
        <v>2683</v>
      </c>
      <c r="I205" s="352">
        <f t="shared" si="7"/>
        <v>661</v>
      </c>
      <c r="J205" s="352" t="s">
        <v>2322</v>
      </c>
      <c r="K205" s="352">
        <f t="shared" si="8"/>
        <v>237.96</v>
      </c>
      <c r="L205" s="352"/>
      <c r="M205" s="352"/>
    </row>
    <row r="206" spans="5:13">
      <c r="E206" s="352"/>
      <c r="F206" s="352">
        <v>1</v>
      </c>
      <c r="G206" s="352" t="s">
        <v>1419</v>
      </c>
      <c r="H206" s="360" t="s">
        <v>3940</v>
      </c>
      <c r="I206" s="352">
        <f t="shared" si="7"/>
        <v>58</v>
      </c>
      <c r="J206" s="352" t="s">
        <v>1419</v>
      </c>
      <c r="K206" s="352">
        <f t="shared" si="8"/>
        <v>58</v>
      </c>
      <c r="L206" s="352"/>
      <c r="M206" s="352"/>
    </row>
    <row r="207" spans="5:13">
      <c r="E207" s="352"/>
      <c r="F207" s="355">
        <v>1.4999999999999999E-2</v>
      </c>
      <c r="G207" s="352" t="s">
        <v>2322</v>
      </c>
      <c r="H207" s="352" t="s">
        <v>3970</v>
      </c>
      <c r="I207" s="352">
        <f t="shared" si="7"/>
        <v>661</v>
      </c>
      <c r="J207" s="352" t="s">
        <v>2322</v>
      </c>
      <c r="K207" s="352">
        <f t="shared" si="8"/>
        <v>9.92</v>
      </c>
      <c r="L207" s="352"/>
      <c r="M207" s="352"/>
    </row>
    <row r="208" spans="5:13">
      <c r="E208" s="352"/>
      <c r="F208" s="352">
        <v>1.25</v>
      </c>
      <c r="G208" s="352" t="s">
        <v>2680</v>
      </c>
      <c r="H208" s="352" t="s">
        <v>395</v>
      </c>
      <c r="I208" s="352">
        <f t="shared" si="7"/>
        <v>302</v>
      </c>
      <c r="J208" s="352" t="s">
        <v>2680</v>
      </c>
      <c r="K208" s="352">
        <f t="shared" si="8"/>
        <v>377.5</v>
      </c>
      <c r="L208" s="352"/>
      <c r="M208" s="352"/>
    </row>
    <row r="209" spans="5:13" ht="31.5">
      <c r="E209" s="352"/>
      <c r="F209" s="352">
        <v>45</v>
      </c>
      <c r="G209" s="352" t="s">
        <v>842</v>
      </c>
      <c r="H209" s="458" t="s">
        <v>3975</v>
      </c>
      <c r="I209" s="352">
        <f t="shared" si="7"/>
        <v>16.55</v>
      </c>
      <c r="J209" s="352" t="s">
        <v>2587</v>
      </c>
      <c r="K209" s="352">
        <f t="shared" si="8"/>
        <v>744.75</v>
      </c>
      <c r="L209" s="352"/>
      <c r="M209" s="352"/>
    </row>
    <row r="210" spans="5:13">
      <c r="E210" s="352"/>
      <c r="F210" s="352"/>
      <c r="G210" s="352"/>
      <c r="H210" s="352" t="s">
        <v>931</v>
      </c>
      <c r="I210" s="352"/>
      <c r="J210" s="352"/>
      <c r="K210" s="352">
        <f>K87</f>
        <v>11454</v>
      </c>
      <c r="L210" s="352"/>
      <c r="M210" s="352"/>
    </row>
    <row r="211" spans="5:13">
      <c r="E211" s="352"/>
      <c r="F211" s="352"/>
      <c r="G211" s="352"/>
      <c r="H211" s="352" t="s">
        <v>2310</v>
      </c>
      <c r="I211" s="352"/>
      <c r="J211" s="352"/>
      <c r="K211" s="352">
        <f>34.1+1.17+4.26+1.26</f>
        <v>40.79</v>
      </c>
      <c r="L211" s="352"/>
      <c r="M211" s="352"/>
    </row>
    <row r="212" spans="5:13">
      <c r="E212" s="352"/>
      <c r="F212" s="352"/>
      <c r="G212" s="352"/>
      <c r="H212" s="357" t="s">
        <v>2902</v>
      </c>
      <c r="I212" s="352"/>
      <c r="J212" s="352"/>
      <c r="K212" s="358">
        <f>SUM(K197:K211)</f>
        <v>16069.92</v>
      </c>
      <c r="L212" s="352"/>
      <c r="M212" s="352"/>
    </row>
    <row r="213" spans="5:13">
      <c r="E213" s="352"/>
      <c r="F213" s="352"/>
      <c r="G213" s="352"/>
      <c r="H213" s="359" t="s">
        <v>3220</v>
      </c>
      <c r="I213" s="352"/>
      <c r="J213" s="352"/>
      <c r="K213" s="360">
        <f>K212/6</f>
        <v>2678.32</v>
      </c>
      <c r="L213" s="352">
        <f>1774*6</f>
        <v>10644</v>
      </c>
      <c r="M213" s="352"/>
    </row>
    <row r="214" spans="5:13" ht="21.75" customHeight="1">
      <c r="E214" s="352"/>
      <c r="F214" s="352"/>
      <c r="G214" s="352"/>
      <c r="H214" s="352"/>
      <c r="I214" s="352"/>
      <c r="J214" s="352"/>
      <c r="K214" s="352"/>
      <c r="L214" s="352">
        <f>L213-K212</f>
        <v>-5425.92</v>
      </c>
      <c r="M214" s="352"/>
    </row>
    <row r="215" spans="5:13">
      <c r="E215" s="352"/>
      <c r="F215" s="352"/>
      <c r="G215" s="352"/>
      <c r="H215" s="360" t="s">
        <v>2976</v>
      </c>
      <c r="I215" s="352"/>
      <c r="J215" s="352"/>
      <c r="K215" s="352"/>
      <c r="L215" s="352"/>
      <c r="M215" s="352"/>
    </row>
    <row r="216" spans="5:13" ht="34.5" customHeight="1">
      <c r="E216" s="352"/>
      <c r="F216" s="352"/>
      <c r="G216" s="352"/>
      <c r="H216" s="350" t="s">
        <v>2429</v>
      </c>
      <c r="I216" s="352"/>
      <c r="J216" s="352"/>
      <c r="K216" s="352"/>
      <c r="L216" s="352"/>
      <c r="M216" s="352"/>
    </row>
    <row r="217" spans="5:13" ht="192.75" customHeight="1">
      <c r="E217" s="352"/>
      <c r="F217" s="352"/>
      <c r="G217" s="352"/>
      <c r="H217" s="351" t="s">
        <v>3010</v>
      </c>
      <c r="I217" s="352"/>
      <c r="J217" s="352"/>
      <c r="K217" s="352"/>
      <c r="L217" s="352"/>
      <c r="M217" s="352"/>
    </row>
    <row r="218" spans="5:13" ht="30" customHeight="1">
      <c r="E218" s="352"/>
      <c r="F218" s="352">
        <v>90</v>
      </c>
      <c r="G218" s="352" t="s">
        <v>842</v>
      </c>
      <c r="H218" s="273" t="s">
        <v>2586</v>
      </c>
      <c r="I218" s="352">
        <f t="shared" ref="I218:I228" si="9">I100</f>
        <v>16.55</v>
      </c>
      <c r="J218" s="352" t="s">
        <v>2587</v>
      </c>
      <c r="K218" s="352">
        <f t="shared" ref="K218:K228" si="10">F218*I218</f>
        <v>1489.5</v>
      </c>
      <c r="L218" s="352"/>
      <c r="M218" s="352"/>
    </row>
    <row r="219" spans="5:13" ht="27.75" customHeight="1">
      <c r="E219" s="352"/>
      <c r="F219" s="352">
        <v>30</v>
      </c>
      <c r="G219" s="352" t="s">
        <v>842</v>
      </c>
      <c r="H219" s="351" t="s">
        <v>2403</v>
      </c>
      <c r="I219" s="352">
        <f t="shared" si="9"/>
        <v>20</v>
      </c>
      <c r="J219" s="352" t="s">
        <v>842</v>
      </c>
      <c r="K219" s="352">
        <f t="shared" si="10"/>
        <v>600</v>
      </c>
      <c r="L219" s="352"/>
      <c r="M219" s="352"/>
    </row>
    <row r="220" spans="5:13">
      <c r="E220" s="352"/>
      <c r="F220" s="352">
        <v>6</v>
      </c>
      <c r="G220" s="352" t="s">
        <v>1419</v>
      </c>
      <c r="H220" s="352" t="s">
        <v>2405</v>
      </c>
      <c r="I220" s="352">
        <f t="shared" si="9"/>
        <v>3.15</v>
      </c>
      <c r="J220" s="352" t="s">
        <v>1419</v>
      </c>
      <c r="K220" s="352">
        <f t="shared" si="10"/>
        <v>18.899999999999999</v>
      </c>
      <c r="L220" s="352"/>
      <c r="M220" s="352"/>
    </row>
    <row r="221" spans="5:13">
      <c r="E221" s="352"/>
      <c r="F221" s="352">
        <v>3</v>
      </c>
      <c r="G221" s="352" t="s">
        <v>1419</v>
      </c>
      <c r="H221" s="352" t="s">
        <v>3448</v>
      </c>
      <c r="I221" s="352">
        <f t="shared" si="9"/>
        <v>1.34</v>
      </c>
      <c r="J221" s="352" t="s">
        <v>1419</v>
      </c>
      <c r="K221" s="352">
        <f t="shared" si="10"/>
        <v>4.0199999999999996</v>
      </c>
      <c r="L221" s="352"/>
      <c r="M221" s="352"/>
    </row>
    <row r="222" spans="5:13">
      <c r="E222" s="352"/>
      <c r="F222" s="352">
        <v>6</v>
      </c>
      <c r="G222" s="352" t="s">
        <v>1419</v>
      </c>
      <c r="H222" s="352" t="s">
        <v>2490</v>
      </c>
      <c r="I222" s="352">
        <f t="shared" si="9"/>
        <v>20.11</v>
      </c>
      <c r="J222" s="352" t="s">
        <v>1419</v>
      </c>
      <c r="K222" s="352">
        <f t="shared" si="10"/>
        <v>120.66</v>
      </c>
      <c r="L222" s="352"/>
      <c r="M222" s="352"/>
    </row>
    <row r="223" spans="5:13">
      <c r="E223" s="352"/>
      <c r="F223" s="352">
        <v>3</v>
      </c>
      <c r="G223" s="352" t="s">
        <v>1419</v>
      </c>
      <c r="H223" s="352" t="s">
        <v>2676</v>
      </c>
      <c r="I223" s="352">
        <f t="shared" si="9"/>
        <v>13.8</v>
      </c>
      <c r="J223" s="352" t="s">
        <v>1419</v>
      </c>
      <c r="K223" s="352">
        <f t="shared" si="10"/>
        <v>41.4</v>
      </c>
      <c r="L223" s="352"/>
      <c r="M223" s="352"/>
    </row>
    <row r="224" spans="5:13">
      <c r="E224" s="352"/>
      <c r="F224" s="352">
        <v>3</v>
      </c>
      <c r="G224" s="352" t="s">
        <v>1419</v>
      </c>
      <c r="H224" s="352" t="s">
        <v>2678</v>
      </c>
      <c r="I224" s="352">
        <f t="shared" si="9"/>
        <v>3.6</v>
      </c>
      <c r="J224" s="352" t="s">
        <v>1419</v>
      </c>
      <c r="K224" s="352">
        <f t="shared" si="10"/>
        <v>10.8</v>
      </c>
      <c r="L224" s="352"/>
      <c r="M224" s="352"/>
    </row>
    <row r="225" spans="5:18">
      <c r="E225" s="352"/>
      <c r="F225" s="352">
        <v>3</v>
      </c>
      <c r="G225" s="352" t="s">
        <v>1419</v>
      </c>
      <c r="H225" s="360" t="s">
        <v>3940</v>
      </c>
      <c r="I225" s="352">
        <f t="shared" si="9"/>
        <v>58</v>
      </c>
      <c r="J225" s="352" t="s">
        <v>1419</v>
      </c>
      <c r="K225" s="352">
        <f t="shared" si="10"/>
        <v>174</v>
      </c>
      <c r="L225" s="352"/>
      <c r="M225" s="352"/>
    </row>
    <row r="226" spans="5:18">
      <c r="E226" s="352"/>
      <c r="F226" s="355">
        <v>5.3999999999999999E-2</v>
      </c>
      <c r="G226" s="352" t="s">
        <v>2322</v>
      </c>
      <c r="H226" s="352" t="s">
        <v>3970</v>
      </c>
      <c r="I226" s="352">
        <f t="shared" si="9"/>
        <v>661</v>
      </c>
      <c r="J226" s="352" t="s">
        <v>2322</v>
      </c>
      <c r="K226" s="352">
        <f t="shared" si="10"/>
        <v>35.69</v>
      </c>
      <c r="L226" s="352"/>
      <c r="M226" s="352"/>
    </row>
    <row r="227" spans="5:18">
      <c r="E227" s="352"/>
      <c r="F227" s="352">
        <v>1.25</v>
      </c>
      <c r="G227" s="352" t="s">
        <v>2680</v>
      </c>
      <c r="H227" s="352" t="s">
        <v>395</v>
      </c>
      <c r="I227" s="352">
        <f>I109</f>
        <v>302</v>
      </c>
      <c r="J227" s="352" t="s">
        <v>2680</v>
      </c>
      <c r="K227" s="352">
        <f t="shared" si="10"/>
        <v>377.5</v>
      </c>
      <c r="L227" s="352"/>
      <c r="M227" s="352"/>
    </row>
    <row r="228" spans="5:18" ht="35.25" customHeight="1">
      <c r="E228" s="352"/>
      <c r="F228" s="352">
        <v>30</v>
      </c>
      <c r="G228" s="352" t="s">
        <v>842</v>
      </c>
      <c r="H228" s="458" t="s">
        <v>3975</v>
      </c>
      <c r="I228" s="352">
        <f t="shared" si="9"/>
        <v>16.55</v>
      </c>
      <c r="J228" s="352" t="s">
        <v>2587</v>
      </c>
      <c r="K228" s="352">
        <f t="shared" si="10"/>
        <v>496.5</v>
      </c>
      <c r="L228" s="352"/>
      <c r="M228" s="352"/>
    </row>
    <row r="229" spans="5:18">
      <c r="E229" s="352"/>
      <c r="F229" s="352"/>
      <c r="G229" s="352"/>
      <c r="H229" s="352" t="s">
        <v>931</v>
      </c>
      <c r="I229" s="352"/>
      <c r="J229" s="352"/>
      <c r="K229" s="352">
        <f>K111</f>
        <v>11454</v>
      </c>
      <c r="L229" s="352"/>
      <c r="M229" s="352"/>
    </row>
    <row r="230" spans="5:18">
      <c r="E230" s="352"/>
      <c r="F230" s="352"/>
      <c r="G230" s="352"/>
      <c r="H230" s="352" t="s">
        <v>2310</v>
      </c>
      <c r="I230" s="352"/>
      <c r="J230" s="352"/>
      <c r="K230" s="352">
        <f>17.25+1.77+2.32+0.92</f>
        <v>22.26</v>
      </c>
      <c r="L230" s="352"/>
      <c r="M230" s="352"/>
    </row>
    <row r="231" spans="5:18">
      <c r="E231" s="352"/>
      <c r="F231" s="352"/>
      <c r="G231" s="352"/>
      <c r="H231" s="357" t="s">
        <v>3011</v>
      </c>
      <c r="I231" s="352"/>
      <c r="J231" s="352"/>
      <c r="K231" s="358">
        <f>SUM(K218:K230)</f>
        <v>14845.23</v>
      </c>
      <c r="L231" s="352"/>
      <c r="M231" s="352"/>
    </row>
    <row r="232" spans="5:18">
      <c r="E232" s="352"/>
      <c r="F232" s="352"/>
      <c r="G232" s="352"/>
      <c r="H232" s="359" t="s">
        <v>3220</v>
      </c>
      <c r="I232" s="352"/>
      <c r="J232" s="352"/>
      <c r="K232" s="360">
        <f>K231/3</f>
        <v>4948.41</v>
      </c>
      <c r="L232" s="352">
        <f>3196*3</f>
        <v>9588</v>
      </c>
      <c r="M232" s="352"/>
    </row>
    <row r="233" spans="5:18">
      <c r="E233" s="352"/>
      <c r="F233" s="352"/>
      <c r="G233" s="352"/>
      <c r="H233" s="352"/>
      <c r="I233" s="352"/>
      <c r="J233" s="352"/>
      <c r="K233" s="352"/>
      <c r="L233" s="352">
        <f>L232-K231</f>
        <v>-5257.23</v>
      </c>
      <c r="M233" s="352"/>
    </row>
    <row r="234" spans="5:18" ht="22.5" customHeight="1">
      <c r="E234" s="352"/>
      <c r="F234" s="352"/>
      <c r="G234" s="352"/>
      <c r="H234" s="368" t="s">
        <v>3012</v>
      </c>
      <c r="I234" s="352"/>
      <c r="J234" s="352"/>
      <c r="K234" s="352"/>
      <c r="L234" s="352"/>
      <c r="M234" s="352"/>
    </row>
    <row r="235" spans="5:18">
      <c r="E235" s="352"/>
      <c r="F235" s="352"/>
      <c r="G235" s="352"/>
      <c r="H235" s="352"/>
      <c r="I235" s="352"/>
      <c r="J235" s="352"/>
      <c r="K235" s="352"/>
      <c r="L235" s="352"/>
      <c r="M235" s="352"/>
    </row>
    <row r="236" spans="5:18" ht="24.75" customHeight="1">
      <c r="E236" s="352"/>
      <c r="F236" s="352"/>
      <c r="G236" s="352"/>
      <c r="H236" s="360" t="s">
        <v>3013</v>
      </c>
      <c r="I236" s="352"/>
      <c r="J236" s="352"/>
      <c r="K236" s="352"/>
      <c r="L236" s="352"/>
      <c r="M236" s="352"/>
      <c r="N236" s="352"/>
      <c r="O236" s="360" t="s">
        <v>3017</v>
      </c>
      <c r="P236" s="352"/>
      <c r="Q236" s="352"/>
      <c r="R236" s="352"/>
    </row>
    <row r="237" spans="5:18" ht="23.25" customHeight="1">
      <c r="E237" s="352"/>
      <c r="F237" s="352"/>
      <c r="G237" s="352"/>
      <c r="H237" s="360" t="s">
        <v>2430</v>
      </c>
      <c r="I237" s="352"/>
      <c r="J237" s="352"/>
      <c r="K237" s="352"/>
      <c r="L237" s="352"/>
      <c r="M237" s="352"/>
      <c r="N237" s="352"/>
      <c r="O237" s="360" t="s">
        <v>3704</v>
      </c>
      <c r="P237" s="352"/>
      <c r="Q237" s="352"/>
      <c r="R237" s="352"/>
    </row>
    <row r="238" spans="5:18">
      <c r="E238" s="352"/>
      <c r="F238" s="352"/>
      <c r="G238" s="352"/>
      <c r="H238" s="352"/>
      <c r="I238" s="352"/>
      <c r="J238" s="352"/>
      <c r="K238" s="352"/>
      <c r="L238" s="352"/>
      <c r="M238" s="352"/>
      <c r="N238" s="352"/>
      <c r="O238" s="352"/>
      <c r="P238" s="352"/>
      <c r="Q238" s="352"/>
      <c r="R238" s="352"/>
    </row>
    <row r="239" spans="5:18" ht="114.75" customHeight="1">
      <c r="E239" s="352"/>
      <c r="F239" s="352"/>
      <c r="G239" s="352"/>
      <c r="H239" s="351" t="s">
        <v>2431</v>
      </c>
      <c r="I239" s="352"/>
      <c r="J239" s="352"/>
      <c r="K239" s="352"/>
      <c r="L239" s="352"/>
      <c r="M239" s="352"/>
      <c r="N239" s="352"/>
      <c r="O239" s="351" t="s">
        <v>4874</v>
      </c>
      <c r="P239" s="352"/>
      <c r="Q239" s="352"/>
      <c r="R239" s="352"/>
    </row>
    <row r="240" spans="5:18" ht="31.5">
      <c r="E240" s="352"/>
      <c r="F240" s="352"/>
      <c r="G240" s="352"/>
      <c r="H240" s="352"/>
      <c r="I240" s="352"/>
      <c r="J240" s="352"/>
      <c r="K240" s="352"/>
      <c r="L240" s="352"/>
      <c r="M240" s="352">
        <v>180</v>
      </c>
      <c r="N240" s="352" t="s">
        <v>842</v>
      </c>
      <c r="O240" s="273" t="s">
        <v>3880</v>
      </c>
      <c r="P240" s="421">
        <v>60.65</v>
      </c>
      <c r="Q240" s="352" t="s">
        <v>2587</v>
      </c>
      <c r="R240" s="352">
        <f>M240*P240</f>
        <v>10917</v>
      </c>
    </row>
    <row r="241" spans="5:18" ht="38.25" customHeight="1">
      <c r="E241" s="352"/>
      <c r="F241" s="352">
        <v>180</v>
      </c>
      <c r="G241" s="352" t="s">
        <v>842</v>
      </c>
      <c r="H241" s="458" t="s">
        <v>2586</v>
      </c>
      <c r="I241" s="352">
        <f>I218</f>
        <v>16.55</v>
      </c>
      <c r="J241" s="352" t="s">
        <v>842</v>
      </c>
      <c r="K241" s="352">
        <f>F241*I241</f>
        <v>2979</v>
      </c>
      <c r="L241" s="352"/>
      <c r="M241" s="352">
        <v>90</v>
      </c>
      <c r="N241" s="352" t="s">
        <v>842</v>
      </c>
      <c r="O241" s="351" t="s">
        <v>2403</v>
      </c>
      <c r="P241" s="421">
        <f>I268</f>
        <v>20</v>
      </c>
      <c r="Q241" s="352" t="s">
        <v>842</v>
      </c>
      <c r="R241" s="352">
        <f>M241*P241</f>
        <v>1800</v>
      </c>
    </row>
    <row r="242" spans="5:18" ht="37.5" customHeight="1">
      <c r="E242" s="352"/>
      <c r="F242" s="352">
        <v>90</v>
      </c>
      <c r="G242" s="352" t="s">
        <v>842</v>
      </c>
      <c r="H242" s="351" t="s">
        <v>2403</v>
      </c>
      <c r="I242" s="352">
        <f>I219</f>
        <v>20</v>
      </c>
      <c r="J242" s="352" t="s">
        <v>842</v>
      </c>
      <c r="K242" s="352">
        <f>F242*I242</f>
        <v>1800</v>
      </c>
      <c r="L242" s="352"/>
      <c r="M242" s="352">
        <v>3</v>
      </c>
      <c r="N242" s="352" t="s">
        <v>2680</v>
      </c>
      <c r="O242" s="352" t="s">
        <v>395</v>
      </c>
      <c r="P242" s="421">
        <f>I269</f>
        <v>302</v>
      </c>
      <c r="Q242" s="352" t="s">
        <v>2680</v>
      </c>
      <c r="R242" s="352">
        <f>M242*P242</f>
        <v>906</v>
      </c>
    </row>
    <row r="243" spans="5:18" ht="45" customHeight="1">
      <c r="E243" s="352"/>
      <c r="F243" s="352">
        <v>3</v>
      </c>
      <c r="G243" s="352" t="s">
        <v>2680</v>
      </c>
      <c r="H243" s="352" t="s">
        <v>395</v>
      </c>
      <c r="I243" s="352">
        <f>I227</f>
        <v>302</v>
      </c>
      <c r="J243" s="352" t="s">
        <v>2680</v>
      </c>
      <c r="K243" s="352">
        <f>F243*I243</f>
        <v>906</v>
      </c>
      <c r="L243" s="352"/>
      <c r="M243" s="352">
        <v>90</v>
      </c>
      <c r="N243" s="352" t="s">
        <v>842</v>
      </c>
      <c r="O243" s="273" t="s">
        <v>5911</v>
      </c>
      <c r="P243" s="421">
        <v>40.950000000000003</v>
      </c>
      <c r="Q243" s="352" t="s">
        <v>2587</v>
      </c>
      <c r="R243" s="352">
        <f>M243*P243</f>
        <v>3685.5</v>
      </c>
    </row>
    <row r="244" spans="5:18" ht="39.75" customHeight="1">
      <c r="E244" s="352"/>
      <c r="F244" s="352">
        <v>90</v>
      </c>
      <c r="G244" s="352" t="s">
        <v>842</v>
      </c>
      <c r="H244" s="458" t="s">
        <v>2686</v>
      </c>
      <c r="I244" s="352">
        <f>I241</f>
        <v>16.55</v>
      </c>
      <c r="J244" s="352" t="s">
        <v>2587</v>
      </c>
      <c r="K244" s="352">
        <f>F244*I244</f>
        <v>1489.5</v>
      </c>
      <c r="L244" s="352"/>
      <c r="M244" s="352"/>
      <c r="N244" s="352"/>
      <c r="O244" s="352" t="s">
        <v>931</v>
      </c>
      <c r="P244" s="352"/>
      <c r="Q244" s="352"/>
      <c r="R244" s="352">
        <f>K271</f>
        <v>11454</v>
      </c>
    </row>
    <row r="245" spans="5:18" ht="20.25" customHeight="1">
      <c r="E245" s="352"/>
      <c r="F245" s="352"/>
      <c r="G245" s="352"/>
      <c r="H245" s="352" t="s">
        <v>931</v>
      </c>
      <c r="I245" s="352"/>
      <c r="J245" s="352"/>
      <c r="K245" s="352">
        <f>K229</f>
        <v>11454</v>
      </c>
      <c r="L245" s="352"/>
      <c r="M245" s="352"/>
      <c r="N245" s="352"/>
      <c r="O245" s="352" t="s">
        <v>2310</v>
      </c>
      <c r="P245" s="352"/>
      <c r="Q245" s="352"/>
      <c r="R245" s="352">
        <v>37.5</v>
      </c>
    </row>
    <row r="246" spans="5:18">
      <c r="E246" s="352"/>
      <c r="F246" s="352"/>
      <c r="G246" s="352"/>
      <c r="H246" s="352"/>
      <c r="I246" s="352"/>
      <c r="J246" s="352"/>
      <c r="K246" s="352">
        <f>SUM(K241:K245)</f>
        <v>18628.5</v>
      </c>
      <c r="L246" s="352"/>
      <c r="M246" s="352"/>
      <c r="N246" s="352"/>
      <c r="O246" s="357" t="s">
        <v>2432</v>
      </c>
      <c r="P246" s="352"/>
      <c r="Q246" s="352"/>
      <c r="R246" s="358">
        <f>SUM(R240:R245)</f>
        <v>28800</v>
      </c>
    </row>
    <row r="247" spans="5:18" ht="20.25" customHeight="1">
      <c r="E247" s="352"/>
      <c r="F247" s="352"/>
      <c r="G247" s="352"/>
      <c r="H247" s="352" t="s">
        <v>2310</v>
      </c>
      <c r="I247" s="352"/>
      <c r="J247" s="352"/>
      <c r="K247" s="352">
        <v>104</v>
      </c>
      <c r="L247" s="352"/>
      <c r="M247" s="352"/>
      <c r="N247" s="352"/>
      <c r="O247" s="359" t="s">
        <v>2433</v>
      </c>
      <c r="P247" s="352"/>
      <c r="Q247" s="352"/>
      <c r="R247" s="360">
        <f>R246/90</f>
        <v>320</v>
      </c>
    </row>
    <row r="248" spans="5:18">
      <c r="E248" s="352"/>
      <c r="F248" s="352"/>
      <c r="G248" s="352"/>
      <c r="H248" s="357" t="s">
        <v>2432</v>
      </c>
      <c r="I248" s="352"/>
      <c r="J248" s="352"/>
      <c r="K248" s="358">
        <f>SUM(K246:K247)</f>
        <v>18732.5</v>
      </c>
      <c r="L248" s="352"/>
      <c r="M248" s="352"/>
      <c r="N248" s="352"/>
      <c r="O248" s="352"/>
      <c r="P248" s="352"/>
      <c r="Q248" s="352"/>
      <c r="R248" s="352"/>
    </row>
    <row r="249" spans="5:18" ht="21.75" customHeight="1">
      <c r="E249" s="352"/>
      <c r="F249" s="352"/>
      <c r="G249" s="352"/>
      <c r="H249" s="359" t="s">
        <v>2433</v>
      </c>
      <c r="I249" s="352"/>
      <c r="J249" s="352"/>
      <c r="K249" s="360">
        <f>K248/90</f>
        <v>208.14</v>
      </c>
      <c r="L249" s="352">
        <f>131*90</f>
        <v>11790</v>
      </c>
      <c r="M249" s="352"/>
    </row>
    <row r="250" spans="5:18">
      <c r="E250" s="352"/>
      <c r="F250" s="352"/>
      <c r="G250" s="352"/>
      <c r="H250" s="352"/>
      <c r="I250" s="352"/>
      <c r="J250" s="352"/>
      <c r="K250" s="352"/>
      <c r="L250" s="352">
        <f>K248-L249</f>
        <v>6942.5</v>
      </c>
      <c r="M250" s="352"/>
    </row>
    <row r="251" spans="5:18">
      <c r="E251" s="352"/>
      <c r="F251" s="352"/>
      <c r="G251" s="352"/>
      <c r="H251" s="360" t="s">
        <v>2434</v>
      </c>
      <c r="I251" s="352"/>
      <c r="J251" s="352"/>
      <c r="K251" s="352"/>
      <c r="L251" s="352"/>
      <c r="M251" s="352"/>
    </row>
    <row r="252" spans="5:18">
      <c r="E252" s="352"/>
      <c r="F252" s="352"/>
      <c r="G252" s="352"/>
      <c r="H252" s="360" t="s">
        <v>2435</v>
      </c>
      <c r="I252" s="352"/>
      <c r="J252" s="352"/>
      <c r="K252" s="352"/>
      <c r="L252" s="352"/>
      <c r="M252" s="352"/>
    </row>
    <row r="253" spans="5:18">
      <c r="E253" s="352"/>
      <c r="F253" s="352"/>
      <c r="G253" s="352"/>
      <c r="H253" s="352"/>
      <c r="I253" s="352"/>
      <c r="J253" s="352"/>
      <c r="K253" s="352"/>
      <c r="L253" s="352"/>
      <c r="M253" s="352"/>
    </row>
    <row r="254" spans="5:18" ht="113.25" customHeight="1">
      <c r="E254" s="352"/>
      <c r="F254" s="352"/>
      <c r="G254" s="352"/>
      <c r="H254" s="351" t="s">
        <v>3066</v>
      </c>
      <c r="I254" s="352"/>
      <c r="J254" s="352"/>
      <c r="K254" s="352"/>
      <c r="L254" s="352"/>
      <c r="M254" s="352"/>
    </row>
    <row r="255" spans="5:18">
      <c r="E255" s="352"/>
      <c r="F255" s="352"/>
      <c r="G255" s="352"/>
      <c r="H255" s="352"/>
      <c r="I255" s="352"/>
      <c r="J255" s="352"/>
      <c r="K255" s="352"/>
      <c r="L255" s="352"/>
      <c r="M255" s="352"/>
    </row>
    <row r="256" spans="5:18">
      <c r="E256" s="352"/>
      <c r="F256" s="352"/>
      <c r="G256" s="352"/>
      <c r="H256" s="352" t="s">
        <v>3067</v>
      </c>
      <c r="I256" s="352" t="s">
        <v>5912</v>
      </c>
      <c r="J256" s="352"/>
      <c r="K256" s="352">
        <f>K246</f>
        <v>18628.5</v>
      </c>
      <c r="L256" s="352"/>
      <c r="M256" s="352"/>
    </row>
    <row r="257" spans="5:18" ht="34.5" customHeight="1">
      <c r="E257" s="352"/>
      <c r="F257" s="352">
        <v>180</v>
      </c>
      <c r="G257" s="352" t="s">
        <v>842</v>
      </c>
      <c r="H257" s="351" t="s">
        <v>4454</v>
      </c>
      <c r="I257" s="421">
        <v>25.75</v>
      </c>
      <c r="J257" s="352" t="s">
        <v>842</v>
      </c>
      <c r="K257" s="352">
        <f>F257*I257</f>
        <v>4635</v>
      </c>
      <c r="L257" s="352"/>
      <c r="M257" s="352"/>
    </row>
    <row r="258" spans="5:18" ht="36.75" customHeight="1">
      <c r="E258" s="352"/>
      <c r="F258" s="352">
        <v>180</v>
      </c>
      <c r="G258" s="352" t="s">
        <v>842</v>
      </c>
      <c r="H258" s="351" t="s">
        <v>3015</v>
      </c>
      <c r="I258" s="352">
        <f>I244</f>
        <v>16.55</v>
      </c>
      <c r="J258" s="352" t="s">
        <v>2587</v>
      </c>
      <c r="K258" s="352">
        <f>F258*I258</f>
        <v>2979</v>
      </c>
      <c r="L258" s="352"/>
      <c r="M258" s="352"/>
    </row>
    <row r="259" spans="5:18" ht="25.5" customHeight="1">
      <c r="E259" s="352"/>
      <c r="F259" s="352"/>
      <c r="G259" s="352"/>
      <c r="H259" s="352" t="s">
        <v>2310</v>
      </c>
      <c r="I259" s="352"/>
      <c r="J259" s="352"/>
      <c r="K259" s="352">
        <f>47.4+13.1</f>
        <v>60.5</v>
      </c>
      <c r="L259" s="352"/>
      <c r="M259" s="352"/>
    </row>
    <row r="260" spans="5:18">
      <c r="E260" s="352"/>
      <c r="F260" s="352"/>
      <c r="G260" s="352"/>
      <c r="H260" s="357" t="s">
        <v>3016</v>
      </c>
      <c r="I260" s="352"/>
      <c r="J260" s="352"/>
      <c r="K260" s="358">
        <f>K256+K257-K258+K259</f>
        <v>20345</v>
      </c>
      <c r="L260" s="352"/>
      <c r="M260" s="352"/>
    </row>
    <row r="261" spans="5:18">
      <c r="E261" s="352"/>
      <c r="F261" s="352"/>
      <c r="G261" s="352"/>
      <c r="H261" s="359" t="s">
        <v>2433</v>
      </c>
      <c r="I261" s="352"/>
      <c r="J261" s="352"/>
      <c r="K261" s="360">
        <f>K260/90</f>
        <v>226.06</v>
      </c>
      <c r="L261" s="352">
        <f>152*90</f>
        <v>13680</v>
      </c>
      <c r="M261" s="352"/>
    </row>
    <row r="262" spans="5:18">
      <c r="E262" s="352"/>
      <c r="F262" s="352"/>
      <c r="G262" s="352"/>
      <c r="H262" s="352"/>
      <c r="I262" s="352"/>
      <c r="J262" s="352"/>
      <c r="K262" s="352"/>
      <c r="L262" s="352">
        <f>L261-K260</f>
        <v>-6665</v>
      </c>
      <c r="M262" s="352"/>
    </row>
    <row r="263" spans="5:18">
      <c r="E263" s="352"/>
      <c r="F263" s="352" t="s">
        <v>992</v>
      </c>
      <c r="G263" s="352"/>
      <c r="H263" s="360" t="s">
        <v>3017</v>
      </c>
      <c r="I263" s="352"/>
      <c r="J263" s="352"/>
      <c r="K263" s="352"/>
      <c r="L263" s="352"/>
      <c r="M263" s="352"/>
    </row>
    <row r="264" spans="5:18">
      <c r="E264" s="352"/>
      <c r="F264" s="352"/>
      <c r="G264" s="352"/>
      <c r="H264" s="360" t="s">
        <v>3018</v>
      </c>
      <c r="I264" s="352"/>
      <c r="J264" s="352"/>
      <c r="K264" s="352"/>
      <c r="L264" s="352"/>
      <c r="M264" s="352"/>
    </row>
    <row r="265" spans="5:18">
      <c r="E265" s="352"/>
      <c r="F265" s="352"/>
      <c r="G265" s="352"/>
      <c r="H265" s="352"/>
      <c r="I265" s="352"/>
      <c r="J265" s="352"/>
      <c r="K265" s="352"/>
      <c r="L265" s="352"/>
      <c r="M265" s="352"/>
    </row>
    <row r="266" spans="5:18" ht="111.75" customHeight="1">
      <c r="E266" s="352"/>
      <c r="F266" s="352"/>
      <c r="G266" s="352"/>
      <c r="H266" s="351" t="s">
        <v>3245</v>
      </c>
      <c r="I266" s="352"/>
      <c r="J266" s="352"/>
      <c r="K266" s="352"/>
      <c r="L266" s="352"/>
      <c r="M266" s="352"/>
      <c r="N266" s="352"/>
      <c r="O266" s="351"/>
      <c r="P266" s="352"/>
      <c r="Q266" s="352"/>
      <c r="R266" s="352"/>
    </row>
    <row r="267" spans="5:18" ht="36" customHeight="1">
      <c r="E267" s="352"/>
      <c r="F267" s="352">
        <v>180</v>
      </c>
      <c r="G267" s="352" t="s">
        <v>842</v>
      </c>
      <c r="H267" s="458" t="s">
        <v>4455</v>
      </c>
      <c r="I267" s="421">
        <v>40.950000000000003</v>
      </c>
      <c r="J267" s="352" t="s">
        <v>2587</v>
      </c>
      <c r="K267" s="352">
        <f>F267*I267</f>
        <v>7371</v>
      </c>
      <c r="L267" s="352"/>
      <c r="M267" s="352"/>
      <c r="N267" s="352"/>
      <c r="O267" s="273"/>
      <c r="P267" s="352"/>
      <c r="Q267" s="352"/>
      <c r="R267" s="352"/>
    </row>
    <row r="268" spans="5:18" ht="39" customHeight="1">
      <c r="E268" s="352"/>
      <c r="F268" s="352">
        <v>90</v>
      </c>
      <c r="G268" s="352" t="s">
        <v>842</v>
      </c>
      <c r="H268" s="351" t="s">
        <v>2403</v>
      </c>
      <c r="I268" s="352">
        <f>I242</f>
        <v>20</v>
      </c>
      <c r="J268" s="352" t="s">
        <v>842</v>
      </c>
      <c r="K268" s="352">
        <f>F268*I268</f>
        <v>1800</v>
      </c>
      <c r="L268" s="352"/>
      <c r="M268" s="352"/>
      <c r="N268" s="352"/>
      <c r="O268" s="351"/>
      <c r="P268" s="352"/>
      <c r="Q268" s="352"/>
      <c r="R268" s="352"/>
    </row>
    <row r="269" spans="5:18" ht="23.25" customHeight="1">
      <c r="E269" s="352"/>
      <c r="F269" s="352">
        <v>3</v>
      </c>
      <c r="G269" s="352" t="s">
        <v>2680</v>
      </c>
      <c r="H269" s="352" t="s">
        <v>395</v>
      </c>
      <c r="I269" s="352">
        <f>I243</f>
        <v>302</v>
      </c>
      <c r="J269" s="352" t="s">
        <v>2680</v>
      </c>
      <c r="K269" s="352">
        <f>F269*I269</f>
        <v>906</v>
      </c>
      <c r="L269" s="352"/>
      <c r="M269" s="352"/>
      <c r="N269" s="352"/>
      <c r="O269" s="352"/>
      <c r="P269" s="352"/>
      <c r="Q269" s="352"/>
      <c r="R269" s="352"/>
    </row>
    <row r="270" spans="5:18" ht="38.25" customHeight="1">
      <c r="E270" s="352"/>
      <c r="F270" s="352">
        <v>90</v>
      </c>
      <c r="G270" s="352" t="s">
        <v>842</v>
      </c>
      <c r="H270" s="458" t="s">
        <v>3246</v>
      </c>
      <c r="I270" s="352">
        <f>I257</f>
        <v>25.75</v>
      </c>
      <c r="J270" s="352" t="s">
        <v>2587</v>
      </c>
      <c r="K270" s="352">
        <f>F270*I270</f>
        <v>2317.5</v>
      </c>
      <c r="L270" s="352"/>
      <c r="M270" s="352"/>
      <c r="N270" s="352"/>
      <c r="O270" s="273"/>
      <c r="P270" s="352"/>
      <c r="Q270" s="352"/>
      <c r="R270" s="352"/>
    </row>
    <row r="271" spans="5:18">
      <c r="E271" s="352"/>
      <c r="F271" s="352"/>
      <c r="G271" s="352"/>
      <c r="H271" s="352" t="s">
        <v>931</v>
      </c>
      <c r="I271" s="352"/>
      <c r="J271" s="352"/>
      <c r="K271" s="352">
        <f>K245</f>
        <v>11454</v>
      </c>
      <c r="L271" s="352"/>
      <c r="M271" s="352"/>
      <c r="N271" s="352"/>
      <c r="O271" s="352"/>
      <c r="P271" s="352"/>
      <c r="Q271" s="352"/>
      <c r="R271" s="352"/>
    </row>
    <row r="272" spans="5:18">
      <c r="E272" s="352"/>
      <c r="F272" s="352"/>
      <c r="G272" s="352"/>
      <c r="H272" s="352" t="s">
        <v>2310</v>
      </c>
      <c r="I272" s="352"/>
      <c r="J272" s="352"/>
      <c r="K272" s="352">
        <v>94.7</v>
      </c>
      <c r="L272" s="352"/>
      <c r="M272" s="352"/>
      <c r="N272" s="352"/>
      <c r="O272" s="352"/>
      <c r="P272" s="352"/>
      <c r="Q272" s="352"/>
      <c r="R272" s="352"/>
    </row>
    <row r="273" spans="5:19">
      <c r="E273" s="352"/>
      <c r="F273" s="352"/>
      <c r="G273" s="352"/>
      <c r="H273" s="357" t="s">
        <v>2432</v>
      </c>
      <c r="I273" s="352"/>
      <c r="J273" s="352"/>
      <c r="K273" s="358">
        <f>SUM(K267:K272)</f>
        <v>23943.200000000001</v>
      </c>
      <c r="L273" s="352"/>
      <c r="M273" s="352"/>
      <c r="N273" s="352"/>
      <c r="O273" s="357"/>
      <c r="P273" s="352"/>
      <c r="Q273" s="352"/>
      <c r="R273" s="358"/>
    </row>
    <row r="274" spans="5:19">
      <c r="E274" s="352"/>
      <c r="F274" s="352"/>
      <c r="G274" s="352"/>
      <c r="H274" s="359" t="s">
        <v>2433</v>
      </c>
      <c r="I274" s="352"/>
      <c r="J274" s="352"/>
      <c r="K274" s="360">
        <f>K273/90</f>
        <v>266.04000000000002</v>
      </c>
      <c r="L274" s="352">
        <f>189*90</f>
        <v>17010</v>
      </c>
      <c r="M274" s="352"/>
      <c r="N274" s="352"/>
      <c r="O274" s="359"/>
      <c r="P274" s="352"/>
      <c r="Q274" s="352"/>
      <c r="R274" s="360"/>
    </row>
    <row r="275" spans="5:19">
      <c r="E275" s="352"/>
      <c r="F275" s="352"/>
      <c r="G275" s="352"/>
      <c r="H275" s="352"/>
      <c r="I275" s="352"/>
      <c r="J275" s="352"/>
      <c r="K275" s="352"/>
      <c r="L275" s="352">
        <f>L274-K273</f>
        <v>-6933.2</v>
      </c>
      <c r="M275" s="352"/>
    </row>
    <row r="276" spans="5:19">
      <c r="E276" s="352"/>
      <c r="F276" s="352"/>
      <c r="G276" s="352"/>
      <c r="H276" s="352"/>
      <c r="I276" s="352"/>
      <c r="J276" s="352"/>
      <c r="K276" s="352"/>
      <c r="L276" s="352"/>
      <c r="M276" s="352"/>
    </row>
    <row r="277" spans="5:19">
      <c r="E277" s="352"/>
      <c r="F277" s="352"/>
      <c r="G277" s="352"/>
      <c r="H277" s="360" t="s">
        <v>3247</v>
      </c>
      <c r="I277" s="352"/>
      <c r="J277" s="352"/>
      <c r="K277" s="352"/>
      <c r="L277" s="352"/>
      <c r="M277" s="352"/>
      <c r="N277" s="352"/>
      <c r="O277" s="360" t="s">
        <v>3247</v>
      </c>
      <c r="P277" s="352"/>
      <c r="Q277" s="352"/>
      <c r="R277" s="352"/>
      <c r="S277" s="352"/>
    </row>
    <row r="278" spans="5:19">
      <c r="E278" s="352"/>
      <c r="F278" s="352"/>
      <c r="G278" s="352"/>
      <c r="H278" s="360" t="s">
        <v>2375</v>
      </c>
      <c r="I278" s="352"/>
      <c r="J278" s="352"/>
      <c r="K278" s="352"/>
      <c r="L278" s="352"/>
      <c r="M278" s="352"/>
      <c r="N278" s="352"/>
      <c r="O278" s="360" t="s">
        <v>3696</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5.5" customHeight="1">
      <c r="E280" s="352"/>
      <c r="F280" s="352"/>
      <c r="G280" s="352"/>
      <c r="H280" s="351" t="s">
        <v>2384</v>
      </c>
      <c r="I280" s="352"/>
      <c r="J280" s="352"/>
      <c r="K280" s="352"/>
      <c r="L280" s="352"/>
      <c r="M280" s="352"/>
      <c r="N280" s="352"/>
      <c r="O280" s="1531" t="s">
        <v>3697</v>
      </c>
      <c r="P280" s="1531"/>
      <c r="Q280" s="352"/>
      <c r="R280" s="352"/>
      <c r="S280" s="352"/>
    </row>
    <row r="281" spans="5:19" ht="34.5" customHeight="1">
      <c r="E281" s="352"/>
      <c r="F281" s="352">
        <v>360</v>
      </c>
      <c r="G281" s="352"/>
      <c r="H281" s="458" t="s">
        <v>3979</v>
      </c>
      <c r="I281" s="421">
        <f>I267</f>
        <v>40.950000000000003</v>
      </c>
      <c r="J281" s="352" t="s">
        <v>2587</v>
      </c>
      <c r="K281" s="352">
        <f>F281*I281</f>
        <v>14742</v>
      </c>
      <c r="L281" s="352"/>
      <c r="M281" s="352">
        <v>360</v>
      </c>
      <c r="N281" s="352"/>
      <c r="O281" s="422" t="s">
        <v>3880</v>
      </c>
      <c r="P281" s="421">
        <f>P240</f>
        <v>60.65</v>
      </c>
      <c r="Q281" s="352" t="s">
        <v>2587</v>
      </c>
      <c r="R281" s="352">
        <f>M281*P281</f>
        <v>21834</v>
      </c>
      <c r="S281" s="352"/>
    </row>
    <row r="282" spans="5:19" ht="36" customHeight="1">
      <c r="E282" s="352"/>
      <c r="F282" s="352">
        <v>90</v>
      </c>
      <c r="G282" s="352"/>
      <c r="H282" s="351" t="s">
        <v>4462</v>
      </c>
      <c r="I282" s="421">
        <v>24.2</v>
      </c>
      <c r="J282" s="352" t="s">
        <v>842</v>
      </c>
      <c r="K282" s="352">
        <f>F282*I282</f>
        <v>2178</v>
      </c>
      <c r="L282" s="352"/>
      <c r="M282" s="352">
        <v>90</v>
      </c>
      <c r="N282" s="352"/>
      <c r="O282" s="351" t="s">
        <v>2385</v>
      </c>
      <c r="P282" s="421">
        <f>I282</f>
        <v>24.2</v>
      </c>
      <c r="Q282" s="352" t="s">
        <v>842</v>
      </c>
      <c r="R282" s="352">
        <f>M282*P282</f>
        <v>2178</v>
      </c>
      <c r="S282" s="352"/>
    </row>
    <row r="283" spans="5:19" ht="21" customHeight="1">
      <c r="E283" s="352"/>
      <c r="F283" s="352">
        <v>3</v>
      </c>
      <c r="G283" s="352"/>
      <c r="H283" s="352" t="s">
        <v>395</v>
      </c>
      <c r="I283" s="352">
        <f>I269</f>
        <v>302</v>
      </c>
      <c r="J283" s="352" t="s">
        <v>2680</v>
      </c>
      <c r="K283" s="352">
        <f>F283*I283</f>
        <v>906</v>
      </c>
      <c r="L283" s="352"/>
      <c r="M283" s="352">
        <v>3</v>
      </c>
      <c r="N283" s="352"/>
      <c r="O283" s="352" t="s">
        <v>395</v>
      </c>
      <c r="P283" s="421">
        <f>I283</f>
        <v>302</v>
      </c>
      <c r="Q283" s="352" t="s">
        <v>2680</v>
      </c>
      <c r="R283" s="352">
        <f>M283*P283</f>
        <v>906</v>
      </c>
      <c r="S283" s="352"/>
    </row>
    <row r="284" spans="5:19" ht="33.75" customHeight="1">
      <c r="E284" s="352"/>
      <c r="F284" s="352">
        <v>90</v>
      </c>
      <c r="G284" s="352"/>
      <c r="H284" s="458" t="s">
        <v>3246</v>
      </c>
      <c r="I284" s="352">
        <f>I270</f>
        <v>25.75</v>
      </c>
      <c r="J284" s="352" t="s">
        <v>2587</v>
      </c>
      <c r="K284" s="352">
        <f>F284*I284</f>
        <v>2317.5</v>
      </c>
      <c r="L284" s="352"/>
      <c r="M284" s="352">
        <v>90</v>
      </c>
      <c r="N284" s="352"/>
      <c r="O284" s="273" t="s">
        <v>3246</v>
      </c>
      <c r="P284" s="421">
        <f>I284</f>
        <v>25.75</v>
      </c>
      <c r="Q284" s="352" t="s">
        <v>2587</v>
      </c>
      <c r="R284" s="352">
        <f>M284*P284</f>
        <v>2317.5</v>
      </c>
      <c r="S284" s="352"/>
    </row>
    <row r="285" spans="5:19">
      <c r="E285" s="352"/>
      <c r="F285" s="352"/>
      <c r="G285" s="352"/>
      <c r="H285" s="352" t="s">
        <v>931</v>
      </c>
      <c r="I285" s="352"/>
      <c r="J285" s="352"/>
      <c r="K285" s="352">
        <f>I291</f>
        <v>15075</v>
      </c>
      <c r="L285" s="352"/>
      <c r="M285" s="352"/>
      <c r="N285" s="352"/>
      <c r="O285" s="352" t="s">
        <v>931</v>
      </c>
      <c r="P285" s="352"/>
      <c r="Q285" s="352"/>
      <c r="R285" s="352">
        <f>K285</f>
        <v>15075</v>
      </c>
      <c r="S285" s="352"/>
    </row>
    <row r="286" spans="5:19">
      <c r="E286" s="352"/>
      <c r="F286" s="352"/>
      <c r="G286" s="352"/>
      <c r="H286" s="352" t="s">
        <v>2310</v>
      </c>
      <c r="I286" s="352"/>
      <c r="J286" s="352"/>
      <c r="K286" s="352">
        <v>25.5</v>
      </c>
      <c r="L286" s="352"/>
      <c r="M286" s="352"/>
      <c r="N286" s="352"/>
      <c r="O286" s="352" t="s">
        <v>2310</v>
      </c>
      <c r="P286" s="352"/>
      <c r="Q286" s="352"/>
      <c r="R286" s="352">
        <v>28.5</v>
      </c>
      <c r="S286" s="352"/>
    </row>
    <row r="287" spans="5:19">
      <c r="E287" s="352"/>
      <c r="F287" s="352"/>
      <c r="G287" s="352"/>
      <c r="H287" s="357" t="s">
        <v>2432</v>
      </c>
      <c r="I287" s="352"/>
      <c r="J287" s="352"/>
      <c r="K287" s="358">
        <f>SUM(K281:K286)</f>
        <v>35244</v>
      </c>
      <c r="L287" s="352"/>
      <c r="M287" s="352"/>
      <c r="N287" s="352"/>
      <c r="O287" s="357" t="s">
        <v>2432</v>
      </c>
      <c r="P287" s="352"/>
      <c r="Q287" s="352"/>
      <c r="R287" s="358">
        <f>SUM(R281:R286)</f>
        <v>42339</v>
      </c>
      <c r="S287" s="352">
        <f>217.3*90</f>
        <v>19557</v>
      </c>
    </row>
    <row r="288" spans="5:19">
      <c r="E288" s="352"/>
      <c r="F288" s="352"/>
      <c r="G288" s="352"/>
      <c r="H288" s="359" t="s">
        <v>2433</v>
      </c>
      <c r="I288" s="352"/>
      <c r="J288" s="352"/>
      <c r="K288" s="360">
        <f>K287/90</f>
        <v>391.6</v>
      </c>
      <c r="L288" s="352">
        <f>299*90</f>
        <v>26910</v>
      </c>
      <c r="M288" s="352"/>
      <c r="N288" s="352"/>
      <c r="O288" s="359" t="s">
        <v>2433</v>
      </c>
      <c r="P288" s="352"/>
      <c r="Q288" s="352"/>
      <c r="R288" s="360">
        <f>R287/90</f>
        <v>470.43</v>
      </c>
      <c r="S288" s="352">
        <f>S287-R287</f>
        <v>-22782</v>
      </c>
    </row>
    <row r="289" spans="5:18">
      <c r="E289" s="352"/>
      <c r="F289" s="352"/>
      <c r="G289" s="352"/>
      <c r="H289" s="352"/>
      <c r="I289" s="352"/>
      <c r="J289" s="352"/>
      <c r="K289" s="352"/>
      <c r="L289" s="352">
        <f>L288-K287</f>
        <v>-8334</v>
      </c>
      <c r="M289" s="352"/>
    </row>
    <row r="290" spans="5:18">
      <c r="E290" s="352"/>
      <c r="F290" s="352"/>
      <c r="G290" s="352"/>
      <c r="H290" s="360" t="s">
        <v>2386</v>
      </c>
      <c r="I290" s="352"/>
      <c r="J290" s="352"/>
      <c r="K290" s="352"/>
      <c r="L290" s="352"/>
      <c r="M290" s="352"/>
    </row>
    <row r="291" spans="5:18" s="427" customFormat="1">
      <c r="E291" s="425"/>
      <c r="F291" s="425"/>
      <c r="G291" s="425"/>
      <c r="H291" s="425" t="s">
        <v>3877</v>
      </c>
      <c r="I291" s="426">
        <f>(1.5*K42)-((K40+K41)/2)</f>
        <v>15075</v>
      </c>
      <c r="J291" s="425"/>
      <c r="K291" s="425"/>
      <c r="L291" s="425"/>
      <c r="M291" s="352"/>
      <c r="N291" s="352"/>
      <c r="O291" s="360" t="s">
        <v>3247</v>
      </c>
      <c r="P291" s="352"/>
      <c r="Q291" s="352"/>
      <c r="R291" s="352"/>
    </row>
    <row r="292" spans="5:18">
      <c r="E292" s="352"/>
      <c r="F292" s="352"/>
      <c r="G292" s="352"/>
      <c r="H292" s="352">
        <f>1.5*K42-(K40+K41)/2</f>
        <v>15075</v>
      </c>
      <c r="I292" s="352"/>
      <c r="J292" s="352"/>
      <c r="K292" s="352"/>
      <c r="L292" s="352"/>
      <c r="M292" s="352"/>
      <c r="N292" s="352"/>
      <c r="O292" s="360" t="s">
        <v>3698</v>
      </c>
      <c r="P292" s="352"/>
      <c r="Q292" s="352"/>
      <c r="R292" s="352"/>
    </row>
    <row r="293" spans="5:18">
      <c r="E293" s="352"/>
      <c r="F293" s="352"/>
      <c r="G293" s="352"/>
      <c r="H293" s="352"/>
      <c r="I293" s="352"/>
      <c r="J293" s="352"/>
      <c r="K293" s="352"/>
      <c r="L293" s="352"/>
      <c r="M293" s="352"/>
      <c r="N293" s="352"/>
      <c r="O293" s="352"/>
      <c r="P293" s="352"/>
      <c r="Q293" s="352"/>
      <c r="R293" s="352"/>
    </row>
    <row r="294" spans="5:18" ht="22.5" customHeight="1">
      <c r="E294" s="352"/>
      <c r="F294" s="352"/>
      <c r="G294" s="352"/>
      <c r="H294" s="368" t="s">
        <v>2387</v>
      </c>
      <c r="I294" s="352"/>
      <c r="J294" s="352"/>
      <c r="K294" s="352"/>
      <c r="L294" s="352"/>
      <c r="M294" s="352"/>
      <c r="N294" s="352"/>
      <c r="O294" s="351" t="s">
        <v>3699</v>
      </c>
      <c r="P294" s="352"/>
      <c r="Q294" s="352"/>
      <c r="R294" s="352"/>
    </row>
    <row r="295" spans="5:18" ht="31.5">
      <c r="E295" s="352"/>
      <c r="F295" s="352"/>
      <c r="G295" s="352"/>
      <c r="H295" s="352"/>
      <c r="I295" s="352"/>
      <c r="J295" s="352"/>
      <c r="K295" s="352"/>
      <c r="L295" s="352"/>
      <c r="M295" s="352">
        <v>360</v>
      </c>
      <c r="N295" s="352"/>
      <c r="O295" s="422" t="s">
        <v>3881</v>
      </c>
      <c r="P295" s="421">
        <v>80.650000000000006</v>
      </c>
      <c r="Q295" s="352" t="s">
        <v>2587</v>
      </c>
      <c r="R295" s="352">
        <f>M295*P295</f>
        <v>29034</v>
      </c>
    </row>
    <row r="296" spans="5:18" ht="18" customHeight="1">
      <c r="E296" s="352"/>
      <c r="F296" s="352"/>
      <c r="G296" s="352"/>
      <c r="H296" s="360" t="s">
        <v>2388</v>
      </c>
      <c r="I296" s="352"/>
      <c r="J296" s="352"/>
      <c r="K296" s="352"/>
      <c r="L296" s="352"/>
      <c r="M296" s="352">
        <v>90</v>
      </c>
      <c r="N296" s="352"/>
      <c r="O296" s="351" t="s">
        <v>2385</v>
      </c>
      <c r="P296" s="421">
        <f>P282</f>
        <v>24.2</v>
      </c>
      <c r="Q296" s="352" t="s">
        <v>842</v>
      </c>
      <c r="R296" s="352">
        <f>M296*P296</f>
        <v>2178</v>
      </c>
    </row>
    <row r="297" spans="5:18">
      <c r="E297" s="352"/>
      <c r="F297" s="352"/>
      <c r="G297" s="352"/>
      <c r="H297" s="352"/>
      <c r="I297" s="352"/>
      <c r="J297" s="352"/>
      <c r="K297" s="352"/>
      <c r="L297" s="352"/>
      <c r="M297" s="352">
        <v>3</v>
      </c>
      <c r="N297" s="352"/>
      <c r="O297" s="352" t="s">
        <v>395</v>
      </c>
      <c r="P297" s="421">
        <f>P283</f>
        <v>302</v>
      </c>
      <c r="Q297" s="352" t="s">
        <v>2680</v>
      </c>
      <c r="R297" s="352">
        <f>M297*P297</f>
        <v>906</v>
      </c>
    </row>
    <row r="298" spans="5:18" ht="23.25" customHeight="1">
      <c r="E298" s="352"/>
      <c r="F298" s="352"/>
      <c r="G298" s="352"/>
      <c r="H298" s="360" t="s">
        <v>2389</v>
      </c>
      <c r="I298" s="352"/>
      <c r="J298" s="352"/>
      <c r="K298" s="352"/>
      <c r="L298" s="352"/>
      <c r="M298" s="352">
        <v>90</v>
      </c>
      <c r="N298" s="352"/>
      <c r="O298" s="273" t="s">
        <v>3246</v>
      </c>
      <c r="P298" s="421">
        <f>P284</f>
        <v>25.75</v>
      </c>
      <c r="Q298" s="352" t="s">
        <v>2587</v>
      </c>
      <c r="R298" s="352">
        <f>M298*P298</f>
        <v>2317.5</v>
      </c>
    </row>
    <row r="299" spans="5:18">
      <c r="E299" s="352"/>
      <c r="F299" s="352"/>
      <c r="G299" s="352"/>
      <c r="H299" s="352"/>
      <c r="I299" s="352"/>
      <c r="J299" s="352"/>
      <c r="K299" s="352"/>
      <c r="L299" s="352"/>
      <c r="M299" s="352"/>
      <c r="N299" s="352"/>
      <c r="O299" s="352" t="s">
        <v>931</v>
      </c>
      <c r="P299" s="352"/>
      <c r="Q299" s="352"/>
      <c r="R299" s="352">
        <f>R285</f>
        <v>15075</v>
      </c>
    </row>
    <row r="300" spans="5:18" ht="47.25">
      <c r="E300" s="352"/>
      <c r="F300" s="352"/>
      <c r="G300" s="352"/>
      <c r="H300" s="351" t="s">
        <v>2390</v>
      </c>
      <c r="I300" s="352"/>
      <c r="J300" s="352"/>
      <c r="K300" s="352"/>
      <c r="L300" s="352"/>
      <c r="M300" s="352"/>
      <c r="N300" s="352"/>
      <c r="O300" s="352" t="s">
        <v>2310</v>
      </c>
      <c r="P300" s="352"/>
      <c r="Q300" s="352"/>
      <c r="R300" s="352">
        <v>28.5</v>
      </c>
    </row>
    <row r="301" spans="5:18">
      <c r="E301" s="352"/>
      <c r="F301" s="352">
        <v>1</v>
      </c>
      <c r="G301" s="352" t="s">
        <v>1419</v>
      </c>
      <c r="H301" s="352" t="s">
        <v>4456</v>
      </c>
      <c r="I301" s="421">
        <v>263.39999999999998</v>
      </c>
      <c r="J301" s="352" t="s">
        <v>1419</v>
      </c>
      <c r="K301" s="352">
        <f>F301*I301</f>
        <v>263.39999999999998</v>
      </c>
      <c r="L301" s="352"/>
      <c r="M301" s="352"/>
      <c r="N301" s="352"/>
      <c r="O301" s="357" t="s">
        <v>2432</v>
      </c>
      <c r="P301" s="352"/>
      <c r="Q301" s="352"/>
      <c r="R301" s="358">
        <f>SUM(R295:R300)</f>
        <v>49539</v>
      </c>
    </row>
    <row r="302" spans="5:18">
      <c r="E302" s="352"/>
      <c r="F302" s="352"/>
      <c r="G302" s="352"/>
      <c r="H302" s="352" t="s">
        <v>2310</v>
      </c>
      <c r="I302" s="352"/>
      <c r="J302" s="352"/>
      <c r="K302" s="352">
        <v>4.93</v>
      </c>
      <c r="L302" s="352"/>
      <c r="M302" s="352"/>
      <c r="N302" s="352"/>
      <c r="O302" s="359" t="s">
        <v>2433</v>
      </c>
      <c r="P302" s="352"/>
      <c r="Q302" s="352"/>
      <c r="R302" s="360">
        <f>R301/90</f>
        <v>550.42999999999995</v>
      </c>
    </row>
    <row r="303" spans="5:18">
      <c r="E303" s="352"/>
      <c r="F303" s="352"/>
      <c r="G303" s="352"/>
      <c r="H303" s="352" t="s">
        <v>931</v>
      </c>
      <c r="I303" s="352"/>
      <c r="J303" s="352"/>
      <c r="K303" s="352">
        <f>K311</f>
        <v>225.93</v>
      </c>
      <c r="L303" s="352"/>
      <c r="M303" s="352"/>
    </row>
    <row r="304" spans="5:18">
      <c r="E304" s="352"/>
      <c r="F304" s="352"/>
      <c r="G304" s="352"/>
      <c r="H304" s="359" t="s">
        <v>2391</v>
      </c>
      <c r="I304" s="352"/>
      <c r="J304" s="352"/>
      <c r="K304" s="360">
        <f>SUM(K301:K303)</f>
        <v>494.26</v>
      </c>
      <c r="L304" s="352">
        <f>K304-461</f>
        <v>33.26</v>
      </c>
      <c r="M304" s="352"/>
    </row>
    <row r="305" spans="5:13">
      <c r="E305" s="352"/>
      <c r="F305" s="352"/>
      <c r="G305" s="352"/>
      <c r="H305" s="352"/>
      <c r="I305" s="352"/>
      <c r="J305" s="352"/>
      <c r="K305" s="352"/>
      <c r="L305" s="352"/>
      <c r="M305" s="352"/>
    </row>
    <row r="306" spans="5:13">
      <c r="E306" s="352"/>
      <c r="F306" s="352"/>
      <c r="G306" s="352"/>
      <c r="H306" s="352"/>
      <c r="I306" s="352"/>
      <c r="J306" s="352"/>
      <c r="K306" s="352"/>
      <c r="L306" s="352"/>
      <c r="M306" s="352"/>
    </row>
    <row r="307" spans="5:13">
      <c r="E307" s="352"/>
      <c r="F307" s="352"/>
      <c r="G307" s="352"/>
      <c r="H307" s="367" t="s">
        <v>2392</v>
      </c>
      <c r="I307" s="352"/>
      <c r="J307" s="352"/>
      <c r="K307" s="352"/>
      <c r="L307" s="352"/>
      <c r="M307" s="352"/>
    </row>
    <row r="308" spans="5:13" ht="19.5" customHeight="1">
      <c r="E308" s="352"/>
      <c r="F308" s="352">
        <v>2</v>
      </c>
      <c r="G308" s="352" t="s">
        <v>1419</v>
      </c>
      <c r="H308" s="352" t="s">
        <v>2633</v>
      </c>
      <c r="I308" s="352">
        <f>I37</f>
        <v>778</v>
      </c>
      <c r="J308" s="352" t="s">
        <v>1419</v>
      </c>
      <c r="K308" s="352">
        <f>F308*I308</f>
        <v>1556</v>
      </c>
      <c r="L308" s="352"/>
      <c r="M308" s="352"/>
    </row>
    <row r="309" spans="5:13" ht="19.5" customHeight="1">
      <c r="E309" s="352"/>
      <c r="F309" s="352">
        <v>3</v>
      </c>
      <c r="G309" s="352" t="s">
        <v>1419</v>
      </c>
      <c r="H309" s="352" t="s">
        <v>2634</v>
      </c>
      <c r="I309" s="352">
        <f>I38</f>
        <v>611</v>
      </c>
      <c r="J309" s="352" t="s">
        <v>1419</v>
      </c>
      <c r="K309" s="352">
        <f>F309*I309</f>
        <v>1833</v>
      </c>
      <c r="L309" s="352"/>
      <c r="M309" s="352"/>
    </row>
    <row r="310" spans="5:13" ht="19.5" customHeight="1">
      <c r="E310" s="352"/>
      <c r="F310" s="352"/>
      <c r="G310" s="352"/>
      <c r="H310" s="357" t="s">
        <v>3503</v>
      </c>
      <c r="I310" s="352"/>
      <c r="J310" s="352"/>
      <c r="K310" s="358">
        <f>SUM(K308:K309)</f>
        <v>3389</v>
      </c>
      <c r="L310" s="352"/>
      <c r="M310" s="352"/>
    </row>
    <row r="311" spans="5:13" ht="19.5" customHeight="1">
      <c r="E311" s="352"/>
      <c r="F311" s="352"/>
      <c r="G311" s="352"/>
      <c r="H311" s="359" t="s">
        <v>2841</v>
      </c>
      <c r="I311" s="352"/>
      <c r="J311" s="352"/>
      <c r="K311" s="360">
        <f>K310/15</f>
        <v>225.93</v>
      </c>
      <c r="L311" s="352"/>
      <c r="M311" s="352"/>
    </row>
    <row r="312" spans="5:13">
      <c r="E312" s="352"/>
      <c r="F312" s="352"/>
      <c r="G312" s="352"/>
      <c r="H312" s="352"/>
      <c r="I312" s="352"/>
      <c r="J312" s="352"/>
      <c r="K312" s="352"/>
      <c r="L312" s="352"/>
      <c r="M312" s="352"/>
    </row>
    <row r="313" spans="5:13">
      <c r="E313" s="352"/>
      <c r="F313" s="352"/>
      <c r="G313" s="352"/>
      <c r="H313" s="360" t="s">
        <v>3504</v>
      </c>
      <c r="I313" s="352"/>
      <c r="J313" s="352"/>
      <c r="K313" s="352"/>
      <c r="L313" s="352"/>
      <c r="M313" s="352"/>
    </row>
    <row r="314" spans="5:13">
      <c r="E314" s="352"/>
      <c r="F314" s="352"/>
      <c r="G314" s="352"/>
      <c r="H314" s="352"/>
      <c r="I314" s="352"/>
      <c r="J314" s="352"/>
      <c r="K314" s="352"/>
      <c r="L314" s="352"/>
      <c r="M314" s="352"/>
    </row>
    <row r="315" spans="5:13" ht="65.25" customHeight="1">
      <c r="E315" s="352"/>
      <c r="F315" s="352"/>
      <c r="G315" s="352"/>
      <c r="H315" s="350" t="s">
        <v>3505</v>
      </c>
      <c r="I315" s="352"/>
      <c r="J315" s="352"/>
      <c r="K315" s="352"/>
      <c r="L315" s="352"/>
      <c r="M315" s="352"/>
    </row>
    <row r="316" spans="5:13">
      <c r="E316" s="352"/>
      <c r="F316" s="352"/>
      <c r="G316" s="352"/>
      <c r="H316" s="352"/>
      <c r="I316" s="352"/>
      <c r="J316" s="352"/>
      <c r="K316" s="352"/>
      <c r="L316" s="352"/>
      <c r="M316" s="352"/>
    </row>
    <row r="317" spans="5:13" ht="78" customHeight="1">
      <c r="E317" s="352"/>
      <c r="F317" s="352"/>
      <c r="G317" s="352"/>
      <c r="H317" s="351" t="s">
        <v>2810</v>
      </c>
      <c r="I317" s="352"/>
      <c r="J317" s="352"/>
      <c r="K317" s="352"/>
      <c r="L317" s="352"/>
      <c r="M317" s="352"/>
    </row>
    <row r="318" spans="5:13">
      <c r="E318" s="352"/>
      <c r="F318" s="352"/>
      <c r="G318" s="352"/>
      <c r="H318" s="352"/>
      <c r="I318" s="352"/>
      <c r="J318" s="352"/>
      <c r="K318" s="352"/>
      <c r="L318" s="352"/>
      <c r="M318" s="352"/>
    </row>
    <row r="319" spans="5:13" s="424" customFormat="1">
      <c r="E319" s="423"/>
      <c r="F319" s="423">
        <v>1</v>
      </c>
      <c r="G319" s="423" t="s">
        <v>1419</v>
      </c>
      <c r="H319" s="428" t="s">
        <v>2811</v>
      </c>
      <c r="I319" s="429">
        <v>200</v>
      </c>
      <c r="J319" s="423" t="s">
        <v>1419</v>
      </c>
      <c r="K319" s="423">
        <f>F319*I319</f>
        <v>200</v>
      </c>
      <c r="L319" s="423"/>
      <c r="M319" s="423"/>
    </row>
    <row r="320" spans="5:13" s="424" customFormat="1" ht="31.5">
      <c r="E320" s="423"/>
      <c r="F320" s="423">
        <v>1</v>
      </c>
      <c r="G320" s="423" t="s">
        <v>1419</v>
      </c>
      <c r="H320" s="428" t="s">
        <v>3590</v>
      </c>
      <c r="I320" s="430">
        <v>81.349999999999994</v>
      </c>
      <c r="J320" s="423" t="s">
        <v>1419</v>
      </c>
      <c r="K320" s="423">
        <f>F320*I320</f>
        <v>81.349999999999994</v>
      </c>
      <c r="L320" s="423"/>
      <c r="M320" s="423"/>
    </row>
    <row r="321" spans="5:13" ht="31.5">
      <c r="E321" s="352"/>
      <c r="F321" s="352"/>
      <c r="G321" s="352"/>
      <c r="H321" s="351" t="s">
        <v>2813</v>
      </c>
      <c r="I321" s="352"/>
      <c r="J321" s="352"/>
      <c r="K321" s="352">
        <v>9.15</v>
      </c>
      <c r="L321" s="352"/>
      <c r="M321" s="352"/>
    </row>
    <row r="322" spans="5:13">
      <c r="E322" s="352"/>
      <c r="F322" s="352"/>
      <c r="G322" s="352"/>
      <c r="H322" s="352" t="s">
        <v>931</v>
      </c>
      <c r="I322" s="352"/>
      <c r="J322" s="352"/>
      <c r="K322" s="352">
        <f>K330</f>
        <v>501.25</v>
      </c>
      <c r="L322" s="352"/>
      <c r="M322" s="352"/>
    </row>
    <row r="323" spans="5:13" ht="19.5" customHeight="1">
      <c r="E323" s="352"/>
      <c r="F323" s="352"/>
      <c r="G323" s="352"/>
      <c r="H323" s="359" t="s">
        <v>2841</v>
      </c>
      <c r="I323" s="352"/>
      <c r="J323" s="352"/>
      <c r="K323" s="360">
        <f>SUM(K319:K322)</f>
        <v>791.75</v>
      </c>
      <c r="L323" s="352">
        <f>K323-562</f>
        <v>229.75</v>
      </c>
      <c r="M323" s="352"/>
    </row>
    <row r="324" spans="5:13">
      <c r="E324" s="352"/>
      <c r="F324" s="352"/>
      <c r="G324" s="352"/>
      <c r="H324" s="352"/>
      <c r="I324" s="352"/>
      <c r="J324" s="352"/>
      <c r="K324" s="352"/>
      <c r="L324" s="352"/>
      <c r="M324" s="352"/>
    </row>
    <row r="325" spans="5:13">
      <c r="E325" s="352"/>
      <c r="F325" s="352"/>
      <c r="G325" s="352"/>
      <c r="H325" s="352"/>
      <c r="I325" s="352"/>
      <c r="J325" s="352"/>
      <c r="K325" s="352"/>
      <c r="L325" s="352"/>
      <c r="M325" s="352"/>
    </row>
    <row r="326" spans="5:13">
      <c r="E326" s="352"/>
      <c r="F326" s="352"/>
      <c r="G326" s="352"/>
      <c r="H326" s="367" t="s">
        <v>931</v>
      </c>
      <c r="I326" s="352"/>
      <c r="J326" s="352"/>
      <c r="K326" s="352"/>
      <c r="L326" s="352"/>
      <c r="M326" s="352"/>
    </row>
    <row r="327" spans="5:13" ht="18.75" customHeight="1">
      <c r="E327" s="352"/>
      <c r="F327" s="352">
        <v>1</v>
      </c>
      <c r="G327" s="352" t="s">
        <v>1419</v>
      </c>
      <c r="H327" s="352" t="s">
        <v>2814</v>
      </c>
      <c r="I327" s="352">
        <f>I36</f>
        <v>783</v>
      </c>
      <c r="J327" s="352" t="s">
        <v>1419</v>
      </c>
      <c r="K327" s="352">
        <f>F327*I327</f>
        <v>783</v>
      </c>
      <c r="L327" s="352"/>
      <c r="M327" s="352"/>
    </row>
    <row r="328" spans="5:13" ht="18.75" customHeight="1">
      <c r="E328" s="352"/>
      <c r="F328" s="352">
        <v>2</v>
      </c>
      <c r="G328" s="352" t="s">
        <v>1419</v>
      </c>
      <c r="H328" s="352" t="s">
        <v>2634</v>
      </c>
      <c r="I328" s="352">
        <f>I309</f>
        <v>611</v>
      </c>
      <c r="J328" s="352" t="s">
        <v>1419</v>
      </c>
      <c r="K328" s="352">
        <f>F328*I328</f>
        <v>1222</v>
      </c>
      <c r="L328" s="352"/>
      <c r="M328" s="352"/>
    </row>
    <row r="329" spans="5:13" ht="15" customHeight="1">
      <c r="E329" s="352"/>
      <c r="F329" s="352"/>
      <c r="G329" s="352"/>
      <c r="H329" s="357" t="s">
        <v>2815</v>
      </c>
      <c r="I329" s="352"/>
      <c r="J329" s="352"/>
      <c r="K329" s="358">
        <f>SUM(K327:K328)</f>
        <v>2005</v>
      </c>
      <c r="L329" s="352"/>
      <c r="M329" s="352"/>
    </row>
    <row r="330" spans="5:13" ht="20.25" customHeight="1">
      <c r="E330" s="352"/>
      <c r="F330" s="352"/>
      <c r="G330" s="352"/>
      <c r="H330" s="359" t="s">
        <v>2942</v>
      </c>
      <c r="I330" s="352"/>
      <c r="J330" s="352"/>
      <c r="K330" s="360">
        <f>K329/4</f>
        <v>501.25</v>
      </c>
      <c r="L330" s="352"/>
      <c r="M330" s="352"/>
    </row>
    <row r="331" spans="5:13">
      <c r="E331" s="352"/>
      <c r="F331" s="352"/>
      <c r="G331" s="352"/>
      <c r="H331" s="352"/>
      <c r="I331" s="352"/>
      <c r="J331" s="352"/>
      <c r="K331" s="352"/>
      <c r="L331" s="352"/>
      <c r="M331" s="352"/>
    </row>
    <row r="332" spans="5:13">
      <c r="E332" s="352"/>
      <c r="F332" s="352"/>
      <c r="G332" s="352"/>
      <c r="H332" s="360" t="s">
        <v>2816</v>
      </c>
      <c r="I332" s="352"/>
      <c r="J332" s="352"/>
      <c r="K332" s="352"/>
      <c r="L332" s="352"/>
      <c r="M332" s="352"/>
    </row>
    <row r="333" spans="5:13">
      <c r="E333" s="352"/>
      <c r="F333" s="352"/>
      <c r="G333" s="352"/>
      <c r="H333" s="352"/>
      <c r="I333" s="352"/>
      <c r="J333" s="352"/>
      <c r="K333" s="352"/>
      <c r="L333" s="352"/>
      <c r="M333" s="352"/>
    </row>
    <row r="334" spans="5:13" ht="47.25">
      <c r="E334" s="352"/>
      <c r="F334" s="352"/>
      <c r="G334" s="352"/>
      <c r="H334" s="350" t="s">
        <v>2817</v>
      </c>
      <c r="I334" s="352"/>
      <c r="J334" s="352"/>
      <c r="K334" s="352"/>
      <c r="L334" s="352"/>
      <c r="M334" s="352"/>
    </row>
    <row r="335" spans="5:13">
      <c r="E335" s="352"/>
      <c r="F335" s="352"/>
      <c r="G335" s="352"/>
      <c r="H335" s="352"/>
      <c r="I335" s="352"/>
      <c r="J335" s="352"/>
      <c r="K335" s="352"/>
      <c r="L335" s="352"/>
      <c r="M335" s="352"/>
    </row>
    <row r="336" spans="5:13" ht="63">
      <c r="E336" s="352"/>
      <c r="F336" s="352"/>
      <c r="G336" s="352"/>
      <c r="H336" s="351" t="s">
        <v>3276</v>
      </c>
      <c r="I336" s="352"/>
      <c r="J336" s="352"/>
      <c r="K336" s="352"/>
      <c r="L336" s="352"/>
      <c r="M336" s="352"/>
    </row>
    <row r="337" spans="5:13">
      <c r="E337" s="352"/>
      <c r="F337" s="352"/>
      <c r="G337" s="352"/>
      <c r="H337" s="352"/>
      <c r="I337" s="352"/>
      <c r="J337" s="352"/>
      <c r="K337" s="352"/>
      <c r="L337" s="352"/>
      <c r="M337" s="352"/>
    </row>
    <row r="338" spans="5:13" s="424" customFormat="1" ht="39.75" customHeight="1">
      <c r="E338" s="423"/>
      <c r="F338" s="423">
        <v>1</v>
      </c>
      <c r="G338" s="423" t="s">
        <v>1419</v>
      </c>
      <c r="H338" s="428" t="s">
        <v>3277</v>
      </c>
      <c r="I338" s="429">
        <v>455</v>
      </c>
      <c r="J338" s="423" t="s">
        <v>1419</v>
      </c>
      <c r="K338" s="423">
        <f>F338*I338</f>
        <v>455</v>
      </c>
      <c r="L338" s="423"/>
      <c r="M338" s="423"/>
    </row>
    <row r="339" spans="5:13" s="424" customFormat="1" ht="39" customHeight="1">
      <c r="E339" s="423"/>
      <c r="F339" s="423">
        <v>1</v>
      </c>
      <c r="G339" s="423" t="s">
        <v>1419</v>
      </c>
      <c r="H339" s="428" t="s">
        <v>2812</v>
      </c>
      <c r="I339" s="423">
        <f>I320</f>
        <v>81.349999999999994</v>
      </c>
      <c r="J339" s="423" t="s">
        <v>1419</v>
      </c>
      <c r="K339" s="423">
        <f>F339*I339</f>
        <v>81.349999999999994</v>
      </c>
      <c r="L339" s="423"/>
      <c r="M339" s="423"/>
    </row>
    <row r="340" spans="5:13" ht="42.75" customHeight="1">
      <c r="E340" s="352"/>
      <c r="F340" s="352"/>
      <c r="G340" s="352"/>
      <c r="H340" s="351" t="s">
        <v>2813</v>
      </c>
      <c r="I340" s="352"/>
      <c r="J340" s="352"/>
      <c r="K340" s="352">
        <v>9.15</v>
      </c>
      <c r="L340" s="352"/>
      <c r="M340" s="352"/>
    </row>
    <row r="341" spans="5:13" ht="20.100000000000001" customHeight="1">
      <c r="E341" s="352"/>
      <c r="F341" s="352"/>
      <c r="G341" s="352"/>
      <c r="H341" s="352" t="s">
        <v>931</v>
      </c>
      <c r="I341" s="352"/>
      <c r="J341" s="352"/>
      <c r="K341" s="352">
        <f>K330</f>
        <v>501.25</v>
      </c>
      <c r="L341" s="352"/>
      <c r="M341" s="352"/>
    </row>
    <row r="342" spans="5:13" ht="30" customHeight="1">
      <c r="E342" s="352"/>
      <c r="F342" s="352"/>
      <c r="G342" s="352"/>
      <c r="H342" s="359" t="s">
        <v>2841</v>
      </c>
      <c r="I342" s="352"/>
      <c r="J342" s="352"/>
      <c r="K342" s="360">
        <f>SUM(K338:K341)</f>
        <v>1046.75</v>
      </c>
      <c r="L342" s="352">
        <f>806-K342</f>
        <v>-240.75</v>
      </c>
      <c r="M342" s="352"/>
    </row>
    <row r="343" spans="5:13">
      <c r="E343" s="352"/>
      <c r="F343" s="352"/>
      <c r="G343" s="352"/>
      <c r="H343" s="352"/>
      <c r="I343" s="352"/>
      <c r="J343" s="352"/>
      <c r="K343" s="352"/>
      <c r="L343" s="352"/>
      <c r="M343" s="352"/>
    </row>
    <row r="344" spans="5:13">
      <c r="E344" s="352"/>
      <c r="F344" s="352"/>
      <c r="G344" s="352"/>
      <c r="H344" s="352"/>
      <c r="I344" s="352"/>
      <c r="J344" s="352"/>
      <c r="K344" s="352"/>
      <c r="L344" s="352"/>
      <c r="M344" s="352"/>
    </row>
    <row r="345" spans="5:13" ht="20.100000000000001" customHeight="1">
      <c r="E345" s="352"/>
      <c r="F345" s="352"/>
      <c r="G345" s="352"/>
      <c r="H345" s="360" t="s">
        <v>3283</v>
      </c>
      <c r="I345" s="352"/>
      <c r="J345" s="352"/>
      <c r="K345" s="352"/>
      <c r="L345" s="352"/>
      <c r="M345" s="352"/>
    </row>
    <row r="346" spans="5:13">
      <c r="E346" s="352"/>
      <c r="F346" s="352"/>
      <c r="G346" s="352"/>
      <c r="H346" s="352"/>
      <c r="I346" s="352"/>
      <c r="J346" s="352"/>
      <c r="K346" s="352"/>
      <c r="L346" s="352"/>
      <c r="M346" s="352"/>
    </row>
    <row r="347" spans="5:13" ht="58.5" customHeight="1">
      <c r="E347" s="352"/>
      <c r="F347" s="352"/>
      <c r="G347" s="352"/>
      <c r="H347" s="351" t="s">
        <v>2445</v>
      </c>
      <c r="I347" s="352"/>
      <c r="J347" s="352"/>
      <c r="K347" s="352"/>
      <c r="L347" s="352"/>
      <c r="M347" s="352"/>
    </row>
    <row r="348" spans="5:13">
      <c r="E348" s="352"/>
      <c r="F348" s="352"/>
      <c r="G348" s="352"/>
      <c r="H348" s="352"/>
      <c r="I348" s="352"/>
      <c r="J348" s="352"/>
      <c r="K348" s="352"/>
      <c r="L348" s="352"/>
      <c r="M348" s="352"/>
    </row>
    <row r="349" spans="5:13" ht="40.5" customHeight="1">
      <c r="E349" s="352"/>
      <c r="F349" s="352">
        <v>1</v>
      </c>
      <c r="G349" s="352" t="s">
        <v>1419</v>
      </c>
      <c r="H349" s="351" t="s">
        <v>4457</v>
      </c>
      <c r="I349" s="353">
        <v>439</v>
      </c>
      <c r="J349" s="352" t="s">
        <v>1419</v>
      </c>
      <c r="K349" s="352">
        <f>F349*I349</f>
        <v>439</v>
      </c>
      <c r="L349" s="352"/>
      <c r="M349" s="352"/>
    </row>
    <row r="350" spans="5:13" ht="20.100000000000001" customHeight="1">
      <c r="E350" s="352"/>
      <c r="F350" s="352">
        <v>1</v>
      </c>
      <c r="G350" s="352" t="s">
        <v>1419</v>
      </c>
      <c r="H350" s="352" t="s">
        <v>2446</v>
      </c>
      <c r="I350" s="352">
        <f>I339</f>
        <v>81.349999999999994</v>
      </c>
      <c r="J350" s="352" t="s">
        <v>1419</v>
      </c>
      <c r="K350" s="352">
        <f>F350*I350</f>
        <v>81.349999999999994</v>
      </c>
      <c r="L350" s="352"/>
      <c r="M350" s="352"/>
    </row>
    <row r="351" spans="5:13" ht="20.100000000000001" customHeight="1">
      <c r="E351" s="352"/>
      <c r="F351" s="352"/>
      <c r="G351" s="352"/>
      <c r="H351" s="352" t="s">
        <v>2310</v>
      </c>
      <c r="I351" s="352"/>
      <c r="J351" s="352"/>
      <c r="K351" s="352">
        <f>8.65+1.07+0.43</f>
        <v>10.15</v>
      </c>
      <c r="L351" s="352"/>
      <c r="M351" s="352"/>
    </row>
    <row r="352" spans="5:13" ht="20.100000000000001" customHeight="1">
      <c r="E352" s="352"/>
      <c r="F352" s="352"/>
      <c r="G352" s="352"/>
      <c r="H352" s="352" t="s">
        <v>2447</v>
      </c>
      <c r="I352" s="352"/>
      <c r="J352" s="352"/>
      <c r="K352" s="352">
        <f>K330</f>
        <v>501.25</v>
      </c>
      <c r="L352" s="352"/>
      <c r="M352" s="352"/>
    </row>
    <row r="353" spans="5:13" ht="30" customHeight="1">
      <c r="E353" s="352"/>
      <c r="F353" s="352"/>
      <c r="G353" s="352"/>
      <c r="H353" s="359" t="s">
        <v>1083</v>
      </c>
      <c r="I353" s="352"/>
      <c r="J353" s="352"/>
      <c r="K353" s="360">
        <f>SUM(K349:K352)</f>
        <v>1031.75</v>
      </c>
      <c r="L353" s="352">
        <f>891-K353</f>
        <v>-140.75</v>
      </c>
      <c r="M353" s="352"/>
    </row>
    <row r="354" spans="5:13">
      <c r="E354" s="352"/>
      <c r="F354" s="352"/>
      <c r="G354" s="352"/>
      <c r="H354" s="352"/>
      <c r="I354" s="352"/>
      <c r="J354" s="352"/>
      <c r="K354" s="352"/>
      <c r="L354" s="352"/>
      <c r="M354" s="352"/>
    </row>
    <row r="355" spans="5:13" ht="20.100000000000001" customHeight="1">
      <c r="E355" s="352"/>
      <c r="F355" s="352"/>
      <c r="G355" s="352"/>
      <c r="H355" s="360" t="s">
        <v>2816</v>
      </c>
      <c r="I355" s="352"/>
      <c r="J355" s="352"/>
      <c r="K355" s="352"/>
      <c r="L355" s="352"/>
      <c r="M355" s="352"/>
    </row>
    <row r="356" spans="5:13">
      <c r="E356" s="352"/>
      <c r="F356" s="352"/>
      <c r="G356" s="352"/>
      <c r="H356" s="352"/>
      <c r="I356" s="352"/>
      <c r="J356" s="352"/>
      <c r="K356" s="352"/>
      <c r="L356" s="352"/>
      <c r="M356" s="352"/>
    </row>
    <row r="357" spans="5:13" ht="52.5" customHeight="1">
      <c r="E357" s="352"/>
      <c r="F357" s="352"/>
      <c r="G357" s="352"/>
      <c r="H357" s="350" t="s">
        <v>3491</v>
      </c>
      <c r="I357" s="352"/>
      <c r="J357" s="352"/>
      <c r="K357" s="352"/>
      <c r="L357" s="352"/>
      <c r="M357" s="352"/>
    </row>
    <row r="358" spans="5:13">
      <c r="E358" s="352"/>
      <c r="F358" s="352"/>
      <c r="G358" s="352"/>
      <c r="H358" s="352"/>
      <c r="I358" s="352"/>
      <c r="J358" s="352"/>
      <c r="K358" s="352"/>
      <c r="L358" s="352"/>
      <c r="M358" s="352"/>
    </row>
    <row r="359" spans="5:13" ht="88.5" customHeight="1">
      <c r="E359" s="352"/>
      <c r="F359" s="352"/>
      <c r="G359" s="352"/>
      <c r="H359" s="351" t="s">
        <v>3492</v>
      </c>
      <c r="I359" s="352"/>
      <c r="J359" s="352"/>
      <c r="K359" s="352"/>
      <c r="L359" s="352"/>
      <c r="M359" s="352"/>
    </row>
    <row r="360" spans="5:13" ht="38.25" customHeight="1">
      <c r="E360" s="352"/>
      <c r="F360" s="352">
        <v>1</v>
      </c>
      <c r="G360" s="352" t="s">
        <v>1419</v>
      </c>
      <c r="H360" s="351" t="s">
        <v>3493</v>
      </c>
      <c r="I360" s="521">
        <v>480</v>
      </c>
      <c r="J360" s="352" t="s">
        <v>1419</v>
      </c>
      <c r="K360" s="352">
        <f>F360*I360</f>
        <v>480</v>
      </c>
      <c r="L360" s="352"/>
      <c r="M360" s="352"/>
    </row>
    <row r="361" spans="5:13" ht="40.5" customHeight="1">
      <c r="E361" s="352"/>
      <c r="F361" s="352">
        <v>1</v>
      </c>
      <c r="G361" s="352" t="s">
        <v>1419</v>
      </c>
      <c r="H361" s="351" t="s">
        <v>2644</v>
      </c>
      <c r="I361" s="352">
        <v>130</v>
      </c>
      <c r="J361" s="352" t="s">
        <v>1419</v>
      </c>
      <c r="K361" s="352">
        <f>F361*I361</f>
        <v>130</v>
      </c>
      <c r="L361" s="352"/>
      <c r="M361" s="352"/>
    </row>
    <row r="362" spans="5:13" ht="38.25" customHeight="1">
      <c r="E362" s="352"/>
      <c r="F362" s="352"/>
      <c r="G362" s="352"/>
      <c r="H362" s="351" t="s">
        <v>2645</v>
      </c>
      <c r="I362" s="352"/>
      <c r="J362" s="352"/>
      <c r="K362" s="352">
        <v>12.67</v>
      </c>
      <c r="L362" s="352"/>
      <c r="M362" s="352"/>
    </row>
    <row r="363" spans="5:13" ht="23.25" customHeight="1">
      <c r="E363" s="352"/>
      <c r="F363" s="352"/>
      <c r="G363" s="352"/>
      <c r="H363" s="352" t="s">
        <v>931</v>
      </c>
      <c r="I363" s="352"/>
      <c r="J363" s="352"/>
      <c r="K363" s="352">
        <f>K370</f>
        <v>668.33</v>
      </c>
      <c r="L363" s="352"/>
      <c r="M363" s="352"/>
    </row>
    <row r="364" spans="5:13" ht="30" customHeight="1">
      <c r="E364" s="352"/>
      <c r="F364" s="352"/>
      <c r="G364" s="352"/>
      <c r="H364" s="359" t="s">
        <v>1083</v>
      </c>
      <c r="I364" s="352"/>
      <c r="J364" s="352"/>
      <c r="K364" s="360">
        <f>SUM(K360:K363)</f>
        <v>1291</v>
      </c>
      <c r="L364" s="352">
        <f>968-K364</f>
        <v>-323</v>
      </c>
      <c r="M364" s="352"/>
    </row>
    <row r="365" spans="5:13">
      <c r="E365" s="352"/>
      <c r="F365" s="352"/>
      <c r="G365" s="352"/>
      <c r="H365" s="352"/>
      <c r="I365" s="352"/>
      <c r="J365" s="352"/>
      <c r="K365" s="352"/>
      <c r="L365" s="352"/>
      <c r="M365" s="352"/>
    </row>
    <row r="366" spans="5:13" ht="20.100000000000001" customHeight="1">
      <c r="E366" s="352"/>
      <c r="F366" s="352"/>
      <c r="G366" s="352"/>
      <c r="H366" s="358" t="s">
        <v>931</v>
      </c>
      <c r="I366" s="352"/>
      <c r="J366" s="352"/>
      <c r="K366" s="352"/>
      <c r="L366" s="352"/>
      <c r="M366" s="352"/>
    </row>
    <row r="367" spans="5:13">
      <c r="E367" s="352"/>
      <c r="F367" s="352">
        <v>1</v>
      </c>
      <c r="G367" s="352" t="s">
        <v>1419</v>
      </c>
      <c r="H367" s="352" t="s">
        <v>2646</v>
      </c>
      <c r="I367" s="352">
        <f>I327</f>
        <v>783</v>
      </c>
      <c r="J367" s="352" t="s">
        <v>1419</v>
      </c>
      <c r="K367" s="352">
        <f>F367*I367</f>
        <v>783</v>
      </c>
      <c r="L367" s="352"/>
      <c r="M367" s="352"/>
    </row>
    <row r="368" spans="5:13">
      <c r="E368" s="352"/>
      <c r="F368" s="352">
        <v>2</v>
      </c>
      <c r="G368" s="352" t="s">
        <v>1419</v>
      </c>
      <c r="H368" s="352" t="s">
        <v>3137</v>
      </c>
      <c r="I368" s="352">
        <f>I328</f>
        <v>611</v>
      </c>
      <c r="J368" s="352" t="s">
        <v>1419</v>
      </c>
      <c r="K368" s="352">
        <f>F368*I368</f>
        <v>1222</v>
      </c>
      <c r="L368" s="352"/>
      <c r="M368" s="352"/>
    </row>
    <row r="369" spans="5:13" ht="20.100000000000001" customHeight="1">
      <c r="E369" s="352"/>
      <c r="F369" s="352"/>
      <c r="G369" s="352"/>
      <c r="H369" s="357" t="s">
        <v>3139</v>
      </c>
      <c r="I369" s="352"/>
      <c r="J369" s="352"/>
      <c r="K369" s="352">
        <f>SUM(K367:K368)</f>
        <v>2005</v>
      </c>
      <c r="L369" s="352"/>
      <c r="M369" s="352"/>
    </row>
    <row r="370" spans="5:13" ht="20.100000000000001" customHeight="1">
      <c r="E370" s="352"/>
      <c r="F370" s="352"/>
      <c r="G370" s="352"/>
      <c r="H370" s="359" t="s">
        <v>2841</v>
      </c>
      <c r="I370" s="352"/>
      <c r="J370" s="352"/>
      <c r="K370" s="360">
        <f>K369/3</f>
        <v>668.33</v>
      </c>
      <c r="L370" s="352"/>
      <c r="M370" s="352"/>
    </row>
    <row r="371" spans="5:13">
      <c r="E371" s="352"/>
      <c r="F371" s="352"/>
      <c r="G371" s="352"/>
      <c r="H371" s="352"/>
      <c r="I371" s="352"/>
      <c r="J371" s="352"/>
      <c r="K371" s="352"/>
      <c r="L371" s="352"/>
      <c r="M371" s="352"/>
    </row>
    <row r="372" spans="5:13" ht="30" customHeight="1">
      <c r="E372" s="352"/>
      <c r="F372" s="352"/>
      <c r="G372" s="352"/>
      <c r="H372" s="360" t="s">
        <v>2647</v>
      </c>
      <c r="I372" s="352"/>
      <c r="J372" s="352"/>
      <c r="K372" s="352"/>
      <c r="L372" s="352"/>
      <c r="M372" s="352"/>
    </row>
    <row r="373" spans="5:13">
      <c r="E373" s="352"/>
      <c r="F373" s="352"/>
      <c r="G373" s="352"/>
      <c r="H373" s="352"/>
      <c r="I373" s="352"/>
      <c r="J373" s="352"/>
      <c r="K373" s="352"/>
      <c r="L373" s="352"/>
      <c r="M373" s="352"/>
    </row>
    <row r="374" spans="5:13" ht="91.5" customHeight="1">
      <c r="E374" s="352"/>
      <c r="F374" s="352"/>
      <c r="G374" s="352"/>
      <c r="H374" s="350" t="s">
        <v>5913</v>
      </c>
      <c r="I374" s="352"/>
      <c r="J374" s="352"/>
      <c r="K374" s="352"/>
      <c r="L374" s="352"/>
      <c r="M374" s="352"/>
    </row>
    <row r="375" spans="5:13" ht="30" customHeight="1">
      <c r="E375" s="352"/>
      <c r="F375" s="352">
        <v>1</v>
      </c>
      <c r="G375" s="352" t="s">
        <v>1419</v>
      </c>
      <c r="H375" s="352" t="s">
        <v>2661</v>
      </c>
      <c r="I375" s="521">
        <v>800</v>
      </c>
      <c r="J375" s="352" t="s">
        <v>1419</v>
      </c>
      <c r="K375" s="352">
        <f>F375*I375</f>
        <v>800</v>
      </c>
      <c r="L375" s="352"/>
      <c r="M375" s="352"/>
    </row>
    <row r="376" spans="5:13" ht="43.5" customHeight="1">
      <c r="E376" s="352"/>
      <c r="F376" s="352">
        <v>1</v>
      </c>
      <c r="G376" s="352" t="s">
        <v>1419</v>
      </c>
      <c r="H376" s="351" t="s">
        <v>2644</v>
      </c>
      <c r="I376" s="352">
        <f>I361</f>
        <v>130</v>
      </c>
      <c r="J376" s="352" t="s">
        <v>1419</v>
      </c>
      <c r="K376" s="352">
        <f>F376*I376</f>
        <v>130</v>
      </c>
      <c r="L376" s="352"/>
      <c r="M376" s="352"/>
    </row>
    <row r="377" spans="5:13" ht="41.25" customHeight="1">
      <c r="E377" s="352"/>
      <c r="F377" s="352"/>
      <c r="G377" s="352"/>
      <c r="H377" s="351" t="s">
        <v>2645</v>
      </c>
      <c r="I377" s="352"/>
      <c r="J377" s="352"/>
      <c r="K377" s="352">
        <v>10.67</v>
      </c>
      <c r="L377" s="352"/>
      <c r="M377" s="352"/>
    </row>
    <row r="378" spans="5:13" ht="30" customHeight="1">
      <c r="E378" s="352"/>
      <c r="F378" s="352"/>
      <c r="G378" s="352"/>
      <c r="H378" s="352" t="s">
        <v>931</v>
      </c>
      <c r="I378" s="352"/>
      <c r="J378" s="352"/>
      <c r="K378" s="352">
        <f>K370</f>
        <v>668.33</v>
      </c>
      <c r="L378" s="352"/>
      <c r="M378" s="352"/>
    </row>
    <row r="379" spans="5:13" ht="30" customHeight="1">
      <c r="E379" s="352"/>
      <c r="F379" s="352"/>
      <c r="G379" s="352"/>
      <c r="H379" s="359" t="s">
        <v>1083</v>
      </c>
      <c r="I379" s="352"/>
      <c r="J379" s="352"/>
      <c r="K379" s="360">
        <f>SUM(K375:K378)</f>
        <v>1609</v>
      </c>
      <c r="L379" s="352">
        <f>1287-K379</f>
        <v>-322</v>
      </c>
      <c r="M379" s="352"/>
    </row>
    <row r="380" spans="5:13">
      <c r="E380" s="352"/>
      <c r="F380" s="352"/>
      <c r="G380" s="352"/>
      <c r="H380" s="352"/>
      <c r="I380" s="352"/>
      <c r="J380" s="352"/>
      <c r="K380" s="352"/>
      <c r="L380" s="352"/>
      <c r="M380" s="352"/>
    </row>
    <row r="381" spans="5:13" ht="30" customHeight="1">
      <c r="E381" s="352"/>
      <c r="F381" s="352"/>
      <c r="G381" s="352"/>
      <c r="H381" s="360" t="s">
        <v>2662</v>
      </c>
      <c r="I381" s="352"/>
      <c r="J381" s="352"/>
      <c r="K381" s="352"/>
      <c r="L381" s="352"/>
      <c r="M381" s="352"/>
    </row>
    <row r="382" spans="5:13">
      <c r="E382" s="352"/>
      <c r="F382" s="352"/>
      <c r="G382" s="352"/>
      <c r="H382" s="352"/>
      <c r="I382" s="352"/>
      <c r="J382" s="352"/>
      <c r="K382" s="352"/>
      <c r="L382" s="352"/>
      <c r="M382" s="352"/>
    </row>
    <row r="383" spans="5:13" ht="74.25" customHeight="1">
      <c r="E383" s="352"/>
      <c r="F383" s="352"/>
      <c r="G383" s="352"/>
      <c r="H383" s="350" t="s">
        <v>3196</v>
      </c>
      <c r="I383" s="352"/>
      <c r="J383" s="352"/>
      <c r="K383" s="352"/>
      <c r="L383" s="352"/>
      <c r="M383" s="352"/>
    </row>
    <row r="384" spans="5:13" ht="95.25" customHeight="1">
      <c r="E384" s="352"/>
      <c r="F384" s="352"/>
      <c r="G384" s="352"/>
      <c r="H384" s="351" t="s">
        <v>3462</v>
      </c>
      <c r="I384" s="352"/>
      <c r="J384" s="352"/>
      <c r="K384" s="352"/>
      <c r="L384" s="352"/>
      <c r="M384" s="352"/>
    </row>
    <row r="385" spans="5:14">
      <c r="E385" s="352"/>
      <c r="F385" s="352"/>
      <c r="G385" s="352"/>
      <c r="H385" s="352"/>
      <c r="I385" s="352"/>
      <c r="J385" s="352"/>
      <c r="K385" s="352"/>
      <c r="L385" s="352"/>
      <c r="M385" s="352"/>
    </row>
    <row r="386" spans="5:14" ht="45" customHeight="1">
      <c r="E386" s="352"/>
      <c r="F386" s="352">
        <v>1</v>
      </c>
      <c r="G386" s="352" t="s">
        <v>1419</v>
      </c>
      <c r="H386" s="351" t="s">
        <v>4458</v>
      </c>
      <c r="I386" s="353">
        <v>2190</v>
      </c>
      <c r="J386" s="352" t="s">
        <v>1419</v>
      </c>
      <c r="K386" s="352">
        <f>F386*I386</f>
        <v>2190</v>
      </c>
      <c r="L386" s="352"/>
      <c r="M386" s="352"/>
    </row>
    <row r="387" spans="5:14" ht="30" customHeight="1">
      <c r="E387" s="352"/>
      <c r="F387" s="352">
        <v>1</v>
      </c>
      <c r="G387" s="352" t="s">
        <v>1419</v>
      </c>
      <c r="H387" s="352" t="s">
        <v>3463</v>
      </c>
      <c r="I387" s="353">
        <f>K391</f>
        <v>433.59</v>
      </c>
      <c r="J387" s="352" t="s">
        <v>1419</v>
      </c>
      <c r="K387" s="352">
        <f>F387*I387</f>
        <v>433.59</v>
      </c>
      <c r="L387" s="352"/>
      <c r="M387" s="352"/>
    </row>
    <row r="388" spans="5:14" ht="44.25" customHeight="1">
      <c r="E388" s="352"/>
      <c r="F388" s="352"/>
      <c r="G388" s="352"/>
      <c r="H388" s="351" t="s">
        <v>3464</v>
      </c>
      <c r="I388" s="352"/>
      <c r="J388" s="352"/>
      <c r="K388" s="352">
        <f>26.9+0.18</f>
        <v>27.08</v>
      </c>
      <c r="L388" s="352"/>
      <c r="M388" s="352"/>
    </row>
    <row r="389" spans="5:14" ht="30" customHeight="1">
      <c r="E389" s="352"/>
      <c r="F389" s="352"/>
      <c r="G389" s="352"/>
      <c r="H389" s="352" t="s">
        <v>931</v>
      </c>
      <c r="I389" s="352"/>
      <c r="J389" s="352"/>
      <c r="K389" s="352">
        <f>K370</f>
        <v>668.33</v>
      </c>
      <c r="L389" s="352"/>
      <c r="M389" s="352"/>
    </row>
    <row r="390" spans="5:14" ht="30" customHeight="1">
      <c r="E390" s="352"/>
      <c r="F390" s="352"/>
      <c r="G390" s="352"/>
      <c r="H390" s="359" t="s">
        <v>1083</v>
      </c>
      <c r="I390" s="352"/>
      <c r="J390" s="352"/>
      <c r="K390" s="360">
        <f>SUM(K386:K389)</f>
        <v>3319</v>
      </c>
      <c r="L390" s="352">
        <f>K390-3050</f>
        <v>269</v>
      </c>
      <c r="M390" s="352"/>
    </row>
    <row r="391" spans="5:14" ht="30" customHeight="1">
      <c r="E391" s="352"/>
      <c r="F391" s="352"/>
      <c r="G391" s="352"/>
      <c r="H391" s="352" t="s">
        <v>3946</v>
      </c>
      <c r="I391" s="353">
        <f>N391</f>
        <v>107060</v>
      </c>
      <c r="J391" s="369">
        <f>0.75*0.45*0.012</f>
        <v>4.0499999999999998E-3</v>
      </c>
      <c r="K391" s="352">
        <f>J391*I391</f>
        <v>433.59</v>
      </c>
      <c r="L391" s="352"/>
      <c r="M391" s="352">
        <f>6180+82300</f>
        <v>88480</v>
      </c>
      <c r="N391" s="180">
        <f>7460+99600</f>
        <v>107060</v>
      </c>
    </row>
    <row r="392" spans="5:14" ht="30" customHeight="1">
      <c r="E392" s="352"/>
      <c r="F392" s="352"/>
      <c r="G392" s="352"/>
      <c r="H392" s="360" t="s">
        <v>3465</v>
      </c>
      <c r="I392" s="352"/>
      <c r="J392" s="352"/>
      <c r="K392" s="352"/>
      <c r="L392" s="352"/>
      <c r="M392" s="352"/>
    </row>
    <row r="393" spans="5:14">
      <c r="E393" s="352"/>
      <c r="F393" s="352"/>
      <c r="G393" s="352"/>
      <c r="H393" s="352"/>
      <c r="I393" s="352"/>
      <c r="J393" s="352"/>
      <c r="K393" s="352"/>
      <c r="L393" s="352"/>
      <c r="M393" s="352"/>
    </row>
    <row r="394" spans="5:14" ht="92.25" customHeight="1">
      <c r="E394" s="352"/>
      <c r="F394" s="352"/>
      <c r="G394" s="352"/>
      <c r="H394" s="350" t="s">
        <v>2630</v>
      </c>
      <c r="I394" s="352"/>
      <c r="J394" s="352"/>
      <c r="K394" s="352"/>
      <c r="L394" s="352"/>
      <c r="M394" s="352"/>
    </row>
    <row r="395" spans="5:14">
      <c r="E395" s="352"/>
      <c r="F395" s="352"/>
      <c r="G395" s="352"/>
      <c r="H395" s="352"/>
      <c r="I395" s="352"/>
      <c r="J395" s="352"/>
      <c r="K395" s="352"/>
      <c r="L395" s="352"/>
      <c r="M395" s="352"/>
    </row>
    <row r="396" spans="5:14" ht="30" customHeight="1">
      <c r="E396" s="352"/>
      <c r="F396" s="352"/>
      <c r="G396" s="352"/>
      <c r="H396" s="352" t="s">
        <v>2631</v>
      </c>
      <c r="I396" s="352"/>
      <c r="J396" s="352"/>
      <c r="K396" s="352"/>
      <c r="L396" s="352"/>
      <c r="M396" s="352"/>
    </row>
    <row r="397" spans="5:14">
      <c r="E397" s="352"/>
      <c r="F397" s="352"/>
      <c r="G397" s="352"/>
      <c r="H397" s="352"/>
      <c r="I397" s="352"/>
      <c r="J397" s="352"/>
      <c r="K397" s="352"/>
      <c r="L397" s="352"/>
      <c r="M397" s="352"/>
    </row>
    <row r="398" spans="5:14" ht="30" customHeight="1">
      <c r="E398" s="352"/>
      <c r="F398" s="352"/>
      <c r="G398" s="352"/>
      <c r="H398" s="352" t="s">
        <v>3020</v>
      </c>
      <c r="I398" s="352"/>
      <c r="J398" s="352"/>
      <c r="K398" s="352">
        <f>K390</f>
        <v>3319</v>
      </c>
      <c r="L398" s="352"/>
      <c r="M398" s="352"/>
    </row>
    <row r="399" spans="5:14" ht="30" customHeight="1">
      <c r="E399" s="352"/>
      <c r="F399" s="352">
        <v>1</v>
      </c>
      <c r="G399" s="352" t="s">
        <v>1419</v>
      </c>
      <c r="H399" s="352" t="s">
        <v>4459</v>
      </c>
      <c r="I399" s="353">
        <v>2925</v>
      </c>
      <c r="J399" s="352" t="s">
        <v>1419</v>
      </c>
      <c r="K399" s="352">
        <f>F399*I399</f>
        <v>2925</v>
      </c>
      <c r="L399" s="352"/>
      <c r="M399" s="352"/>
    </row>
    <row r="400" spans="5:14" ht="30" customHeight="1">
      <c r="E400" s="352"/>
      <c r="F400" s="352">
        <v>1</v>
      </c>
      <c r="G400" s="352" t="s">
        <v>1419</v>
      </c>
      <c r="H400" s="352" t="s">
        <v>4460</v>
      </c>
      <c r="I400" s="421">
        <f>I386</f>
        <v>2190</v>
      </c>
      <c r="J400" s="352" t="s">
        <v>1419</v>
      </c>
      <c r="K400" s="352">
        <f>F400*I400</f>
        <v>2190</v>
      </c>
      <c r="L400" s="352"/>
      <c r="M400" s="352"/>
    </row>
    <row r="401" spans="5:13" ht="30" customHeight="1">
      <c r="E401" s="352"/>
      <c r="F401" s="352"/>
      <c r="G401" s="352"/>
      <c r="H401" s="352" t="s">
        <v>2310</v>
      </c>
      <c r="I401" s="352"/>
      <c r="J401" s="352"/>
      <c r="K401" s="352">
        <f>1.31+0.69</f>
        <v>2</v>
      </c>
      <c r="L401" s="352"/>
      <c r="M401" s="352"/>
    </row>
    <row r="402" spans="5:13" ht="30" customHeight="1">
      <c r="E402" s="352"/>
      <c r="F402" s="352"/>
      <c r="G402" s="352"/>
      <c r="H402" s="359" t="s">
        <v>1083</v>
      </c>
      <c r="I402" s="352"/>
      <c r="J402" s="352"/>
      <c r="K402" s="360">
        <f>K398+K399-K400+K401</f>
        <v>4056</v>
      </c>
      <c r="L402" s="352"/>
      <c r="M402" s="352"/>
    </row>
    <row r="403" spans="5:13" ht="39.75" customHeight="1">
      <c r="E403" s="352"/>
      <c r="F403" s="352"/>
      <c r="G403" s="352"/>
      <c r="H403" s="352"/>
      <c r="I403" s="352"/>
      <c r="J403" s="352"/>
      <c r="K403" s="352"/>
      <c r="L403" s="352"/>
      <c r="M403" s="352"/>
    </row>
    <row r="404" spans="5:13" ht="24.95" customHeight="1">
      <c r="E404" s="352"/>
      <c r="F404" s="352"/>
      <c r="G404" s="352"/>
      <c r="H404" s="360" t="s">
        <v>2647</v>
      </c>
      <c r="I404" s="352"/>
      <c r="J404" s="352"/>
      <c r="K404" s="352"/>
      <c r="L404" s="352"/>
      <c r="M404" s="352"/>
    </row>
    <row r="405" spans="5:13">
      <c r="E405" s="352"/>
      <c r="F405" s="352"/>
      <c r="G405" s="352"/>
      <c r="H405" s="352"/>
      <c r="I405" s="352"/>
      <c r="J405" s="352"/>
      <c r="K405" s="352"/>
      <c r="L405" s="352"/>
      <c r="M405" s="352"/>
    </row>
    <row r="406" spans="5:13" ht="39" customHeight="1">
      <c r="E406" s="352"/>
      <c r="F406" s="352"/>
      <c r="G406" s="352"/>
      <c r="H406" s="350" t="s">
        <v>3411</v>
      </c>
      <c r="I406" s="352"/>
      <c r="J406" s="352"/>
      <c r="K406" s="352"/>
      <c r="L406" s="352"/>
      <c r="M406" s="352"/>
    </row>
    <row r="407" spans="5:13">
      <c r="E407" s="352"/>
      <c r="F407" s="352"/>
      <c r="G407" s="352"/>
      <c r="H407" s="352"/>
      <c r="I407" s="352"/>
      <c r="J407" s="352"/>
      <c r="K407" s="352"/>
      <c r="L407" s="352"/>
      <c r="M407" s="352"/>
    </row>
    <row r="408" spans="5:13" ht="95.25" customHeight="1">
      <c r="E408" s="352"/>
      <c r="F408" s="352"/>
      <c r="G408" s="352"/>
      <c r="H408" s="351" t="s">
        <v>2362</v>
      </c>
      <c r="I408" s="352"/>
      <c r="J408" s="352"/>
      <c r="K408" s="352"/>
      <c r="L408" s="352"/>
      <c r="M408" s="352"/>
    </row>
    <row r="409" spans="5:13" ht="24.95" customHeight="1">
      <c r="E409" s="352"/>
      <c r="F409" s="352">
        <v>2</v>
      </c>
      <c r="G409" s="352" t="s">
        <v>1419</v>
      </c>
      <c r="H409" s="352" t="s">
        <v>4461</v>
      </c>
      <c r="I409" s="353">
        <v>558</v>
      </c>
      <c r="J409" s="352" t="s">
        <v>2935</v>
      </c>
      <c r="K409" s="352">
        <f>F409*(I409/100)</f>
        <v>11.16</v>
      </c>
      <c r="L409" s="352"/>
      <c r="M409" s="352"/>
    </row>
    <row r="410" spans="5:13" ht="24.95" customHeight="1">
      <c r="E410" s="352"/>
      <c r="F410" s="352">
        <v>2</v>
      </c>
      <c r="G410" s="352" t="s">
        <v>842</v>
      </c>
      <c r="H410" s="352" t="s">
        <v>2363</v>
      </c>
      <c r="I410" s="441">
        <v>914.1</v>
      </c>
      <c r="J410" s="352" t="s">
        <v>2364</v>
      </c>
      <c r="K410" s="352">
        <f>F410*(I410/100)</f>
        <v>18.28</v>
      </c>
      <c r="L410" s="352"/>
      <c r="M410" s="352"/>
    </row>
    <row r="411" spans="5:13" ht="24.95" customHeight="1">
      <c r="E411" s="352"/>
      <c r="F411" s="352"/>
      <c r="G411" s="352"/>
      <c r="H411" s="352" t="s">
        <v>2365</v>
      </c>
      <c r="I411" s="352"/>
      <c r="J411" s="352"/>
      <c r="K411" s="352">
        <v>8.81</v>
      </c>
      <c r="L411" s="352"/>
      <c r="M411" s="352"/>
    </row>
    <row r="412" spans="5:13" ht="24.95" customHeight="1">
      <c r="E412" s="352"/>
      <c r="F412" s="352"/>
      <c r="G412" s="352"/>
      <c r="H412" s="352" t="s">
        <v>3426</v>
      </c>
      <c r="I412" s="352"/>
      <c r="J412" s="352"/>
      <c r="K412" s="352">
        <f>K420</f>
        <v>260.75</v>
      </c>
      <c r="L412" s="352"/>
      <c r="M412" s="352"/>
    </row>
    <row r="413" spans="5:13" ht="24.95" customHeight="1">
      <c r="E413" s="352"/>
      <c r="F413" s="352"/>
      <c r="G413" s="352"/>
      <c r="H413" s="359" t="s">
        <v>1083</v>
      </c>
      <c r="I413" s="352"/>
      <c r="J413" s="352"/>
      <c r="K413" s="360">
        <f>SUM(K409:K412)</f>
        <v>299</v>
      </c>
      <c r="L413" s="352"/>
      <c r="M413" s="352"/>
    </row>
    <row r="414" spans="5:13">
      <c r="E414" s="352"/>
      <c r="F414" s="352"/>
      <c r="G414" s="352"/>
      <c r="H414" s="352"/>
      <c r="I414" s="352"/>
      <c r="J414" s="352"/>
      <c r="K414" s="352"/>
      <c r="L414" s="352"/>
      <c r="M414" s="352"/>
    </row>
    <row r="415" spans="5:13">
      <c r="E415" s="352"/>
      <c r="F415" s="352"/>
      <c r="H415" s="358" t="s">
        <v>3427</v>
      </c>
      <c r="I415" s="352"/>
      <c r="J415" s="352"/>
      <c r="K415" s="352"/>
      <c r="L415" s="352"/>
      <c r="M415" s="352"/>
    </row>
    <row r="416" spans="5:13">
      <c r="E416" s="352"/>
      <c r="F416" s="352">
        <v>1</v>
      </c>
      <c r="G416" s="352" t="s">
        <v>1419</v>
      </c>
      <c r="H416" s="352" t="s">
        <v>2814</v>
      </c>
      <c r="I416" s="352">
        <f>I36</f>
        <v>783</v>
      </c>
      <c r="J416" s="352" t="s">
        <v>1419</v>
      </c>
      <c r="K416" s="352">
        <f>F416*I416</f>
        <v>783</v>
      </c>
      <c r="L416" s="352"/>
      <c r="M416" s="352"/>
    </row>
    <row r="417" spans="5:13">
      <c r="E417" s="352"/>
      <c r="F417" s="352">
        <v>2</v>
      </c>
      <c r="G417" s="352" t="s">
        <v>1419</v>
      </c>
      <c r="H417" s="352" t="s">
        <v>2633</v>
      </c>
      <c r="I417" s="352">
        <f>I37</f>
        <v>778</v>
      </c>
      <c r="J417" s="352" t="s">
        <v>1419</v>
      </c>
      <c r="K417" s="352">
        <f>F417*I417</f>
        <v>1556</v>
      </c>
      <c r="L417" s="352"/>
      <c r="M417" s="352"/>
    </row>
    <row r="418" spans="5:13">
      <c r="E418" s="352"/>
      <c r="F418" s="352">
        <v>3</v>
      </c>
      <c r="G418" s="352" t="s">
        <v>1419</v>
      </c>
      <c r="H418" s="352" t="s">
        <v>3137</v>
      </c>
      <c r="I418" s="352">
        <f>I38</f>
        <v>611</v>
      </c>
      <c r="J418" s="352" t="s">
        <v>1419</v>
      </c>
      <c r="K418" s="352">
        <f>F418*I418</f>
        <v>1833</v>
      </c>
      <c r="L418" s="352"/>
      <c r="M418" s="352"/>
    </row>
    <row r="419" spans="5:13">
      <c r="E419" s="352"/>
      <c r="F419" s="352"/>
      <c r="G419" s="352"/>
      <c r="H419" s="357" t="s">
        <v>3428</v>
      </c>
      <c r="I419" s="352"/>
      <c r="J419" s="352"/>
      <c r="K419" s="358">
        <f>SUM(K416:K418)</f>
        <v>4172</v>
      </c>
      <c r="L419" s="352"/>
      <c r="M419" s="352"/>
    </row>
    <row r="420" spans="5:13">
      <c r="E420" s="352"/>
      <c r="F420" s="352"/>
      <c r="G420" s="352"/>
      <c r="H420" s="359" t="s">
        <v>2841</v>
      </c>
      <c r="I420" s="352"/>
      <c r="J420" s="352"/>
      <c r="K420" s="360">
        <f>K419/16</f>
        <v>260.75</v>
      </c>
      <c r="L420" s="352"/>
      <c r="M420" s="352"/>
    </row>
    <row r="421" spans="5:13">
      <c r="E421" s="352"/>
      <c r="F421" s="352"/>
      <c r="G421" s="352"/>
      <c r="H421" s="352"/>
      <c r="I421" s="352"/>
      <c r="J421" s="352"/>
      <c r="K421" s="352"/>
      <c r="L421" s="352"/>
      <c r="M421" s="352"/>
    </row>
    <row r="422" spans="5:13">
      <c r="E422" s="352"/>
      <c r="F422" s="352"/>
      <c r="G422" s="352"/>
      <c r="H422" s="360" t="s">
        <v>3429</v>
      </c>
      <c r="I422" s="352"/>
      <c r="J422" s="352"/>
      <c r="K422" s="352"/>
      <c r="L422" s="352"/>
      <c r="M422" s="352"/>
    </row>
    <row r="423" spans="5:13" ht="36" customHeight="1">
      <c r="E423" s="352"/>
      <c r="F423" s="352"/>
      <c r="G423" s="352"/>
      <c r="H423" s="350" t="s">
        <v>3430</v>
      </c>
      <c r="I423" s="352"/>
      <c r="J423" s="352"/>
      <c r="K423" s="352"/>
      <c r="L423" s="352"/>
      <c r="M423" s="352"/>
    </row>
    <row r="424" spans="5:13">
      <c r="E424" s="352"/>
      <c r="F424" s="352"/>
      <c r="G424" s="352"/>
      <c r="H424" s="352"/>
      <c r="I424" s="352"/>
      <c r="J424" s="352"/>
      <c r="K424" s="352"/>
      <c r="L424" s="352"/>
      <c r="M424" s="352"/>
    </row>
    <row r="425" spans="5:13" ht="112.5" customHeight="1">
      <c r="E425" s="352"/>
      <c r="F425" s="352"/>
      <c r="G425" s="352"/>
      <c r="H425" s="351" t="s">
        <v>2789</v>
      </c>
      <c r="I425" s="352"/>
      <c r="J425" s="352"/>
      <c r="K425" s="352"/>
      <c r="L425" s="352"/>
      <c r="M425" s="352"/>
    </row>
    <row r="426" spans="5:13">
      <c r="E426" s="352"/>
      <c r="F426" s="352">
        <v>1.5</v>
      </c>
      <c r="G426" s="352" t="s">
        <v>842</v>
      </c>
      <c r="H426" s="352" t="s">
        <v>3983</v>
      </c>
      <c r="I426" s="353">
        <v>27.2</v>
      </c>
      <c r="J426" s="352" t="s">
        <v>842</v>
      </c>
      <c r="K426" s="352">
        <f>F426*I426</f>
        <v>40.799999999999997</v>
      </c>
      <c r="L426" s="352"/>
      <c r="M426" s="352"/>
    </row>
    <row r="427" spans="5:13">
      <c r="E427" s="352"/>
      <c r="F427" s="352">
        <v>2</v>
      </c>
      <c r="G427" s="352" t="s">
        <v>1419</v>
      </c>
      <c r="H427" s="352" t="s">
        <v>2790</v>
      </c>
      <c r="I427" s="352">
        <f>I409</f>
        <v>558</v>
      </c>
      <c r="J427" s="352" t="s">
        <v>2935</v>
      </c>
      <c r="K427" s="352">
        <f>F427*(I427/100)</f>
        <v>11.16</v>
      </c>
      <c r="L427" s="352"/>
      <c r="M427" s="352"/>
    </row>
    <row r="428" spans="5:13">
      <c r="E428" s="352"/>
      <c r="F428" s="352">
        <v>2</v>
      </c>
      <c r="G428" s="352" t="s">
        <v>842</v>
      </c>
      <c r="H428" s="352" t="s">
        <v>2363</v>
      </c>
      <c r="I428" s="352">
        <f>I410</f>
        <v>914.1</v>
      </c>
      <c r="J428" s="352" t="s">
        <v>842</v>
      </c>
      <c r="K428" s="352">
        <f>F428*(I428/100)</f>
        <v>18.28</v>
      </c>
      <c r="L428" s="352"/>
      <c r="M428" s="352"/>
    </row>
    <row r="429" spans="5:13" ht="31.5" customHeight="1">
      <c r="E429" s="352"/>
      <c r="F429" s="352"/>
      <c r="G429" s="352"/>
      <c r="H429" s="351" t="s">
        <v>2791</v>
      </c>
      <c r="I429" s="352"/>
      <c r="J429" s="352"/>
      <c r="K429" s="352">
        <v>5.98</v>
      </c>
      <c r="L429" s="352"/>
      <c r="M429" s="352"/>
    </row>
    <row r="430" spans="5:13">
      <c r="E430" s="352"/>
      <c r="F430" s="352"/>
      <c r="G430" s="352"/>
      <c r="H430" s="352" t="s">
        <v>931</v>
      </c>
      <c r="I430" s="352"/>
      <c r="J430" s="352"/>
      <c r="K430" s="352">
        <f>K438</f>
        <v>417.2</v>
      </c>
      <c r="L430" s="352"/>
      <c r="M430" s="352"/>
    </row>
    <row r="431" spans="5:13" ht="24.95" customHeight="1">
      <c r="E431" s="352"/>
      <c r="F431" s="352"/>
      <c r="G431" s="352"/>
      <c r="H431" s="359" t="s">
        <v>1083</v>
      </c>
      <c r="I431" s="352"/>
      <c r="J431" s="352"/>
      <c r="K431" s="360">
        <f>SUM(K426:K430)</f>
        <v>493.42</v>
      </c>
      <c r="L431" s="352"/>
      <c r="M431" s="352"/>
    </row>
    <row r="432" spans="5:13">
      <c r="E432" s="352"/>
      <c r="F432" s="352"/>
      <c r="G432" s="352"/>
      <c r="H432" s="352"/>
      <c r="I432" s="352"/>
      <c r="J432" s="352"/>
      <c r="K432" s="352"/>
      <c r="L432" s="352"/>
      <c r="M432" s="352"/>
    </row>
    <row r="433" spans="5:13">
      <c r="E433" s="352"/>
      <c r="F433" s="352"/>
      <c r="G433" s="352"/>
      <c r="H433" s="360" t="s">
        <v>142</v>
      </c>
      <c r="I433" s="352"/>
      <c r="J433" s="352"/>
      <c r="K433" s="352"/>
      <c r="L433" s="352"/>
      <c r="M433" s="352"/>
    </row>
    <row r="434" spans="5:13">
      <c r="E434" s="352"/>
      <c r="F434" s="352">
        <v>1</v>
      </c>
      <c r="G434" s="352" t="s">
        <v>1419</v>
      </c>
      <c r="H434" s="352" t="s">
        <v>2814</v>
      </c>
      <c r="I434" s="352">
        <f>I416</f>
        <v>783</v>
      </c>
      <c r="J434" s="352" t="s">
        <v>1419</v>
      </c>
      <c r="K434" s="352">
        <f>F434*I434</f>
        <v>783</v>
      </c>
      <c r="L434" s="352"/>
      <c r="M434" s="352"/>
    </row>
    <row r="435" spans="5:13">
      <c r="E435" s="352"/>
      <c r="F435" s="352">
        <v>2</v>
      </c>
      <c r="G435" s="352" t="s">
        <v>1419</v>
      </c>
      <c r="H435" s="352" t="s">
        <v>2633</v>
      </c>
      <c r="I435" s="352">
        <f>I417</f>
        <v>778</v>
      </c>
      <c r="J435" s="352" t="s">
        <v>1419</v>
      </c>
      <c r="K435" s="352">
        <f>F435*I435</f>
        <v>1556</v>
      </c>
      <c r="L435" s="352"/>
      <c r="M435" s="352"/>
    </row>
    <row r="436" spans="5:13">
      <c r="E436" s="352"/>
      <c r="F436" s="352">
        <v>3</v>
      </c>
      <c r="G436" s="352" t="s">
        <v>1419</v>
      </c>
      <c r="H436" s="352" t="s">
        <v>3137</v>
      </c>
      <c r="I436" s="352">
        <f>I418</f>
        <v>611</v>
      </c>
      <c r="J436" s="352" t="s">
        <v>1419</v>
      </c>
      <c r="K436" s="352">
        <f>F436*I436</f>
        <v>1833</v>
      </c>
      <c r="L436" s="352"/>
      <c r="M436" s="352"/>
    </row>
    <row r="437" spans="5:13">
      <c r="E437" s="352"/>
      <c r="F437" s="352"/>
      <c r="G437" s="352"/>
      <c r="H437" s="357" t="s">
        <v>2792</v>
      </c>
      <c r="I437" s="352"/>
      <c r="J437" s="352"/>
      <c r="K437" s="358">
        <f>SUM(K434:K436)</f>
        <v>4172</v>
      </c>
      <c r="L437" s="352"/>
      <c r="M437" s="352"/>
    </row>
    <row r="438" spans="5:13">
      <c r="E438" s="352"/>
      <c r="F438" s="352"/>
      <c r="G438" s="352"/>
      <c r="H438" s="359" t="s">
        <v>2841</v>
      </c>
      <c r="I438" s="352"/>
      <c r="J438" s="352"/>
      <c r="K438" s="360">
        <f>K437/10</f>
        <v>417.2</v>
      </c>
      <c r="L438" s="352"/>
      <c r="M438" s="352"/>
    </row>
    <row r="439" spans="5:13">
      <c r="E439" s="352"/>
      <c r="F439" s="352"/>
      <c r="G439" s="352"/>
      <c r="H439" s="352"/>
      <c r="I439" s="352"/>
      <c r="J439" s="352"/>
      <c r="K439" s="352"/>
      <c r="L439" s="352"/>
      <c r="M439" s="352"/>
    </row>
    <row r="440" spans="5:13">
      <c r="E440" s="352"/>
      <c r="F440" s="352"/>
      <c r="G440" s="352"/>
      <c r="H440" s="360" t="s">
        <v>3465</v>
      </c>
      <c r="I440" s="352"/>
      <c r="J440" s="352"/>
      <c r="K440" s="352"/>
      <c r="L440" s="352"/>
      <c r="M440" s="352"/>
    </row>
    <row r="441" spans="5:13" ht="83.25" customHeight="1">
      <c r="E441" s="352"/>
      <c r="F441" s="352"/>
      <c r="G441" s="352"/>
      <c r="H441" s="351" t="s">
        <v>3176</v>
      </c>
      <c r="I441" s="352"/>
      <c r="J441" s="352"/>
      <c r="K441" s="352"/>
      <c r="L441" s="352"/>
      <c r="M441" s="352"/>
    </row>
    <row r="442" spans="5:13">
      <c r="E442" s="352"/>
      <c r="F442" s="352"/>
      <c r="G442" s="352"/>
      <c r="H442" s="352"/>
      <c r="I442" s="352"/>
      <c r="J442" s="352"/>
      <c r="K442" s="352"/>
      <c r="L442" s="352"/>
      <c r="M442" s="352"/>
    </row>
    <row r="443" spans="5:13" ht="22.5" customHeight="1">
      <c r="E443" s="352"/>
      <c r="F443" s="352">
        <v>1</v>
      </c>
      <c r="G443" s="352" t="s">
        <v>842</v>
      </c>
      <c r="H443" s="352" t="s">
        <v>2363</v>
      </c>
      <c r="I443" s="352">
        <f>I428</f>
        <v>914.1</v>
      </c>
      <c r="J443" s="352" t="s">
        <v>3177</v>
      </c>
      <c r="K443" s="352">
        <f>F443*(I443/100)</f>
        <v>9.14</v>
      </c>
      <c r="L443" s="352"/>
      <c r="M443" s="352"/>
    </row>
    <row r="444" spans="5:13" ht="24.95" customHeight="1">
      <c r="E444" s="352"/>
      <c r="F444" s="352"/>
      <c r="G444" s="352"/>
      <c r="H444" s="352" t="s">
        <v>142</v>
      </c>
      <c r="I444" s="352"/>
      <c r="J444" s="352"/>
      <c r="K444" s="352">
        <f>K451</f>
        <v>556.6</v>
      </c>
      <c r="L444" s="352"/>
      <c r="M444" s="352"/>
    </row>
    <row r="445" spans="5:13" ht="24.95" customHeight="1">
      <c r="E445" s="352"/>
      <c r="F445" s="352"/>
      <c r="G445" s="352"/>
      <c r="H445" s="352" t="s">
        <v>2366</v>
      </c>
      <c r="J445" s="352"/>
      <c r="K445" s="352">
        <v>5.46</v>
      </c>
      <c r="L445" s="352"/>
      <c r="M445" s="352"/>
    </row>
    <row r="446" spans="5:13" ht="24.95" customHeight="1">
      <c r="E446" s="352"/>
      <c r="F446" s="352"/>
      <c r="G446" s="352"/>
      <c r="H446" s="358" t="s">
        <v>3178</v>
      </c>
      <c r="I446" s="360" t="s">
        <v>1083</v>
      </c>
      <c r="J446" s="352"/>
      <c r="K446" s="360">
        <f>SUM(K443:K445)</f>
        <v>571.20000000000005</v>
      </c>
      <c r="L446" s="352">
        <f>304-K446</f>
        <v>-267.2</v>
      </c>
      <c r="M446" s="352"/>
    </row>
    <row r="447" spans="5:13" ht="21" customHeight="1">
      <c r="E447" s="352"/>
      <c r="F447" s="352">
        <v>1</v>
      </c>
      <c r="G447" s="352" t="s">
        <v>1419</v>
      </c>
      <c r="H447" s="352" t="s">
        <v>2814</v>
      </c>
      <c r="I447" s="352">
        <f>I434</f>
        <v>783</v>
      </c>
      <c r="J447" s="352" t="s">
        <v>1419</v>
      </c>
      <c r="K447" s="352">
        <f>F447*I447</f>
        <v>783</v>
      </c>
      <c r="L447" s="352"/>
      <c r="M447" s="352"/>
    </row>
    <row r="448" spans="5:13" ht="21" customHeight="1">
      <c r="E448" s="352"/>
      <c r="F448" s="352">
        <v>1</v>
      </c>
      <c r="G448" s="352" t="s">
        <v>1419</v>
      </c>
      <c r="H448" s="352" t="s">
        <v>2633</v>
      </c>
      <c r="I448" s="352">
        <f>I435</f>
        <v>778</v>
      </c>
      <c r="J448" s="352" t="s">
        <v>1419</v>
      </c>
      <c r="K448" s="352">
        <f>F448*I448</f>
        <v>778</v>
      </c>
      <c r="L448" s="352"/>
      <c r="M448" s="352"/>
    </row>
    <row r="449" spans="5:13" ht="21" customHeight="1">
      <c r="E449" s="352"/>
      <c r="F449" s="352">
        <v>2</v>
      </c>
      <c r="G449" s="352" t="s">
        <v>1419</v>
      </c>
      <c r="H449" s="352" t="s">
        <v>3137</v>
      </c>
      <c r="I449" s="352">
        <f>I436</f>
        <v>611</v>
      </c>
      <c r="J449" s="352" t="s">
        <v>1419</v>
      </c>
      <c r="K449" s="352">
        <f>F449*I449</f>
        <v>1222</v>
      </c>
      <c r="L449" s="352"/>
      <c r="M449" s="352"/>
    </row>
    <row r="450" spans="5:13" ht="24.95" customHeight="1">
      <c r="E450" s="352"/>
      <c r="F450" s="352"/>
      <c r="G450" s="352"/>
      <c r="H450" s="357" t="s">
        <v>3179</v>
      </c>
      <c r="I450" s="352"/>
      <c r="J450" s="352"/>
      <c r="K450" s="358">
        <f>SUM(K447:K449)</f>
        <v>2783</v>
      </c>
      <c r="L450" s="352"/>
      <c r="M450" s="352"/>
    </row>
    <row r="451" spans="5:13" ht="19.5" customHeight="1">
      <c r="E451" s="352"/>
      <c r="F451" s="352"/>
      <c r="G451" s="352"/>
      <c r="H451" s="359" t="s">
        <v>1083</v>
      </c>
      <c r="I451" s="352"/>
      <c r="J451" s="352"/>
      <c r="K451" s="360">
        <f>K450/5</f>
        <v>556.6</v>
      </c>
      <c r="L451" s="352"/>
      <c r="M451" s="352"/>
    </row>
    <row r="452" spans="5:13" ht="24.95" customHeight="1">
      <c r="E452" s="352"/>
      <c r="F452" s="352"/>
      <c r="G452" s="352"/>
      <c r="H452" s="370" t="s">
        <v>3180</v>
      </c>
      <c r="I452" s="352"/>
      <c r="J452" s="352"/>
      <c r="K452" s="352"/>
      <c r="L452" s="352"/>
      <c r="M452" s="352"/>
    </row>
    <row r="453" spans="5:13">
      <c r="E453" s="352"/>
      <c r="F453" s="352"/>
      <c r="G453" s="352"/>
      <c r="H453" s="360" t="s">
        <v>3181</v>
      </c>
      <c r="I453" s="352"/>
      <c r="J453" s="352"/>
      <c r="K453" s="352"/>
      <c r="L453" s="352"/>
      <c r="M453" s="352"/>
    </row>
    <row r="454" spans="5:13">
      <c r="E454" s="352"/>
      <c r="F454" s="352"/>
      <c r="G454" s="352"/>
      <c r="H454" s="360" t="s">
        <v>3182</v>
      </c>
      <c r="I454" s="352"/>
      <c r="J454" s="352"/>
      <c r="K454" s="352"/>
      <c r="L454" s="352"/>
      <c r="M454" s="352"/>
    </row>
    <row r="455" spans="5:13">
      <c r="E455" s="352"/>
      <c r="F455" s="352"/>
      <c r="G455" s="352"/>
      <c r="H455" s="361" t="s">
        <v>3183</v>
      </c>
      <c r="I455" s="352"/>
      <c r="J455" s="352"/>
      <c r="K455" s="352"/>
      <c r="L455" s="352"/>
      <c r="M455" s="352"/>
    </row>
    <row r="456" spans="5:13" ht="68.25" customHeight="1">
      <c r="E456" s="352"/>
      <c r="F456" s="352"/>
      <c r="G456" s="352"/>
      <c r="H456" s="351" t="s">
        <v>3517</v>
      </c>
      <c r="I456" s="352"/>
      <c r="J456" s="352"/>
      <c r="K456" s="352"/>
      <c r="L456" s="352"/>
      <c r="M456" s="352"/>
    </row>
    <row r="457" spans="5:13">
      <c r="E457" s="352"/>
      <c r="F457" s="352"/>
      <c r="G457" s="352"/>
      <c r="H457" s="352"/>
      <c r="I457" s="352"/>
      <c r="J457" s="352"/>
      <c r="K457" s="352"/>
      <c r="L457" s="352"/>
      <c r="M457" s="352"/>
    </row>
    <row r="458" spans="5:13">
      <c r="E458" s="352"/>
      <c r="F458" s="352">
        <v>9.5</v>
      </c>
      <c r="G458" s="352" t="s">
        <v>1676</v>
      </c>
      <c r="H458" s="352" t="s">
        <v>4464</v>
      </c>
      <c r="I458" s="353">
        <v>82.6</v>
      </c>
      <c r="J458" s="352" t="s">
        <v>1676</v>
      </c>
      <c r="K458" s="352">
        <f>F458*I458</f>
        <v>784.7</v>
      </c>
      <c r="L458" s="352"/>
      <c r="M458" s="352"/>
    </row>
    <row r="459" spans="5:13">
      <c r="E459" s="352"/>
      <c r="F459" s="352">
        <v>0.5</v>
      </c>
      <c r="G459" s="352" t="s">
        <v>1676</v>
      </c>
      <c r="H459" s="352" t="s">
        <v>4200</v>
      </c>
      <c r="I459" s="353">
        <v>19.22</v>
      </c>
      <c r="J459" s="352"/>
      <c r="K459" s="352">
        <f>F459*I459</f>
        <v>9.61</v>
      </c>
      <c r="L459" s="352"/>
      <c r="M459" s="352"/>
    </row>
    <row r="460" spans="5:13">
      <c r="E460" s="352"/>
      <c r="F460" s="352"/>
      <c r="G460" s="352"/>
      <c r="H460" s="352" t="s">
        <v>1856</v>
      </c>
      <c r="I460" s="352"/>
      <c r="J460" s="352"/>
      <c r="K460" s="352">
        <f>K468</f>
        <v>1394</v>
      </c>
      <c r="L460" s="352"/>
      <c r="M460" s="352"/>
    </row>
    <row r="461" spans="5:13">
      <c r="E461" s="352"/>
      <c r="F461" s="352"/>
      <c r="G461" s="352"/>
      <c r="H461" s="352" t="s">
        <v>2310</v>
      </c>
      <c r="I461" s="352"/>
      <c r="J461" s="352"/>
      <c r="K461" s="352">
        <v>14.29</v>
      </c>
      <c r="L461" s="352"/>
      <c r="M461" s="352"/>
    </row>
    <row r="462" spans="5:13">
      <c r="E462" s="352"/>
      <c r="F462" s="352"/>
      <c r="G462" s="352"/>
      <c r="H462" s="357" t="s">
        <v>3433</v>
      </c>
      <c r="I462" s="352"/>
      <c r="J462" s="352"/>
      <c r="K462" s="358">
        <f>SUM(K458:K461)</f>
        <v>2202.6</v>
      </c>
      <c r="L462" s="352"/>
      <c r="M462" s="352"/>
    </row>
    <row r="463" spans="5:13">
      <c r="E463" s="352"/>
      <c r="F463" s="352"/>
      <c r="G463" s="352"/>
      <c r="H463" s="359" t="s">
        <v>2809</v>
      </c>
      <c r="I463" s="352"/>
      <c r="J463" s="352"/>
      <c r="K463" s="360">
        <f>K462/90</f>
        <v>24.47</v>
      </c>
      <c r="L463" s="352"/>
      <c r="M463" s="352"/>
    </row>
    <row r="464" spans="5:13">
      <c r="E464" s="352"/>
      <c r="F464" s="352"/>
      <c r="G464" s="352"/>
      <c r="H464" s="352"/>
      <c r="I464" s="352"/>
      <c r="J464" s="352"/>
      <c r="K464" s="352"/>
      <c r="L464" s="352"/>
      <c r="M464" s="352"/>
    </row>
    <row r="465" spans="5:13">
      <c r="E465" s="352"/>
      <c r="F465" s="352"/>
      <c r="G465" s="352"/>
      <c r="H465" s="358" t="s">
        <v>2691</v>
      </c>
      <c r="I465" s="352"/>
      <c r="J465" s="352"/>
      <c r="K465" s="352"/>
      <c r="L465" s="352"/>
      <c r="M465" s="352"/>
    </row>
    <row r="466" spans="5:13">
      <c r="E466" s="352"/>
      <c r="F466" s="352">
        <v>1</v>
      </c>
      <c r="G466" s="352"/>
      <c r="H466" s="352" t="s">
        <v>2814</v>
      </c>
      <c r="I466" s="352">
        <f>I447</f>
        <v>783</v>
      </c>
      <c r="J466" s="352" t="s">
        <v>1419</v>
      </c>
      <c r="K466" s="352">
        <f>F466*I466</f>
        <v>783</v>
      </c>
      <c r="L466" s="352"/>
      <c r="M466" s="352"/>
    </row>
    <row r="467" spans="5:13">
      <c r="E467" s="352"/>
      <c r="F467" s="352">
        <v>1</v>
      </c>
      <c r="G467" s="352"/>
      <c r="H467" s="352" t="s">
        <v>3137</v>
      </c>
      <c r="I467" s="352">
        <f>I449</f>
        <v>611</v>
      </c>
      <c r="J467" s="352" t="s">
        <v>1419</v>
      </c>
      <c r="K467" s="352">
        <f>F467*I467</f>
        <v>611</v>
      </c>
      <c r="L467" s="352"/>
      <c r="M467" s="352"/>
    </row>
    <row r="468" spans="5:13">
      <c r="E468" s="352"/>
      <c r="F468" s="352"/>
      <c r="G468" s="352"/>
      <c r="H468" s="352"/>
      <c r="I468" s="352"/>
      <c r="J468" s="352"/>
      <c r="K468" s="360">
        <f>SUM(K466:K467)</f>
        <v>1394</v>
      </c>
      <c r="L468" s="352"/>
      <c r="M468" s="352"/>
    </row>
    <row r="469" spans="5:13">
      <c r="E469" s="352"/>
      <c r="F469" s="352" t="s">
        <v>2692</v>
      </c>
      <c r="G469" s="352"/>
      <c r="H469" s="352"/>
      <c r="I469" s="352"/>
      <c r="J469" s="352"/>
      <c r="K469" s="352"/>
      <c r="L469" s="352"/>
      <c r="M469" s="352"/>
    </row>
    <row r="470" spans="5:13">
      <c r="E470" s="352"/>
      <c r="F470" s="352"/>
      <c r="G470" s="352"/>
      <c r="H470" s="352"/>
      <c r="I470" s="352"/>
      <c r="J470" s="352"/>
      <c r="K470" s="352"/>
      <c r="L470" s="352"/>
      <c r="M470" s="352"/>
    </row>
    <row r="471" spans="5:13">
      <c r="E471" s="352"/>
      <c r="F471" s="352"/>
      <c r="G471" s="352"/>
      <c r="H471" s="360" t="s">
        <v>2693</v>
      </c>
      <c r="I471" s="352"/>
      <c r="J471" s="352"/>
      <c r="K471" s="352"/>
      <c r="L471" s="352"/>
      <c r="M471" s="352"/>
    </row>
    <row r="472" spans="5:13">
      <c r="E472" s="352"/>
      <c r="F472" s="352"/>
      <c r="G472" s="352"/>
      <c r="H472" s="360" t="s">
        <v>2694</v>
      </c>
      <c r="I472" s="352"/>
      <c r="J472" s="352"/>
      <c r="K472" s="352"/>
      <c r="L472" s="352"/>
      <c r="M472" s="352"/>
    </row>
    <row r="473" spans="5:13">
      <c r="E473" s="352"/>
      <c r="F473" s="352"/>
      <c r="G473" s="352"/>
      <c r="H473" s="352"/>
      <c r="I473" s="352"/>
      <c r="J473" s="352"/>
      <c r="K473" s="352"/>
      <c r="L473" s="352"/>
      <c r="M473" s="352"/>
    </row>
    <row r="474" spans="5:13" ht="57" customHeight="1">
      <c r="E474" s="352"/>
      <c r="F474" s="352"/>
      <c r="G474" s="352"/>
      <c r="H474" s="351" t="s">
        <v>2695</v>
      </c>
      <c r="I474" s="352"/>
      <c r="J474" s="352"/>
      <c r="K474" s="352"/>
      <c r="L474" s="352"/>
      <c r="M474" s="352"/>
    </row>
    <row r="475" spans="5:13">
      <c r="E475" s="352"/>
      <c r="F475" s="352">
        <v>2.5</v>
      </c>
      <c r="G475" s="352" t="s">
        <v>842</v>
      </c>
      <c r="H475" s="352" t="s">
        <v>2696</v>
      </c>
      <c r="I475" s="353">
        <f>Elec.Data!I476</f>
        <v>163</v>
      </c>
      <c r="J475" s="352" t="s">
        <v>842</v>
      </c>
      <c r="K475" s="352">
        <f>F475*I475</f>
        <v>407.5</v>
      </c>
      <c r="L475" s="352"/>
      <c r="M475" s="352"/>
    </row>
    <row r="476" spans="5:13">
      <c r="E476" s="352"/>
      <c r="F476" s="352">
        <v>1</v>
      </c>
      <c r="G476" s="352" t="s">
        <v>842</v>
      </c>
      <c r="H476" s="352" t="s">
        <v>2697</v>
      </c>
      <c r="I476" s="353">
        <f>Elec.Data!I477</f>
        <v>98.6</v>
      </c>
      <c r="J476" s="352" t="s">
        <v>842</v>
      </c>
      <c r="K476" s="352">
        <f>F476*I476</f>
        <v>98.6</v>
      </c>
      <c r="L476" s="352"/>
      <c r="M476" s="352"/>
    </row>
    <row r="477" spans="5:13">
      <c r="E477" s="352"/>
      <c r="F477" s="352">
        <v>1</v>
      </c>
      <c r="G477" s="352" t="s">
        <v>842</v>
      </c>
      <c r="H477" s="352" t="s">
        <v>2698</v>
      </c>
      <c r="I477" s="353">
        <f>Elec.Data!I478</f>
        <v>69.8</v>
      </c>
      <c r="J477" s="352" t="s">
        <v>842</v>
      </c>
      <c r="K477" s="352">
        <f>F477*I477</f>
        <v>69.8</v>
      </c>
      <c r="L477" s="352"/>
      <c r="M477" s="352"/>
    </row>
    <row r="478" spans="5:13">
      <c r="E478" s="352"/>
      <c r="F478" s="352">
        <v>1</v>
      </c>
      <c r="G478" s="352" t="s">
        <v>1419</v>
      </c>
      <c r="H478" s="352" t="s">
        <v>3939</v>
      </c>
      <c r="I478" s="353">
        <f>Elec.Data!I479</f>
        <v>52</v>
      </c>
      <c r="J478" s="352" t="s">
        <v>1419</v>
      </c>
      <c r="K478" s="352">
        <f>F478*I478</f>
        <v>52</v>
      </c>
      <c r="L478" s="352"/>
      <c r="M478" s="352"/>
    </row>
    <row r="479" spans="5:13">
      <c r="E479" s="352"/>
      <c r="F479" s="352">
        <v>1</v>
      </c>
      <c r="G479" s="352" t="s">
        <v>286</v>
      </c>
      <c r="H479" s="352" t="s">
        <v>2699</v>
      </c>
      <c r="I479" s="353">
        <f>Elec.Data!I480</f>
        <v>24.1</v>
      </c>
      <c r="J479" s="352" t="s">
        <v>286</v>
      </c>
      <c r="K479" s="352">
        <v>15</v>
      </c>
      <c r="L479" s="352"/>
      <c r="M479" s="352"/>
    </row>
    <row r="480" spans="5:13">
      <c r="E480" s="352"/>
      <c r="F480" s="352"/>
      <c r="G480" s="352" t="s">
        <v>669</v>
      </c>
      <c r="H480" s="352" t="s">
        <v>2700</v>
      </c>
      <c r="I480" s="353">
        <f>Elec.Data!I481</f>
        <v>447</v>
      </c>
      <c r="J480" s="352" t="s">
        <v>669</v>
      </c>
      <c r="K480" s="352">
        <v>150</v>
      </c>
      <c r="L480" s="352"/>
      <c r="M480" s="352"/>
    </row>
    <row r="481" spans="5:13">
      <c r="E481" s="352"/>
      <c r="F481" s="352">
        <v>1</v>
      </c>
      <c r="G481" s="352" t="s">
        <v>1419</v>
      </c>
      <c r="H481" s="352" t="s">
        <v>2701</v>
      </c>
      <c r="I481" s="353">
        <f>Elec.Data!I482</f>
        <v>100</v>
      </c>
      <c r="J481" s="352" t="s">
        <v>1419</v>
      </c>
      <c r="K481" s="352">
        <f>F481*I481</f>
        <v>100</v>
      </c>
      <c r="L481" s="352"/>
      <c r="M481" s="352"/>
    </row>
    <row r="482" spans="5:13">
      <c r="E482" s="352"/>
      <c r="F482" s="352">
        <v>40</v>
      </c>
      <c r="G482" s="352" t="s">
        <v>1676</v>
      </c>
      <c r="H482" s="352" t="s">
        <v>2702</v>
      </c>
      <c r="I482" s="353">
        <f>Elec.Data!I483</f>
        <v>5</v>
      </c>
      <c r="J482" s="352" t="s">
        <v>1676</v>
      </c>
      <c r="K482" s="352">
        <f>F482*I482</f>
        <v>200</v>
      </c>
      <c r="L482" s="352"/>
      <c r="M482" s="352"/>
    </row>
    <row r="483" spans="5:13">
      <c r="E483" s="352"/>
      <c r="F483" s="352">
        <v>2</v>
      </c>
      <c r="G483" s="352" t="s">
        <v>1419</v>
      </c>
      <c r="H483" s="352" t="s">
        <v>2703</v>
      </c>
      <c r="I483" s="353">
        <f>Elec.Data!I484</f>
        <v>13.6</v>
      </c>
      <c r="J483" s="352" t="s">
        <v>1419</v>
      </c>
      <c r="K483" s="352">
        <f>F483*I483</f>
        <v>27.2</v>
      </c>
      <c r="L483" s="352"/>
      <c r="M483" s="352"/>
    </row>
    <row r="484" spans="5:13">
      <c r="E484" s="352"/>
      <c r="F484" s="352">
        <v>4</v>
      </c>
      <c r="G484" s="352" t="s">
        <v>1419</v>
      </c>
      <c r="H484" s="352" t="s">
        <v>2704</v>
      </c>
      <c r="I484" s="353">
        <f>Elec.Data!I485</f>
        <v>13.6</v>
      </c>
      <c r="J484" s="352" t="s">
        <v>1419</v>
      </c>
      <c r="K484" s="352">
        <f>F484*I484</f>
        <v>54.4</v>
      </c>
      <c r="L484" s="352"/>
      <c r="M484" s="352"/>
    </row>
    <row r="485" spans="5:13">
      <c r="E485" s="352"/>
      <c r="F485" s="352">
        <v>10</v>
      </c>
      <c r="G485" s="352" t="s">
        <v>1676</v>
      </c>
      <c r="H485" s="352" t="s">
        <v>2705</v>
      </c>
      <c r="I485" s="353">
        <f>Elec.Data!I486</f>
        <v>3.7</v>
      </c>
      <c r="J485" s="352" t="s">
        <v>1676</v>
      </c>
      <c r="K485" s="352">
        <f>F485*I485</f>
        <v>37</v>
      </c>
      <c r="L485" s="352"/>
      <c r="M485" s="352"/>
    </row>
    <row r="486" spans="5:13">
      <c r="E486" s="352"/>
      <c r="F486" s="352"/>
      <c r="G486" s="352"/>
      <c r="H486" s="352" t="s">
        <v>2310</v>
      </c>
      <c r="I486" s="352"/>
      <c r="J486" s="352"/>
      <c r="K486" s="352">
        <v>12.1</v>
      </c>
      <c r="L486" s="352"/>
      <c r="M486" s="352"/>
    </row>
    <row r="487" spans="5:13">
      <c r="E487" s="352"/>
      <c r="F487" s="352"/>
      <c r="G487" s="352"/>
      <c r="H487" s="352" t="s">
        <v>931</v>
      </c>
      <c r="I487" s="352"/>
      <c r="J487" s="352"/>
      <c r="K487" s="361">
        <f>K493</f>
        <v>1394</v>
      </c>
      <c r="L487" s="352"/>
      <c r="M487" s="352"/>
    </row>
    <row r="488" spans="5:13">
      <c r="E488" s="352"/>
      <c r="F488" s="352"/>
      <c r="G488" s="352"/>
      <c r="H488" s="359" t="s">
        <v>1083</v>
      </c>
      <c r="I488" s="352"/>
      <c r="J488" s="352"/>
      <c r="K488" s="360">
        <f>SUM(K475:K487)</f>
        <v>2617.6</v>
      </c>
      <c r="L488" s="352">
        <f>2035-K488</f>
        <v>-582.6</v>
      </c>
      <c r="M488" s="352"/>
    </row>
    <row r="489" spans="5:13">
      <c r="E489" s="352"/>
      <c r="F489" s="352"/>
      <c r="G489" s="352"/>
      <c r="H489" s="352"/>
      <c r="I489" s="352"/>
      <c r="J489" s="352"/>
      <c r="K489" s="352"/>
      <c r="L489" s="352"/>
      <c r="M489" s="352"/>
    </row>
    <row r="490" spans="5:13">
      <c r="E490" s="352"/>
      <c r="F490" s="352"/>
      <c r="G490" s="352"/>
      <c r="H490" s="358" t="s">
        <v>931</v>
      </c>
      <c r="I490" s="352"/>
      <c r="J490" s="352"/>
      <c r="K490" s="352"/>
      <c r="L490" s="352"/>
      <c r="M490" s="352"/>
    </row>
    <row r="491" spans="5:13">
      <c r="E491" s="352"/>
      <c r="F491" s="352">
        <v>1</v>
      </c>
      <c r="G491" s="352" t="s">
        <v>1419</v>
      </c>
      <c r="H491" s="352" t="s">
        <v>2814</v>
      </c>
      <c r="I491" s="352">
        <f>I466</f>
        <v>783</v>
      </c>
      <c r="J491" s="352" t="s">
        <v>1419</v>
      </c>
      <c r="K491" s="352">
        <f>F491*I491</f>
        <v>783</v>
      </c>
      <c r="L491" s="352"/>
      <c r="M491" s="352"/>
    </row>
    <row r="492" spans="5:13">
      <c r="E492" s="352"/>
      <c r="F492" s="352">
        <v>1</v>
      </c>
      <c r="G492" s="352" t="s">
        <v>1419</v>
      </c>
      <c r="H492" s="352" t="s">
        <v>3137</v>
      </c>
      <c r="I492" s="352">
        <f>I467</f>
        <v>611</v>
      </c>
      <c r="J492" s="352" t="s">
        <v>1419</v>
      </c>
      <c r="K492" s="352">
        <f>F492*I492</f>
        <v>611</v>
      </c>
      <c r="L492" s="352"/>
      <c r="M492" s="352"/>
    </row>
    <row r="493" spans="5:13">
      <c r="E493" s="352"/>
      <c r="F493" s="352"/>
      <c r="G493" s="352"/>
      <c r="H493" s="352"/>
      <c r="I493" s="352"/>
      <c r="J493" s="352"/>
      <c r="K493" s="360">
        <f>SUM(K491:K492)</f>
        <v>1394</v>
      </c>
      <c r="L493" s="352"/>
      <c r="M493" s="352"/>
    </row>
    <row r="494" spans="5:13">
      <c r="E494" s="352"/>
      <c r="F494" s="352"/>
      <c r="G494" s="352"/>
      <c r="H494" s="360" t="s">
        <v>2706</v>
      </c>
      <c r="I494" s="352"/>
      <c r="J494" s="352"/>
      <c r="K494" s="352"/>
      <c r="L494" s="352"/>
      <c r="M494" s="352"/>
    </row>
    <row r="495" spans="5:13">
      <c r="E495" s="352"/>
      <c r="F495" s="352"/>
      <c r="G495" s="352"/>
      <c r="H495" s="360" t="s">
        <v>2707</v>
      </c>
      <c r="I495" s="352"/>
      <c r="J495" s="352"/>
      <c r="K495" s="352"/>
      <c r="L495" s="352"/>
      <c r="M495" s="352"/>
    </row>
    <row r="496" spans="5:13">
      <c r="E496" s="352"/>
      <c r="F496" s="352"/>
      <c r="G496" s="352"/>
      <c r="H496" s="352"/>
      <c r="I496" s="352"/>
      <c r="J496" s="352"/>
      <c r="K496" s="352"/>
      <c r="L496" s="352"/>
      <c r="M496" s="352"/>
    </row>
    <row r="497" spans="5:13" ht="86.25" customHeight="1">
      <c r="E497" s="352"/>
      <c r="F497" s="352"/>
      <c r="G497" s="352"/>
      <c r="H497" s="351" t="s">
        <v>3375</v>
      </c>
      <c r="I497" s="352"/>
      <c r="J497" s="352"/>
      <c r="K497" s="352"/>
      <c r="L497" s="352"/>
      <c r="M497" s="352"/>
    </row>
    <row r="498" spans="5:13">
      <c r="E498" s="352"/>
      <c r="F498" s="352"/>
      <c r="G498" s="352"/>
      <c r="H498" s="352"/>
      <c r="I498" s="352"/>
      <c r="J498" s="352"/>
      <c r="K498" s="352"/>
      <c r="L498" s="352"/>
      <c r="M498" s="352"/>
    </row>
    <row r="499" spans="5:13">
      <c r="E499" s="352"/>
      <c r="F499" s="352">
        <v>1</v>
      </c>
      <c r="G499" s="352" t="s">
        <v>1419</v>
      </c>
      <c r="H499" s="352" t="s">
        <v>3248</v>
      </c>
      <c r="I499" s="352">
        <f>K504</f>
        <v>64.239999999999995</v>
      </c>
      <c r="J499" s="352" t="s">
        <v>1423</v>
      </c>
      <c r="K499" s="352">
        <f>F499*I499</f>
        <v>64.239999999999995</v>
      </c>
      <c r="L499" s="352"/>
      <c r="M499" s="352"/>
    </row>
    <row r="500" spans="5:13" ht="56.25" customHeight="1">
      <c r="E500" s="352"/>
      <c r="F500" s="352"/>
      <c r="G500" s="352"/>
      <c r="H500" s="351" t="s">
        <v>3249</v>
      </c>
      <c r="I500" s="352"/>
      <c r="J500" s="352" t="s">
        <v>669</v>
      </c>
      <c r="K500" s="352">
        <f>13.65+0.61</f>
        <v>14.26</v>
      </c>
      <c r="L500" s="352"/>
      <c r="M500" s="352"/>
    </row>
    <row r="501" spans="5:13">
      <c r="E501" s="352"/>
      <c r="F501" s="352"/>
      <c r="G501" s="352"/>
      <c r="H501" s="352" t="s">
        <v>142</v>
      </c>
      <c r="I501" s="352"/>
      <c r="J501" s="352"/>
      <c r="K501" s="352">
        <f>K509</f>
        <v>311.7</v>
      </c>
      <c r="L501" s="352"/>
      <c r="M501" s="352"/>
    </row>
    <row r="502" spans="5:13">
      <c r="E502" s="352"/>
      <c r="F502" s="352"/>
      <c r="G502" s="352"/>
      <c r="H502" s="359" t="s">
        <v>1083</v>
      </c>
      <c r="I502" s="352"/>
      <c r="J502" s="352"/>
      <c r="K502" s="360">
        <f>SUM(K499:K501)</f>
        <v>390.2</v>
      </c>
      <c r="L502" s="352">
        <f>K502-268</f>
        <v>122.2</v>
      </c>
      <c r="M502" s="352"/>
    </row>
    <row r="503" spans="5:13">
      <c r="E503" s="352"/>
      <c r="F503" s="352"/>
      <c r="G503" s="352"/>
      <c r="H503" s="352"/>
      <c r="I503" s="352"/>
      <c r="J503" s="352"/>
      <c r="K503" s="352"/>
      <c r="L503" s="352"/>
      <c r="M503" s="352"/>
    </row>
    <row r="504" spans="5:13">
      <c r="E504" s="352"/>
      <c r="F504" s="352"/>
      <c r="G504" s="352"/>
      <c r="H504" s="360" t="s">
        <v>3250</v>
      </c>
      <c r="I504" s="456">
        <f>I391</f>
        <v>107060</v>
      </c>
      <c r="J504" s="457">
        <v>5.9999999999999995E-4</v>
      </c>
      <c r="K504" s="456">
        <f>ROUND(I504*J504,2)</f>
        <v>64.239999999999995</v>
      </c>
      <c r="L504" s="352"/>
      <c r="M504" s="352"/>
    </row>
    <row r="505" spans="5:13">
      <c r="E505" s="352"/>
      <c r="F505" s="352"/>
      <c r="G505" s="352"/>
      <c r="H505" s="352" t="s">
        <v>142</v>
      </c>
      <c r="I505" s="352"/>
      <c r="J505" s="352"/>
      <c r="K505" s="352"/>
      <c r="L505" s="352"/>
      <c r="M505" s="352"/>
    </row>
    <row r="506" spans="5:13">
      <c r="E506" s="352"/>
      <c r="F506" s="352">
        <v>1</v>
      </c>
      <c r="G506" s="352" t="s">
        <v>1419</v>
      </c>
      <c r="H506" s="352" t="s">
        <v>3251</v>
      </c>
      <c r="I506" s="352">
        <f>I447</f>
        <v>783</v>
      </c>
      <c r="J506" s="352" t="s">
        <v>1423</v>
      </c>
      <c r="K506" s="352">
        <f>F506*I506</f>
        <v>783</v>
      </c>
      <c r="L506" s="352"/>
      <c r="M506" s="352"/>
    </row>
    <row r="507" spans="5:13">
      <c r="E507" s="352"/>
      <c r="F507" s="352">
        <v>3</v>
      </c>
      <c r="G507" s="352" t="s">
        <v>1419</v>
      </c>
      <c r="H507" s="352" t="s">
        <v>2633</v>
      </c>
      <c r="I507" s="352">
        <f>I448</f>
        <v>778</v>
      </c>
      <c r="J507" s="352" t="s">
        <v>1423</v>
      </c>
      <c r="K507" s="352">
        <f>F507*I507</f>
        <v>2334</v>
      </c>
      <c r="L507" s="352"/>
      <c r="M507" s="352"/>
    </row>
    <row r="508" spans="5:13">
      <c r="E508" s="352"/>
      <c r="F508" s="352"/>
      <c r="G508" s="352"/>
      <c r="H508" s="357" t="s">
        <v>3252</v>
      </c>
      <c r="I508" s="352"/>
      <c r="J508" s="352"/>
      <c r="K508" s="361">
        <f>SUM(K506:K507)</f>
        <v>3117</v>
      </c>
      <c r="L508" s="352"/>
      <c r="M508" s="352"/>
    </row>
    <row r="509" spans="5:13">
      <c r="E509" s="352"/>
      <c r="F509" s="352"/>
      <c r="G509" s="352"/>
      <c r="H509" s="357" t="s">
        <v>3253</v>
      </c>
      <c r="I509" s="352"/>
      <c r="J509" s="352"/>
      <c r="K509" s="360">
        <f>K508/10</f>
        <v>311.7</v>
      </c>
      <c r="L509" s="352"/>
      <c r="M509" s="352"/>
    </row>
    <row r="510" spans="5:13">
      <c r="E510" s="352"/>
      <c r="F510" s="352"/>
      <c r="G510" s="352"/>
      <c r="H510" s="352"/>
      <c r="I510" s="352"/>
      <c r="J510" s="352"/>
      <c r="K510" s="352"/>
      <c r="L510" s="352"/>
      <c r="M510" s="352"/>
    </row>
    <row r="511" spans="5:13">
      <c r="E511" s="352"/>
      <c r="F511" s="352"/>
      <c r="G511" s="352"/>
      <c r="H511" s="360" t="s">
        <v>3254</v>
      </c>
      <c r="I511" s="352"/>
      <c r="J511" s="352"/>
      <c r="K511" s="352"/>
      <c r="L511" s="352"/>
      <c r="M511" s="352"/>
    </row>
    <row r="512" spans="5:13" ht="103.5" customHeight="1">
      <c r="E512" s="352"/>
      <c r="F512" s="352"/>
      <c r="G512" s="352"/>
      <c r="H512" s="351" t="s">
        <v>3938</v>
      </c>
      <c r="I512" s="352"/>
      <c r="J512" s="352"/>
      <c r="K512" s="352"/>
      <c r="L512" s="352"/>
      <c r="M512" s="352"/>
    </row>
    <row r="513" spans="5:13">
      <c r="E513" s="352"/>
      <c r="F513" s="352"/>
      <c r="G513" s="352"/>
      <c r="H513" s="352"/>
      <c r="I513" s="352"/>
      <c r="J513" s="352"/>
      <c r="K513" s="352"/>
      <c r="L513" s="352"/>
      <c r="M513" s="352"/>
    </row>
    <row r="514" spans="5:13">
      <c r="E514" s="352"/>
      <c r="F514" s="352">
        <v>1</v>
      </c>
      <c r="G514" s="352" t="s">
        <v>1419</v>
      </c>
      <c r="H514" s="360" t="s">
        <v>3936</v>
      </c>
      <c r="I514" s="552">
        <v>110</v>
      </c>
      <c r="J514" s="352" t="s">
        <v>1419</v>
      </c>
      <c r="K514" s="352">
        <f>F514*I514</f>
        <v>110</v>
      </c>
      <c r="L514" s="352"/>
      <c r="M514" s="352"/>
    </row>
    <row r="515" spans="5:13" ht="52.5" customHeight="1">
      <c r="E515" s="352"/>
      <c r="F515" s="352"/>
      <c r="G515" s="352"/>
      <c r="H515" s="351" t="s">
        <v>3257</v>
      </c>
      <c r="I515" s="352"/>
      <c r="J515" s="352"/>
      <c r="K515" s="352">
        <v>22.75</v>
      </c>
      <c r="L515" s="352"/>
      <c r="M515" s="352"/>
    </row>
    <row r="516" spans="5:13">
      <c r="E516" s="352"/>
      <c r="F516" s="352"/>
      <c r="G516" s="352"/>
      <c r="H516" s="352" t="s">
        <v>931</v>
      </c>
      <c r="I516" s="352"/>
      <c r="J516" s="352"/>
      <c r="K516" s="352">
        <f>K525</f>
        <v>420.15</v>
      </c>
      <c r="L516" s="352"/>
      <c r="M516" s="352"/>
    </row>
    <row r="517" spans="5:13">
      <c r="E517" s="352"/>
      <c r="F517" s="352"/>
      <c r="G517" s="352"/>
      <c r="H517" s="359" t="s">
        <v>1083</v>
      </c>
      <c r="I517" s="352"/>
      <c r="J517" s="352"/>
      <c r="K517" s="360">
        <f>SUM(K514:K516)</f>
        <v>552.9</v>
      </c>
      <c r="L517" s="352">
        <f>K517-376</f>
        <v>176.9</v>
      </c>
      <c r="M517" s="352"/>
    </row>
    <row r="518" spans="5:13">
      <c r="E518" s="352"/>
      <c r="F518" s="352"/>
      <c r="G518" s="352"/>
      <c r="H518" s="359"/>
      <c r="I518" s="352"/>
      <c r="J518" s="352"/>
      <c r="K518" s="360"/>
      <c r="L518" s="352"/>
      <c r="M518" s="352"/>
    </row>
    <row r="519" spans="5:13">
      <c r="E519" s="352"/>
      <c r="F519" s="352"/>
      <c r="G519" s="352"/>
      <c r="H519" s="352" t="s">
        <v>142</v>
      </c>
      <c r="I519" s="352"/>
      <c r="J519" s="352"/>
      <c r="K519" s="352"/>
      <c r="L519" s="352"/>
      <c r="M519" s="352"/>
    </row>
    <row r="520" spans="5:13">
      <c r="E520" s="352"/>
      <c r="F520" s="352">
        <v>1</v>
      </c>
      <c r="G520" s="352"/>
      <c r="H520" s="352" t="s">
        <v>2814</v>
      </c>
      <c r="I520" s="352">
        <f>I36</f>
        <v>783</v>
      </c>
      <c r="J520" s="352" t="s">
        <v>1419</v>
      </c>
      <c r="K520" s="352">
        <f>F520*I520</f>
        <v>783</v>
      </c>
      <c r="L520" s="352"/>
      <c r="M520" s="352"/>
    </row>
    <row r="521" spans="5:13">
      <c r="E521" s="352"/>
      <c r="F521" s="352">
        <v>3</v>
      </c>
      <c r="G521" s="352"/>
      <c r="H521" s="352" t="s">
        <v>2633</v>
      </c>
      <c r="I521" s="352">
        <f>I37</f>
        <v>778</v>
      </c>
      <c r="J521" s="352" t="s">
        <v>1419</v>
      </c>
      <c r="K521" s="352">
        <f>F521*I521</f>
        <v>2334</v>
      </c>
      <c r="L521" s="352"/>
      <c r="M521" s="352"/>
    </row>
    <row r="522" spans="5:13">
      <c r="E522" s="352"/>
      <c r="F522" s="352">
        <v>1</v>
      </c>
      <c r="G522" s="352"/>
      <c r="H522" s="352" t="s">
        <v>2370</v>
      </c>
      <c r="I522" s="352">
        <f>I38</f>
        <v>611</v>
      </c>
      <c r="J522" s="352" t="s">
        <v>1419</v>
      </c>
      <c r="K522" s="352">
        <f>F522*I522</f>
        <v>611</v>
      </c>
      <c r="L522" s="352"/>
      <c r="M522" s="352"/>
    </row>
    <row r="523" spans="5:13">
      <c r="E523" s="352"/>
      <c r="F523" s="352">
        <v>0.5</v>
      </c>
      <c r="G523" s="352"/>
      <c r="H523" s="352" t="str">
        <f>[1]Elec.Data!H3354</f>
        <v>Mason I ( it-29 /37  ,p-12)</v>
      </c>
      <c r="I523" s="353">
        <f>Elec.Data!I524</f>
        <v>947</v>
      </c>
      <c r="J523" s="352" t="s">
        <v>1419</v>
      </c>
      <c r="K523" s="352">
        <f>F523*I523</f>
        <v>473.5</v>
      </c>
      <c r="L523" s="352"/>
      <c r="M523" s="352"/>
    </row>
    <row r="524" spans="5:13">
      <c r="E524" s="352"/>
      <c r="F524" s="352"/>
      <c r="G524" s="352"/>
      <c r="H524" s="357" t="s">
        <v>3258</v>
      </c>
      <c r="I524" s="352"/>
      <c r="J524" s="352"/>
      <c r="K524" s="358">
        <f>SUM(K520:K523)</f>
        <v>4201.5</v>
      </c>
      <c r="L524" s="352"/>
      <c r="M524" s="352"/>
    </row>
    <row r="525" spans="5:13">
      <c r="E525" s="352"/>
      <c r="F525" s="352"/>
      <c r="G525" s="352"/>
      <c r="H525" s="359" t="s">
        <v>3259</v>
      </c>
      <c r="I525" s="360"/>
      <c r="J525" s="360"/>
      <c r="K525" s="360">
        <f>K524/10</f>
        <v>420.15</v>
      </c>
      <c r="L525" s="352"/>
      <c r="M525" s="352"/>
    </row>
    <row r="526" spans="5:13">
      <c r="E526" s="352"/>
      <c r="F526" s="352"/>
      <c r="G526" s="352"/>
      <c r="H526" s="352"/>
      <c r="I526" s="352"/>
      <c r="J526" s="352"/>
      <c r="K526" s="352"/>
      <c r="L526" s="352"/>
      <c r="M526" s="352"/>
    </row>
    <row r="527" spans="5:13">
      <c r="E527" s="352"/>
      <c r="F527" s="352"/>
      <c r="G527" s="352"/>
      <c r="H527" s="360" t="s">
        <v>3260</v>
      </c>
      <c r="I527" s="352"/>
      <c r="J527" s="352"/>
      <c r="K527" s="352"/>
      <c r="L527" s="352"/>
      <c r="M527" s="352"/>
    </row>
    <row r="528" spans="5:13">
      <c r="E528" s="352"/>
      <c r="F528" s="352"/>
      <c r="G528" s="352"/>
      <c r="H528" s="360" t="s">
        <v>3261</v>
      </c>
      <c r="I528" s="352"/>
      <c r="J528" s="352"/>
      <c r="K528" s="352"/>
      <c r="L528" s="352"/>
      <c r="M528" s="352"/>
    </row>
    <row r="529" spans="5:13">
      <c r="E529" s="352"/>
      <c r="F529" s="352"/>
      <c r="G529" s="352"/>
      <c r="H529" s="352"/>
      <c r="I529" s="352"/>
      <c r="J529" s="352"/>
      <c r="K529" s="352"/>
      <c r="L529" s="352"/>
      <c r="M529" s="352"/>
    </row>
    <row r="530" spans="5:13" ht="103.5" customHeight="1">
      <c r="E530" s="352"/>
      <c r="F530" s="352"/>
      <c r="G530" s="352"/>
      <c r="H530" s="351" t="s">
        <v>3291</v>
      </c>
      <c r="I530" s="352"/>
      <c r="J530" s="352"/>
      <c r="K530" s="352"/>
      <c r="L530" s="352"/>
      <c r="M530" s="352"/>
    </row>
    <row r="531" spans="5:13">
      <c r="E531" s="352"/>
      <c r="F531" s="352"/>
      <c r="G531" s="352"/>
      <c r="H531" s="352"/>
      <c r="I531" s="352"/>
      <c r="J531" s="352"/>
      <c r="K531" s="352"/>
      <c r="L531" s="352"/>
      <c r="M531" s="352"/>
    </row>
    <row r="532" spans="5:13">
      <c r="E532" s="352"/>
      <c r="F532" s="352">
        <v>1</v>
      </c>
      <c r="G532" s="352" t="s">
        <v>1419</v>
      </c>
      <c r="H532" s="352" t="s">
        <v>3292</v>
      </c>
      <c r="I532" s="352">
        <f>K537</f>
        <v>128.47</v>
      </c>
      <c r="J532" s="352" t="s">
        <v>1423</v>
      </c>
      <c r="K532" s="352">
        <f>F532*I532</f>
        <v>128.47</v>
      </c>
      <c r="L532" s="352"/>
      <c r="M532" s="352"/>
    </row>
    <row r="533" spans="5:13" ht="51" customHeight="1">
      <c r="E533" s="352"/>
      <c r="F533" s="352" t="s">
        <v>669</v>
      </c>
      <c r="G533" s="352" t="s">
        <v>669</v>
      </c>
      <c r="H533" s="351" t="s">
        <v>3293</v>
      </c>
      <c r="I533" s="352" t="s">
        <v>669</v>
      </c>
      <c r="J533" s="352" t="s">
        <v>669</v>
      </c>
      <c r="K533" s="352">
        <v>40.33</v>
      </c>
      <c r="L533" s="352"/>
      <c r="M533" s="352"/>
    </row>
    <row r="534" spans="5:13">
      <c r="E534" s="352"/>
      <c r="F534" s="352"/>
      <c r="G534" s="352"/>
      <c r="H534" s="352" t="s">
        <v>142</v>
      </c>
      <c r="I534" s="352"/>
      <c r="J534" s="352"/>
      <c r="K534" s="352">
        <f>K509</f>
        <v>311.7</v>
      </c>
      <c r="L534" s="352"/>
      <c r="M534" s="352"/>
    </row>
    <row r="535" spans="5:13">
      <c r="E535" s="352"/>
      <c r="F535" s="352"/>
      <c r="G535" s="352"/>
      <c r="H535" s="359" t="s">
        <v>1083</v>
      </c>
      <c r="I535" s="352"/>
      <c r="J535" s="352"/>
      <c r="K535" s="360">
        <f>SUM(K532:K534)</f>
        <v>480.5</v>
      </c>
      <c r="L535" s="352"/>
      <c r="M535" s="352"/>
    </row>
    <row r="536" spans="5:13">
      <c r="E536" s="352"/>
      <c r="F536" s="352"/>
      <c r="G536" s="352"/>
      <c r="H536" s="352"/>
      <c r="I536" s="352"/>
      <c r="J536" s="352"/>
      <c r="K536" s="360"/>
      <c r="L536" s="352"/>
      <c r="M536" s="352"/>
    </row>
    <row r="537" spans="5:13">
      <c r="E537" s="352"/>
      <c r="F537" s="352"/>
      <c r="G537" s="352"/>
      <c r="H537" s="360" t="s">
        <v>3292</v>
      </c>
      <c r="I537" s="352">
        <f>I504</f>
        <v>107060</v>
      </c>
      <c r="J537" s="366">
        <f>0.0012</f>
        <v>1.1999999999999999E-3</v>
      </c>
      <c r="K537" s="360">
        <f>I537*J537</f>
        <v>128.47</v>
      </c>
      <c r="L537" s="352"/>
      <c r="M537" s="352"/>
    </row>
    <row r="538" spans="5:13">
      <c r="E538" s="352"/>
      <c r="F538" s="352"/>
      <c r="G538" s="352"/>
      <c r="H538" s="352"/>
      <c r="I538" s="352"/>
      <c r="J538" s="352"/>
      <c r="K538" s="352"/>
      <c r="L538" s="352"/>
      <c r="M538" s="352"/>
    </row>
    <row r="539" spans="5:13">
      <c r="E539" s="352"/>
      <c r="F539" s="352"/>
      <c r="G539" s="352"/>
      <c r="H539" s="360" t="s">
        <v>2706</v>
      </c>
      <c r="I539" s="352"/>
      <c r="J539" s="352"/>
      <c r="K539" s="352"/>
      <c r="L539" s="352"/>
      <c r="M539" s="352"/>
    </row>
    <row r="540" spans="5:13">
      <c r="E540" s="352"/>
      <c r="F540" s="352"/>
      <c r="G540" s="352"/>
      <c r="H540" s="352"/>
      <c r="I540" s="352"/>
      <c r="J540" s="352"/>
      <c r="K540" s="352"/>
      <c r="L540" s="352"/>
      <c r="M540" s="352"/>
    </row>
    <row r="541" spans="5:13">
      <c r="E541" s="352"/>
      <c r="F541" s="352"/>
      <c r="G541" s="352"/>
      <c r="H541" s="360" t="s">
        <v>2580</v>
      </c>
      <c r="I541" s="352"/>
      <c r="J541" s="352"/>
      <c r="K541" s="352"/>
      <c r="L541" s="352"/>
      <c r="M541" s="352"/>
    </row>
    <row r="542" spans="5:13">
      <c r="E542" s="352"/>
      <c r="F542" s="352"/>
      <c r="G542" s="352"/>
      <c r="H542" s="352"/>
      <c r="I542" s="352"/>
      <c r="J542" s="352"/>
      <c r="K542" s="352"/>
      <c r="L542" s="352"/>
      <c r="M542" s="352"/>
    </row>
    <row r="543" spans="5:13" ht="102" customHeight="1">
      <c r="E543" s="352"/>
      <c r="F543" s="352"/>
      <c r="G543" s="352"/>
      <c r="H543" s="351" t="s">
        <v>3937</v>
      </c>
      <c r="I543" s="352"/>
      <c r="J543" s="352"/>
      <c r="K543" s="352"/>
      <c r="L543" s="352"/>
      <c r="M543" s="352"/>
    </row>
    <row r="544" spans="5:13">
      <c r="E544" s="352"/>
      <c r="F544" s="352"/>
      <c r="G544" s="352"/>
      <c r="H544" s="352"/>
      <c r="I544" s="352"/>
      <c r="J544" s="352"/>
      <c r="K544" s="352"/>
      <c r="L544" s="352"/>
      <c r="M544" s="352"/>
    </row>
    <row r="545" spans="5:13">
      <c r="E545" s="352"/>
      <c r="F545" s="352">
        <v>1</v>
      </c>
      <c r="G545" s="352" t="s">
        <v>1419</v>
      </c>
      <c r="H545" s="360" t="s">
        <v>3936</v>
      </c>
      <c r="I545" s="552">
        <v>110</v>
      </c>
      <c r="J545" s="352" t="s">
        <v>1419</v>
      </c>
      <c r="K545" s="352">
        <f>F545*I545</f>
        <v>110</v>
      </c>
      <c r="L545" s="352"/>
      <c r="M545" s="352"/>
    </row>
    <row r="546" spans="5:13" ht="31.5">
      <c r="E546" s="352"/>
      <c r="F546" s="352"/>
      <c r="G546" s="352"/>
      <c r="H546" s="351" t="s">
        <v>3257</v>
      </c>
      <c r="I546" s="352"/>
      <c r="J546" s="352"/>
      <c r="K546" s="352">
        <v>35.75</v>
      </c>
      <c r="L546" s="352"/>
      <c r="M546" s="352"/>
    </row>
    <row r="547" spans="5:13">
      <c r="E547" s="352"/>
      <c r="F547" s="352"/>
      <c r="G547" s="352"/>
      <c r="H547" s="352" t="s">
        <v>931</v>
      </c>
      <c r="I547" s="352"/>
      <c r="J547" s="352"/>
      <c r="K547" s="352">
        <f>K525</f>
        <v>420.15</v>
      </c>
      <c r="L547" s="352"/>
      <c r="M547" s="352"/>
    </row>
    <row r="548" spans="5:13">
      <c r="E548" s="352"/>
      <c r="F548" s="352"/>
      <c r="G548" s="352"/>
      <c r="H548" s="359" t="s">
        <v>1083</v>
      </c>
      <c r="I548" s="352"/>
      <c r="J548" s="352"/>
      <c r="K548" s="360">
        <f>SUM(K545:K547)</f>
        <v>565.9</v>
      </c>
      <c r="L548" s="352">
        <f>389-K548</f>
        <v>-176.9</v>
      </c>
      <c r="M548" s="352"/>
    </row>
    <row r="549" spans="5:13">
      <c r="E549" s="352"/>
      <c r="F549" s="352"/>
      <c r="G549" s="352"/>
      <c r="H549" s="352"/>
      <c r="I549" s="352"/>
      <c r="J549" s="352"/>
      <c r="K549" s="352"/>
      <c r="L549" s="352"/>
      <c r="M549" s="352"/>
    </row>
    <row r="550" spans="5:13">
      <c r="E550" s="352"/>
      <c r="F550" s="352"/>
      <c r="G550" s="352"/>
      <c r="H550" s="360" t="s">
        <v>2452</v>
      </c>
      <c r="I550" s="352"/>
      <c r="J550" s="352"/>
      <c r="K550" s="352"/>
      <c r="L550" s="352"/>
      <c r="M550" s="352"/>
    </row>
    <row r="551" spans="5:13">
      <c r="E551" s="352"/>
      <c r="F551" s="352"/>
      <c r="G551" s="352"/>
      <c r="H551" s="360" t="s">
        <v>2453</v>
      </c>
      <c r="I551" s="352"/>
      <c r="J551" s="352"/>
      <c r="K551" s="352"/>
      <c r="L551" s="352"/>
      <c r="M551" s="352"/>
    </row>
    <row r="552" spans="5:13">
      <c r="E552" s="352"/>
      <c r="F552" s="352"/>
      <c r="G552" s="352"/>
      <c r="H552" s="352"/>
      <c r="I552" s="352"/>
      <c r="J552" s="352"/>
      <c r="K552" s="352"/>
      <c r="L552" s="352"/>
      <c r="M552" s="352"/>
    </row>
    <row r="553" spans="5:13" ht="39" customHeight="1">
      <c r="E553" s="352"/>
      <c r="F553" s="352">
        <v>1</v>
      </c>
      <c r="G553" s="352" t="s">
        <v>1419</v>
      </c>
      <c r="H553" s="351" t="str">
        <f>[1]Elec.Data!H3384</f>
        <v>25 Amps rating single phase ELCB with 10 to 25 MA sensitivity (ISI make ) (DP) P-132   9-b havells  part -L</v>
      </c>
      <c r="I553" s="353">
        <f>[1]Elec.Data!I3384</f>
        <v>1492</v>
      </c>
      <c r="J553" s="352" t="s">
        <v>1419</v>
      </c>
      <c r="K553" s="360">
        <f>F553*I553</f>
        <v>1492</v>
      </c>
      <c r="L553" s="352"/>
      <c r="M553" s="352"/>
    </row>
    <row r="554" spans="5:13">
      <c r="E554" s="352"/>
      <c r="F554" s="352"/>
      <c r="G554" s="352"/>
      <c r="H554" s="352"/>
      <c r="I554" s="352"/>
      <c r="J554" s="352"/>
      <c r="K554" s="352"/>
      <c r="L554" s="352"/>
      <c r="M554" s="352"/>
    </row>
    <row r="555" spans="5:13">
      <c r="E555" s="352"/>
      <c r="F555" s="352"/>
      <c r="G555" s="352"/>
      <c r="H555" s="360" t="s">
        <v>2454</v>
      </c>
      <c r="I555" s="352"/>
      <c r="J555" s="352"/>
      <c r="K555" s="352"/>
      <c r="L555" s="352"/>
      <c r="M555" s="352"/>
    </row>
    <row r="556" spans="5:13">
      <c r="E556" s="352"/>
      <c r="F556" s="352"/>
      <c r="G556" s="352"/>
      <c r="H556" s="360" t="s">
        <v>2441</v>
      </c>
      <c r="I556" s="352"/>
      <c r="J556" s="352"/>
      <c r="K556" s="352"/>
      <c r="L556" s="352"/>
      <c r="M556" s="352"/>
    </row>
    <row r="557" spans="5:13">
      <c r="E557" s="352"/>
      <c r="F557" s="352"/>
      <c r="G557" s="352"/>
      <c r="H557" s="352"/>
      <c r="I557" s="352"/>
      <c r="J557" s="352"/>
      <c r="K557" s="352"/>
      <c r="L557" s="352"/>
      <c r="M557" s="352"/>
    </row>
    <row r="558" spans="5:13" ht="36.75" customHeight="1">
      <c r="E558" s="352"/>
      <c r="F558" s="352">
        <v>1</v>
      </c>
      <c r="G558" s="352" t="s">
        <v>1419</v>
      </c>
      <c r="H558" s="351" t="s">
        <v>4465</v>
      </c>
      <c r="I558" s="353">
        <f>[1]Elec.Data!I3389</f>
        <v>1840</v>
      </c>
      <c r="J558" s="352" t="s">
        <v>1419</v>
      </c>
      <c r="K558" s="371">
        <f>F558*I558</f>
        <v>1840</v>
      </c>
      <c r="L558" s="352"/>
      <c r="M558" s="352"/>
    </row>
    <row r="559" spans="5:13" ht="7.5" customHeight="1">
      <c r="E559" s="352"/>
      <c r="F559" s="352"/>
      <c r="G559" s="352"/>
      <c r="H559" s="352"/>
      <c r="I559" s="352"/>
      <c r="J559" s="352"/>
      <c r="K559" s="352"/>
      <c r="L559" s="352"/>
      <c r="M559" s="352"/>
    </row>
    <row r="560" spans="5:13">
      <c r="E560" s="352"/>
      <c r="F560" s="352"/>
      <c r="G560" s="352"/>
      <c r="H560" s="360" t="s">
        <v>2442</v>
      </c>
      <c r="I560" s="352"/>
      <c r="J560" s="352"/>
      <c r="K560" s="352"/>
      <c r="L560" s="352"/>
      <c r="M560" s="352"/>
    </row>
    <row r="561" spans="5:15">
      <c r="E561" s="352"/>
      <c r="F561" s="352"/>
      <c r="G561" s="352"/>
      <c r="H561" s="360" t="s">
        <v>2443</v>
      </c>
      <c r="I561" s="352"/>
      <c r="J561" s="352"/>
      <c r="K561" s="352"/>
      <c r="L561" s="352"/>
      <c r="M561" s="352"/>
    </row>
    <row r="562" spans="5:15">
      <c r="E562" s="352"/>
      <c r="F562" s="352"/>
      <c r="G562" s="352"/>
      <c r="H562" s="358" t="s">
        <v>2444</v>
      </c>
      <c r="I562" s="352"/>
      <c r="J562" s="352"/>
      <c r="K562" s="352"/>
      <c r="L562" s="352"/>
      <c r="M562" s="352"/>
    </row>
    <row r="563" spans="5:15">
      <c r="E563" s="352"/>
      <c r="F563" s="352"/>
      <c r="G563" s="352"/>
      <c r="H563" s="352"/>
      <c r="I563" s="352"/>
      <c r="J563" s="352"/>
      <c r="K563" s="352"/>
      <c r="L563" s="352"/>
      <c r="M563" s="352"/>
    </row>
    <row r="564" spans="5:15" ht="63">
      <c r="E564" s="352"/>
      <c r="F564" s="352"/>
      <c r="G564" s="352"/>
      <c r="H564" s="351" t="s">
        <v>2755</v>
      </c>
      <c r="I564" s="352"/>
      <c r="J564" s="352"/>
      <c r="K564" s="352"/>
      <c r="L564" s="351" t="s">
        <v>3535</v>
      </c>
      <c r="M564" s="351" t="s">
        <v>3536</v>
      </c>
      <c r="N564" s="351" t="s">
        <v>3779</v>
      </c>
      <c r="O564" s="351" t="s">
        <v>3947</v>
      </c>
    </row>
    <row r="565" spans="5:15">
      <c r="E565" s="352"/>
      <c r="F565" s="352">
        <v>1</v>
      </c>
      <c r="G565" s="352" t="s">
        <v>1419</v>
      </c>
      <c r="H565" s="352" t="s">
        <v>2756</v>
      </c>
      <c r="I565" s="353">
        <f>[1]Elec.Data!I3396</f>
        <v>83.6</v>
      </c>
      <c r="J565" s="352" t="s">
        <v>1419</v>
      </c>
      <c r="K565" s="352">
        <f>F565*I565</f>
        <v>83.6</v>
      </c>
      <c r="L565" s="352">
        <f>[1]Elec.Data!L3396</f>
        <v>186.6</v>
      </c>
      <c r="M565" s="352">
        <f>[1]Elec.Data!M3396</f>
        <v>47.2</v>
      </c>
      <c r="N565" s="352">
        <f>[1]Elec.Data!N3396</f>
        <v>337</v>
      </c>
      <c r="O565" s="364">
        <f>[1]Elec.Data!O3396</f>
        <v>545</v>
      </c>
    </row>
    <row r="566" spans="5:15">
      <c r="E566" s="352"/>
      <c r="F566" s="352">
        <v>1</v>
      </c>
      <c r="G566" s="352" t="s">
        <v>1419</v>
      </c>
      <c r="H566" s="352" t="s">
        <v>2757</v>
      </c>
      <c r="I566" s="352">
        <f>K571</f>
        <v>32.119999999999997</v>
      </c>
      <c r="J566" s="352" t="s">
        <v>1419</v>
      </c>
      <c r="K566" s="352">
        <f>F566*I566</f>
        <v>32.119999999999997</v>
      </c>
      <c r="L566" s="352">
        <f t="shared" ref="L566:O568" si="11">K566</f>
        <v>32.119999999999997</v>
      </c>
      <c r="M566" s="352">
        <f t="shared" si="11"/>
        <v>32.119999999999997</v>
      </c>
      <c r="N566" s="352">
        <f t="shared" si="11"/>
        <v>32.119999999999997</v>
      </c>
      <c r="O566" s="181">
        <f t="shared" si="11"/>
        <v>32.119999999999997</v>
      </c>
    </row>
    <row r="567" spans="5:15">
      <c r="E567" s="352"/>
      <c r="F567" s="352"/>
      <c r="G567" s="352"/>
      <c r="H567" s="352" t="s">
        <v>931</v>
      </c>
      <c r="I567" s="352"/>
      <c r="J567" s="352"/>
      <c r="K567" s="352">
        <f>K578</f>
        <v>424.25</v>
      </c>
      <c r="L567" s="352">
        <f t="shared" si="11"/>
        <v>424.25</v>
      </c>
      <c r="M567" s="352">
        <f t="shared" si="11"/>
        <v>424.25</v>
      </c>
      <c r="N567" s="352">
        <f t="shared" si="11"/>
        <v>424.25</v>
      </c>
      <c r="O567" s="181">
        <f t="shared" si="11"/>
        <v>424.25</v>
      </c>
    </row>
    <row r="568" spans="5:15">
      <c r="E568" s="352"/>
      <c r="F568" s="352"/>
      <c r="G568" s="352"/>
      <c r="H568" s="352" t="s">
        <v>2758</v>
      </c>
      <c r="I568" s="352" t="s">
        <v>669</v>
      </c>
      <c r="J568" s="352"/>
      <c r="K568" s="352">
        <v>5.05</v>
      </c>
      <c r="L568" s="352">
        <f t="shared" si="11"/>
        <v>5.05</v>
      </c>
      <c r="M568" s="352">
        <f t="shared" si="11"/>
        <v>5.05</v>
      </c>
      <c r="N568" s="352">
        <f t="shared" si="11"/>
        <v>5.05</v>
      </c>
      <c r="O568" s="181">
        <f t="shared" si="11"/>
        <v>5.05</v>
      </c>
    </row>
    <row r="569" spans="5:15">
      <c r="E569" s="352"/>
      <c r="F569" s="352"/>
      <c r="G569" s="352"/>
      <c r="H569" s="359" t="s">
        <v>1083</v>
      </c>
      <c r="I569" s="352"/>
      <c r="J569" s="352"/>
      <c r="K569" s="360">
        <f>SUM(K565:K568)</f>
        <v>545.02</v>
      </c>
      <c r="L569" s="360">
        <f>SUM(L565:L568)</f>
        <v>648.02</v>
      </c>
      <c r="M569" s="360">
        <f>SUM(M565:M568)</f>
        <v>508.62</v>
      </c>
      <c r="N569" s="360">
        <f>SUM(N565:N568)</f>
        <v>798.42</v>
      </c>
      <c r="O569" s="360">
        <f>SUM(O565:O568)</f>
        <v>1006.42</v>
      </c>
    </row>
    <row r="570" spans="5:15" ht="9.75" customHeight="1">
      <c r="E570" s="352"/>
      <c r="F570" s="352"/>
      <c r="G570" s="352"/>
      <c r="H570" s="352"/>
      <c r="I570" s="352"/>
      <c r="J570" s="352"/>
      <c r="K570" s="352"/>
      <c r="L570" s="352"/>
      <c r="M570" s="352"/>
    </row>
    <row r="571" spans="5:15">
      <c r="E571" s="352"/>
      <c r="F571" s="352"/>
      <c r="G571" s="352"/>
      <c r="H571" s="360" t="s">
        <v>2759</v>
      </c>
      <c r="I571" s="352">
        <f>I537</f>
        <v>107060</v>
      </c>
      <c r="J571" s="366">
        <v>2.9999999999999997E-4</v>
      </c>
      <c r="K571" s="360">
        <f>I571*J571</f>
        <v>32.119999999999997</v>
      </c>
      <c r="L571" s="352"/>
      <c r="M571" s="352"/>
    </row>
    <row r="572" spans="5:15">
      <c r="E572" s="352"/>
      <c r="F572" s="352"/>
      <c r="G572" s="352"/>
      <c r="H572" s="352"/>
      <c r="I572" s="352"/>
      <c r="J572" s="352"/>
      <c r="K572" s="352"/>
      <c r="L572" s="352"/>
      <c r="M572" s="352"/>
    </row>
    <row r="573" spans="5:15">
      <c r="E573" s="352"/>
      <c r="F573" s="352"/>
      <c r="G573" s="352"/>
      <c r="H573" s="358" t="s">
        <v>142</v>
      </c>
      <c r="I573" s="352"/>
      <c r="J573" s="352"/>
      <c r="K573" s="352"/>
      <c r="L573" s="352"/>
      <c r="M573" s="352"/>
    </row>
    <row r="574" spans="5:15">
      <c r="E574" s="352"/>
      <c r="F574" s="352">
        <v>1</v>
      </c>
      <c r="G574" s="352" t="s">
        <v>1419</v>
      </c>
      <c r="H574" s="352" t="s">
        <v>2814</v>
      </c>
      <c r="I574" s="352">
        <f>I520</f>
        <v>783</v>
      </c>
      <c r="J574" s="352" t="s">
        <v>1419</v>
      </c>
      <c r="K574" s="352">
        <f>F574*I574</f>
        <v>783</v>
      </c>
      <c r="L574" s="352"/>
      <c r="M574" s="352"/>
    </row>
    <row r="575" spans="5:15">
      <c r="E575" s="352"/>
      <c r="F575" s="352">
        <v>1</v>
      </c>
      <c r="G575" s="352" t="s">
        <v>1419</v>
      </c>
      <c r="H575" s="352" t="s">
        <v>2633</v>
      </c>
      <c r="I575" s="352">
        <f>I521</f>
        <v>778</v>
      </c>
      <c r="J575" s="352" t="s">
        <v>1419</v>
      </c>
      <c r="K575" s="352">
        <f>F575*I575</f>
        <v>778</v>
      </c>
      <c r="L575" s="352"/>
      <c r="M575" s="352"/>
    </row>
    <row r="576" spans="5:15">
      <c r="E576" s="352"/>
      <c r="F576" s="352">
        <v>3</v>
      </c>
      <c r="G576" s="352" t="s">
        <v>1419</v>
      </c>
      <c r="H576" s="352" t="s">
        <v>2370</v>
      </c>
      <c r="I576" s="352">
        <f>I522</f>
        <v>611</v>
      </c>
      <c r="J576" s="352" t="s">
        <v>1419</v>
      </c>
      <c r="K576" s="352">
        <f>F576*I576</f>
        <v>1833</v>
      </c>
      <c r="L576" s="352"/>
      <c r="M576" s="352"/>
    </row>
    <row r="577" spans="5:13">
      <c r="E577" s="352"/>
      <c r="F577" s="352"/>
      <c r="G577" s="352"/>
      <c r="H577" s="357" t="s">
        <v>2708</v>
      </c>
      <c r="I577" s="352"/>
      <c r="J577" s="352"/>
      <c r="K577" s="352">
        <f>SUM(K574:K576)</f>
        <v>3394</v>
      </c>
      <c r="L577" s="352"/>
      <c r="M577" s="352"/>
    </row>
    <row r="578" spans="5:13">
      <c r="E578" s="352"/>
      <c r="F578" s="352"/>
      <c r="G578" s="352"/>
      <c r="H578" s="359" t="s">
        <v>2841</v>
      </c>
      <c r="I578" s="352"/>
      <c r="J578" s="352"/>
      <c r="K578" s="360">
        <f>K577/8</f>
        <v>424.25</v>
      </c>
      <c r="L578" s="352"/>
      <c r="M578" s="352"/>
    </row>
    <row r="579" spans="5:13" ht="9" customHeight="1">
      <c r="E579" s="352"/>
      <c r="F579" s="352"/>
      <c r="G579" s="352"/>
      <c r="H579" s="352"/>
      <c r="I579" s="352"/>
      <c r="J579" s="352"/>
      <c r="K579" s="352"/>
      <c r="L579" s="352"/>
      <c r="M579" s="352"/>
    </row>
    <row r="580" spans="5:13">
      <c r="E580" s="352"/>
      <c r="F580" s="352"/>
      <c r="G580" s="352"/>
      <c r="H580" s="360" t="s">
        <v>2709</v>
      </c>
      <c r="I580" s="352"/>
      <c r="J580" s="352"/>
      <c r="K580" s="352"/>
      <c r="L580" s="352"/>
      <c r="M580" s="352"/>
    </row>
    <row r="581" spans="5:13">
      <c r="E581" s="352"/>
      <c r="F581" s="352"/>
      <c r="G581" s="352"/>
      <c r="H581" s="360" t="s">
        <v>2710</v>
      </c>
      <c r="I581" s="352"/>
      <c r="J581" s="352"/>
      <c r="K581" s="352"/>
      <c r="L581" s="352"/>
      <c r="M581" s="352"/>
    </row>
    <row r="582" spans="5:13">
      <c r="E582" s="352"/>
      <c r="F582" s="352"/>
      <c r="G582" s="352"/>
      <c r="H582" s="352"/>
      <c r="I582" s="352"/>
      <c r="J582" s="352"/>
      <c r="K582" s="352"/>
      <c r="L582" s="352"/>
      <c r="M582" s="352"/>
    </row>
    <row r="583" spans="5:13" ht="63">
      <c r="E583" s="352"/>
      <c r="F583" s="352"/>
      <c r="G583" s="352"/>
      <c r="H583" s="351" t="s">
        <v>2715</v>
      </c>
      <c r="I583" s="352"/>
      <c r="J583" s="352"/>
      <c r="K583" s="352"/>
      <c r="L583" s="352" t="s">
        <v>3592</v>
      </c>
      <c r="M583" s="352"/>
    </row>
    <row r="584" spans="5:13">
      <c r="E584" s="352"/>
      <c r="F584" s="352">
        <v>3</v>
      </c>
      <c r="G584" s="352" t="s">
        <v>1419</v>
      </c>
      <c r="H584" s="352" t="s">
        <v>2756</v>
      </c>
      <c r="I584" s="421">
        <f>I565</f>
        <v>83.6</v>
      </c>
      <c r="J584" s="352" t="s">
        <v>1423</v>
      </c>
      <c r="K584" s="352">
        <f>F584*I584</f>
        <v>250.8</v>
      </c>
      <c r="L584" s="352">
        <f>L565*3</f>
        <v>559.79999999999995</v>
      </c>
      <c r="M584" s="352"/>
    </row>
    <row r="585" spans="5:13">
      <c r="E585" s="352"/>
      <c r="F585" s="352">
        <v>1</v>
      </c>
      <c r="G585" s="352" t="s">
        <v>1419</v>
      </c>
      <c r="H585" s="352" t="s">
        <v>3248</v>
      </c>
      <c r="I585" s="352">
        <f>K590</f>
        <v>64.239999999999995</v>
      </c>
      <c r="J585" s="352" t="s">
        <v>1419</v>
      </c>
      <c r="K585" s="352">
        <f>F585*I585</f>
        <v>64.239999999999995</v>
      </c>
      <c r="L585" s="352">
        <f>K585</f>
        <v>64.239999999999995</v>
      </c>
      <c r="M585" s="352"/>
    </row>
    <row r="586" spans="5:13">
      <c r="E586" s="352"/>
      <c r="F586" s="352"/>
      <c r="G586" s="352"/>
      <c r="H586" s="352" t="s">
        <v>931</v>
      </c>
      <c r="I586" s="352"/>
      <c r="J586" s="352"/>
      <c r="K586" s="352">
        <f>K597</f>
        <v>500.63</v>
      </c>
      <c r="L586" s="352">
        <f>K586</f>
        <v>500.63</v>
      </c>
      <c r="M586" s="352"/>
    </row>
    <row r="587" spans="5:13">
      <c r="E587" s="352"/>
      <c r="F587" s="352"/>
      <c r="G587" s="352"/>
      <c r="H587" s="352" t="s">
        <v>2758</v>
      </c>
      <c r="I587" s="352" t="s">
        <v>669</v>
      </c>
      <c r="J587" s="352"/>
      <c r="K587" s="352">
        <v>8.5299999999999994</v>
      </c>
      <c r="L587" s="352">
        <f>K587</f>
        <v>8.5299999999999994</v>
      </c>
      <c r="M587" s="352"/>
    </row>
    <row r="588" spans="5:13">
      <c r="E588" s="352"/>
      <c r="F588" s="352"/>
      <c r="G588" s="352"/>
      <c r="H588" s="359" t="s">
        <v>1083</v>
      </c>
      <c r="I588" s="352"/>
      <c r="J588" s="352"/>
      <c r="K588" s="360">
        <f>SUM(K584:K587)</f>
        <v>824.2</v>
      </c>
      <c r="L588" s="360">
        <f>SUM(L584:L587)</f>
        <v>1133.2</v>
      </c>
      <c r="M588" s="352"/>
    </row>
    <row r="589" spans="5:13">
      <c r="E589" s="352"/>
      <c r="F589" s="352"/>
      <c r="G589" s="352"/>
      <c r="H589" s="359"/>
      <c r="I589" s="352"/>
      <c r="J589" s="352"/>
      <c r="K589" s="360"/>
      <c r="L589" s="352"/>
      <c r="M589" s="352"/>
    </row>
    <row r="590" spans="5:13">
      <c r="E590" s="352"/>
      <c r="F590" s="352"/>
      <c r="G590" s="352"/>
      <c r="H590" s="360" t="s">
        <v>3248</v>
      </c>
      <c r="I590" s="352">
        <f>I571</f>
        <v>107060</v>
      </c>
      <c r="J590" s="366">
        <v>5.9999999999999995E-4</v>
      </c>
      <c r="K590" s="360">
        <f>I590*J590</f>
        <v>64.239999999999995</v>
      </c>
      <c r="L590" s="352"/>
      <c r="M590" s="352"/>
    </row>
    <row r="591" spans="5:13">
      <c r="E591" s="352"/>
      <c r="F591" s="352"/>
      <c r="G591" s="352"/>
      <c r="H591" s="359"/>
      <c r="I591" s="352"/>
      <c r="J591" s="352"/>
      <c r="K591" s="352"/>
      <c r="L591" s="352"/>
      <c r="M591" s="352"/>
    </row>
    <row r="592" spans="5:13">
      <c r="E592" s="352"/>
      <c r="F592" s="352"/>
      <c r="G592" s="352"/>
      <c r="H592" s="358" t="s">
        <v>142</v>
      </c>
      <c r="I592" s="352"/>
      <c r="J592" s="352"/>
      <c r="K592" s="352"/>
      <c r="L592" s="352"/>
      <c r="M592" s="352"/>
    </row>
    <row r="593" spans="5:13">
      <c r="E593" s="352"/>
      <c r="F593" s="352">
        <v>1</v>
      </c>
      <c r="G593" s="352" t="s">
        <v>1419</v>
      </c>
      <c r="H593" s="352" t="s">
        <v>2814</v>
      </c>
      <c r="I593" s="352">
        <f>I574</f>
        <v>783</v>
      </c>
      <c r="J593" s="352" t="s">
        <v>1419</v>
      </c>
      <c r="K593" s="352">
        <f>F593*I593</f>
        <v>783</v>
      </c>
      <c r="L593" s="352"/>
      <c r="M593" s="352"/>
    </row>
    <row r="594" spans="5:13">
      <c r="E594" s="352"/>
      <c r="F594" s="352">
        <v>1</v>
      </c>
      <c r="G594" s="352" t="s">
        <v>1419</v>
      </c>
      <c r="H594" s="352" t="s">
        <v>2633</v>
      </c>
      <c r="I594" s="352">
        <f>I575</f>
        <v>778</v>
      </c>
      <c r="J594" s="352" t="s">
        <v>1419</v>
      </c>
      <c r="K594" s="352">
        <f>F594*I594</f>
        <v>778</v>
      </c>
      <c r="L594" s="352"/>
      <c r="M594" s="352"/>
    </row>
    <row r="595" spans="5:13">
      <c r="E595" s="352"/>
      <c r="F595" s="352">
        <v>4</v>
      </c>
      <c r="G595" s="352" t="s">
        <v>1419</v>
      </c>
      <c r="H595" s="352" t="s">
        <v>2370</v>
      </c>
      <c r="I595" s="352">
        <f>I576</f>
        <v>611</v>
      </c>
      <c r="J595" s="352" t="s">
        <v>1419</v>
      </c>
      <c r="K595" s="352">
        <f>F595*I595</f>
        <v>2444</v>
      </c>
      <c r="L595" s="352"/>
      <c r="M595" s="352"/>
    </row>
    <row r="596" spans="5:13">
      <c r="E596" s="352"/>
      <c r="F596" s="352"/>
      <c r="G596" s="352"/>
      <c r="H596" s="357" t="s">
        <v>2708</v>
      </c>
      <c r="I596" s="352"/>
      <c r="J596" s="352"/>
      <c r="K596" s="352">
        <f>SUM(K593:K595)</f>
        <v>4005</v>
      </c>
      <c r="L596" s="352"/>
      <c r="M596" s="352"/>
    </row>
    <row r="597" spans="5:13">
      <c r="E597" s="352"/>
      <c r="F597" s="352"/>
      <c r="G597" s="352"/>
      <c r="H597" s="359" t="s">
        <v>2942</v>
      </c>
      <c r="I597" s="352"/>
      <c r="J597" s="352"/>
      <c r="K597" s="360">
        <f>K596/8</f>
        <v>500.63</v>
      </c>
      <c r="L597" s="352"/>
      <c r="M597" s="352"/>
    </row>
    <row r="598" spans="5:13">
      <c r="E598" s="352"/>
      <c r="F598" s="352"/>
      <c r="G598" s="352"/>
      <c r="H598" s="352"/>
      <c r="I598" s="352"/>
      <c r="J598" s="352"/>
      <c r="K598" s="352"/>
      <c r="L598" s="352"/>
      <c r="M598" s="352"/>
    </row>
    <row r="599" spans="5:13">
      <c r="E599" s="352"/>
      <c r="F599" s="352"/>
      <c r="G599" s="352"/>
      <c r="H599" s="360" t="s">
        <v>2716</v>
      </c>
      <c r="I599" s="352"/>
      <c r="J599" s="352"/>
      <c r="K599" s="352"/>
      <c r="L599" s="352"/>
      <c r="M599" s="352"/>
    </row>
    <row r="600" spans="5:13">
      <c r="E600" s="352"/>
      <c r="F600" s="352"/>
      <c r="G600" s="352"/>
      <c r="H600" s="352"/>
      <c r="I600" s="352"/>
      <c r="J600" s="352"/>
      <c r="K600" s="352"/>
      <c r="L600" s="352"/>
      <c r="M600" s="352"/>
    </row>
    <row r="601" spans="5:13">
      <c r="E601" s="352"/>
      <c r="F601" s="352"/>
      <c r="G601" s="352"/>
      <c r="H601" s="360" t="s">
        <v>2717</v>
      </c>
      <c r="I601" s="352"/>
      <c r="J601" s="352"/>
      <c r="K601" s="352"/>
      <c r="L601" s="352"/>
      <c r="M601" s="352"/>
    </row>
    <row r="602" spans="5:13">
      <c r="E602" s="352"/>
      <c r="F602" s="352"/>
      <c r="G602" s="352"/>
      <c r="H602" s="352"/>
      <c r="I602" s="352"/>
      <c r="J602" s="352"/>
      <c r="K602" s="352"/>
      <c r="L602" s="352"/>
      <c r="M602" s="352"/>
    </row>
    <row r="603" spans="5:13" ht="81" customHeight="1">
      <c r="E603" s="352"/>
      <c r="F603" s="352"/>
      <c r="G603" s="352"/>
      <c r="H603" s="351" t="s">
        <v>2406</v>
      </c>
      <c r="I603" s="352"/>
      <c r="J603" s="352"/>
      <c r="K603" s="352"/>
      <c r="L603" s="352"/>
      <c r="M603" s="352"/>
    </row>
    <row r="604" spans="5:13">
      <c r="E604" s="352"/>
      <c r="F604" s="352"/>
      <c r="G604" s="352"/>
      <c r="H604" s="352"/>
      <c r="I604" s="352"/>
      <c r="J604" s="352"/>
      <c r="K604" s="352"/>
      <c r="L604" s="352"/>
      <c r="M604" s="352"/>
    </row>
    <row r="605" spans="5:13">
      <c r="E605" s="352"/>
      <c r="F605" s="352">
        <v>1</v>
      </c>
      <c r="G605" s="352" t="s">
        <v>1419</v>
      </c>
      <c r="H605" s="352" t="s">
        <v>4466</v>
      </c>
      <c r="I605" s="421">
        <v>45.6</v>
      </c>
      <c r="J605" s="352" t="s">
        <v>1419</v>
      </c>
      <c r="K605" s="352">
        <f>F605*I605</f>
        <v>45.6</v>
      </c>
      <c r="L605" s="352"/>
      <c r="M605" s="352"/>
    </row>
    <row r="606" spans="5:13">
      <c r="E606" s="352"/>
      <c r="F606" s="352">
        <v>1</v>
      </c>
      <c r="G606" s="352" t="s">
        <v>1419</v>
      </c>
      <c r="H606" s="351" t="s">
        <v>2407</v>
      </c>
      <c r="I606" s="352">
        <f>K612</f>
        <v>240.89</v>
      </c>
      <c r="J606" s="352" t="s">
        <v>1419</v>
      </c>
      <c r="K606" s="352">
        <f>F606*I606</f>
        <v>240.89</v>
      </c>
      <c r="L606" s="352"/>
      <c r="M606" s="352"/>
    </row>
    <row r="607" spans="5:13">
      <c r="E607" s="352"/>
      <c r="F607" s="352">
        <v>1</v>
      </c>
      <c r="G607" s="352" t="s">
        <v>1419</v>
      </c>
      <c r="H607" s="352" t="s">
        <v>2408</v>
      </c>
      <c r="I607" s="441">
        <v>25</v>
      </c>
      <c r="J607" s="352" t="s">
        <v>2409</v>
      </c>
      <c r="K607" s="352">
        <f>F607*I607</f>
        <v>25</v>
      </c>
      <c r="L607" s="352"/>
      <c r="M607" s="352"/>
    </row>
    <row r="608" spans="5:13">
      <c r="E608" s="352"/>
      <c r="F608" s="352"/>
      <c r="G608" s="352"/>
      <c r="H608" s="352" t="s">
        <v>142</v>
      </c>
      <c r="I608" s="352"/>
      <c r="J608" s="352"/>
      <c r="K608" s="352">
        <f>K618</f>
        <v>501.25</v>
      </c>
      <c r="L608" s="352"/>
      <c r="M608" s="352"/>
    </row>
    <row r="609" spans="5:13">
      <c r="E609" s="352"/>
      <c r="F609" s="352"/>
      <c r="G609" s="352"/>
      <c r="H609" s="352" t="s">
        <v>2410</v>
      </c>
      <c r="I609" s="352"/>
      <c r="J609" s="352"/>
      <c r="K609" s="352">
        <v>8.01</v>
      </c>
      <c r="L609" s="352"/>
      <c r="M609" s="352"/>
    </row>
    <row r="610" spans="5:13">
      <c r="E610" s="352"/>
      <c r="F610" s="352"/>
      <c r="G610" s="352"/>
      <c r="H610" s="359" t="s">
        <v>2411</v>
      </c>
      <c r="I610" s="352"/>
      <c r="J610" s="352"/>
      <c r="K610" s="360">
        <f>SUM(K605:K609)</f>
        <v>820.75</v>
      </c>
      <c r="L610" s="352"/>
      <c r="M610" s="352"/>
    </row>
    <row r="611" spans="5:13" ht="8.25" customHeight="1">
      <c r="E611" s="352"/>
      <c r="F611" s="352"/>
      <c r="G611" s="352"/>
      <c r="H611" s="352"/>
      <c r="I611" s="352"/>
      <c r="J611" s="352"/>
      <c r="K611" s="352"/>
      <c r="L611" s="352"/>
      <c r="M611" s="352"/>
    </row>
    <row r="612" spans="5:13">
      <c r="E612" s="352"/>
      <c r="F612" s="352"/>
      <c r="G612" s="352"/>
      <c r="H612" s="360" t="s">
        <v>2412</v>
      </c>
      <c r="I612" s="352">
        <f>I590</f>
        <v>107060</v>
      </c>
      <c r="J612" s="372">
        <v>2.2499999999999998E-3</v>
      </c>
      <c r="K612" s="352">
        <f>I612*J612</f>
        <v>240.89</v>
      </c>
      <c r="L612" s="352"/>
      <c r="M612" s="352"/>
    </row>
    <row r="613" spans="5:13" ht="7.5" customHeight="1">
      <c r="E613" s="352"/>
      <c r="F613" s="352"/>
      <c r="G613" s="352"/>
      <c r="H613" s="352"/>
      <c r="I613" s="352"/>
      <c r="J613" s="352"/>
      <c r="K613" s="352"/>
      <c r="L613" s="352"/>
      <c r="M613" s="352"/>
    </row>
    <row r="614" spans="5:13">
      <c r="E614" s="352"/>
      <c r="F614" s="352"/>
      <c r="G614" s="352"/>
      <c r="H614" s="360" t="s">
        <v>931</v>
      </c>
      <c r="I614" s="352"/>
      <c r="J614" s="352"/>
      <c r="K614" s="352"/>
      <c r="L614" s="352"/>
      <c r="M614" s="352"/>
    </row>
    <row r="615" spans="5:13">
      <c r="E615" s="352"/>
      <c r="F615" s="352">
        <v>1</v>
      </c>
      <c r="G615" s="352" t="s">
        <v>1419</v>
      </c>
      <c r="H615" s="352" t="s">
        <v>2814</v>
      </c>
      <c r="I615" s="181">
        <f>I593</f>
        <v>783</v>
      </c>
      <c r="J615" s="352" t="s">
        <v>1419</v>
      </c>
      <c r="K615" s="352">
        <f>F615*I615</f>
        <v>783</v>
      </c>
      <c r="L615" s="352"/>
      <c r="M615" s="352"/>
    </row>
    <row r="616" spans="5:13">
      <c r="E616" s="352"/>
      <c r="F616" s="352">
        <v>2</v>
      </c>
      <c r="G616" s="352" t="s">
        <v>1419</v>
      </c>
      <c r="H616" s="352" t="s">
        <v>2634</v>
      </c>
      <c r="I616" s="181">
        <f>I595</f>
        <v>611</v>
      </c>
      <c r="J616" s="352" t="s">
        <v>1419</v>
      </c>
      <c r="K616" s="352">
        <f>F616*I616</f>
        <v>1222</v>
      </c>
      <c r="L616" s="352"/>
      <c r="M616" s="352"/>
    </row>
    <row r="617" spans="5:13">
      <c r="E617" s="352"/>
      <c r="F617" s="352"/>
      <c r="G617" s="352"/>
      <c r="H617" s="357" t="s">
        <v>2815</v>
      </c>
      <c r="I617" s="352"/>
      <c r="J617" s="352"/>
      <c r="K617" s="352">
        <f>SUM(K615:K616)</f>
        <v>2005</v>
      </c>
      <c r="L617" s="352"/>
      <c r="M617" s="352"/>
    </row>
    <row r="618" spans="5:13">
      <c r="E618" s="352"/>
      <c r="F618" s="352"/>
      <c r="G618" s="352"/>
      <c r="H618" s="359" t="s">
        <v>2841</v>
      </c>
      <c r="I618" s="352"/>
      <c r="J618" s="352"/>
      <c r="K618" s="360">
        <f>K617/4</f>
        <v>501.25</v>
      </c>
      <c r="L618" s="352"/>
      <c r="M618" s="352"/>
    </row>
    <row r="619" spans="5:13">
      <c r="E619" s="352"/>
      <c r="F619" s="352"/>
      <c r="G619" s="352"/>
      <c r="H619" s="352"/>
      <c r="I619" s="352"/>
      <c r="J619" s="352"/>
      <c r="K619" s="352"/>
      <c r="L619" s="352"/>
      <c r="M619" s="352"/>
    </row>
    <row r="620" spans="5:13">
      <c r="E620" s="352"/>
      <c r="F620" s="352"/>
      <c r="G620" s="352"/>
      <c r="H620" s="360" t="s">
        <v>2413</v>
      </c>
      <c r="I620" s="352"/>
      <c r="J620" s="352"/>
      <c r="K620" s="352"/>
      <c r="L620" s="352"/>
      <c r="M620" s="352"/>
    </row>
    <row r="621" spans="5:13">
      <c r="E621" s="352"/>
      <c r="F621" s="352"/>
      <c r="G621" s="352"/>
      <c r="H621" s="360" t="s">
        <v>2414</v>
      </c>
      <c r="I621" s="352"/>
      <c r="J621" s="352"/>
      <c r="K621" s="352"/>
      <c r="L621" s="352"/>
      <c r="M621" s="352"/>
    </row>
    <row r="622" spans="5:13">
      <c r="E622" s="352"/>
      <c r="F622" s="352"/>
      <c r="G622" s="352"/>
      <c r="H622" s="352" t="s">
        <v>992</v>
      </c>
      <c r="I622" s="352"/>
      <c r="J622" s="352"/>
      <c r="K622" s="352"/>
      <c r="L622" s="352"/>
      <c r="M622" s="352"/>
    </row>
    <row r="623" spans="5:13">
      <c r="E623" s="352"/>
      <c r="F623" s="352">
        <v>1</v>
      </c>
      <c r="G623" s="352" t="s">
        <v>1419</v>
      </c>
      <c r="H623" s="352" t="s">
        <v>2541</v>
      </c>
      <c r="I623" s="421">
        <f>[1]Elec.Data!I3454</f>
        <v>1492</v>
      </c>
      <c r="J623" s="352" t="s">
        <v>1419</v>
      </c>
      <c r="K623" s="352">
        <f>F623*I623</f>
        <v>1492</v>
      </c>
      <c r="L623" s="352"/>
      <c r="M623" s="352"/>
    </row>
    <row r="624" spans="5:13">
      <c r="E624" s="352"/>
      <c r="F624" s="352">
        <v>3</v>
      </c>
      <c r="G624" s="352" t="s">
        <v>1419</v>
      </c>
      <c r="H624" s="352" t="str">
        <f>[1]Elec.Data!H3455</f>
        <v>3 No of 30 amps MCB ( Part -L, P-131   6-a havells)</v>
      </c>
      <c r="I624" s="421">
        <f>[1]Elec.Data!I3455</f>
        <v>172</v>
      </c>
      <c r="J624" s="352" t="s">
        <v>1419</v>
      </c>
      <c r="K624" s="352">
        <f>F624*I624</f>
        <v>516</v>
      </c>
      <c r="L624" s="352"/>
      <c r="M624" s="352"/>
    </row>
    <row r="625" spans="5:13">
      <c r="E625" s="352"/>
      <c r="F625" s="352"/>
      <c r="G625" s="352"/>
      <c r="H625" s="352" t="s">
        <v>2542</v>
      </c>
      <c r="I625" s="352"/>
      <c r="J625" s="352"/>
      <c r="K625" s="352">
        <f>K517</f>
        <v>552.9</v>
      </c>
      <c r="L625" s="352"/>
      <c r="M625" s="352"/>
    </row>
    <row r="626" spans="5:13">
      <c r="E626" s="352"/>
      <c r="F626" s="352"/>
      <c r="G626" s="352"/>
      <c r="H626" s="352" t="s">
        <v>2310</v>
      </c>
      <c r="I626" s="352"/>
      <c r="J626" s="352"/>
      <c r="K626" s="352">
        <v>0</v>
      </c>
      <c r="L626" s="352"/>
      <c r="M626" s="352"/>
    </row>
    <row r="627" spans="5:13">
      <c r="E627" s="352"/>
      <c r="F627" s="352"/>
      <c r="G627" s="352"/>
      <c r="H627" s="359" t="s">
        <v>2543</v>
      </c>
      <c r="I627" s="352"/>
      <c r="J627" s="352"/>
      <c r="K627" s="360">
        <f>SUM(K623:K626)</f>
        <v>2560.9</v>
      </c>
      <c r="L627" s="352"/>
      <c r="M627" s="352"/>
    </row>
    <row r="628" spans="5:13">
      <c r="E628" s="352"/>
      <c r="F628" s="352"/>
      <c r="G628" s="352"/>
      <c r="H628" s="352"/>
      <c r="I628" s="352"/>
      <c r="J628" s="352"/>
      <c r="K628" s="352"/>
      <c r="L628" s="352"/>
      <c r="M628" s="352"/>
    </row>
    <row r="629" spans="5:13">
      <c r="E629" s="352"/>
      <c r="F629" s="352"/>
      <c r="G629" s="352"/>
      <c r="H629" s="360" t="s">
        <v>2413</v>
      </c>
      <c r="I629" s="352"/>
      <c r="J629" s="352"/>
      <c r="K629" s="352"/>
      <c r="L629" s="352"/>
      <c r="M629" s="352"/>
    </row>
    <row r="630" spans="5:13">
      <c r="E630" s="352"/>
      <c r="F630" s="352"/>
      <c r="G630" s="352"/>
      <c r="H630" s="352"/>
      <c r="I630" s="352"/>
      <c r="J630" s="352"/>
      <c r="K630" s="352"/>
      <c r="L630" s="352"/>
      <c r="M630" s="352"/>
    </row>
    <row r="631" spans="5:13">
      <c r="E631" s="352"/>
      <c r="F631" s="352"/>
      <c r="G631" s="352"/>
      <c r="H631" s="360" t="s">
        <v>2544</v>
      </c>
      <c r="I631" s="352"/>
      <c r="J631" s="352"/>
      <c r="K631" s="352"/>
      <c r="L631" s="352"/>
      <c r="M631" s="352"/>
    </row>
    <row r="632" spans="5:13">
      <c r="E632" s="352"/>
      <c r="F632" s="352"/>
      <c r="G632" s="352"/>
      <c r="H632" s="352"/>
      <c r="I632" s="352"/>
      <c r="J632" s="352"/>
      <c r="K632" s="352"/>
      <c r="L632" s="352"/>
      <c r="M632" s="352"/>
    </row>
    <row r="633" spans="5:13">
      <c r="E633" s="352"/>
      <c r="F633" s="352">
        <v>1</v>
      </c>
      <c r="G633" s="352" t="s">
        <v>1419</v>
      </c>
      <c r="H633" s="352" t="str">
        <f>[1]Elec.Data!H3454</f>
        <v>Single phase ELCB (ISI 25 Amps 30 MA)P-94  9-b</v>
      </c>
      <c r="I633" s="421">
        <f>K558</f>
        <v>1840</v>
      </c>
      <c r="J633" s="352" t="s">
        <v>1419</v>
      </c>
      <c r="K633" s="352">
        <f>F633*I633</f>
        <v>1840</v>
      </c>
      <c r="L633" s="352"/>
      <c r="M633" s="352"/>
    </row>
    <row r="634" spans="5:13">
      <c r="E634" s="352"/>
      <c r="F634" s="352">
        <v>3</v>
      </c>
      <c r="G634" s="352" t="s">
        <v>1419</v>
      </c>
      <c r="H634" s="352" t="str">
        <f>[1]Elec.Data!H3455</f>
        <v>3 No of 30 amps MCB ( Part -L, P-131   6-a havells)</v>
      </c>
      <c r="I634" s="352">
        <f>I624</f>
        <v>172</v>
      </c>
      <c r="J634" s="352" t="s">
        <v>1419</v>
      </c>
      <c r="K634" s="352">
        <f>F634*I634</f>
        <v>516</v>
      </c>
      <c r="L634" s="352"/>
      <c r="M634" s="352"/>
    </row>
    <row r="635" spans="5:13">
      <c r="E635" s="352"/>
      <c r="F635" s="352"/>
      <c r="G635" s="352"/>
      <c r="H635" s="352" t="s">
        <v>2910</v>
      </c>
      <c r="I635" s="352"/>
      <c r="J635" s="352"/>
      <c r="K635" s="352">
        <f>K548</f>
        <v>565.9</v>
      </c>
      <c r="L635" s="352"/>
      <c r="M635" s="352"/>
    </row>
    <row r="636" spans="5:13">
      <c r="E636" s="352"/>
      <c r="F636" s="352"/>
      <c r="G636" s="352"/>
      <c r="H636" s="352" t="s">
        <v>2310</v>
      </c>
      <c r="I636" s="352"/>
      <c r="J636" s="352"/>
      <c r="K636" s="352"/>
      <c r="L636" s="352"/>
      <c r="M636" s="352"/>
    </row>
    <row r="637" spans="5:13">
      <c r="E637" s="352"/>
      <c r="F637" s="352"/>
      <c r="G637" s="352"/>
      <c r="H637" s="359" t="s">
        <v>2911</v>
      </c>
      <c r="I637" s="352"/>
      <c r="J637" s="352"/>
      <c r="K637" s="360">
        <f>SUM(K633:K636)</f>
        <v>2921.9</v>
      </c>
      <c r="L637" s="352"/>
      <c r="M637" s="352"/>
    </row>
    <row r="638" spans="5:13">
      <c r="E638" s="352"/>
      <c r="F638" s="352"/>
      <c r="G638" s="352"/>
      <c r="H638" s="352"/>
      <c r="I638" s="352"/>
      <c r="J638" s="352"/>
      <c r="K638" s="352"/>
      <c r="L638" s="352"/>
      <c r="M638" s="352"/>
    </row>
    <row r="639" spans="5:13">
      <c r="E639" s="352"/>
      <c r="F639" s="352"/>
      <c r="G639" s="352"/>
      <c r="H639" s="360" t="s">
        <v>2912</v>
      </c>
      <c r="I639" s="352"/>
      <c r="J639" s="352"/>
      <c r="K639" s="352"/>
      <c r="L639" s="352"/>
      <c r="M639" s="352"/>
    </row>
    <row r="640" spans="5:13">
      <c r="E640" s="352"/>
      <c r="F640" s="352"/>
      <c r="G640" s="352"/>
      <c r="H640" s="352"/>
      <c r="I640" s="352"/>
      <c r="J640" s="352"/>
      <c r="K640" s="352"/>
      <c r="L640" s="352"/>
      <c r="M640" s="352"/>
    </row>
    <row r="641" spans="5:13">
      <c r="E641" s="352"/>
      <c r="F641" s="352"/>
      <c r="G641" s="352"/>
      <c r="H641" s="360" t="s">
        <v>2913</v>
      </c>
      <c r="I641" s="352"/>
      <c r="J641" s="352"/>
      <c r="K641" s="352"/>
      <c r="L641" s="352"/>
      <c r="M641" s="352"/>
    </row>
    <row r="642" spans="5:13">
      <c r="E642" s="352"/>
      <c r="F642" s="352"/>
      <c r="G642" s="352"/>
      <c r="H642" s="352"/>
      <c r="I642" s="352"/>
      <c r="J642" s="352"/>
      <c r="K642" s="352"/>
      <c r="L642" s="352"/>
      <c r="M642" s="352"/>
    </row>
    <row r="643" spans="5:13" ht="78.75">
      <c r="E643" s="352"/>
      <c r="F643" s="352"/>
      <c r="G643" s="352"/>
      <c r="H643" s="351" t="s">
        <v>3452</v>
      </c>
      <c r="I643" s="352"/>
      <c r="J643" s="352"/>
      <c r="K643" s="352"/>
      <c r="L643" s="352"/>
      <c r="M643" s="352"/>
    </row>
    <row r="644" spans="5:13">
      <c r="E644" s="352"/>
      <c r="F644" s="352"/>
      <c r="G644" s="352"/>
      <c r="H644" s="352"/>
      <c r="I644" s="352"/>
      <c r="J644" s="352"/>
      <c r="K644" s="352"/>
      <c r="L644" s="352"/>
      <c r="M644" s="352"/>
    </row>
    <row r="645" spans="5:13" ht="24.95" customHeight="1">
      <c r="E645" s="352"/>
      <c r="F645" s="352">
        <v>3</v>
      </c>
      <c r="G645" s="352" t="s">
        <v>1419</v>
      </c>
      <c r="H645" s="352" t="s">
        <v>2914</v>
      </c>
      <c r="I645" s="352">
        <f>I565</f>
        <v>83.6</v>
      </c>
      <c r="J645" s="352" t="s">
        <v>1419</v>
      </c>
      <c r="K645" s="352">
        <f>F645*I645</f>
        <v>250.8</v>
      </c>
      <c r="L645" s="352"/>
      <c r="M645" s="352"/>
    </row>
    <row r="646" spans="5:13" ht="24.95" customHeight="1">
      <c r="E646" s="352"/>
      <c r="F646" s="352">
        <v>1</v>
      </c>
      <c r="G646" s="352" t="s">
        <v>1419</v>
      </c>
      <c r="H646" s="351" t="s">
        <v>2915</v>
      </c>
      <c r="I646" s="352">
        <f>K652</f>
        <v>361.33</v>
      </c>
      <c r="J646" s="352" t="s">
        <v>1419</v>
      </c>
      <c r="K646" s="352">
        <f>F646*I646</f>
        <v>361.33</v>
      </c>
      <c r="L646" s="352"/>
      <c r="M646" s="352"/>
    </row>
    <row r="647" spans="5:13" ht="24.95" customHeight="1">
      <c r="E647" s="352"/>
      <c r="F647" s="352">
        <v>1</v>
      </c>
      <c r="G647" s="352" t="s">
        <v>1419</v>
      </c>
      <c r="H647" s="352" t="s">
        <v>2408</v>
      </c>
      <c r="I647" s="352">
        <f>I607</f>
        <v>25</v>
      </c>
      <c r="J647" s="352" t="s">
        <v>2409</v>
      </c>
      <c r="K647" s="352">
        <f>F647*I647</f>
        <v>25</v>
      </c>
      <c r="L647" s="352"/>
      <c r="M647" s="352"/>
    </row>
    <row r="648" spans="5:13" ht="24.95" customHeight="1">
      <c r="E648" s="352"/>
      <c r="F648" s="352"/>
      <c r="G648" s="352"/>
      <c r="H648" s="352" t="s">
        <v>142</v>
      </c>
      <c r="I648" s="352"/>
      <c r="J648" s="352"/>
      <c r="K648" s="352">
        <f>K658</f>
        <v>668.33</v>
      </c>
      <c r="L648" s="352"/>
      <c r="M648" s="352"/>
    </row>
    <row r="649" spans="5:13">
      <c r="E649" s="352"/>
      <c r="F649" s="352"/>
      <c r="G649" s="352"/>
      <c r="H649" s="352" t="s">
        <v>2410</v>
      </c>
      <c r="I649" s="352"/>
      <c r="J649" s="352"/>
      <c r="K649" s="352">
        <f>3.77+0.47</f>
        <v>4.24</v>
      </c>
      <c r="L649" s="352"/>
      <c r="M649" s="352"/>
    </row>
    <row r="650" spans="5:13" ht="24.95" customHeight="1">
      <c r="E650" s="352"/>
      <c r="F650" s="352"/>
      <c r="G650" s="352"/>
      <c r="H650" s="359" t="s">
        <v>2411</v>
      </c>
      <c r="I650" s="352"/>
      <c r="J650" s="352"/>
      <c r="K650" s="360">
        <f>SUM(K645:K649)</f>
        <v>1309.7</v>
      </c>
      <c r="L650" s="352">
        <f>K650-1032</f>
        <v>277.7</v>
      </c>
      <c r="M650" s="352"/>
    </row>
    <row r="651" spans="5:13">
      <c r="E651" s="352"/>
      <c r="F651" s="352"/>
      <c r="G651" s="352"/>
      <c r="H651" s="352"/>
      <c r="I651" s="352"/>
      <c r="J651" s="352"/>
      <c r="K651" s="352"/>
      <c r="L651" s="352"/>
      <c r="M651" s="352"/>
    </row>
    <row r="652" spans="5:13">
      <c r="E652" s="352"/>
      <c r="F652" s="352"/>
      <c r="G652" s="352"/>
      <c r="H652" s="360" t="s">
        <v>2916</v>
      </c>
      <c r="I652" s="352">
        <f>I612</f>
        <v>107060</v>
      </c>
      <c r="J652" s="372">
        <v>3.375E-3</v>
      </c>
      <c r="K652" s="352">
        <f>I652*J652</f>
        <v>361.33</v>
      </c>
      <c r="L652" s="352"/>
      <c r="M652" s="352"/>
    </row>
    <row r="653" spans="5:13">
      <c r="E653" s="352"/>
      <c r="F653" s="352"/>
      <c r="G653" s="352"/>
      <c r="H653" s="352"/>
      <c r="I653" s="352"/>
      <c r="J653" s="352"/>
      <c r="K653" s="352"/>
      <c r="L653" s="352"/>
      <c r="M653" s="352"/>
    </row>
    <row r="654" spans="5:13" ht="21.75" customHeight="1">
      <c r="E654" s="352"/>
      <c r="F654" s="352"/>
      <c r="G654" s="352"/>
      <c r="H654" s="358" t="s">
        <v>931</v>
      </c>
      <c r="I654" s="352"/>
      <c r="J654" s="352"/>
      <c r="K654" s="352"/>
      <c r="L654" s="352"/>
      <c r="M654" s="352"/>
    </row>
    <row r="655" spans="5:13" ht="21.75" customHeight="1">
      <c r="E655" s="352"/>
      <c r="F655" s="352">
        <v>1</v>
      </c>
      <c r="G655" s="352" t="s">
        <v>1419</v>
      </c>
      <c r="H655" s="352" t="s">
        <v>2814</v>
      </c>
      <c r="I655" s="352">
        <f>I615</f>
        <v>783</v>
      </c>
      <c r="J655" s="352" t="s">
        <v>1419</v>
      </c>
      <c r="K655" s="352">
        <f>F655*I655</f>
        <v>783</v>
      </c>
      <c r="L655" s="352"/>
      <c r="M655" s="352"/>
    </row>
    <row r="656" spans="5:13" ht="21.75" customHeight="1">
      <c r="E656" s="352"/>
      <c r="F656" s="352">
        <v>2</v>
      </c>
      <c r="G656" s="352" t="s">
        <v>1419</v>
      </c>
      <c r="H656" s="352" t="s">
        <v>2634</v>
      </c>
      <c r="I656" s="352">
        <f>I616</f>
        <v>611</v>
      </c>
      <c r="J656" s="352" t="s">
        <v>1419</v>
      </c>
      <c r="K656" s="352">
        <f>F656*I656</f>
        <v>1222</v>
      </c>
      <c r="L656" s="352"/>
      <c r="M656" s="352"/>
    </row>
    <row r="657" spans="5:18" ht="21.75" customHeight="1">
      <c r="E657" s="352"/>
      <c r="F657" s="352"/>
      <c r="G657" s="352"/>
      <c r="H657" s="357" t="s">
        <v>2917</v>
      </c>
      <c r="I657" s="352"/>
      <c r="J657" s="360"/>
      <c r="K657" s="361">
        <f>SUM(K655:K656)</f>
        <v>2005</v>
      </c>
      <c r="L657" s="352"/>
      <c r="M657" s="352"/>
    </row>
    <row r="658" spans="5:18" ht="21.75" customHeight="1">
      <c r="E658" s="352"/>
      <c r="F658" s="352"/>
      <c r="G658" s="352"/>
      <c r="H658" s="359" t="s">
        <v>2841</v>
      </c>
      <c r="I658" s="352"/>
      <c r="J658" s="360"/>
      <c r="K658" s="360">
        <f>K657/3</f>
        <v>668.33</v>
      </c>
      <c r="L658" s="352"/>
      <c r="M658" s="352"/>
    </row>
    <row r="659" spans="5:18">
      <c r="E659" s="352"/>
      <c r="F659" s="352"/>
      <c r="G659" s="352"/>
      <c r="H659" s="352"/>
      <c r="I659" s="352"/>
      <c r="J659" s="352"/>
      <c r="K659" s="352"/>
      <c r="L659" s="352"/>
      <c r="M659" s="352"/>
    </row>
    <row r="660" spans="5:18">
      <c r="E660" s="352"/>
      <c r="F660" s="352"/>
      <c r="G660" s="352"/>
      <c r="H660" s="360" t="s">
        <v>2918</v>
      </c>
      <c r="I660" s="352"/>
      <c r="J660" s="352"/>
      <c r="K660" s="352"/>
      <c r="L660" s="352"/>
      <c r="M660" s="352"/>
    </row>
    <row r="661" spans="5:18">
      <c r="E661" s="352"/>
      <c r="F661" s="352"/>
      <c r="G661" s="352"/>
      <c r="H661" s="352"/>
      <c r="I661" s="352"/>
      <c r="J661" s="352"/>
      <c r="K661" s="352"/>
      <c r="L661" s="352"/>
      <c r="M661" s="352"/>
    </row>
    <row r="662" spans="5:18" ht="61.5" customHeight="1">
      <c r="E662" s="352"/>
      <c r="F662" s="352"/>
      <c r="G662" s="352"/>
      <c r="H662" s="350" t="s">
        <v>2747</v>
      </c>
      <c r="I662" s="352"/>
      <c r="J662" s="352"/>
      <c r="K662" s="352"/>
      <c r="L662" s="352"/>
      <c r="M662" s="352"/>
      <c r="N662" s="352"/>
      <c r="O662" s="350" t="s">
        <v>307</v>
      </c>
      <c r="P662" s="352"/>
      <c r="Q662" s="352"/>
      <c r="R662" s="352"/>
    </row>
    <row r="663" spans="5:18" ht="36" customHeight="1">
      <c r="E663" s="352"/>
      <c r="F663" s="352">
        <v>180</v>
      </c>
      <c r="G663" s="352" t="s">
        <v>842</v>
      </c>
      <c r="H663" s="351" t="s">
        <v>3985</v>
      </c>
      <c r="I663" s="353">
        <f>I281</f>
        <v>40.950000000000003</v>
      </c>
      <c r="J663" s="352" t="s">
        <v>842</v>
      </c>
      <c r="K663" s="352">
        <f>F663*I663</f>
        <v>7371</v>
      </c>
      <c r="L663" s="352"/>
      <c r="M663" s="352">
        <v>180</v>
      </c>
      <c r="N663" s="352" t="s">
        <v>842</v>
      </c>
      <c r="O663" s="351" t="s">
        <v>308</v>
      </c>
      <c r="P663" s="353">
        <f>I270</f>
        <v>25.75</v>
      </c>
      <c r="Q663" s="352" t="s">
        <v>842</v>
      </c>
      <c r="R663" s="352">
        <f>M663*P663</f>
        <v>4635</v>
      </c>
    </row>
    <row r="664" spans="5:18" ht="24.95" customHeight="1">
      <c r="E664" s="352"/>
      <c r="F664" s="352">
        <v>4</v>
      </c>
      <c r="G664" s="352" t="s">
        <v>1676</v>
      </c>
      <c r="H664" s="352" t="s">
        <v>3397</v>
      </c>
      <c r="I664" s="353">
        <v>89.7</v>
      </c>
      <c r="J664" s="352" t="s">
        <v>1676</v>
      </c>
      <c r="K664" s="352">
        <f>F664*I664</f>
        <v>358.8</v>
      </c>
      <c r="L664" s="352"/>
      <c r="M664" s="352">
        <v>4</v>
      </c>
      <c r="N664" s="352" t="s">
        <v>1676</v>
      </c>
      <c r="O664" s="352" t="s">
        <v>3397</v>
      </c>
      <c r="P664" s="353">
        <f>I664</f>
        <v>89.7</v>
      </c>
      <c r="Q664" s="352" t="s">
        <v>1676</v>
      </c>
      <c r="R664" s="352">
        <f>M664*P664</f>
        <v>358.8</v>
      </c>
    </row>
    <row r="665" spans="5:18" ht="24.95" customHeight="1">
      <c r="E665" s="352"/>
      <c r="F665" s="352">
        <v>180</v>
      </c>
      <c r="G665" s="352" t="s">
        <v>1423</v>
      </c>
      <c r="H665" s="352" t="s">
        <v>2749</v>
      </c>
      <c r="I665" s="353">
        <f>ROUND(6.7/12,2)</f>
        <v>0.56000000000000005</v>
      </c>
      <c r="J665" s="352" t="s">
        <v>1423</v>
      </c>
      <c r="K665" s="352">
        <f>F665*I665</f>
        <v>100.8</v>
      </c>
      <c r="L665" s="352"/>
      <c r="M665" s="352">
        <v>180</v>
      </c>
      <c r="N665" s="352" t="s">
        <v>1423</v>
      </c>
      <c r="O665" s="352" t="s">
        <v>2749</v>
      </c>
      <c r="P665" s="353">
        <f>I665</f>
        <v>0.56000000000000005</v>
      </c>
      <c r="Q665" s="352" t="s">
        <v>1423</v>
      </c>
      <c r="R665" s="352">
        <f>M665*P665</f>
        <v>100.8</v>
      </c>
    </row>
    <row r="666" spans="5:18" ht="24.95" customHeight="1">
      <c r="E666" s="352"/>
      <c r="F666" s="352">
        <v>1</v>
      </c>
      <c r="G666" s="352" t="s">
        <v>1676</v>
      </c>
      <c r="H666" s="352" t="s">
        <v>2750</v>
      </c>
      <c r="I666" s="353">
        <f>I664</f>
        <v>89.7</v>
      </c>
      <c r="J666" s="352" t="s">
        <v>1676</v>
      </c>
      <c r="K666" s="352">
        <f>F666*I666</f>
        <v>89.7</v>
      </c>
      <c r="L666" s="352"/>
      <c r="M666" s="352">
        <v>1</v>
      </c>
      <c r="N666" s="352" t="s">
        <v>1676</v>
      </c>
      <c r="O666" s="352" t="s">
        <v>2750</v>
      </c>
      <c r="P666" s="353">
        <f>I666</f>
        <v>89.7</v>
      </c>
      <c r="Q666" s="352" t="s">
        <v>1676</v>
      </c>
      <c r="R666" s="352">
        <f>M666*P666</f>
        <v>89.7</v>
      </c>
    </row>
    <row r="667" spans="5:18" ht="24.95" customHeight="1">
      <c r="E667" s="352"/>
      <c r="F667" s="352"/>
      <c r="G667" s="352"/>
      <c r="H667" s="352" t="s">
        <v>931</v>
      </c>
      <c r="I667" s="352"/>
      <c r="J667" s="352"/>
      <c r="K667" s="352">
        <f>K676</f>
        <v>5853</v>
      </c>
      <c r="L667" s="352"/>
      <c r="M667" s="352"/>
      <c r="N667" s="352"/>
      <c r="O667" s="352" t="s">
        <v>931</v>
      </c>
      <c r="P667" s="352"/>
      <c r="Q667" s="352"/>
      <c r="R667" s="352">
        <f>R676</f>
        <v>5853</v>
      </c>
    </row>
    <row r="668" spans="5:18" ht="24.95" customHeight="1">
      <c r="E668" s="352"/>
      <c r="F668" s="352"/>
      <c r="G668" s="352"/>
      <c r="H668" s="352" t="s">
        <v>2751</v>
      </c>
      <c r="I668" s="352"/>
      <c r="J668" s="352"/>
      <c r="K668" s="352">
        <v>38</v>
      </c>
      <c r="L668" s="352">
        <v>26.5</v>
      </c>
      <c r="M668" s="352"/>
      <c r="N668" s="352"/>
      <c r="O668" s="352" t="s">
        <v>2751</v>
      </c>
      <c r="P668" s="352"/>
      <c r="Q668" s="352"/>
      <c r="R668" s="352">
        <v>30.7</v>
      </c>
    </row>
    <row r="669" spans="5:18" ht="24.95" customHeight="1">
      <c r="E669" s="352"/>
      <c r="F669" s="352"/>
      <c r="G669" s="352"/>
      <c r="H669" s="357" t="s">
        <v>2752</v>
      </c>
      <c r="I669" s="352"/>
      <c r="J669" s="352"/>
      <c r="K669" s="352">
        <f>SUM(K663:K668)</f>
        <v>13811.3</v>
      </c>
      <c r="L669" s="352"/>
      <c r="M669" s="352"/>
      <c r="N669" s="352"/>
      <c r="O669" s="357" t="s">
        <v>2752</v>
      </c>
      <c r="P669" s="352"/>
      <c r="Q669" s="352"/>
      <c r="R669" s="352">
        <v>30.7</v>
      </c>
    </row>
    <row r="670" spans="5:18" ht="24.95" customHeight="1">
      <c r="E670" s="352"/>
      <c r="F670" s="352"/>
      <c r="G670" s="352"/>
      <c r="H670" s="359" t="s">
        <v>2433</v>
      </c>
      <c r="I670" s="352"/>
      <c r="J670" s="352"/>
      <c r="K670" s="360">
        <f>K669/90</f>
        <v>153.46</v>
      </c>
      <c r="L670" s="352"/>
      <c r="M670" s="352"/>
      <c r="N670" s="352"/>
      <c r="O670" s="359" t="s">
        <v>2433</v>
      </c>
      <c r="P670" s="352"/>
      <c r="Q670" s="352"/>
      <c r="R670" s="360">
        <f>R669/90</f>
        <v>0.34</v>
      </c>
    </row>
    <row r="671" spans="5:18">
      <c r="E671" s="352"/>
      <c r="F671" s="352"/>
      <c r="G671" s="352"/>
      <c r="H671" s="358" t="s">
        <v>2691</v>
      </c>
      <c r="I671" s="352"/>
      <c r="J671" s="352"/>
      <c r="K671" s="352"/>
      <c r="L671" s="352">
        <f>L670-K669</f>
        <v>-13811.3</v>
      </c>
      <c r="M671" s="352"/>
      <c r="N671" s="352"/>
      <c r="O671" s="358" t="s">
        <v>2691</v>
      </c>
      <c r="P671" s="352"/>
      <c r="Q671" s="352"/>
      <c r="R671" s="352"/>
    </row>
    <row r="672" spans="5:18">
      <c r="E672" s="352"/>
      <c r="F672" s="352">
        <v>1</v>
      </c>
      <c r="G672" s="352" t="s">
        <v>1419</v>
      </c>
      <c r="H672" s="361" t="s">
        <v>2753</v>
      </c>
      <c r="I672" s="352">
        <f>I35</f>
        <v>898</v>
      </c>
      <c r="J672" s="352" t="s">
        <v>1419</v>
      </c>
      <c r="K672" s="352">
        <f>F672*I672</f>
        <v>898</v>
      </c>
      <c r="L672" s="352"/>
      <c r="M672" s="352">
        <v>1</v>
      </c>
      <c r="N672" s="352" t="s">
        <v>1419</v>
      </c>
      <c r="O672" s="361" t="s">
        <v>2753</v>
      </c>
      <c r="P672" s="352">
        <f>I672</f>
        <v>898</v>
      </c>
      <c r="Q672" s="352" t="s">
        <v>1419</v>
      </c>
      <c r="R672" s="352">
        <f>M672*P672</f>
        <v>898</v>
      </c>
    </row>
    <row r="673" spans="5:18">
      <c r="E673" s="352"/>
      <c r="F673" s="352">
        <v>2</v>
      </c>
      <c r="G673" s="352" t="s">
        <v>1419</v>
      </c>
      <c r="H673" s="352" t="s">
        <v>2814</v>
      </c>
      <c r="I673" s="352">
        <f>I36</f>
        <v>783</v>
      </c>
      <c r="J673" s="352" t="s">
        <v>1419</v>
      </c>
      <c r="K673" s="352">
        <f>F673*I673</f>
        <v>1566</v>
      </c>
      <c r="L673" s="352"/>
      <c r="M673" s="352">
        <v>2</v>
      </c>
      <c r="N673" s="352" t="s">
        <v>1419</v>
      </c>
      <c r="O673" s="352" t="s">
        <v>2814</v>
      </c>
      <c r="P673" s="352">
        <f>I673</f>
        <v>783</v>
      </c>
      <c r="Q673" s="352" t="s">
        <v>1419</v>
      </c>
      <c r="R673" s="352">
        <f>M673*P673</f>
        <v>1566</v>
      </c>
    </row>
    <row r="674" spans="5:18">
      <c r="E674" s="352"/>
      <c r="F674" s="352">
        <v>2</v>
      </c>
      <c r="G674" s="352" t="s">
        <v>1419</v>
      </c>
      <c r="H674" s="352" t="s">
        <v>2633</v>
      </c>
      <c r="I674" s="352">
        <f>I37</f>
        <v>778</v>
      </c>
      <c r="J674" s="352" t="s">
        <v>1419</v>
      </c>
      <c r="K674" s="352">
        <f>F674*I674</f>
        <v>1556</v>
      </c>
      <c r="L674" s="352"/>
      <c r="M674" s="352">
        <v>2</v>
      </c>
      <c r="N674" s="352" t="s">
        <v>1419</v>
      </c>
      <c r="O674" s="352" t="s">
        <v>2633</v>
      </c>
      <c r="P674" s="352">
        <f>I674</f>
        <v>778</v>
      </c>
      <c r="Q674" s="352" t="s">
        <v>1419</v>
      </c>
      <c r="R674" s="352">
        <f>M674*P674</f>
        <v>1556</v>
      </c>
    </row>
    <row r="675" spans="5:18">
      <c r="E675" s="352"/>
      <c r="F675" s="352">
        <v>3</v>
      </c>
      <c r="G675" s="352" t="s">
        <v>1419</v>
      </c>
      <c r="H675" s="352" t="s">
        <v>2370</v>
      </c>
      <c r="I675" s="352">
        <f>I38</f>
        <v>611</v>
      </c>
      <c r="J675" s="352" t="s">
        <v>1419</v>
      </c>
      <c r="K675" s="352">
        <f>F675*I675</f>
        <v>1833</v>
      </c>
      <c r="L675" s="352"/>
      <c r="M675" s="352">
        <v>3</v>
      </c>
      <c r="N675" s="352" t="s">
        <v>1419</v>
      </c>
      <c r="O675" s="352" t="s">
        <v>2370</v>
      </c>
      <c r="P675" s="352">
        <f>I675</f>
        <v>611</v>
      </c>
      <c r="Q675" s="352" t="s">
        <v>1419</v>
      </c>
      <c r="R675" s="352">
        <f>M675*P675</f>
        <v>1833</v>
      </c>
    </row>
    <row r="676" spans="5:18" ht="24.95" customHeight="1">
      <c r="E676" s="352"/>
      <c r="F676" s="352"/>
      <c r="G676" s="352"/>
      <c r="H676" s="352"/>
      <c r="I676" s="352"/>
      <c r="J676" s="352"/>
      <c r="K676" s="360">
        <f>SUM(K672:K675)</f>
        <v>5853</v>
      </c>
      <c r="L676" s="352"/>
      <c r="M676" s="352"/>
      <c r="N676" s="352"/>
      <c r="O676" s="352"/>
      <c r="P676" s="352"/>
      <c r="Q676" s="352"/>
      <c r="R676" s="360">
        <f>SUM(R672:R675)</f>
        <v>5853</v>
      </c>
    </row>
    <row r="677" spans="5:18" ht="21.75" customHeight="1">
      <c r="E677" s="352"/>
      <c r="F677" s="352"/>
      <c r="G677" s="352"/>
      <c r="H677" s="352"/>
      <c r="I677" s="352"/>
      <c r="J677" s="352"/>
      <c r="K677" s="352"/>
      <c r="L677" s="352"/>
      <c r="M677" s="352"/>
    </row>
    <row r="678" spans="5:18">
      <c r="E678" s="352"/>
      <c r="F678" s="352"/>
      <c r="G678" s="352"/>
      <c r="H678" s="360" t="s">
        <v>2754</v>
      </c>
      <c r="I678" s="352"/>
      <c r="J678" s="352"/>
      <c r="K678" s="352"/>
      <c r="L678" s="352"/>
      <c r="M678" s="352"/>
    </row>
    <row r="679" spans="5:18" ht="29.25" customHeight="1">
      <c r="E679" s="352"/>
      <c r="F679" s="352"/>
      <c r="G679" s="352"/>
      <c r="H679" s="350" t="s">
        <v>2345</v>
      </c>
      <c r="I679" s="352"/>
      <c r="J679" s="352"/>
      <c r="K679" s="352"/>
      <c r="L679" s="352"/>
      <c r="M679" s="352"/>
    </row>
    <row r="680" spans="5:18" ht="18" customHeight="1">
      <c r="E680" s="352"/>
      <c r="F680" s="352"/>
      <c r="G680" s="352"/>
      <c r="H680" s="352"/>
      <c r="I680" s="352"/>
      <c r="J680" s="352"/>
      <c r="K680" s="352"/>
      <c r="L680" s="352"/>
      <c r="M680" s="352"/>
    </row>
    <row r="681" spans="5:18" ht="47.25" customHeight="1">
      <c r="E681" s="352"/>
      <c r="F681" s="352"/>
      <c r="G681" s="352"/>
      <c r="H681" s="373" t="s">
        <v>2690</v>
      </c>
      <c r="I681" s="352"/>
      <c r="J681" s="352"/>
      <c r="K681" s="352"/>
      <c r="L681" s="352"/>
      <c r="M681" s="352"/>
    </row>
    <row r="682" spans="5:18">
      <c r="E682" s="352"/>
      <c r="F682" s="352">
        <v>1</v>
      </c>
      <c r="G682" s="352" t="s">
        <v>842</v>
      </c>
      <c r="H682" s="352" t="s">
        <v>4470</v>
      </c>
      <c r="I682" s="353">
        <v>120.8</v>
      </c>
      <c r="J682" s="352" t="s">
        <v>842</v>
      </c>
      <c r="K682" s="357">
        <f>F682*I682</f>
        <v>120.8</v>
      </c>
      <c r="L682" s="352"/>
      <c r="M682" s="352"/>
    </row>
    <row r="683" spans="5:18">
      <c r="E683" s="352"/>
      <c r="F683" s="352"/>
      <c r="G683" s="352"/>
      <c r="H683" s="352" t="s">
        <v>2310</v>
      </c>
      <c r="I683" s="352"/>
      <c r="J683" s="352"/>
      <c r="K683" s="357">
        <f>1.87+0.33</f>
        <v>2.2000000000000002</v>
      </c>
      <c r="L683" s="352"/>
      <c r="M683" s="352"/>
    </row>
    <row r="684" spans="5:18">
      <c r="E684" s="352"/>
      <c r="F684" s="352"/>
      <c r="G684" s="352"/>
      <c r="H684" s="359" t="s">
        <v>3436</v>
      </c>
      <c r="I684" s="352"/>
      <c r="J684" s="352"/>
      <c r="K684" s="359">
        <f>SUM(K682:K683)</f>
        <v>123</v>
      </c>
      <c r="L684" s="352"/>
      <c r="M684" s="352"/>
    </row>
    <row r="685" spans="5:18" ht="9.75" customHeight="1">
      <c r="E685" s="352"/>
      <c r="F685" s="352"/>
      <c r="G685" s="352"/>
      <c r="H685" s="352"/>
      <c r="I685" s="352"/>
      <c r="J685" s="352"/>
      <c r="K685" s="352"/>
      <c r="L685" s="352"/>
      <c r="M685" s="352"/>
    </row>
    <row r="686" spans="5:18">
      <c r="E686" s="352"/>
      <c r="F686" s="352"/>
      <c r="G686" s="352"/>
      <c r="H686" s="360" t="s">
        <v>3437</v>
      </c>
      <c r="I686" s="352"/>
      <c r="J686" s="352"/>
      <c r="K686" s="352"/>
      <c r="L686" s="352"/>
      <c r="M686" s="352"/>
    </row>
    <row r="687" spans="5:18">
      <c r="E687" s="352"/>
      <c r="F687" s="352"/>
      <c r="G687" s="352"/>
      <c r="H687" s="360" t="s">
        <v>3438</v>
      </c>
      <c r="I687" s="352"/>
      <c r="J687" s="352"/>
      <c r="K687" s="352"/>
      <c r="L687" s="352"/>
      <c r="M687" s="352"/>
    </row>
    <row r="688" spans="5:18">
      <c r="E688" s="352"/>
      <c r="F688" s="352"/>
      <c r="G688" s="352"/>
      <c r="H688" s="352"/>
      <c r="I688" s="352"/>
      <c r="J688" s="352"/>
      <c r="K688" s="352"/>
      <c r="L688" s="352"/>
      <c r="M688" s="352"/>
    </row>
    <row r="689" spans="5:13" ht="49.5" customHeight="1">
      <c r="E689" s="352"/>
      <c r="F689" s="352"/>
      <c r="G689" s="352"/>
      <c r="H689" s="373" t="s">
        <v>3439</v>
      </c>
      <c r="I689" s="352"/>
      <c r="J689" s="352"/>
      <c r="K689" s="352"/>
      <c r="L689" s="352"/>
      <c r="M689" s="352"/>
    </row>
    <row r="690" spans="5:13">
      <c r="E690" s="352"/>
      <c r="F690" s="352">
        <v>1</v>
      </c>
      <c r="G690" s="352" t="s">
        <v>842</v>
      </c>
      <c r="H690" s="352" t="s">
        <v>4471</v>
      </c>
      <c r="I690" s="353">
        <v>43.9</v>
      </c>
      <c r="J690" s="352" t="s">
        <v>364</v>
      </c>
      <c r="K690" s="352">
        <f>F691*I690</f>
        <v>142.68</v>
      </c>
      <c r="L690" s="352"/>
      <c r="M690" s="352"/>
    </row>
    <row r="691" spans="5:13">
      <c r="E691" s="352"/>
      <c r="F691" s="352">
        <v>3.25</v>
      </c>
      <c r="G691" s="352" t="s">
        <v>3440</v>
      </c>
      <c r="H691" s="352"/>
      <c r="I691" s="352"/>
      <c r="J691" s="352"/>
      <c r="K691" s="352"/>
      <c r="L691" s="352"/>
      <c r="M691" s="352"/>
    </row>
    <row r="692" spans="5:13">
      <c r="E692" s="352"/>
      <c r="F692" s="352"/>
      <c r="G692" s="352"/>
      <c r="H692" s="352" t="s">
        <v>2310</v>
      </c>
      <c r="I692" s="352"/>
      <c r="J692" s="352"/>
      <c r="K692" s="352">
        <f>1.95+0.64-0.27</f>
        <v>2.3199999999999998</v>
      </c>
      <c r="L692" s="352"/>
      <c r="M692" s="352"/>
    </row>
    <row r="693" spans="5:13">
      <c r="E693" s="352"/>
      <c r="F693" s="352"/>
      <c r="G693" s="352"/>
      <c r="H693" s="359" t="s">
        <v>2809</v>
      </c>
      <c r="I693" s="352"/>
      <c r="J693" s="352"/>
      <c r="K693" s="360">
        <f>SUM(K690:K692)</f>
        <v>145</v>
      </c>
      <c r="L693" s="352">
        <f>169-K693</f>
        <v>24</v>
      </c>
      <c r="M693" s="352"/>
    </row>
    <row r="694" spans="5:13">
      <c r="E694" s="352"/>
      <c r="F694" s="352"/>
      <c r="G694" s="352"/>
      <c r="H694" s="359"/>
      <c r="I694" s="352"/>
      <c r="J694" s="352"/>
      <c r="K694" s="360"/>
      <c r="L694" s="352"/>
      <c r="M694" s="352"/>
    </row>
    <row r="695" spans="5:13">
      <c r="E695" s="352"/>
      <c r="F695" s="352"/>
      <c r="G695" s="352"/>
      <c r="H695" s="360" t="s">
        <v>3441</v>
      </c>
      <c r="I695" s="352"/>
      <c r="J695" s="352"/>
      <c r="K695" s="352"/>
      <c r="L695" s="352"/>
      <c r="M695" s="352"/>
    </row>
    <row r="696" spans="5:13">
      <c r="E696" s="352"/>
      <c r="F696" s="352"/>
      <c r="G696" s="352"/>
      <c r="H696" s="352"/>
      <c r="I696" s="352"/>
      <c r="J696" s="352"/>
      <c r="K696" s="352"/>
      <c r="L696" s="352"/>
      <c r="M696" s="352"/>
    </row>
    <row r="697" spans="5:13" ht="45" customHeight="1">
      <c r="E697" s="352"/>
      <c r="F697" s="352"/>
      <c r="G697" s="352"/>
      <c r="H697" s="350" t="s">
        <v>3442</v>
      </c>
      <c r="I697" s="352"/>
      <c r="J697" s="352"/>
      <c r="K697" s="352"/>
      <c r="L697" s="352"/>
      <c r="M697" s="352"/>
    </row>
    <row r="698" spans="5:13">
      <c r="E698" s="352"/>
      <c r="F698" s="352"/>
      <c r="G698" s="352"/>
      <c r="H698" s="352"/>
      <c r="I698" s="352"/>
      <c r="J698" s="352"/>
      <c r="K698" s="352"/>
      <c r="L698" s="352"/>
      <c r="M698" s="352"/>
    </row>
    <row r="699" spans="5:13" ht="135.75" customHeight="1">
      <c r="E699" s="352"/>
      <c r="F699" s="352"/>
      <c r="G699" s="352"/>
      <c r="H699" s="373" t="s">
        <v>2972</v>
      </c>
      <c r="I699" s="352"/>
      <c r="J699" s="352"/>
      <c r="K699" s="352"/>
      <c r="L699" s="352"/>
      <c r="M699" s="352"/>
    </row>
    <row r="700" spans="5:13">
      <c r="E700" s="352"/>
      <c r="F700" s="352"/>
      <c r="G700" s="352"/>
      <c r="H700" s="352"/>
      <c r="I700" s="352"/>
      <c r="J700" s="352"/>
      <c r="K700" s="352"/>
      <c r="L700" s="352"/>
      <c r="M700" s="352"/>
    </row>
    <row r="701" spans="5:13" ht="29.25" customHeight="1">
      <c r="E701" s="352"/>
      <c r="F701" s="352">
        <v>360</v>
      </c>
      <c r="G701" s="352" t="s">
        <v>842</v>
      </c>
      <c r="H701" s="351" t="s">
        <v>2748</v>
      </c>
      <c r="I701" s="352">
        <f>I663</f>
        <v>40.950000000000003</v>
      </c>
      <c r="J701" s="352" t="s">
        <v>842</v>
      </c>
      <c r="K701" s="352">
        <f>F701*I701</f>
        <v>14742</v>
      </c>
      <c r="L701" s="352"/>
      <c r="M701" s="352"/>
    </row>
    <row r="702" spans="5:13" ht="15.75" customHeight="1">
      <c r="E702" s="352"/>
      <c r="F702" s="352">
        <v>4</v>
      </c>
      <c r="G702" s="352" t="s">
        <v>1676</v>
      </c>
      <c r="H702" s="352" t="s">
        <v>3397</v>
      </c>
      <c r="I702" s="352">
        <f>I664</f>
        <v>89.7</v>
      </c>
      <c r="J702" s="352" t="s">
        <v>1676</v>
      </c>
      <c r="K702" s="352">
        <f>F702*I702</f>
        <v>358.8</v>
      </c>
      <c r="L702" s="352"/>
      <c r="M702" s="352"/>
    </row>
    <row r="703" spans="5:13">
      <c r="E703" s="352"/>
      <c r="F703" s="352">
        <v>360</v>
      </c>
      <c r="G703" s="352" t="s">
        <v>1423</v>
      </c>
      <c r="H703" s="352" t="s">
        <v>2749</v>
      </c>
      <c r="I703" s="352">
        <f>I665</f>
        <v>0.56000000000000005</v>
      </c>
      <c r="J703" s="352" t="s">
        <v>1423</v>
      </c>
      <c r="K703" s="352">
        <f>F703*I703</f>
        <v>201.6</v>
      </c>
      <c r="L703" s="352"/>
      <c r="M703" s="352"/>
    </row>
    <row r="704" spans="5:13">
      <c r="E704" s="352"/>
      <c r="F704" s="352">
        <v>1.5</v>
      </c>
      <c r="G704" s="352" t="s">
        <v>1676</v>
      </c>
      <c r="H704" s="352" t="s">
        <v>2750</v>
      </c>
      <c r="I704" s="352">
        <f>I666</f>
        <v>89.7</v>
      </c>
      <c r="J704" s="352" t="s">
        <v>1676</v>
      </c>
      <c r="K704" s="352">
        <f>F704*I704</f>
        <v>134.55000000000001</v>
      </c>
      <c r="L704" s="352"/>
      <c r="M704" s="352"/>
    </row>
    <row r="705" spans="5:13">
      <c r="E705" s="352"/>
      <c r="F705" s="352"/>
      <c r="G705" s="352"/>
      <c r="H705" s="352" t="s">
        <v>2973</v>
      </c>
      <c r="I705" s="352"/>
      <c r="J705" s="352"/>
      <c r="K705" s="352">
        <f>K676*1.5</f>
        <v>8779.5</v>
      </c>
      <c r="L705" s="352"/>
      <c r="M705" s="352"/>
    </row>
    <row r="706" spans="5:13">
      <c r="E706" s="352"/>
      <c r="F706" s="352"/>
      <c r="G706" s="352"/>
      <c r="H706" s="352" t="s">
        <v>2751</v>
      </c>
      <c r="I706" s="352"/>
      <c r="J706" s="352"/>
      <c r="K706" s="352">
        <v>167.55</v>
      </c>
      <c r="L706" s="352"/>
      <c r="M706" s="352"/>
    </row>
    <row r="707" spans="5:13">
      <c r="E707" s="352"/>
      <c r="F707" s="352"/>
      <c r="G707" s="352"/>
      <c r="H707" s="357" t="s">
        <v>2752</v>
      </c>
      <c r="I707" s="352"/>
      <c r="J707" s="352"/>
      <c r="K707" s="352">
        <f>SUM(K701:K706)</f>
        <v>24384</v>
      </c>
      <c r="L707" s="352"/>
      <c r="M707" s="352"/>
    </row>
    <row r="708" spans="5:13">
      <c r="E708" s="352"/>
      <c r="F708" s="352"/>
      <c r="G708" s="352"/>
      <c r="H708" s="359" t="s">
        <v>2433</v>
      </c>
      <c r="I708" s="352"/>
      <c r="J708" s="352"/>
      <c r="K708" s="360">
        <f>K707/90</f>
        <v>270.93</v>
      </c>
      <c r="L708" s="352"/>
      <c r="M708" s="352"/>
    </row>
    <row r="709" spans="5:13" ht="20.25" customHeight="1">
      <c r="E709" s="352"/>
      <c r="F709" s="352"/>
      <c r="G709" s="352"/>
      <c r="H709" s="352"/>
      <c r="I709" s="352"/>
      <c r="J709" s="352"/>
      <c r="K709" s="352"/>
      <c r="L709" s="352"/>
      <c r="M709" s="352"/>
    </row>
    <row r="710" spans="5:13">
      <c r="E710" s="352"/>
      <c r="F710" s="352"/>
      <c r="G710" s="352"/>
      <c r="H710" s="360" t="s">
        <v>2974</v>
      </c>
      <c r="I710" s="352"/>
      <c r="J710" s="352"/>
      <c r="K710" s="352"/>
      <c r="L710" s="352"/>
      <c r="M710" s="352"/>
    </row>
    <row r="711" spans="5:13" ht="32.25" customHeight="1">
      <c r="E711" s="352"/>
      <c r="F711" s="352"/>
      <c r="G711" s="352"/>
      <c r="H711" s="350" t="s">
        <v>2415</v>
      </c>
      <c r="I711" s="352"/>
      <c r="J711" s="352"/>
      <c r="K711" s="352"/>
      <c r="L711" s="352"/>
      <c r="M711" s="352"/>
    </row>
    <row r="712" spans="5:13">
      <c r="E712" s="352"/>
      <c r="F712" s="352"/>
      <c r="G712" s="352"/>
      <c r="H712" s="352"/>
      <c r="I712" s="352"/>
      <c r="J712" s="352"/>
      <c r="K712" s="352"/>
      <c r="L712" s="352"/>
      <c r="M712" s="352"/>
    </row>
    <row r="713" spans="5:13" ht="47.25" customHeight="1">
      <c r="E713" s="352"/>
      <c r="F713" s="352"/>
      <c r="G713" s="352"/>
      <c r="H713" s="373" t="s">
        <v>2346</v>
      </c>
      <c r="I713" s="352"/>
      <c r="J713" s="352"/>
      <c r="K713" s="352"/>
      <c r="L713" s="352"/>
      <c r="M713" s="352"/>
    </row>
    <row r="714" spans="5:13">
      <c r="E714" s="352"/>
      <c r="F714" s="352">
        <v>1</v>
      </c>
      <c r="G714" s="352" t="s">
        <v>842</v>
      </c>
      <c r="H714" s="352" t="str">
        <f>[1]Elec.Data!H3545</f>
        <v>GI pipe of 40 mm dia  (P-50 142 -iii)</v>
      </c>
      <c r="I714" s="421">
        <f>[1]Elec.Data!I3545</f>
        <v>161.6</v>
      </c>
      <c r="J714" s="352" t="s">
        <v>842</v>
      </c>
      <c r="K714" s="357">
        <f>F714*I714</f>
        <v>161.6</v>
      </c>
      <c r="L714" s="352"/>
      <c r="M714" s="352"/>
    </row>
    <row r="715" spans="5:13">
      <c r="E715" s="352"/>
      <c r="F715" s="352"/>
      <c r="G715" s="352"/>
      <c r="H715" s="352" t="s">
        <v>2310</v>
      </c>
      <c r="I715" s="352"/>
      <c r="J715" s="352"/>
      <c r="K715" s="357">
        <v>1.1000000000000001</v>
      </c>
      <c r="L715" s="352"/>
      <c r="M715" s="352"/>
    </row>
    <row r="716" spans="5:13">
      <c r="E716" s="352"/>
      <c r="F716" s="352"/>
      <c r="G716" s="352"/>
      <c r="H716" s="359" t="s">
        <v>3436</v>
      </c>
      <c r="I716" s="352"/>
      <c r="J716" s="352"/>
      <c r="K716" s="359">
        <f>SUM(K714:K715)</f>
        <v>162.69999999999999</v>
      </c>
      <c r="L716" s="352"/>
      <c r="M716" s="352"/>
    </row>
    <row r="717" spans="5:13" ht="7.5" customHeight="1">
      <c r="E717" s="352"/>
      <c r="F717" s="352"/>
      <c r="G717" s="352"/>
      <c r="H717" s="352"/>
      <c r="I717" s="352"/>
      <c r="J717" s="352"/>
      <c r="K717" s="352"/>
      <c r="L717" s="352"/>
      <c r="M717" s="352"/>
    </row>
    <row r="718" spans="5:13">
      <c r="E718" s="352"/>
      <c r="F718" s="352"/>
      <c r="G718" s="352"/>
      <c r="H718" s="360" t="s">
        <v>2347</v>
      </c>
      <c r="I718" s="352"/>
      <c r="J718" s="352"/>
      <c r="K718" s="352"/>
      <c r="L718" s="352"/>
      <c r="M718" s="352"/>
    </row>
    <row r="719" spans="5:13">
      <c r="E719" s="352"/>
      <c r="F719" s="352"/>
      <c r="G719" s="352"/>
      <c r="H719" s="360" t="s">
        <v>3438</v>
      </c>
      <c r="I719" s="352"/>
      <c r="J719" s="352"/>
      <c r="K719" s="352"/>
      <c r="L719" s="352"/>
      <c r="M719" s="352"/>
    </row>
    <row r="720" spans="5:13">
      <c r="E720" s="352"/>
      <c r="F720" s="352"/>
      <c r="G720" s="352"/>
      <c r="H720" s="352"/>
      <c r="I720" s="352"/>
      <c r="J720" s="352"/>
      <c r="K720" s="352"/>
      <c r="L720" s="352"/>
      <c r="M720" s="352"/>
    </row>
    <row r="721" spans="5:15" ht="47.25">
      <c r="E721" s="352"/>
      <c r="F721" s="352"/>
      <c r="G721" s="352"/>
      <c r="H721" s="373" t="s">
        <v>3439</v>
      </c>
      <c r="I721" s="352"/>
      <c r="J721" s="352"/>
      <c r="K721" s="352"/>
      <c r="L721" s="352"/>
      <c r="M721" s="352"/>
    </row>
    <row r="722" spans="5:15">
      <c r="E722" s="352"/>
      <c r="F722" s="352">
        <v>1</v>
      </c>
      <c r="G722" s="352" t="s">
        <v>842</v>
      </c>
      <c r="H722" s="352" t="str">
        <f>[1]Elec.Data!H3553</f>
        <v>40 x 40 x 6 mm MS angle (P-125  part -G)</v>
      </c>
      <c r="I722" s="353">
        <f>I690</f>
        <v>43.9</v>
      </c>
      <c r="J722" s="352" t="s">
        <v>364</v>
      </c>
      <c r="K722" s="352">
        <f>F723*I722</f>
        <v>142.68</v>
      </c>
      <c r="L722" s="352"/>
      <c r="M722" s="352"/>
    </row>
    <row r="723" spans="5:15">
      <c r="E723" s="352"/>
      <c r="F723" s="352">
        <v>3.25</v>
      </c>
      <c r="G723" s="352" t="s">
        <v>3440</v>
      </c>
      <c r="H723" s="352"/>
      <c r="I723" s="352"/>
      <c r="J723" s="352"/>
      <c r="K723" s="352"/>
      <c r="L723" s="352"/>
      <c r="M723" s="352"/>
    </row>
    <row r="724" spans="5:15">
      <c r="E724" s="352"/>
      <c r="F724" s="352"/>
      <c r="G724" s="352"/>
      <c r="H724" s="352" t="s">
        <v>2310</v>
      </c>
      <c r="I724" s="352"/>
      <c r="J724" s="352"/>
      <c r="K724" s="352">
        <v>3.32</v>
      </c>
      <c r="L724" s="352"/>
      <c r="M724" s="352"/>
    </row>
    <row r="725" spans="5:15">
      <c r="E725" s="352"/>
      <c r="F725" s="352"/>
      <c r="G725" s="352"/>
      <c r="H725" s="359" t="s">
        <v>2809</v>
      </c>
      <c r="I725" s="352"/>
      <c r="J725" s="352"/>
      <c r="K725" s="360">
        <f>SUM(K722:K724)</f>
        <v>146</v>
      </c>
      <c r="L725" s="352"/>
      <c r="M725" s="352"/>
    </row>
    <row r="726" spans="5:15">
      <c r="E726" s="352"/>
      <c r="F726" s="352"/>
      <c r="G726" s="352"/>
      <c r="H726" s="352"/>
      <c r="I726" s="352"/>
      <c r="J726" s="352"/>
      <c r="K726" s="352"/>
      <c r="L726" s="352"/>
      <c r="M726" s="352"/>
    </row>
    <row r="727" spans="5:15">
      <c r="E727" s="352"/>
      <c r="F727" s="352"/>
      <c r="G727" s="352"/>
      <c r="H727" s="360" t="s">
        <v>2348</v>
      </c>
      <c r="I727" s="352"/>
      <c r="J727" s="352"/>
      <c r="K727" s="352"/>
      <c r="L727" s="352"/>
      <c r="M727" s="352"/>
    </row>
    <row r="728" spans="5:15">
      <c r="E728" s="352"/>
      <c r="F728" s="352"/>
      <c r="G728" s="352"/>
      <c r="H728" s="352"/>
      <c r="I728" s="352"/>
      <c r="J728" s="352"/>
      <c r="K728" s="352"/>
      <c r="L728" s="352"/>
      <c r="M728" s="352"/>
    </row>
    <row r="729" spans="5:15" ht="80.25" customHeight="1">
      <c r="E729" s="352"/>
      <c r="F729" s="352"/>
      <c r="G729" s="352"/>
      <c r="H729" s="373" t="s">
        <v>5914</v>
      </c>
      <c r="I729" s="352"/>
      <c r="J729" s="352"/>
      <c r="K729" s="352"/>
      <c r="L729" s="352"/>
      <c r="M729" s="352"/>
    </row>
    <row r="730" spans="5:15" ht="15.75" customHeight="1">
      <c r="E730" s="352"/>
      <c r="F730" s="352">
        <v>30.42</v>
      </c>
      <c r="G730" s="352" t="s">
        <v>2190</v>
      </c>
      <c r="H730" s="352" t="s">
        <v>4472</v>
      </c>
      <c r="I730" s="430">
        <v>134.6</v>
      </c>
      <c r="J730" s="352" t="s">
        <v>2190</v>
      </c>
      <c r="K730" s="352">
        <f>F730*I730</f>
        <v>4094.53</v>
      </c>
      <c r="L730" s="352"/>
      <c r="M730" s="352"/>
      <c r="O730" s="180">
        <f>M730+N730</f>
        <v>0</v>
      </c>
    </row>
    <row r="731" spans="5:15" ht="15.75" customHeight="1">
      <c r="E731" s="352"/>
      <c r="F731" s="352">
        <v>6.1</v>
      </c>
      <c r="G731" s="352" t="s">
        <v>2190</v>
      </c>
      <c r="H731" s="1" t="s">
        <v>4434</v>
      </c>
      <c r="I731" s="421">
        <v>168</v>
      </c>
      <c r="J731" s="352" t="s">
        <v>2190</v>
      </c>
      <c r="K731" s="352">
        <f>F731*I731</f>
        <v>1024.8</v>
      </c>
      <c r="L731" s="352"/>
      <c r="M731" s="352"/>
    </row>
    <row r="732" spans="5:15" ht="15.75" customHeight="1">
      <c r="E732" s="352"/>
      <c r="F732" s="352">
        <v>750</v>
      </c>
      <c r="G732" s="352" t="s">
        <v>1419</v>
      </c>
      <c r="H732" s="352" t="s">
        <v>3948</v>
      </c>
      <c r="I732" s="353">
        <f>[1]Data!Y18</f>
        <v>5709</v>
      </c>
      <c r="J732" s="352" t="s">
        <v>1507</v>
      </c>
      <c r="K732" s="352">
        <f>F732*(I732/1000)</f>
        <v>4281.75</v>
      </c>
      <c r="L732" s="352"/>
      <c r="M732" s="352"/>
    </row>
    <row r="733" spans="5:15" ht="15.75" customHeight="1">
      <c r="E733" s="352"/>
      <c r="F733" s="352"/>
      <c r="G733" s="352"/>
      <c r="H733" s="352" t="s">
        <v>931</v>
      </c>
      <c r="I733" s="352"/>
      <c r="J733" s="352"/>
      <c r="K733" s="352">
        <f>K742</f>
        <v>4125</v>
      </c>
      <c r="L733" s="352"/>
      <c r="M733" s="352"/>
    </row>
    <row r="734" spans="5:15" ht="15.75" customHeight="1">
      <c r="E734" s="352"/>
      <c r="F734" s="352"/>
      <c r="G734" s="352"/>
      <c r="H734" s="352" t="s">
        <v>2310</v>
      </c>
      <c r="I734" s="352"/>
      <c r="J734" s="352"/>
      <c r="K734" s="352">
        <v>112.17</v>
      </c>
      <c r="L734" s="352"/>
      <c r="M734" s="352"/>
    </row>
    <row r="735" spans="5:15" ht="15.75" customHeight="1">
      <c r="E735" s="352"/>
      <c r="F735" s="352"/>
      <c r="G735" s="352"/>
      <c r="H735" s="357" t="s">
        <v>2752</v>
      </c>
      <c r="I735" s="352"/>
      <c r="J735" s="352"/>
      <c r="K735" s="352">
        <f>SUM(K730:K734)</f>
        <v>13638.25</v>
      </c>
      <c r="L735" s="352"/>
      <c r="M735" s="352"/>
    </row>
    <row r="736" spans="5:15" ht="15.75" customHeight="1">
      <c r="E736" s="352"/>
      <c r="F736" s="352"/>
      <c r="G736" s="352"/>
      <c r="H736" s="359" t="s">
        <v>2433</v>
      </c>
      <c r="I736" s="352"/>
      <c r="J736" s="352"/>
      <c r="K736" s="360">
        <f>K735/90</f>
        <v>151.54</v>
      </c>
      <c r="L736" s="352"/>
      <c r="M736" s="352"/>
    </row>
    <row r="737" spans="5:13" ht="8.25" customHeight="1">
      <c r="E737" s="352"/>
      <c r="F737" s="352"/>
      <c r="G737" s="352"/>
      <c r="H737" s="352"/>
      <c r="I737" s="352"/>
      <c r="J737" s="352"/>
      <c r="K737" s="352"/>
      <c r="L737" s="352"/>
      <c r="M737" s="352"/>
    </row>
    <row r="738" spans="5:13" ht="15.75" customHeight="1">
      <c r="E738" s="352"/>
      <c r="F738" s="352"/>
      <c r="G738" s="352"/>
      <c r="H738" s="358" t="s">
        <v>142</v>
      </c>
      <c r="K738" s="352"/>
      <c r="L738" s="352"/>
      <c r="M738" s="352"/>
    </row>
    <row r="739" spans="5:13" ht="15.75" customHeight="1">
      <c r="E739" s="352"/>
      <c r="F739" s="352">
        <v>1</v>
      </c>
      <c r="G739" s="352" t="s">
        <v>1419</v>
      </c>
      <c r="H739" s="361" t="s">
        <v>2753</v>
      </c>
      <c r="I739" s="181">
        <f>I672</f>
        <v>898</v>
      </c>
      <c r="J739" s="352" t="s">
        <v>1419</v>
      </c>
      <c r="K739" s="352">
        <f>F739*I739</f>
        <v>898</v>
      </c>
      <c r="L739" s="352"/>
      <c r="M739" s="352"/>
    </row>
    <row r="740" spans="5:13" ht="15.75" customHeight="1">
      <c r="E740" s="352"/>
      <c r="F740" s="352">
        <v>1</v>
      </c>
      <c r="G740" s="352" t="s">
        <v>1419</v>
      </c>
      <c r="H740" s="352" t="s">
        <v>2814</v>
      </c>
      <c r="I740" s="181">
        <f>I673</f>
        <v>783</v>
      </c>
      <c r="J740" s="352" t="s">
        <v>1419</v>
      </c>
      <c r="K740" s="352">
        <f>F740*I740</f>
        <v>783</v>
      </c>
      <c r="L740" s="352"/>
      <c r="M740" s="352"/>
    </row>
    <row r="741" spans="5:13" ht="15.75" customHeight="1">
      <c r="E741" s="352"/>
      <c r="F741" s="352">
        <v>4</v>
      </c>
      <c r="G741" s="352" t="s">
        <v>1419</v>
      </c>
      <c r="H741" s="352" t="s">
        <v>2370</v>
      </c>
      <c r="I741" s="352">
        <f>I675</f>
        <v>611</v>
      </c>
      <c r="J741" s="352" t="s">
        <v>1419</v>
      </c>
      <c r="K741" s="352">
        <f>F741*I741</f>
        <v>2444</v>
      </c>
      <c r="L741" s="352"/>
      <c r="M741" s="352"/>
    </row>
    <row r="742" spans="5:13" ht="15.75" customHeight="1">
      <c r="E742" s="352"/>
      <c r="F742" s="352"/>
      <c r="G742" s="352"/>
      <c r="H742" s="352"/>
      <c r="I742" s="352"/>
      <c r="J742" s="352"/>
      <c r="K742" s="360">
        <f>SUM(K739:K741)</f>
        <v>4125</v>
      </c>
      <c r="L742" s="352"/>
      <c r="M742" s="352"/>
    </row>
    <row r="743" spans="5:13">
      <c r="E743" s="352"/>
      <c r="F743" s="352"/>
      <c r="G743" s="352"/>
      <c r="H743" s="360" t="s">
        <v>2416</v>
      </c>
      <c r="I743" s="352"/>
      <c r="J743" s="352"/>
      <c r="K743" s="352"/>
      <c r="L743" s="352"/>
      <c r="M743" s="352"/>
    </row>
    <row r="744" spans="5:13">
      <c r="E744" s="352"/>
      <c r="F744" s="352"/>
      <c r="G744" s="352"/>
      <c r="H744" s="352"/>
      <c r="I744" s="352"/>
      <c r="J744" s="352"/>
      <c r="K744" s="352"/>
      <c r="L744" s="352"/>
      <c r="M744" s="352"/>
    </row>
    <row r="745" spans="5:13" ht="29.25" customHeight="1">
      <c r="E745" s="352"/>
      <c r="F745" s="352"/>
      <c r="G745" s="352"/>
      <c r="H745" s="360" t="s">
        <v>3379</v>
      </c>
      <c r="I745" s="352"/>
      <c r="J745" s="352"/>
      <c r="K745" s="352"/>
      <c r="L745" s="352"/>
      <c r="M745" s="352"/>
    </row>
    <row r="746" spans="5:13" ht="75" customHeight="1">
      <c r="E746" s="352"/>
      <c r="F746" s="352"/>
      <c r="G746" s="352"/>
      <c r="H746" s="373" t="s">
        <v>2797</v>
      </c>
      <c r="I746" s="352"/>
      <c r="J746" s="352"/>
      <c r="K746" s="352"/>
      <c r="L746" s="352"/>
      <c r="M746" s="352"/>
    </row>
    <row r="747" spans="5:13" ht="26.25" customHeight="1">
      <c r="E747" s="352"/>
      <c r="F747" s="352">
        <v>1</v>
      </c>
      <c r="G747" s="352" t="s">
        <v>2684</v>
      </c>
      <c r="H747" s="352" t="str">
        <f>[1]Elec.Data!H3578</f>
        <v>M.S. Clamps/ Saddles 32mm (It- 3d p-130 ,part-L )</v>
      </c>
      <c r="I747" s="353">
        <f>[1]Elec.Data!I3578</f>
        <v>58.6</v>
      </c>
      <c r="J747" s="352" t="s">
        <v>2684</v>
      </c>
      <c r="K747" s="352">
        <f>F747*I747</f>
        <v>58.6</v>
      </c>
      <c r="L747" s="352"/>
      <c r="M747" s="352"/>
    </row>
    <row r="748" spans="5:13" ht="26.25" customHeight="1">
      <c r="E748" s="352"/>
      <c r="F748" s="352">
        <v>300</v>
      </c>
      <c r="G748" s="352" t="s">
        <v>1419</v>
      </c>
      <c r="H748" s="352" t="str">
        <f>[1]Elec.Data!H3579</f>
        <v>Brass screws  ( 40 mm x 6 no) P130  Part-L 1-c</v>
      </c>
      <c r="I748" s="353">
        <f>[1]Elec.Data!I3579</f>
        <v>69.400000000000006</v>
      </c>
      <c r="J748" s="352" t="s">
        <v>2684</v>
      </c>
      <c r="K748" s="352">
        <f>F748*(I748/144)</f>
        <v>144.58000000000001</v>
      </c>
      <c r="L748" s="352"/>
      <c r="M748" s="352"/>
    </row>
    <row r="749" spans="5:13" ht="26.25" customHeight="1">
      <c r="E749" s="352"/>
      <c r="F749" s="352">
        <v>300</v>
      </c>
      <c r="G749" s="352" t="s">
        <v>1419</v>
      </c>
      <c r="H749" s="352" t="str">
        <f>[1]Elec.Data!H3580</f>
        <v>TW plugs 1 1/2x 1'x2"( part-J 1-e P-129  )</v>
      </c>
      <c r="I749" s="353">
        <f>[1]Elec.Data!I3580</f>
        <v>287</v>
      </c>
      <c r="J749" s="352" t="s">
        <v>1507</v>
      </c>
      <c r="K749" s="352">
        <f>F749*(I749/1000)</f>
        <v>86.1</v>
      </c>
      <c r="L749" s="352"/>
      <c r="M749" s="352"/>
    </row>
    <row r="750" spans="5:13" ht="26.25" customHeight="1">
      <c r="E750" s="352"/>
      <c r="F750" s="352"/>
      <c r="G750" s="352"/>
      <c r="H750" s="352" t="s">
        <v>2798</v>
      </c>
      <c r="I750" s="352"/>
      <c r="J750" s="352"/>
      <c r="K750" s="352">
        <v>63.36</v>
      </c>
      <c r="L750" s="352"/>
      <c r="M750" s="352"/>
    </row>
    <row r="751" spans="5:13" ht="26.25" customHeight="1">
      <c r="E751" s="352"/>
      <c r="F751" s="352"/>
      <c r="G751" s="352"/>
      <c r="H751" s="352" t="s">
        <v>931</v>
      </c>
      <c r="I751" s="352"/>
      <c r="J751" s="352"/>
      <c r="K751" s="352">
        <f>K761</f>
        <v>14582</v>
      </c>
      <c r="L751" s="352"/>
      <c r="M751" s="352"/>
    </row>
    <row r="752" spans="5:13" ht="26.25" customHeight="1">
      <c r="E752" s="352"/>
      <c r="F752" s="352"/>
      <c r="G752" s="352"/>
      <c r="H752" s="357" t="s">
        <v>2799</v>
      </c>
      <c r="I752" s="352"/>
      <c r="J752" s="352"/>
      <c r="K752" s="358">
        <f>SUM(K747:K751)</f>
        <v>14934.64</v>
      </c>
      <c r="L752" s="352"/>
      <c r="M752" s="352"/>
    </row>
    <row r="753" spans="5:13" ht="26.25" customHeight="1">
      <c r="E753" s="352"/>
      <c r="F753" s="352"/>
      <c r="G753" s="352"/>
      <c r="H753" s="359" t="s">
        <v>2809</v>
      </c>
      <c r="I753" s="352"/>
      <c r="J753" s="352"/>
      <c r="K753" s="360">
        <f>K752/90</f>
        <v>165.94</v>
      </c>
      <c r="L753" s="352"/>
      <c r="M753" s="352"/>
    </row>
    <row r="754" spans="5:13">
      <c r="E754" s="352"/>
      <c r="F754" s="352"/>
      <c r="G754" s="352"/>
      <c r="H754" s="352"/>
      <c r="I754" s="352"/>
      <c r="J754" s="352"/>
      <c r="K754" s="352"/>
      <c r="L754" s="352"/>
      <c r="M754" s="352"/>
    </row>
    <row r="755" spans="5:13" ht="24.95" customHeight="1">
      <c r="E755" s="352"/>
      <c r="F755" s="352"/>
      <c r="G755" s="352"/>
      <c r="H755" s="358" t="s">
        <v>2691</v>
      </c>
      <c r="I755" s="352"/>
      <c r="J755" s="352"/>
      <c r="K755" s="352"/>
      <c r="L755" s="352"/>
      <c r="M755" s="352"/>
    </row>
    <row r="756" spans="5:13" ht="24.95" customHeight="1">
      <c r="E756" s="352"/>
      <c r="F756" s="352">
        <v>1</v>
      </c>
      <c r="G756" s="352" t="s">
        <v>1419</v>
      </c>
      <c r="H756" s="361" t="s">
        <v>2800</v>
      </c>
      <c r="I756" s="353">
        <f>I523</f>
        <v>947</v>
      </c>
      <c r="J756" s="352" t="s">
        <v>1419</v>
      </c>
      <c r="K756" s="352">
        <f>F756*I756</f>
        <v>947</v>
      </c>
      <c r="L756" s="352"/>
      <c r="M756" s="352"/>
    </row>
    <row r="757" spans="5:13" ht="24.95" customHeight="1">
      <c r="E757" s="352"/>
      <c r="F757" s="352">
        <v>2</v>
      </c>
      <c r="G757" s="352" t="s">
        <v>1419</v>
      </c>
      <c r="H757" s="352" t="s">
        <v>2814</v>
      </c>
      <c r="I757" s="352">
        <f>I673</f>
        <v>783</v>
      </c>
      <c r="J757" s="352" t="s">
        <v>1419</v>
      </c>
      <c r="K757" s="352">
        <f>F757*I757</f>
        <v>1566</v>
      </c>
      <c r="L757" s="352"/>
      <c r="M757" s="352"/>
    </row>
    <row r="758" spans="5:13" ht="24.95" customHeight="1">
      <c r="E758" s="352"/>
      <c r="F758" s="352">
        <v>3</v>
      </c>
      <c r="G758" s="352" t="s">
        <v>1419</v>
      </c>
      <c r="H758" s="352" t="s">
        <v>2633</v>
      </c>
      <c r="I758" s="352">
        <f>I674</f>
        <v>778</v>
      </c>
      <c r="J758" s="352" t="s">
        <v>1419</v>
      </c>
      <c r="K758" s="352">
        <f>F758*I758</f>
        <v>2334</v>
      </c>
      <c r="L758" s="352"/>
      <c r="M758" s="352"/>
    </row>
    <row r="759" spans="5:13" ht="24.95" customHeight="1">
      <c r="E759" s="352"/>
      <c r="F759" s="352">
        <v>4</v>
      </c>
      <c r="G759" s="352" t="s">
        <v>1419</v>
      </c>
      <c r="H759" s="352" t="s">
        <v>2370</v>
      </c>
      <c r="I759" s="352">
        <f>I675</f>
        <v>611</v>
      </c>
      <c r="J759" s="352" t="s">
        <v>1419</v>
      </c>
      <c r="K759" s="352">
        <f>F759*I759</f>
        <v>2444</v>
      </c>
      <c r="L759" s="352"/>
      <c r="M759" s="352"/>
    </row>
    <row r="760" spans="5:13" ht="24.95" customHeight="1">
      <c r="E760" s="352"/>
      <c r="F760" s="352"/>
      <c r="G760" s="352"/>
      <c r="H760" s="357" t="s">
        <v>2801</v>
      </c>
      <c r="I760" s="352"/>
      <c r="J760" s="352"/>
      <c r="K760" s="352">
        <f>SUM(K756:K759)</f>
        <v>7291</v>
      </c>
      <c r="L760" s="352"/>
      <c r="M760" s="352"/>
    </row>
    <row r="761" spans="5:13" ht="24.95" customHeight="1">
      <c r="E761" s="352"/>
      <c r="F761" s="352"/>
      <c r="G761" s="352"/>
      <c r="H761" s="359" t="s">
        <v>2802</v>
      </c>
      <c r="I761" s="352"/>
      <c r="J761" s="352"/>
      <c r="K761" s="360">
        <f>K760*2</f>
        <v>14582</v>
      </c>
      <c r="L761" s="352"/>
      <c r="M761" s="352"/>
    </row>
    <row r="762" spans="5:13">
      <c r="E762" s="352"/>
      <c r="F762" s="352"/>
      <c r="G762" s="352"/>
      <c r="H762" s="352"/>
      <c r="I762" s="352"/>
      <c r="J762" s="352"/>
      <c r="K762" s="352"/>
      <c r="L762" s="352"/>
      <c r="M762" s="352"/>
    </row>
    <row r="763" spans="5:13" ht="21" customHeight="1">
      <c r="E763" s="352"/>
      <c r="F763" s="352"/>
      <c r="G763" s="352"/>
      <c r="H763" s="360" t="s">
        <v>2803</v>
      </c>
      <c r="I763" s="352"/>
      <c r="J763" s="352"/>
      <c r="K763" s="352"/>
      <c r="L763" s="352"/>
      <c r="M763" s="352"/>
    </row>
    <row r="764" spans="5:13">
      <c r="E764" s="352"/>
      <c r="F764" s="352"/>
      <c r="G764" s="352"/>
      <c r="H764" s="352"/>
      <c r="I764" s="352"/>
      <c r="J764" s="352"/>
      <c r="K764" s="352"/>
      <c r="L764" s="352"/>
      <c r="M764" s="352"/>
    </row>
    <row r="765" spans="5:13" ht="27" customHeight="1">
      <c r="E765" s="352"/>
      <c r="F765" s="352"/>
      <c r="G765" s="352"/>
      <c r="H765" s="360" t="s">
        <v>2804</v>
      </c>
      <c r="I765" s="352"/>
      <c r="J765" s="352"/>
      <c r="K765" s="352"/>
      <c r="L765" s="352"/>
      <c r="M765" s="352"/>
    </row>
    <row r="766" spans="5:13">
      <c r="E766" s="352"/>
      <c r="F766" s="352"/>
      <c r="G766" s="352"/>
      <c r="H766" s="352"/>
      <c r="I766" s="352"/>
      <c r="J766" s="352"/>
      <c r="K766" s="352"/>
      <c r="L766" s="352"/>
      <c r="M766" s="352"/>
    </row>
    <row r="767" spans="5:13" ht="182.25" customHeight="1">
      <c r="E767" s="352"/>
      <c r="F767" s="352"/>
      <c r="G767" s="352"/>
      <c r="H767" s="373" t="s">
        <v>3167</v>
      </c>
      <c r="I767" s="352"/>
      <c r="J767" s="352"/>
      <c r="K767" s="352"/>
      <c r="L767" s="352"/>
      <c r="M767" s="352"/>
    </row>
    <row r="768" spans="5:13" ht="26.25" customHeight="1">
      <c r="E768" s="352"/>
      <c r="F768" s="352"/>
      <c r="G768" s="352"/>
      <c r="H768" s="360" t="s">
        <v>3157</v>
      </c>
      <c r="I768" s="352"/>
      <c r="J768" s="352"/>
      <c r="K768" s="352"/>
      <c r="L768" s="352"/>
      <c r="M768" s="352"/>
    </row>
    <row r="769" spans="5:18">
      <c r="E769" s="352"/>
      <c r="F769" s="352"/>
      <c r="G769" s="352"/>
      <c r="H769" s="352"/>
      <c r="I769" s="352"/>
      <c r="J769" s="352"/>
      <c r="K769" s="352"/>
      <c r="L769" s="352"/>
      <c r="M769" s="352"/>
    </row>
    <row r="770" spans="5:18" ht="225" customHeight="1">
      <c r="E770" s="352"/>
      <c r="F770" s="352"/>
      <c r="G770" s="352"/>
      <c r="H770" s="373" t="s">
        <v>2864</v>
      </c>
      <c r="I770" s="352"/>
      <c r="J770" s="352"/>
      <c r="K770" s="352"/>
      <c r="L770" s="352"/>
      <c r="M770" s="352"/>
    </row>
    <row r="771" spans="5:18" ht="22.5" customHeight="1">
      <c r="E771" s="352"/>
      <c r="F771" s="352"/>
      <c r="G771" s="352"/>
      <c r="H771" s="358" t="s">
        <v>2865</v>
      </c>
      <c r="I771" s="358" t="s">
        <v>2866</v>
      </c>
      <c r="J771" s="358" t="s">
        <v>2867</v>
      </c>
      <c r="K771" s="358" t="s">
        <v>2868</v>
      </c>
      <c r="L771" s="358" t="s">
        <v>2869</v>
      </c>
      <c r="M771" s="352"/>
    </row>
    <row r="772" spans="5:18" ht="22.5" customHeight="1">
      <c r="E772" s="352"/>
      <c r="F772" s="352"/>
      <c r="G772" s="352"/>
      <c r="H772" s="352" t="s">
        <v>4474</v>
      </c>
      <c r="I772" s="353">
        <v>2970</v>
      </c>
      <c r="J772" s="353">
        <v>2970</v>
      </c>
      <c r="K772" s="353">
        <v>2850</v>
      </c>
      <c r="L772" s="353">
        <v>2890</v>
      </c>
      <c r="M772" s="352"/>
    </row>
    <row r="773" spans="5:18" ht="22.5" customHeight="1">
      <c r="E773" s="352"/>
      <c r="F773" s="352"/>
      <c r="G773" s="352"/>
      <c r="H773" s="352" t="s">
        <v>4473</v>
      </c>
      <c r="I773" s="352">
        <v>166</v>
      </c>
      <c r="J773" s="352">
        <v>405</v>
      </c>
      <c r="K773" s="374">
        <v>548</v>
      </c>
      <c r="L773" s="374">
        <v>639</v>
      </c>
      <c r="M773" s="352"/>
    </row>
    <row r="774" spans="5:18" ht="29.25" customHeight="1">
      <c r="E774" s="352"/>
      <c r="F774" s="352"/>
      <c r="G774" s="352"/>
      <c r="H774" s="359" t="s">
        <v>2870</v>
      </c>
      <c r="I774" s="360">
        <f>SUM(I772:I773)</f>
        <v>3136</v>
      </c>
      <c r="J774" s="360">
        <f>SUM(J772:J773)</f>
        <v>3375</v>
      </c>
      <c r="K774" s="371">
        <f>SUM(K772:K773)</f>
        <v>3398</v>
      </c>
      <c r="L774" s="371">
        <f>SUM(L772:L773)</f>
        <v>3529</v>
      </c>
      <c r="M774" s="352"/>
    </row>
    <row r="775" spans="5:18">
      <c r="E775" s="352"/>
      <c r="F775" s="352"/>
      <c r="G775" s="352"/>
      <c r="H775" s="352"/>
      <c r="I775" s="352"/>
      <c r="J775" s="352"/>
      <c r="K775" s="352"/>
      <c r="L775" s="352"/>
      <c r="M775" s="352"/>
    </row>
    <row r="776" spans="5:18">
      <c r="E776" s="352"/>
      <c r="F776" s="352"/>
      <c r="G776" s="352"/>
      <c r="H776" s="360" t="s">
        <v>2871</v>
      </c>
      <c r="I776" s="352"/>
      <c r="J776" s="352"/>
      <c r="K776" s="352"/>
      <c r="L776" s="352"/>
      <c r="M776" s="352"/>
    </row>
    <row r="777" spans="5:18" ht="15.75" customHeight="1">
      <c r="E777" s="352"/>
      <c r="F777" s="352"/>
      <c r="G777" s="352"/>
      <c r="H777" s="352"/>
      <c r="I777" s="352"/>
      <c r="J777" s="352"/>
      <c r="K777" s="352"/>
      <c r="L777" s="352"/>
      <c r="M777" s="352"/>
    </row>
    <row r="778" spans="5:18">
      <c r="E778" s="352"/>
      <c r="F778" s="352"/>
      <c r="G778" s="352"/>
      <c r="H778" s="360" t="s">
        <v>2872</v>
      </c>
      <c r="I778" s="352"/>
      <c r="J778" s="352"/>
      <c r="K778" s="352"/>
      <c r="L778" s="352"/>
      <c r="M778" s="352"/>
    </row>
    <row r="779" spans="5:18" ht="86.25" customHeight="1">
      <c r="E779" s="352"/>
      <c r="F779" s="352"/>
      <c r="G779" s="352"/>
      <c r="H779" s="373" t="s">
        <v>2927</v>
      </c>
      <c r="I779" s="352"/>
      <c r="J779" s="352"/>
      <c r="K779" s="352"/>
      <c r="L779" s="352"/>
      <c r="M779" s="1532" t="s">
        <v>3785</v>
      </c>
      <c r="N779" s="1532"/>
      <c r="O779" s="1532"/>
      <c r="P779" s="1532"/>
      <c r="Q779" s="1532"/>
      <c r="R779" s="1532"/>
    </row>
    <row r="780" spans="5:18" ht="15.75" customHeight="1">
      <c r="E780" s="352"/>
      <c r="F780" s="352"/>
      <c r="G780" s="352"/>
      <c r="H780" s="352"/>
      <c r="I780" s="352"/>
      <c r="J780" s="352"/>
      <c r="K780" s="352"/>
      <c r="L780" s="352"/>
      <c r="M780" s="1533" t="s">
        <v>3786</v>
      </c>
      <c r="N780" s="1533"/>
      <c r="O780" s="1533"/>
      <c r="P780" s="1533"/>
      <c r="Q780" s="1533"/>
      <c r="R780" s="1533"/>
    </row>
    <row r="781" spans="5:18" ht="26.25" customHeight="1">
      <c r="E781" s="352"/>
      <c r="F781" s="352">
        <v>2</v>
      </c>
      <c r="G781" s="352" t="s">
        <v>842</v>
      </c>
      <c r="H781" s="352" t="str">
        <f>[1]Elec.Data!H3612</f>
        <v>GI pipe of 20 mm dia  (P-50 142 -iv)</v>
      </c>
      <c r="I781" s="353">
        <f>[1]Elec.Data!I3612</f>
        <v>97.7</v>
      </c>
      <c r="J781" s="352" t="s">
        <v>842</v>
      </c>
      <c r="K781" s="352">
        <f>F781*I781</f>
        <v>195.4</v>
      </c>
      <c r="L781" s="352"/>
      <c r="M781" s="465"/>
      <c r="N781" s="465"/>
      <c r="O781" s="465"/>
      <c r="P781" s="465"/>
      <c r="Q781" s="465"/>
      <c r="R781" s="465"/>
    </row>
    <row r="782" spans="5:18" ht="26.25" customHeight="1">
      <c r="E782" s="352"/>
      <c r="F782" s="352">
        <v>2</v>
      </c>
      <c r="G782" s="352" t="s">
        <v>2031</v>
      </c>
      <c r="H782" s="352" t="s">
        <v>2928</v>
      </c>
      <c r="I782" s="352">
        <v>35</v>
      </c>
      <c r="J782" s="352" t="s">
        <v>2031</v>
      </c>
      <c r="K782" s="352">
        <f>F782*I782</f>
        <v>70</v>
      </c>
      <c r="L782" s="352"/>
      <c r="M782" s="467">
        <v>1.5</v>
      </c>
      <c r="N782" s="465" t="s">
        <v>842</v>
      </c>
      <c r="O782" s="465" t="s">
        <v>3787</v>
      </c>
      <c r="P782" s="468">
        <v>136</v>
      </c>
      <c r="Q782" s="465" t="s">
        <v>842</v>
      </c>
      <c r="R782" s="467">
        <f>P782*M782</f>
        <v>204</v>
      </c>
    </row>
    <row r="783" spans="5:18" ht="26.25" customHeight="1">
      <c r="E783" s="352"/>
      <c r="F783" s="352">
        <v>1</v>
      </c>
      <c r="G783" s="352" t="s">
        <v>1419</v>
      </c>
      <c r="H783" s="352" t="s">
        <v>3821</v>
      </c>
      <c r="I783" s="353">
        <f>[1]Elec.Data!I3614</f>
        <v>47.2</v>
      </c>
      <c r="J783" s="352" t="s">
        <v>1423</v>
      </c>
      <c r="K783" s="352">
        <f>F783*I783</f>
        <v>47.2</v>
      </c>
      <c r="L783" s="352"/>
      <c r="M783" s="467">
        <v>2</v>
      </c>
      <c r="N783" s="465" t="s">
        <v>2031</v>
      </c>
      <c r="O783" s="465" t="s">
        <v>2928</v>
      </c>
      <c r="P783" s="467">
        <f>I782</f>
        <v>35</v>
      </c>
      <c r="Q783" s="465" t="s">
        <v>2031</v>
      </c>
      <c r="R783" s="467">
        <f>M783*P783</f>
        <v>70</v>
      </c>
    </row>
    <row r="784" spans="5:18" ht="26.25" customHeight="1">
      <c r="E784" s="352"/>
      <c r="F784" s="352">
        <v>1</v>
      </c>
      <c r="G784" s="352" t="s">
        <v>1419</v>
      </c>
      <c r="H784" s="352" t="s">
        <v>2929</v>
      </c>
      <c r="I784" s="352">
        <f>K797</f>
        <v>32.119999999999997</v>
      </c>
      <c r="J784" s="352" t="s">
        <v>1423</v>
      </c>
      <c r="K784" s="352">
        <f>F784*I784</f>
        <v>32.119999999999997</v>
      </c>
      <c r="L784" s="352"/>
      <c r="M784" s="467"/>
      <c r="N784" s="465"/>
      <c r="O784" s="465"/>
      <c r="P784" s="468"/>
      <c r="Q784" s="465"/>
      <c r="R784" s="467"/>
    </row>
    <row r="785" spans="5:18" ht="26.25" customHeight="1">
      <c r="E785" s="352"/>
      <c r="F785" s="352">
        <v>8</v>
      </c>
      <c r="G785" s="352" t="s">
        <v>842</v>
      </c>
      <c r="H785" s="352" t="s">
        <v>2930</v>
      </c>
      <c r="I785" s="352">
        <f>I270</f>
        <v>25.75</v>
      </c>
      <c r="J785" s="352" t="s">
        <v>3363</v>
      </c>
      <c r="K785" s="352">
        <f>F785*I785</f>
        <v>206</v>
      </c>
      <c r="L785" s="352"/>
      <c r="M785" s="467"/>
      <c r="N785" s="465"/>
      <c r="O785" s="465"/>
      <c r="P785" s="467"/>
      <c r="Q785" s="465"/>
      <c r="R785" s="467"/>
    </row>
    <row r="786" spans="5:18" ht="51" customHeight="1">
      <c r="E786" s="352"/>
      <c r="F786" s="352">
        <v>1</v>
      </c>
      <c r="G786" s="352" t="s">
        <v>1419</v>
      </c>
      <c r="H786" s="373" t="s">
        <v>2931</v>
      </c>
      <c r="I786" s="352"/>
      <c r="J786" s="352"/>
      <c r="K786" s="352">
        <f>K796</f>
        <v>1690</v>
      </c>
      <c r="L786" s="352"/>
      <c r="M786" s="467">
        <v>8</v>
      </c>
      <c r="N786" s="465" t="s">
        <v>842</v>
      </c>
      <c r="O786" s="469" t="s">
        <v>2930</v>
      </c>
      <c r="P786" s="467">
        <f>I785</f>
        <v>25.75</v>
      </c>
      <c r="Q786" s="465" t="s">
        <v>3363</v>
      </c>
      <c r="R786" s="467">
        <f>M786*P786</f>
        <v>206</v>
      </c>
    </row>
    <row r="787" spans="5:18" ht="49.5" customHeight="1">
      <c r="E787" s="352"/>
      <c r="F787" s="352"/>
      <c r="G787" s="352"/>
      <c r="H787" s="373" t="s">
        <v>2538</v>
      </c>
      <c r="I787" s="352" t="s">
        <v>669</v>
      </c>
      <c r="J787" s="352"/>
      <c r="K787" s="352">
        <f>15.7+0.31</f>
        <v>16.010000000000002</v>
      </c>
      <c r="L787" s="352"/>
      <c r="M787" s="467">
        <v>1</v>
      </c>
      <c r="N787" s="465" t="s">
        <v>1419</v>
      </c>
      <c r="O787" s="469" t="s">
        <v>2931</v>
      </c>
      <c r="P787" s="467">
        <f>R797</f>
        <v>881.67</v>
      </c>
      <c r="Q787" s="465" t="s">
        <v>1423</v>
      </c>
      <c r="R787" s="467">
        <f>R797</f>
        <v>881.67</v>
      </c>
    </row>
    <row r="788" spans="5:18" ht="29.25" customHeight="1">
      <c r="E788" s="352"/>
      <c r="F788" s="352"/>
      <c r="G788" s="352"/>
      <c r="H788" s="359" t="s">
        <v>2411</v>
      </c>
      <c r="I788" s="352"/>
      <c r="J788" s="352"/>
      <c r="K788" s="360">
        <f>SUM(K781:K787)</f>
        <v>2256.73</v>
      </c>
      <c r="L788" s="352">
        <f>K788-1520</f>
        <v>736.73</v>
      </c>
      <c r="M788" s="467"/>
      <c r="N788" s="465"/>
      <c r="O788" s="469" t="s">
        <v>2538</v>
      </c>
      <c r="P788" s="1534" t="s">
        <v>669</v>
      </c>
      <c r="Q788" s="1534"/>
      <c r="R788" s="467">
        <v>15.73</v>
      </c>
    </row>
    <row r="789" spans="5:18">
      <c r="E789" s="352"/>
      <c r="F789" s="352"/>
      <c r="G789" s="352"/>
      <c r="H789" s="352"/>
      <c r="I789" s="352"/>
      <c r="J789" s="352"/>
      <c r="K789" s="352"/>
      <c r="L789" s="352"/>
      <c r="M789" s="467"/>
      <c r="N789" s="465"/>
      <c r="O789" s="470" t="s">
        <v>2411</v>
      </c>
      <c r="P789" s="465"/>
      <c r="Q789" s="465"/>
      <c r="R789" s="470">
        <f>SUM(R782:R788)</f>
        <v>1377.4</v>
      </c>
    </row>
    <row r="790" spans="5:18">
      <c r="E790" s="352"/>
      <c r="F790" s="352"/>
      <c r="G790" s="352"/>
      <c r="H790" s="358" t="s">
        <v>2539</v>
      </c>
      <c r="I790" s="352"/>
      <c r="J790" s="352"/>
      <c r="K790" s="352"/>
      <c r="L790" s="352"/>
      <c r="M790" s="467"/>
      <c r="N790" s="465"/>
      <c r="O790" s="465"/>
      <c r="P790" s="465"/>
      <c r="Q790" s="465"/>
      <c r="R790" s="465"/>
    </row>
    <row r="791" spans="5:18">
      <c r="E791" s="352"/>
      <c r="F791" s="352">
        <v>1</v>
      </c>
      <c r="G791" s="352" t="s">
        <v>1419</v>
      </c>
      <c r="H791" s="361" t="s">
        <v>2753</v>
      </c>
      <c r="I791" s="352">
        <f>I672</f>
        <v>898</v>
      </c>
      <c r="J791" s="352" t="s">
        <v>1419</v>
      </c>
      <c r="K791" s="352">
        <f>F791*I791</f>
        <v>898</v>
      </c>
      <c r="L791" s="352"/>
      <c r="M791" s="467"/>
      <c r="N791" s="465"/>
      <c r="O791" s="471" t="s">
        <v>2539</v>
      </c>
      <c r="P791" s="465"/>
      <c r="Q791" s="465"/>
      <c r="R791" s="465"/>
    </row>
    <row r="792" spans="5:18">
      <c r="E792" s="352"/>
      <c r="F792" s="352">
        <v>1</v>
      </c>
      <c r="G792" s="352" t="s">
        <v>1419</v>
      </c>
      <c r="H792" s="352" t="s">
        <v>2814</v>
      </c>
      <c r="I792" s="352">
        <f>I673</f>
        <v>783</v>
      </c>
      <c r="J792" s="352" t="s">
        <v>1419</v>
      </c>
      <c r="K792" s="352">
        <f>F792*I792</f>
        <v>783</v>
      </c>
      <c r="L792" s="352"/>
      <c r="M792" s="467">
        <v>1</v>
      </c>
      <c r="N792" s="465" t="s">
        <v>1419</v>
      </c>
      <c r="O792" s="465" t="s">
        <v>2753</v>
      </c>
      <c r="P792" s="467">
        <v>471</v>
      </c>
      <c r="Q792" s="465" t="s">
        <v>1419</v>
      </c>
      <c r="R792" s="465">
        <f>M792*P792</f>
        <v>471</v>
      </c>
    </row>
    <row r="793" spans="5:18">
      <c r="E793" s="352"/>
      <c r="F793" s="352">
        <v>2</v>
      </c>
      <c r="G793" s="352" t="s">
        <v>1419</v>
      </c>
      <c r="H793" s="352" t="s">
        <v>2633</v>
      </c>
      <c r="I793" s="352">
        <f>I674</f>
        <v>778</v>
      </c>
      <c r="J793" s="352" t="s">
        <v>1419</v>
      </c>
      <c r="K793" s="352">
        <f>F793*I793</f>
        <v>1556</v>
      </c>
      <c r="L793" s="352"/>
      <c r="M793" s="467">
        <v>1</v>
      </c>
      <c r="N793" s="465" t="s">
        <v>1419</v>
      </c>
      <c r="O793" s="465" t="s">
        <v>2814</v>
      </c>
      <c r="P793" s="467">
        <v>432</v>
      </c>
      <c r="Q793" s="465" t="s">
        <v>1419</v>
      </c>
      <c r="R793" s="465">
        <f>M793*P793</f>
        <v>432</v>
      </c>
    </row>
    <row r="794" spans="5:18">
      <c r="E794" s="352"/>
      <c r="F794" s="352">
        <v>3</v>
      </c>
      <c r="G794" s="352" t="s">
        <v>1419</v>
      </c>
      <c r="H794" s="352" t="s">
        <v>2370</v>
      </c>
      <c r="I794" s="352">
        <f>I675</f>
        <v>611</v>
      </c>
      <c r="J794" s="352" t="s">
        <v>1419</v>
      </c>
      <c r="K794" s="352">
        <f>F794*I794</f>
        <v>1833</v>
      </c>
      <c r="L794" s="352"/>
      <c r="M794" s="467">
        <v>2</v>
      </c>
      <c r="N794" s="465" t="s">
        <v>1419</v>
      </c>
      <c r="O794" s="465" t="s">
        <v>2633</v>
      </c>
      <c r="P794" s="467">
        <v>409</v>
      </c>
      <c r="Q794" s="465" t="s">
        <v>1419</v>
      </c>
      <c r="R794" s="465">
        <f>M794*P794</f>
        <v>818</v>
      </c>
    </row>
    <row r="795" spans="5:18">
      <c r="E795" s="352"/>
      <c r="F795" s="352"/>
      <c r="G795" s="352"/>
      <c r="H795" s="357" t="s">
        <v>2917</v>
      </c>
      <c r="I795" s="352"/>
      <c r="J795" s="352"/>
      <c r="K795" s="358">
        <f>SUM(K791:K794)</f>
        <v>5070</v>
      </c>
      <c r="L795" s="352"/>
      <c r="M795" s="467">
        <v>3</v>
      </c>
      <c r="N795" s="465" t="s">
        <v>1419</v>
      </c>
      <c r="O795" s="465" t="s">
        <v>2370</v>
      </c>
      <c r="P795" s="467">
        <v>308</v>
      </c>
      <c r="Q795" s="465" t="s">
        <v>1419</v>
      </c>
      <c r="R795" s="465">
        <f>M795*P795</f>
        <v>924</v>
      </c>
    </row>
    <row r="796" spans="5:18">
      <c r="E796" s="352"/>
      <c r="F796" s="352"/>
      <c r="G796" s="352"/>
      <c r="H796" s="359" t="s">
        <v>2841</v>
      </c>
      <c r="I796" s="352"/>
      <c r="J796" s="352"/>
      <c r="K796" s="360">
        <f>K795/3</f>
        <v>1690</v>
      </c>
      <c r="L796" s="352"/>
      <c r="M796" s="465"/>
      <c r="N796" s="465"/>
      <c r="O796" s="467" t="s">
        <v>2917</v>
      </c>
      <c r="P796" s="465"/>
      <c r="Q796" s="465"/>
      <c r="R796" s="471">
        <f>SUM(R792:R795)</f>
        <v>2645</v>
      </c>
    </row>
    <row r="797" spans="5:18">
      <c r="E797" s="352"/>
      <c r="F797" s="352"/>
      <c r="G797" s="352"/>
      <c r="H797" s="360" t="s">
        <v>2540</v>
      </c>
      <c r="I797" s="352">
        <f>I652</f>
        <v>107060</v>
      </c>
      <c r="J797" s="366">
        <v>2.9999999999999997E-4</v>
      </c>
      <c r="K797" s="360">
        <f>I797*J797</f>
        <v>32.119999999999997</v>
      </c>
      <c r="L797" s="352"/>
      <c r="M797" s="465"/>
      <c r="N797" s="465"/>
      <c r="O797" s="470" t="s">
        <v>2841</v>
      </c>
      <c r="P797" s="465"/>
      <c r="Q797" s="465"/>
      <c r="R797" s="466">
        <f>R796/3</f>
        <v>881.67</v>
      </c>
    </row>
    <row r="798" spans="5:18">
      <c r="E798" s="352"/>
      <c r="F798" s="352"/>
      <c r="G798" s="352"/>
      <c r="H798" s="352"/>
      <c r="I798" s="352"/>
      <c r="J798" s="352"/>
      <c r="K798" s="352"/>
      <c r="L798" s="352"/>
      <c r="M798" s="465"/>
      <c r="N798" s="465"/>
      <c r="O798" s="472"/>
      <c r="P798" s="473"/>
      <c r="Q798" s="474"/>
      <c r="R798" s="472"/>
    </row>
    <row r="799" spans="5:18" ht="23.25" customHeight="1">
      <c r="E799" s="352"/>
      <c r="F799" s="352"/>
      <c r="G799" s="352"/>
      <c r="H799" s="360" t="s">
        <v>2413</v>
      </c>
      <c r="I799" s="352"/>
      <c r="J799" s="352"/>
      <c r="K799" s="352"/>
      <c r="L799" s="352"/>
      <c r="M799" s="465"/>
      <c r="N799" s="465"/>
      <c r="O799" s="465"/>
      <c r="P799" s="465"/>
      <c r="Q799" s="465"/>
      <c r="R799" s="465"/>
    </row>
    <row r="800" spans="5:18" ht="15.75" customHeight="1">
      <c r="E800" s="352"/>
      <c r="F800" s="352"/>
      <c r="G800" s="352"/>
      <c r="H800" s="352"/>
      <c r="I800" s="352"/>
      <c r="J800" s="352"/>
      <c r="K800" s="352"/>
      <c r="L800" s="352"/>
      <c r="M800" s="465"/>
      <c r="N800" s="465"/>
      <c r="O800" s="466" t="s">
        <v>2413</v>
      </c>
      <c r="P800" s="465"/>
      <c r="Q800" s="465"/>
      <c r="R800" s="465"/>
    </row>
    <row r="801" spans="5:18" ht="24.95" customHeight="1">
      <c r="E801" s="352"/>
      <c r="F801" s="352"/>
      <c r="G801" s="352"/>
      <c r="H801" s="360" t="s">
        <v>3165</v>
      </c>
      <c r="I801" s="352"/>
      <c r="J801" s="352"/>
      <c r="K801" s="352"/>
      <c r="L801" s="352"/>
      <c r="M801" s="465"/>
      <c r="N801" s="465"/>
      <c r="O801" s="466"/>
      <c r="P801" s="465"/>
      <c r="Q801" s="465"/>
      <c r="R801" s="465"/>
    </row>
    <row r="802" spans="5:18" ht="15.75" customHeight="1">
      <c r="E802" s="352"/>
      <c r="F802" s="352"/>
      <c r="G802" s="352"/>
      <c r="H802" s="352"/>
      <c r="I802" s="352"/>
      <c r="J802" s="352"/>
      <c r="K802" s="352"/>
      <c r="L802" s="352"/>
      <c r="M802" s="465"/>
      <c r="N802" s="465"/>
      <c r="O802" s="466" t="s">
        <v>3788</v>
      </c>
      <c r="P802" s="465"/>
      <c r="Q802" s="465"/>
      <c r="R802" s="465"/>
    </row>
    <row r="803" spans="5:18" ht="24.95" customHeight="1">
      <c r="E803" s="352"/>
      <c r="F803" s="352">
        <v>1</v>
      </c>
      <c r="G803" s="352" t="s">
        <v>1419</v>
      </c>
      <c r="H803" s="351" t="str">
        <f>[1]Elec.Data!H3634</f>
        <v>Tube light fittings P-111 ,11a-An-VII</v>
      </c>
      <c r="I803" s="354">
        <f>[1]Elec.Data!I3634</f>
        <v>630</v>
      </c>
      <c r="J803" s="352" t="s">
        <v>1419</v>
      </c>
      <c r="K803" s="352">
        <f>F803*I803</f>
        <v>630</v>
      </c>
      <c r="L803" s="352"/>
      <c r="M803" s="465"/>
      <c r="N803" s="465"/>
      <c r="O803" s="466"/>
      <c r="P803" s="465"/>
      <c r="Q803" s="465"/>
      <c r="R803" s="465"/>
    </row>
    <row r="804" spans="5:18" ht="24.95" customHeight="1">
      <c r="E804" s="352"/>
      <c r="F804" s="352">
        <v>1</v>
      </c>
      <c r="G804" s="352" t="s">
        <v>1419</v>
      </c>
      <c r="H804" s="351" t="str">
        <f>[1]Elec.Data!H3635</f>
        <v>Tubular lamp P-110 ,4b</v>
      </c>
      <c r="I804" s="354">
        <f>[1]Elec.Data!I3635</f>
        <v>35.299999999999997</v>
      </c>
      <c r="J804" s="352" t="s">
        <v>1419</v>
      </c>
      <c r="K804" s="352">
        <f>F804*I804</f>
        <v>35.299999999999997</v>
      </c>
      <c r="L804" s="352"/>
      <c r="M804" s="465">
        <v>1</v>
      </c>
      <c r="N804" s="465" t="s">
        <v>1419</v>
      </c>
      <c r="O804" s="469" t="s">
        <v>3789</v>
      </c>
      <c r="P804" s="475">
        <v>1717.5</v>
      </c>
      <c r="Q804" s="465" t="s">
        <v>1419</v>
      </c>
      <c r="R804" s="465">
        <f>M804*P804</f>
        <v>1717.5</v>
      </c>
    </row>
    <row r="805" spans="5:18" ht="24.95" customHeight="1">
      <c r="E805" s="352"/>
      <c r="F805" s="352">
        <v>1</v>
      </c>
      <c r="G805" s="352" t="s">
        <v>1419</v>
      </c>
      <c r="H805" s="373" t="s">
        <v>931</v>
      </c>
      <c r="I805" s="352">
        <f>K788</f>
        <v>2256.73</v>
      </c>
      <c r="J805" s="352" t="s">
        <v>1419</v>
      </c>
      <c r="K805" s="352">
        <f>F805*I805</f>
        <v>2256.73</v>
      </c>
      <c r="L805" s="352"/>
      <c r="M805" s="465">
        <v>1</v>
      </c>
      <c r="N805" s="465" t="s">
        <v>1419</v>
      </c>
      <c r="O805" s="469" t="s">
        <v>931</v>
      </c>
      <c r="P805" s="475">
        <f>R789</f>
        <v>1377.4</v>
      </c>
      <c r="Q805" s="465" t="s">
        <v>1419</v>
      </c>
      <c r="R805" s="465">
        <f>M805*P805</f>
        <v>1377.4</v>
      </c>
    </row>
    <row r="806" spans="5:18" ht="24.95" customHeight="1">
      <c r="E806" s="352"/>
      <c r="F806" s="352"/>
      <c r="G806" s="352"/>
      <c r="H806" s="351" t="s">
        <v>2310</v>
      </c>
      <c r="I806" s="352"/>
      <c r="J806" s="352"/>
      <c r="K806" s="352">
        <f>2.5-0.9</f>
        <v>1.6</v>
      </c>
      <c r="L806" s="352"/>
      <c r="M806" s="465"/>
      <c r="N806" s="465"/>
      <c r="O806" s="469" t="s">
        <v>2310</v>
      </c>
      <c r="P806" s="465"/>
      <c r="Q806" s="465"/>
      <c r="R806" s="465">
        <v>0.5</v>
      </c>
    </row>
    <row r="807" spans="5:18" ht="24.95" customHeight="1">
      <c r="E807" s="352"/>
      <c r="F807" s="352"/>
      <c r="G807" s="352"/>
      <c r="H807" s="359" t="s">
        <v>1083</v>
      </c>
      <c r="I807" s="352"/>
      <c r="J807" s="352"/>
      <c r="K807" s="360">
        <f>SUM(K803:K806)</f>
        <v>2923.63</v>
      </c>
      <c r="L807" s="352">
        <f>K807-2170</f>
        <v>753.63</v>
      </c>
      <c r="M807" s="465"/>
      <c r="N807" s="465"/>
      <c r="O807" s="470" t="s">
        <v>1083</v>
      </c>
      <c r="P807" s="465"/>
      <c r="Q807" s="465"/>
      <c r="R807" s="466">
        <f>SUM(R804:R806)</f>
        <v>3095.4</v>
      </c>
    </row>
    <row r="808" spans="5:18">
      <c r="E808" s="352"/>
      <c r="F808" s="352"/>
      <c r="G808" s="352"/>
      <c r="H808" s="352"/>
      <c r="I808" s="352"/>
      <c r="J808" s="352"/>
      <c r="K808" s="352"/>
      <c r="L808" s="352"/>
      <c r="M808" s="465"/>
      <c r="N808" s="465"/>
      <c r="P808" s="465"/>
      <c r="Q808" s="465"/>
      <c r="R808" s="466"/>
    </row>
    <row r="809" spans="5:18" ht="24.75" customHeight="1">
      <c r="E809" s="352"/>
      <c r="F809" s="352"/>
      <c r="G809" s="352"/>
      <c r="H809" s="360" t="s">
        <v>3152</v>
      </c>
      <c r="I809" s="352"/>
      <c r="J809" s="352"/>
      <c r="K809" s="352"/>
      <c r="L809" s="352"/>
      <c r="M809" s="352"/>
    </row>
    <row r="810" spans="5:18" ht="63">
      <c r="E810" s="352"/>
      <c r="F810" s="352"/>
      <c r="G810" s="352"/>
      <c r="H810" s="373" t="s">
        <v>3153</v>
      </c>
      <c r="I810" s="352"/>
      <c r="J810" s="352"/>
      <c r="K810" s="352"/>
      <c r="L810" s="352"/>
      <c r="M810" s="352"/>
    </row>
    <row r="811" spans="5:18">
      <c r="E811" s="352"/>
      <c r="F811" s="352"/>
      <c r="G811" s="352"/>
      <c r="H811" s="352"/>
      <c r="I811" s="352"/>
      <c r="J811" s="352"/>
      <c r="K811" s="352"/>
      <c r="L811" s="352"/>
      <c r="M811" s="352"/>
    </row>
    <row r="812" spans="5:18" ht="24.75" customHeight="1">
      <c r="E812" s="352"/>
      <c r="F812" s="352">
        <v>1.5</v>
      </c>
      <c r="G812" s="352" t="s">
        <v>842</v>
      </c>
      <c r="H812" s="352" t="str">
        <f>[1]Elec.Data!H3643</f>
        <v>GI pipe B class of 50 mm dia  (P-50 142 -ii)</v>
      </c>
      <c r="I812" s="353">
        <f>[1]Elec.Data!I3643</f>
        <v>207</v>
      </c>
      <c r="J812" s="352" t="s">
        <v>842</v>
      </c>
      <c r="K812" s="352">
        <f>F812*I812</f>
        <v>310.5</v>
      </c>
      <c r="L812" s="352"/>
      <c r="M812" s="352"/>
    </row>
    <row r="813" spans="5:18" ht="24.75" customHeight="1">
      <c r="E813" s="352"/>
      <c r="F813" s="352">
        <v>2</v>
      </c>
      <c r="G813" s="352" t="s">
        <v>3163</v>
      </c>
      <c r="H813" s="352" t="s">
        <v>3164</v>
      </c>
      <c r="I813" s="352">
        <f>I782</f>
        <v>35</v>
      </c>
      <c r="J813" s="352" t="s">
        <v>3163</v>
      </c>
      <c r="K813" s="352">
        <f>F813*I813</f>
        <v>70</v>
      </c>
      <c r="L813" s="352"/>
      <c r="M813" s="352"/>
    </row>
    <row r="814" spans="5:18" ht="24.75" customHeight="1">
      <c r="E814" s="352"/>
      <c r="F814" s="352">
        <v>1</v>
      </c>
      <c r="G814" s="352" t="s">
        <v>1419</v>
      </c>
      <c r="H814" s="352" t="s">
        <v>3154</v>
      </c>
      <c r="I814" s="352">
        <f>I783</f>
        <v>47.2</v>
      </c>
      <c r="J814" s="352" t="s">
        <v>1419</v>
      </c>
      <c r="K814" s="352">
        <f>F814*I814</f>
        <v>47.2</v>
      </c>
      <c r="L814" s="352"/>
      <c r="M814" s="352"/>
    </row>
    <row r="815" spans="5:18" ht="24.75" customHeight="1">
      <c r="E815" s="352"/>
      <c r="F815" s="352">
        <v>1</v>
      </c>
      <c r="G815" s="352" t="s">
        <v>1419</v>
      </c>
      <c r="H815" s="352" t="s">
        <v>3288</v>
      </c>
      <c r="I815" s="352">
        <f>I784</f>
        <v>32.119999999999997</v>
      </c>
      <c r="J815" s="352" t="s">
        <v>1419</v>
      </c>
      <c r="K815" s="352">
        <f>F815*I815</f>
        <v>32.119999999999997</v>
      </c>
      <c r="L815" s="352"/>
      <c r="M815" s="352"/>
    </row>
    <row r="816" spans="5:18" ht="24.75" customHeight="1">
      <c r="E816" s="352"/>
      <c r="F816" s="352">
        <v>8</v>
      </c>
      <c r="G816" s="352" t="s">
        <v>842</v>
      </c>
      <c r="H816" s="352" t="s">
        <v>2930</v>
      </c>
      <c r="I816" s="352">
        <f>I785</f>
        <v>25.75</v>
      </c>
      <c r="J816" s="352" t="s">
        <v>3363</v>
      </c>
      <c r="K816" s="352">
        <f>F816*I816</f>
        <v>206</v>
      </c>
      <c r="L816" s="352"/>
      <c r="M816" s="352"/>
    </row>
    <row r="817" spans="5:13" ht="61.5" customHeight="1">
      <c r="E817" s="352"/>
      <c r="F817" s="352"/>
      <c r="G817" s="352"/>
      <c r="H817" s="373" t="s">
        <v>2931</v>
      </c>
      <c r="I817" s="352"/>
      <c r="J817" s="352"/>
      <c r="K817" s="352">
        <f>K796</f>
        <v>1690</v>
      </c>
      <c r="L817" s="352"/>
      <c r="M817" s="352"/>
    </row>
    <row r="818" spans="5:13" ht="52.5" customHeight="1">
      <c r="E818" s="352"/>
      <c r="F818" s="352"/>
      <c r="G818" s="352"/>
      <c r="H818" s="373" t="s">
        <v>2538</v>
      </c>
      <c r="I818" s="352"/>
      <c r="J818" s="352" t="s">
        <v>669</v>
      </c>
      <c r="K818" s="352">
        <f>14.2-0.69</f>
        <v>13.51</v>
      </c>
      <c r="L818" s="352"/>
      <c r="M818" s="352"/>
    </row>
    <row r="819" spans="5:13" ht="24" customHeight="1">
      <c r="E819" s="352"/>
      <c r="F819" s="352"/>
      <c r="G819" s="352"/>
      <c r="H819" s="359" t="s">
        <v>2411</v>
      </c>
      <c r="I819" s="352"/>
      <c r="J819" s="352"/>
      <c r="K819" s="360">
        <f>SUM(K812:K818)</f>
        <v>2369.33</v>
      </c>
      <c r="L819" s="352"/>
      <c r="M819" s="352"/>
    </row>
    <row r="820" spans="5:13">
      <c r="E820" s="352"/>
      <c r="F820" s="352"/>
      <c r="G820" s="352"/>
      <c r="H820" s="352"/>
      <c r="I820" s="352"/>
      <c r="J820" s="352"/>
      <c r="K820" s="352"/>
      <c r="L820" s="352"/>
      <c r="M820" s="352"/>
    </row>
    <row r="821" spans="5:13">
      <c r="E821" s="352"/>
      <c r="F821" s="352"/>
      <c r="G821" s="352"/>
      <c r="H821" s="352"/>
      <c r="I821" s="352"/>
      <c r="J821" s="352"/>
      <c r="K821" s="352"/>
      <c r="L821" s="352"/>
      <c r="M821" s="352"/>
    </row>
    <row r="822" spans="5:13">
      <c r="E822" s="352"/>
      <c r="F822" s="352"/>
      <c r="G822" s="352"/>
      <c r="H822" s="352"/>
      <c r="I822" s="352"/>
      <c r="J822" s="352"/>
      <c r="K822" s="352"/>
      <c r="L822" s="352"/>
      <c r="M822" s="352"/>
    </row>
    <row r="823" spans="5:13">
      <c r="E823" s="352"/>
      <c r="F823" s="352"/>
      <c r="G823" s="352"/>
      <c r="H823" s="352"/>
      <c r="I823" s="352"/>
      <c r="J823" s="352"/>
      <c r="K823" s="352"/>
      <c r="L823" s="352"/>
      <c r="M823" s="352"/>
    </row>
    <row r="824" spans="5:13">
      <c r="E824" s="352"/>
      <c r="F824" s="352"/>
      <c r="G824" s="352"/>
      <c r="H824" s="371" t="s">
        <v>2871</v>
      </c>
      <c r="I824" s="352"/>
      <c r="J824" s="352"/>
      <c r="K824" s="352"/>
      <c r="L824" s="352"/>
      <c r="M824" s="352"/>
    </row>
    <row r="825" spans="5:13">
      <c r="E825" s="352"/>
      <c r="F825" s="352"/>
      <c r="G825" s="352"/>
      <c r="H825" s="352"/>
      <c r="I825" s="352"/>
      <c r="J825" s="352"/>
      <c r="K825" s="352"/>
      <c r="L825" s="352"/>
      <c r="M825" s="352"/>
    </row>
    <row r="826" spans="5:13">
      <c r="E826" s="352"/>
      <c r="F826" s="352"/>
      <c r="G826" s="352"/>
      <c r="H826" s="371" t="s">
        <v>3070</v>
      </c>
      <c r="I826" s="352"/>
      <c r="J826" s="352"/>
      <c r="K826" s="352"/>
      <c r="L826" s="352"/>
      <c r="M826" s="352"/>
    </row>
    <row r="827" spans="5:13">
      <c r="E827" s="352"/>
      <c r="F827" s="352"/>
      <c r="G827" s="352"/>
      <c r="H827" s="352"/>
      <c r="I827" s="352"/>
      <c r="J827" s="352"/>
      <c r="K827" s="352"/>
      <c r="L827" s="352"/>
      <c r="M827" s="352"/>
    </row>
    <row r="828" spans="5:13" ht="315">
      <c r="E828" s="352"/>
      <c r="F828" s="352"/>
      <c r="G828" s="352"/>
      <c r="H828" s="373" t="s">
        <v>2581</v>
      </c>
      <c r="I828" s="352"/>
      <c r="J828" s="352"/>
      <c r="K828" s="352"/>
      <c r="L828" s="352"/>
      <c r="M828" s="352"/>
    </row>
    <row r="829" spans="5:13">
      <c r="E829" s="352"/>
      <c r="F829" s="352"/>
      <c r="G829" s="352"/>
      <c r="H829" s="352"/>
      <c r="I829" s="352"/>
      <c r="J829" s="352"/>
      <c r="K829" s="352"/>
      <c r="L829" s="352"/>
      <c r="M829" s="352"/>
    </row>
    <row r="830" spans="5:13">
      <c r="E830" s="352"/>
      <c r="F830" s="352"/>
      <c r="G830" s="352"/>
      <c r="H830" s="360" t="s">
        <v>2887</v>
      </c>
      <c r="I830" s="352"/>
      <c r="K830" s="352"/>
      <c r="L830" s="352"/>
      <c r="M830" s="352"/>
    </row>
    <row r="831" spans="5:13" ht="47.25">
      <c r="E831" s="352"/>
      <c r="F831" s="352">
        <v>1</v>
      </c>
      <c r="G831" s="352" t="s">
        <v>1419</v>
      </c>
      <c r="H831" s="351" t="s">
        <v>3935</v>
      </c>
      <c r="I831" s="421">
        <f>[1]Elec.Data!I3662</f>
        <v>270</v>
      </c>
      <c r="J831" s="352" t="s">
        <v>1419</v>
      </c>
      <c r="K831" s="352">
        <f t="shared" ref="K831:K836" si="12">F831*I831</f>
        <v>270</v>
      </c>
      <c r="L831" s="352"/>
      <c r="M831" s="352"/>
    </row>
    <row r="832" spans="5:13" ht="20.100000000000001" customHeight="1">
      <c r="E832" s="352"/>
      <c r="F832" s="352">
        <v>1</v>
      </c>
      <c r="G832" s="352" t="s">
        <v>1419</v>
      </c>
      <c r="H832" s="352" t="s">
        <v>2888</v>
      </c>
      <c r="I832" s="352">
        <f>K846</f>
        <v>289.06</v>
      </c>
      <c r="J832" s="352" t="s">
        <v>1419</v>
      </c>
      <c r="K832" s="352">
        <f t="shared" si="12"/>
        <v>289.06</v>
      </c>
      <c r="L832" s="352"/>
      <c r="M832" s="352"/>
    </row>
    <row r="833" spans="4:13" ht="20.100000000000001" customHeight="1">
      <c r="E833" s="352"/>
      <c r="F833" s="352">
        <v>1</v>
      </c>
      <c r="G833" s="352" t="s">
        <v>1419</v>
      </c>
      <c r="H833" s="352" t="s">
        <v>2889</v>
      </c>
      <c r="I833" s="353">
        <f>[1]Elec.Data!I3664</f>
        <v>83.6</v>
      </c>
      <c r="J833" s="352" t="s">
        <v>1419</v>
      </c>
      <c r="K833" s="352">
        <f t="shared" si="12"/>
        <v>83.6</v>
      </c>
      <c r="L833" s="352"/>
      <c r="M833" s="352"/>
    </row>
    <row r="834" spans="4:13" ht="20.100000000000001" customHeight="1">
      <c r="E834" s="352"/>
      <c r="F834" s="352">
        <v>1</v>
      </c>
      <c r="G834" s="352" t="s">
        <v>1419</v>
      </c>
      <c r="H834" s="352" t="s">
        <v>2890</v>
      </c>
      <c r="I834" s="352">
        <f>I647</f>
        <v>25</v>
      </c>
      <c r="J834" s="352" t="s">
        <v>1419</v>
      </c>
      <c r="K834" s="352">
        <f t="shared" si="12"/>
        <v>25</v>
      </c>
      <c r="L834" s="352"/>
      <c r="M834" s="352"/>
    </row>
    <row r="835" spans="4:13" ht="20.100000000000001" customHeight="1">
      <c r="E835" s="352"/>
      <c r="F835" s="352">
        <v>5</v>
      </c>
      <c r="G835" s="352" t="s">
        <v>842</v>
      </c>
      <c r="H835" s="352" t="s">
        <v>3281</v>
      </c>
      <c r="I835" s="353">
        <f>[1]Elec.Data!I3666</f>
        <v>97.7</v>
      </c>
      <c r="J835" s="352" t="s">
        <v>842</v>
      </c>
      <c r="K835" s="352">
        <f t="shared" si="12"/>
        <v>488.5</v>
      </c>
      <c r="L835" s="352"/>
      <c r="M835" s="352"/>
    </row>
    <row r="836" spans="4:13" ht="31.5">
      <c r="E836" s="352"/>
      <c r="F836" s="352">
        <v>20</v>
      </c>
      <c r="G836" s="352" t="s">
        <v>842</v>
      </c>
      <c r="H836" s="373" t="s">
        <v>2748</v>
      </c>
      <c r="I836" s="352">
        <f>I267</f>
        <v>40.950000000000003</v>
      </c>
      <c r="J836" s="352" t="s">
        <v>842</v>
      </c>
      <c r="K836" s="352">
        <f t="shared" si="12"/>
        <v>819</v>
      </c>
      <c r="L836" s="352"/>
      <c r="M836" s="352"/>
    </row>
    <row r="837" spans="4:13" ht="20.100000000000001" customHeight="1">
      <c r="E837" s="352"/>
      <c r="F837" s="352"/>
      <c r="G837" s="352"/>
      <c r="H837" s="360" t="s">
        <v>3282</v>
      </c>
      <c r="I837" s="352"/>
      <c r="J837" s="352"/>
      <c r="K837" s="352"/>
      <c r="L837" s="352"/>
      <c r="M837" s="352"/>
    </row>
    <row r="838" spans="4:13" ht="56.25" customHeight="1">
      <c r="E838" s="352"/>
      <c r="F838" s="352">
        <v>1</v>
      </c>
      <c r="G838" s="352" t="s">
        <v>1419</v>
      </c>
      <c r="H838" s="373" t="s">
        <v>3316</v>
      </c>
      <c r="I838" s="352">
        <f>I831</f>
        <v>270</v>
      </c>
      <c r="J838" s="352" t="s">
        <v>1419</v>
      </c>
      <c r="K838" s="352">
        <f>F838*I838</f>
        <v>270</v>
      </c>
      <c r="L838" s="352"/>
      <c r="M838" s="352"/>
    </row>
    <row r="839" spans="4:13">
      <c r="E839" s="352"/>
      <c r="F839" s="352">
        <v>1</v>
      </c>
      <c r="G839" s="352" t="s">
        <v>1419</v>
      </c>
      <c r="H839" s="352" t="str">
        <f>[1]Elec.Data!H3670</f>
        <v>32 A DPIC switch p-117 2d, Part-C</v>
      </c>
      <c r="I839" s="421">
        <f>[1]Elec.Data!I3670</f>
        <v>754</v>
      </c>
      <c r="J839" s="352" t="s">
        <v>1419</v>
      </c>
      <c r="K839" s="352">
        <f>F839*I839</f>
        <v>754</v>
      </c>
      <c r="L839" s="352"/>
      <c r="M839" s="352"/>
    </row>
    <row r="840" spans="4:13">
      <c r="E840" s="352"/>
      <c r="F840" s="352">
        <v>1</v>
      </c>
      <c r="G840" s="352" t="s">
        <v>1419</v>
      </c>
      <c r="H840" s="352" t="s">
        <v>3934</v>
      </c>
      <c r="I840" s="352">
        <v>93.5</v>
      </c>
      <c r="J840" s="352" t="s">
        <v>1419</v>
      </c>
      <c r="K840" s="352">
        <f>F840*I840</f>
        <v>93.5</v>
      </c>
      <c r="L840" s="352"/>
      <c r="M840" s="352"/>
    </row>
    <row r="841" spans="4:13">
      <c r="E841" s="352"/>
      <c r="F841" s="352">
        <v>1</v>
      </c>
      <c r="G841" s="352" t="s">
        <v>1419</v>
      </c>
      <c r="H841" s="352" t="s">
        <v>3318</v>
      </c>
      <c r="I841" s="352">
        <v>89.6</v>
      </c>
      <c r="J841" s="352" t="s">
        <v>1419</v>
      </c>
      <c r="K841" s="352">
        <f>F841*I841</f>
        <v>89.6</v>
      </c>
      <c r="L841" s="352"/>
      <c r="M841" s="352"/>
    </row>
    <row r="842" spans="4:13">
      <c r="E842" s="352"/>
      <c r="F842" s="352">
        <v>1</v>
      </c>
      <c r="G842" s="352" t="s">
        <v>1419</v>
      </c>
      <c r="H842" s="352" t="s">
        <v>2888</v>
      </c>
      <c r="I842" s="352">
        <f>K846</f>
        <v>289.06</v>
      </c>
      <c r="J842" s="352" t="s">
        <v>1419</v>
      </c>
      <c r="K842" s="352">
        <f>F842*I842</f>
        <v>289.06</v>
      </c>
      <c r="L842" s="352"/>
      <c r="M842" s="352"/>
    </row>
    <row r="843" spans="4:13">
      <c r="D843" s="375">
        <f>0.6*0.225*0.02</f>
        <v>2.7000000000000001E-3</v>
      </c>
      <c r="E843" s="352"/>
      <c r="F843" s="352"/>
      <c r="G843" s="352"/>
      <c r="H843" s="352" t="s">
        <v>2668</v>
      </c>
      <c r="I843" s="352"/>
      <c r="J843" s="352"/>
      <c r="K843" s="352">
        <f>K796</f>
        <v>1690</v>
      </c>
      <c r="L843" s="352"/>
      <c r="M843" s="352"/>
    </row>
    <row r="844" spans="4:13" ht="41.25" customHeight="1">
      <c r="E844" s="352"/>
      <c r="F844" s="352"/>
      <c r="G844" s="352"/>
      <c r="H844" s="373" t="s">
        <v>2669</v>
      </c>
      <c r="I844" s="352"/>
      <c r="J844" s="352"/>
      <c r="K844" s="352">
        <f>8-0.09</f>
        <v>7.91</v>
      </c>
      <c r="L844" s="352"/>
      <c r="M844" s="352"/>
    </row>
    <row r="845" spans="4:13" ht="24.95" customHeight="1">
      <c r="E845" s="352"/>
      <c r="F845" s="352"/>
      <c r="G845" s="352"/>
      <c r="H845" s="357" t="s">
        <v>1083</v>
      </c>
      <c r="I845" s="352"/>
      <c r="J845" s="352"/>
      <c r="K845" s="360">
        <f>SUM(K831:K844)</f>
        <v>5169.2299999999996</v>
      </c>
      <c r="L845" s="352"/>
      <c r="M845" s="352">
        <f>4254-K845</f>
        <v>-915.23</v>
      </c>
    </row>
    <row r="846" spans="4:13" ht="20.100000000000001" customHeight="1">
      <c r="E846" s="352"/>
      <c r="F846" s="352"/>
      <c r="G846" s="352"/>
      <c r="H846" s="360" t="s">
        <v>3292</v>
      </c>
      <c r="I846" s="352">
        <f>I797</f>
        <v>107060</v>
      </c>
      <c r="J846" s="366">
        <v>2.7000000000000001E-3</v>
      </c>
      <c r="K846" s="360">
        <f>I846*J846</f>
        <v>289.06</v>
      </c>
      <c r="L846" s="352"/>
      <c r="M846" s="352"/>
    </row>
    <row r="847" spans="4:13">
      <c r="E847" s="352"/>
      <c r="F847" s="352"/>
      <c r="G847" s="352"/>
      <c r="H847" s="360" t="s">
        <v>2670</v>
      </c>
      <c r="I847" s="352"/>
      <c r="J847" s="352"/>
      <c r="K847" s="352"/>
      <c r="L847" s="352"/>
      <c r="M847" s="352"/>
    </row>
    <row r="848" spans="4:13">
      <c r="E848" s="352"/>
      <c r="F848" s="352"/>
      <c r="G848" s="352"/>
      <c r="H848" s="360"/>
      <c r="I848" s="352"/>
      <c r="J848" s="352"/>
      <c r="K848" s="352"/>
      <c r="L848" s="352"/>
      <c r="M848" s="352"/>
    </row>
    <row r="849" spans="5:13" ht="31.5">
      <c r="E849" s="352"/>
      <c r="F849" s="352"/>
      <c r="G849" s="352"/>
      <c r="H849" s="350" t="s">
        <v>1754</v>
      </c>
      <c r="I849" s="352"/>
      <c r="J849" s="352"/>
      <c r="K849" s="352"/>
      <c r="L849" s="352"/>
      <c r="M849" s="352"/>
    </row>
    <row r="850" spans="5:13">
      <c r="E850" s="352"/>
      <c r="F850" s="352"/>
      <c r="G850" s="352"/>
      <c r="H850" s="352" t="s">
        <v>813</v>
      </c>
      <c r="I850" s="352"/>
      <c r="J850" s="352"/>
      <c r="K850" s="352"/>
      <c r="L850" s="352"/>
      <c r="M850" s="352"/>
    </row>
    <row r="851" spans="5:13" ht="35.25" customHeight="1">
      <c r="E851" s="352"/>
      <c r="F851" s="352">
        <v>90</v>
      </c>
      <c r="G851" s="352" t="s">
        <v>377</v>
      </c>
      <c r="H851" s="351" t="s">
        <v>2253</v>
      </c>
      <c r="I851" s="352">
        <f>I165</f>
        <v>20</v>
      </c>
      <c r="J851" s="352" t="s">
        <v>377</v>
      </c>
      <c r="K851" s="352">
        <f>F851*I851</f>
        <v>1800</v>
      </c>
      <c r="L851" s="352"/>
      <c r="M851" s="352"/>
    </row>
    <row r="852" spans="5:13">
      <c r="E852" s="352"/>
      <c r="F852" s="352">
        <v>0.15</v>
      </c>
      <c r="G852" s="352" t="s">
        <v>535</v>
      </c>
      <c r="H852" s="352" t="s">
        <v>878</v>
      </c>
      <c r="I852" s="353">
        <f>[1]Elec.Data!I3683</f>
        <v>6040</v>
      </c>
      <c r="J852" s="352" t="s">
        <v>535</v>
      </c>
      <c r="K852" s="352">
        <f>F852*I852</f>
        <v>906</v>
      </c>
      <c r="L852" s="352"/>
      <c r="M852" s="352"/>
    </row>
    <row r="853" spans="5:13">
      <c r="E853" s="352"/>
      <c r="F853" s="352">
        <v>1</v>
      </c>
      <c r="G853" s="352" t="s">
        <v>785</v>
      </c>
      <c r="H853" s="352" t="s">
        <v>376</v>
      </c>
      <c r="I853" s="352">
        <f>I792</f>
        <v>783</v>
      </c>
      <c r="J853" s="352" t="s">
        <v>785</v>
      </c>
      <c r="K853" s="352">
        <f>F853*I853</f>
        <v>783</v>
      </c>
      <c r="L853" s="352"/>
      <c r="M853" s="352"/>
    </row>
    <row r="854" spans="5:13">
      <c r="E854" s="352"/>
      <c r="F854" s="352">
        <v>2</v>
      </c>
      <c r="G854" s="352" t="s">
        <v>785</v>
      </c>
      <c r="H854" s="352" t="s">
        <v>1744</v>
      </c>
      <c r="I854" s="353">
        <f>I40</f>
        <v>884</v>
      </c>
      <c r="J854" s="352" t="s">
        <v>785</v>
      </c>
      <c r="K854" s="352">
        <f>F854*I854</f>
        <v>1768</v>
      </c>
      <c r="L854" s="352"/>
      <c r="M854" s="352"/>
    </row>
    <row r="855" spans="5:13">
      <c r="E855" s="352"/>
      <c r="F855" s="352">
        <v>4</v>
      </c>
      <c r="G855" s="352" t="s">
        <v>785</v>
      </c>
      <c r="H855" s="352" t="s">
        <v>1309</v>
      </c>
      <c r="I855" s="352">
        <f>I759</f>
        <v>611</v>
      </c>
      <c r="J855" s="352" t="s">
        <v>785</v>
      </c>
      <c r="K855" s="352">
        <f>F855*I855</f>
        <v>2444</v>
      </c>
      <c r="L855" s="352"/>
      <c r="M855" s="352"/>
    </row>
    <row r="856" spans="5:13" ht="30" customHeight="1">
      <c r="E856" s="352"/>
      <c r="F856" s="352"/>
      <c r="G856" s="352"/>
      <c r="H856" s="351" t="s">
        <v>378</v>
      </c>
      <c r="I856" s="352"/>
      <c r="J856" s="352"/>
      <c r="K856" s="352">
        <v>50.5</v>
      </c>
      <c r="L856" s="352"/>
      <c r="M856" s="352"/>
    </row>
    <row r="857" spans="5:13" ht="18.75" customHeight="1">
      <c r="E857" s="352"/>
      <c r="F857" s="352"/>
      <c r="G857" s="352"/>
      <c r="H857" s="357" t="s">
        <v>2306</v>
      </c>
      <c r="I857" s="352"/>
      <c r="J857" s="352"/>
      <c r="K857" s="352">
        <f>SUM(K851:K856)</f>
        <v>7751.5</v>
      </c>
      <c r="L857" s="352"/>
      <c r="M857" s="352"/>
    </row>
    <row r="858" spans="5:13" ht="18.75" customHeight="1">
      <c r="E858" s="352"/>
      <c r="F858" s="352"/>
      <c r="G858" s="352"/>
      <c r="H858" s="359" t="s">
        <v>1144</v>
      </c>
      <c r="I858" s="352"/>
      <c r="J858" s="352"/>
      <c r="K858" s="376">
        <f>K857/90</f>
        <v>86.13</v>
      </c>
      <c r="L858" s="352">
        <f>60.7*90</f>
        <v>5463</v>
      </c>
      <c r="M858" s="352"/>
    </row>
    <row r="859" spans="5:13">
      <c r="E859" s="352"/>
      <c r="F859" s="352"/>
      <c r="G859" s="352"/>
      <c r="H859" s="352"/>
      <c r="I859" s="352"/>
      <c r="J859" s="352"/>
      <c r="K859" s="352"/>
      <c r="L859" s="352">
        <f>L858-K857</f>
        <v>-2288.5</v>
      </c>
      <c r="M859" s="352"/>
    </row>
    <row r="860" spans="5:13" ht="20.25" customHeight="1">
      <c r="E860" s="352"/>
      <c r="F860" s="352"/>
      <c r="G860" s="352"/>
      <c r="H860" s="360" t="s">
        <v>2671</v>
      </c>
      <c r="I860" s="352"/>
      <c r="J860" s="352"/>
      <c r="K860" s="352"/>
      <c r="L860" s="352"/>
      <c r="M860" s="352"/>
    </row>
    <row r="861" spans="5:13" ht="20.25" customHeight="1">
      <c r="E861" s="352"/>
      <c r="F861" s="352"/>
      <c r="G861" s="352"/>
      <c r="H861" s="352" t="s">
        <v>2672</v>
      </c>
      <c r="I861" s="352"/>
      <c r="J861" s="352"/>
      <c r="K861" s="352">
        <f>K858</f>
        <v>86.13</v>
      </c>
      <c r="L861" s="352"/>
      <c r="M861" s="352"/>
    </row>
    <row r="862" spans="5:13" ht="20.25" customHeight="1">
      <c r="E862" s="352"/>
      <c r="F862" s="352">
        <v>1</v>
      </c>
      <c r="G862" s="352" t="s">
        <v>842</v>
      </c>
      <c r="H862" s="352" t="s">
        <v>2673</v>
      </c>
      <c r="I862" s="352">
        <f>I851</f>
        <v>20</v>
      </c>
      <c r="J862" s="352" t="s">
        <v>842</v>
      </c>
      <c r="K862" s="352">
        <f>F862*I862</f>
        <v>20</v>
      </c>
      <c r="L862" s="352"/>
      <c r="M862" s="352"/>
    </row>
    <row r="863" spans="5:13" ht="20.25" customHeight="1">
      <c r="E863" s="352"/>
      <c r="F863" s="352">
        <v>1</v>
      </c>
      <c r="G863" s="352" t="s">
        <v>842</v>
      </c>
      <c r="H863" s="352" t="str">
        <f>[1]Elec.Data!H3694</f>
        <v>Add cost of 25 mm dia PVC pipe heavy dutyp-89 part -I c</v>
      </c>
      <c r="I863" s="353">
        <f>[1]Elec.Data!I3694</f>
        <v>25.4</v>
      </c>
      <c r="J863" s="352" t="s">
        <v>842</v>
      </c>
      <c r="K863" s="352">
        <f>F863*I863</f>
        <v>25.4</v>
      </c>
      <c r="L863" s="352"/>
      <c r="M863" s="352"/>
    </row>
    <row r="864" spans="5:13" ht="20.25" customHeight="1">
      <c r="E864" s="352"/>
      <c r="F864" s="352"/>
      <c r="G864" s="352"/>
      <c r="H864" s="352"/>
      <c r="I864" s="352"/>
      <c r="J864" s="352"/>
      <c r="K864" s="360">
        <f>(K861-K862)+K863</f>
        <v>91.53</v>
      </c>
      <c r="L864" s="352"/>
      <c r="M864" s="352"/>
    </row>
    <row r="865" spans="5:13" ht="20.25" customHeight="1">
      <c r="E865" s="352"/>
      <c r="F865" s="352"/>
      <c r="G865" s="352"/>
      <c r="H865" s="360" t="s">
        <v>2674</v>
      </c>
      <c r="I865" s="352"/>
      <c r="J865" s="352"/>
      <c r="K865" s="352"/>
      <c r="L865" s="352"/>
      <c r="M865" s="352"/>
    </row>
    <row r="866" spans="5:13">
      <c r="E866" s="352"/>
      <c r="F866" s="352"/>
      <c r="G866" s="352"/>
      <c r="H866" s="360"/>
      <c r="I866" s="352"/>
      <c r="J866" s="352"/>
      <c r="K866" s="352"/>
      <c r="L866" s="352"/>
      <c r="M866" s="352"/>
    </row>
    <row r="867" spans="5:13" ht="19.5" customHeight="1">
      <c r="E867" s="352"/>
      <c r="F867" s="352"/>
      <c r="G867" s="352"/>
      <c r="H867" s="360" t="s">
        <v>2675</v>
      </c>
      <c r="I867" s="352"/>
      <c r="J867" s="352"/>
      <c r="K867" s="352"/>
      <c r="L867" s="352"/>
      <c r="M867" s="352"/>
    </row>
    <row r="868" spans="5:13" ht="21.75" customHeight="1">
      <c r="E868" s="352"/>
      <c r="F868" s="352">
        <v>1</v>
      </c>
      <c r="G868" s="352" t="s">
        <v>1419</v>
      </c>
      <c r="H868" s="352" t="str">
        <f>[1]Elec.Data!H3699</f>
        <v>TW board 8" x6" x3" (p-129, part-j/b)</v>
      </c>
      <c r="I868" s="353">
        <f>[1]Elec.Data!I3699</f>
        <v>36.799999999999997</v>
      </c>
      <c r="J868" s="352" t="s">
        <v>1419</v>
      </c>
      <c r="K868" s="352">
        <f>F868*I868</f>
        <v>36.799999999999997</v>
      </c>
      <c r="L868" s="352"/>
      <c r="M868" s="352"/>
    </row>
    <row r="869" spans="5:13" ht="21.75" customHeight="1">
      <c r="E869" s="352"/>
      <c r="F869" s="355">
        <v>1.4999999999999999E-2</v>
      </c>
      <c r="G869" s="352" t="s">
        <v>2322</v>
      </c>
      <c r="H869" s="373" t="s">
        <v>3533</v>
      </c>
      <c r="I869" s="352">
        <f>I169</f>
        <v>661</v>
      </c>
      <c r="J869" s="352" t="s">
        <v>2322</v>
      </c>
      <c r="K869" s="352">
        <f>F869*I869</f>
        <v>9.92</v>
      </c>
      <c r="L869" s="352"/>
      <c r="M869" s="352"/>
    </row>
    <row r="870" spans="5:13" ht="21.75" customHeight="1">
      <c r="E870" s="352"/>
      <c r="F870" s="352"/>
      <c r="G870" s="352"/>
      <c r="H870" s="352" t="s">
        <v>3523</v>
      </c>
      <c r="I870" s="352"/>
      <c r="J870" s="352" t="s">
        <v>669</v>
      </c>
      <c r="K870" s="352">
        <v>5.84</v>
      </c>
      <c r="L870" s="352"/>
      <c r="M870" s="352"/>
    </row>
    <row r="871" spans="5:13" ht="21.75" customHeight="1">
      <c r="E871" s="352"/>
      <c r="F871" s="352"/>
      <c r="G871" s="352"/>
      <c r="H871" s="359" t="s">
        <v>1083</v>
      </c>
      <c r="I871" s="352"/>
      <c r="J871" s="352"/>
      <c r="K871" s="360">
        <f>SUM(K868:K870)</f>
        <v>52.56</v>
      </c>
      <c r="L871" s="352"/>
      <c r="M871" s="352"/>
    </row>
    <row r="872" spans="5:13">
      <c r="E872" s="352"/>
      <c r="F872" s="352"/>
      <c r="G872" s="352"/>
      <c r="H872" s="352"/>
      <c r="I872" s="352"/>
      <c r="J872" s="352"/>
      <c r="K872" s="352"/>
      <c r="L872" s="352"/>
      <c r="M872" s="352"/>
    </row>
    <row r="873" spans="5:13">
      <c r="E873" s="352"/>
      <c r="F873" s="352"/>
      <c r="G873" s="352"/>
      <c r="H873" s="360" t="s">
        <v>3524</v>
      </c>
      <c r="I873" s="352"/>
      <c r="J873" s="352"/>
      <c r="K873" s="352"/>
      <c r="L873" s="352"/>
      <c r="M873" s="352"/>
    </row>
    <row r="874" spans="5:13">
      <c r="E874" s="352"/>
      <c r="F874" s="352"/>
      <c r="G874" s="352"/>
      <c r="H874" s="352"/>
      <c r="I874" s="352"/>
      <c r="J874" s="352"/>
      <c r="K874" s="352"/>
      <c r="L874" s="352"/>
      <c r="M874" s="352"/>
    </row>
    <row r="875" spans="5:13" ht="57.75" customHeight="1">
      <c r="E875" s="352"/>
      <c r="F875" s="352"/>
      <c r="G875" s="352"/>
      <c r="H875" s="478" t="s">
        <v>5915</v>
      </c>
      <c r="I875" s="352"/>
      <c r="J875" s="352"/>
      <c r="K875" s="352"/>
      <c r="L875" s="352"/>
      <c r="M875" s="352"/>
    </row>
    <row r="876" spans="5:13">
      <c r="E876" s="352"/>
      <c r="F876" s="352"/>
      <c r="G876" s="352"/>
      <c r="H876" s="352"/>
      <c r="I876" s="352"/>
      <c r="J876" s="352"/>
      <c r="K876" s="352"/>
      <c r="L876" s="352"/>
      <c r="M876" s="352"/>
    </row>
    <row r="877" spans="5:13" ht="21.75" customHeight="1">
      <c r="E877" s="352"/>
      <c r="F877" s="352">
        <v>1</v>
      </c>
      <c r="G877" s="352" t="s">
        <v>1419</v>
      </c>
      <c r="H877" s="352" t="str">
        <f>[1]Elec.Data!H3708</f>
        <v>TW board 4" x4" x3" (p-129, part-j/d)</v>
      </c>
      <c r="I877" s="353">
        <f>[1]Elec.Data!I3708</f>
        <v>13.7</v>
      </c>
      <c r="J877" s="352" t="s">
        <v>1419</v>
      </c>
      <c r="K877" s="352">
        <f>F877*I877</f>
        <v>13.7</v>
      </c>
      <c r="L877" s="352"/>
      <c r="M877" s="352"/>
    </row>
    <row r="878" spans="5:13" ht="21.75" customHeight="1">
      <c r="E878" s="352"/>
      <c r="F878" s="352">
        <v>0.01</v>
      </c>
      <c r="G878" s="352" t="s">
        <v>3525</v>
      </c>
      <c r="H878" s="352" t="s">
        <v>3533</v>
      </c>
      <c r="I878" s="352">
        <f>I869</f>
        <v>661</v>
      </c>
      <c r="J878" s="352" t="s">
        <v>2322</v>
      </c>
      <c r="K878" s="352">
        <f>F878*I878</f>
        <v>6.61</v>
      </c>
      <c r="L878" s="352"/>
      <c r="M878" s="352"/>
    </row>
    <row r="879" spans="5:13" ht="21.75" customHeight="1">
      <c r="E879" s="352"/>
      <c r="F879" s="352">
        <v>1</v>
      </c>
      <c r="G879" s="352" t="s">
        <v>1419</v>
      </c>
      <c r="H879" s="352" t="s">
        <v>3526</v>
      </c>
      <c r="I879" s="521">
        <f>[1]Elec.Data!I3710</f>
        <v>49.5</v>
      </c>
      <c r="J879" s="352" t="s">
        <v>1419</v>
      </c>
      <c r="K879" s="352">
        <f>F879*I879</f>
        <v>49.5</v>
      </c>
      <c r="L879" s="352"/>
      <c r="M879" s="352"/>
    </row>
    <row r="880" spans="5:13" ht="21.75" customHeight="1">
      <c r="E880" s="352"/>
      <c r="F880" s="352"/>
      <c r="G880" s="352"/>
      <c r="H880" s="352" t="s">
        <v>3527</v>
      </c>
      <c r="I880" s="352" t="s">
        <v>669</v>
      </c>
      <c r="J880" s="352"/>
      <c r="K880" s="352">
        <v>7.08</v>
      </c>
      <c r="L880" s="352"/>
      <c r="M880" s="352"/>
    </row>
    <row r="881" spans="5:13" ht="21.75" customHeight="1">
      <c r="E881" s="352"/>
      <c r="F881" s="352"/>
      <c r="G881" s="352"/>
      <c r="H881" s="359" t="s">
        <v>3528</v>
      </c>
      <c r="I881" s="352"/>
      <c r="J881" s="352"/>
      <c r="K881" s="360">
        <f>SUM(K877:K880)</f>
        <v>76.89</v>
      </c>
      <c r="L881" s="352"/>
      <c r="M881" s="352">
        <f>54-K881</f>
        <v>-22.89</v>
      </c>
    </row>
    <row r="882" spans="5:13">
      <c r="E882" s="352"/>
      <c r="F882" s="352"/>
      <c r="G882" s="352"/>
      <c r="H882" s="352"/>
      <c r="I882" s="352"/>
      <c r="J882" s="352"/>
      <c r="K882" s="352"/>
      <c r="L882" s="352"/>
      <c r="M882" s="352"/>
    </row>
    <row r="883" spans="5:13">
      <c r="E883" s="352"/>
      <c r="F883" s="352"/>
      <c r="G883" s="352"/>
      <c r="H883" s="360" t="s">
        <v>3529</v>
      </c>
      <c r="I883" s="352"/>
      <c r="J883" s="352"/>
      <c r="K883" s="352"/>
      <c r="L883" s="352"/>
      <c r="M883" s="352"/>
    </row>
    <row r="884" spans="5:13">
      <c r="E884" s="352"/>
      <c r="F884" s="352"/>
      <c r="G884" s="352"/>
      <c r="H884" s="352"/>
      <c r="I884" s="352"/>
      <c r="J884" s="352"/>
      <c r="K884" s="352"/>
      <c r="L884" s="352"/>
      <c r="M884" s="352"/>
    </row>
    <row r="885" spans="5:13" ht="287.25" customHeight="1">
      <c r="E885" s="352"/>
      <c r="F885" s="352"/>
      <c r="G885" s="352"/>
      <c r="H885" s="464" t="s">
        <v>3036</v>
      </c>
      <c r="I885" s="352"/>
      <c r="J885" s="352"/>
      <c r="K885" s="352"/>
      <c r="L885" s="352"/>
      <c r="M885" s="352"/>
    </row>
    <row r="886" spans="5:13">
      <c r="E886" s="352"/>
      <c r="F886" s="352"/>
      <c r="G886" s="352"/>
      <c r="H886" s="352"/>
      <c r="I886" s="352"/>
      <c r="J886" s="352"/>
      <c r="K886" s="352"/>
      <c r="L886" s="352"/>
      <c r="M886" s="352"/>
    </row>
    <row r="887" spans="5:13" ht="22.5" customHeight="1">
      <c r="F887" s="352">
        <v>6</v>
      </c>
      <c r="G887" s="352" t="s">
        <v>842</v>
      </c>
      <c r="H887" s="352" t="str">
        <f>[1]Elec.Data!H3718</f>
        <v>65 mm dia GI pipe ' B' class p50,142-i</v>
      </c>
      <c r="I887" s="353">
        <f>[1]Elec.Data!I3718</f>
        <v>242</v>
      </c>
      <c r="J887" s="352" t="s">
        <v>842</v>
      </c>
      <c r="K887" s="352">
        <f>F887*I887</f>
        <v>1452</v>
      </c>
      <c r="L887" s="352"/>
      <c r="M887" s="352"/>
    </row>
    <row r="888" spans="5:13" ht="22.5" customHeight="1">
      <c r="F888" s="352">
        <v>2</v>
      </c>
      <c r="G888" s="352" t="s">
        <v>842</v>
      </c>
      <c r="H888" s="352" t="str">
        <f>[1]Elec.Data!H3719</f>
        <v>20 mm dia 'B' class GI pipe p- 50 it-142 iv</v>
      </c>
      <c r="I888" s="353">
        <f>[1]Elec.Data!I3719</f>
        <v>97.7</v>
      </c>
      <c r="J888" s="352" t="s">
        <v>842</v>
      </c>
      <c r="K888" s="352">
        <f>F888*I888</f>
        <v>195.4</v>
      </c>
      <c r="L888" s="352"/>
      <c r="M888" s="352"/>
    </row>
    <row r="889" spans="5:13" ht="22.5" customHeight="1">
      <c r="F889" s="352">
        <v>1</v>
      </c>
      <c r="G889" s="352" t="s">
        <v>1419</v>
      </c>
      <c r="H889" s="352" t="s">
        <v>3459</v>
      </c>
      <c r="I889" s="352">
        <v>130</v>
      </c>
      <c r="J889" s="352" t="s">
        <v>1419</v>
      </c>
      <c r="K889" s="352">
        <f>F889*I889</f>
        <v>130</v>
      </c>
      <c r="L889" s="352"/>
      <c r="M889" s="352"/>
    </row>
    <row r="890" spans="5:13" ht="22.5" customHeight="1">
      <c r="F890" s="352">
        <v>1</v>
      </c>
      <c r="G890" s="352" t="s">
        <v>1419</v>
      </c>
      <c r="H890" s="352" t="s">
        <v>4478</v>
      </c>
      <c r="I890" s="421">
        <f>[1]Elec.Data!I3721</f>
        <v>89.3</v>
      </c>
      <c r="J890" s="352" t="s">
        <v>1419</v>
      </c>
      <c r="K890" s="352">
        <f>F890*I890</f>
        <v>89.3</v>
      </c>
      <c r="L890" s="352"/>
      <c r="M890" s="352"/>
    </row>
    <row r="891" spans="5:13" ht="22.5" customHeight="1">
      <c r="F891" s="355">
        <v>0.23799999999999999</v>
      </c>
      <c r="G891" s="352" t="s">
        <v>2190</v>
      </c>
      <c r="H891" s="352" t="s">
        <v>2886</v>
      </c>
      <c r="I891" s="353">
        <f>[1]Elec.Data!I3722</f>
        <v>4600</v>
      </c>
      <c r="J891" s="352" t="s">
        <v>2190</v>
      </c>
      <c r="K891" s="352">
        <f>F891*I891</f>
        <v>1094.8</v>
      </c>
      <c r="L891" s="352"/>
      <c r="M891" s="352"/>
    </row>
    <row r="892" spans="5:13" ht="43.5" customHeight="1">
      <c r="F892" s="352"/>
      <c r="G892" s="352" t="s">
        <v>669</v>
      </c>
      <c r="H892" s="373" t="s">
        <v>3118</v>
      </c>
      <c r="I892" s="352" t="s">
        <v>669</v>
      </c>
      <c r="J892" s="352"/>
      <c r="K892" s="352">
        <v>226.3</v>
      </c>
      <c r="L892" s="352"/>
      <c r="M892" s="352"/>
    </row>
    <row r="893" spans="5:13" ht="60.75" customHeight="1">
      <c r="F893" s="352">
        <v>1</v>
      </c>
      <c r="G893" s="352" t="s">
        <v>1419</v>
      </c>
      <c r="H893" s="351" t="s">
        <v>2760</v>
      </c>
      <c r="I893" s="352" t="s">
        <v>669</v>
      </c>
      <c r="J893" s="352"/>
      <c r="K893" s="352">
        <v>64.3</v>
      </c>
      <c r="L893" s="352">
        <f>5300-5225.8</f>
        <v>74.2</v>
      </c>
      <c r="M893" s="352"/>
    </row>
    <row r="894" spans="5:13" ht="37.5" customHeight="1">
      <c r="F894" s="352">
        <v>8</v>
      </c>
      <c r="G894" s="352" t="s">
        <v>842</v>
      </c>
      <c r="H894" s="373" t="s">
        <v>2761</v>
      </c>
      <c r="I894" s="352">
        <f>I12</f>
        <v>16.55</v>
      </c>
      <c r="J894" s="352"/>
      <c r="K894" s="352">
        <f>F894*I894</f>
        <v>132.4</v>
      </c>
      <c r="L894" s="352"/>
      <c r="M894" s="352"/>
    </row>
    <row r="895" spans="5:13">
      <c r="E895" s="352"/>
      <c r="F895" s="352"/>
      <c r="G895" s="352"/>
      <c r="H895" s="352" t="s">
        <v>931</v>
      </c>
      <c r="I895" s="352"/>
      <c r="J895" s="352"/>
      <c r="K895" s="352">
        <f>K902</f>
        <v>3169.5</v>
      </c>
      <c r="L895" s="352"/>
      <c r="M895" s="352"/>
    </row>
    <row r="896" spans="5:13">
      <c r="E896" s="352"/>
      <c r="F896" s="352"/>
      <c r="G896" s="352"/>
      <c r="H896" s="359" t="s">
        <v>1083</v>
      </c>
      <c r="I896" s="352"/>
      <c r="J896" s="352"/>
      <c r="K896" s="360">
        <f>SUM(K887:K895)</f>
        <v>6554</v>
      </c>
      <c r="L896" s="352"/>
      <c r="M896" s="352">
        <f>5120-K896</f>
        <v>-1434</v>
      </c>
    </row>
    <row r="897" spans="5:13" ht="3.75" customHeight="1">
      <c r="E897" s="352"/>
      <c r="F897" s="352"/>
      <c r="G897" s="352"/>
      <c r="H897" s="352"/>
      <c r="I897" s="352"/>
      <c r="J897" s="352"/>
      <c r="K897" s="352"/>
      <c r="L897" s="352"/>
      <c r="M897" s="352"/>
    </row>
    <row r="898" spans="5:13">
      <c r="E898" s="352"/>
      <c r="F898" s="352"/>
      <c r="G898" s="352"/>
      <c r="H898" s="358" t="s">
        <v>142</v>
      </c>
      <c r="I898" s="352"/>
      <c r="J898" s="352"/>
      <c r="K898" s="352"/>
      <c r="L898" s="352"/>
      <c r="M898" s="352"/>
    </row>
    <row r="899" spans="5:13">
      <c r="E899" s="352"/>
      <c r="F899" s="352">
        <v>0.5</v>
      </c>
      <c r="G899" s="352" t="s">
        <v>1419</v>
      </c>
      <c r="H899" s="352" t="s">
        <v>2814</v>
      </c>
      <c r="I899" s="352">
        <f>I792</f>
        <v>783</v>
      </c>
      <c r="J899" s="352" t="s">
        <v>1419</v>
      </c>
      <c r="K899" s="352">
        <f>F899*I899</f>
        <v>391.5</v>
      </c>
      <c r="L899" s="352"/>
      <c r="M899" s="352"/>
    </row>
    <row r="900" spans="5:13">
      <c r="E900" s="352"/>
      <c r="F900" s="352">
        <v>2</v>
      </c>
      <c r="G900" s="352" t="s">
        <v>1419</v>
      </c>
      <c r="H900" s="352" t="s">
        <v>2633</v>
      </c>
      <c r="I900" s="352">
        <f>I793</f>
        <v>778</v>
      </c>
      <c r="J900" s="352" t="s">
        <v>1419</v>
      </c>
      <c r="K900" s="352">
        <f>F900*I900</f>
        <v>1556</v>
      </c>
      <c r="L900" s="352"/>
      <c r="M900" s="352"/>
    </row>
    <row r="901" spans="5:13">
      <c r="E901" s="352"/>
      <c r="F901" s="352">
        <v>2</v>
      </c>
      <c r="G901" s="352" t="s">
        <v>1419</v>
      </c>
      <c r="H901" s="352" t="s">
        <v>2370</v>
      </c>
      <c r="I901" s="352">
        <f>I794</f>
        <v>611</v>
      </c>
      <c r="J901" s="352" t="s">
        <v>1419</v>
      </c>
      <c r="K901" s="352">
        <f>F901*I901</f>
        <v>1222</v>
      </c>
      <c r="L901" s="352"/>
      <c r="M901" s="352"/>
    </row>
    <row r="902" spans="5:13">
      <c r="E902" s="352"/>
      <c r="F902" s="352"/>
      <c r="G902" s="352"/>
      <c r="H902" s="352"/>
      <c r="I902" s="352"/>
      <c r="J902" s="352"/>
      <c r="K902" s="358">
        <f>SUM(K899:K901)</f>
        <v>3169.5</v>
      </c>
      <c r="L902" s="352"/>
      <c r="M902" s="352"/>
    </row>
    <row r="903" spans="5:13">
      <c r="E903" s="352"/>
      <c r="F903" s="352"/>
      <c r="G903" s="352"/>
      <c r="H903" s="352"/>
      <c r="I903" s="352"/>
      <c r="J903" s="352"/>
      <c r="K903" s="352"/>
      <c r="L903" s="352"/>
      <c r="M903" s="352"/>
    </row>
    <row r="904" spans="5:13" ht="24.95" customHeight="1">
      <c r="E904" s="352"/>
      <c r="F904" s="352"/>
      <c r="G904" s="352"/>
      <c r="H904" s="360" t="s">
        <v>2762</v>
      </c>
      <c r="I904" s="352"/>
      <c r="J904" s="352"/>
      <c r="K904" s="352"/>
      <c r="L904" s="352"/>
      <c r="M904" s="352"/>
    </row>
    <row r="905" spans="5:13">
      <c r="E905" s="352"/>
      <c r="F905" s="352"/>
      <c r="G905" s="352"/>
      <c r="H905" s="352"/>
      <c r="I905" s="352"/>
      <c r="J905" s="352"/>
      <c r="K905" s="352"/>
      <c r="L905" s="352"/>
      <c r="M905" s="352"/>
    </row>
    <row r="906" spans="5:13" ht="24.95" customHeight="1">
      <c r="E906" s="352"/>
      <c r="F906" s="352"/>
      <c r="G906" s="352"/>
      <c r="H906" s="360" t="s">
        <v>2763</v>
      </c>
      <c r="I906" s="352"/>
      <c r="J906" s="352"/>
      <c r="K906" s="352"/>
      <c r="L906" s="352"/>
      <c r="M906" s="352"/>
    </row>
    <row r="907" spans="5:13">
      <c r="E907" s="352"/>
      <c r="F907" s="352"/>
      <c r="G907" s="352"/>
      <c r="H907" s="352"/>
      <c r="I907" s="352"/>
      <c r="J907" s="352"/>
      <c r="K907" s="352"/>
      <c r="L907" s="352"/>
      <c r="M907" s="352"/>
    </row>
    <row r="908" spans="5:13">
      <c r="E908" s="352"/>
      <c r="F908" s="352">
        <v>1</v>
      </c>
      <c r="G908" s="352" t="s">
        <v>1419</v>
      </c>
      <c r="H908" s="352" t="s">
        <v>4479</v>
      </c>
      <c r="I908" s="374">
        <v>1155</v>
      </c>
      <c r="J908" s="352" t="s">
        <v>1419</v>
      </c>
      <c r="K908" s="352">
        <f>F908*I908</f>
        <v>1155</v>
      </c>
      <c r="L908" s="352"/>
      <c r="M908" s="352"/>
    </row>
    <row r="909" spans="5:13" ht="30.75" customHeight="1">
      <c r="E909" s="352"/>
      <c r="F909" s="352"/>
      <c r="G909" s="352"/>
      <c r="H909" s="352" t="s">
        <v>2510</v>
      </c>
      <c r="I909" s="353">
        <v>197</v>
      </c>
      <c r="J909" s="352" t="s">
        <v>1419</v>
      </c>
      <c r="K909" s="352">
        <f>I909</f>
        <v>197</v>
      </c>
      <c r="L909" s="352"/>
      <c r="M909" s="352"/>
    </row>
    <row r="910" spans="5:13" ht="39" customHeight="1">
      <c r="E910" s="352"/>
      <c r="F910" s="352"/>
      <c r="G910" s="352"/>
      <c r="H910" s="351" t="s">
        <v>4203</v>
      </c>
      <c r="I910" s="352"/>
      <c r="J910" s="352"/>
      <c r="K910" s="353">
        <v>18.5</v>
      </c>
      <c r="L910" s="352"/>
      <c r="M910" s="352"/>
    </row>
    <row r="911" spans="5:13">
      <c r="E911" s="352"/>
      <c r="F911" s="352"/>
      <c r="G911" s="352"/>
      <c r="H911" s="352" t="s">
        <v>2920</v>
      </c>
      <c r="I911" s="352"/>
      <c r="J911" s="361">
        <f>SUM(K908:K910)</f>
        <v>1370.5</v>
      </c>
      <c r="K911" s="352">
        <f>J911*1%</f>
        <v>13.71</v>
      </c>
      <c r="L911" s="352"/>
      <c r="M911" s="352"/>
    </row>
    <row r="912" spans="5:13">
      <c r="E912" s="352"/>
      <c r="F912" s="352"/>
      <c r="G912" s="352"/>
      <c r="H912" s="352" t="s">
        <v>2921</v>
      </c>
      <c r="I912" s="352"/>
      <c r="J912" s="352"/>
      <c r="K912" s="352">
        <f>K919</f>
        <v>501.25</v>
      </c>
      <c r="L912" s="352"/>
      <c r="M912" s="352"/>
    </row>
    <row r="913" spans="5:13" ht="24.95" customHeight="1">
      <c r="E913" s="352"/>
      <c r="F913" s="352"/>
      <c r="G913" s="352"/>
      <c r="H913" s="359" t="s">
        <v>2922</v>
      </c>
      <c r="I913" s="352"/>
      <c r="J913" s="352"/>
      <c r="K913" s="360">
        <f>SUM(K908:K912)</f>
        <v>1885.46</v>
      </c>
      <c r="L913" s="352"/>
      <c r="M913" s="352">
        <f>1883-K913</f>
        <v>-2.46</v>
      </c>
    </row>
    <row r="914" spans="5:13">
      <c r="E914" s="352"/>
      <c r="F914" s="352"/>
      <c r="G914" s="352"/>
      <c r="H914" s="352"/>
      <c r="I914" s="352"/>
      <c r="J914" s="352"/>
      <c r="K914" s="352"/>
      <c r="L914" s="352"/>
      <c r="M914" s="352"/>
    </row>
    <row r="915" spans="5:13">
      <c r="E915" s="352"/>
      <c r="F915" s="352"/>
      <c r="G915" s="352"/>
      <c r="H915" s="358" t="s">
        <v>931</v>
      </c>
      <c r="I915" s="352"/>
      <c r="J915" s="352"/>
      <c r="K915" s="352"/>
      <c r="L915" s="352"/>
      <c r="M915" s="352"/>
    </row>
    <row r="916" spans="5:13">
      <c r="E916" s="352"/>
      <c r="F916" s="352">
        <v>1</v>
      </c>
      <c r="G916" s="352" t="s">
        <v>1419</v>
      </c>
      <c r="H916" s="352" t="s">
        <v>2814</v>
      </c>
      <c r="I916" s="352">
        <f>I899</f>
        <v>783</v>
      </c>
      <c r="J916" s="352" t="s">
        <v>1419</v>
      </c>
      <c r="K916" s="352">
        <f>F916*I916</f>
        <v>783</v>
      </c>
      <c r="L916" s="352"/>
      <c r="M916" s="352"/>
    </row>
    <row r="917" spans="5:13">
      <c r="E917" s="352"/>
      <c r="F917" s="352">
        <v>2</v>
      </c>
      <c r="G917" s="352" t="s">
        <v>1419</v>
      </c>
      <c r="H917" s="352" t="s">
        <v>2370</v>
      </c>
      <c r="I917" s="352">
        <f>I901</f>
        <v>611</v>
      </c>
      <c r="J917" s="352" t="s">
        <v>1419</v>
      </c>
      <c r="K917" s="352">
        <f>F917*I917</f>
        <v>1222</v>
      </c>
      <c r="L917" s="352"/>
      <c r="M917" s="352"/>
    </row>
    <row r="918" spans="5:13">
      <c r="E918" s="352"/>
      <c r="F918" s="352"/>
      <c r="G918" s="352"/>
      <c r="H918" s="357" t="s">
        <v>2923</v>
      </c>
      <c r="I918" s="352"/>
      <c r="J918" s="352"/>
      <c r="K918" s="358">
        <f>SUM(K916:K917)</f>
        <v>2005</v>
      </c>
      <c r="L918" s="352"/>
      <c r="M918" s="352"/>
    </row>
    <row r="919" spans="5:13" ht="24.95" customHeight="1">
      <c r="E919" s="352"/>
      <c r="F919" s="352"/>
      <c r="G919" s="352"/>
      <c r="H919" s="359" t="s">
        <v>2841</v>
      </c>
      <c r="I919" s="352"/>
      <c r="J919" s="352"/>
      <c r="K919" s="360">
        <f>K918/4</f>
        <v>501.25</v>
      </c>
      <c r="L919" s="352"/>
      <c r="M919" s="352"/>
    </row>
    <row r="920" spans="5:13">
      <c r="E920" s="352"/>
      <c r="F920" s="352"/>
      <c r="G920" s="352"/>
      <c r="H920" s="352"/>
      <c r="I920" s="352"/>
      <c r="J920" s="352"/>
      <c r="K920" s="352"/>
      <c r="L920" s="352"/>
      <c r="M920" s="352"/>
    </row>
    <row r="921" spans="5:13">
      <c r="E921" s="352"/>
      <c r="F921" s="352"/>
      <c r="G921" s="352"/>
      <c r="H921" s="352"/>
      <c r="I921" s="352"/>
      <c r="J921" s="352"/>
      <c r="K921" s="352"/>
      <c r="L921" s="352"/>
      <c r="M921" s="352"/>
    </row>
    <row r="922" spans="5:13" ht="24.95" customHeight="1">
      <c r="E922" s="352"/>
      <c r="F922" s="352"/>
      <c r="G922" s="352"/>
      <c r="H922" s="360" t="s">
        <v>2924</v>
      </c>
      <c r="I922" s="352"/>
      <c r="J922" s="352"/>
      <c r="K922" s="352"/>
      <c r="L922" s="352"/>
      <c r="M922" s="352"/>
    </row>
    <row r="923" spans="5:13">
      <c r="E923" s="352"/>
      <c r="F923" s="352"/>
      <c r="G923" s="352"/>
      <c r="H923" s="352"/>
      <c r="I923" s="352"/>
      <c r="J923" s="352"/>
      <c r="K923" s="352"/>
      <c r="L923" s="352"/>
      <c r="M923" s="352"/>
    </row>
    <row r="924" spans="5:13" ht="24.95" customHeight="1">
      <c r="E924" s="352"/>
      <c r="F924" s="352"/>
      <c r="G924" s="352"/>
      <c r="H924" s="360" t="s">
        <v>2925</v>
      </c>
      <c r="I924" s="352"/>
      <c r="J924" s="352"/>
      <c r="K924" s="352"/>
      <c r="L924" s="352"/>
      <c r="M924" s="352"/>
    </row>
    <row r="925" spans="5:13">
      <c r="E925" s="352"/>
      <c r="F925" s="352"/>
      <c r="G925" s="352"/>
      <c r="H925" s="352"/>
      <c r="I925" s="352"/>
      <c r="J925" s="352"/>
      <c r="K925" s="352"/>
      <c r="L925" s="352"/>
      <c r="M925" s="352"/>
    </row>
    <row r="926" spans="5:13">
      <c r="E926" s="352"/>
      <c r="F926" s="352"/>
      <c r="G926" s="352"/>
      <c r="H926" s="352" t="s">
        <v>4480</v>
      </c>
      <c r="I926" s="374">
        <v>1010</v>
      </c>
      <c r="J926" s="352" t="s">
        <v>1419</v>
      </c>
      <c r="K926" s="352">
        <f>I926</f>
        <v>1010</v>
      </c>
      <c r="L926" s="352"/>
      <c r="M926" s="352"/>
    </row>
    <row r="927" spans="5:13">
      <c r="E927" s="352"/>
      <c r="F927" s="352"/>
      <c r="G927" s="352"/>
      <c r="H927" s="352" t="s">
        <v>2510</v>
      </c>
      <c r="I927" s="352">
        <f>I909</f>
        <v>197</v>
      </c>
      <c r="J927" s="352" t="s">
        <v>1419</v>
      </c>
      <c r="K927" s="352">
        <f>I927</f>
        <v>197</v>
      </c>
      <c r="L927" s="352"/>
      <c r="M927" s="352"/>
    </row>
    <row r="928" spans="5:13" ht="31.5">
      <c r="E928" s="352"/>
      <c r="F928" s="352"/>
      <c r="G928" s="352"/>
      <c r="H928" s="373" t="s">
        <v>2919</v>
      </c>
      <c r="I928" s="352"/>
      <c r="J928" s="352"/>
      <c r="K928" s="352">
        <f>K910</f>
        <v>18.5</v>
      </c>
      <c r="L928" s="352"/>
      <c r="M928" s="352"/>
    </row>
    <row r="929" spans="5:18">
      <c r="E929" s="352"/>
      <c r="F929" s="352"/>
      <c r="G929" s="352"/>
      <c r="H929" s="352" t="s">
        <v>2920</v>
      </c>
      <c r="I929" s="352"/>
      <c r="J929" s="352"/>
      <c r="K929" s="352">
        <f>K911</f>
        <v>13.71</v>
      </c>
      <c r="L929" s="352"/>
      <c r="M929" s="352"/>
    </row>
    <row r="930" spans="5:18">
      <c r="E930" s="352"/>
      <c r="F930" s="352"/>
      <c r="G930" s="352"/>
      <c r="H930" s="352" t="s">
        <v>2921</v>
      </c>
      <c r="I930" s="352"/>
      <c r="J930" s="352"/>
      <c r="K930" s="352">
        <f>K912</f>
        <v>501.25</v>
      </c>
      <c r="L930" s="352"/>
      <c r="M930" s="352"/>
    </row>
    <row r="931" spans="5:18" ht="24.95" customHeight="1">
      <c r="E931" s="352"/>
      <c r="F931" s="352"/>
      <c r="G931" s="352"/>
      <c r="H931" s="359" t="s">
        <v>2922</v>
      </c>
      <c r="I931" s="352"/>
      <c r="J931" s="352"/>
      <c r="K931" s="360">
        <f>SUM(K926:K930)</f>
        <v>1740.46</v>
      </c>
      <c r="L931" s="352"/>
      <c r="M931" s="352"/>
    </row>
    <row r="932" spans="5:18">
      <c r="E932" s="352"/>
      <c r="F932" s="352"/>
      <c r="G932" s="352"/>
      <c r="H932" s="352"/>
      <c r="I932" s="352"/>
      <c r="J932" s="352"/>
      <c r="K932" s="352"/>
      <c r="L932" s="352"/>
      <c r="M932" s="352"/>
    </row>
    <row r="933" spans="5:18" ht="24.95" customHeight="1">
      <c r="E933" s="352"/>
      <c r="F933" s="352"/>
      <c r="G933" s="352"/>
      <c r="H933" s="360" t="s">
        <v>2926</v>
      </c>
      <c r="I933" s="352"/>
      <c r="J933" s="352"/>
      <c r="K933" s="352"/>
      <c r="L933" s="352"/>
      <c r="M933" s="352"/>
    </row>
    <row r="934" spans="5:18" ht="24.95" customHeight="1">
      <c r="E934" s="352"/>
      <c r="F934" s="352">
        <v>1</v>
      </c>
      <c r="G934" s="352" t="s">
        <v>1419</v>
      </c>
      <c r="H934" s="352" t="str">
        <f>[1]Elec.Data!H3765</f>
        <v>1200mm A.C ceiling fan (without regulator)( Part- B 1 a p-115</v>
      </c>
      <c r="I934" s="353">
        <f>[1]Elec.Data!I3765</f>
        <v>1366</v>
      </c>
      <c r="J934" s="352" t="s">
        <v>1419</v>
      </c>
      <c r="K934" s="352">
        <f>F934*I934</f>
        <v>1366</v>
      </c>
      <c r="L934" s="352"/>
      <c r="M934" s="352"/>
    </row>
    <row r="935" spans="5:18" ht="24.95" customHeight="1">
      <c r="E935" s="352"/>
      <c r="F935" s="352">
        <v>1</v>
      </c>
      <c r="G935" s="352" t="s">
        <v>1419</v>
      </c>
      <c r="H935" s="352" t="s">
        <v>2477</v>
      </c>
      <c r="I935" s="353">
        <f>[1]Elec.Data!I3766</f>
        <v>185.9</v>
      </c>
      <c r="J935" s="352" t="s">
        <v>1419</v>
      </c>
      <c r="K935" s="352">
        <f>F935*I935</f>
        <v>185.9</v>
      </c>
      <c r="L935" s="352"/>
      <c r="M935" s="352"/>
    </row>
    <row r="936" spans="5:18" ht="24.95" customHeight="1">
      <c r="E936" s="352"/>
      <c r="F936" s="352"/>
      <c r="G936" s="352"/>
      <c r="H936" s="359" t="s">
        <v>2922</v>
      </c>
      <c r="I936" s="352"/>
      <c r="J936" s="352"/>
      <c r="K936" s="360">
        <f>SUM(K934:K935)</f>
        <v>1551.9</v>
      </c>
      <c r="L936" s="352"/>
      <c r="M936" s="352"/>
    </row>
    <row r="937" spans="5:18" ht="23.25" customHeight="1">
      <c r="E937" s="352"/>
      <c r="F937" s="352"/>
      <c r="G937" s="352"/>
      <c r="H937" s="359"/>
      <c r="I937" s="352"/>
      <c r="J937" s="352"/>
      <c r="K937" s="360"/>
      <c r="L937" s="352"/>
      <c r="M937" s="352"/>
    </row>
    <row r="938" spans="5:18" ht="24.95" customHeight="1">
      <c r="E938" s="352"/>
      <c r="F938" s="352"/>
      <c r="G938" s="352"/>
      <c r="H938" s="479" t="s">
        <v>3933</v>
      </c>
      <c r="I938" s="352"/>
      <c r="J938" s="352"/>
      <c r="K938" s="352"/>
      <c r="L938" s="352"/>
      <c r="M938" s="352"/>
      <c r="N938" s="479" t="s">
        <v>3932</v>
      </c>
      <c r="O938" s="352"/>
      <c r="P938" s="352"/>
      <c r="Q938" s="352"/>
    </row>
    <row r="939" spans="5:18" ht="24.95" customHeight="1">
      <c r="E939" s="352"/>
      <c r="F939" s="352">
        <v>1</v>
      </c>
      <c r="G939" s="352" t="s">
        <v>1419</v>
      </c>
      <c r="H939" s="352" t="str">
        <f>[1]Elec.Data!H3770</f>
        <v>4' tube light fitting with \electronic ballast P-  111 7 b</v>
      </c>
      <c r="I939" s="421">
        <f>[1]Elec.Data!I3770</f>
        <v>442</v>
      </c>
      <c r="J939" s="352" t="s">
        <v>1419</v>
      </c>
      <c r="K939" s="352">
        <f>F939*I939</f>
        <v>442</v>
      </c>
      <c r="L939" s="352">
        <v>1</v>
      </c>
      <c r="M939" s="352" t="s">
        <v>1419</v>
      </c>
      <c r="O939" s="352" t="s">
        <v>2479</v>
      </c>
      <c r="P939" s="421">
        <v>529</v>
      </c>
      <c r="Q939" s="352" t="s">
        <v>1419</v>
      </c>
      <c r="R939" s="352">
        <f>L939*P939</f>
        <v>529</v>
      </c>
    </row>
    <row r="940" spans="5:18" ht="24.95" customHeight="1">
      <c r="E940" s="352"/>
      <c r="F940" s="352">
        <v>1</v>
      </c>
      <c r="G940" s="352" t="s">
        <v>1419</v>
      </c>
      <c r="H940" s="352" t="s">
        <v>2480</v>
      </c>
      <c r="I940" s="374">
        <f>[1]Elec.Data!I3778</f>
        <v>34.5</v>
      </c>
      <c r="J940" s="352" t="s">
        <v>1419</v>
      </c>
      <c r="K940" s="352">
        <f>F940*I940</f>
        <v>34.5</v>
      </c>
      <c r="L940" s="352">
        <v>1</v>
      </c>
      <c r="M940" s="352" t="s">
        <v>1419</v>
      </c>
      <c r="O940" s="352" t="s">
        <v>3931</v>
      </c>
      <c r="P940" s="374">
        <v>42.3</v>
      </c>
      <c r="Q940" s="352" t="s">
        <v>1419</v>
      </c>
      <c r="R940" s="352">
        <f>L940*P940</f>
        <v>42.3</v>
      </c>
    </row>
    <row r="941" spans="5:18" ht="24.95" customHeight="1">
      <c r="E941" s="352"/>
      <c r="F941" s="352"/>
      <c r="G941" s="352"/>
      <c r="H941" s="352" t="s">
        <v>2481</v>
      </c>
      <c r="I941" s="352"/>
      <c r="J941" s="352"/>
      <c r="K941" s="352">
        <f>K413</f>
        <v>299</v>
      </c>
      <c r="L941" s="352"/>
      <c r="M941" s="352"/>
      <c r="O941" s="352" t="s">
        <v>2481</v>
      </c>
      <c r="P941" s="352"/>
      <c r="Q941" s="352"/>
      <c r="R941" s="352">
        <f>K413</f>
        <v>299</v>
      </c>
    </row>
    <row r="942" spans="5:18" ht="24.95" customHeight="1">
      <c r="E942" s="352"/>
      <c r="F942" s="352"/>
      <c r="G942" s="352"/>
      <c r="H942" s="352" t="s">
        <v>2310</v>
      </c>
      <c r="I942" s="352"/>
      <c r="J942" s="352"/>
      <c r="K942" s="352">
        <v>1.4</v>
      </c>
      <c r="L942" s="352"/>
      <c r="M942" s="352"/>
      <c r="O942" s="352" t="s">
        <v>2310</v>
      </c>
      <c r="P942" s="352"/>
      <c r="Q942" s="352"/>
      <c r="R942" s="352">
        <v>0.7</v>
      </c>
    </row>
    <row r="943" spans="5:18" ht="24.95" customHeight="1">
      <c r="E943" s="352"/>
      <c r="F943" s="352"/>
      <c r="G943" s="352"/>
      <c r="H943" s="359" t="s">
        <v>2922</v>
      </c>
      <c r="I943" s="352"/>
      <c r="J943" s="352"/>
      <c r="K943" s="360">
        <f>SUM(K939:K942)</f>
        <v>776.9</v>
      </c>
      <c r="L943" s="352"/>
      <c r="M943" s="352"/>
      <c r="O943" s="359" t="s">
        <v>2922</v>
      </c>
      <c r="P943" s="352"/>
      <c r="Q943" s="352"/>
      <c r="R943" s="360">
        <f>SUM(R939:R942)</f>
        <v>871</v>
      </c>
    </row>
    <row r="944" spans="5:18">
      <c r="E944" s="352"/>
      <c r="F944" s="352"/>
      <c r="G944" s="352"/>
      <c r="H944" s="352"/>
      <c r="I944" s="352"/>
      <c r="J944" s="352"/>
      <c r="K944" s="352"/>
      <c r="L944" s="352"/>
      <c r="M944" s="352"/>
      <c r="O944" s="352"/>
      <c r="P944" s="352"/>
      <c r="Q944" s="352"/>
      <c r="R944" s="352"/>
    </row>
    <row r="945" spans="5:18" ht="24.95" customHeight="1">
      <c r="E945" s="352"/>
      <c r="F945" s="352"/>
      <c r="G945" s="352"/>
      <c r="H945" s="479" t="s">
        <v>3930</v>
      </c>
      <c r="I945" s="352"/>
      <c r="J945" s="352"/>
      <c r="K945" s="352"/>
      <c r="L945" s="352"/>
      <c r="M945" s="352"/>
      <c r="O945" s="479" t="s">
        <v>2482</v>
      </c>
      <c r="P945" s="352"/>
      <c r="Q945" s="352"/>
      <c r="R945" s="352"/>
    </row>
    <row r="946" spans="5:18" ht="24.95" customHeight="1">
      <c r="E946" s="352"/>
      <c r="F946" s="352">
        <v>1</v>
      </c>
      <c r="G946" s="352" t="s">
        <v>1419</v>
      </c>
      <c r="H946" s="352" t="str">
        <f>[1]Elec.Data!H3777</f>
        <v>4' tube light fitting with \electronic ballast p-111 it-20 c</v>
      </c>
      <c r="I946" s="421">
        <f>[1]Elec.Data!I3777</f>
        <v>269</v>
      </c>
      <c r="J946" s="352" t="s">
        <v>1419</v>
      </c>
      <c r="K946" s="352">
        <f>F946*I946</f>
        <v>269</v>
      </c>
      <c r="L946" s="352">
        <v>1</v>
      </c>
      <c r="M946" s="352" t="s">
        <v>1419</v>
      </c>
      <c r="O946" s="352" t="s">
        <v>2479</v>
      </c>
      <c r="P946" s="421">
        <v>360</v>
      </c>
      <c r="Q946" s="352" t="s">
        <v>1419</v>
      </c>
      <c r="R946" s="352">
        <f>L946*P946</f>
        <v>360</v>
      </c>
    </row>
    <row r="947" spans="5:18" ht="24.95" customHeight="1">
      <c r="E947" s="352"/>
      <c r="F947" s="352">
        <v>1</v>
      </c>
      <c r="G947" s="352" t="s">
        <v>1419</v>
      </c>
      <c r="H947" s="352" t="str">
        <f>H940</f>
        <v>slim tube light 36 w</v>
      </c>
      <c r="I947" s="374">
        <f>I940</f>
        <v>34.5</v>
      </c>
      <c r="J947" s="352" t="s">
        <v>1419</v>
      </c>
      <c r="K947" s="352">
        <f>F947*I947</f>
        <v>34.5</v>
      </c>
      <c r="L947" s="352">
        <v>1</v>
      </c>
      <c r="M947" s="352" t="s">
        <v>1419</v>
      </c>
      <c r="O947" s="352" t="str">
        <f>O940</f>
        <v>slim tube light 40 w</v>
      </c>
      <c r="P947" s="374">
        <f>P940</f>
        <v>42.3</v>
      </c>
      <c r="Q947" s="352" t="s">
        <v>1419</v>
      </c>
      <c r="R947" s="352">
        <f>L947*P947</f>
        <v>42.3</v>
      </c>
    </row>
    <row r="948" spans="5:18" ht="24.95" customHeight="1">
      <c r="E948" s="352"/>
      <c r="F948" s="352"/>
      <c r="G948" s="352"/>
      <c r="H948" s="352" t="s">
        <v>2481</v>
      </c>
      <c r="I948" s="352"/>
      <c r="J948" s="352"/>
      <c r="K948" s="352">
        <f>K941</f>
        <v>299</v>
      </c>
      <c r="L948" s="352"/>
      <c r="M948" s="352"/>
      <c r="O948" s="352" t="s">
        <v>2481</v>
      </c>
      <c r="P948" s="352"/>
      <c r="Q948" s="352"/>
      <c r="R948" s="352">
        <f>R941</f>
        <v>299</v>
      </c>
    </row>
    <row r="949" spans="5:18" ht="24.95" customHeight="1">
      <c r="E949" s="352"/>
      <c r="F949" s="352"/>
      <c r="G949" s="352"/>
      <c r="H949" s="352" t="s">
        <v>2310</v>
      </c>
      <c r="I949" s="352"/>
      <c r="J949" s="352"/>
      <c r="K949" s="352">
        <v>1.4</v>
      </c>
      <c r="L949" s="352"/>
      <c r="M949" s="352"/>
      <c r="O949" s="352" t="s">
        <v>2310</v>
      </c>
      <c r="P949" s="352"/>
      <c r="Q949" s="352"/>
      <c r="R949" s="352">
        <v>0.7</v>
      </c>
    </row>
    <row r="950" spans="5:18" ht="24.95" customHeight="1">
      <c r="E950" s="352"/>
      <c r="F950" s="352"/>
      <c r="G950" s="352"/>
      <c r="H950" s="359" t="s">
        <v>2922</v>
      </c>
      <c r="I950" s="352"/>
      <c r="J950" s="352"/>
      <c r="K950" s="360">
        <f>SUM(K946:K949)</f>
        <v>603.9</v>
      </c>
      <c r="L950" s="352"/>
      <c r="M950" s="352"/>
      <c r="O950" s="359" t="s">
        <v>2922</v>
      </c>
      <c r="P950" s="352"/>
      <c r="R950" s="360">
        <f>SUM(R946:R949)</f>
        <v>702</v>
      </c>
    </row>
    <row r="951" spans="5:18">
      <c r="E951" s="352"/>
      <c r="F951" s="352"/>
      <c r="G951" s="352"/>
      <c r="H951" s="360" t="s">
        <v>4829</v>
      </c>
      <c r="I951" s="352"/>
      <c r="J951" s="352"/>
      <c r="K951" s="352"/>
      <c r="L951" s="352"/>
      <c r="M951" s="352"/>
    </row>
    <row r="952" spans="5:18">
      <c r="E952" s="352"/>
      <c r="F952" s="352">
        <v>1</v>
      </c>
      <c r="G952" s="352" t="s">
        <v>1419</v>
      </c>
      <c r="H952" s="352" t="s">
        <v>5916</v>
      </c>
      <c r="I952" s="352">
        <v>388</v>
      </c>
      <c r="J952" s="352" t="s">
        <v>1419</v>
      </c>
      <c r="K952" s="352">
        <v>388</v>
      </c>
      <c r="L952" s="352"/>
      <c r="M952" s="352"/>
    </row>
    <row r="953" spans="5:18">
      <c r="E953" s="352"/>
      <c r="F953" s="352"/>
      <c r="G953" s="352"/>
      <c r="H953" s="352"/>
      <c r="I953" s="352"/>
      <c r="J953" s="352" t="s">
        <v>1419</v>
      </c>
      <c r="K953" s="352">
        <v>0</v>
      </c>
      <c r="L953" s="352"/>
      <c r="M953" s="352"/>
    </row>
    <row r="954" spans="5:18">
      <c r="E954" s="352"/>
      <c r="F954" s="352"/>
      <c r="G954" s="352"/>
      <c r="H954" s="352" t="s">
        <v>4857</v>
      </c>
      <c r="I954" s="352"/>
      <c r="J954" s="352"/>
      <c r="K954" s="352">
        <v>275.3</v>
      </c>
      <c r="L954" s="352"/>
      <c r="M954" s="352"/>
    </row>
    <row r="955" spans="5:18">
      <c r="E955" s="352"/>
      <c r="F955" s="352"/>
      <c r="G955" s="352"/>
      <c r="H955" s="352" t="s">
        <v>2310</v>
      </c>
      <c r="I955" s="352"/>
      <c r="J955" s="352"/>
      <c r="K955" s="352">
        <v>0.7</v>
      </c>
      <c r="L955" s="352"/>
      <c r="M955" s="352"/>
    </row>
    <row r="956" spans="5:18">
      <c r="E956" s="352"/>
      <c r="F956" s="352"/>
      <c r="G956" s="352"/>
      <c r="H956" s="180" t="s">
        <v>2922</v>
      </c>
      <c r="J956" s="180"/>
      <c r="K956" s="180">
        <v>664</v>
      </c>
      <c r="L956" s="352"/>
      <c r="M956" s="352"/>
    </row>
    <row r="957" spans="5:18">
      <c r="E957" s="352"/>
      <c r="F957" s="352"/>
      <c r="G957" s="352"/>
      <c r="H957" s="352"/>
      <c r="I957" s="352"/>
      <c r="J957" s="352"/>
      <c r="K957" s="360"/>
      <c r="L957" s="352"/>
      <c r="M957" s="352"/>
    </row>
    <row r="958" spans="5:18">
      <c r="E958" s="352"/>
      <c r="F958" s="352"/>
      <c r="G958" s="352"/>
      <c r="H958" s="352"/>
      <c r="I958" s="352"/>
      <c r="J958" s="352"/>
      <c r="K958" s="352"/>
      <c r="L958" s="352"/>
      <c r="M958" s="352"/>
    </row>
    <row r="959" spans="5:18">
      <c r="E959" s="352"/>
      <c r="H959" s="189" t="s">
        <v>2488</v>
      </c>
      <c r="L959" s="352"/>
      <c r="M959" s="352"/>
    </row>
    <row r="960" spans="5:18">
      <c r="E960" s="352"/>
      <c r="L960" s="352"/>
      <c r="M960" s="352"/>
    </row>
    <row r="961" spans="5:13">
      <c r="E961" s="352"/>
      <c r="H961" s="189" t="s">
        <v>2330</v>
      </c>
      <c r="L961" s="352"/>
      <c r="M961" s="352"/>
    </row>
    <row r="962" spans="5:13">
      <c r="E962" s="352"/>
      <c r="L962" s="352"/>
      <c r="M962" s="352"/>
    </row>
    <row r="963" spans="5:13" ht="157.5">
      <c r="E963" s="352"/>
      <c r="H963" s="351" t="s">
        <v>2721</v>
      </c>
      <c r="L963" s="352"/>
      <c r="M963" s="352"/>
    </row>
    <row r="964" spans="5:13" ht="31.5">
      <c r="E964" s="352"/>
      <c r="F964" s="352">
        <v>90</v>
      </c>
      <c r="G964" s="352" t="s">
        <v>842</v>
      </c>
      <c r="H964" s="273" t="s">
        <v>2586</v>
      </c>
      <c r="I964" s="352">
        <f>I12</f>
        <v>16.55</v>
      </c>
      <c r="J964" s="352" t="s">
        <v>2587</v>
      </c>
      <c r="K964" s="352">
        <f>F964*I964</f>
        <v>1489.5</v>
      </c>
      <c r="L964" s="352"/>
      <c r="M964" s="352"/>
    </row>
    <row r="965" spans="5:13" ht="31.5">
      <c r="E965" s="352"/>
      <c r="F965" s="352">
        <v>45</v>
      </c>
      <c r="G965" s="352" t="s">
        <v>842</v>
      </c>
      <c r="H965" s="351" t="s">
        <v>2403</v>
      </c>
      <c r="I965" s="352">
        <f>I13</f>
        <v>20</v>
      </c>
      <c r="J965" s="352" t="s">
        <v>2404</v>
      </c>
      <c r="K965" s="352">
        <f>F965*I965</f>
        <v>900</v>
      </c>
      <c r="L965" s="352"/>
      <c r="M965" s="352"/>
    </row>
    <row r="966" spans="5:13">
      <c r="E966" s="352"/>
      <c r="F966" s="352">
        <v>20</v>
      </c>
      <c r="G966" s="352" t="s">
        <v>1419</v>
      </c>
      <c r="H966" s="352" t="s">
        <v>2405</v>
      </c>
      <c r="I966" s="352">
        <f>I14</f>
        <v>3.15</v>
      </c>
      <c r="J966" s="352" t="s">
        <v>1419</v>
      </c>
      <c r="K966" s="352">
        <f>F966*I966</f>
        <v>63</v>
      </c>
      <c r="L966" s="352"/>
      <c r="M966" s="352"/>
    </row>
    <row r="967" spans="5:13">
      <c r="E967" s="352"/>
      <c r="F967" s="352">
        <v>150</v>
      </c>
      <c r="G967" s="352" t="s">
        <v>1419</v>
      </c>
      <c r="H967" s="352" t="s">
        <v>2722</v>
      </c>
      <c r="I967" s="353">
        <v>287</v>
      </c>
      <c r="J967" s="352" t="s">
        <v>2723</v>
      </c>
      <c r="K967" s="352">
        <f>(F967*I967)/1000</f>
        <v>43.05</v>
      </c>
      <c r="L967" s="352"/>
      <c r="M967" s="352"/>
    </row>
    <row r="968" spans="5:13">
      <c r="E968" s="352"/>
      <c r="F968" s="352">
        <v>10</v>
      </c>
      <c r="G968" s="352" t="s">
        <v>1419</v>
      </c>
      <c r="H968" s="352" t="s">
        <v>3448</v>
      </c>
      <c r="I968" s="352">
        <f>I15</f>
        <v>1.34</v>
      </c>
      <c r="J968" s="352" t="s">
        <v>1419</v>
      </c>
      <c r="K968" s="352">
        <f>F968*I968</f>
        <v>13.4</v>
      </c>
      <c r="L968" s="352"/>
      <c r="M968" s="352"/>
    </row>
    <row r="969" spans="5:13">
      <c r="E969" s="352"/>
      <c r="F969" s="352">
        <v>10</v>
      </c>
      <c r="G969" s="352" t="s">
        <v>1419</v>
      </c>
      <c r="H969" s="352" t="s">
        <v>2724</v>
      </c>
      <c r="I969" s="421">
        <v>48.5</v>
      </c>
      <c r="J969" s="352" t="s">
        <v>3451</v>
      </c>
      <c r="K969" s="352">
        <f>(F969*I969)/12</f>
        <v>40.42</v>
      </c>
      <c r="L969" s="352"/>
      <c r="M969" s="352"/>
    </row>
    <row r="970" spans="5:13">
      <c r="E970" s="352"/>
      <c r="F970" s="355">
        <v>1.4999999999999999E-2</v>
      </c>
      <c r="G970" s="352" t="s">
        <v>2322</v>
      </c>
      <c r="H970" s="352" t="s">
        <v>3319</v>
      </c>
      <c r="I970" s="352">
        <f>I18</f>
        <v>661</v>
      </c>
      <c r="J970" s="352" t="s">
        <v>2322</v>
      </c>
      <c r="K970" s="352">
        <f>F970*I970</f>
        <v>9.92</v>
      </c>
      <c r="L970" s="352"/>
      <c r="M970" s="352"/>
    </row>
    <row r="971" spans="5:13">
      <c r="E971" s="352"/>
      <c r="F971" s="352">
        <v>10</v>
      </c>
      <c r="G971" s="352" t="s">
        <v>1419</v>
      </c>
      <c r="H971" s="352" t="s">
        <v>3320</v>
      </c>
      <c r="I971" s="352">
        <f>I19</f>
        <v>16.21</v>
      </c>
      <c r="J971" s="352" t="s">
        <v>1419</v>
      </c>
      <c r="K971" s="352">
        <f>(F971*I971)</f>
        <v>162.1</v>
      </c>
      <c r="L971" s="352"/>
      <c r="M971" s="352"/>
    </row>
    <row r="972" spans="5:13">
      <c r="E972" s="352"/>
      <c r="F972" s="352">
        <v>10</v>
      </c>
      <c r="G972" s="352" t="s">
        <v>1419</v>
      </c>
      <c r="H972" s="352" t="s">
        <v>2676</v>
      </c>
      <c r="I972" s="352">
        <f>I20</f>
        <v>13.8</v>
      </c>
      <c r="J972" s="352" t="s">
        <v>1419</v>
      </c>
      <c r="K972" s="352">
        <f>F972*I972</f>
        <v>138</v>
      </c>
      <c r="L972" s="352"/>
      <c r="M972" s="352"/>
    </row>
    <row r="973" spans="5:13">
      <c r="E973" s="352"/>
      <c r="F973" s="352">
        <v>1</v>
      </c>
      <c r="G973" s="352" t="s">
        <v>2684</v>
      </c>
      <c r="H973" s="352" t="s">
        <v>3929</v>
      </c>
      <c r="I973" s="353">
        <v>69.400000000000006</v>
      </c>
      <c r="J973" s="352" t="s">
        <v>2684</v>
      </c>
      <c r="K973" s="352">
        <f>F973*I973</f>
        <v>69.400000000000006</v>
      </c>
      <c r="L973" s="352"/>
      <c r="M973" s="352"/>
    </row>
    <row r="974" spans="5:13">
      <c r="E974" s="352"/>
      <c r="F974" s="352">
        <v>72</v>
      </c>
      <c r="G974" s="352" t="s">
        <v>1419</v>
      </c>
      <c r="H974" s="352" t="s">
        <v>3928</v>
      </c>
      <c r="I974" s="551">
        <v>43.7</v>
      </c>
      <c r="J974" s="352" t="s">
        <v>2684</v>
      </c>
      <c r="K974" s="352">
        <f>(F974*I974)/144</f>
        <v>21.85</v>
      </c>
      <c r="L974" s="352"/>
      <c r="M974" s="352"/>
    </row>
    <row r="975" spans="5:13">
      <c r="E975" s="352"/>
      <c r="F975" s="356">
        <v>0.16666666666666666</v>
      </c>
      <c r="G975" s="352" t="s">
        <v>2680</v>
      </c>
      <c r="H975" s="352" t="s">
        <v>395</v>
      </c>
      <c r="I975" s="421">
        <v>302</v>
      </c>
      <c r="J975" s="352" t="s">
        <v>2680</v>
      </c>
      <c r="K975" s="352">
        <f t="shared" ref="K975:K980" si="13">F975*I975</f>
        <v>50.33</v>
      </c>
      <c r="L975" s="352"/>
      <c r="M975" s="352"/>
    </row>
    <row r="976" spans="5:13">
      <c r="E976" s="352"/>
      <c r="F976" s="352">
        <v>10</v>
      </c>
      <c r="G976" s="352" t="s">
        <v>1419</v>
      </c>
      <c r="H976" s="352" t="s">
        <v>2726</v>
      </c>
      <c r="I976" s="421">
        <v>13.8</v>
      </c>
      <c r="J976" s="352" t="s">
        <v>1419</v>
      </c>
      <c r="K976" s="352">
        <f t="shared" si="13"/>
        <v>138</v>
      </c>
      <c r="L976" s="352"/>
      <c r="M976" s="352"/>
    </row>
    <row r="977" spans="5:13">
      <c r="E977" s="352"/>
      <c r="F977" s="352">
        <v>1</v>
      </c>
      <c r="G977" s="352" t="s">
        <v>1419</v>
      </c>
      <c r="H977" s="352" t="s">
        <v>3084</v>
      </c>
      <c r="I977" s="421">
        <v>16.5</v>
      </c>
      <c r="J977" s="352" t="s">
        <v>1419</v>
      </c>
      <c r="K977" s="352">
        <f t="shared" si="13"/>
        <v>16.5</v>
      </c>
      <c r="L977" s="352"/>
      <c r="M977" s="352"/>
    </row>
    <row r="978" spans="5:13">
      <c r="E978" s="352"/>
      <c r="F978" s="352">
        <v>0.1</v>
      </c>
      <c r="G978" s="352" t="s">
        <v>2322</v>
      </c>
      <c r="H978" s="352" t="s">
        <v>3085</v>
      </c>
      <c r="I978" s="352">
        <f>I24</f>
        <v>661</v>
      </c>
      <c r="J978" s="352" t="s">
        <v>2322</v>
      </c>
      <c r="K978" s="352">
        <f t="shared" si="13"/>
        <v>66.099999999999994</v>
      </c>
      <c r="L978" s="352"/>
      <c r="M978" s="352"/>
    </row>
    <row r="979" spans="5:13" ht="31.5">
      <c r="E979" s="352"/>
      <c r="F979" s="352">
        <v>45</v>
      </c>
      <c r="G979" s="352" t="s">
        <v>842</v>
      </c>
      <c r="H979" s="273" t="s">
        <v>2686</v>
      </c>
      <c r="I979" s="352">
        <f>I25</f>
        <v>16.55</v>
      </c>
      <c r="J979" s="352" t="s">
        <v>3363</v>
      </c>
      <c r="K979" s="352">
        <f t="shared" si="13"/>
        <v>744.75</v>
      </c>
      <c r="L979" s="352"/>
      <c r="M979" s="352"/>
    </row>
    <row r="980" spans="5:13">
      <c r="E980" s="352"/>
      <c r="F980" s="356">
        <v>0.5</v>
      </c>
      <c r="G980" s="352" t="s">
        <v>55</v>
      </c>
      <c r="H980" s="273" t="s">
        <v>3602</v>
      </c>
      <c r="I980" s="421">
        <v>227.6</v>
      </c>
      <c r="J980" s="352" t="s">
        <v>55</v>
      </c>
      <c r="K980" s="352">
        <f t="shared" si="13"/>
        <v>113.8</v>
      </c>
      <c r="L980" s="352">
        <f>SUM(K964:K980)</f>
        <v>4080.12</v>
      </c>
      <c r="M980" s="352"/>
    </row>
    <row r="981" spans="5:13">
      <c r="E981" s="352"/>
      <c r="F981" s="352">
        <v>10</v>
      </c>
      <c r="G981" s="352" t="s">
        <v>3367</v>
      </c>
      <c r="H981" s="352" t="s">
        <v>931</v>
      </c>
      <c r="I981" s="352"/>
      <c r="J981" s="352" t="s">
        <v>669</v>
      </c>
      <c r="K981" s="352">
        <f>K1000</f>
        <v>4828</v>
      </c>
      <c r="L981" s="352">
        <f>L980*1%</f>
        <v>40.799999999999997</v>
      </c>
      <c r="M981" s="352"/>
    </row>
    <row r="982" spans="5:13">
      <c r="E982" s="352"/>
      <c r="F982" s="352" t="s">
        <v>669</v>
      </c>
      <c r="G982" s="352"/>
      <c r="H982" s="352" t="s">
        <v>3086</v>
      </c>
      <c r="I982" s="352"/>
      <c r="J982" s="352" t="s">
        <v>669</v>
      </c>
      <c r="K982" s="352">
        <v>44.15</v>
      </c>
      <c r="L982" s="352"/>
      <c r="M982" s="352"/>
    </row>
    <row r="983" spans="5:13">
      <c r="E983" s="352"/>
      <c r="F983" s="352"/>
      <c r="G983" s="352"/>
      <c r="H983" s="357" t="s">
        <v>3366</v>
      </c>
      <c r="I983" s="352"/>
      <c r="J983" s="352"/>
      <c r="K983" s="358">
        <f>SUM(K964:K982)</f>
        <v>8952.27</v>
      </c>
      <c r="L983" s="352"/>
      <c r="M983" s="352"/>
    </row>
    <row r="984" spans="5:13">
      <c r="E984" s="352"/>
      <c r="F984" s="352"/>
      <c r="G984" s="352"/>
      <c r="H984" s="359" t="s">
        <v>3368</v>
      </c>
      <c r="I984" s="352"/>
      <c r="J984" s="352"/>
      <c r="K984" s="360">
        <f>K983/10</f>
        <v>895.23</v>
      </c>
      <c r="L984" s="352">
        <f>K984-639</f>
        <v>256.23</v>
      </c>
      <c r="M984" s="352"/>
    </row>
    <row r="985" spans="5:13">
      <c r="E985" s="352"/>
      <c r="F985" s="352"/>
      <c r="G985" s="352"/>
      <c r="H985" s="352"/>
      <c r="I985" s="352"/>
      <c r="J985" s="352"/>
      <c r="K985" s="352"/>
      <c r="L985" s="352"/>
      <c r="M985" s="352"/>
    </row>
    <row r="986" spans="5:13">
      <c r="E986" s="352"/>
      <c r="F986" s="352"/>
      <c r="G986" s="352"/>
      <c r="H986" s="352"/>
      <c r="I986" s="352"/>
      <c r="J986" s="352"/>
      <c r="K986" s="352"/>
      <c r="L986" s="352"/>
      <c r="M986" s="352"/>
    </row>
    <row r="987" spans="5:13">
      <c r="E987" s="352"/>
      <c r="F987" s="352"/>
      <c r="G987" s="352"/>
      <c r="H987" s="352"/>
      <c r="I987" s="352"/>
      <c r="J987" s="352"/>
      <c r="K987" s="352"/>
      <c r="L987" s="352"/>
      <c r="M987" s="352"/>
    </row>
    <row r="988" spans="5:13">
      <c r="E988" s="352"/>
      <c r="F988" s="352"/>
      <c r="G988" s="352"/>
      <c r="H988" s="352"/>
      <c r="I988" s="352"/>
      <c r="J988" s="352"/>
      <c r="K988" s="352"/>
      <c r="L988" s="352"/>
      <c r="M988" s="352"/>
    </row>
    <row r="989" spans="5:13">
      <c r="E989" s="352"/>
      <c r="F989" s="352"/>
      <c r="G989" s="360" t="s">
        <v>3370</v>
      </c>
      <c r="H989" s="352"/>
      <c r="I989" s="352"/>
      <c r="J989" s="352"/>
      <c r="M989" s="352"/>
    </row>
    <row r="990" spans="5:13">
      <c r="E990" s="352"/>
      <c r="F990" s="352"/>
      <c r="G990" s="352"/>
      <c r="H990" s="352"/>
      <c r="I990" s="352"/>
      <c r="J990" s="352"/>
      <c r="M990" s="352"/>
    </row>
    <row r="991" spans="5:13">
      <c r="E991" s="352"/>
      <c r="F991" s="352"/>
      <c r="G991" s="360" t="s">
        <v>3446</v>
      </c>
      <c r="H991" s="352"/>
      <c r="I991" s="352"/>
      <c r="J991" s="352"/>
      <c r="M991" s="352"/>
    </row>
    <row r="992" spans="5:13">
      <c r="E992" s="352"/>
      <c r="F992" s="352"/>
      <c r="G992" s="352"/>
      <c r="H992" s="352"/>
      <c r="I992" s="352"/>
      <c r="J992" s="352"/>
      <c r="M992" s="352"/>
    </row>
    <row r="993" spans="5:13">
      <c r="F993" s="352">
        <v>1</v>
      </c>
      <c r="G993" s="352" t="s">
        <v>1419</v>
      </c>
      <c r="H993" s="352" t="s">
        <v>3372</v>
      </c>
      <c r="I993" s="352">
        <f>I35</f>
        <v>898</v>
      </c>
      <c r="J993" s="352" t="s">
        <v>1419</v>
      </c>
      <c r="K993" s="352">
        <f>F993*I993</f>
        <v>898</v>
      </c>
      <c r="L993" s="352"/>
      <c r="M993" s="352"/>
    </row>
    <row r="994" spans="5:13">
      <c r="F994" s="352">
        <v>2</v>
      </c>
      <c r="G994" s="352" t="s">
        <v>1419</v>
      </c>
      <c r="H994" s="352" t="s">
        <v>3373</v>
      </c>
      <c r="I994" s="352">
        <f>I36</f>
        <v>783</v>
      </c>
      <c r="J994" s="352" t="s">
        <v>1419</v>
      </c>
      <c r="K994" s="352">
        <f>F994*I994</f>
        <v>1566</v>
      </c>
      <c r="L994" s="352"/>
      <c r="M994" s="352"/>
    </row>
    <row r="995" spans="5:13">
      <c r="F995" s="352">
        <v>3</v>
      </c>
      <c r="G995" s="352" t="s">
        <v>1419</v>
      </c>
      <c r="H995" s="352" t="s">
        <v>3374</v>
      </c>
      <c r="I995" s="352">
        <f>I37</f>
        <v>778</v>
      </c>
      <c r="J995" s="352" t="s">
        <v>1419</v>
      </c>
      <c r="K995" s="352">
        <f>F995*I995</f>
        <v>2334</v>
      </c>
      <c r="L995" s="352"/>
      <c r="M995" s="352"/>
    </row>
    <row r="996" spans="5:13">
      <c r="F996" s="352">
        <v>4</v>
      </c>
      <c r="G996" s="352" t="s">
        <v>1419</v>
      </c>
      <c r="H996" s="352" t="s">
        <v>2370</v>
      </c>
      <c r="I996" s="352">
        <f>I38</f>
        <v>611</v>
      </c>
      <c r="J996" s="352" t="s">
        <v>1419</v>
      </c>
      <c r="K996" s="352">
        <f>F996*I996</f>
        <v>2444</v>
      </c>
      <c r="L996" s="352"/>
      <c r="M996" s="352"/>
    </row>
    <row r="997" spans="5:13">
      <c r="F997" s="352"/>
      <c r="G997" s="352"/>
      <c r="H997" s="352"/>
      <c r="I997" s="352"/>
      <c r="J997" s="352"/>
      <c r="K997" s="352"/>
      <c r="L997" s="352"/>
      <c r="M997" s="352"/>
    </row>
    <row r="998" spans="5:13" ht="51">
      <c r="E998" s="352"/>
      <c r="F998" s="352"/>
      <c r="G998" s="180"/>
      <c r="H998" s="362" t="s">
        <v>2893</v>
      </c>
      <c r="J998" s="180"/>
      <c r="K998" s="363">
        <f>SUM(K993:K996)</f>
        <v>7242</v>
      </c>
      <c r="L998" s="363"/>
      <c r="M998" s="352"/>
    </row>
    <row r="999" spans="5:13">
      <c r="E999" s="352"/>
      <c r="F999" s="352"/>
      <c r="G999" s="180"/>
      <c r="J999" s="180"/>
      <c r="M999" s="352"/>
    </row>
    <row r="1000" spans="5:13">
      <c r="E1000" s="352"/>
      <c r="F1000" s="352"/>
      <c r="G1000" s="180"/>
      <c r="J1000" s="364"/>
      <c r="K1000" s="190">
        <f>K998*2/3</f>
        <v>4828</v>
      </c>
      <c r="L1000" s="190"/>
      <c r="M1000" s="352"/>
    </row>
    <row r="1001" spans="5:13">
      <c r="E1001" s="352"/>
      <c r="F1001" s="352"/>
      <c r="G1001" s="352"/>
      <c r="H1001" s="352"/>
      <c r="I1001" s="352"/>
      <c r="J1001" s="352"/>
      <c r="K1001" s="352"/>
      <c r="L1001" s="352"/>
      <c r="M1001" s="352"/>
    </row>
    <row r="1002" spans="5:13">
      <c r="E1002" s="352"/>
      <c r="F1002" s="352"/>
      <c r="G1002" s="352"/>
      <c r="H1002" s="189" t="s">
        <v>3087</v>
      </c>
      <c r="I1002" s="352"/>
      <c r="J1002" s="352"/>
      <c r="K1002" s="352"/>
      <c r="L1002" s="352"/>
      <c r="M1002" s="352"/>
    </row>
    <row r="1003" spans="5:13">
      <c r="E1003" s="352"/>
      <c r="F1003" s="352"/>
      <c r="G1003" s="352"/>
      <c r="H1003" s="352"/>
      <c r="I1003" s="352"/>
      <c r="J1003" s="352"/>
      <c r="K1003" s="352"/>
      <c r="L1003" s="352"/>
      <c r="M1003" s="352"/>
    </row>
    <row r="1004" spans="5:13" ht="173.25">
      <c r="E1004" s="352"/>
      <c r="F1004" s="352"/>
      <c r="G1004" s="352"/>
      <c r="H1004" s="351" t="s">
        <v>3105</v>
      </c>
      <c r="I1004" s="352"/>
      <c r="J1004" s="352"/>
      <c r="K1004" s="352"/>
      <c r="L1004" s="352"/>
      <c r="M1004" s="352"/>
    </row>
    <row r="1005" spans="5:13">
      <c r="E1005" s="352"/>
      <c r="F1005" s="352"/>
      <c r="G1005" s="352"/>
      <c r="H1005" s="352" t="s">
        <v>2493</v>
      </c>
      <c r="I1005" s="352"/>
      <c r="J1005" s="352"/>
      <c r="K1005" s="352">
        <f>K983-K982</f>
        <v>8908.1200000000008</v>
      </c>
      <c r="L1005" s="352"/>
      <c r="M1005" s="352"/>
    </row>
    <row r="1006" spans="5:13">
      <c r="E1006" s="352"/>
      <c r="F1006" s="352"/>
      <c r="G1006" s="352"/>
      <c r="H1006" s="352" t="s">
        <v>2494</v>
      </c>
      <c r="I1006" s="352"/>
      <c r="J1006" s="352"/>
      <c r="K1006" s="352">
        <f>K972</f>
        <v>138</v>
      </c>
      <c r="L1006" s="352"/>
      <c r="M1006" s="352"/>
    </row>
    <row r="1007" spans="5:13">
      <c r="E1007" s="352"/>
      <c r="F1007" s="352"/>
      <c r="G1007" s="352"/>
      <c r="H1007" s="352" t="s">
        <v>3780</v>
      </c>
      <c r="I1007" s="352"/>
      <c r="J1007" s="352"/>
      <c r="K1007" s="421">
        <f>10*16.35</f>
        <v>163.5</v>
      </c>
      <c r="L1007" s="352"/>
      <c r="M1007" s="352"/>
    </row>
    <row r="1008" spans="5:13">
      <c r="E1008" s="352"/>
      <c r="F1008" s="352"/>
      <c r="G1008" s="352"/>
      <c r="H1008" s="352" t="s">
        <v>2310</v>
      </c>
      <c r="I1008" s="352"/>
      <c r="J1008" s="352"/>
      <c r="K1008" s="352">
        <v>22.79</v>
      </c>
      <c r="L1008" s="352"/>
      <c r="M1008" s="352"/>
    </row>
    <row r="1009" spans="5:14">
      <c r="E1009" s="352"/>
      <c r="F1009" s="352"/>
      <c r="G1009" s="352"/>
      <c r="H1009" s="357" t="s">
        <v>2472</v>
      </c>
      <c r="I1009" s="352"/>
      <c r="J1009" s="352"/>
      <c r="K1009" s="358">
        <f>K1005-K1006+K1007+K1008</f>
        <v>8956.41</v>
      </c>
      <c r="L1009" s="352"/>
      <c r="M1009" s="352"/>
    </row>
    <row r="1010" spans="5:14">
      <c r="E1010" s="352"/>
      <c r="F1010" s="352"/>
      <c r="G1010" s="352"/>
      <c r="H1010" s="359" t="s">
        <v>2473</v>
      </c>
      <c r="I1010" s="352"/>
      <c r="J1010" s="352"/>
      <c r="K1010" s="360">
        <f>K1009/10</f>
        <v>895.64</v>
      </c>
      <c r="L1010" s="352">
        <f>748*10</f>
        <v>7480</v>
      </c>
      <c r="M1010" s="352"/>
    </row>
    <row r="1011" spans="5:14">
      <c r="E1011" s="352"/>
      <c r="F1011" s="352"/>
      <c r="G1011" s="352"/>
      <c r="H1011" s="352"/>
      <c r="I1011" s="352"/>
      <c r="J1011" s="352"/>
      <c r="K1011" s="352"/>
      <c r="L1011" s="352">
        <f>L1010-K1009</f>
        <v>-1476.41</v>
      </c>
      <c r="M1011" s="352"/>
    </row>
    <row r="1012" spans="5:14">
      <c r="E1012" s="352"/>
      <c r="F1012" s="352"/>
      <c r="G1012" s="352"/>
      <c r="H1012" s="352"/>
      <c r="I1012" s="352"/>
      <c r="J1012" s="352"/>
      <c r="K1012" s="352"/>
      <c r="L1012" s="352"/>
      <c r="M1012" s="352"/>
    </row>
    <row r="1013" spans="5:14">
      <c r="E1013" s="352"/>
      <c r="F1013" s="352"/>
      <c r="G1013" s="352"/>
      <c r="H1013" s="352"/>
      <c r="I1013" s="352"/>
      <c r="J1013" s="352"/>
      <c r="K1013" s="352"/>
      <c r="L1013" s="352"/>
      <c r="M1013" s="352"/>
    </row>
    <row r="1014" spans="5:14" ht="47.25">
      <c r="E1014" s="352"/>
      <c r="F1014" s="352"/>
      <c r="G1014" s="352"/>
      <c r="H1014" s="350" t="s">
        <v>3447</v>
      </c>
      <c r="I1014" s="352"/>
      <c r="J1014" s="352"/>
      <c r="K1014" s="352"/>
      <c r="L1014" s="352"/>
      <c r="M1014" s="352"/>
    </row>
    <row r="1015" spans="5:14">
      <c r="E1015" s="352"/>
      <c r="F1015" s="352"/>
      <c r="G1015" s="352"/>
      <c r="H1015" s="352"/>
      <c r="I1015" s="352"/>
      <c r="J1015" s="352"/>
      <c r="K1015" s="352"/>
      <c r="L1015" s="352"/>
      <c r="M1015" s="352"/>
    </row>
    <row r="1016" spans="5:14" ht="173.25">
      <c r="E1016" s="352"/>
      <c r="F1016" s="352"/>
      <c r="G1016" s="352"/>
      <c r="H1016" s="351" t="s">
        <v>3434</v>
      </c>
      <c r="I1016" s="352"/>
      <c r="J1016" s="352"/>
      <c r="K1016" s="352"/>
      <c r="L1016" s="352"/>
      <c r="M1016" s="352"/>
    </row>
    <row r="1017" spans="5:14">
      <c r="E1017" s="352"/>
      <c r="F1017" s="352"/>
      <c r="G1017" s="352"/>
      <c r="H1017" s="352" t="s">
        <v>3456</v>
      </c>
      <c r="I1017" s="352"/>
      <c r="J1017" s="352"/>
      <c r="K1017" s="352">
        <f>K1005</f>
        <v>8908.1200000000008</v>
      </c>
      <c r="L1017" s="352"/>
      <c r="M1017" s="352"/>
    </row>
    <row r="1018" spans="5:14">
      <c r="E1018" s="352"/>
      <c r="F1018" s="352"/>
      <c r="G1018" s="352"/>
      <c r="H1018" s="352" t="s">
        <v>3043</v>
      </c>
      <c r="I1018" s="352"/>
      <c r="J1018" s="352"/>
      <c r="K1018" s="352">
        <f>K1006</f>
        <v>138</v>
      </c>
      <c r="L1018" s="352"/>
      <c r="M1018" s="352"/>
    </row>
    <row r="1019" spans="5:14">
      <c r="E1019" s="352"/>
      <c r="F1019" s="352"/>
      <c r="G1019" s="352"/>
      <c r="H1019" s="352" t="s">
        <v>3044</v>
      </c>
      <c r="I1019" s="352"/>
      <c r="J1019" s="352"/>
      <c r="K1019" s="352">
        <f>K61</f>
        <v>36</v>
      </c>
      <c r="L1019" s="352"/>
      <c r="M1019" s="352"/>
    </row>
    <row r="1020" spans="5:14">
      <c r="E1020" s="352"/>
      <c r="F1020" s="352"/>
      <c r="G1020" s="352"/>
      <c r="H1020" s="352" t="s">
        <v>3045</v>
      </c>
      <c r="I1020" s="352"/>
      <c r="J1020" s="352"/>
      <c r="K1020" s="352">
        <f>K62</f>
        <v>162.1</v>
      </c>
      <c r="L1020" s="352"/>
      <c r="M1020" s="352"/>
    </row>
    <row r="1021" spans="5:14">
      <c r="E1021" s="352"/>
      <c r="F1021" s="352"/>
      <c r="G1021" s="352"/>
      <c r="H1021" s="352" t="s">
        <v>3776</v>
      </c>
      <c r="I1021" s="352"/>
      <c r="J1021" s="352"/>
      <c r="K1021" s="421">
        <f>50.4*10</f>
        <v>504</v>
      </c>
      <c r="L1021" s="352"/>
      <c r="M1021" s="352"/>
      <c r="N1021" s="180">
        <f>50.4*10</f>
        <v>504</v>
      </c>
    </row>
    <row r="1022" spans="5:14">
      <c r="E1022" s="352"/>
      <c r="F1022" s="352"/>
      <c r="G1022" s="352"/>
      <c r="H1022" s="352" t="s">
        <v>3927</v>
      </c>
      <c r="I1022" s="352"/>
      <c r="J1022" s="352"/>
      <c r="K1022" s="421">
        <f>10*17.25</f>
        <v>172.5</v>
      </c>
      <c r="L1022" s="352"/>
      <c r="M1022" s="352"/>
    </row>
    <row r="1023" spans="5:14">
      <c r="E1023" s="352"/>
      <c r="F1023" s="352"/>
      <c r="G1023" s="352"/>
      <c r="H1023" s="352" t="s">
        <v>3777</v>
      </c>
      <c r="I1023" s="352"/>
      <c r="J1023" s="352"/>
      <c r="K1023" s="421">
        <f>20.1*10</f>
        <v>201</v>
      </c>
      <c r="L1023" s="352"/>
      <c r="M1023" s="352"/>
    </row>
    <row r="1024" spans="5:14">
      <c r="E1024" s="352"/>
      <c r="F1024" s="352"/>
      <c r="G1024" s="352"/>
      <c r="H1024" s="352" t="s">
        <v>2310</v>
      </c>
      <c r="I1024" s="352"/>
      <c r="J1024" s="352"/>
      <c r="K1024" s="352">
        <v>16.41</v>
      </c>
      <c r="L1024" s="352"/>
      <c r="M1024" s="352"/>
    </row>
    <row r="1025" spans="5:14">
      <c r="E1025" s="352"/>
      <c r="F1025" s="352"/>
      <c r="G1025" s="352"/>
      <c r="H1025" s="357" t="s">
        <v>2472</v>
      </c>
      <c r="I1025" s="352"/>
      <c r="J1025" s="352"/>
      <c r="K1025" s="358">
        <f>(K1017-K1018-K1019-K1020)+(K1021+K1022+K1023+K1024)</f>
        <v>9465.93</v>
      </c>
      <c r="L1025" s="352"/>
      <c r="M1025" s="352"/>
      <c r="N1025" s="180">
        <f>17.25*10</f>
        <v>172.5</v>
      </c>
    </row>
    <row r="1026" spans="5:14">
      <c r="E1026" s="352"/>
      <c r="F1026" s="352"/>
      <c r="G1026" s="352"/>
      <c r="H1026" s="359" t="s">
        <v>3220</v>
      </c>
      <c r="I1026" s="352"/>
      <c r="J1026" s="352"/>
      <c r="K1026" s="360">
        <f>K1025/10</f>
        <v>946.59</v>
      </c>
      <c r="L1026" s="352"/>
      <c r="M1026" s="352"/>
    </row>
    <row r="1027" spans="5:14">
      <c r="E1027" s="352"/>
      <c r="F1027" s="352"/>
      <c r="G1027" s="352"/>
      <c r="H1027" s="352"/>
      <c r="I1027" s="352"/>
      <c r="J1027" s="352"/>
      <c r="K1027" s="352"/>
      <c r="L1027" s="352"/>
      <c r="M1027" s="352"/>
    </row>
    <row r="1028" spans="5:14">
      <c r="E1028" s="352"/>
      <c r="F1028" s="352"/>
      <c r="G1028" s="352"/>
      <c r="H1028" s="352"/>
      <c r="I1028" s="352"/>
      <c r="J1028" s="352"/>
      <c r="K1028" s="352"/>
      <c r="L1028" s="352"/>
      <c r="M1028" s="352"/>
    </row>
    <row r="1029" spans="5:14">
      <c r="E1029" s="352"/>
      <c r="F1029" s="352"/>
      <c r="G1029" s="352"/>
      <c r="H1029" s="352"/>
      <c r="I1029" s="352"/>
      <c r="J1029" s="352"/>
      <c r="K1029" s="352"/>
      <c r="L1029" s="352"/>
      <c r="M1029" s="352"/>
    </row>
    <row r="1030" spans="5:14">
      <c r="E1030" s="352"/>
      <c r="F1030" s="352"/>
      <c r="G1030" s="352"/>
      <c r="H1030" s="352"/>
      <c r="I1030" s="352"/>
      <c r="J1030" s="352"/>
      <c r="K1030" s="352"/>
      <c r="L1030" s="352"/>
      <c r="M1030" s="352"/>
    </row>
    <row r="1031" spans="5:14">
      <c r="E1031" s="352"/>
      <c r="F1031" s="352"/>
      <c r="G1031" s="352"/>
      <c r="H1031" s="352"/>
      <c r="I1031" s="352"/>
      <c r="J1031" s="352"/>
      <c r="K1031" s="352"/>
      <c r="L1031" s="352"/>
      <c r="M1031" s="352"/>
    </row>
    <row r="1032" spans="5:14" ht="31.5">
      <c r="E1032" s="352"/>
      <c r="F1032" s="352"/>
      <c r="G1032" s="352"/>
      <c r="H1032" s="350" t="s">
        <v>2945</v>
      </c>
      <c r="I1032" s="352"/>
      <c r="J1032" s="352"/>
      <c r="K1032" s="352"/>
      <c r="L1032" s="352"/>
      <c r="M1032" s="352"/>
    </row>
    <row r="1033" spans="5:14">
      <c r="E1033" s="352"/>
      <c r="F1033" s="352"/>
      <c r="G1033" s="352"/>
      <c r="I1033" s="352"/>
      <c r="J1033" s="352"/>
      <c r="K1033" s="352"/>
      <c r="L1033" s="352"/>
      <c r="M1033" s="352"/>
    </row>
    <row r="1034" spans="5:14">
      <c r="E1034" s="352"/>
      <c r="F1034" s="352"/>
      <c r="G1034" s="352"/>
      <c r="I1034" s="352"/>
      <c r="J1034" s="352"/>
      <c r="K1034" s="352"/>
      <c r="L1034" s="352"/>
      <c r="M1034" s="352"/>
    </row>
    <row r="1035" spans="5:14">
      <c r="E1035" s="352"/>
      <c r="F1035" s="352"/>
      <c r="G1035" s="352"/>
      <c r="I1035" s="352"/>
      <c r="J1035" s="352"/>
      <c r="K1035" s="352"/>
      <c r="L1035" s="352"/>
      <c r="M1035" s="352"/>
    </row>
    <row r="1036" spans="5:14">
      <c r="E1036" s="352"/>
      <c r="F1036" s="352"/>
      <c r="G1036" s="352"/>
      <c r="I1036" s="352"/>
      <c r="J1036" s="352"/>
      <c r="K1036" s="352"/>
      <c r="L1036" s="352"/>
      <c r="M1036" s="352"/>
    </row>
    <row r="1037" spans="5:14" ht="173.25">
      <c r="E1037" s="352"/>
      <c r="F1037" s="352"/>
      <c r="G1037" s="352"/>
      <c r="H1037" s="351" t="s">
        <v>2891</v>
      </c>
      <c r="I1037" s="352"/>
      <c r="J1037" s="352"/>
      <c r="K1037" s="352"/>
      <c r="L1037" s="352"/>
      <c r="M1037" s="352"/>
    </row>
    <row r="1038" spans="5:14">
      <c r="E1038" s="352"/>
      <c r="F1038" s="352"/>
      <c r="G1038" s="352"/>
      <c r="H1038" s="352"/>
      <c r="I1038" s="352"/>
      <c r="J1038" s="352"/>
      <c r="K1038" s="352"/>
      <c r="L1038" s="352"/>
      <c r="M1038" s="352"/>
    </row>
    <row r="1039" spans="5:14">
      <c r="E1039" s="352"/>
      <c r="F1039" s="352"/>
      <c r="G1039" s="352"/>
      <c r="H1039" s="352"/>
      <c r="I1039" s="352"/>
      <c r="J1039" s="352"/>
      <c r="K1039" s="352"/>
      <c r="L1039" s="352"/>
      <c r="M1039" s="352"/>
    </row>
    <row r="1040" spans="5:14">
      <c r="E1040" s="352"/>
      <c r="F1040" s="352"/>
      <c r="G1040" s="352"/>
      <c r="H1040" s="352"/>
      <c r="I1040" s="352"/>
      <c r="J1040" s="352"/>
      <c r="K1040" s="352"/>
      <c r="L1040" s="352"/>
      <c r="M1040" s="352"/>
    </row>
    <row r="1041" spans="5:13">
      <c r="E1041" s="352"/>
      <c r="F1041" s="352"/>
      <c r="G1041" s="352"/>
      <c r="H1041" s="352" t="s">
        <v>2493</v>
      </c>
      <c r="I1041" s="352"/>
      <c r="J1041" s="352"/>
      <c r="K1041" s="352">
        <f>K983</f>
        <v>8952.27</v>
      </c>
      <c r="L1041" s="352"/>
      <c r="M1041" s="352"/>
    </row>
    <row r="1042" spans="5:13">
      <c r="E1042" s="352"/>
      <c r="F1042" s="352"/>
      <c r="G1042" s="352"/>
      <c r="H1042" s="352" t="s">
        <v>3782</v>
      </c>
      <c r="I1042" s="352"/>
      <c r="J1042" s="352"/>
      <c r="K1042" s="352">
        <f>K976</f>
        <v>138</v>
      </c>
      <c r="L1042" s="352"/>
      <c r="M1042" s="352"/>
    </row>
    <row r="1043" spans="5:13">
      <c r="E1043" s="352"/>
      <c r="F1043" s="352"/>
      <c r="G1043" s="352"/>
      <c r="H1043" s="352" t="s">
        <v>2863</v>
      </c>
      <c r="I1043" s="352"/>
      <c r="J1043" s="352"/>
      <c r="K1043" s="352">
        <f>K978</f>
        <v>66.099999999999994</v>
      </c>
      <c r="L1043" s="352"/>
      <c r="M1043" s="352"/>
    </row>
    <row r="1044" spans="5:13">
      <c r="E1044" s="352"/>
      <c r="F1044" s="352"/>
      <c r="G1044" s="352"/>
      <c r="H1044" s="352" t="s">
        <v>3783</v>
      </c>
      <c r="I1044" s="352"/>
      <c r="J1044" s="352"/>
      <c r="K1044" s="421">
        <f>69.9*10</f>
        <v>699</v>
      </c>
      <c r="L1044" s="352"/>
      <c r="M1044" s="352"/>
    </row>
    <row r="1045" spans="5:13">
      <c r="E1045" s="352"/>
      <c r="F1045" s="352"/>
      <c r="G1045" s="352"/>
      <c r="H1045" s="352" t="s">
        <v>5917</v>
      </c>
      <c r="I1045" s="352"/>
      <c r="J1045" s="352"/>
      <c r="K1045" s="421">
        <f>0.6*661</f>
        <v>396.6</v>
      </c>
      <c r="L1045" s="352"/>
      <c r="M1045" s="352"/>
    </row>
    <row r="1046" spans="5:13">
      <c r="E1046" s="352"/>
      <c r="F1046" s="352"/>
      <c r="G1046" s="352"/>
      <c r="H1046" s="352" t="s">
        <v>3088</v>
      </c>
      <c r="I1046" s="352"/>
      <c r="J1046" s="352"/>
      <c r="K1046" s="352">
        <v>16.25</v>
      </c>
      <c r="L1046" s="352"/>
      <c r="M1046" s="352"/>
    </row>
    <row r="1047" spans="5:13">
      <c r="E1047" s="352"/>
      <c r="F1047" s="352"/>
      <c r="G1047" s="352"/>
      <c r="H1047" s="357" t="s">
        <v>2472</v>
      </c>
      <c r="I1047" s="352"/>
      <c r="J1047" s="352"/>
      <c r="K1047" s="358">
        <f>K1041-K1042-K1043+K1044+K1045+K1046</f>
        <v>9860.02</v>
      </c>
      <c r="L1047" s="352"/>
      <c r="M1047" s="352"/>
    </row>
    <row r="1048" spans="5:13">
      <c r="E1048" s="352"/>
      <c r="F1048" s="352"/>
      <c r="G1048" s="352"/>
      <c r="H1048" s="359" t="s">
        <v>2473</v>
      </c>
      <c r="I1048" s="352"/>
      <c r="J1048" s="352"/>
      <c r="K1048" s="360">
        <f>K1047/10</f>
        <v>986</v>
      </c>
      <c r="L1048" s="352">
        <f>833*10</f>
        <v>8330</v>
      </c>
      <c r="M1048" s="352"/>
    </row>
    <row r="1049" spans="5:13">
      <c r="E1049" s="352"/>
      <c r="F1049" s="352"/>
      <c r="G1049" s="352"/>
      <c r="H1049" s="352"/>
      <c r="I1049" s="352"/>
      <c r="J1049" s="352"/>
      <c r="K1049" s="352"/>
      <c r="L1049" s="352">
        <f>L1048-K1047</f>
        <v>-1530.02</v>
      </c>
      <c r="M1049" s="352"/>
    </row>
    <row r="1050" spans="5:13">
      <c r="E1050" s="352"/>
      <c r="F1050" s="352"/>
      <c r="G1050" s="352"/>
      <c r="H1050" s="352"/>
      <c r="I1050" s="352"/>
      <c r="J1050" s="352"/>
      <c r="K1050" s="352"/>
      <c r="L1050" s="352"/>
      <c r="M1050" s="352"/>
    </row>
    <row r="1051" spans="5:13">
      <c r="E1051" s="352"/>
      <c r="F1051" s="352"/>
      <c r="G1051" s="352"/>
      <c r="H1051" s="352"/>
      <c r="I1051" s="352"/>
      <c r="J1051" s="352"/>
      <c r="K1051" s="352"/>
      <c r="L1051" s="352"/>
      <c r="M1051" s="352"/>
    </row>
    <row r="1052" spans="5:13" ht="31.5">
      <c r="E1052" s="352"/>
      <c r="F1052" s="352"/>
      <c r="G1052" s="352"/>
      <c r="H1052" s="350" t="s">
        <v>3037</v>
      </c>
      <c r="I1052" s="352"/>
      <c r="J1052" s="352"/>
      <c r="K1052" s="352"/>
      <c r="L1052" s="352"/>
      <c r="M1052" s="352"/>
    </row>
    <row r="1053" spans="5:13" ht="189" customHeight="1">
      <c r="E1053" s="352"/>
      <c r="F1053" s="352"/>
      <c r="G1053" s="352"/>
      <c r="H1053" s="351" t="s">
        <v>3033</v>
      </c>
      <c r="I1053" s="352"/>
      <c r="J1053" s="352"/>
      <c r="K1053" s="352"/>
      <c r="L1053" s="352"/>
      <c r="M1053" s="352"/>
    </row>
    <row r="1054" spans="5:13" ht="31.5">
      <c r="E1054" s="352"/>
      <c r="F1054" s="352">
        <v>90</v>
      </c>
      <c r="G1054" s="352" t="s">
        <v>842</v>
      </c>
      <c r="H1054" s="273" t="s">
        <v>2586</v>
      </c>
      <c r="I1054" s="352">
        <f>I218</f>
        <v>16.55</v>
      </c>
      <c r="J1054" s="352" t="s">
        <v>2587</v>
      </c>
      <c r="K1054" s="352">
        <f t="shared" ref="K1054:K1064" si="14">F1054*I1054</f>
        <v>1489.5</v>
      </c>
      <c r="L1054" s="352"/>
      <c r="M1054" s="352"/>
    </row>
    <row r="1055" spans="5:13" ht="31.5">
      <c r="E1055" s="352"/>
      <c r="F1055" s="352">
        <v>30</v>
      </c>
      <c r="G1055" s="352" t="s">
        <v>842</v>
      </c>
      <c r="H1055" s="351" t="s">
        <v>2403</v>
      </c>
      <c r="I1055" s="352">
        <f>I219</f>
        <v>20</v>
      </c>
      <c r="J1055" s="352" t="s">
        <v>842</v>
      </c>
      <c r="K1055" s="352">
        <f t="shared" si="14"/>
        <v>600</v>
      </c>
      <c r="L1055" s="352"/>
      <c r="M1055" s="352"/>
    </row>
    <row r="1056" spans="5:13">
      <c r="E1056" s="352"/>
      <c r="F1056" s="352">
        <v>10</v>
      </c>
      <c r="G1056" s="352" t="s">
        <v>1419</v>
      </c>
      <c r="H1056" s="352" t="s">
        <v>2405</v>
      </c>
      <c r="I1056" s="352">
        <f>I220</f>
        <v>3.15</v>
      </c>
      <c r="J1056" s="352" t="s">
        <v>1419</v>
      </c>
      <c r="K1056" s="352">
        <f t="shared" si="14"/>
        <v>31.5</v>
      </c>
      <c r="L1056" s="352"/>
      <c r="M1056" s="352"/>
    </row>
    <row r="1057" spans="5:13">
      <c r="E1057" s="352"/>
      <c r="F1057" s="352">
        <v>5</v>
      </c>
      <c r="G1057" s="352" t="s">
        <v>1419</v>
      </c>
      <c r="H1057" s="352" t="s">
        <v>3448</v>
      </c>
      <c r="I1057" s="352">
        <f>I221</f>
        <v>1.34</v>
      </c>
      <c r="J1057" s="352" t="s">
        <v>1419</v>
      </c>
      <c r="K1057" s="352">
        <f t="shared" si="14"/>
        <v>6.7</v>
      </c>
      <c r="L1057" s="352"/>
      <c r="M1057" s="352"/>
    </row>
    <row r="1058" spans="5:13">
      <c r="E1058" s="352"/>
      <c r="F1058" s="352">
        <v>10</v>
      </c>
      <c r="G1058" s="352" t="s">
        <v>1419</v>
      </c>
      <c r="H1058" s="352" t="s">
        <v>2490</v>
      </c>
      <c r="I1058" s="352">
        <f>I222</f>
        <v>20.11</v>
      </c>
      <c r="J1058" s="352" t="s">
        <v>1419</v>
      </c>
      <c r="K1058" s="352">
        <f t="shared" si="14"/>
        <v>201.1</v>
      </c>
      <c r="L1058" s="352"/>
      <c r="M1058" s="352"/>
    </row>
    <row r="1059" spans="5:13">
      <c r="E1059" s="352"/>
      <c r="F1059" s="352">
        <v>5</v>
      </c>
      <c r="G1059" s="352" t="s">
        <v>1419</v>
      </c>
      <c r="H1059" s="352" t="s">
        <v>3034</v>
      </c>
      <c r="I1059" s="352">
        <v>2.5</v>
      </c>
      <c r="J1059" s="352" t="s">
        <v>1423</v>
      </c>
      <c r="K1059" s="352">
        <f t="shared" si="14"/>
        <v>12.5</v>
      </c>
      <c r="L1059" s="352"/>
      <c r="M1059" s="352"/>
    </row>
    <row r="1060" spans="5:13">
      <c r="E1060" s="352"/>
      <c r="F1060" s="352">
        <v>5</v>
      </c>
      <c r="G1060" s="352" t="s">
        <v>1419</v>
      </c>
      <c r="H1060" s="352" t="s">
        <v>2676</v>
      </c>
      <c r="I1060" s="352">
        <f>I223</f>
        <v>13.8</v>
      </c>
      <c r="J1060" s="352" t="s">
        <v>1419</v>
      </c>
      <c r="K1060" s="352">
        <f t="shared" si="14"/>
        <v>69</v>
      </c>
      <c r="L1060" s="352"/>
      <c r="M1060" s="352"/>
    </row>
    <row r="1061" spans="5:13">
      <c r="E1061" s="352"/>
      <c r="F1061" s="355">
        <v>0.09</v>
      </c>
      <c r="G1061" s="352" t="s">
        <v>2322</v>
      </c>
      <c r="H1061" s="352" t="s">
        <v>2599</v>
      </c>
      <c r="I1061" s="352">
        <f>I226</f>
        <v>661</v>
      </c>
      <c r="J1061" s="352" t="s">
        <v>2322</v>
      </c>
      <c r="K1061" s="352">
        <f t="shared" si="14"/>
        <v>59.49</v>
      </c>
      <c r="L1061" s="352"/>
      <c r="M1061" s="352"/>
    </row>
    <row r="1062" spans="5:13">
      <c r="E1062" s="352"/>
      <c r="F1062" s="352">
        <v>1</v>
      </c>
      <c r="G1062" s="352" t="s">
        <v>2680</v>
      </c>
      <c r="H1062" s="352" t="s">
        <v>395</v>
      </c>
      <c r="I1062" s="421">
        <f>6850/20</f>
        <v>342.5</v>
      </c>
      <c r="J1062" s="352" t="s">
        <v>2680</v>
      </c>
      <c r="K1062" s="352">
        <f t="shared" si="14"/>
        <v>342.5</v>
      </c>
      <c r="L1062" s="352"/>
      <c r="M1062" s="352">
        <f>1000/50</f>
        <v>20</v>
      </c>
    </row>
    <row r="1063" spans="5:13">
      <c r="E1063" s="352"/>
      <c r="F1063" s="352">
        <v>6</v>
      </c>
      <c r="G1063" s="352" t="s">
        <v>1419</v>
      </c>
      <c r="H1063" s="352" t="s">
        <v>3035</v>
      </c>
      <c r="I1063" s="421">
        <v>20.100000000000001</v>
      </c>
      <c r="J1063" s="352" t="s">
        <v>1423</v>
      </c>
      <c r="K1063" s="352">
        <f t="shared" si="14"/>
        <v>120.6</v>
      </c>
      <c r="L1063" s="352"/>
      <c r="M1063" s="352"/>
    </row>
    <row r="1064" spans="5:13" ht="31.5">
      <c r="E1064" s="352"/>
      <c r="F1064" s="352">
        <v>30</v>
      </c>
      <c r="G1064" s="352" t="s">
        <v>842</v>
      </c>
      <c r="H1064" s="273" t="s">
        <v>2686</v>
      </c>
      <c r="I1064" s="352">
        <f>I1054</f>
        <v>16.55</v>
      </c>
      <c r="J1064" s="352" t="s">
        <v>2587</v>
      </c>
      <c r="K1064" s="352">
        <f t="shared" si="14"/>
        <v>496.5</v>
      </c>
      <c r="L1064" s="352"/>
      <c r="M1064" s="352"/>
    </row>
    <row r="1065" spans="5:13">
      <c r="E1065" s="352"/>
      <c r="F1065" s="352"/>
      <c r="G1065" s="352"/>
      <c r="H1065" s="352" t="s">
        <v>931</v>
      </c>
      <c r="I1065" s="352"/>
      <c r="J1065" s="352"/>
      <c r="K1065" s="352">
        <f>K998</f>
        <v>7242</v>
      </c>
      <c r="L1065" s="352"/>
      <c r="M1065" s="352"/>
    </row>
    <row r="1066" spans="5:13">
      <c r="E1066" s="352"/>
      <c r="F1066" s="352"/>
      <c r="G1066" s="352"/>
      <c r="H1066" s="352" t="s">
        <v>2310</v>
      </c>
      <c r="I1066" s="352"/>
      <c r="J1066" s="352"/>
      <c r="K1066" s="352">
        <v>8.3000000000000007</v>
      </c>
      <c r="L1066" s="352"/>
      <c r="M1066" s="352"/>
    </row>
    <row r="1067" spans="5:13">
      <c r="E1067" s="352"/>
      <c r="F1067" s="352"/>
      <c r="G1067" s="352"/>
      <c r="H1067" s="357" t="s">
        <v>2600</v>
      </c>
      <c r="I1067" s="352"/>
      <c r="J1067" s="352"/>
      <c r="K1067" s="358">
        <f>SUM(K1054:K1066)</f>
        <v>10679.69</v>
      </c>
      <c r="L1067" s="352"/>
      <c r="M1067" s="352"/>
    </row>
    <row r="1068" spans="5:13">
      <c r="E1068" s="352"/>
      <c r="F1068" s="352"/>
      <c r="G1068" s="352"/>
      <c r="H1068" s="359" t="s">
        <v>3220</v>
      </c>
      <c r="I1068" s="352"/>
      <c r="J1068" s="352"/>
      <c r="K1068" s="360">
        <f>K1067/5</f>
        <v>2135.94</v>
      </c>
      <c r="L1068" s="352"/>
      <c r="M1068" s="352"/>
    </row>
    <row r="1069" spans="5:13">
      <c r="E1069" s="352"/>
      <c r="F1069" s="352"/>
      <c r="G1069" s="352"/>
      <c r="H1069" s="360"/>
      <c r="I1069" s="352"/>
      <c r="J1069" s="352"/>
      <c r="K1069" s="352"/>
      <c r="L1069" s="352"/>
      <c r="M1069" s="352"/>
    </row>
    <row r="1070" spans="5:13">
      <c r="E1070" s="352"/>
      <c r="F1070" s="352"/>
      <c r="G1070" s="352"/>
      <c r="H1070" s="360" t="s">
        <v>1545</v>
      </c>
      <c r="I1070" s="352"/>
      <c r="J1070" s="352"/>
      <c r="K1070" s="352"/>
      <c r="L1070" s="352"/>
      <c r="M1070" s="352"/>
    </row>
    <row r="1071" spans="5:13">
      <c r="E1071" s="352"/>
      <c r="F1071" s="352"/>
      <c r="G1071" s="352"/>
      <c r="H1071" s="352"/>
      <c r="I1071" s="352"/>
      <c r="J1071" s="352"/>
      <c r="K1071" s="352"/>
      <c r="L1071" s="352"/>
      <c r="M1071" s="352"/>
    </row>
    <row r="1072" spans="5:13" ht="157.5">
      <c r="E1072" s="352"/>
      <c r="F1072" s="352"/>
      <c r="G1072" s="352"/>
      <c r="H1072" s="351" t="s">
        <v>2770</v>
      </c>
      <c r="I1072" s="352"/>
      <c r="J1072" s="352"/>
      <c r="K1072" s="352"/>
      <c r="L1072" s="352"/>
      <c r="M1072" s="352"/>
    </row>
    <row r="1073" spans="5:13" ht="31.5">
      <c r="E1073" s="352"/>
      <c r="F1073" s="352">
        <v>90</v>
      </c>
      <c r="G1073" s="352" t="s">
        <v>842</v>
      </c>
      <c r="H1073" s="273" t="s">
        <v>2586</v>
      </c>
      <c r="I1073" s="352">
        <f t="shared" ref="I1073:I1083" si="15">I120</f>
        <v>16.55</v>
      </c>
      <c r="J1073" s="352" t="s">
        <v>3363</v>
      </c>
      <c r="K1073" s="352">
        <f t="shared" ref="K1073:K1083" si="16">F1073*I1073</f>
        <v>1489.5</v>
      </c>
      <c r="L1073" s="352"/>
      <c r="M1073" s="352"/>
    </row>
    <row r="1074" spans="5:13" ht="31.5">
      <c r="E1074" s="352"/>
      <c r="F1074" s="352">
        <v>45</v>
      </c>
      <c r="G1074" s="352" t="s">
        <v>842</v>
      </c>
      <c r="H1074" s="351" t="s">
        <v>2403</v>
      </c>
      <c r="I1074" s="352">
        <f t="shared" si="15"/>
        <v>20</v>
      </c>
      <c r="J1074" s="352" t="s">
        <v>842</v>
      </c>
      <c r="K1074" s="352">
        <f t="shared" si="16"/>
        <v>900</v>
      </c>
      <c r="L1074" s="352"/>
      <c r="M1074" s="352"/>
    </row>
    <row r="1075" spans="5:13">
      <c r="E1075" s="352"/>
      <c r="F1075" s="352">
        <v>20</v>
      </c>
      <c r="G1075" s="352" t="s">
        <v>1419</v>
      </c>
      <c r="H1075" s="352" t="s">
        <v>2405</v>
      </c>
      <c r="I1075" s="352">
        <f t="shared" si="15"/>
        <v>3.15</v>
      </c>
      <c r="J1075" s="352" t="s">
        <v>3451</v>
      </c>
      <c r="K1075" s="352">
        <f t="shared" si="16"/>
        <v>63</v>
      </c>
      <c r="L1075" s="352"/>
      <c r="M1075" s="352"/>
    </row>
    <row r="1076" spans="5:13">
      <c r="E1076" s="352"/>
      <c r="F1076" s="352">
        <v>10</v>
      </c>
      <c r="G1076" s="352" t="s">
        <v>1419</v>
      </c>
      <c r="H1076" s="352" t="s">
        <v>3448</v>
      </c>
      <c r="I1076" s="352">
        <f t="shared" si="15"/>
        <v>1.34</v>
      </c>
      <c r="J1076" s="352" t="s">
        <v>3451</v>
      </c>
      <c r="K1076" s="352">
        <f t="shared" si="16"/>
        <v>13.4</v>
      </c>
      <c r="L1076" s="352"/>
      <c r="M1076" s="352"/>
    </row>
    <row r="1077" spans="5:13" s="424" customFormat="1">
      <c r="E1077" s="423"/>
      <c r="F1077" s="1041">
        <v>1</v>
      </c>
      <c r="G1077" s="1041" t="s">
        <v>1419</v>
      </c>
      <c r="H1077" s="360" t="s">
        <v>3940</v>
      </c>
      <c r="I1077" s="1041">
        <f>I124</f>
        <v>58</v>
      </c>
      <c r="J1077" s="1041" t="s">
        <v>1419</v>
      </c>
      <c r="K1077" s="1041">
        <f t="shared" si="16"/>
        <v>58</v>
      </c>
      <c r="L1077" s="423"/>
      <c r="M1077" s="423"/>
    </row>
    <row r="1078" spans="5:13">
      <c r="E1078" s="352"/>
      <c r="F1078" s="355">
        <v>1.4999999999999999E-2</v>
      </c>
      <c r="G1078" s="352" t="s">
        <v>2322</v>
      </c>
      <c r="H1078" s="352" t="s">
        <v>2599</v>
      </c>
      <c r="I1078" s="352">
        <f t="shared" si="15"/>
        <v>661</v>
      </c>
      <c r="J1078" s="352" t="s">
        <v>2322</v>
      </c>
      <c r="K1078" s="352">
        <f t="shared" si="16"/>
        <v>9.92</v>
      </c>
      <c r="L1078" s="352"/>
      <c r="M1078" s="352"/>
    </row>
    <row r="1079" spans="5:13">
      <c r="E1079" s="352"/>
      <c r="F1079" s="352">
        <v>15</v>
      </c>
      <c r="G1079" s="352" t="s">
        <v>1419</v>
      </c>
      <c r="H1079" s="352" t="s">
        <v>2771</v>
      </c>
      <c r="I1079" s="352">
        <f>I126</f>
        <v>40.31</v>
      </c>
      <c r="J1079" s="352" t="s">
        <v>1419</v>
      </c>
      <c r="K1079" s="352">
        <f t="shared" si="16"/>
        <v>604.65</v>
      </c>
      <c r="L1079" s="352"/>
      <c r="M1079" s="352"/>
    </row>
    <row r="1080" spans="5:13">
      <c r="E1080" s="352"/>
      <c r="F1080" s="421">
        <v>15</v>
      </c>
      <c r="G1080" s="421" t="s">
        <v>1419</v>
      </c>
      <c r="H1080" s="421" t="str">
        <f>H1077</f>
        <v>6" PVC Electrical Box (150mm)</v>
      </c>
      <c r="I1080" s="781">
        <f>I1077</f>
        <v>58</v>
      </c>
      <c r="J1080" s="421" t="s">
        <v>1419</v>
      </c>
      <c r="K1080" s="421">
        <f t="shared" si="16"/>
        <v>870</v>
      </c>
      <c r="L1080" s="352"/>
      <c r="M1080" s="352"/>
    </row>
    <row r="1081" spans="5:13">
      <c r="E1081" s="352"/>
      <c r="F1081" s="355">
        <v>0.22500000000000001</v>
      </c>
      <c r="G1081" s="352" t="s">
        <v>2322</v>
      </c>
      <c r="H1081" s="352" t="s">
        <v>2599</v>
      </c>
      <c r="I1081" s="352">
        <f t="shared" si="15"/>
        <v>661</v>
      </c>
      <c r="J1081" s="352" t="s">
        <v>2772</v>
      </c>
      <c r="K1081" s="352">
        <f t="shared" si="16"/>
        <v>148.72999999999999</v>
      </c>
      <c r="L1081" s="352">
        <f>SUM(K1073:K1083)</f>
        <v>5279.45</v>
      </c>
      <c r="M1081" s="352"/>
    </row>
    <row r="1082" spans="5:13">
      <c r="E1082" s="352"/>
      <c r="F1082" s="352">
        <v>1.25</v>
      </c>
      <c r="G1082" s="352" t="s">
        <v>2680</v>
      </c>
      <c r="H1082" s="352" t="s">
        <v>395</v>
      </c>
      <c r="I1082" s="352">
        <f t="shared" si="15"/>
        <v>302</v>
      </c>
      <c r="J1082" s="352" t="s">
        <v>2680</v>
      </c>
      <c r="K1082" s="352">
        <f t="shared" si="16"/>
        <v>377.5</v>
      </c>
      <c r="L1082" s="352">
        <f>L1081*1%</f>
        <v>52.79</v>
      </c>
      <c r="M1082" s="352"/>
    </row>
    <row r="1083" spans="5:13" ht="31.5">
      <c r="E1083" s="352"/>
      <c r="F1083" s="352">
        <v>45</v>
      </c>
      <c r="G1083" s="352" t="s">
        <v>2322</v>
      </c>
      <c r="H1083" s="273" t="s">
        <v>2686</v>
      </c>
      <c r="I1083" s="352">
        <f t="shared" si="15"/>
        <v>16.55</v>
      </c>
      <c r="J1083" s="352" t="s">
        <v>3363</v>
      </c>
      <c r="K1083" s="352">
        <f t="shared" si="16"/>
        <v>744.75</v>
      </c>
      <c r="L1083" s="352"/>
      <c r="M1083" s="352"/>
    </row>
    <row r="1084" spans="5:13">
      <c r="E1084" s="352"/>
      <c r="F1084" s="352"/>
      <c r="G1084" s="352"/>
      <c r="H1084" s="352" t="s">
        <v>931</v>
      </c>
      <c r="I1084" s="352"/>
      <c r="J1084" s="352"/>
      <c r="K1084" s="352">
        <f>K1000</f>
        <v>4828</v>
      </c>
      <c r="L1084" s="352"/>
      <c r="M1084" s="352"/>
    </row>
    <row r="1085" spans="5:13">
      <c r="E1085" s="352"/>
      <c r="F1085" s="352"/>
      <c r="G1085" s="352"/>
      <c r="H1085" s="352" t="s">
        <v>2310</v>
      </c>
      <c r="I1085" s="352"/>
      <c r="J1085" s="352"/>
      <c r="K1085" s="352">
        <v>40</v>
      </c>
      <c r="L1085" s="352"/>
      <c r="M1085" s="352"/>
    </row>
    <row r="1086" spans="5:13">
      <c r="E1086" s="352"/>
      <c r="F1086" s="352"/>
      <c r="G1086" s="352"/>
      <c r="H1086" s="357" t="s">
        <v>2773</v>
      </c>
      <c r="I1086" s="352"/>
      <c r="J1086" s="352"/>
      <c r="K1086" s="358">
        <f>SUM(K1073:K1085)</f>
        <v>10147.450000000001</v>
      </c>
      <c r="L1086" s="352"/>
      <c r="M1086" s="352"/>
    </row>
    <row r="1087" spans="5:13">
      <c r="E1087" s="352"/>
      <c r="F1087" s="352"/>
      <c r="G1087" s="352"/>
      <c r="H1087" s="359" t="s">
        <v>3220</v>
      </c>
      <c r="I1087" s="352"/>
      <c r="J1087" s="352"/>
      <c r="K1087" s="360">
        <f>K1086/15</f>
        <v>676.5</v>
      </c>
      <c r="L1087" s="352">
        <f>537*15</f>
        <v>8055</v>
      </c>
      <c r="M1087" s="352"/>
    </row>
    <row r="1088" spans="5:13">
      <c r="E1088" s="352"/>
      <c r="F1088" s="352"/>
      <c r="G1088" s="352"/>
      <c r="H1088" s="360" t="s">
        <v>931</v>
      </c>
      <c r="I1088" s="352"/>
      <c r="J1088" s="352"/>
      <c r="K1088" s="360"/>
      <c r="L1088" s="352">
        <f>L1087-K1086</f>
        <v>-2092.4499999999998</v>
      </c>
      <c r="M1088" s="352"/>
    </row>
    <row r="1089" spans="5:13">
      <c r="E1089" s="352"/>
      <c r="F1089" s="352">
        <v>1</v>
      </c>
      <c r="G1089" s="352" t="s">
        <v>1419</v>
      </c>
      <c r="H1089" s="352" t="s">
        <v>3372</v>
      </c>
      <c r="I1089" s="352">
        <f>I35</f>
        <v>898</v>
      </c>
      <c r="J1089" s="352" t="s">
        <v>1419</v>
      </c>
      <c r="K1089" s="352">
        <f>F1089*I1089</f>
        <v>898</v>
      </c>
      <c r="L1089" s="352"/>
      <c r="M1089" s="352"/>
    </row>
    <row r="1090" spans="5:13">
      <c r="E1090" s="352"/>
      <c r="F1090" s="352">
        <v>2</v>
      </c>
      <c r="G1090" s="352" t="s">
        <v>1419</v>
      </c>
      <c r="H1090" s="352" t="s">
        <v>3373</v>
      </c>
      <c r="I1090" s="352">
        <f>I36</f>
        <v>783</v>
      </c>
      <c r="J1090" s="352" t="s">
        <v>1419</v>
      </c>
      <c r="K1090" s="352">
        <f>F1090*I1090</f>
        <v>1566</v>
      </c>
      <c r="L1090" s="352"/>
      <c r="M1090" s="352"/>
    </row>
    <row r="1091" spans="5:13">
      <c r="E1091" s="352"/>
      <c r="F1091" s="352">
        <v>3</v>
      </c>
      <c r="G1091" s="352" t="s">
        <v>1419</v>
      </c>
      <c r="H1091" s="352" t="s">
        <v>3374</v>
      </c>
      <c r="I1091" s="352">
        <f>I37</f>
        <v>778</v>
      </c>
      <c r="J1091" s="352" t="s">
        <v>1419</v>
      </c>
      <c r="K1091" s="352">
        <f>F1091*I1091</f>
        <v>2334</v>
      </c>
      <c r="L1091" s="352"/>
      <c r="M1091" s="352"/>
    </row>
    <row r="1092" spans="5:13">
      <c r="E1092" s="352"/>
      <c r="F1092" s="352">
        <v>4</v>
      </c>
      <c r="G1092" s="352" t="s">
        <v>1419</v>
      </c>
      <c r="H1092" s="352" t="s">
        <v>2370</v>
      </c>
      <c r="I1092" s="352">
        <f>I38</f>
        <v>611</v>
      </c>
      <c r="J1092" s="352" t="s">
        <v>1419</v>
      </c>
      <c r="K1092" s="352">
        <f>F1092*I1092</f>
        <v>2444</v>
      </c>
      <c r="L1092" s="352"/>
      <c r="M1092" s="352"/>
    </row>
    <row r="1093" spans="5:13">
      <c r="E1093" s="352"/>
      <c r="F1093" s="352"/>
      <c r="G1093" s="352"/>
      <c r="H1093" s="359"/>
      <c r="I1093" s="352"/>
      <c r="J1093" s="352"/>
      <c r="K1093" s="360">
        <f>SUM(K1089:K1092)</f>
        <v>7242</v>
      </c>
      <c r="L1093" s="352"/>
      <c r="M1093" s="352"/>
    </row>
    <row r="1094" spans="5:13">
      <c r="E1094" s="352"/>
      <c r="F1094" s="352"/>
      <c r="G1094" s="352"/>
      <c r="H1094" s="359"/>
      <c r="I1094" s="352"/>
      <c r="J1094" s="352"/>
      <c r="K1094" s="360"/>
      <c r="L1094" s="352"/>
      <c r="M1094" s="352"/>
    </row>
    <row r="1095" spans="5:13">
      <c r="E1095" s="352"/>
      <c r="F1095" s="352"/>
      <c r="G1095" s="352"/>
      <c r="H1095" s="359"/>
      <c r="I1095" s="352"/>
      <c r="J1095" s="352"/>
      <c r="K1095" s="360"/>
      <c r="L1095" s="352"/>
      <c r="M1095" s="352"/>
    </row>
    <row r="1096" spans="5:13">
      <c r="E1096" s="352"/>
      <c r="F1096" s="352"/>
      <c r="G1096" s="352"/>
      <c r="H1096" s="360" t="s">
        <v>5918</v>
      </c>
      <c r="I1096" s="352"/>
      <c r="J1096" s="352"/>
      <c r="K1096" s="352"/>
      <c r="L1096" s="352"/>
      <c r="M1096" s="352"/>
    </row>
    <row r="1097" spans="5:13">
      <c r="E1097" s="352"/>
      <c r="F1097" s="352"/>
      <c r="G1097" s="352"/>
      <c r="H1097" s="352"/>
      <c r="I1097" s="352"/>
      <c r="J1097" s="352"/>
      <c r="K1097" s="352"/>
      <c r="L1097" s="352"/>
      <c r="M1097" s="352"/>
    </row>
    <row r="1098" spans="5:13" ht="110.25">
      <c r="E1098" s="352"/>
      <c r="F1098" s="352"/>
      <c r="G1098" s="352"/>
      <c r="H1098" s="351" t="s">
        <v>3591</v>
      </c>
      <c r="I1098" s="352"/>
      <c r="J1098" s="352"/>
      <c r="K1098" s="352"/>
      <c r="L1098" s="352"/>
      <c r="M1098" s="352"/>
    </row>
    <row r="1099" spans="5:13">
      <c r="E1099" s="352"/>
      <c r="F1099" s="352"/>
      <c r="G1099" s="352"/>
      <c r="H1099" s="352"/>
      <c r="I1099" s="352"/>
      <c r="J1099" s="352"/>
      <c r="K1099" s="352"/>
      <c r="L1099" s="352"/>
      <c r="M1099" s="352"/>
    </row>
    <row r="1100" spans="5:13" ht="31.5">
      <c r="E1100" s="352"/>
      <c r="F1100" s="352">
        <v>180</v>
      </c>
      <c r="G1100" s="352" t="s">
        <v>842</v>
      </c>
      <c r="H1100" s="273" t="s">
        <v>2586</v>
      </c>
      <c r="I1100" s="352">
        <f>I241</f>
        <v>16.55</v>
      </c>
      <c r="J1100" s="352" t="s">
        <v>842</v>
      </c>
      <c r="K1100" s="352">
        <f>I1100*F1100</f>
        <v>2979</v>
      </c>
      <c r="L1100" s="352"/>
      <c r="M1100" s="352"/>
    </row>
    <row r="1101" spans="5:13" ht="31.5">
      <c r="E1101" s="352"/>
      <c r="F1101" s="352">
        <v>90</v>
      </c>
      <c r="G1101" s="352" t="s">
        <v>842</v>
      </c>
      <c r="H1101" s="351" t="s">
        <v>2403</v>
      </c>
      <c r="I1101" s="352">
        <f>I242</f>
        <v>20</v>
      </c>
      <c r="J1101" s="352" t="s">
        <v>842</v>
      </c>
      <c r="K1101" s="352">
        <f>I1101*F1101</f>
        <v>1800</v>
      </c>
      <c r="L1101" s="352"/>
      <c r="M1101" s="352"/>
    </row>
    <row r="1102" spans="5:13">
      <c r="E1102" s="352"/>
      <c r="F1102" s="352">
        <v>1</v>
      </c>
      <c r="G1102" s="352" t="s">
        <v>3188</v>
      </c>
      <c r="H1102" s="351" t="s">
        <v>3189</v>
      </c>
      <c r="I1102" s="421">
        <f>39</f>
        <v>39</v>
      </c>
      <c r="J1102" s="352" t="s">
        <v>3188</v>
      </c>
      <c r="K1102" s="352">
        <f>I1102*F1102</f>
        <v>39</v>
      </c>
      <c r="L1102" s="352"/>
      <c r="M1102" s="352"/>
    </row>
    <row r="1103" spans="5:13">
      <c r="E1103" s="352"/>
      <c r="F1103" s="352">
        <v>300</v>
      </c>
      <c r="G1103" s="352" t="s">
        <v>1457</v>
      </c>
      <c r="H1103" s="351" t="s">
        <v>3190</v>
      </c>
      <c r="I1103" s="421">
        <f>287</f>
        <v>287</v>
      </c>
      <c r="J1103" s="352" t="s">
        <v>3192</v>
      </c>
      <c r="K1103" s="352">
        <f>(I1103*F1103)/1000</f>
        <v>86.1</v>
      </c>
      <c r="L1103" s="352"/>
      <c r="M1103" s="352"/>
    </row>
    <row r="1104" spans="5:13">
      <c r="E1104" s="352"/>
      <c r="F1104" s="352">
        <v>2</v>
      </c>
      <c r="G1104" s="352" t="s">
        <v>2684</v>
      </c>
      <c r="H1104" s="351" t="s">
        <v>3191</v>
      </c>
      <c r="I1104" s="352">
        <f>I973</f>
        <v>69.400000000000006</v>
      </c>
      <c r="J1104" s="352" t="s">
        <v>3188</v>
      </c>
      <c r="K1104" s="352">
        <f>I1104*F1104</f>
        <v>138.80000000000001</v>
      </c>
      <c r="L1104" s="352"/>
      <c r="M1104" s="352"/>
    </row>
    <row r="1105" spans="5:13">
      <c r="E1105" s="352"/>
      <c r="F1105" s="352">
        <v>0.33</v>
      </c>
      <c r="G1105" s="352" t="s">
        <v>2680</v>
      </c>
      <c r="H1105" s="352" t="s">
        <v>395</v>
      </c>
      <c r="I1105" s="352">
        <f>I243</f>
        <v>302</v>
      </c>
      <c r="J1105" s="352" t="s">
        <v>2680</v>
      </c>
      <c r="K1105" s="352">
        <f>I1105*F1105</f>
        <v>99.66</v>
      </c>
      <c r="L1105" s="352"/>
      <c r="M1105" s="352"/>
    </row>
    <row r="1106" spans="5:13" ht="31.5">
      <c r="E1106" s="352"/>
      <c r="F1106" s="352">
        <v>90</v>
      </c>
      <c r="G1106" s="352" t="s">
        <v>842</v>
      </c>
      <c r="H1106" s="273" t="s">
        <v>2686</v>
      </c>
      <c r="I1106" s="352">
        <f>I244</f>
        <v>16.55</v>
      </c>
      <c r="J1106" s="352" t="s">
        <v>2587</v>
      </c>
      <c r="K1106" s="352">
        <f>I1106*F1106</f>
        <v>1489.5</v>
      </c>
      <c r="L1106" s="352"/>
      <c r="M1106" s="352"/>
    </row>
    <row r="1107" spans="5:13">
      <c r="E1107" s="352"/>
      <c r="F1107" s="399" t="s">
        <v>3195</v>
      </c>
      <c r="G1107" s="352"/>
      <c r="H1107" s="352" t="s">
        <v>931</v>
      </c>
      <c r="I1107" s="352">
        <f>K1093</f>
        <v>7242</v>
      </c>
      <c r="J1107" s="352"/>
      <c r="K1107" s="352">
        <f>2/3*I1107</f>
        <v>4828</v>
      </c>
      <c r="L1107" s="352"/>
      <c r="M1107" s="352"/>
    </row>
    <row r="1108" spans="5:13">
      <c r="E1108" s="352"/>
      <c r="F1108" s="352"/>
      <c r="G1108" s="352"/>
      <c r="H1108" s="352"/>
      <c r="I1108" s="352"/>
      <c r="J1108" s="352"/>
      <c r="K1108" s="352">
        <f>SUM(K1100:K1107)</f>
        <v>11460.06</v>
      </c>
      <c r="L1108" s="352"/>
      <c r="M1108" s="352"/>
    </row>
    <row r="1109" spans="5:13">
      <c r="E1109" s="352"/>
      <c r="F1109" s="352"/>
      <c r="G1109" s="352"/>
      <c r="H1109" s="352" t="s">
        <v>2310</v>
      </c>
      <c r="I1109" s="352"/>
      <c r="J1109" s="352"/>
      <c r="K1109" s="352">
        <v>52.28</v>
      </c>
      <c r="L1109" s="352"/>
      <c r="M1109" s="352"/>
    </row>
    <row r="1110" spans="5:13">
      <c r="E1110" s="352"/>
      <c r="F1110" s="352"/>
      <c r="G1110" s="352"/>
      <c r="H1110" s="357" t="s">
        <v>2432</v>
      </c>
      <c r="I1110" s="352"/>
      <c r="J1110" s="352"/>
      <c r="K1110" s="358">
        <f>SUM(K1108:K1109)</f>
        <v>11512.34</v>
      </c>
      <c r="L1110" s="352"/>
      <c r="M1110" s="352"/>
    </row>
    <row r="1111" spans="5:13">
      <c r="E1111" s="352"/>
      <c r="F1111" s="352"/>
      <c r="G1111" s="352"/>
      <c r="H1111" s="359" t="s">
        <v>2433</v>
      </c>
      <c r="I1111" s="352"/>
      <c r="J1111" s="352"/>
      <c r="K1111" s="360">
        <f>K1110/90</f>
        <v>127.91</v>
      </c>
      <c r="L1111" s="352"/>
      <c r="M1111" s="352"/>
    </row>
    <row r="1112" spans="5:13">
      <c r="E1112" s="352"/>
      <c r="F1112" s="352"/>
      <c r="G1112" s="352"/>
      <c r="H1112" s="352"/>
      <c r="I1112" s="352"/>
      <c r="J1112" s="352"/>
      <c r="K1112" s="352"/>
      <c r="L1112" s="352"/>
      <c r="M1112" s="352"/>
    </row>
    <row r="1113" spans="5:13">
      <c r="E1113" s="352"/>
      <c r="F1113" s="352"/>
      <c r="G1113" s="352"/>
      <c r="H1113" s="360" t="s">
        <v>3193</v>
      </c>
      <c r="I1113" s="352"/>
      <c r="J1113" s="352"/>
      <c r="K1113" s="352"/>
      <c r="L1113" s="352"/>
      <c r="M1113" s="352"/>
    </row>
    <row r="1114" spans="5:13">
      <c r="E1114" s="352"/>
      <c r="F1114" s="352"/>
      <c r="G1114" s="352"/>
      <c r="H1114" s="352"/>
      <c r="I1114" s="352"/>
      <c r="J1114" s="352"/>
      <c r="K1114" s="352"/>
      <c r="L1114" s="352"/>
      <c r="M1114" s="352"/>
    </row>
    <row r="1115" spans="5:13" ht="110.25">
      <c r="E1115" s="352"/>
      <c r="F1115" s="352"/>
      <c r="G1115" s="352"/>
      <c r="H1115" s="351" t="s">
        <v>3066</v>
      </c>
      <c r="I1115" s="352"/>
      <c r="J1115" s="352"/>
      <c r="K1115" s="352"/>
      <c r="L1115" s="352"/>
      <c r="M1115" s="352"/>
    </row>
    <row r="1116" spans="5:13">
      <c r="E1116" s="352"/>
      <c r="F1116" s="352"/>
      <c r="G1116" s="352"/>
      <c r="H1116" s="352"/>
      <c r="I1116" s="352"/>
      <c r="J1116" s="352"/>
      <c r="K1116" s="352"/>
      <c r="L1116" s="352"/>
      <c r="M1116" s="352"/>
    </row>
    <row r="1117" spans="5:13">
      <c r="E1117" s="352"/>
      <c r="F1117" s="352"/>
      <c r="G1117" s="352"/>
      <c r="H1117" s="352" t="s">
        <v>3194</v>
      </c>
      <c r="I1117" s="352"/>
      <c r="J1117" s="352"/>
      <c r="K1117" s="352">
        <f>K1110</f>
        <v>11512.34</v>
      </c>
      <c r="L1117" s="352"/>
      <c r="M1117" s="352"/>
    </row>
    <row r="1118" spans="5:13" ht="31.5">
      <c r="E1118" s="352"/>
      <c r="F1118" s="352">
        <v>180</v>
      </c>
      <c r="G1118" s="352" t="s">
        <v>842</v>
      </c>
      <c r="H1118" s="351" t="s">
        <v>3299</v>
      </c>
      <c r="I1118" s="352">
        <f>I257</f>
        <v>25.75</v>
      </c>
      <c r="J1118" s="352" t="s">
        <v>842</v>
      </c>
      <c r="K1118" s="352">
        <f>F1118*I1118</f>
        <v>4635</v>
      </c>
      <c r="L1118" s="352"/>
      <c r="M1118" s="352"/>
    </row>
    <row r="1119" spans="5:13" ht="31.5">
      <c r="E1119" s="352"/>
      <c r="F1119" s="352">
        <v>180</v>
      </c>
      <c r="G1119" s="352" t="s">
        <v>842</v>
      </c>
      <c r="H1119" s="351" t="s">
        <v>3015</v>
      </c>
      <c r="I1119" s="352">
        <f>I1100</f>
        <v>16.55</v>
      </c>
      <c r="J1119" s="352" t="s">
        <v>2587</v>
      </c>
      <c r="K1119" s="352">
        <f>F1119*I1119</f>
        <v>2979</v>
      </c>
      <c r="L1119" s="352"/>
      <c r="M1119" s="352"/>
    </row>
    <row r="1120" spans="5:13">
      <c r="E1120" s="352"/>
      <c r="F1120" s="352"/>
      <c r="G1120" s="352"/>
      <c r="H1120" s="352" t="s">
        <v>2310</v>
      </c>
      <c r="I1120" s="352"/>
      <c r="J1120" s="352"/>
      <c r="K1120" s="352">
        <v>36</v>
      </c>
      <c r="L1120" s="352"/>
      <c r="M1120" s="352"/>
    </row>
    <row r="1121" spans="5:13">
      <c r="E1121" s="352"/>
      <c r="F1121" s="352"/>
      <c r="G1121" s="352"/>
      <c r="H1121" s="357" t="s">
        <v>3016</v>
      </c>
      <c r="I1121" s="352"/>
      <c r="J1121" s="352"/>
      <c r="K1121" s="358">
        <f>K1117+K1118-K1119+K1120</f>
        <v>13204.34</v>
      </c>
      <c r="L1121" s="352"/>
      <c r="M1121" s="352"/>
    </row>
    <row r="1122" spans="5:13">
      <c r="E1122" s="352"/>
      <c r="F1122" s="352"/>
      <c r="G1122" s="352"/>
      <c r="H1122" s="359" t="s">
        <v>2433</v>
      </c>
      <c r="I1122" s="352"/>
      <c r="J1122" s="352"/>
      <c r="K1122" s="360">
        <f>K1121/90</f>
        <v>146.71</v>
      </c>
      <c r="L1122" s="352"/>
      <c r="M1122" s="352"/>
    </row>
    <row r="1123" spans="5:13">
      <c r="E1123" s="352"/>
      <c r="F1123" s="352"/>
      <c r="G1123" s="352"/>
      <c r="H1123" s="352"/>
      <c r="I1123" s="352"/>
      <c r="J1123" s="352"/>
      <c r="K1123" s="352"/>
      <c r="L1123" s="352"/>
      <c r="M1123" s="352"/>
    </row>
    <row r="1124" spans="5:13">
      <c r="E1124" s="352"/>
      <c r="F1124" s="352" t="s">
        <v>4866</v>
      </c>
      <c r="G1124" s="352"/>
      <c r="H1124" s="273"/>
      <c r="I1124" s="352"/>
      <c r="J1124" s="352"/>
      <c r="K1124" s="352"/>
      <c r="L1124" s="352"/>
      <c r="M1124" s="352"/>
    </row>
    <row r="1125" spans="5:13">
      <c r="E1125" s="352"/>
      <c r="F1125" s="352" t="s">
        <v>4867</v>
      </c>
      <c r="G1125" s="352"/>
      <c r="H1125" s="351"/>
      <c r="I1125" s="352"/>
      <c r="J1125" s="352"/>
      <c r="K1125" s="352"/>
      <c r="L1125" s="352"/>
      <c r="M1125" s="352"/>
    </row>
    <row r="1126" spans="5:13">
      <c r="E1126" s="352"/>
      <c r="F1126" s="352"/>
      <c r="G1126" s="352"/>
      <c r="H1126" s="352"/>
      <c r="I1126" s="352"/>
      <c r="J1126" s="352"/>
      <c r="K1126" s="352"/>
      <c r="L1126" s="352"/>
      <c r="M1126" s="352"/>
    </row>
    <row r="1127" spans="5:13">
      <c r="E1127" s="352"/>
      <c r="F1127" s="352">
        <v>1.5</v>
      </c>
      <c r="G1127" s="352" t="s">
        <v>842</v>
      </c>
      <c r="H1127" s="352" t="s">
        <v>4485</v>
      </c>
      <c r="I1127" s="352">
        <v>128</v>
      </c>
      <c r="J1127" s="352" t="s">
        <v>842</v>
      </c>
      <c r="K1127" s="352">
        <v>192</v>
      </c>
      <c r="L1127" s="352"/>
      <c r="M1127" s="352"/>
    </row>
    <row r="1128" spans="5:13">
      <c r="E1128" s="352"/>
      <c r="F1128" s="352">
        <v>2</v>
      </c>
      <c r="G1128" s="352" t="s">
        <v>2031</v>
      </c>
      <c r="H1128" s="352" t="s">
        <v>2928</v>
      </c>
      <c r="I1128" s="352">
        <v>35</v>
      </c>
      <c r="J1128" s="352" t="s">
        <v>2031</v>
      </c>
      <c r="K1128" s="352">
        <v>70</v>
      </c>
      <c r="L1128" s="352"/>
      <c r="M1128" s="352"/>
    </row>
    <row r="1129" spans="5:13">
      <c r="E1129" s="352"/>
      <c r="F1129" s="352"/>
      <c r="G1129" s="352"/>
      <c r="H1129" s="352"/>
      <c r="I1129" s="352"/>
      <c r="J1129" s="352"/>
      <c r="K1129" s="352"/>
      <c r="L1129" s="352"/>
      <c r="M1129" s="352"/>
    </row>
    <row r="1130" spans="5:13">
      <c r="E1130" s="352"/>
      <c r="F1130" s="352"/>
      <c r="G1130" s="352"/>
      <c r="H1130" s="352"/>
      <c r="I1130" s="352"/>
      <c r="J1130" s="352"/>
      <c r="K1130" s="352"/>
      <c r="L1130" s="352"/>
      <c r="M1130" s="352"/>
    </row>
    <row r="1131" spans="5:13">
      <c r="E1131" s="352"/>
      <c r="F1131" s="352">
        <v>8</v>
      </c>
      <c r="G1131" s="352" t="s">
        <v>842</v>
      </c>
      <c r="H1131" s="352" t="s">
        <v>2930</v>
      </c>
      <c r="I1131" s="352">
        <v>25.75</v>
      </c>
      <c r="J1131" s="352" t="s">
        <v>3363</v>
      </c>
      <c r="K1131" s="352">
        <v>206</v>
      </c>
      <c r="L1131" s="352"/>
      <c r="M1131" s="352"/>
    </row>
    <row r="1132" spans="5:13">
      <c r="E1132" s="352"/>
      <c r="F1132" s="352">
        <v>1</v>
      </c>
      <c r="G1132" s="352" t="s">
        <v>1419</v>
      </c>
      <c r="H1132" s="352" t="s">
        <v>2931</v>
      </c>
      <c r="I1132" s="352">
        <v>1690</v>
      </c>
      <c r="J1132" s="352" t="s">
        <v>1423</v>
      </c>
      <c r="K1132" s="352">
        <v>1690</v>
      </c>
      <c r="L1132" s="352"/>
      <c r="M1132" s="352"/>
    </row>
    <row r="1133" spans="5:13">
      <c r="E1133" s="352"/>
      <c r="F1133" s="352"/>
      <c r="G1133" s="352"/>
      <c r="H1133" s="352" t="s">
        <v>2538</v>
      </c>
      <c r="I1133" s="352" t="s">
        <v>669</v>
      </c>
      <c r="J1133" s="352"/>
      <c r="K1133" s="352">
        <v>15.53</v>
      </c>
      <c r="L1133" s="352"/>
      <c r="M1133" s="352"/>
    </row>
    <row r="1134" spans="5:13">
      <c r="E1134" s="352"/>
      <c r="F1134" s="352"/>
      <c r="G1134" s="352"/>
      <c r="H1134" s="273" t="s">
        <v>2411</v>
      </c>
      <c r="I1134" s="352"/>
      <c r="J1134" s="352"/>
      <c r="K1134" s="352">
        <v>2173.5300000000002</v>
      </c>
      <c r="L1134" s="352"/>
      <c r="M1134" s="352"/>
    </row>
    <row r="1135" spans="5:13">
      <c r="E1135" s="352"/>
      <c r="F1135" s="352"/>
      <c r="G1135" s="352"/>
      <c r="H1135" s="352"/>
      <c r="I1135" s="352"/>
      <c r="J1135" s="352"/>
      <c r="K1135" s="352"/>
      <c r="L1135" s="352"/>
      <c r="M1135" s="352"/>
    </row>
    <row r="1136" spans="5:13">
      <c r="E1136" s="352"/>
      <c r="F1136" s="352"/>
      <c r="G1136" s="352"/>
      <c r="H1136" s="352" t="s">
        <v>2539</v>
      </c>
      <c r="I1136" s="352"/>
      <c r="J1136" s="352"/>
      <c r="K1136" s="361"/>
      <c r="L1136" s="352"/>
      <c r="M1136" s="352"/>
    </row>
    <row r="1137" spans="5:13">
      <c r="E1137" s="352"/>
      <c r="F1137" s="352">
        <v>1</v>
      </c>
      <c r="G1137" s="352" t="s">
        <v>1419</v>
      </c>
      <c r="H1137" s="357" t="s">
        <v>2753</v>
      </c>
      <c r="I1137" s="352">
        <v>898</v>
      </c>
      <c r="J1137" s="352" t="s">
        <v>1419</v>
      </c>
      <c r="K1137" s="358">
        <v>898</v>
      </c>
      <c r="L1137" s="352"/>
      <c r="M1137" s="352"/>
    </row>
    <row r="1138" spans="5:13">
      <c r="E1138" s="352"/>
      <c r="F1138" s="352">
        <v>1</v>
      </c>
      <c r="G1138" s="352" t="s">
        <v>1419</v>
      </c>
      <c r="H1138" s="359" t="s">
        <v>2814</v>
      </c>
      <c r="I1138" s="352">
        <v>783</v>
      </c>
      <c r="J1138" s="352" t="s">
        <v>1419</v>
      </c>
      <c r="K1138" s="360">
        <v>783</v>
      </c>
      <c r="L1138" s="352"/>
      <c r="M1138" s="352"/>
    </row>
    <row r="1139" spans="5:13">
      <c r="E1139" s="352"/>
      <c r="F1139" s="352">
        <v>2</v>
      </c>
      <c r="G1139" s="352" t="s">
        <v>1419</v>
      </c>
      <c r="H1139" s="352" t="s">
        <v>2633</v>
      </c>
      <c r="I1139" s="352">
        <v>778</v>
      </c>
      <c r="J1139" s="352" t="s">
        <v>1419</v>
      </c>
      <c r="K1139" s="352">
        <v>1556</v>
      </c>
      <c r="L1139" s="352"/>
      <c r="M1139" s="352"/>
    </row>
    <row r="1140" spans="5:13">
      <c r="E1140" s="352"/>
      <c r="F1140" s="352">
        <v>3</v>
      </c>
      <c r="G1140" s="352" t="s">
        <v>1419</v>
      </c>
      <c r="H1140" s="352" t="s">
        <v>2370</v>
      </c>
      <c r="I1140" s="352">
        <v>611</v>
      </c>
      <c r="J1140" s="352" t="s">
        <v>1419</v>
      </c>
      <c r="K1140" s="352">
        <v>1833</v>
      </c>
      <c r="L1140" s="352"/>
      <c r="M1140" s="352"/>
    </row>
    <row r="1141" spans="5:13">
      <c r="E1141" s="352"/>
      <c r="F1141" s="352"/>
      <c r="G1141" s="352"/>
      <c r="H1141" s="352" t="s">
        <v>2917</v>
      </c>
      <c r="I1141" s="352"/>
      <c r="J1141" s="352"/>
      <c r="K1141" s="352">
        <v>5070</v>
      </c>
      <c r="L1141" s="352"/>
      <c r="M1141" s="352"/>
    </row>
    <row r="1142" spans="5:13">
      <c r="E1142" s="352"/>
      <c r="F1142" s="352"/>
      <c r="G1142" s="352"/>
      <c r="H1142" s="352" t="s">
        <v>2841</v>
      </c>
      <c r="I1142" s="352"/>
      <c r="J1142" s="352"/>
      <c r="K1142" s="352">
        <v>1690</v>
      </c>
      <c r="L1142" s="352"/>
      <c r="M1142" s="352"/>
    </row>
    <row r="1143" spans="5:13">
      <c r="E1143" s="352"/>
      <c r="F1143" s="352"/>
      <c r="G1143" s="352"/>
      <c r="H1143" s="352"/>
      <c r="I1143" s="352"/>
      <c r="J1143" s="352"/>
      <c r="K1143" s="352"/>
      <c r="L1143" s="352"/>
      <c r="M1143" s="352"/>
    </row>
    <row r="1144" spans="5:13">
      <c r="E1144" s="352"/>
      <c r="F1144" s="352"/>
      <c r="G1144" s="352"/>
      <c r="H1144" s="352"/>
      <c r="I1144" s="352"/>
      <c r="J1144" s="352"/>
      <c r="K1144" s="352"/>
      <c r="L1144" s="352"/>
      <c r="M1144" s="352"/>
    </row>
    <row r="1145" spans="5:13">
      <c r="E1145" s="352"/>
      <c r="F1145" s="352"/>
      <c r="G1145" s="352"/>
      <c r="H1145" s="352" t="s">
        <v>2413</v>
      </c>
      <c r="I1145" s="352"/>
      <c r="J1145" s="352"/>
      <c r="K1145" s="352"/>
      <c r="L1145" s="352"/>
      <c r="M1145" s="352"/>
    </row>
    <row r="1146" spans="5:13">
      <c r="E1146" s="352"/>
      <c r="F1146" s="352"/>
      <c r="G1146" s="352"/>
      <c r="H1146" s="352"/>
      <c r="I1146" s="352"/>
      <c r="J1146" s="352"/>
      <c r="K1146" s="352"/>
      <c r="L1146" s="352"/>
      <c r="M1146" s="352"/>
    </row>
    <row r="1147" spans="5:13">
      <c r="E1147" s="352"/>
      <c r="F1147" s="352"/>
      <c r="G1147" s="352"/>
      <c r="H1147" s="352" t="s">
        <v>4868</v>
      </c>
      <c r="I1147" s="352"/>
      <c r="J1147" s="352"/>
      <c r="K1147" s="352"/>
      <c r="L1147" s="352"/>
      <c r="M1147" s="352"/>
    </row>
    <row r="1148" spans="5:13">
      <c r="E1148" s="352"/>
      <c r="F1148" s="352"/>
      <c r="G1148" s="352"/>
      <c r="H1148" s="352"/>
      <c r="I1148" s="352"/>
      <c r="J1148" s="352"/>
      <c r="K1148" s="352"/>
      <c r="L1148" s="352"/>
      <c r="M1148" s="352"/>
    </row>
    <row r="1149" spans="5:13">
      <c r="E1149" s="352"/>
      <c r="F1149" s="352">
        <v>1</v>
      </c>
      <c r="G1149" s="352" t="s">
        <v>1419</v>
      </c>
      <c r="H1149" s="352" t="s">
        <v>5919</v>
      </c>
      <c r="I1149" s="352">
        <v>11890</v>
      </c>
      <c r="J1149" s="352" t="s">
        <v>1419</v>
      </c>
      <c r="K1149" s="352">
        <f>F1149*I1149</f>
        <v>11890</v>
      </c>
      <c r="L1149" s="352">
        <v>1193</v>
      </c>
      <c r="M1149" s="352"/>
    </row>
    <row r="1150" spans="5:13">
      <c r="E1150" s="352"/>
      <c r="F1150" s="352">
        <v>1</v>
      </c>
      <c r="G1150" s="352" t="s">
        <v>1419</v>
      </c>
      <c r="H1150" s="352" t="s">
        <v>931</v>
      </c>
      <c r="I1150" s="352">
        <v>2173.5300000000002</v>
      </c>
      <c r="J1150" s="352" t="s">
        <v>1419</v>
      </c>
      <c r="K1150" s="352">
        <f>F1150*I1150</f>
        <v>2173.5300000000002</v>
      </c>
      <c r="L1150" s="352">
        <v>2173.5300000000002</v>
      </c>
      <c r="M1150" s="352"/>
    </row>
    <row r="1151" spans="5:13">
      <c r="E1151" s="352"/>
      <c r="F1151" s="352"/>
      <c r="G1151" s="352"/>
      <c r="H1151" s="352" t="s">
        <v>2310</v>
      </c>
      <c r="I1151" s="352"/>
      <c r="J1151" s="352"/>
      <c r="K1151" s="352"/>
      <c r="L1151" s="352"/>
      <c r="M1151" s="352"/>
    </row>
    <row r="1152" spans="5:13">
      <c r="E1152" s="352"/>
      <c r="F1152" s="352"/>
      <c r="G1152" s="352"/>
      <c r="H1152" s="352" t="s">
        <v>1083</v>
      </c>
      <c r="I1152" s="352"/>
      <c r="J1152" s="352"/>
      <c r="K1152" s="352">
        <f>SUM(K1149:K1151)</f>
        <v>14063.53</v>
      </c>
      <c r="L1152" s="352">
        <v>3366.53</v>
      </c>
      <c r="M1152" s="352"/>
    </row>
    <row r="1153" spans="5:13">
      <c r="E1153" s="352"/>
      <c r="F1153" s="352"/>
      <c r="G1153" s="352"/>
      <c r="H1153" s="352"/>
      <c r="I1153" s="352"/>
      <c r="J1153" s="352"/>
      <c r="K1153" s="352"/>
      <c r="L1153" s="352"/>
      <c r="M1153" s="352"/>
    </row>
    <row r="1154" spans="5:13">
      <c r="E1154" s="352"/>
      <c r="F1154" s="352"/>
      <c r="G1154" s="352"/>
      <c r="H1154" s="352"/>
      <c r="I1154" s="352"/>
      <c r="J1154" s="352"/>
      <c r="K1154" s="352"/>
      <c r="L1154" s="352"/>
      <c r="M1154" s="352"/>
    </row>
    <row r="1155" spans="5:13">
      <c r="E1155" s="352"/>
      <c r="F1155" s="352"/>
      <c r="G1155" s="352"/>
      <c r="H1155" s="352" t="s">
        <v>4895</v>
      </c>
      <c r="I1155" s="352"/>
      <c r="J1155" s="352"/>
      <c r="K1155" s="352"/>
      <c r="L1155" s="352"/>
      <c r="M1155" s="352"/>
    </row>
    <row r="1156" spans="5:13">
      <c r="E1156" s="352"/>
      <c r="F1156" s="352">
        <v>1</v>
      </c>
      <c r="G1156" s="352" t="s">
        <v>570</v>
      </c>
      <c r="H1156" s="352" t="s">
        <v>5231</v>
      </c>
      <c r="I1156" s="352">
        <v>5363</v>
      </c>
      <c r="J1156" s="352" t="s">
        <v>570</v>
      </c>
      <c r="K1156" s="352">
        <v>5363</v>
      </c>
      <c r="L1156" s="352"/>
      <c r="M1156" s="352"/>
    </row>
    <row r="1157" spans="5:13">
      <c r="E1157" s="352"/>
      <c r="F1157" s="352">
        <v>1</v>
      </c>
      <c r="G1157" s="352" t="s">
        <v>570</v>
      </c>
      <c r="H1157" s="352" t="s">
        <v>5920</v>
      </c>
      <c r="I1157" s="352">
        <v>1633</v>
      </c>
      <c r="J1157" s="352" t="s">
        <v>570</v>
      </c>
      <c r="K1157" s="352">
        <v>1633</v>
      </c>
      <c r="L1157" s="352"/>
      <c r="M1157" s="352"/>
    </row>
    <row r="1158" spans="5:13">
      <c r="E1158" s="352"/>
      <c r="F1158" s="352">
        <v>3</v>
      </c>
      <c r="G1158" s="352" t="s">
        <v>570</v>
      </c>
      <c r="H1158" s="352" t="s">
        <v>5921</v>
      </c>
      <c r="I1158" s="352">
        <v>2178</v>
      </c>
      <c r="J1158" s="352" t="s">
        <v>570</v>
      </c>
      <c r="K1158" s="352">
        <v>6534</v>
      </c>
      <c r="L1158" s="352"/>
      <c r="M1158" s="352"/>
    </row>
    <row r="1159" spans="5:13">
      <c r="E1159" s="352"/>
      <c r="F1159" s="352">
        <v>3</v>
      </c>
      <c r="G1159" s="352" t="s">
        <v>570</v>
      </c>
      <c r="H1159" s="352" t="s">
        <v>5922</v>
      </c>
      <c r="I1159" s="352">
        <v>837</v>
      </c>
      <c r="J1159" s="352" t="s">
        <v>570</v>
      </c>
      <c r="K1159" s="352">
        <v>2511</v>
      </c>
      <c r="L1159" s="352"/>
      <c r="M1159" s="352"/>
    </row>
    <row r="1160" spans="5:13">
      <c r="E1160" s="352"/>
      <c r="F1160" s="352">
        <v>12</v>
      </c>
      <c r="G1160" s="352" t="s">
        <v>570</v>
      </c>
      <c r="H1160" s="352" t="s">
        <v>5923</v>
      </c>
      <c r="I1160" s="352">
        <v>174</v>
      </c>
      <c r="J1160" s="352" t="s">
        <v>570</v>
      </c>
      <c r="K1160" s="352">
        <v>2088</v>
      </c>
      <c r="L1160" s="352"/>
      <c r="M1160" s="352"/>
    </row>
    <row r="1161" spans="5:13">
      <c r="E1161" s="352"/>
      <c r="F1161" s="352"/>
      <c r="G1161" s="352" t="s">
        <v>669</v>
      </c>
      <c r="H1161" s="352" t="s">
        <v>4898</v>
      </c>
      <c r="I1161" s="352"/>
      <c r="J1161" s="352" t="s">
        <v>669</v>
      </c>
      <c r="K1161" s="352">
        <v>55.3</v>
      </c>
      <c r="L1161" s="352"/>
      <c r="M1161" s="352"/>
    </row>
    <row r="1162" spans="5:13">
      <c r="E1162" s="352"/>
      <c r="F1162" s="352"/>
      <c r="G1162" s="352" t="s">
        <v>669</v>
      </c>
      <c r="H1162" s="352" t="s">
        <v>4899</v>
      </c>
      <c r="I1162" s="352" t="s">
        <v>669</v>
      </c>
      <c r="J1162" s="352"/>
      <c r="K1162" s="352">
        <v>24</v>
      </c>
      <c r="L1162" s="352"/>
      <c r="M1162" s="352"/>
    </row>
    <row r="1163" spans="5:13">
      <c r="E1163" s="352"/>
      <c r="F1163" s="352"/>
      <c r="G1163" s="352"/>
      <c r="H1163" s="352"/>
      <c r="I1163" s="352"/>
      <c r="J1163" s="352"/>
      <c r="K1163" s="352">
        <v>18208.3</v>
      </c>
      <c r="L1163" s="352"/>
      <c r="M1163" s="352"/>
    </row>
    <row r="1164" spans="5:13">
      <c r="E1164" s="352"/>
      <c r="F1164" s="352"/>
      <c r="G1164" s="352"/>
      <c r="H1164" s="352" t="s">
        <v>2546</v>
      </c>
      <c r="I1164" s="352"/>
      <c r="J1164" s="352"/>
      <c r="K1164" s="352">
        <v>182.08</v>
      </c>
      <c r="L1164" s="352"/>
      <c r="M1164" s="352"/>
    </row>
    <row r="1165" spans="5:13">
      <c r="E1165" s="352"/>
      <c r="F1165" s="352"/>
      <c r="G1165" s="352"/>
      <c r="H1165" s="352" t="s">
        <v>5368</v>
      </c>
      <c r="I1165" s="352"/>
      <c r="J1165" s="352"/>
      <c r="K1165" s="352">
        <v>2252</v>
      </c>
      <c r="L1165" s="352"/>
      <c r="M1165" s="352"/>
    </row>
    <row r="1166" spans="5:13">
      <c r="E1166" s="352"/>
      <c r="F1166" s="352"/>
      <c r="G1166" s="352"/>
      <c r="H1166" s="352" t="s">
        <v>2411</v>
      </c>
      <c r="I1166" s="352"/>
      <c r="J1166" s="352"/>
      <c r="K1166" s="352">
        <v>20642.38</v>
      </c>
      <c r="L1166" s="352"/>
      <c r="M1166" s="352"/>
    </row>
    <row r="1167" spans="5:13">
      <c r="E1167" s="352"/>
      <c r="F1167" s="352"/>
      <c r="G1167" s="352"/>
      <c r="H1167" s="352" t="s">
        <v>4399</v>
      </c>
      <c r="I1167" s="352"/>
      <c r="J1167" s="352"/>
      <c r="K1167" s="352">
        <v>20473</v>
      </c>
      <c r="L1167" s="352"/>
      <c r="M1167" s="352"/>
    </row>
    <row r="1168" spans="5:13">
      <c r="E1168" s="352"/>
      <c r="F1168" s="352"/>
      <c r="G1168" s="352"/>
      <c r="H1168" s="352"/>
      <c r="I1168" s="352"/>
      <c r="J1168" s="352"/>
      <c r="K1168" s="352"/>
      <c r="L1168" s="352"/>
      <c r="M1168" s="352"/>
    </row>
    <row r="1169" spans="5:13">
      <c r="E1169" s="352"/>
      <c r="F1169" s="352"/>
      <c r="G1169" s="352"/>
      <c r="H1169" s="352"/>
      <c r="I1169" s="352"/>
      <c r="J1169" s="352"/>
      <c r="K1169" s="352"/>
      <c r="L1169" s="352"/>
      <c r="M1169" s="352"/>
    </row>
    <row r="1170" spans="5:13">
      <c r="E1170" s="352"/>
      <c r="F1170" s="352"/>
      <c r="G1170" s="352"/>
      <c r="H1170" s="352"/>
      <c r="I1170" s="352"/>
      <c r="J1170" s="352"/>
      <c r="K1170" s="352"/>
      <c r="L1170" s="352"/>
      <c r="M1170" s="352"/>
    </row>
    <row r="1171" spans="5:13">
      <c r="E1171" s="352"/>
      <c r="F1171" s="352"/>
      <c r="G1171" s="352"/>
      <c r="H1171" s="352"/>
      <c r="I1171" s="352"/>
      <c r="J1171" s="352"/>
      <c r="K1171" s="352"/>
      <c r="L1171" s="352"/>
      <c r="M1171" s="352"/>
    </row>
    <row r="1172" spans="5:13">
      <c r="E1172" s="352"/>
      <c r="F1172" s="352"/>
      <c r="G1172" s="352"/>
      <c r="H1172" s="352"/>
      <c r="I1172" s="352"/>
      <c r="J1172" s="352"/>
      <c r="K1172" s="352"/>
      <c r="L1172" s="352"/>
      <c r="M1172" s="352"/>
    </row>
    <row r="1173" spans="5:13">
      <c r="E1173" s="352"/>
      <c r="F1173" s="352"/>
      <c r="G1173" s="352"/>
      <c r="H1173" s="352"/>
      <c r="I1173" s="352"/>
      <c r="J1173" s="352"/>
      <c r="K1173" s="352"/>
      <c r="L1173" s="352"/>
      <c r="M1173" s="352"/>
    </row>
    <row r="1174" spans="5:13">
      <c r="E1174" s="352"/>
      <c r="F1174" s="352"/>
      <c r="G1174" s="352"/>
      <c r="H1174" s="352"/>
      <c r="I1174" s="352"/>
      <c r="J1174" s="352"/>
      <c r="K1174" s="352"/>
      <c r="L1174" s="352"/>
      <c r="M1174" s="352"/>
    </row>
    <row r="1175" spans="5:13">
      <c r="E1175" s="352"/>
      <c r="F1175" s="352"/>
      <c r="G1175" s="352"/>
      <c r="H1175" s="352"/>
      <c r="I1175" s="352"/>
      <c r="J1175" s="352"/>
      <c r="K1175" s="352"/>
      <c r="L1175" s="352"/>
      <c r="M1175" s="352"/>
    </row>
    <row r="1176" spans="5:13">
      <c r="E1176" s="352"/>
      <c r="F1176" s="352"/>
      <c r="G1176" s="352"/>
      <c r="H1176" s="352"/>
      <c r="I1176" s="352"/>
      <c r="J1176" s="352"/>
      <c r="K1176" s="352"/>
      <c r="L1176" s="352"/>
      <c r="M1176" s="352"/>
    </row>
    <row r="1177" spans="5:13">
      <c r="E1177" s="352"/>
      <c r="F1177" s="352"/>
      <c r="G1177" s="352"/>
      <c r="H1177" s="352"/>
      <c r="I1177" s="352"/>
      <c r="J1177" s="352"/>
      <c r="K1177" s="352"/>
      <c r="L1177" s="352"/>
      <c r="M1177" s="352"/>
    </row>
    <row r="1178" spans="5:13">
      <c r="E1178" s="352"/>
      <c r="F1178" s="352"/>
      <c r="G1178" s="352"/>
      <c r="H1178" s="352"/>
      <c r="I1178" s="352"/>
      <c r="J1178" s="352"/>
      <c r="K1178" s="352"/>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52"/>
      <c r="I1183" s="352"/>
      <c r="J1183" s="352"/>
      <c r="K1183" s="352"/>
      <c r="L1183" s="352"/>
      <c r="M1183" s="352"/>
    </row>
    <row r="1184" spans="5:13">
      <c r="E1184" s="352"/>
      <c r="F1184" s="352"/>
      <c r="G1184" s="352"/>
      <c r="H1184" s="352"/>
      <c r="I1184" s="352"/>
      <c r="J1184" s="352"/>
      <c r="K1184" s="352"/>
      <c r="L1184" s="352"/>
      <c r="M1184" s="352"/>
    </row>
    <row r="1185" spans="5:13">
      <c r="E1185" s="352"/>
      <c r="F1185" s="352"/>
      <c r="G1185" s="352"/>
      <c r="H1185" s="352"/>
      <c r="I1185" s="352"/>
      <c r="J1185" s="352"/>
      <c r="K1185" s="352"/>
      <c r="L1185" s="352"/>
      <c r="M1185" s="352"/>
    </row>
    <row r="1186" spans="5:13">
      <c r="E1186" s="352"/>
      <c r="F1186" s="352"/>
      <c r="G1186" s="352"/>
      <c r="H1186" s="352"/>
      <c r="I1186" s="352"/>
      <c r="J1186" s="352"/>
      <c r="K1186" s="352"/>
      <c r="L1186" s="352"/>
      <c r="M1186" s="352"/>
    </row>
    <row r="1187" spans="5:13">
      <c r="E1187" s="352"/>
      <c r="F1187" s="352"/>
      <c r="G1187" s="352"/>
      <c r="H1187" s="352"/>
      <c r="I1187" s="352"/>
      <c r="J1187" s="352"/>
      <c r="K1187" s="352"/>
      <c r="L1187" s="352"/>
      <c r="M1187" s="352"/>
    </row>
    <row r="1188" spans="5:13">
      <c r="E1188" s="352"/>
      <c r="F1188" s="352"/>
      <c r="G1188" s="352"/>
      <c r="H1188" s="352"/>
      <c r="I1188" s="352"/>
      <c r="J1188" s="352"/>
      <c r="K1188" s="352"/>
      <c r="L1188" s="352"/>
      <c r="M1188" s="352"/>
    </row>
    <row r="1189" spans="5:13">
      <c r="E1189" s="352"/>
      <c r="F1189" s="352"/>
      <c r="G1189" s="352"/>
      <c r="H1189" s="352"/>
      <c r="I1189" s="352"/>
      <c r="J1189" s="352"/>
      <c r="K1189" s="352"/>
      <c r="L1189" s="352"/>
      <c r="M1189" s="352"/>
    </row>
    <row r="1190" spans="5:13">
      <c r="E1190" s="352"/>
      <c r="F1190" s="352"/>
      <c r="G1190" s="352"/>
      <c r="H1190" s="352"/>
      <c r="I1190" s="352"/>
      <c r="J1190" s="352"/>
      <c r="K1190" s="352"/>
      <c r="L1190" s="352"/>
      <c r="M1190" s="352"/>
    </row>
    <row r="1191" spans="5:13">
      <c r="E1191" s="352"/>
      <c r="F1191" s="352"/>
      <c r="G1191" s="352"/>
      <c r="H1191" s="352"/>
      <c r="I1191" s="352"/>
      <c r="J1191" s="352"/>
      <c r="K1191" s="352"/>
      <c r="L1191" s="352"/>
      <c r="M1191" s="352"/>
    </row>
    <row r="1192" spans="5:13">
      <c r="E1192" s="352"/>
      <c r="F1192" s="352"/>
      <c r="G1192" s="352"/>
      <c r="H1192" s="352"/>
      <c r="I1192" s="352"/>
      <c r="J1192" s="352"/>
      <c r="K1192" s="352"/>
      <c r="L1192" s="352"/>
      <c r="M1192" s="352"/>
    </row>
    <row r="1193" spans="5:13">
      <c r="E1193" s="352"/>
      <c r="F1193" s="352"/>
      <c r="G1193" s="352"/>
      <c r="H1193" s="352"/>
      <c r="I1193" s="352"/>
      <c r="J1193" s="352"/>
      <c r="K1193" s="352"/>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352"/>
      <c r="G1196" s="352"/>
      <c r="H1196" s="352"/>
      <c r="I1196" s="352"/>
      <c r="J1196" s="352"/>
      <c r="K1196" s="352"/>
      <c r="L1196" s="352"/>
      <c r="M1196" s="352"/>
    </row>
    <row r="1197" spans="5:13">
      <c r="E1197" s="352"/>
      <c r="F1197" s="352"/>
      <c r="G1197" s="352"/>
      <c r="H1197" s="352"/>
      <c r="I1197" s="352"/>
      <c r="J1197" s="352"/>
      <c r="K1197" s="352"/>
      <c r="L1197" s="352"/>
      <c r="M1197" s="352"/>
    </row>
    <row r="1198" spans="5:13">
      <c r="E1198" s="352"/>
      <c r="F1198" s="352"/>
      <c r="G1198" s="352"/>
      <c r="H1198" s="352"/>
      <c r="I1198" s="352"/>
      <c r="J1198" s="352"/>
      <c r="K1198" s="352"/>
      <c r="L1198" s="352"/>
      <c r="M1198" s="352"/>
    </row>
    <row r="1199" spans="5:13">
      <c r="E1199" s="352"/>
      <c r="F1199" s="352"/>
      <c r="G1199" s="352"/>
      <c r="H1199" s="352"/>
      <c r="I1199" s="352"/>
      <c r="J1199" s="352"/>
      <c r="K1199" s="352"/>
      <c r="L1199" s="352"/>
      <c r="M1199" s="352"/>
    </row>
    <row r="1200" spans="5:13">
      <c r="E1200" s="352"/>
      <c r="F1200" s="352"/>
      <c r="G1200" s="352"/>
      <c r="H1200" s="352"/>
      <c r="I1200" s="352"/>
      <c r="J1200" s="352"/>
      <c r="K1200" s="352"/>
      <c r="L1200" s="352"/>
      <c r="M1200" s="352"/>
    </row>
    <row r="1201" spans="5:13">
      <c r="E1201" s="352"/>
      <c r="F1201" s="352"/>
      <c r="G1201" s="352"/>
      <c r="H1201" s="352"/>
      <c r="I1201" s="352"/>
      <c r="J1201" s="352"/>
      <c r="K1201" s="352"/>
      <c r="L1201" s="352"/>
      <c r="M1201" s="352"/>
    </row>
    <row r="1202" spans="5:13">
      <c r="E1202" s="352"/>
      <c r="F1202" s="352"/>
      <c r="G1202" s="352"/>
      <c r="H1202" s="352"/>
      <c r="I1202" s="352"/>
      <c r="J1202" s="352"/>
      <c r="K1202" s="352"/>
      <c r="L1202" s="352"/>
      <c r="M1202" s="352"/>
    </row>
    <row r="1203" spans="5:13">
      <c r="E1203" s="352"/>
      <c r="F1203" s="352"/>
      <c r="G1203" s="352"/>
      <c r="H1203" s="352"/>
      <c r="I1203" s="352"/>
      <c r="J1203" s="352"/>
      <c r="K1203" s="352"/>
      <c r="L1203" s="352"/>
      <c r="M1203" s="352"/>
    </row>
    <row r="1204" spans="5:13">
      <c r="E1204" s="352"/>
      <c r="F1204" s="352"/>
      <c r="G1204" s="352"/>
      <c r="H1204" s="352"/>
      <c r="I1204" s="352"/>
      <c r="J1204" s="352"/>
      <c r="K1204" s="352"/>
      <c r="L1204" s="352"/>
      <c r="M1204" s="352"/>
    </row>
    <row r="1205" spans="5:13">
      <c r="E1205" s="352"/>
      <c r="F1205" s="352"/>
      <c r="G1205" s="352"/>
      <c r="H1205" s="352"/>
      <c r="I1205" s="352"/>
      <c r="J1205" s="352"/>
      <c r="K1205" s="352"/>
      <c r="L1205" s="352"/>
      <c r="M1205" s="352"/>
    </row>
    <row r="1206" spans="5:13">
      <c r="E1206" s="352"/>
      <c r="F1206" s="352"/>
      <c r="G1206" s="352"/>
      <c r="H1206" s="352"/>
      <c r="I1206" s="352"/>
      <c r="J1206" s="352"/>
      <c r="K1206" s="352"/>
      <c r="L1206" s="352"/>
      <c r="M1206" s="352"/>
    </row>
    <row r="1207" spans="5:13">
      <c r="E1207" s="352"/>
      <c r="F1207" s="352"/>
      <c r="G1207" s="352"/>
      <c r="H1207" s="352"/>
      <c r="I1207" s="352"/>
      <c r="J1207" s="352"/>
      <c r="K1207" s="352"/>
      <c r="L1207" s="352"/>
      <c r="M1207" s="352"/>
    </row>
    <row r="1208" spans="5:13">
      <c r="E1208" s="352"/>
      <c r="F1208" s="352"/>
      <c r="G1208" s="352"/>
      <c r="H1208" s="352"/>
      <c r="I1208" s="352"/>
      <c r="J1208" s="352"/>
      <c r="K1208" s="352"/>
      <c r="L1208" s="352"/>
      <c r="M1208" s="352"/>
    </row>
    <row r="1209" spans="5:13">
      <c r="E1209" s="352"/>
      <c r="F1209" s="352"/>
      <c r="G1209" s="352"/>
      <c r="H1209" s="352"/>
      <c r="I1209" s="352"/>
      <c r="J1209" s="352"/>
      <c r="K1209" s="352"/>
      <c r="L1209" s="352"/>
      <c r="M1209" s="352"/>
    </row>
    <row r="1210" spans="5:13">
      <c r="E1210" s="352"/>
      <c r="F1210" s="352"/>
      <c r="G1210" s="352"/>
      <c r="H1210" s="352"/>
      <c r="I1210" s="352"/>
      <c r="J1210" s="352"/>
      <c r="K1210" s="352"/>
      <c r="L1210" s="352"/>
      <c r="M1210" s="352"/>
    </row>
    <row r="1211" spans="5:13">
      <c r="E1211" s="352"/>
      <c r="F1211" s="352"/>
      <c r="G1211" s="352"/>
      <c r="H1211" s="352"/>
      <c r="I1211" s="352"/>
      <c r="J1211" s="352"/>
      <c r="K1211" s="352"/>
      <c r="L1211" s="352"/>
      <c r="M1211" s="352"/>
    </row>
    <row r="1212" spans="5:13">
      <c r="E1212" s="352"/>
      <c r="F1212" s="352"/>
      <c r="G1212" s="352"/>
      <c r="H1212" s="352"/>
      <c r="I1212" s="352"/>
      <c r="J1212" s="352"/>
      <c r="K1212" s="352"/>
      <c r="L1212" s="352"/>
      <c r="M1212" s="352"/>
    </row>
    <row r="1213" spans="5:13">
      <c r="E1213" s="352"/>
      <c r="F1213" s="352"/>
      <c r="G1213" s="352"/>
      <c r="H1213" s="352"/>
      <c r="I1213" s="352"/>
      <c r="J1213" s="352"/>
      <c r="K1213" s="352"/>
      <c r="L1213" s="352"/>
      <c r="M1213" s="352"/>
    </row>
    <row r="1214" spans="5:13">
      <c r="E1214" s="352"/>
      <c r="F1214" s="352"/>
      <c r="G1214" s="352"/>
      <c r="H1214" s="352"/>
      <c r="I1214" s="352"/>
      <c r="J1214" s="352"/>
      <c r="K1214" s="352"/>
      <c r="L1214" s="352"/>
      <c r="M1214" s="352"/>
    </row>
    <row r="1215" spans="5:13">
      <c r="E1215" s="352"/>
      <c r="F1215" s="352"/>
      <c r="G1215" s="352"/>
      <c r="H1215" s="352"/>
      <c r="I1215" s="352"/>
      <c r="J1215" s="352"/>
      <c r="K1215" s="352"/>
      <c r="L1215" s="352"/>
      <c r="M1215" s="352"/>
    </row>
    <row r="1216" spans="5:13">
      <c r="E1216" s="352"/>
      <c r="F1216" s="352"/>
      <c r="G1216" s="352"/>
      <c r="H1216" s="352"/>
      <c r="I1216" s="352"/>
      <c r="J1216" s="352"/>
      <c r="K1216" s="352"/>
      <c r="L1216" s="352"/>
      <c r="M1216" s="352"/>
    </row>
    <row r="1217" spans="5:13">
      <c r="E1217" s="352"/>
      <c r="F1217" s="352"/>
      <c r="G1217" s="352"/>
      <c r="H1217" s="352"/>
      <c r="I1217" s="352"/>
      <c r="J1217" s="352"/>
      <c r="K1217" s="352"/>
      <c r="L1217" s="352"/>
      <c r="M1217" s="352"/>
    </row>
    <row r="1218" spans="5:13">
      <c r="E1218" s="352"/>
      <c r="F1218" s="352"/>
      <c r="G1218" s="352"/>
      <c r="H1218" s="352"/>
      <c r="I1218" s="352"/>
      <c r="J1218" s="352"/>
      <c r="K1218" s="352"/>
      <c r="L1218" s="352"/>
      <c r="M1218" s="352"/>
    </row>
    <row r="1219" spans="5:13">
      <c r="E1219" s="352"/>
      <c r="F1219" s="352"/>
      <c r="G1219" s="352"/>
      <c r="H1219" s="352"/>
      <c r="I1219" s="352"/>
      <c r="J1219" s="352"/>
      <c r="K1219" s="352"/>
      <c r="L1219" s="352"/>
      <c r="M1219" s="352"/>
    </row>
    <row r="1220" spans="5:13">
      <c r="E1220" s="352"/>
      <c r="F1220" s="352"/>
      <c r="G1220" s="352"/>
      <c r="H1220" s="352"/>
      <c r="I1220" s="352"/>
      <c r="J1220" s="352"/>
      <c r="K1220" s="352"/>
      <c r="L1220" s="352"/>
      <c r="M1220" s="352"/>
    </row>
    <row r="1221" spans="5:13">
      <c r="E1221" s="352"/>
      <c r="F1221" s="352"/>
      <c r="G1221" s="352"/>
      <c r="H1221" s="352"/>
      <c r="I1221" s="352"/>
      <c r="J1221" s="352"/>
      <c r="K1221" s="352"/>
      <c r="L1221" s="352"/>
      <c r="M1221" s="352"/>
    </row>
    <row r="1222" spans="5:13">
      <c r="E1222" s="352"/>
      <c r="F1222" s="352"/>
      <c r="G1222" s="352"/>
      <c r="H1222" s="352"/>
      <c r="I1222" s="352"/>
      <c r="J1222" s="352"/>
      <c r="K1222" s="352"/>
      <c r="L1222" s="352"/>
      <c r="M1222" s="352"/>
    </row>
    <row r="1223" spans="5:13">
      <c r="E1223" s="352"/>
      <c r="F1223" s="352"/>
      <c r="G1223" s="352"/>
      <c r="H1223" s="352"/>
      <c r="I1223" s="352"/>
      <c r="J1223" s="352"/>
      <c r="K1223" s="352"/>
      <c r="L1223" s="352"/>
      <c r="M1223" s="352"/>
    </row>
    <row r="1224" spans="5:13">
      <c r="E1224" s="352"/>
      <c r="F1224" s="352"/>
      <c r="G1224" s="352"/>
      <c r="H1224" s="352"/>
      <c r="I1224" s="352"/>
      <c r="J1224" s="352"/>
      <c r="K1224" s="352"/>
      <c r="L1224" s="352"/>
      <c r="M1224" s="352"/>
    </row>
    <row r="1225" spans="5:13">
      <c r="E1225" s="352"/>
      <c r="F1225" s="352"/>
      <c r="G1225" s="352"/>
      <c r="H1225" s="352"/>
      <c r="I1225" s="352"/>
      <c r="J1225" s="352"/>
      <c r="K1225" s="352"/>
      <c r="L1225" s="352"/>
      <c r="M1225" s="352"/>
    </row>
    <row r="1226" spans="5:13">
      <c r="E1226" s="352"/>
      <c r="F1226" s="352"/>
      <c r="G1226" s="352"/>
      <c r="H1226" s="352"/>
      <c r="I1226" s="352"/>
      <c r="J1226" s="352"/>
      <c r="K1226" s="352"/>
      <c r="L1226" s="352"/>
      <c r="M1226" s="352"/>
    </row>
    <row r="1227" spans="5:13">
      <c r="E1227" s="352"/>
      <c r="F1227" s="352"/>
      <c r="G1227" s="352"/>
      <c r="H1227" s="352"/>
      <c r="I1227" s="352"/>
      <c r="J1227" s="352"/>
      <c r="K1227" s="352"/>
      <c r="L1227" s="352"/>
      <c r="M1227" s="352"/>
    </row>
    <row r="1228" spans="5:13">
      <c r="E1228" s="352"/>
      <c r="F1228" s="352"/>
      <c r="G1228" s="352"/>
      <c r="H1228" s="352"/>
      <c r="I1228" s="352"/>
      <c r="J1228" s="352"/>
      <c r="K1228" s="352"/>
      <c r="L1228" s="352"/>
      <c r="M1228" s="352"/>
    </row>
    <row r="1229" spans="5:13">
      <c r="E1229" s="352"/>
      <c r="F1229" s="352"/>
      <c r="G1229" s="352"/>
      <c r="H1229" s="352"/>
      <c r="I1229" s="352"/>
      <c r="J1229" s="352"/>
      <c r="K1229" s="352"/>
      <c r="L1229" s="352"/>
      <c r="M1229" s="352"/>
    </row>
    <row r="1230" spans="5:13">
      <c r="E1230" s="352"/>
      <c r="F1230" s="352"/>
      <c r="G1230" s="352"/>
      <c r="H1230" s="352"/>
      <c r="I1230" s="352"/>
      <c r="J1230" s="352"/>
      <c r="K1230" s="352"/>
      <c r="L1230" s="352"/>
      <c r="M1230" s="352"/>
    </row>
    <row r="1231" spans="5:13">
      <c r="E1231" s="352"/>
      <c r="F1231" s="352"/>
      <c r="G1231" s="352"/>
      <c r="H1231" s="352"/>
      <c r="I1231" s="352"/>
      <c r="J1231" s="352"/>
      <c r="K1231" s="352"/>
      <c r="L1231" s="352"/>
      <c r="M1231" s="352"/>
    </row>
    <row r="1232" spans="5:13">
      <c r="E1232" s="352"/>
      <c r="F1232" s="352"/>
      <c r="G1232" s="352"/>
      <c r="H1232" s="352"/>
      <c r="I1232" s="352"/>
      <c r="J1232" s="352"/>
      <c r="K1232" s="352"/>
      <c r="L1232" s="352"/>
      <c r="M1232" s="352"/>
    </row>
    <row r="1233" spans="5:13">
      <c r="E1233" s="352"/>
      <c r="F1233" s="352"/>
      <c r="G1233" s="352"/>
      <c r="H1233" s="352"/>
      <c r="I1233" s="352"/>
      <c r="J1233" s="352"/>
      <c r="K1233" s="352"/>
      <c r="L1233" s="352"/>
      <c r="M1233" s="352"/>
    </row>
    <row r="1234" spans="5:13">
      <c r="E1234" s="352"/>
      <c r="F1234" s="352"/>
      <c r="G1234" s="352"/>
      <c r="H1234" s="352"/>
      <c r="I1234" s="352"/>
      <c r="J1234" s="352"/>
      <c r="K1234" s="352"/>
      <c r="L1234" s="352"/>
      <c r="M1234" s="352"/>
    </row>
    <row r="1235" spans="5:13">
      <c r="E1235" s="352"/>
      <c r="F1235" s="352"/>
      <c r="G1235" s="352"/>
      <c r="H1235" s="352"/>
      <c r="I1235" s="352"/>
      <c r="J1235" s="352"/>
      <c r="K1235" s="352"/>
      <c r="L1235" s="352"/>
      <c r="M1235" s="352"/>
    </row>
    <row r="1236" spans="5:13">
      <c r="E1236" s="352"/>
      <c r="F1236" s="352"/>
      <c r="G1236" s="352"/>
      <c r="H1236" s="352"/>
      <c r="I1236" s="352"/>
      <c r="J1236" s="352"/>
      <c r="K1236" s="352"/>
      <c r="L1236" s="352"/>
      <c r="M1236" s="352"/>
    </row>
    <row r="1237" spans="5:13">
      <c r="E1237" s="352"/>
      <c r="F1237" s="352"/>
      <c r="G1237" s="352"/>
      <c r="H1237" s="352"/>
      <c r="I1237" s="352"/>
      <c r="J1237" s="352"/>
      <c r="K1237" s="352"/>
      <c r="L1237" s="352"/>
      <c r="M1237" s="352"/>
    </row>
    <row r="1238" spans="5:13">
      <c r="E1238" s="352"/>
      <c r="F1238" s="352"/>
      <c r="G1238" s="352"/>
      <c r="H1238" s="352"/>
      <c r="I1238" s="352"/>
      <c r="J1238" s="352"/>
      <c r="K1238" s="352"/>
      <c r="L1238" s="352"/>
      <c r="M1238" s="352"/>
    </row>
    <row r="1239" spans="5:13">
      <c r="E1239" s="352"/>
      <c r="F1239" s="352"/>
      <c r="G1239" s="352"/>
      <c r="H1239" s="352"/>
      <c r="I1239" s="352"/>
      <c r="J1239" s="352"/>
      <c r="K1239" s="352"/>
      <c r="L1239" s="352"/>
      <c r="M1239" s="352"/>
    </row>
    <row r="1240" spans="5:13">
      <c r="E1240" s="352"/>
      <c r="F1240" s="352"/>
      <c r="G1240" s="352"/>
      <c r="H1240" s="352"/>
      <c r="I1240" s="352"/>
      <c r="J1240" s="352"/>
      <c r="K1240" s="352"/>
      <c r="L1240" s="352"/>
      <c r="M1240" s="352"/>
    </row>
    <row r="1241" spans="5:13">
      <c r="E1241" s="352"/>
      <c r="F1241" s="352"/>
      <c r="G1241" s="352"/>
      <c r="H1241" s="352"/>
      <c r="I1241" s="352"/>
      <c r="J1241" s="352"/>
      <c r="K1241" s="352"/>
      <c r="L1241" s="352"/>
      <c r="M1241" s="352"/>
    </row>
    <row r="1242" spans="5:13">
      <c r="E1242" s="352"/>
      <c r="F1242" s="352"/>
      <c r="G1242" s="352"/>
      <c r="H1242" s="352"/>
      <c r="I1242" s="352"/>
      <c r="J1242" s="352"/>
      <c r="K1242" s="352"/>
      <c r="L1242" s="352"/>
      <c r="M1242" s="352"/>
    </row>
    <row r="1243" spans="5:13">
      <c r="E1243" s="352"/>
      <c r="F1243" s="352"/>
      <c r="G1243" s="352"/>
      <c r="H1243" s="352"/>
      <c r="I1243" s="352"/>
      <c r="J1243" s="352"/>
      <c r="K1243" s="352"/>
      <c r="L1243" s="352"/>
      <c r="M1243" s="352"/>
    </row>
    <row r="1244" spans="5:13">
      <c r="E1244" s="352"/>
      <c r="F1244" s="352"/>
      <c r="G1244" s="352"/>
      <c r="H1244" s="352"/>
      <c r="I1244" s="352"/>
      <c r="J1244" s="352"/>
      <c r="K1244" s="352"/>
      <c r="L1244" s="352"/>
      <c r="M1244" s="352"/>
    </row>
    <row r="1245" spans="5:13">
      <c r="E1245" s="352"/>
      <c r="F1245" s="352"/>
      <c r="G1245" s="352"/>
      <c r="H1245" s="352"/>
      <c r="I1245" s="352"/>
      <c r="J1245" s="352"/>
      <c r="K1245" s="352"/>
      <c r="L1245" s="352"/>
      <c r="M1245" s="352"/>
    </row>
    <row r="1246" spans="5:13">
      <c r="E1246" s="352"/>
      <c r="F1246" s="352"/>
      <c r="G1246" s="352"/>
      <c r="H1246" s="352"/>
      <c r="I1246" s="352"/>
      <c r="J1246" s="352"/>
      <c r="K1246" s="352"/>
      <c r="L1246" s="352"/>
      <c r="M1246" s="352"/>
    </row>
    <row r="1247" spans="5:13">
      <c r="E1247" s="352"/>
      <c r="F1247" s="352"/>
      <c r="G1247" s="352"/>
      <c r="H1247" s="352"/>
      <c r="I1247" s="352"/>
      <c r="J1247" s="352"/>
      <c r="K1247" s="352"/>
      <c r="L1247" s="352"/>
      <c r="M1247" s="352"/>
    </row>
    <row r="1248" spans="5:13">
      <c r="E1248" s="352"/>
      <c r="F1248" s="352"/>
      <c r="G1248" s="352"/>
      <c r="H1248" s="352"/>
      <c r="I1248" s="352"/>
      <c r="J1248" s="352"/>
      <c r="K1248" s="352"/>
      <c r="L1248" s="352"/>
      <c r="M1248" s="352"/>
    </row>
    <row r="1249" spans="5:13">
      <c r="E1249" s="352"/>
      <c r="F1249" s="352"/>
      <c r="G1249" s="352"/>
      <c r="H1249" s="352"/>
      <c r="I1249" s="352"/>
      <c r="J1249" s="352"/>
      <c r="K1249" s="352"/>
      <c r="L1249" s="352"/>
      <c r="M1249" s="352"/>
    </row>
    <row r="1250" spans="5:13">
      <c r="E1250" s="352"/>
      <c r="F1250" s="352"/>
      <c r="G1250" s="352"/>
      <c r="H1250" s="352"/>
      <c r="I1250" s="352"/>
      <c r="J1250" s="352"/>
      <c r="K1250" s="352"/>
      <c r="L1250" s="352"/>
      <c r="M1250" s="352"/>
    </row>
    <row r="1251" spans="5:13">
      <c r="E1251" s="352"/>
      <c r="F1251" s="352"/>
      <c r="G1251" s="352"/>
      <c r="H1251" s="352"/>
      <c r="I1251" s="352"/>
      <c r="J1251" s="352"/>
      <c r="K1251" s="352"/>
      <c r="L1251" s="352"/>
      <c r="M1251" s="352"/>
    </row>
    <row r="1252" spans="5:13">
      <c r="E1252" s="352"/>
      <c r="F1252" s="352"/>
      <c r="G1252" s="352"/>
      <c r="H1252" s="352"/>
      <c r="I1252" s="352"/>
      <c r="J1252" s="352"/>
      <c r="K1252" s="352"/>
      <c r="L1252" s="352"/>
      <c r="M1252" s="352"/>
    </row>
    <row r="1253" spans="5:13">
      <c r="E1253" s="352"/>
      <c r="F1253" s="352"/>
      <c r="G1253" s="352"/>
      <c r="H1253" s="352"/>
      <c r="I1253" s="352"/>
      <c r="J1253" s="352"/>
      <c r="K1253" s="352"/>
      <c r="L1253" s="352"/>
      <c r="M1253" s="352"/>
    </row>
    <row r="1254" spans="5:13">
      <c r="E1254" s="352"/>
      <c r="F1254" s="352"/>
      <c r="G1254" s="352"/>
      <c r="H1254" s="352"/>
      <c r="I1254" s="352"/>
      <c r="J1254" s="352"/>
      <c r="K1254" s="352"/>
      <c r="L1254" s="352"/>
      <c r="M1254" s="352"/>
    </row>
    <row r="1255" spans="5:13">
      <c r="E1255" s="352"/>
      <c r="F1255" s="352"/>
      <c r="G1255" s="352"/>
      <c r="H1255" s="352"/>
      <c r="I1255" s="352"/>
      <c r="J1255" s="352"/>
      <c r="K1255" s="352"/>
      <c r="L1255" s="352"/>
      <c r="M1255" s="352"/>
    </row>
    <row r="1256" spans="5:13">
      <c r="E1256" s="352"/>
      <c r="F1256" s="352"/>
      <c r="G1256" s="352"/>
      <c r="H1256" s="352"/>
      <c r="I1256" s="352"/>
      <c r="J1256" s="352"/>
      <c r="K1256" s="352"/>
      <c r="L1256" s="352"/>
      <c r="M1256" s="352"/>
    </row>
    <row r="1257" spans="5:13">
      <c r="E1257" s="352"/>
      <c r="F1257" s="352"/>
      <c r="G1257" s="352"/>
      <c r="H1257" s="352"/>
      <c r="I1257" s="352"/>
      <c r="J1257" s="352"/>
      <c r="K1257" s="352"/>
      <c r="L1257" s="352"/>
      <c r="M1257" s="352"/>
    </row>
    <row r="1258" spans="5:13">
      <c r="E1258" s="352"/>
      <c r="F1258" s="352"/>
      <c r="G1258" s="352"/>
      <c r="H1258" s="352"/>
      <c r="I1258" s="352"/>
      <c r="J1258" s="352"/>
      <c r="K1258" s="352"/>
      <c r="L1258" s="352"/>
      <c r="M1258" s="352"/>
    </row>
    <row r="1259" spans="5:13">
      <c r="E1259" s="352"/>
      <c r="F1259" s="352"/>
      <c r="G1259" s="352"/>
      <c r="H1259" s="352"/>
      <c r="I1259" s="352"/>
      <c r="J1259" s="352"/>
      <c r="K1259" s="352"/>
      <c r="L1259" s="352"/>
      <c r="M1259" s="352"/>
    </row>
    <row r="1260" spans="5:13">
      <c r="E1260" s="352"/>
      <c r="F1260" s="352"/>
      <c r="G1260" s="352"/>
      <c r="H1260" s="352"/>
      <c r="I1260" s="352"/>
      <c r="J1260" s="352"/>
      <c r="K1260" s="352"/>
      <c r="L1260" s="352"/>
      <c r="M1260" s="352"/>
    </row>
    <row r="1261" spans="5:13">
      <c r="E1261" s="352"/>
      <c r="F1261" s="352"/>
      <c r="G1261" s="352"/>
      <c r="H1261" s="352"/>
      <c r="I1261" s="352"/>
      <c r="J1261" s="352"/>
      <c r="K1261" s="352"/>
      <c r="L1261" s="352"/>
      <c r="M1261" s="352"/>
    </row>
    <row r="1262" spans="5:13">
      <c r="E1262" s="352"/>
      <c r="F1262" s="352"/>
      <c r="G1262" s="352"/>
      <c r="H1262" s="352"/>
      <c r="I1262" s="352"/>
      <c r="J1262" s="352"/>
      <c r="K1262" s="352"/>
      <c r="L1262" s="352"/>
      <c r="M1262" s="352"/>
    </row>
    <row r="1263" spans="5:13">
      <c r="E1263" s="352"/>
      <c r="F1263" s="352"/>
      <c r="G1263" s="352"/>
      <c r="H1263" s="352"/>
      <c r="I1263" s="352"/>
      <c r="J1263" s="352"/>
      <c r="K1263" s="352"/>
      <c r="L1263" s="352"/>
      <c r="M1263" s="352"/>
    </row>
    <row r="1264" spans="5:13">
      <c r="E1264" s="352"/>
      <c r="F1264" s="352"/>
      <c r="G1264" s="352"/>
      <c r="H1264" s="352"/>
      <c r="I1264" s="352"/>
      <c r="J1264" s="352"/>
      <c r="K1264" s="352"/>
      <c r="L1264" s="352"/>
      <c r="M1264" s="352"/>
    </row>
    <row r="1265" spans="5:13">
      <c r="E1265" s="352"/>
      <c r="F1265" s="352"/>
      <c r="G1265" s="352"/>
      <c r="H1265" s="352"/>
      <c r="I1265" s="352"/>
      <c r="J1265" s="352"/>
      <c r="K1265" s="352"/>
      <c r="L1265" s="352"/>
      <c r="M1265" s="352"/>
    </row>
    <row r="1266" spans="5:13">
      <c r="E1266" s="352"/>
      <c r="F1266" s="352"/>
      <c r="G1266" s="352"/>
      <c r="H1266" s="352"/>
      <c r="I1266" s="352"/>
      <c r="J1266" s="352"/>
      <c r="K1266" s="352"/>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G5071" s="180"/>
      <c r="H5071" s="273"/>
      <c r="J5071" s="180"/>
    </row>
    <row r="5072" spans="5:13">
      <c r="G5072" s="180"/>
      <c r="H5072" s="273"/>
      <c r="J5072" s="180"/>
    </row>
    <row r="5073" spans="7:10">
      <c r="G5073" s="180"/>
      <c r="H5073" s="273"/>
      <c r="J5073" s="180"/>
    </row>
    <row r="5074" spans="7:10">
      <c r="G5074" s="180"/>
      <c r="H5074" s="273"/>
      <c r="J5074" s="180"/>
    </row>
    <row r="5075" spans="7:10">
      <c r="G5075" s="180"/>
      <c r="H5075" s="273"/>
      <c r="J5075" s="180"/>
    </row>
    <row r="5076" spans="7:10">
      <c r="G5076" s="180"/>
      <c r="H5076" s="273"/>
      <c r="J5076" s="180"/>
    </row>
    <row r="5077" spans="7:10">
      <c r="G5077" s="180"/>
      <c r="H5077" s="273"/>
      <c r="J5077" s="180"/>
    </row>
    <row r="5078" spans="7:10">
      <c r="G5078" s="180"/>
      <c r="H5078" s="273"/>
      <c r="J5078" s="180"/>
    </row>
    <row r="5079" spans="7:10">
      <c r="G5079" s="180"/>
      <c r="H5079" s="273"/>
      <c r="J5079" s="180"/>
    </row>
    <row r="5080" spans="7:10">
      <c r="G5080" s="180"/>
      <c r="H5080" s="273"/>
      <c r="J5080" s="180"/>
    </row>
    <row r="5081" spans="7:10">
      <c r="G5081" s="180"/>
      <c r="H5081" s="273"/>
      <c r="J5081" s="180"/>
    </row>
    <row r="5082" spans="7:10">
      <c r="G5082" s="180"/>
      <c r="H5082" s="273"/>
      <c r="J5082" s="180"/>
    </row>
    <row r="5083" spans="7:10">
      <c r="G5083" s="180"/>
      <c r="H5083" s="273"/>
      <c r="J5083" s="180"/>
    </row>
    <row r="5084" spans="7:10">
      <c r="G5084" s="180"/>
      <c r="H5084" s="273"/>
      <c r="J5084" s="180"/>
    </row>
    <row r="5085" spans="7:10">
      <c r="G5085" s="180"/>
      <c r="H5085" s="273"/>
      <c r="J5085" s="180"/>
    </row>
    <row r="5086" spans="7:10">
      <c r="G5086" s="180"/>
      <c r="H5086" s="273"/>
      <c r="J5086" s="180"/>
    </row>
    <row r="5087" spans="7:10">
      <c r="G5087" s="180"/>
      <c r="H5087" s="273"/>
      <c r="J5087" s="180"/>
    </row>
    <row r="5088" spans="7:10">
      <c r="G5088" s="180"/>
      <c r="H5088" s="273"/>
      <c r="J5088" s="180"/>
    </row>
    <row r="5089" spans="7:10">
      <c r="G5089" s="180"/>
      <c r="H5089" s="273"/>
      <c r="J5089" s="180"/>
    </row>
    <row r="5090" spans="7:10">
      <c r="G5090" s="180"/>
      <c r="H5090" s="273"/>
      <c r="J5090" s="180"/>
    </row>
    <row r="5091" spans="7:10">
      <c r="G5091" s="180"/>
      <c r="H5091" s="273"/>
      <c r="J5091" s="180"/>
    </row>
    <row r="5092" spans="7:10">
      <c r="G5092" s="180"/>
      <c r="H5092" s="273"/>
      <c r="J5092" s="180"/>
    </row>
    <row r="5093" spans="7:10">
      <c r="G5093" s="180"/>
      <c r="H5093" s="273"/>
      <c r="J5093" s="180"/>
    </row>
    <row r="5094" spans="7:10">
      <c r="G5094" s="180"/>
      <c r="H5094" s="273"/>
      <c r="J5094" s="180"/>
    </row>
    <row r="5095" spans="7:10">
      <c r="G5095" s="180"/>
      <c r="H5095" s="273"/>
      <c r="J5095" s="180"/>
    </row>
    <row r="5096" spans="7:10">
      <c r="G5096" s="180"/>
      <c r="H5096" s="273"/>
      <c r="J5096" s="180"/>
    </row>
    <row r="5097" spans="7:10">
      <c r="G5097" s="180"/>
      <c r="H5097" s="273"/>
      <c r="J5097" s="180"/>
    </row>
    <row r="5098" spans="7:10">
      <c r="G5098" s="180"/>
      <c r="H5098" s="273"/>
      <c r="J5098" s="180"/>
    </row>
    <row r="5099" spans="7:10">
      <c r="G5099" s="180"/>
      <c r="H5099" s="273"/>
      <c r="J5099" s="180"/>
    </row>
    <row r="5100" spans="7:10">
      <c r="G5100" s="180"/>
      <c r="H5100" s="273"/>
      <c r="J5100" s="180"/>
    </row>
    <row r="5101" spans="7:10">
      <c r="G5101" s="180"/>
      <c r="H5101" s="273"/>
      <c r="J5101" s="180"/>
    </row>
    <row r="5102" spans="7:10">
      <c r="G5102" s="180"/>
      <c r="H5102" s="273"/>
      <c r="J5102" s="180"/>
    </row>
    <row r="5103" spans="7:10">
      <c r="G5103" s="180"/>
      <c r="H5103" s="273"/>
      <c r="J5103" s="180"/>
    </row>
    <row r="5104" spans="7:10">
      <c r="G5104" s="180"/>
      <c r="H5104" s="273"/>
      <c r="J5104" s="180"/>
    </row>
    <row r="5105" spans="7:10">
      <c r="G5105" s="180"/>
      <c r="H5105" s="273"/>
      <c r="J5105" s="180"/>
    </row>
    <row r="5106" spans="7:10">
      <c r="G5106" s="180"/>
      <c r="H5106" s="273"/>
      <c r="J5106" s="180"/>
    </row>
    <row r="5107" spans="7:10">
      <c r="G5107" s="180"/>
      <c r="H5107" s="273"/>
      <c r="J5107" s="180"/>
    </row>
    <row r="5108" spans="7:10">
      <c r="G5108" s="180"/>
      <c r="H5108" s="273"/>
      <c r="J5108" s="180"/>
    </row>
    <row r="5109" spans="7:10">
      <c r="G5109" s="180"/>
      <c r="H5109" s="273"/>
      <c r="J5109" s="180"/>
    </row>
    <row r="5110" spans="7:10">
      <c r="G5110" s="180"/>
      <c r="H5110" s="273"/>
      <c r="J5110" s="180"/>
    </row>
    <row r="5111" spans="7:10">
      <c r="G5111" s="180"/>
      <c r="H5111" s="273"/>
      <c r="J5111" s="180"/>
    </row>
    <row r="5112" spans="7:10">
      <c r="G5112" s="180"/>
      <c r="H5112" s="273"/>
      <c r="J5112" s="180"/>
    </row>
    <row r="5113" spans="7:10">
      <c r="G5113" s="180"/>
      <c r="H5113" s="273"/>
      <c r="J5113" s="180"/>
    </row>
    <row r="5114" spans="7:10">
      <c r="G5114" s="180"/>
      <c r="H5114" s="273"/>
      <c r="J5114" s="180"/>
    </row>
    <row r="5115" spans="7:10">
      <c r="G5115" s="180"/>
      <c r="H5115" s="273"/>
      <c r="J5115" s="180"/>
    </row>
    <row r="5116" spans="7:10">
      <c r="G5116" s="180"/>
      <c r="H5116" s="273"/>
      <c r="J5116" s="180"/>
    </row>
    <row r="5117" spans="7:10">
      <c r="G5117" s="180"/>
      <c r="H5117" s="273"/>
      <c r="J5117" s="180"/>
    </row>
    <row r="5118" spans="7:10">
      <c r="G5118" s="180"/>
      <c r="H5118" s="273"/>
      <c r="J5118" s="180"/>
    </row>
    <row r="5119" spans="7:10">
      <c r="G5119" s="180"/>
      <c r="H5119" s="273"/>
      <c r="J5119" s="180"/>
    </row>
    <row r="5120" spans="7:10">
      <c r="G5120" s="180"/>
      <c r="H5120" s="273"/>
      <c r="J5120" s="180"/>
    </row>
    <row r="5121" spans="7:10">
      <c r="G5121" s="180"/>
      <c r="H5121" s="273"/>
      <c r="J5121" s="180"/>
    </row>
    <row r="5122" spans="7:10">
      <c r="G5122" s="180"/>
      <c r="H5122" s="273"/>
      <c r="J5122" s="180"/>
    </row>
    <row r="5123" spans="7:10">
      <c r="G5123" s="180"/>
      <c r="H5123" s="273"/>
      <c r="J5123" s="180"/>
    </row>
    <row r="5124" spans="7:10">
      <c r="G5124" s="180"/>
      <c r="H5124" s="273"/>
      <c r="J5124" s="180"/>
    </row>
    <row r="5125" spans="7:10">
      <c r="G5125" s="180"/>
      <c r="H5125" s="273"/>
      <c r="J5125" s="180"/>
    </row>
    <row r="5126" spans="7:10">
      <c r="G5126" s="180"/>
      <c r="H5126" s="273"/>
      <c r="J5126" s="180"/>
    </row>
    <row r="5127" spans="7:10">
      <c r="G5127" s="180"/>
      <c r="H5127" s="273"/>
      <c r="J5127" s="180"/>
    </row>
    <row r="5128" spans="7:10">
      <c r="G5128" s="180"/>
      <c r="H5128" s="273"/>
      <c r="J5128" s="180"/>
    </row>
    <row r="5129" spans="7:10">
      <c r="G5129" s="180"/>
      <c r="H5129" s="273"/>
      <c r="J5129" s="180"/>
    </row>
    <row r="5130" spans="7:10">
      <c r="G5130" s="180"/>
      <c r="H5130" s="273"/>
      <c r="J5130" s="180"/>
    </row>
    <row r="5131" spans="7:10">
      <c r="G5131" s="180"/>
      <c r="H5131" s="273"/>
      <c r="J5131" s="180"/>
    </row>
    <row r="5132" spans="7:10">
      <c r="G5132" s="180"/>
      <c r="H5132" s="273"/>
      <c r="J5132" s="180"/>
    </row>
    <row r="5133" spans="7:10">
      <c r="G5133" s="180"/>
      <c r="H5133" s="273"/>
      <c r="J5133" s="180"/>
    </row>
    <row r="5134" spans="7:10">
      <c r="G5134" s="180"/>
      <c r="H5134" s="273"/>
      <c r="J5134" s="180"/>
    </row>
    <row r="5135" spans="7:10">
      <c r="G5135" s="180"/>
      <c r="H5135" s="273"/>
      <c r="J5135" s="180"/>
    </row>
    <row r="5136" spans="7:10">
      <c r="G5136" s="180"/>
      <c r="H5136" s="273"/>
      <c r="J5136" s="180"/>
    </row>
    <row r="5137" spans="7:10">
      <c r="G5137" s="180"/>
      <c r="H5137" s="273"/>
      <c r="J5137" s="180"/>
    </row>
    <row r="5138" spans="7:10">
      <c r="G5138" s="180"/>
      <c r="H5138" s="273"/>
      <c r="J5138" s="180"/>
    </row>
    <row r="5139" spans="7:10">
      <c r="G5139" s="180"/>
      <c r="H5139" s="273"/>
      <c r="J5139" s="180"/>
    </row>
    <row r="5140" spans="7:10">
      <c r="G5140" s="180"/>
      <c r="H5140" s="273"/>
      <c r="J5140" s="180"/>
    </row>
    <row r="5141" spans="7:10">
      <c r="G5141" s="180"/>
      <c r="H5141" s="273"/>
      <c r="J5141" s="180"/>
    </row>
    <row r="5142" spans="7:10">
      <c r="G5142" s="180"/>
      <c r="H5142" s="273"/>
      <c r="J5142" s="180"/>
    </row>
    <row r="5143" spans="7:10">
      <c r="G5143" s="180"/>
      <c r="H5143" s="273"/>
      <c r="J5143" s="180"/>
    </row>
    <row r="5144" spans="7:10">
      <c r="G5144" s="180"/>
      <c r="H5144" s="273"/>
      <c r="J5144" s="180"/>
    </row>
    <row r="5145" spans="7:10">
      <c r="G5145" s="180"/>
      <c r="H5145" s="273"/>
      <c r="J5145" s="180"/>
    </row>
    <row r="5146" spans="7:10">
      <c r="G5146" s="180"/>
      <c r="H5146" s="273"/>
      <c r="J5146" s="180"/>
    </row>
    <row r="5147" spans="7:10">
      <c r="G5147" s="180"/>
      <c r="H5147" s="273"/>
      <c r="J5147" s="180"/>
    </row>
    <row r="5148" spans="7:10">
      <c r="G5148" s="180"/>
      <c r="H5148" s="273"/>
      <c r="J5148" s="180"/>
    </row>
    <row r="5149" spans="7:10">
      <c r="G5149" s="180"/>
      <c r="H5149" s="273"/>
      <c r="J5149" s="180"/>
    </row>
    <row r="5150" spans="7:10">
      <c r="G5150" s="180"/>
      <c r="H5150" s="273"/>
      <c r="J5150" s="180"/>
    </row>
    <row r="5151" spans="7:10">
      <c r="G5151" s="180"/>
      <c r="H5151" s="273"/>
      <c r="J5151" s="180"/>
    </row>
    <row r="5152" spans="7:10">
      <c r="G5152" s="180"/>
      <c r="H5152" s="273"/>
      <c r="J5152" s="180"/>
    </row>
    <row r="5153" spans="7:10">
      <c r="G5153" s="180"/>
      <c r="H5153" s="273"/>
      <c r="J5153" s="180"/>
    </row>
    <row r="5154" spans="7:10">
      <c r="G5154" s="180"/>
      <c r="H5154" s="273"/>
      <c r="J5154" s="180"/>
    </row>
    <row r="5155" spans="7:10">
      <c r="G5155" s="180"/>
      <c r="H5155" s="273"/>
      <c r="J5155" s="180"/>
    </row>
    <row r="5156" spans="7:10">
      <c r="G5156" s="180"/>
      <c r="H5156" s="273"/>
      <c r="J5156" s="180"/>
    </row>
    <row r="5157" spans="7:10">
      <c r="G5157" s="180"/>
      <c r="H5157" s="273"/>
      <c r="J5157" s="180"/>
    </row>
    <row r="5158" spans="7:10">
      <c r="G5158" s="180"/>
      <c r="H5158" s="273"/>
      <c r="J5158" s="180"/>
    </row>
    <row r="5159" spans="7:10">
      <c r="G5159" s="180"/>
      <c r="H5159" s="273"/>
      <c r="J5159" s="180"/>
    </row>
    <row r="5160" spans="7:10">
      <c r="G5160" s="180"/>
      <c r="H5160" s="273"/>
      <c r="J5160" s="180"/>
    </row>
    <row r="5161" spans="7:10">
      <c r="G5161" s="180"/>
      <c r="H5161" s="273"/>
      <c r="J5161" s="180"/>
    </row>
    <row r="5162" spans="7:10">
      <c r="G5162" s="180"/>
      <c r="H5162" s="273"/>
      <c r="J5162" s="180"/>
    </row>
    <row r="5163" spans="7:10">
      <c r="G5163" s="180"/>
      <c r="H5163" s="273"/>
      <c r="J5163" s="180"/>
    </row>
    <row r="5164" spans="7:10">
      <c r="G5164" s="180"/>
      <c r="H5164" s="273"/>
      <c r="J5164" s="180"/>
    </row>
    <row r="5165" spans="7:10">
      <c r="G5165" s="180"/>
      <c r="H5165" s="273"/>
      <c r="J5165" s="180"/>
    </row>
    <row r="5166" spans="7:10">
      <c r="G5166" s="180"/>
      <c r="H5166" s="273"/>
      <c r="J5166" s="180"/>
    </row>
    <row r="5167" spans="7:10">
      <c r="G5167" s="180"/>
      <c r="H5167" s="273"/>
      <c r="J5167" s="180"/>
    </row>
    <row r="5168" spans="7:10">
      <c r="G5168" s="180"/>
      <c r="H5168" s="273"/>
      <c r="J5168" s="180"/>
    </row>
    <row r="5169" spans="7:10">
      <c r="G5169" s="180"/>
      <c r="H5169" s="273"/>
      <c r="J5169" s="180"/>
    </row>
    <row r="5170" spans="7:10">
      <c r="G5170" s="180"/>
      <c r="H5170" s="273"/>
      <c r="J5170" s="180"/>
    </row>
    <row r="5171" spans="7:10">
      <c r="G5171" s="180"/>
      <c r="H5171" s="273"/>
      <c r="J5171" s="180"/>
    </row>
    <row r="5172" spans="7:10">
      <c r="G5172" s="180"/>
      <c r="H5172" s="273"/>
      <c r="J5172" s="180"/>
    </row>
    <row r="5173" spans="7:10">
      <c r="G5173" s="180"/>
      <c r="H5173" s="273"/>
      <c r="J5173" s="180"/>
    </row>
    <row r="5174" spans="7:10">
      <c r="G5174" s="180"/>
      <c r="H5174" s="273"/>
      <c r="J5174" s="180"/>
    </row>
    <row r="5175" spans="7:10">
      <c r="G5175" s="180"/>
      <c r="H5175" s="273"/>
      <c r="J5175" s="180"/>
    </row>
    <row r="5176" spans="7:10">
      <c r="G5176" s="180"/>
      <c r="H5176" s="273"/>
      <c r="J5176" s="180"/>
    </row>
    <row r="5177" spans="7:10">
      <c r="G5177" s="180"/>
      <c r="H5177" s="273"/>
      <c r="J5177" s="180"/>
    </row>
    <row r="5178" spans="7:10">
      <c r="G5178" s="180"/>
      <c r="H5178" s="273"/>
      <c r="J5178" s="180"/>
    </row>
    <row r="5179" spans="7:10">
      <c r="G5179" s="180"/>
      <c r="H5179" s="273"/>
      <c r="J5179" s="180"/>
    </row>
    <row r="5180" spans="7:10">
      <c r="G5180" s="180"/>
      <c r="H5180" s="273"/>
      <c r="J5180" s="180"/>
    </row>
    <row r="5181" spans="7:10">
      <c r="G5181" s="180"/>
      <c r="H5181" s="273"/>
      <c r="J5181" s="180"/>
    </row>
    <row r="5182" spans="7:10">
      <c r="G5182" s="180"/>
      <c r="H5182" s="273"/>
      <c r="J5182" s="180"/>
    </row>
    <row r="5183" spans="7:10">
      <c r="G5183" s="180"/>
      <c r="H5183" s="273"/>
      <c r="J5183" s="180"/>
    </row>
    <row r="5184" spans="7:10">
      <c r="G5184" s="180"/>
      <c r="H5184" s="273"/>
      <c r="J5184" s="180"/>
    </row>
    <row r="5185" spans="7:10">
      <c r="G5185" s="180"/>
      <c r="H5185" s="273"/>
      <c r="J5185" s="180"/>
    </row>
    <row r="5186" spans="7:10">
      <c r="G5186" s="180"/>
      <c r="H5186" s="273"/>
      <c r="J5186" s="180"/>
    </row>
    <row r="5187" spans="7:10">
      <c r="G5187" s="180"/>
      <c r="H5187" s="273"/>
      <c r="J5187" s="180"/>
    </row>
    <row r="5188" spans="7:10">
      <c r="G5188" s="180"/>
      <c r="H5188" s="273"/>
      <c r="J5188" s="180"/>
    </row>
    <row r="5189" spans="7:10">
      <c r="G5189" s="180"/>
      <c r="H5189" s="273"/>
      <c r="J5189" s="180"/>
    </row>
    <row r="5190" spans="7:10">
      <c r="G5190" s="180"/>
      <c r="H5190" s="273"/>
      <c r="J5190" s="180"/>
    </row>
    <row r="5191" spans="7:10">
      <c r="G5191" s="180"/>
      <c r="H5191" s="273"/>
      <c r="J5191" s="180"/>
    </row>
    <row r="5192" spans="7:10">
      <c r="G5192" s="180"/>
      <c r="H5192" s="273"/>
      <c r="J5192" s="180"/>
    </row>
    <row r="5193" spans="7:10">
      <c r="G5193" s="180"/>
      <c r="H5193" s="273"/>
      <c r="J5193" s="180"/>
    </row>
    <row r="5194" spans="7:10">
      <c r="G5194" s="180"/>
      <c r="H5194" s="273"/>
      <c r="J5194" s="180"/>
    </row>
    <row r="5195" spans="7:10">
      <c r="G5195" s="180"/>
      <c r="H5195" s="273"/>
      <c r="J5195" s="180"/>
    </row>
    <row r="5196" spans="7:10">
      <c r="G5196" s="180"/>
      <c r="H5196" s="273"/>
      <c r="J5196" s="180"/>
    </row>
    <row r="5197" spans="7:10">
      <c r="G5197" s="180"/>
      <c r="H5197" s="273"/>
      <c r="J5197" s="180"/>
    </row>
    <row r="5198" spans="7:10">
      <c r="G5198" s="180"/>
      <c r="H5198" s="273"/>
      <c r="J5198" s="180"/>
    </row>
    <row r="5199" spans="7:10">
      <c r="G5199" s="180"/>
      <c r="H5199" s="273"/>
      <c r="J5199" s="180"/>
    </row>
    <row r="5200" spans="7:10">
      <c r="G5200" s="180"/>
      <c r="H5200" s="273"/>
      <c r="J5200" s="180"/>
    </row>
    <row r="5201" spans="7:10">
      <c r="G5201" s="180"/>
      <c r="H5201" s="273"/>
      <c r="J5201" s="180"/>
    </row>
    <row r="5202" spans="7:10">
      <c r="G5202" s="180"/>
      <c r="H5202" s="273"/>
      <c r="J5202" s="180"/>
    </row>
    <row r="5203" spans="7:10">
      <c r="G5203" s="180"/>
      <c r="H5203" s="273"/>
      <c r="J5203" s="180"/>
    </row>
    <row r="5204" spans="7:10">
      <c r="G5204" s="180"/>
      <c r="H5204" s="273"/>
      <c r="J5204" s="180"/>
    </row>
    <row r="5205" spans="7:10">
      <c r="G5205" s="180"/>
      <c r="H5205" s="273"/>
      <c r="J5205" s="180"/>
    </row>
    <row r="5206" spans="7:10">
      <c r="G5206" s="180"/>
      <c r="H5206" s="273"/>
      <c r="J5206" s="180"/>
    </row>
    <row r="5207" spans="7:10">
      <c r="G5207" s="180"/>
      <c r="H5207" s="273"/>
      <c r="J5207" s="180"/>
    </row>
    <row r="5208" spans="7:10">
      <c r="G5208" s="180"/>
      <c r="H5208" s="273"/>
      <c r="J5208" s="180"/>
    </row>
    <row r="5209" spans="7:10">
      <c r="G5209" s="180"/>
      <c r="H5209" s="273"/>
      <c r="J5209" s="180"/>
    </row>
    <row r="5210" spans="7:10">
      <c r="G5210" s="180"/>
      <c r="H5210" s="273"/>
      <c r="J5210" s="180"/>
    </row>
    <row r="5211" spans="7:10">
      <c r="G5211" s="180"/>
      <c r="H5211" s="273"/>
      <c r="J5211" s="180"/>
    </row>
    <row r="5212" spans="7:10">
      <c r="G5212" s="180"/>
      <c r="H5212" s="273"/>
      <c r="J5212" s="180"/>
    </row>
    <row r="5213" spans="7:10">
      <c r="G5213" s="180"/>
      <c r="H5213" s="273"/>
      <c r="J5213" s="180"/>
    </row>
    <row r="5214" spans="7:10">
      <c r="G5214" s="180"/>
      <c r="H5214" s="273"/>
      <c r="J5214" s="180"/>
    </row>
    <row r="5215" spans="7:10">
      <c r="G5215" s="180"/>
      <c r="H5215" s="273"/>
      <c r="J5215" s="180"/>
    </row>
    <row r="5216" spans="7:10">
      <c r="G5216" s="180"/>
      <c r="H5216" s="273"/>
      <c r="J5216" s="180"/>
    </row>
    <row r="5217" spans="7:10">
      <c r="G5217" s="180"/>
      <c r="H5217" s="273"/>
      <c r="J5217" s="180"/>
    </row>
    <row r="5218" spans="7:10">
      <c r="G5218" s="180"/>
      <c r="H5218" s="273"/>
      <c r="J5218" s="180"/>
    </row>
    <row r="5219" spans="7:10">
      <c r="G5219" s="180"/>
      <c r="H5219" s="273"/>
      <c r="J5219" s="180"/>
    </row>
    <row r="5220" spans="7:10">
      <c r="G5220" s="180"/>
      <c r="H5220" s="273"/>
      <c r="J5220" s="180"/>
    </row>
    <row r="5221" spans="7:10">
      <c r="G5221" s="180"/>
      <c r="H5221" s="273"/>
      <c r="J5221" s="180"/>
    </row>
    <row r="5222" spans="7:10">
      <c r="G5222" s="180"/>
      <c r="H5222" s="273"/>
      <c r="J5222" s="180"/>
    </row>
    <row r="5223" spans="7:10">
      <c r="G5223" s="180"/>
      <c r="H5223" s="273"/>
      <c r="J5223" s="180"/>
    </row>
    <row r="5224" spans="7:10">
      <c r="G5224" s="180"/>
      <c r="H5224" s="273"/>
      <c r="J5224" s="180"/>
    </row>
    <row r="5225" spans="7:10">
      <c r="G5225" s="180"/>
      <c r="H5225" s="273"/>
      <c r="J5225" s="180"/>
    </row>
    <row r="5226" spans="7:10">
      <c r="G5226" s="180"/>
      <c r="H5226" s="273"/>
      <c r="J5226" s="180"/>
    </row>
    <row r="5227" spans="7:10">
      <c r="G5227" s="180"/>
      <c r="H5227" s="273"/>
      <c r="J5227" s="180"/>
    </row>
    <row r="5228" spans="7:10">
      <c r="G5228" s="180"/>
      <c r="H5228" s="273"/>
      <c r="J5228" s="180"/>
    </row>
    <row r="5229" spans="7:10">
      <c r="G5229" s="180"/>
      <c r="H5229" s="273"/>
      <c r="J5229" s="180"/>
    </row>
    <row r="5230" spans="7:10">
      <c r="G5230" s="180"/>
      <c r="H5230" s="273"/>
      <c r="J5230" s="180"/>
    </row>
    <row r="5231" spans="7:10">
      <c r="G5231" s="180"/>
      <c r="H5231" s="273"/>
      <c r="J5231" s="180"/>
    </row>
    <row r="5232" spans="7:10">
      <c r="G5232" s="180"/>
      <c r="H5232" s="273"/>
      <c r="J5232" s="180"/>
    </row>
    <row r="5233" spans="7:10">
      <c r="G5233" s="180"/>
      <c r="H5233" s="273"/>
      <c r="J5233" s="180"/>
    </row>
    <row r="5234" spans="7:10">
      <c r="G5234" s="180"/>
      <c r="H5234" s="273"/>
      <c r="J5234" s="180"/>
    </row>
    <row r="5235" spans="7:10">
      <c r="G5235" s="180"/>
      <c r="H5235" s="273"/>
      <c r="J5235" s="180"/>
    </row>
    <row r="5236" spans="7:10">
      <c r="G5236" s="180"/>
      <c r="H5236" s="273"/>
      <c r="J5236" s="180"/>
    </row>
    <row r="5237" spans="7:10">
      <c r="G5237" s="180"/>
      <c r="H5237" s="273"/>
      <c r="J5237" s="180"/>
    </row>
    <row r="5238" spans="7:10">
      <c r="G5238" s="180"/>
      <c r="H5238" s="273"/>
      <c r="J5238" s="180"/>
    </row>
    <row r="5239" spans="7:10">
      <c r="G5239" s="180"/>
      <c r="H5239" s="273"/>
      <c r="J5239" s="180"/>
    </row>
    <row r="5240" spans="7:10">
      <c r="G5240" s="180"/>
      <c r="H5240" s="273"/>
      <c r="J5240" s="180"/>
    </row>
    <row r="5241" spans="7:10">
      <c r="G5241" s="180"/>
      <c r="H5241" s="273"/>
      <c r="J5241" s="180"/>
    </row>
    <row r="5242" spans="7:10">
      <c r="G5242" s="180"/>
      <c r="H5242" s="273"/>
      <c r="J5242" s="180"/>
    </row>
    <row r="5243" spans="7:10">
      <c r="G5243" s="180"/>
      <c r="H5243" s="273"/>
      <c r="J5243" s="180"/>
    </row>
    <row r="5244" spans="7:10">
      <c r="G5244" s="180"/>
      <c r="H5244" s="273"/>
      <c r="J5244" s="180"/>
    </row>
    <row r="5245" spans="7:10">
      <c r="G5245" s="180"/>
      <c r="H5245" s="273"/>
      <c r="J5245" s="180"/>
    </row>
    <row r="5246" spans="7:10">
      <c r="G5246" s="180"/>
      <c r="H5246" s="273"/>
      <c r="J5246" s="180"/>
    </row>
    <row r="5247" spans="7:10">
      <c r="G5247" s="180"/>
      <c r="H5247" s="273"/>
      <c r="J5247" s="180"/>
    </row>
    <row r="5248" spans="7:10">
      <c r="G5248" s="180"/>
      <c r="H5248" s="273"/>
      <c r="J5248" s="180"/>
    </row>
    <row r="5249" spans="7:10">
      <c r="G5249" s="180"/>
      <c r="H5249" s="273"/>
      <c r="J5249" s="180"/>
    </row>
    <row r="5250" spans="7:10">
      <c r="G5250" s="180"/>
      <c r="H5250" s="273"/>
      <c r="J5250" s="180"/>
    </row>
    <row r="5251" spans="7:10">
      <c r="G5251" s="180"/>
      <c r="H5251" s="273"/>
      <c r="J5251" s="180"/>
    </row>
    <row r="5252" spans="7:10">
      <c r="G5252" s="180"/>
      <c r="H5252" s="273"/>
      <c r="J5252" s="180"/>
    </row>
    <row r="5253" spans="7:10">
      <c r="G5253" s="180"/>
      <c r="H5253" s="273"/>
      <c r="J5253" s="180"/>
    </row>
    <row r="5254" spans="7:10">
      <c r="G5254" s="180"/>
      <c r="H5254" s="273"/>
      <c r="J5254" s="180"/>
    </row>
    <row r="5255" spans="7:10">
      <c r="G5255" s="180"/>
      <c r="H5255" s="273"/>
      <c r="J5255" s="180"/>
    </row>
    <row r="5256" spans="7:10">
      <c r="G5256" s="180"/>
      <c r="H5256" s="273"/>
      <c r="J5256" s="180"/>
    </row>
    <row r="5257" spans="7:10">
      <c r="G5257" s="180"/>
      <c r="H5257" s="273"/>
      <c r="J5257" s="180"/>
    </row>
    <row r="5258" spans="7:10">
      <c r="G5258" s="180"/>
      <c r="H5258" s="273"/>
      <c r="J5258" s="180"/>
    </row>
    <row r="5259" spans="7:10">
      <c r="G5259" s="180"/>
      <c r="H5259" s="273"/>
      <c r="J5259" s="180"/>
    </row>
    <row r="5260" spans="7:10">
      <c r="G5260" s="180"/>
      <c r="H5260" s="273"/>
      <c r="J5260" s="180"/>
    </row>
    <row r="5261" spans="7:10">
      <c r="G5261" s="180"/>
      <c r="H5261" s="273"/>
      <c r="J5261" s="180"/>
    </row>
    <row r="5262" spans="7:10">
      <c r="G5262" s="180"/>
      <c r="H5262" s="273"/>
      <c r="J5262" s="180"/>
    </row>
    <row r="5263" spans="7:10">
      <c r="G5263" s="180"/>
      <c r="H5263" s="273"/>
      <c r="J5263" s="180"/>
    </row>
    <row r="5264" spans="7:10">
      <c r="G5264" s="180"/>
      <c r="H5264" s="273"/>
      <c r="J5264" s="180"/>
    </row>
    <row r="5265" spans="7:10">
      <c r="G5265" s="180"/>
      <c r="H5265" s="273"/>
      <c r="J5265" s="180"/>
    </row>
    <row r="5266" spans="7:10">
      <c r="G5266" s="180"/>
      <c r="H5266" s="273"/>
      <c r="J5266" s="180"/>
    </row>
    <row r="5267" spans="7:10">
      <c r="G5267" s="180"/>
      <c r="H5267" s="273"/>
      <c r="J5267" s="180"/>
    </row>
    <row r="5268" spans="7:10">
      <c r="G5268" s="180"/>
      <c r="H5268" s="273"/>
      <c r="J5268" s="180"/>
    </row>
    <row r="5269" spans="7:10">
      <c r="G5269" s="180"/>
      <c r="H5269" s="273"/>
      <c r="J5269" s="180"/>
    </row>
    <row r="5270" spans="7:10">
      <c r="G5270" s="180"/>
      <c r="H5270" s="273"/>
      <c r="J5270" s="180"/>
    </row>
    <row r="5271" spans="7:10">
      <c r="G5271" s="180"/>
      <c r="H5271" s="273"/>
      <c r="J5271" s="180"/>
    </row>
    <row r="5272" spans="7:10">
      <c r="G5272" s="180"/>
      <c r="H5272" s="273"/>
      <c r="J5272" s="180"/>
    </row>
    <row r="5273" spans="7:10">
      <c r="G5273" s="180"/>
      <c r="H5273" s="273"/>
      <c r="J5273" s="180"/>
    </row>
    <row r="5274" spans="7:10">
      <c r="G5274" s="180"/>
      <c r="H5274" s="273"/>
      <c r="J5274" s="180"/>
    </row>
    <row r="5275" spans="7:10">
      <c r="G5275" s="180"/>
      <c r="H5275" s="273"/>
      <c r="J5275" s="180"/>
    </row>
    <row r="5276" spans="7:10">
      <c r="G5276" s="180"/>
      <c r="H5276" s="273"/>
      <c r="J5276" s="180"/>
    </row>
    <row r="5277" spans="7:10">
      <c r="G5277" s="180"/>
      <c r="H5277" s="273"/>
      <c r="J5277" s="180"/>
    </row>
    <row r="5278" spans="7:10">
      <c r="G5278" s="180"/>
      <c r="H5278" s="273"/>
      <c r="J5278" s="180"/>
    </row>
    <row r="5279" spans="7:10">
      <c r="G5279" s="180"/>
      <c r="H5279" s="273"/>
      <c r="J5279" s="180"/>
    </row>
    <row r="5280" spans="7:10">
      <c r="G5280" s="180"/>
      <c r="H5280" s="273"/>
      <c r="J5280" s="180"/>
    </row>
    <row r="5281" spans="7:10">
      <c r="G5281" s="180"/>
      <c r="H5281" s="273"/>
      <c r="J5281" s="180"/>
    </row>
    <row r="5282" spans="7:10">
      <c r="G5282" s="180"/>
      <c r="H5282" s="273"/>
      <c r="J5282" s="180"/>
    </row>
    <row r="5283" spans="7:10">
      <c r="G5283" s="180"/>
      <c r="H5283" s="273"/>
      <c r="J5283" s="180"/>
    </row>
    <row r="5284" spans="7:10">
      <c r="G5284" s="180"/>
      <c r="H5284" s="273"/>
      <c r="J5284" s="180"/>
    </row>
    <row r="5285" spans="7:10">
      <c r="G5285" s="180"/>
      <c r="H5285" s="273"/>
      <c r="J5285" s="180"/>
    </row>
    <row r="5286" spans="7:10">
      <c r="G5286" s="180"/>
      <c r="H5286" s="273"/>
      <c r="J5286" s="180"/>
    </row>
    <row r="5287" spans="7:10">
      <c r="G5287" s="180"/>
      <c r="H5287" s="273"/>
      <c r="J5287" s="180"/>
    </row>
    <row r="5288" spans="7:10">
      <c r="G5288" s="180"/>
      <c r="H5288" s="273"/>
      <c r="J5288" s="180"/>
    </row>
    <row r="5289" spans="7:10">
      <c r="G5289" s="180"/>
      <c r="H5289" s="273"/>
      <c r="J5289" s="180"/>
    </row>
    <row r="5290" spans="7:10">
      <c r="G5290" s="180"/>
      <c r="H5290" s="273"/>
      <c r="J5290" s="180"/>
    </row>
    <row r="5291" spans="7:10">
      <c r="G5291" s="180"/>
      <c r="H5291" s="273"/>
      <c r="J5291" s="180"/>
    </row>
    <row r="5292" spans="7:10">
      <c r="G5292" s="180"/>
      <c r="H5292" s="273"/>
      <c r="J5292" s="180"/>
    </row>
    <row r="5293" spans="7:10">
      <c r="G5293" s="180"/>
      <c r="H5293" s="273"/>
      <c r="J5293" s="180"/>
    </row>
    <row r="5294" spans="7:10">
      <c r="G5294" s="180"/>
      <c r="H5294" s="273"/>
      <c r="J5294" s="180"/>
    </row>
    <row r="5295" spans="7:10">
      <c r="G5295" s="180"/>
      <c r="H5295" s="273"/>
      <c r="J5295" s="180"/>
    </row>
    <row r="5296" spans="7:10">
      <c r="G5296" s="180"/>
      <c r="H5296" s="273"/>
      <c r="J5296" s="180"/>
    </row>
    <row r="5297" spans="7:10">
      <c r="G5297" s="180"/>
      <c r="H5297" s="273"/>
      <c r="J5297" s="180"/>
    </row>
    <row r="5298" spans="7:10">
      <c r="G5298" s="180"/>
      <c r="H5298" s="273"/>
      <c r="J5298" s="180"/>
    </row>
    <row r="5299" spans="7:10">
      <c r="G5299" s="180"/>
      <c r="H5299" s="273"/>
      <c r="J5299" s="180"/>
    </row>
    <row r="5300" spans="7:10">
      <c r="G5300" s="180"/>
      <c r="H5300" s="273"/>
      <c r="J5300" s="180"/>
    </row>
    <row r="5301" spans="7:10">
      <c r="G5301" s="180"/>
      <c r="H5301" s="273"/>
      <c r="J5301" s="180"/>
    </row>
    <row r="5302" spans="7:10">
      <c r="G5302" s="180"/>
      <c r="H5302" s="273"/>
      <c r="J5302" s="180"/>
    </row>
    <row r="5303" spans="7:10">
      <c r="G5303" s="180"/>
      <c r="H5303" s="273"/>
      <c r="J5303" s="180"/>
    </row>
    <row r="5304" spans="7:10">
      <c r="G5304" s="180"/>
      <c r="H5304" s="273"/>
      <c r="J5304" s="180"/>
    </row>
    <row r="5305" spans="7:10">
      <c r="G5305" s="180"/>
      <c r="H5305" s="273"/>
      <c r="J5305" s="180"/>
    </row>
    <row r="5306" spans="7:10">
      <c r="G5306" s="180"/>
      <c r="H5306" s="273"/>
      <c r="J5306" s="180"/>
    </row>
    <row r="5307" spans="7:10">
      <c r="G5307" s="180"/>
      <c r="H5307" s="273"/>
      <c r="J5307" s="180"/>
    </row>
    <row r="5308" spans="7:10">
      <c r="G5308" s="180"/>
      <c r="H5308" s="273"/>
      <c r="J5308" s="180"/>
    </row>
    <row r="5309" spans="7:10">
      <c r="G5309" s="180"/>
      <c r="H5309" s="273"/>
      <c r="J5309" s="180"/>
    </row>
    <row r="5310" spans="7:10">
      <c r="G5310" s="180"/>
      <c r="H5310" s="273"/>
      <c r="J5310" s="180"/>
    </row>
    <row r="5311" spans="7:10">
      <c r="G5311" s="180"/>
      <c r="H5311" s="273"/>
      <c r="J5311" s="180"/>
    </row>
    <row r="5312" spans="7:10">
      <c r="G5312" s="180"/>
      <c r="H5312" s="273"/>
      <c r="J5312" s="180"/>
    </row>
    <row r="5313" spans="7:10">
      <c r="G5313" s="180"/>
      <c r="H5313" s="273"/>
      <c r="J5313" s="180"/>
    </row>
    <row r="5314" spans="7:10">
      <c r="G5314" s="180"/>
      <c r="H5314" s="273"/>
      <c r="J5314" s="180"/>
    </row>
    <row r="5315" spans="7:10">
      <c r="G5315" s="180"/>
      <c r="H5315" s="273"/>
      <c r="J5315" s="180"/>
    </row>
    <row r="5316" spans="7:10">
      <c r="G5316" s="180"/>
      <c r="H5316" s="273"/>
      <c r="J5316" s="180"/>
    </row>
    <row r="5317" spans="7:10">
      <c r="G5317" s="180"/>
      <c r="H5317" s="273"/>
      <c r="J5317" s="180"/>
    </row>
    <row r="5318" spans="7:10">
      <c r="G5318" s="180"/>
      <c r="H5318" s="273"/>
      <c r="J5318" s="180"/>
    </row>
    <row r="5319" spans="7:10">
      <c r="G5319" s="180"/>
      <c r="H5319" s="273"/>
      <c r="J5319" s="180"/>
    </row>
    <row r="5320" spans="7:10">
      <c r="G5320" s="180"/>
      <c r="H5320" s="273"/>
      <c r="J5320" s="180"/>
    </row>
    <row r="5321" spans="7:10">
      <c r="G5321" s="180"/>
      <c r="H5321" s="273"/>
      <c r="J5321" s="180"/>
    </row>
    <row r="5322" spans="7:10">
      <c r="G5322" s="180"/>
      <c r="H5322" s="273"/>
      <c r="J5322" s="180"/>
    </row>
    <row r="5323" spans="7:10">
      <c r="G5323" s="180"/>
      <c r="H5323" s="273"/>
      <c r="J5323" s="180"/>
    </row>
    <row r="5324" spans="7:10">
      <c r="G5324" s="180"/>
      <c r="H5324" s="273"/>
      <c r="J5324" s="180"/>
    </row>
    <row r="5325" spans="7:10">
      <c r="G5325" s="180"/>
      <c r="H5325" s="273"/>
      <c r="J5325" s="180"/>
    </row>
    <row r="5326" spans="7:10">
      <c r="G5326" s="180"/>
      <c r="H5326" s="273"/>
      <c r="J5326" s="180"/>
    </row>
    <row r="5327" spans="7:10">
      <c r="G5327" s="180"/>
      <c r="H5327" s="273"/>
      <c r="J5327" s="180"/>
    </row>
    <row r="5328" spans="7:10">
      <c r="G5328" s="180"/>
      <c r="H5328" s="273"/>
      <c r="J5328" s="180"/>
    </row>
    <row r="5329" spans="7:10">
      <c r="G5329" s="180"/>
      <c r="H5329" s="273"/>
      <c r="J5329" s="180"/>
    </row>
    <row r="5330" spans="7:10">
      <c r="G5330" s="180"/>
      <c r="H5330" s="273"/>
      <c r="J5330" s="180"/>
    </row>
    <row r="5331" spans="7:10">
      <c r="G5331" s="180"/>
      <c r="H5331" s="273"/>
      <c r="J5331" s="180"/>
    </row>
    <row r="5332" spans="7:10">
      <c r="G5332" s="180"/>
      <c r="H5332" s="273"/>
      <c r="J5332" s="180"/>
    </row>
    <row r="5333" spans="7:10">
      <c r="G5333" s="180"/>
      <c r="H5333" s="273"/>
      <c r="J5333" s="180"/>
    </row>
    <row r="5334" spans="7:10">
      <c r="G5334" s="180"/>
      <c r="H5334" s="273"/>
      <c r="J5334" s="180"/>
    </row>
    <row r="5335" spans="7:10">
      <c r="G5335" s="180"/>
      <c r="H5335" s="273"/>
      <c r="J5335" s="180"/>
    </row>
    <row r="5336" spans="7:10">
      <c r="G5336" s="180"/>
      <c r="H5336" s="273"/>
      <c r="J5336" s="180"/>
    </row>
    <row r="5337" spans="7:10">
      <c r="G5337" s="180"/>
      <c r="H5337" s="273"/>
      <c r="J5337" s="180"/>
    </row>
    <row r="5338" spans="7:10">
      <c r="G5338" s="180"/>
      <c r="H5338" s="273"/>
      <c r="J5338" s="180"/>
    </row>
    <row r="5339" spans="7:10">
      <c r="G5339" s="180"/>
      <c r="H5339" s="273"/>
      <c r="J5339" s="180"/>
    </row>
    <row r="5340" spans="7:10">
      <c r="G5340" s="180"/>
      <c r="H5340" s="273"/>
      <c r="J5340" s="180"/>
    </row>
    <row r="5341" spans="7:10">
      <c r="G5341" s="180"/>
      <c r="H5341" s="273"/>
      <c r="J5341" s="180"/>
    </row>
    <row r="5342" spans="7:10">
      <c r="G5342" s="180"/>
      <c r="H5342" s="273"/>
      <c r="J5342" s="180"/>
    </row>
    <row r="5343" spans="7:10">
      <c r="G5343" s="180"/>
      <c r="H5343" s="273"/>
      <c r="J5343" s="180"/>
    </row>
    <row r="5344" spans="7:10">
      <c r="G5344" s="180"/>
      <c r="H5344" s="273"/>
      <c r="J5344" s="180"/>
    </row>
    <row r="5345" spans="7:10">
      <c r="G5345" s="180"/>
      <c r="H5345" s="273"/>
      <c r="J5345" s="180"/>
    </row>
    <row r="5346" spans="7:10">
      <c r="G5346" s="180"/>
      <c r="H5346" s="273"/>
      <c r="J5346" s="180"/>
    </row>
    <row r="5347" spans="7:10">
      <c r="G5347" s="180"/>
      <c r="H5347" s="273"/>
      <c r="J5347" s="180"/>
    </row>
    <row r="5348" spans="7:10">
      <c r="G5348" s="180"/>
      <c r="H5348" s="273"/>
      <c r="J5348" s="180"/>
    </row>
    <row r="5349" spans="7:10">
      <c r="G5349" s="180"/>
      <c r="H5349" s="273"/>
      <c r="J5349" s="180"/>
    </row>
    <row r="5350" spans="7:10">
      <c r="G5350" s="180"/>
      <c r="H5350" s="273"/>
      <c r="J5350" s="180"/>
    </row>
    <row r="5351" spans="7:10">
      <c r="G5351" s="180"/>
      <c r="H5351" s="273"/>
      <c r="J5351" s="180"/>
    </row>
    <row r="5352" spans="7:10">
      <c r="G5352" s="180"/>
      <c r="H5352" s="273"/>
      <c r="J5352" s="180"/>
    </row>
    <row r="5353" spans="7:10">
      <c r="G5353" s="180"/>
      <c r="H5353" s="273"/>
      <c r="J5353" s="180"/>
    </row>
    <row r="5354" spans="7:10">
      <c r="G5354" s="180"/>
      <c r="H5354" s="273"/>
      <c r="J5354" s="180"/>
    </row>
    <row r="5355" spans="7:10">
      <c r="G5355" s="180"/>
      <c r="H5355" s="273"/>
      <c r="J5355" s="180"/>
    </row>
    <row r="5356" spans="7:10">
      <c r="G5356" s="180"/>
      <c r="H5356" s="273"/>
      <c r="J5356" s="180"/>
    </row>
    <row r="5357" spans="7:10">
      <c r="G5357" s="180"/>
      <c r="H5357" s="273"/>
      <c r="J5357" s="180"/>
    </row>
    <row r="5358" spans="7:10">
      <c r="G5358" s="180"/>
      <c r="H5358" s="273"/>
      <c r="J5358" s="180"/>
    </row>
    <row r="5359" spans="7:10">
      <c r="G5359" s="180"/>
      <c r="H5359" s="273"/>
      <c r="J5359" s="180"/>
    </row>
    <row r="5360" spans="7:10">
      <c r="G5360" s="180"/>
      <c r="H5360" s="273"/>
      <c r="J5360" s="180"/>
    </row>
    <row r="5361" spans="7:10">
      <c r="G5361" s="180"/>
      <c r="H5361" s="273"/>
      <c r="J5361" s="180"/>
    </row>
    <row r="5362" spans="7:10">
      <c r="G5362" s="180"/>
      <c r="H5362" s="273"/>
      <c r="J5362" s="180"/>
    </row>
    <row r="5363" spans="7:10">
      <c r="G5363" s="180"/>
      <c r="H5363" s="273"/>
      <c r="J5363" s="180"/>
    </row>
    <row r="5364" spans="7:10">
      <c r="G5364" s="180"/>
      <c r="H5364" s="273"/>
      <c r="J5364" s="180"/>
    </row>
    <row r="5365" spans="7:10">
      <c r="G5365" s="180"/>
      <c r="H5365" s="273"/>
      <c r="J5365" s="180"/>
    </row>
    <row r="5366" spans="7:10">
      <c r="G5366" s="180"/>
      <c r="H5366" s="273"/>
      <c r="J5366" s="180"/>
    </row>
    <row r="5367" spans="7:10">
      <c r="G5367" s="180"/>
      <c r="H5367" s="273"/>
      <c r="J5367" s="180"/>
    </row>
    <row r="5368" spans="7:10">
      <c r="G5368" s="180"/>
      <c r="H5368" s="273"/>
      <c r="J5368" s="180"/>
    </row>
    <row r="5369" spans="7:10">
      <c r="G5369" s="180"/>
      <c r="H5369" s="273"/>
      <c r="J5369" s="180"/>
    </row>
    <row r="5370" spans="7:10">
      <c r="G5370" s="180"/>
      <c r="H5370" s="273"/>
      <c r="J5370" s="180"/>
    </row>
    <row r="5371" spans="7:10">
      <c r="G5371" s="180"/>
      <c r="H5371" s="273"/>
      <c r="J5371" s="180"/>
    </row>
    <row r="5372" spans="7:10">
      <c r="G5372" s="180"/>
      <c r="H5372" s="273"/>
      <c r="J5372" s="180"/>
    </row>
    <row r="5373" spans="7:10">
      <c r="G5373" s="180"/>
      <c r="H5373" s="273"/>
      <c r="J5373" s="180"/>
    </row>
    <row r="5374" spans="7:10">
      <c r="G5374" s="180"/>
      <c r="H5374" s="273"/>
      <c r="J5374" s="180"/>
    </row>
    <row r="5375" spans="7:10">
      <c r="G5375" s="180"/>
      <c r="H5375" s="273"/>
      <c r="J5375" s="180"/>
    </row>
    <row r="5376" spans="7:10">
      <c r="G5376" s="180"/>
      <c r="H5376" s="273"/>
      <c r="J5376" s="180"/>
    </row>
    <row r="5377" spans="7:10">
      <c r="G5377" s="180"/>
      <c r="H5377" s="273"/>
      <c r="J5377" s="180"/>
    </row>
    <row r="5378" spans="7:10">
      <c r="G5378" s="180"/>
      <c r="H5378" s="273"/>
      <c r="J5378" s="180"/>
    </row>
    <row r="5379" spans="7:10">
      <c r="G5379" s="180"/>
      <c r="H5379" s="273"/>
      <c r="J5379" s="180"/>
    </row>
    <row r="5380" spans="7:10">
      <c r="G5380" s="180"/>
      <c r="H5380" s="273"/>
      <c r="J5380" s="180"/>
    </row>
    <row r="5381" spans="7:10">
      <c r="G5381" s="180"/>
      <c r="H5381" s="273"/>
      <c r="J5381" s="180"/>
    </row>
    <row r="5382" spans="7:10">
      <c r="G5382" s="180"/>
      <c r="H5382" s="273"/>
      <c r="J5382" s="180"/>
    </row>
    <row r="5383" spans="7:10">
      <c r="G5383" s="180"/>
      <c r="H5383" s="273"/>
      <c r="J5383" s="180"/>
    </row>
    <row r="5384" spans="7:10">
      <c r="G5384" s="180"/>
      <c r="H5384" s="273"/>
      <c r="J5384" s="180"/>
    </row>
    <row r="5385" spans="7:10">
      <c r="G5385" s="180"/>
      <c r="H5385" s="273"/>
      <c r="J5385" s="180"/>
    </row>
    <row r="5386" spans="7:10">
      <c r="G5386" s="180"/>
      <c r="H5386" s="273"/>
      <c r="J5386" s="180"/>
    </row>
    <row r="5387" spans="7:10">
      <c r="G5387" s="180"/>
      <c r="H5387" s="273"/>
      <c r="J5387" s="180"/>
    </row>
    <row r="5388" spans="7:10">
      <c r="G5388" s="180"/>
      <c r="H5388" s="273"/>
      <c r="J5388" s="180"/>
    </row>
    <row r="5389" spans="7:10">
      <c r="G5389" s="180"/>
      <c r="H5389" s="273"/>
      <c r="J5389" s="180"/>
    </row>
    <row r="5390" spans="7:10">
      <c r="G5390" s="180"/>
      <c r="H5390" s="273"/>
      <c r="J5390" s="180"/>
    </row>
    <row r="5391" spans="7:10">
      <c r="G5391" s="180"/>
      <c r="H5391" s="273"/>
      <c r="J5391" s="180"/>
    </row>
    <row r="5392" spans="7:10">
      <c r="G5392" s="180"/>
      <c r="H5392" s="273"/>
      <c r="J5392" s="180"/>
    </row>
    <row r="5393" spans="7:10">
      <c r="G5393" s="180"/>
      <c r="H5393" s="273"/>
      <c r="J5393" s="180"/>
    </row>
    <row r="5394" spans="7:10">
      <c r="G5394" s="180"/>
      <c r="H5394" s="273"/>
      <c r="J5394" s="180"/>
    </row>
    <row r="5395" spans="7:10">
      <c r="G5395" s="180"/>
      <c r="H5395" s="273"/>
      <c r="J5395" s="180"/>
    </row>
    <row r="5396" spans="7:10">
      <c r="G5396" s="180"/>
      <c r="H5396" s="273"/>
      <c r="J5396" s="180"/>
    </row>
    <row r="5397" spans="7:10">
      <c r="G5397" s="180"/>
      <c r="H5397" s="273"/>
      <c r="J5397" s="180"/>
    </row>
    <row r="5398" spans="7:10">
      <c r="G5398" s="180"/>
      <c r="H5398" s="273"/>
      <c r="J5398" s="180"/>
    </row>
    <row r="5399" spans="7:10">
      <c r="G5399" s="180"/>
      <c r="H5399" s="273"/>
      <c r="J5399" s="180"/>
    </row>
    <row r="5400" spans="7:10">
      <c r="G5400" s="180"/>
      <c r="H5400" s="273"/>
      <c r="J5400" s="180"/>
    </row>
    <row r="5401" spans="7:10">
      <c r="G5401" s="180"/>
      <c r="H5401" s="273"/>
      <c r="J5401" s="180"/>
    </row>
    <row r="5402" spans="7:10">
      <c r="G5402" s="180"/>
      <c r="H5402" s="273"/>
      <c r="J5402" s="180"/>
    </row>
    <row r="5403" spans="7:10">
      <c r="G5403" s="180"/>
      <c r="H5403" s="273"/>
      <c r="J5403" s="180"/>
    </row>
    <row r="5404" spans="7:10">
      <c r="G5404" s="180"/>
      <c r="H5404" s="273"/>
      <c r="J5404" s="180"/>
    </row>
    <row r="5405" spans="7:10">
      <c r="G5405" s="180"/>
      <c r="H5405" s="273"/>
      <c r="J5405" s="180"/>
    </row>
    <row r="5406" spans="7:10">
      <c r="G5406" s="180"/>
      <c r="H5406" s="273"/>
      <c r="J5406" s="180"/>
    </row>
    <row r="5407" spans="7:10">
      <c r="G5407" s="180"/>
      <c r="H5407" s="273"/>
      <c r="J5407" s="180"/>
    </row>
    <row r="5408" spans="7:10">
      <c r="G5408" s="180"/>
      <c r="H5408" s="273"/>
      <c r="J5408" s="180"/>
    </row>
    <row r="5409" spans="7:10">
      <c r="G5409" s="180"/>
      <c r="H5409" s="273"/>
      <c r="J5409" s="180"/>
    </row>
    <row r="5410" spans="7:10">
      <c r="G5410" s="180"/>
      <c r="H5410" s="273"/>
      <c r="J5410" s="180"/>
    </row>
    <row r="5411" spans="7:10">
      <c r="G5411" s="180"/>
      <c r="H5411" s="273"/>
      <c r="J5411" s="180"/>
    </row>
    <row r="5412" spans="7:10">
      <c r="G5412" s="180"/>
      <c r="H5412" s="273"/>
      <c r="J5412" s="180"/>
    </row>
    <row r="5413" spans="7:10">
      <c r="G5413" s="180"/>
      <c r="H5413" s="273"/>
      <c r="J5413" s="180"/>
    </row>
    <row r="5414" spans="7:10">
      <c r="G5414" s="180"/>
      <c r="H5414" s="273"/>
      <c r="J5414" s="180"/>
    </row>
    <row r="5415" spans="7:10">
      <c r="G5415" s="180"/>
      <c r="H5415" s="273"/>
      <c r="J5415" s="180"/>
    </row>
    <row r="5416" spans="7:10">
      <c r="G5416" s="180"/>
      <c r="H5416" s="273"/>
      <c r="J5416" s="180"/>
    </row>
    <row r="5417" spans="7:10">
      <c r="G5417" s="180"/>
      <c r="H5417" s="273"/>
      <c r="J5417" s="180"/>
    </row>
    <row r="5418" spans="7:10">
      <c r="G5418" s="180"/>
      <c r="H5418" s="273"/>
      <c r="J5418" s="180"/>
    </row>
    <row r="5419" spans="7:10">
      <c r="G5419" s="180"/>
      <c r="H5419" s="273"/>
      <c r="J5419" s="180"/>
    </row>
    <row r="5420" spans="7:10">
      <c r="G5420" s="180"/>
      <c r="H5420" s="273"/>
      <c r="J5420" s="180"/>
    </row>
    <row r="5421" spans="7:10">
      <c r="G5421" s="180"/>
      <c r="H5421" s="273"/>
      <c r="J5421" s="180"/>
    </row>
    <row r="5422" spans="7:10">
      <c r="G5422" s="180"/>
      <c r="H5422" s="273"/>
      <c r="J5422" s="180"/>
    </row>
    <row r="5423" spans="7:10">
      <c r="G5423" s="180"/>
      <c r="H5423" s="273"/>
      <c r="J5423" s="180"/>
    </row>
    <row r="5424" spans="7:10">
      <c r="G5424" s="180"/>
      <c r="H5424" s="273"/>
      <c r="J5424" s="180"/>
    </row>
    <row r="5425" spans="7:10">
      <c r="G5425" s="180"/>
      <c r="H5425" s="273"/>
      <c r="J5425" s="180"/>
    </row>
    <row r="5426" spans="7:10">
      <c r="G5426" s="180"/>
      <c r="H5426" s="273"/>
      <c r="J5426" s="180"/>
    </row>
    <row r="5427" spans="7:10">
      <c r="G5427" s="180"/>
      <c r="H5427" s="273"/>
      <c r="J5427" s="180"/>
    </row>
    <row r="5428" spans="7:10">
      <c r="G5428" s="180"/>
      <c r="H5428" s="273"/>
      <c r="J5428" s="180"/>
    </row>
    <row r="5429" spans="7:10">
      <c r="G5429" s="180"/>
      <c r="H5429" s="273"/>
      <c r="J5429" s="180"/>
    </row>
    <row r="5430" spans="7:10">
      <c r="G5430" s="180"/>
      <c r="H5430" s="273"/>
      <c r="J5430" s="180"/>
    </row>
    <row r="5431" spans="7:10">
      <c r="G5431" s="180"/>
      <c r="H5431" s="273"/>
      <c r="J5431" s="180"/>
    </row>
    <row r="5432" spans="7:10">
      <c r="G5432" s="180"/>
      <c r="H5432" s="273"/>
      <c r="J5432" s="180"/>
    </row>
    <row r="5433" spans="7:10">
      <c r="G5433" s="180"/>
      <c r="H5433" s="273"/>
      <c r="J5433" s="180"/>
    </row>
    <row r="5434" spans="7:10">
      <c r="G5434" s="180"/>
      <c r="H5434" s="273"/>
      <c r="J5434" s="180"/>
    </row>
    <row r="5435" spans="7:10">
      <c r="G5435" s="180"/>
      <c r="H5435" s="273"/>
      <c r="J5435" s="180"/>
    </row>
    <row r="5436" spans="7:10">
      <c r="G5436" s="180"/>
      <c r="H5436" s="273"/>
      <c r="J5436" s="180"/>
    </row>
    <row r="5437" spans="7:10">
      <c r="G5437" s="180"/>
      <c r="H5437" s="273"/>
      <c r="J5437" s="180"/>
    </row>
    <row r="5438" spans="7:10">
      <c r="G5438" s="180"/>
      <c r="H5438" s="273"/>
      <c r="J5438" s="180"/>
    </row>
    <row r="5439" spans="7:10">
      <c r="G5439" s="180"/>
      <c r="H5439" s="273"/>
      <c r="J5439" s="180"/>
    </row>
    <row r="5440" spans="7:10">
      <c r="G5440" s="180"/>
      <c r="H5440" s="273"/>
      <c r="J5440" s="180"/>
    </row>
    <row r="5441" spans="7:10">
      <c r="G5441" s="180"/>
      <c r="H5441" s="273"/>
      <c r="J5441" s="180"/>
    </row>
    <row r="5442" spans="7:10">
      <c r="G5442" s="180"/>
      <c r="H5442" s="273"/>
      <c r="J5442" s="180"/>
    </row>
    <row r="5443" spans="7:10">
      <c r="G5443" s="180"/>
      <c r="H5443" s="273"/>
      <c r="J5443" s="180"/>
    </row>
    <row r="5444" spans="7:10">
      <c r="G5444" s="180"/>
      <c r="H5444" s="273"/>
      <c r="J5444" s="180"/>
    </row>
    <row r="5445" spans="7:10">
      <c r="G5445" s="180"/>
      <c r="H5445" s="273"/>
      <c r="J5445" s="180"/>
    </row>
    <row r="5446" spans="7:10">
      <c r="G5446" s="180"/>
      <c r="H5446" s="273"/>
      <c r="J5446" s="180"/>
    </row>
    <row r="5447" spans="7:10">
      <c r="G5447" s="180"/>
      <c r="H5447" s="273"/>
      <c r="J5447" s="180"/>
    </row>
    <row r="5448" spans="7:10">
      <c r="G5448" s="180"/>
      <c r="H5448" s="273"/>
      <c r="J5448" s="180"/>
    </row>
    <row r="5449" spans="7:10">
      <c r="G5449" s="180"/>
      <c r="H5449" s="273"/>
      <c r="J5449" s="180"/>
    </row>
    <row r="5450" spans="7:10">
      <c r="G5450" s="180"/>
      <c r="H5450" s="273"/>
      <c r="J5450" s="180"/>
    </row>
    <row r="5451" spans="7:10">
      <c r="G5451" s="180"/>
      <c r="H5451" s="273"/>
      <c r="J5451" s="180"/>
    </row>
    <row r="5452" spans="7:10">
      <c r="G5452" s="180"/>
      <c r="H5452" s="273"/>
      <c r="J5452" s="180"/>
    </row>
    <row r="5453" spans="7:10">
      <c r="G5453" s="180"/>
      <c r="H5453" s="273"/>
      <c r="J5453" s="180"/>
    </row>
    <row r="5454" spans="7:10">
      <c r="G5454" s="180"/>
      <c r="H5454" s="273"/>
      <c r="J5454" s="180"/>
    </row>
    <row r="5455" spans="7:10">
      <c r="G5455" s="180"/>
      <c r="H5455" s="273"/>
      <c r="J5455" s="180"/>
    </row>
    <row r="5456" spans="7:10">
      <c r="G5456" s="180"/>
      <c r="H5456" s="273"/>
      <c r="J5456" s="180"/>
    </row>
    <row r="5457" spans="7:10">
      <c r="G5457" s="180"/>
      <c r="H5457" s="273"/>
      <c r="J5457" s="180"/>
    </row>
    <row r="5458" spans="7:10">
      <c r="G5458" s="180"/>
      <c r="H5458" s="273"/>
      <c r="J5458" s="180"/>
    </row>
    <row r="5459" spans="7:10">
      <c r="G5459" s="180"/>
      <c r="H5459" s="273"/>
      <c r="J5459" s="180"/>
    </row>
    <row r="5460" spans="7:10">
      <c r="G5460" s="180"/>
      <c r="H5460" s="273"/>
      <c r="J5460" s="180"/>
    </row>
    <row r="5461" spans="7:10">
      <c r="G5461" s="180"/>
      <c r="H5461" s="273"/>
      <c r="J5461" s="180"/>
    </row>
    <row r="5462" spans="7:10">
      <c r="G5462" s="180"/>
      <c r="H5462" s="273"/>
      <c r="J5462" s="180"/>
    </row>
  </sheetData>
  <mergeCells count="4">
    <mergeCell ref="O280:P280"/>
    <mergeCell ref="M779:R779"/>
    <mergeCell ref="M780:R780"/>
    <mergeCell ref="P788:Q788"/>
  </mergeCells>
  <printOptions horizontalCentered="1"/>
  <pageMargins left="0.78740157480314965" right="0.19685039370078741" top="4.1338582677165361" bottom="0.59055118110236227" header="0.31496062992125984" footer="0.23622047244094491"/>
  <pageSetup paperSize="9" scale="75" orientation="portrait" r:id="rId1"/>
  <headerFooter alignWithMargins="0">
    <oddHeader>&amp;CElectrical Data 2016-17&amp;R&amp;P</oddHeader>
  </headerFooter>
  <rowBreaks count="4" manualBreakCount="4">
    <brk id="42" min="5" max="10" man="1"/>
    <brk id="43" min="5" max="10" man="1"/>
    <brk id="69" min="5" max="10" man="1"/>
    <brk id="114" min="5" max="10" man="1"/>
  </rowBreaks>
  <drawing r:id="rId2"/>
</worksheet>
</file>

<file path=xl/worksheets/sheet3.xml><?xml version="1.0" encoding="utf-8"?>
<worksheet xmlns="http://schemas.openxmlformats.org/spreadsheetml/2006/main" xmlns:r="http://schemas.openxmlformats.org/officeDocument/2006/relationships">
  <sheetPr filterMode="1">
    <tabColor rgb="FFFFFF00"/>
  </sheetPr>
  <dimension ref="A1:R1440"/>
  <sheetViews>
    <sheetView showZeros="0" view="pageBreakPreview" topLeftCell="A1053" zoomScale="115" zoomScaleSheetLayoutView="115" workbookViewId="0">
      <selection activeCell="D1053" sqref="D1053"/>
    </sheetView>
  </sheetViews>
  <sheetFormatPr defaultRowHeight="15.75"/>
  <cols>
    <col min="1" max="1" width="6.44140625" style="1217" customWidth="1"/>
    <col min="2" max="2" width="9.6640625" style="1244" customWidth="1"/>
    <col min="3" max="3" width="41.6640625" style="1245" customWidth="1"/>
    <col min="4" max="4" width="11.88671875" style="1243" customWidth="1"/>
    <col min="5" max="5" width="6.21875" style="1217" customWidth="1"/>
    <col min="6" max="6" width="14.5546875" style="1243" customWidth="1"/>
    <col min="7" max="7" width="14" style="1243" customWidth="1"/>
    <col min="8" max="8" width="11.5546875" style="1216" bestFit="1" customWidth="1"/>
    <col min="9" max="256" width="8.88671875" style="1217"/>
    <col min="257" max="257" width="6.44140625" style="1217" customWidth="1"/>
    <col min="258" max="258" width="9.6640625" style="1217" customWidth="1"/>
    <col min="259" max="259" width="41.6640625" style="1217" customWidth="1"/>
    <col min="260" max="260" width="11.88671875" style="1217" customWidth="1"/>
    <col min="261" max="261" width="6.21875" style="1217" customWidth="1"/>
    <col min="262" max="262" width="14.5546875" style="1217" customWidth="1"/>
    <col min="263" max="263" width="14" style="1217" customWidth="1"/>
    <col min="264" max="264" width="11.5546875" style="1217" bestFit="1" customWidth="1"/>
    <col min="265" max="512" width="8.88671875" style="1217"/>
    <col min="513" max="513" width="6.44140625" style="1217" customWidth="1"/>
    <col min="514" max="514" width="9.6640625" style="1217" customWidth="1"/>
    <col min="515" max="515" width="41.6640625" style="1217" customWidth="1"/>
    <col min="516" max="516" width="11.88671875" style="1217" customWidth="1"/>
    <col min="517" max="517" width="6.21875" style="1217" customWidth="1"/>
    <col min="518" max="518" width="14.5546875" style="1217" customWidth="1"/>
    <col min="519" max="519" width="14" style="1217" customWidth="1"/>
    <col min="520" max="520" width="11.5546875" style="1217" bestFit="1" customWidth="1"/>
    <col min="521" max="768" width="8.88671875" style="1217"/>
    <col min="769" max="769" width="6.44140625" style="1217" customWidth="1"/>
    <col min="770" max="770" width="9.6640625" style="1217" customWidth="1"/>
    <col min="771" max="771" width="41.6640625" style="1217" customWidth="1"/>
    <col min="772" max="772" width="11.88671875" style="1217" customWidth="1"/>
    <col min="773" max="773" width="6.21875" style="1217" customWidth="1"/>
    <col min="774" max="774" width="14.5546875" style="1217" customWidth="1"/>
    <col min="775" max="775" width="14" style="1217" customWidth="1"/>
    <col min="776" max="776" width="11.5546875" style="1217" bestFit="1" customWidth="1"/>
    <col min="777" max="1024" width="8.88671875" style="1217"/>
    <col min="1025" max="1025" width="6.44140625" style="1217" customWidth="1"/>
    <col min="1026" max="1026" width="9.6640625" style="1217" customWidth="1"/>
    <col min="1027" max="1027" width="41.6640625" style="1217" customWidth="1"/>
    <col min="1028" max="1028" width="11.88671875" style="1217" customWidth="1"/>
    <col min="1029" max="1029" width="6.21875" style="1217" customWidth="1"/>
    <col min="1030" max="1030" width="14.5546875" style="1217" customWidth="1"/>
    <col min="1031" max="1031" width="14" style="1217" customWidth="1"/>
    <col min="1032" max="1032" width="11.5546875" style="1217" bestFit="1" customWidth="1"/>
    <col min="1033" max="1280" width="8.88671875" style="1217"/>
    <col min="1281" max="1281" width="6.44140625" style="1217" customWidth="1"/>
    <col min="1282" max="1282" width="9.6640625" style="1217" customWidth="1"/>
    <col min="1283" max="1283" width="41.6640625" style="1217" customWidth="1"/>
    <col min="1284" max="1284" width="11.88671875" style="1217" customWidth="1"/>
    <col min="1285" max="1285" width="6.21875" style="1217" customWidth="1"/>
    <col min="1286" max="1286" width="14.5546875" style="1217" customWidth="1"/>
    <col min="1287" max="1287" width="14" style="1217" customWidth="1"/>
    <col min="1288" max="1288" width="11.5546875" style="1217" bestFit="1" customWidth="1"/>
    <col min="1289" max="1536" width="8.88671875" style="1217"/>
    <col min="1537" max="1537" width="6.44140625" style="1217" customWidth="1"/>
    <col min="1538" max="1538" width="9.6640625" style="1217" customWidth="1"/>
    <col min="1539" max="1539" width="41.6640625" style="1217" customWidth="1"/>
    <col min="1540" max="1540" width="11.88671875" style="1217" customWidth="1"/>
    <col min="1541" max="1541" width="6.21875" style="1217" customWidth="1"/>
    <col min="1542" max="1542" width="14.5546875" style="1217" customWidth="1"/>
    <col min="1543" max="1543" width="14" style="1217" customWidth="1"/>
    <col min="1544" max="1544" width="11.5546875" style="1217" bestFit="1" customWidth="1"/>
    <col min="1545" max="1792" width="8.88671875" style="1217"/>
    <col min="1793" max="1793" width="6.44140625" style="1217" customWidth="1"/>
    <col min="1794" max="1794" width="9.6640625" style="1217" customWidth="1"/>
    <col min="1795" max="1795" width="41.6640625" style="1217" customWidth="1"/>
    <col min="1796" max="1796" width="11.88671875" style="1217" customWidth="1"/>
    <col min="1797" max="1797" width="6.21875" style="1217" customWidth="1"/>
    <col min="1798" max="1798" width="14.5546875" style="1217" customWidth="1"/>
    <col min="1799" max="1799" width="14" style="1217" customWidth="1"/>
    <col min="1800" max="1800" width="11.5546875" style="1217" bestFit="1" customWidth="1"/>
    <col min="1801" max="2048" width="8.88671875" style="1217"/>
    <col min="2049" max="2049" width="6.44140625" style="1217" customWidth="1"/>
    <col min="2050" max="2050" width="9.6640625" style="1217" customWidth="1"/>
    <col min="2051" max="2051" width="41.6640625" style="1217" customWidth="1"/>
    <col min="2052" max="2052" width="11.88671875" style="1217" customWidth="1"/>
    <col min="2053" max="2053" width="6.21875" style="1217" customWidth="1"/>
    <col min="2054" max="2054" width="14.5546875" style="1217" customWidth="1"/>
    <col min="2055" max="2055" width="14" style="1217" customWidth="1"/>
    <col min="2056" max="2056" width="11.5546875" style="1217" bestFit="1" customWidth="1"/>
    <col min="2057" max="2304" width="8.88671875" style="1217"/>
    <col min="2305" max="2305" width="6.44140625" style="1217" customWidth="1"/>
    <col min="2306" max="2306" width="9.6640625" style="1217" customWidth="1"/>
    <col min="2307" max="2307" width="41.6640625" style="1217" customWidth="1"/>
    <col min="2308" max="2308" width="11.88671875" style="1217" customWidth="1"/>
    <col min="2309" max="2309" width="6.21875" style="1217" customWidth="1"/>
    <col min="2310" max="2310" width="14.5546875" style="1217" customWidth="1"/>
    <col min="2311" max="2311" width="14" style="1217" customWidth="1"/>
    <col min="2312" max="2312" width="11.5546875" style="1217" bestFit="1" customWidth="1"/>
    <col min="2313" max="2560" width="8.88671875" style="1217"/>
    <col min="2561" max="2561" width="6.44140625" style="1217" customWidth="1"/>
    <col min="2562" max="2562" width="9.6640625" style="1217" customWidth="1"/>
    <col min="2563" max="2563" width="41.6640625" style="1217" customWidth="1"/>
    <col min="2564" max="2564" width="11.88671875" style="1217" customWidth="1"/>
    <col min="2565" max="2565" width="6.21875" style="1217" customWidth="1"/>
    <col min="2566" max="2566" width="14.5546875" style="1217" customWidth="1"/>
    <col min="2567" max="2567" width="14" style="1217" customWidth="1"/>
    <col min="2568" max="2568" width="11.5546875" style="1217" bestFit="1" customWidth="1"/>
    <col min="2569" max="2816" width="8.88671875" style="1217"/>
    <col min="2817" max="2817" width="6.44140625" style="1217" customWidth="1"/>
    <col min="2818" max="2818" width="9.6640625" style="1217" customWidth="1"/>
    <col min="2819" max="2819" width="41.6640625" style="1217" customWidth="1"/>
    <col min="2820" max="2820" width="11.88671875" style="1217" customWidth="1"/>
    <col min="2821" max="2821" width="6.21875" style="1217" customWidth="1"/>
    <col min="2822" max="2822" width="14.5546875" style="1217" customWidth="1"/>
    <col min="2823" max="2823" width="14" style="1217" customWidth="1"/>
    <col min="2824" max="2824" width="11.5546875" style="1217" bestFit="1" customWidth="1"/>
    <col min="2825" max="3072" width="8.88671875" style="1217"/>
    <col min="3073" max="3073" width="6.44140625" style="1217" customWidth="1"/>
    <col min="3074" max="3074" width="9.6640625" style="1217" customWidth="1"/>
    <col min="3075" max="3075" width="41.6640625" style="1217" customWidth="1"/>
    <col min="3076" max="3076" width="11.88671875" style="1217" customWidth="1"/>
    <col min="3077" max="3077" width="6.21875" style="1217" customWidth="1"/>
    <col min="3078" max="3078" width="14.5546875" style="1217" customWidth="1"/>
    <col min="3079" max="3079" width="14" style="1217" customWidth="1"/>
    <col min="3080" max="3080" width="11.5546875" style="1217" bestFit="1" customWidth="1"/>
    <col min="3081" max="3328" width="8.88671875" style="1217"/>
    <col min="3329" max="3329" width="6.44140625" style="1217" customWidth="1"/>
    <col min="3330" max="3330" width="9.6640625" style="1217" customWidth="1"/>
    <col min="3331" max="3331" width="41.6640625" style="1217" customWidth="1"/>
    <col min="3332" max="3332" width="11.88671875" style="1217" customWidth="1"/>
    <col min="3333" max="3333" width="6.21875" style="1217" customWidth="1"/>
    <col min="3334" max="3334" width="14.5546875" style="1217" customWidth="1"/>
    <col min="3335" max="3335" width="14" style="1217" customWidth="1"/>
    <col min="3336" max="3336" width="11.5546875" style="1217" bestFit="1" customWidth="1"/>
    <col min="3337" max="3584" width="8.88671875" style="1217"/>
    <col min="3585" max="3585" width="6.44140625" style="1217" customWidth="1"/>
    <col min="3586" max="3586" width="9.6640625" style="1217" customWidth="1"/>
    <col min="3587" max="3587" width="41.6640625" style="1217" customWidth="1"/>
    <col min="3588" max="3588" width="11.88671875" style="1217" customWidth="1"/>
    <col min="3589" max="3589" width="6.21875" style="1217" customWidth="1"/>
    <col min="3590" max="3590" width="14.5546875" style="1217" customWidth="1"/>
    <col min="3591" max="3591" width="14" style="1217" customWidth="1"/>
    <col min="3592" max="3592" width="11.5546875" style="1217" bestFit="1" customWidth="1"/>
    <col min="3593" max="3840" width="8.88671875" style="1217"/>
    <col min="3841" max="3841" width="6.44140625" style="1217" customWidth="1"/>
    <col min="3842" max="3842" width="9.6640625" style="1217" customWidth="1"/>
    <col min="3843" max="3843" width="41.6640625" style="1217" customWidth="1"/>
    <col min="3844" max="3844" width="11.88671875" style="1217" customWidth="1"/>
    <col min="3845" max="3845" width="6.21875" style="1217" customWidth="1"/>
    <col min="3846" max="3846" width="14.5546875" style="1217" customWidth="1"/>
    <col min="3847" max="3847" width="14" style="1217" customWidth="1"/>
    <col min="3848" max="3848" width="11.5546875" style="1217" bestFit="1" customWidth="1"/>
    <col min="3849" max="4096" width="8.88671875" style="1217"/>
    <col min="4097" max="4097" width="6.44140625" style="1217" customWidth="1"/>
    <col min="4098" max="4098" width="9.6640625" style="1217" customWidth="1"/>
    <col min="4099" max="4099" width="41.6640625" style="1217" customWidth="1"/>
    <col min="4100" max="4100" width="11.88671875" style="1217" customWidth="1"/>
    <col min="4101" max="4101" width="6.21875" style="1217" customWidth="1"/>
    <col min="4102" max="4102" width="14.5546875" style="1217" customWidth="1"/>
    <col min="4103" max="4103" width="14" style="1217" customWidth="1"/>
    <col min="4104" max="4104" width="11.5546875" style="1217" bestFit="1" customWidth="1"/>
    <col min="4105" max="4352" width="8.88671875" style="1217"/>
    <col min="4353" max="4353" width="6.44140625" style="1217" customWidth="1"/>
    <col min="4354" max="4354" width="9.6640625" style="1217" customWidth="1"/>
    <col min="4355" max="4355" width="41.6640625" style="1217" customWidth="1"/>
    <col min="4356" max="4356" width="11.88671875" style="1217" customWidth="1"/>
    <col min="4357" max="4357" width="6.21875" style="1217" customWidth="1"/>
    <col min="4358" max="4358" width="14.5546875" style="1217" customWidth="1"/>
    <col min="4359" max="4359" width="14" style="1217" customWidth="1"/>
    <col min="4360" max="4360" width="11.5546875" style="1217" bestFit="1" customWidth="1"/>
    <col min="4361" max="4608" width="8.88671875" style="1217"/>
    <col min="4609" max="4609" width="6.44140625" style="1217" customWidth="1"/>
    <col min="4610" max="4610" width="9.6640625" style="1217" customWidth="1"/>
    <col min="4611" max="4611" width="41.6640625" style="1217" customWidth="1"/>
    <col min="4612" max="4612" width="11.88671875" style="1217" customWidth="1"/>
    <col min="4613" max="4613" width="6.21875" style="1217" customWidth="1"/>
    <col min="4614" max="4614" width="14.5546875" style="1217" customWidth="1"/>
    <col min="4615" max="4615" width="14" style="1217" customWidth="1"/>
    <col min="4616" max="4616" width="11.5546875" style="1217" bestFit="1" customWidth="1"/>
    <col min="4617" max="4864" width="8.88671875" style="1217"/>
    <col min="4865" max="4865" width="6.44140625" style="1217" customWidth="1"/>
    <col min="4866" max="4866" width="9.6640625" style="1217" customWidth="1"/>
    <col min="4867" max="4867" width="41.6640625" style="1217" customWidth="1"/>
    <col min="4868" max="4868" width="11.88671875" style="1217" customWidth="1"/>
    <col min="4869" max="4869" width="6.21875" style="1217" customWidth="1"/>
    <col min="4870" max="4870" width="14.5546875" style="1217" customWidth="1"/>
    <col min="4871" max="4871" width="14" style="1217" customWidth="1"/>
    <col min="4872" max="4872" width="11.5546875" style="1217" bestFit="1" customWidth="1"/>
    <col min="4873" max="5120" width="8.88671875" style="1217"/>
    <col min="5121" max="5121" width="6.44140625" style="1217" customWidth="1"/>
    <col min="5122" max="5122" width="9.6640625" style="1217" customWidth="1"/>
    <col min="5123" max="5123" width="41.6640625" style="1217" customWidth="1"/>
    <col min="5124" max="5124" width="11.88671875" style="1217" customWidth="1"/>
    <col min="5125" max="5125" width="6.21875" style="1217" customWidth="1"/>
    <col min="5126" max="5126" width="14.5546875" style="1217" customWidth="1"/>
    <col min="5127" max="5127" width="14" style="1217" customWidth="1"/>
    <col min="5128" max="5128" width="11.5546875" style="1217" bestFit="1" customWidth="1"/>
    <col min="5129" max="5376" width="8.88671875" style="1217"/>
    <col min="5377" max="5377" width="6.44140625" style="1217" customWidth="1"/>
    <col min="5378" max="5378" width="9.6640625" style="1217" customWidth="1"/>
    <col min="5379" max="5379" width="41.6640625" style="1217" customWidth="1"/>
    <col min="5380" max="5380" width="11.88671875" style="1217" customWidth="1"/>
    <col min="5381" max="5381" width="6.21875" style="1217" customWidth="1"/>
    <col min="5382" max="5382" width="14.5546875" style="1217" customWidth="1"/>
    <col min="5383" max="5383" width="14" style="1217" customWidth="1"/>
    <col min="5384" max="5384" width="11.5546875" style="1217" bestFit="1" customWidth="1"/>
    <col min="5385" max="5632" width="8.88671875" style="1217"/>
    <col min="5633" max="5633" width="6.44140625" style="1217" customWidth="1"/>
    <col min="5634" max="5634" width="9.6640625" style="1217" customWidth="1"/>
    <col min="5635" max="5635" width="41.6640625" style="1217" customWidth="1"/>
    <col min="5636" max="5636" width="11.88671875" style="1217" customWidth="1"/>
    <col min="5637" max="5637" width="6.21875" style="1217" customWidth="1"/>
    <col min="5638" max="5638" width="14.5546875" style="1217" customWidth="1"/>
    <col min="5639" max="5639" width="14" style="1217" customWidth="1"/>
    <col min="5640" max="5640" width="11.5546875" style="1217" bestFit="1" customWidth="1"/>
    <col min="5641" max="5888" width="8.88671875" style="1217"/>
    <col min="5889" max="5889" width="6.44140625" style="1217" customWidth="1"/>
    <col min="5890" max="5890" width="9.6640625" style="1217" customWidth="1"/>
    <col min="5891" max="5891" width="41.6640625" style="1217" customWidth="1"/>
    <col min="5892" max="5892" width="11.88671875" style="1217" customWidth="1"/>
    <col min="5893" max="5893" width="6.21875" style="1217" customWidth="1"/>
    <col min="5894" max="5894" width="14.5546875" style="1217" customWidth="1"/>
    <col min="5895" max="5895" width="14" style="1217" customWidth="1"/>
    <col min="5896" max="5896" width="11.5546875" style="1217" bestFit="1" customWidth="1"/>
    <col min="5897" max="6144" width="8.88671875" style="1217"/>
    <col min="6145" max="6145" width="6.44140625" style="1217" customWidth="1"/>
    <col min="6146" max="6146" width="9.6640625" style="1217" customWidth="1"/>
    <col min="6147" max="6147" width="41.6640625" style="1217" customWidth="1"/>
    <col min="6148" max="6148" width="11.88671875" style="1217" customWidth="1"/>
    <col min="6149" max="6149" width="6.21875" style="1217" customWidth="1"/>
    <col min="6150" max="6150" width="14.5546875" style="1217" customWidth="1"/>
    <col min="6151" max="6151" width="14" style="1217" customWidth="1"/>
    <col min="6152" max="6152" width="11.5546875" style="1217" bestFit="1" customWidth="1"/>
    <col min="6153" max="6400" width="8.88671875" style="1217"/>
    <col min="6401" max="6401" width="6.44140625" style="1217" customWidth="1"/>
    <col min="6402" max="6402" width="9.6640625" style="1217" customWidth="1"/>
    <col min="6403" max="6403" width="41.6640625" style="1217" customWidth="1"/>
    <col min="6404" max="6404" width="11.88671875" style="1217" customWidth="1"/>
    <col min="6405" max="6405" width="6.21875" style="1217" customWidth="1"/>
    <col min="6406" max="6406" width="14.5546875" style="1217" customWidth="1"/>
    <col min="6407" max="6407" width="14" style="1217" customWidth="1"/>
    <col min="6408" max="6408" width="11.5546875" style="1217" bestFit="1" customWidth="1"/>
    <col min="6409" max="6656" width="8.88671875" style="1217"/>
    <col min="6657" max="6657" width="6.44140625" style="1217" customWidth="1"/>
    <col min="6658" max="6658" width="9.6640625" style="1217" customWidth="1"/>
    <col min="6659" max="6659" width="41.6640625" style="1217" customWidth="1"/>
    <col min="6660" max="6660" width="11.88671875" style="1217" customWidth="1"/>
    <col min="6661" max="6661" width="6.21875" style="1217" customWidth="1"/>
    <col min="6662" max="6662" width="14.5546875" style="1217" customWidth="1"/>
    <col min="6663" max="6663" width="14" style="1217" customWidth="1"/>
    <col min="6664" max="6664" width="11.5546875" style="1217" bestFit="1" customWidth="1"/>
    <col min="6665" max="6912" width="8.88671875" style="1217"/>
    <col min="6913" max="6913" width="6.44140625" style="1217" customWidth="1"/>
    <col min="6914" max="6914" width="9.6640625" style="1217" customWidth="1"/>
    <col min="6915" max="6915" width="41.6640625" style="1217" customWidth="1"/>
    <col min="6916" max="6916" width="11.88671875" style="1217" customWidth="1"/>
    <col min="6917" max="6917" width="6.21875" style="1217" customWidth="1"/>
    <col min="6918" max="6918" width="14.5546875" style="1217" customWidth="1"/>
    <col min="6919" max="6919" width="14" style="1217" customWidth="1"/>
    <col min="6920" max="6920" width="11.5546875" style="1217" bestFit="1" customWidth="1"/>
    <col min="6921" max="7168" width="8.88671875" style="1217"/>
    <col min="7169" max="7169" width="6.44140625" style="1217" customWidth="1"/>
    <col min="7170" max="7170" width="9.6640625" style="1217" customWidth="1"/>
    <col min="7171" max="7171" width="41.6640625" style="1217" customWidth="1"/>
    <col min="7172" max="7172" width="11.88671875" style="1217" customWidth="1"/>
    <col min="7173" max="7173" width="6.21875" style="1217" customWidth="1"/>
    <col min="7174" max="7174" width="14.5546875" style="1217" customWidth="1"/>
    <col min="7175" max="7175" width="14" style="1217" customWidth="1"/>
    <col min="7176" max="7176" width="11.5546875" style="1217" bestFit="1" customWidth="1"/>
    <col min="7177" max="7424" width="8.88671875" style="1217"/>
    <col min="7425" max="7425" width="6.44140625" style="1217" customWidth="1"/>
    <col min="7426" max="7426" width="9.6640625" style="1217" customWidth="1"/>
    <col min="7427" max="7427" width="41.6640625" style="1217" customWidth="1"/>
    <col min="7428" max="7428" width="11.88671875" style="1217" customWidth="1"/>
    <col min="7429" max="7429" width="6.21875" style="1217" customWidth="1"/>
    <col min="7430" max="7430" width="14.5546875" style="1217" customWidth="1"/>
    <col min="7431" max="7431" width="14" style="1217" customWidth="1"/>
    <col min="7432" max="7432" width="11.5546875" style="1217" bestFit="1" customWidth="1"/>
    <col min="7433" max="7680" width="8.88671875" style="1217"/>
    <col min="7681" max="7681" width="6.44140625" style="1217" customWidth="1"/>
    <col min="7682" max="7682" width="9.6640625" style="1217" customWidth="1"/>
    <col min="7683" max="7683" width="41.6640625" style="1217" customWidth="1"/>
    <col min="7684" max="7684" width="11.88671875" style="1217" customWidth="1"/>
    <col min="7685" max="7685" width="6.21875" style="1217" customWidth="1"/>
    <col min="7686" max="7686" width="14.5546875" style="1217" customWidth="1"/>
    <col min="7687" max="7687" width="14" style="1217" customWidth="1"/>
    <col min="7688" max="7688" width="11.5546875" style="1217" bestFit="1" customWidth="1"/>
    <col min="7689" max="7936" width="8.88671875" style="1217"/>
    <col min="7937" max="7937" width="6.44140625" style="1217" customWidth="1"/>
    <col min="7938" max="7938" width="9.6640625" style="1217" customWidth="1"/>
    <col min="7939" max="7939" width="41.6640625" style="1217" customWidth="1"/>
    <col min="7940" max="7940" width="11.88671875" style="1217" customWidth="1"/>
    <col min="7941" max="7941" width="6.21875" style="1217" customWidth="1"/>
    <col min="7942" max="7942" width="14.5546875" style="1217" customWidth="1"/>
    <col min="7943" max="7943" width="14" style="1217" customWidth="1"/>
    <col min="7944" max="7944" width="11.5546875" style="1217" bestFit="1" customWidth="1"/>
    <col min="7945" max="8192" width="8.88671875" style="1217"/>
    <col min="8193" max="8193" width="6.44140625" style="1217" customWidth="1"/>
    <col min="8194" max="8194" width="9.6640625" style="1217" customWidth="1"/>
    <col min="8195" max="8195" width="41.6640625" style="1217" customWidth="1"/>
    <col min="8196" max="8196" width="11.88671875" style="1217" customWidth="1"/>
    <col min="8197" max="8197" width="6.21875" style="1217" customWidth="1"/>
    <col min="8198" max="8198" width="14.5546875" style="1217" customWidth="1"/>
    <col min="8199" max="8199" width="14" style="1217" customWidth="1"/>
    <col min="8200" max="8200" width="11.5546875" style="1217" bestFit="1" customWidth="1"/>
    <col min="8201" max="8448" width="8.88671875" style="1217"/>
    <col min="8449" max="8449" width="6.44140625" style="1217" customWidth="1"/>
    <col min="8450" max="8450" width="9.6640625" style="1217" customWidth="1"/>
    <col min="8451" max="8451" width="41.6640625" style="1217" customWidth="1"/>
    <col min="8452" max="8452" width="11.88671875" style="1217" customWidth="1"/>
    <col min="8453" max="8453" width="6.21875" style="1217" customWidth="1"/>
    <col min="8454" max="8454" width="14.5546875" style="1217" customWidth="1"/>
    <col min="8455" max="8455" width="14" style="1217" customWidth="1"/>
    <col min="8456" max="8456" width="11.5546875" style="1217" bestFit="1" customWidth="1"/>
    <col min="8457" max="8704" width="8.88671875" style="1217"/>
    <col min="8705" max="8705" width="6.44140625" style="1217" customWidth="1"/>
    <col min="8706" max="8706" width="9.6640625" style="1217" customWidth="1"/>
    <col min="8707" max="8707" width="41.6640625" style="1217" customWidth="1"/>
    <col min="8708" max="8708" width="11.88671875" style="1217" customWidth="1"/>
    <col min="8709" max="8709" width="6.21875" style="1217" customWidth="1"/>
    <col min="8710" max="8710" width="14.5546875" style="1217" customWidth="1"/>
    <col min="8711" max="8711" width="14" style="1217" customWidth="1"/>
    <col min="8712" max="8712" width="11.5546875" style="1217" bestFit="1" customWidth="1"/>
    <col min="8713" max="8960" width="8.88671875" style="1217"/>
    <col min="8961" max="8961" width="6.44140625" style="1217" customWidth="1"/>
    <col min="8962" max="8962" width="9.6640625" style="1217" customWidth="1"/>
    <col min="8963" max="8963" width="41.6640625" style="1217" customWidth="1"/>
    <col min="8964" max="8964" width="11.88671875" style="1217" customWidth="1"/>
    <col min="8965" max="8965" width="6.21875" style="1217" customWidth="1"/>
    <col min="8966" max="8966" width="14.5546875" style="1217" customWidth="1"/>
    <col min="8967" max="8967" width="14" style="1217" customWidth="1"/>
    <col min="8968" max="8968" width="11.5546875" style="1217" bestFit="1" customWidth="1"/>
    <col min="8969" max="9216" width="8.88671875" style="1217"/>
    <col min="9217" max="9217" width="6.44140625" style="1217" customWidth="1"/>
    <col min="9218" max="9218" width="9.6640625" style="1217" customWidth="1"/>
    <col min="9219" max="9219" width="41.6640625" style="1217" customWidth="1"/>
    <col min="9220" max="9220" width="11.88671875" style="1217" customWidth="1"/>
    <col min="9221" max="9221" width="6.21875" style="1217" customWidth="1"/>
    <col min="9222" max="9222" width="14.5546875" style="1217" customWidth="1"/>
    <col min="9223" max="9223" width="14" style="1217" customWidth="1"/>
    <col min="9224" max="9224" width="11.5546875" style="1217" bestFit="1" customWidth="1"/>
    <col min="9225" max="9472" width="8.88671875" style="1217"/>
    <col min="9473" max="9473" width="6.44140625" style="1217" customWidth="1"/>
    <col min="9474" max="9474" width="9.6640625" style="1217" customWidth="1"/>
    <col min="9475" max="9475" width="41.6640625" style="1217" customWidth="1"/>
    <col min="9476" max="9476" width="11.88671875" style="1217" customWidth="1"/>
    <col min="9477" max="9477" width="6.21875" style="1217" customWidth="1"/>
    <col min="9478" max="9478" width="14.5546875" style="1217" customWidth="1"/>
    <col min="9479" max="9479" width="14" style="1217" customWidth="1"/>
    <col min="9480" max="9480" width="11.5546875" style="1217" bestFit="1" customWidth="1"/>
    <col min="9481" max="9728" width="8.88671875" style="1217"/>
    <col min="9729" max="9729" width="6.44140625" style="1217" customWidth="1"/>
    <col min="9730" max="9730" width="9.6640625" style="1217" customWidth="1"/>
    <col min="9731" max="9731" width="41.6640625" style="1217" customWidth="1"/>
    <col min="9732" max="9732" width="11.88671875" style="1217" customWidth="1"/>
    <col min="9733" max="9733" width="6.21875" style="1217" customWidth="1"/>
    <col min="9734" max="9734" width="14.5546875" style="1217" customWidth="1"/>
    <col min="9735" max="9735" width="14" style="1217" customWidth="1"/>
    <col min="9736" max="9736" width="11.5546875" style="1217" bestFit="1" customWidth="1"/>
    <col min="9737" max="9984" width="8.88671875" style="1217"/>
    <col min="9985" max="9985" width="6.44140625" style="1217" customWidth="1"/>
    <col min="9986" max="9986" width="9.6640625" style="1217" customWidth="1"/>
    <col min="9987" max="9987" width="41.6640625" style="1217" customWidth="1"/>
    <col min="9988" max="9988" width="11.88671875" style="1217" customWidth="1"/>
    <col min="9989" max="9989" width="6.21875" style="1217" customWidth="1"/>
    <col min="9990" max="9990" width="14.5546875" style="1217" customWidth="1"/>
    <col min="9991" max="9991" width="14" style="1217" customWidth="1"/>
    <col min="9992" max="9992" width="11.5546875" style="1217" bestFit="1" customWidth="1"/>
    <col min="9993" max="10240" width="8.88671875" style="1217"/>
    <col min="10241" max="10241" width="6.44140625" style="1217" customWidth="1"/>
    <col min="10242" max="10242" width="9.6640625" style="1217" customWidth="1"/>
    <col min="10243" max="10243" width="41.6640625" style="1217" customWidth="1"/>
    <col min="10244" max="10244" width="11.88671875" style="1217" customWidth="1"/>
    <col min="10245" max="10245" width="6.21875" style="1217" customWidth="1"/>
    <col min="10246" max="10246" width="14.5546875" style="1217" customWidth="1"/>
    <col min="10247" max="10247" width="14" style="1217" customWidth="1"/>
    <col min="10248" max="10248" width="11.5546875" style="1217" bestFit="1" customWidth="1"/>
    <col min="10249" max="10496" width="8.88671875" style="1217"/>
    <col min="10497" max="10497" width="6.44140625" style="1217" customWidth="1"/>
    <col min="10498" max="10498" width="9.6640625" style="1217" customWidth="1"/>
    <col min="10499" max="10499" width="41.6640625" style="1217" customWidth="1"/>
    <col min="10500" max="10500" width="11.88671875" style="1217" customWidth="1"/>
    <col min="10501" max="10501" width="6.21875" style="1217" customWidth="1"/>
    <col min="10502" max="10502" width="14.5546875" style="1217" customWidth="1"/>
    <col min="10503" max="10503" width="14" style="1217" customWidth="1"/>
    <col min="10504" max="10504" width="11.5546875" style="1217" bestFit="1" customWidth="1"/>
    <col min="10505" max="10752" width="8.88671875" style="1217"/>
    <col min="10753" max="10753" width="6.44140625" style="1217" customWidth="1"/>
    <col min="10754" max="10754" width="9.6640625" style="1217" customWidth="1"/>
    <col min="10755" max="10755" width="41.6640625" style="1217" customWidth="1"/>
    <col min="10756" max="10756" width="11.88671875" style="1217" customWidth="1"/>
    <col min="10757" max="10757" width="6.21875" style="1217" customWidth="1"/>
    <col min="10758" max="10758" width="14.5546875" style="1217" customWidth="1"/>
    <col min="10759" max="10759" width="14" style="1217" customWidth="1"/>
    <col min="10760" max="10760" width="11.5546875" style="1217" bestFit="1" customWidth="1"/>
    <col min="10761" max="11008" width="8.88671875" style="1217"/>
    <col min="11009" max="11009" width="6.44140625" style="1217" customWidth="1"/>
    <col min="11010" max="11010" width="9.6640625" style="1217" customWidth="1"/>
    <col min="11011" max="11011" width="41.6640625" style="1217" customWidth="1"/>
    <col min="11012" max="11012" width="11.88671875" style="1217" customWidth="1"/>
    <col min="11013" max="11013" width="6.21875" style="1217" customWidth="1"/>
    <col min="11014" max="11014" width="14.5546875" style="1217" customWidth="1"/>
    <col min="11015" max="11015" width="14" style="1217" customWidth="1"/>
    <col min="11016" max="11016" width="11.5546875" style="1217" bestFit="1" customWidth="1"/>
    <col min="11017" max="11264" width="8.88671875" style="1217"/>
    <col min="11265" max="11265" width="6.44140625" style="1217" customWidth="1"/>
    <col min="11266" max="11266" width="9.6640625" style="1217" customWidth="1"/>
    <col min="11267" max="11267" width="41.6640625" style="1217" customWidth="1"/>
    <col min="11268" max="11268" width="11.88671875" style="1217" customWidth="1"/>
    <col min="11269" max="11269" width="6.21875" style="1217" customWidth="1"/>
    <col min="11270" max="11270" width="14.5546875" style="1217" customWidth="1"/>
    <col min="11271" max="11271" width="14" style="1217" customWidth="1"/>
    <col min="11272" max="11272" width="11.5546875" style="1217" bestFit="1" customWidth="1"/>
    <col min="11273" max="11520" width="8.88671875" style="1217"/>
    <col min="11521" max="11521" width="6.44140625" style="1217" customWidth="1"/>
    <col min="11522" max="11522" width="9.6640625" style="1217" customWidth="1"/>
    <col min="11523" max="11523" width="41.6640625" style="1217" customWidth="1"/>
    <col min="11524" max="11524" width="11.88671875" style="1217" customWidth="1"/>
    <col min="11525" max="11525" width="6.21875" style="1217" customWidth="1"/>
    <col min="11526" max="11526" width="14.5546875" style="1217" customWidth="1"/>
    <col min="11527" max="11527" width="14" style="1217" customWidth="1"/>
    <col min="11528" max="11528" width="11.5546875" style="1217" bestFit="1" customWidth="1"/>
    <col min="11529" max="11776" width="8.88671875" style="1217"/>
    <col min="11777" max="11777" width="6.44140625" style="1217" customWidth="1"/>
    <col min="11778" max="11778" width="9.6640625" style="1217" customWidth="1"/>
    <col min="11779" max="11779" width="41.6640625" style="1217" customWidth="1"/>
    <col min="11780" max="11780" width="11.88671875" style="1217" customWidth="1"/>
    <col min="11781" max="11781" width="6.21875" style="1217" customWidth="1"/>
    <col min="11782" max="11782" width="14.5546875" style="1217" customWidth="1"/>
    <col min="11783" max="11783" width="14" style="1217" customWidth="1"/>
    <col min="11784" max="11784" width="11.5546875" style="1217" bestFit="1" customWidth="1"/>
    <col min="11785" max="12032" width="8.88671875" style="1217"/>
    <col min="12033" max="12033" width="6.44140625" style="1217" customWidth="1"/>
    <col min="12034" max="12034" width="9.6640625" style="1217" customWidth="1"/>
    <col min="12035" max="12035" width="41.6640625" style="1217" customWidth="1"/>
    <col min="12036" max="12036" width="11.88671875" style="1217" customWidth="1"/>
    <col min="12037" max="12037" width="6.21875" style="1217" customWidth="1"/>
    <col min="12038" max="12038" width="14.5546875" style="1217" customWidth="1"/>
    <col min="12039" max="12039" width="14" style="1217" customWidth="1"/>
    <col min="12040" max="12040" width="11.5546875" style="1217" bestFit="1" customWidth="1"/>
    <col min="12041" max="12288" width="8.88671875" style="1217"/>
    <col min="12289" max="12289" width="6.44140625" style="1217" customWidth="1"/>
    <col min="12290" max="12290" width="9.6640625" style="1217" customWidth="1"/>
    <col min="12291" max="12291" width="41.6640625" style="1217" customWidth="1"/>
    <col min="12292" max="12292" width="11.88671875" style="1217" customWidth="1"/>
    <col min="12293" max="12293" width="6.21875" style="1217" customWidth="1"/>
    <col min="12294" max="12294" width="14.5546875" style="1217" customWidth="1"/>
    <col min="12295" max="12295" width="14" style="1217" customWidth="1"/>
    <col min="12296" max="12296" width="11.5546875" style="1217" bestFit="1" customWidth="1"/>
    <col min="12297" max="12544" width="8.88671875" style="1217"/>
    <col min="12545" max="12545" width="6.44140625" style="1217" customWidth="1"/>
    <col min="12546" max="12546" width="9.6640625" style="1217" customWidth="1"/>
    <col min="12547" max="12547" width="41.6640625" style="1217" customWidth="1"/>
    <col min="12548" max="12548" width="11.88671875" style="1217" customWidth="1"/>
    <col min="12549" max="12549" width="6.21875" style="1217" customWidth="1"/>
    <col min="12550" max="12550" width="14.5546875" style="1217" customWidth="1"/>
    <col min="12551" max="12551" width="14" style="1217" customWidth="1"/>
    <col min="12552" max="12552" width="11.5546875" style="1217" bestFit="1" customWidth="1"/>
    <col min="12553" max="12800" width="8.88671875" style="1217"/>
    <col min="12801" max="12801" width="6.44140625" style="1217" customWidth="1"/>
    <col min="12802" max="12802" width="9.6640625" style="1217" customWidth="1"/>
    <col min="12803" max="12803" width="41.6640625" style="1217" customWidth="1"/>
    <col min="12804" max="12804" width="11.88671875" style="1217" customWidth="1"/>
    <col min="12805" max="12805" width="6.21875" style="1217" customWidth="1"/>
    <col min="12806" max="12806" width="14.5546875" style="1217" customWidth="1"/>
    <col min="12807" max="12807" width="14" style="1217" customWidth="1"/>
    <col min="12808" max="12808" width="11.5546875" style="1217" bestFit="1" customWidth="1"/>
    <col min="12809" max="13056" width="8.88671875" style="1217"/>
    <col min="13057" max="13057" width="6.44140625" style="1217" customWidth="1"/>
    <col min="13058" max="13058" width="9.6640625" style="1217" customWidth="1"/>
    <col min="13059" max="13059" width="41.6640625" style="1217" customWidth="1"/>
    <col min="13060" max="13060" width="11.88671875" style="1217" customWidth="1"/>
    <col min="13061" max="13061" width="6.21875" style="1217" customWidth="1"/>
    <col min="13062" max="13062" width="14.5546875" style="1217" customWidth="1"/>
    <col min="13063" max="13063" width="14" style="1217" customWidth="1"/>
    <col min="13064" max="13064" width="11.5546875" style="1217" bestFit="1" customWidth="1"/>
    <col min="13065" max="13312" width="8.88671875" style="1217"/>
    <col min="13313" max="13313" width="6.44140625" style="1217" customWidth="1"/>
    <col min="13314" max="13314" width="9.6640625" style="1217" customWidth="1"/>
    <col min="13315" max="13315" width="41.6640625" style="1217" customWidth="1"/>
    <col min="13316" max="13316" width="11.88671875" style="1217" customWidth="1"/>
    <col min="13317" max="13317" width="6.21875" style="1217" customWidth="1"/>
    <col min="13318" max="13318" width="14.5546875" style="1217" customWidth="1"/>
    <col min="13319" max="13319" width="14" style="1217" customWidth="1"/>
    <col min="13320" max="13320" width="11.5546875" style="1217" bestFit="1" customWidth="1"/>
    <col min="13321" max="13568" width="8.88671875" style="1217"/>
    <col min="13569" max="13569" width="6.44140625" style="1217" customWidth="1"/>
    <col min="13570" max="13570" width="9.6640625" style="1217" customWidth="1"/>
    <col min="13571" max="13571" width="41.6640625" style="1217" customWidth="1"/>
    <col min="13572" max="13572" width="11.88671875" style="1217" customWidth="1"/>
    <col min="13573" max="13573" width="6.21875" style="1217" customWidth="1"/>
    <col min="13574" max="13574" width="14.5546875" style="1217" customWidth="1"/>
    <col min="13575" max="13575" width="14" style="1217" customWidth="1"/>
    <col min="13576" max="13576" width="11.5546875" style="1217" bestFit="1" customWidth="1"/>
    <col min="13577" max="13824" width="8.88671875" style="1217"/>
    <col min="13825" max="13825" width="6.44140625" style="1217" customWidth="1"/>
    <col min="13826" max="13826" width="9.6640625" style="1217" customWidth="1"/>
    <col min="13827" max="13827" width="41.6640625" style="1217" customWidth="1"/>
    <col min="13828" max="13828" width="11.88671875" style="1217" customWidth="1"/>
    <col min="13829" max="13829" width="6.21875" style="1217" customWidth="1"/>
    <col min="13830" max="13830" width="14.5546875" style="1217" customWidth="1"/>
    <col min="13831" max="13831" width="14" style="1217" customWidth="1"/>
    <col min="13832" max="13832" width="11.5546875" style="1217" bestFit="1" customWidth="1"/>
    <col min="13833" max="14080" width="8.88671875" style="1217"/>
    <col min="14081" max="14081" width="6.44140625" style="1217" customWidth="1"/>
    <col min="14082" max="14082" width="9.6640625" style="1217" customWidth="1"/>
    <col min="14083" max="14083" width="41.6640625" style="1217" customWidth="1"/>
    <col min="14084" max="14084" width="11.88671875" style="1217" customWidth="1"/>
    <col min="14085" max="14085" width="6.21875" style="1217" customWidth="1"/>
    <col min="14086" max="14086" width="14.5546875" style="1217" customWidth="1"/>
    <col min="14087" max="14087" width="14" style="1217" customWidth="1"/>
    <col min="14088" max="14088" width="11.5546875" style="1217" bestFit="1" customWidth="1"/>
    <col min="14089" max="14336" width="8.88671875" style="1217"/>
    <col min="14337" max="14337" width="6.44140625" style="1217" customWidth="1"/>
    <col min="14338" max="14338" width="9.6640625" style="1217" customWidth="1"/>
    <col min="14339" max="14339" width="41.6640625" style="1217" customWidth="1"/>
    <col min="14340" max="14340" width="11.88671875" style="1217" customWidth="1"/>
    <col min="14341" max="14341" width="6.21875" style="1217" customWidth="1"/>
    <col min="14342" max="14342" width="14.5546875" style="1217" customWidth="1"/>
    <col min="14343" max="14343" width="14" style="1217" customWidth="1"/>
    <col min="14344" max="14344" width="11.5546875" style="1217" bestFit="1" customWidth="1"/>
    <col min="14345" max="14592" width="8.88671875" style="1217"/>
    <col min="14593" max="14593" width="6.44140625" style="1217" customWidth="1"/>
    <col min="14594" max="14594" width="9.6640625" style="1217" customWidth="1"/>
    <col min="14595" max="14595" width="41.6640625" style="1217" customWidth="1"/>
    <col min="14596" max="14596" width="11.88671875" style="1217" customWidth="1"/>
    <col min="14597" max="14597" width="6.21875" style="1217" customWidth="1"/>
    <col min="14598" max="14598" width="14.5546875" style="1217" customWidth="1"/>
    <col min="14599" max="14599" width="14" style="1217" customWidth="1"/>
    <col min="14600" max="14600" width="11.5546875" style="1217" bestFit="1" customWidth="1"/>
    <col min="14601" max="14848" width="8.88671875" style="1217"/>
    <col min="14849" max="14849" width="6.44140625" style="1217" customWidth="1"/>
    <col min="14850" max="14850" width="9.6640625" style="1217" customWidth="1"/>
    <col min="14851" max="14851" width="41.6640625" style="1217" customWidth="1"/>
    <col min="14852" max="14852" width="11.88671875" style="1217" customWidth="1"/>
    <col min="14853" max="14853" width="6.21875" style="1217" customWidth="1"/>
    <col min="14854" max="14854" width="14.5546875" style="1217" customWidth="1"/>
    <col min="14855" max="14855" width="14" style="1217" customWidth="1"/>
    <col min="14856" max="14856" width="11.5546875" style="1217" bestFit="1" customWidth="1"/>
    <col min="14857" max="15104" width="8.88671875" style="1217"/>
    <col min="15105" max="15105" width="6.44140625" style="1217" customWidth="1"/>
    <col min="15106" max="15106" width="9.6640625" style="1217" customWidth="1"/>
    <col min="15107" max="15107" width="41.6640625" style="1217" customWidth="1"/>
    <col min="15108" max="15108" width="11.88671875" style="1217" customWidth="1"/>
    <col min="15109" max="15109" width="6.21875" style="1217" customWidth="1"/>
    <col min="15110" max="15110" width="14.5546875" style="1217" customWidth="1"/>
    <col min="15111" max="15111" width="14" style="1217" customWidth="1"/>
    <col min="15112" max="15112" width="11.5546875" style="1217" bestFit="1" customWidth="1"/>
    <col min="15113" max="15360" width="8.88671875" style="1217"/>
    <col min="15361" max="15361" width="6.44140625" style="1217" customWidth="1"/>
    <col min="15362" max="15362" width="9.6640625" style="1217" customWidth="1"/>
    <col min="15363" max="15363" width="41.6640625" style="1217" customWidth="1"/>
    <col min="15364" max="15364" width="11.88671875" style="1217" customWidth="1"/>
    <col min="15365" max="15365" width="6.21875" style="1217" customWidth="1"/>
    <col min="15366" max="15366" width="14.5546875" style="1217" customWidth="1"/>
    <col min="15367" max="15367" width="14" style="1217" customWidth="1"/>
    <col min="15368" max="15368" width="11.5546875" style="1217" bestFit="1" customWidth="1"/>
    <col min="15369" max="15616" width="8.88671875" style="1217"/>
    <col min="15617" max="15617" width="6.44140625" style="1217" customWidth="1"/>
    <col min="15618" max="15618" width="9.6640625" style="1217" customWidth="1"/>
    <col min="15619" max="15619" width="41.6640625" style="1217" customWidth="1"/>
    <col min="15620" max="15620" width="11.88671875" style="1217" customWidth="1"/>
    <col min="15621" max="15621" width="6.21875" style="1217" customWidth="1"/>
    <col min="15622" max="15622" width="14.5546875" style="1217" customWidth="1"/>
    <col min="15623" max="15623" width="14" style="1217" customWidth="1"/>
    <col min="15624" max="15624" width="11.5546875" style="1217" bestFit="1" customWidth="1"/>
    <col min="15625" max="15872" width="8.88671875" style="1217"/>
    <col min="15873" max="15873" width="6.44140625" style="1217" customWidth="1"/>
    <col min="15874" max="15874" width="9.6640625" style="1217" customWidth="1"/>
    <col min="15875" max="15875" width="41.6640625" style="1217" customWidth="1"/>
    <col min="15876" max="15876" width="11.88671875" style="1217" customWidth="1"/>
    <col min="15877" max="15877" width="6.21875" style="1217" customWidth="1"/>
    <col min="15878" max="15878" width="14.5546875" style="1217" customWidth="1"/>
    <col min="15879" max="15879" width="14" style="1217" customWidth="1"/>
    <col min="15880" max="15880" width="11.5546875" style="1217" bestFit="1" customWidth="1"/>
    <col min="15881" max="16128" width="8.88671875" style="1217"/>
    <col min="16129" max="16129" width="6.44140625" style="1217" customWidth="1"/>
    <col min="16130" max="16130" width="9.6640625" style="1217" customWidth="1"/>
    <col min="16131" max="16131" width="41.6640625" style="1217" customWidth="1"/>
    <col min="16132" max="16132" width="11.88671875" style="1217" customWidth="1"/>
    <col min="16133" max="16133" width="6.21875" style="1217" customWidth="1"/>
    <col min="16134" max="16134" width="14.5546875" style="1217" customWidth="1"/>
    <col min="16135" max="16135" width="14" style="1217" customWidth="1"/>
    <col min="16136" max="16136" width="11.5546875" style="1217" bestFit="1" customWidth="1"/>
    <col min="16137" max="16384" width="8.88671875" style="1217"/>
  </cols>
  <sheetData>
    <row r="1" spans="1:18" ht="23.25" customHeight="1">
      <c r="A1" s="1536" t="s">
        <v>5901</v>
      </c>
      <c r="B1" s="1537"/>
      <c r="C1" s="1538"/>
      <c r="D1" s="1539"/>
      <c r="E1" s="1536"/>
      <c r="F1" s="1539"/>
      <c r="G1" s="1215"/>
    </row>
    <row r="2" spans="1:18" ht="27.75" customHeight="1">
      <c r="A2" s="1536" t="s">
        <v>5902</v>
      </c>
      <c r="B2" s="1537"/>
      <c r="C2" s="1538"/>
      <c r="D2" s="1539"/>
      <c r="E2" s="1536"/>
      <c r="F2" s="1539"/>
      <c r="G2" s="1215"/>
      <c r="H2" s="1218"/>
      <c r="I2" s="1219"/>
      <c r="J2" s="1219"/>
      <c r="K2" s="1219"/>
      <c r="L2" s="1219"/>
      <c r="M2" s="1219"/>
      <c r="N2" s="1219"/>
      <c r="O2" s="1219"/>
      <c r="P2" s="1219"/>
      <c r="Q2" s="1219"/>
      <c r="R2" s="1219"/>
    </row>
    <row r="3" spans="1:18" ht="61.5" customHeight="1">
      <c r="A3" s="1540" t="str">
        <f>buildingfinal!A1</f>
        <v xml:space="preserve">Name of work:- Construction of building for Ambattur Fire and Rescue Services Station and Ambattur District office in Chennai Suburban District under CM’s Announcement scheme for the year 2021 - 2022 </v>
      </c>
      <c r="B3" s="1541"/>
      <c r="C3" s="1542"/>
      <c r="D3" s="1543"/>
      <c r="E3" s="1540"/>
      <c r="F3" s="1543"/>
      <c r="G3" s="1220"/>
      <c r="H3" s="1218"/>
      <c r="I3" s="1219"/>
      <c r="J3" s="1219"/>
      <c r="K3" s="1219"/>
      <c r="L3" s="1219"/>
      <c r="M3" s="1219"/>
      <c r="N3" s="1219"/>
      <c r="O3" s="1219"/>
      <c r="P3" s="1219"/>
      <c r="Q3" s="1219"/>
      <c r="R3" s="1219"/>
    </row>
    <row r="4" spans="1:18" s="1226" customFormat="1" ht="48.75" customHeight="1">
      <c r="A4" s="1221" t="s">
        <v>227</v>
      </c>
      <c r="B4" s="1222" t="s">
        <v>2149</v>
      </c>
      <c r="C4" s="1223" t="s">
        <v>1811</v>
      </c>
      <c r="D4" s="1520" t="s">
        <v>5903</v>
      </c>
      <c r="E4" s="1221" t="s">
        <v>225</v>
      </c>
      <c r="F4" s="1221" t="s">
        <v>5904</v>
      </c>
      <c r="G4" s="1224" t="s">
        <v>99</v>
      </c>
      <c r="H4" s="1225" t="s">
        <v>5905</v>
      </c>
      <c r="I4" s="1535"/>
      <c r="J4" s="1535"/>
      <c r="K4" s="1535"/>
      <c r="L4" s="1535"/>
      <c r="M4" s="1535"/>
      <c r="N4" s="1535"/>
      <c r="O4" s="1535"/>
      <c r="P4" s="1535"/>
      <c r="Q4" s="1535"/>
      <c r="R4" s="1535"/>
    </row>
    <row r="5" spans="1:18" s="1226" customFormat="1" ht="19.5" customHeight="1">
      <c r="A5" s="1224"/>
      <c r="B5" s="1227"/>
      <c r="C5" s="1228"/>
      <c r="D5" s="1229"/>
      <c r="E5" s="1221"/>
      <c r="F5" s="1229"/>
      <c r="G5" s="1230"/>
      <c r="H5" s="1231"/>
      <c r="I5" s="1232"/>
      <c r="J5" s="1232"/>
      <c r="K5" s="1232"/>
      <c r="L5" s="1232"/>
      <c r="M5" s="1232"/>
      <c r="N5" s="1232"/>
      <c r="O5" s="1232"/>
      <c r="P5" s="1232"/>
      <c r="Q5" s="1232"/>
      <c r="R5" s="1232"/>
    </row>
    <row r="6" spans="1:18" ht="45.75" customHeight="1">
      <c r="A6" s="1233">
        <f>buildingfinal!A5</f>
        <v>1.1000000000000001</v>
      </c>
      <c r="B6" s="1260" t="str">
        <f>buildingfinal!Q5</f>
        <v>*</v>
      </c>
      <c r="C6" s="1234" t="str">
        <f>buildingfinal!B5</f>
        <v>Earth work excavation in all soils (including refilling)</v>
      </c>
      <c r="D6" s="1235">
        <f>buildingfinal!C5</f>
        <v>0</v>
      </c>
      <c r="E6" s="1235" t="str">
        <f>buildingfinal!D5</f>
        <v xml:space="preserve"> </v>
      </c>
      <c r="F6" s="1236"/>
      <c r="G6" s="1237"/>
      <c r="I6" s="1238"/>
      <c r="J6" s="1238"/>
      <c r="K6" s="1238"/>
      <c r="L6" s="1238"/>
      <c r="M6" s="1238"/>
      <c r="N6" s="1238"/>
      <c r="O6" s="1238"/>
      <c r="P6" s="1238"/>
      <c r="Q6" s="1238"/>
      <c r="R6" s="1238"/>
    </row>
    <row r="7" spans="1:18" ht="33.75" customHeight="1">
      <c r="A7" s="1233">
        <f>buildingfinal!A6</f>
        <v>0</v>
      </c>
      <c r="B7" s="1521">
        <f>buildingfinal!Q6</f>
        <v>439.1</v>
      </c>
      <c r="C7" s="1239" t="str">
        <f>buildingfinal!B6</f>
        <v>a. 0 to 2 mt.</v>
      </c>
      <c r="D7" s="1235">
        <f>buildingfinal!C6</f>
        <v>247.31</v>
      </c>
      <c r="E7" s="1235" t="str">
        <f>buildingfinal!D6</f>
        <v>Cum.</v>
      </c>
      <c r="F7" s="1235">
        <f>D7*B7</f>
        <v>108593.82</v>
      </c>
      <c r="G7" s="1240">
        <f>buildingfinal!R6</f>
        <v>108593.82</v>
      </c>
      <c r="H7" s="1216">
        <f>F7-G7</f>
        <v>0</v>
      </c>
      <c r="I7" s="1238"/>
      <c r="J7" s="1238"/>
      <c r="K7" s="1238"/>
      <c r="L7" s="1238"/>
      <c r="M7" s="1238"/>
      <c r="N7" s="1238"/>
      <c r="O7" s="1238"/>
      <c r="P7" s="1238"/>
      <c r="Q7" s="1238"/>
      <c r="R7" s="1238"/>
    </row>
    <row r="8" spans="1:18" s="1241" customFormat="1" ht="17.25" hidden="1">
      <c r="A8" s="1233">
        <f>buildingfinal!A7</f>
        <v>0</v>
      </c>
      <c r="B8" s="1521">
        <f>buildingfinal!Q7</f>
        <v>0</v>
      </c>
      <c r="C8" s="1239" t="str">
        <f>buildingfinal!B7</f>
        <v>b. 2 to 3 mt.</v>
      </c>
      <c r="D8" s="1235">
        <f>buildingfinal!C7</f>
        <v>258.52999999999997</v>
      </c>
      <c r="E8" s="1235" t="str">
        <f>buildingfinal!D7</f>
        <v>Cum.</v>
      </c>
      <c r="F8" s="1235">
        <f t="shared" ref="F8:F71" si="0">D8*B8</f>
        <v>0</v>
      </c>
      <c r="G8" s="1240">
        <f>'[2]Abstract '!D8</f>
        <v>203.64</v>
      </c>
      <c r="H8" s="1216">
        <f>'[2]Abstract '!F8</f>
        <v>8858.34</v>
      </c>
    </row>
    <row r="9" spans="1:18" hidden="1">
      <c r="A9" s="1233">
        <f>buildingfinal!A8</f>
        <v>1.2</v>
      </c>
      <c r="B9" s="1521">
        <f>buildingfinal!Q8</f>
        <v>0</v>
      </c>
      <c r="C9" s="1239" t="str">
        <f>buildingfinal!B8</f>
        <v>Earth work excavation in all soils (excluding refilling)</v>
      </c>
      <c r="D9" s="1235">
        <f>buildingfinal!C8</f>
        <v>0</v>
      </c>
      <c r="E9" s="1235">
        <f>buildingfinal!D8</f>
        <v>0</v>
      </c>
      <c r="F9" s="1235">
        <f t="shared" si="0"/>
        <v>0</v>
      </c>
      <c r="G9" s="1240"/>
      <c r="H9" s="1217"/>
    </row>
    <row r="10" spans="1:18" hidden="1">
      <c r="A10" s="1233">
        <f>buildingfinal!A9</f>
        <v>0</v>
      </c>
      <c r="B10" s="1521">
        <f>buildingfinal!Q9</f>
        <v>0</v>
      </c>
      <c r="C10" s="1239" t="str">
        <f>buildingfinal!B9</f>
        <v>a. 0 to 2 mt.</v>
      </c>
      <c r="D10" s="1235">
        <f>buildingfinal!C9</f>
        <v>233.76</v>
      </c>
      <c r="E10" s="1235" t="str">
        <f>buildingfinal!D9</f>
        <v>Cum.</v>
      </c>
      <c r="F10" s="1235">
        <f t="shared" si="0"/>
        <v>0</v>
      </c>
      <c r="G10" s="1240"/>
      <c r="H10" s="1217"/>
    </row>
    <row r="11" spans="1:18" s="1241" customFormat="1" ht="17.25" hidden="1">
      <c r="A11" s="1233">
        <f>buildingfinal!A10</f>
        <v>0</v>
      </c>
      <c r="B11" s="1521">
        <f>buildingfinal!Q10</f>
        <v>0</v>
      </c>
      <c r="C11" s="1239" t="str">
        <f>buildingfinal!B10</f>
        <v>b. 2 to 3 mt.</v>
      </c>
      <c r="D11" s="1235">
        <f>buildingfinal!C10</f>
        <v>244.98</v>
      </c>
      <c r="E11" s="1235" t="str">
        <f>buildingfinal!D10</f>
        <v>Cum.</v>
      </c>
      <c r="F11" s="1235">
        <f t="shared" si="0"/>
        <v>0</v>
      </c>
      <c r="G11" s="1240"/>
    </row>
    <row r="12" spans="1:18" s="1241" customFormat="1" ht="30" hidden="1">
      <c r="A12" s="1233">
        <f>buildingfinal!A11</f>
        <v>1.3</v>
      </c>
      <c r="B12" s="1521">
        <f>buildingfinal!Q11</f>
        <v>0</v>
      </c>
      <c r="C12" s="1239" t="str">
        <f>buildingfinal!B11</f>
        <v>Earth work excavation in Soft disintegrated rock  (including refilling)</v>
      </c>
      <c r="D12" s="1235">
        <f>buildingfinal!C11</f>
        <v>0</v>
      </c>
      <c r="E12" s="1235" t="str">
        <f>buildingfinal!D11</f>
        <v xml:space="preserve"> </v>
      </c>
      <c r="F12" s="1235">
        <f t="shared" si="0"/>
        <v>0</v>
      </c>
      <c r="G12" s="1240"/>
    </row>
    <row r="13" spans="1:18" s="1241" customFormat="1" ht="17.25" hidden="1">
      <c r="A13" s="1233">
        <f>buildingfinal!A12</f>
        <v>0</v>
      </c>
      <c r="B13" s="1521">
        <f>buildingfinal!Q12</f>
        <v>0</v>
      </c>
      <c r="C13" s="1239" t="str">
        <f>buildingfinal!B12</f>
        <v>a. 0 to 2 mt.</v>
      </c>
      <c r="D13" s="1235">
        <f>buildingfinal!C12</f>
        <v>361.59</v>
      </c>
      <c r="E13" s="1235" t="str">
        <f>buildingfinal!D12</f>
        <v>Cum.</v>
      </c>
      <c r="F13" s="1235">
        <f t="shared" si="0"/>
        <v>0</v>
      </c>
      <c r="G13" s="1240"/>
    </row>
    <row r="14" spans="1:18" s="1241" customFormat="1" ht="17.25" hidden="1">
      <c r="A14" s="1233">
        <f>buildingfinal!A13</f>
        <v>0</v>
      </c>
      <c r="B14" s="1521">
        <f>buildingfinal!Q13</f>
        <v>0</v>
      </c>
      <c r="C14" s="1239" t="str">
        <f>buildingfinal!B13</f>
        <v>b. 2 to 3 mt.</v>
      </c>
      <c r="D14" s="1235">
        <f>buildingfinal!C13</f>
        <v>372.81</v>
      </c>
      <c r="E14" s="1235" t="str">
        <f>buildingfinal!D13</f>
        <v>Cum.</v>
      </c>
      <c r="F14" s="1235">
        <f t="shared" si="0"/>
        <v>0</v>
      </c>
      <c r="G14" s="1240"/>
    </row>
    <row r="15" spans="1:18" s="1241" customFormat="1" ht="30" hidden="1">
      <c r="A15" s="1233">
        <f>buildingfinal!A14</f>
        <v>1.4</v>
      </c>
      <c r="B15" s="1521">
        <f>buildingfinal!Q14</f>
        <v>0</v>
      </c>
      <c r="C15" s="1239" t="str">
        <f>buildingfinal!B14</f>
        <v>Earth work excavation for Open foundation (including refilling)</v>
      </c>
      <c r="D15" s="1235">
        <f>buildingfinal!C14</f>
        <v>0</v>
      </c>
      <c r="E15" s="1235">
        <f>buildingfinal!D14</f>
        <v>0</v>
      </c>
      <c r="F15" s="1235">
        <f t="shared" si="0"/>
        <v>0</v>
      </c>
      <c r="G15" s="1240"/>
    </row>
    <row r="16" spans="1:18" s="1241" customFormat="1" ht="17.25" hidden="1">
      <c r="A16" s="1233">
        <f>buildingfinal!A15</f>
        <v>0</v>
      </c>
      <c r="B16" s="1521">
        <f>buildingfinal!Q15</f>
        <v>0</v>
      </c>
      <c r="C16" s="1239" t="str">
        <f>buildingfinal!B15</f>
        <v>a. 0 to 2 mt.</v>
      </c>
      <c r="D16" s="1235">
        <f>buildingfinal!C15</f>
        <v>130.43</v>
      </c>
      <c r="E16" s="1235" t="str">
        <f>buildingfinal!D15</f>
        <v>Cum.</v>
      </c>
      <c r="F16" s="1235">
        <f t="shared" si="0"/>
        <v>0</v>
      </c>
      <c r="G16" s="1240"/>
    </row>
    <row r="17" spans="1:8" s="1241" customFormat="1" ht="17.25" hidden="1">
      <c r="A17" s="1233">
        <f>buildingfinal!A16</f>
        <v>0</v>
      </c>
      <c r="B17" s="1521">
        <f>buildingfinal!Q16</f>
        <v>0</v>
      </c>
      <c r="C17" s="1239" t="str">
        <f>buildingfinal!B16</f>
        <v>b. 2 to 3 mt.</v>
      </c>
      <c r="D17" s="1235">
        <f>buildingfinal!C16</f>
        <v>141.65</v>
      </c>
      <c r="E17" s="1235" t="str">
        <f>buildingfinal!D16</f>
        <v>Cum.</v>
      </c>
      <c r="F17" s="1235">
        <f t="shared" si="0"/>
        <v>0</v>
      </c>
      <c r="G17" s="1240"/>
    </row>
    <row r="18" spans="1:8" s="1241" customFormat="1" ht="44.25" customHeight="1">
      <c r="A18" s="1233">
        <f>buildingfinal!A17</f>
        <v>1.5</v>
      </c>
      <c r="B18" s="1260" t="str">
        <f>buildingfinal!Q17</f>
        <v>*</v>
      </c>
      <c r="C18" s="1234" t="str">
        <f>buildingfinal!B17</f>
        <v>Earth work excavation for Open foundation (excluding refilling)</v>
      </c>
      <c r="D18" s="1235">
        <f>buildingfinal!C17</f>
        <v>0</v>
      </c>
      <c r="E18" s="1235" t="str">
        <f>buildingfinal!D17</f>
        <v xml:space="preserve"> </v>
      </c>
      <c r="F18" s="1235"/>
      <c r="G18" s="1240">
        <f>buildingfinal!R17</f>
        <v>0</v>
      </c>
      <c r="H18" s="1216">
        <f t="shared" ref="H18:H20" si="1">F18-G18</f>
        <v>0</v>
      </c>
    </row>
    <row r="19" spans="1:8" s="1241" customFormat="1" ht="33.75" customHeight="1">
      <c r="A19" s="1233">
        <f>buildingfinal!A18</f>
        <v>0</v>
      </c>
      <c r="B19" s="1521">
        <f>buildingfinal!Q18</f>
        <v>22.7</v>
      </c>
      <c r="C19" s="1239" t="str">
        <f>buildingfinal!B18</f>
        <v>a. 0 to 2 mt.</v>
      </c>
      <c r="D19" s="1235">
        <f>buildingfinal!C18</f>
        <v>116.88</v>
      </c>
      <c r="E19" s="1235" t="str">
        <f>buildingfinal!D18</f>
        <v>Cum.</v>
      </c>
      <c r="F19" s="1235">
        <f t="shared" si="0"/>
        <v>2653.18</v>
      </c>
      <c r="G19" s="1240">
        <f>buildingfinal!R18</f>
        <v>2653.18</v>
      </c>
      <c r="H19" s="1216">
        <f t="shared" si="1"/>
        <v>0</v>
      </c>
    </row>
    <row r="20" spans="1:8" ht="33.75" customHeight="1">
      <c r="A20" s="1233">
        <f>buildingfinal!A19</f>
        <v>0</v>
      </c>
      <c r="B20" s="1521">
        <f>buildingfinal!Q19</f>
        <v>10.3</v>
      </c>
      <c r="C20" s="1239" t="str">
        <f>buildingfinal!B19</f>
        <v>b. 2 to 3 mt.</v>
      </c>
      <c r="D20" s="1235">
        <f>buildingfinal!C19</f>
        <v>128.1</v>
      </c>
      <c r="E20" s="1235" t="str">
        <f>buildingfinal!D19</f>
        <v>Cum.</v>
      </c>
      <c r="F20" s="1235">
        <f t="shared" si="0"/>
        <v>1319.43</v>
      </c>
      <c r="G20" s="1240">
        <f>buildingfinal!R19</f>
        <v>1319.43</v>
      </c>
      <c r="H20" s="1216">
        <f t="shared" si="1"/>
        <v>0</v>
      </c>
    </row>
    <row r="21" spans="1:8" hidden="1">
      <c r="A21" s="1233">
        <f>buildingfinal!A20</f>
        <v>0</v>
      </c>
      <c r="B21" s="1521">
        <f>buildingfinal!Q20</f>
        <v>0</v>
      </c>
      <c r="C21" s="1239" t="str">
        <f>buildingfinal!B20</f>
        <v>c. 3 to 4 mt.</v>
      </c>
      <c r="D21" s="1235">
        <f>buildingfinal!C20</f>
        <v>139.32</v>
      </c>
      <c r="E21" s="1235" t="str">
        <f>buildingfinal!D20</f>
        <v>Cum.</v>
      </c>
      <c r="F21" s="1235">
        <f t="shared" si="0"/>
        <v>0</v>
      </c>
      <c r="G21" s="1240"/>
      <c r="H21" s="1217"/>
    </row>
    <row r="22" spans="1:8" s="1241" customFormat="1" ht="17.25" hidden="1">
      <c r="A22" s="1233">
        <f>buildingfinal!A21</f>
        <v>0</v>
      </c>
      <c r="B22" s="1521">
        <f>buildingfinal!Q21</f>
        <v>0</v>
      </c>
      <c r="C22" s="1239" t="str">
        <f>buildingfinal!B21</f>
        <v>d. 4 to 5 mt.</v>
      </c>
      <c r="D22" s="1235">
        <f>buildingfinal!C21</f>
        <v>150.54</v>
      </c>
      <c r="E22" s="1235" t="str">
        <f>buildingfinal!D21</f>
        <v>Cum.</v>
      </c>
      <c r="F22" s="1235">
        <f t="shared" si="0"/>
        <v>0</v>
      </c>
      <c r="G22" s="1240"/>
    </row>
    <row r="23" spans="1:8" ht="30" hidden="1">
      <c r="A23" s="1233">
        <f>buildingfinal!A22</f>
        <v>1.6</v>
      </c>
      <c r="B23" s="1521">
        <f>buildingfinal!Q22</f>
        <v>0</v>
      </c>
      <c r="C23" s="1239" t="str">
        <f>buildingfinal!B22</f>
        <v>Earth work excavation for Open foundation  for drains (excluding refilling) width  upto 1.25 m</v>
      </c>
      <c r="D23" s="1235">
        <f>buildingfinal!C22</f>
        <v>0</v>
      </c>
      <c r="E23" s="1235">
        <f>buildingfinal!D22</f>
        <v>0</v>
      </c>
      <c r="F23" s="1235">
        <f t="shared" si="0"/>
        <v>0</v>
      </c>
      <c r="G23" s="1240"/>
      <c r="H23" s="1217"/>
    </row>
    <row r="24" spans="1:8" hidden="1">
      <c r="A24" s="1233">
        <f>buildingfinal!A23</f>
        <v>0</v>
      </c>
      <c r="B24" s="1521">
        <f>buildingfinal!Q23</f>
        <v>0</v>
      </c>
      <c r="C24" s="1239" t="str">
        <f>buildingfinal!B23</f>
        <v>a. 0 to 2 mt.</v>
      </c>
      <c r="D24" s="1235">
        <f>buildingfinal!C23</f>
        <v>175.32</v>
      </c>
      <c r="E24" s="1235" t="str">
        <f>buildingfinal!D23</f>
        <v>Cum.</v>
      </c>
      <c r="F24" s="1235">
        <f t="shared" si="0"/>
        <v>0</v>
      </c>
      <c r="G24" s="1240"/>
      <c r="H24" s="1217"/>
    </row>
    <row r="25" spans="1:8" s="1241" customFormat="1" ht="17.25" hidden="1">
      <c r="A25" s="1233">
        <f>buildingfinal!A24</f>
        <v>0</v>
      </c>
      <c r="B25" s="1521">
        <f>buildingfinal!Q24</f>
        <v>0</v>
      </c>
      <c r="C25" s="1239" t="str">
        <f>buildingfinal!B24</f>
        <v>b. 2 to 3 mt.</v>
      </c>
      <c r="D25" s="1235">
        <f>buildingfinal!C24</f>
        <v>186.54</v>
      </c>
      <c r="E25" s="1235" t="str">
        <f>buildingfinal!D24</f>
        <v>Cum.</v>
      </c>
      <c r="F25" s="1235">
        <f t="shared" si="0"/>
        <v>0</v>
      </c>
      <c r="G25" s="1240"/>
    </row>
    <row r="26" spans="1:8" s="1241" customFormat="1" ht="30" hidden="1">
      <c r="A26" s="1233">
        <f>buildingfinal!A25</f>
        <v>1.7</v>
      </c>
      <c r="B26" s="1521">
        <f>buildingfinal!Q25</f>
        <v>0</v>
      </c>
      <c r="C26" s="1239" t="str">
        <f>buildingfinal!B25</f>
        <v>Earth work excavation in Soft disintegrated rock 
(Excluding refilling)</v>
      </c>
      <c r="D26" s="1235">
        <f>buildingfinal!C25</f>
        <v>0</v>
      </c>
      <c r="E26" s="1235" t="str">
        <f>buildingfinal!D25</f>
        <v xml:space="preserve"> </v>
      </c>
      <c r="F26" s="1235">
        <f t="shared" si="0"/>
        <v>0</v>
      </c>
      <c r="G26" s="1240"/>
    </row>
    <row r="27" spans="1:8" s="1241" customFormat="1" ht="17.25" hidden="1">
      <c r="A27" s="1233">
        <f>buildingfinal!A26</f>
        <v>0</v>
      </c>
      <c r="B27" s="1521">
        <f>buildingfinal!Q26</f>
        <v>0</v>
      </c>
      <c r="C27" s="1239" t="str">
        <f>buildingfinal!B26</f>
        <v>a. 0 to 2 mt.</v>
      </c>
      <c r="D27" s="1235">
        <f>buildingfinal!C26</f>
        <v>348.04</v>
      </c>
      <c r="E27" s="1235" t="str">
        <f>buildingfinal!D26</f>
        <v>Cum.</v>
      </c>
      <c r="F27" s="1235">
        <f t="shared" si="0"/>
        <v>0</v>
      </c>
      <c r="G27" s="1240"/>
    </row>
    <row r="28" spans="1:8" hidden="1">
      <c r="A28" s="1233">
        <f>buildingfinal!A27</f>
        <v>0</v>
      </c>
      <c r="B28" s="1521">
        <f>buildingfinal!Q27</f>
        <v>0</v>
      </c>
      <c r="C28" s="1239" t="str">
        <f>buildingfinal!B27</f>
        <v>b. 2 to 3 mt.</v>
      </c>
      <c r="D28" s="1235">
        <f>buildingfinal!C27</f>
        <v>359.26</v>
      </c>
      <c r="E28" s="1235" t="str">
        <f>buildingfinal!D27</f>
        <v>Cum.</v>
      </c>
      <c r="F28" s="1235">
        <f t="shared" si="0"/>
        <v>0</v>
      </c>
      <c r="G28" s="1240"/>
      <c r="H28" s="1217"/>
    </row>
    <row r="29" spans="1:8" ht="30" hidden="1">
      <c r="A29" s="1233">
        <f>buildingfinal!A28</f>
        <v>1.8</v>
      </c>
      <c r="B29" s="1521">
        <f>buildingfinal!Q28</f>
        <v>0</v>
      </c>
      <c r="C29" s="1239" t="str">
        <f>buildingfinal!B28</f>
        <v>Earth work excavation in SDR for Open foundation  (excluding refilling)</v>
      </c>
      <c r="D29" s="1235">
        <f>buildingfinal!C28</f>
        <v>0</v>
      </c>
      <c r="E29" s="1235" t="str">
        <f>buildingfinal!D28</f>
        <v xml:space="preserve"> </v>
      </c>
      <c r="F29" s="1235">
        <f t="shared" si="0"/>
        <v>0</v>
      </c>
      <c r="G29" s="1240"/>
      <c r="H29" s="1217"/>
    </row>
    <row r="30" spans="1:8" s="1241" customFormat="1" ht="17.25" hidden="1">
      <c r="A30" s="1233">
        <f>buildingfinal!A29</f>
        <v>0</v>
      </c>
      <c r="B30" s="1521">
        <f>buildingfinal!Q29</f>
        <v>0</v>
      </c>
      <c r="C30" s="1239" t="str">
        <f>buildingfinal!B29</f>
        <v>a. 0 to 2 mt.</v>
      </c>
      <c r="D30" s="1235">
        <f>buildingfinal!C29</f>
        <v>174.02</v>
      </c>
      <c r="E30" s="1235" t="str">
        <f>buildingfinal!D29</f>
        <v>Cum.</v>
      </c>
      <c r="F30" s="1235">
        <f t="shared" si="0"/>
        <v>0</v>
      </c>
      <c r="G30" s="1240"/>
    </row>
    <row r="31" spans="1:8" s="1241" customFormat="1" ht="17.25" hidden="1">
      <c r="A31" s="1233">
        <f>buildingfinal!A30</f>
        <v>0</v>
      </c>
      <c r="B31" s="1521">
        <f>buildingfinal!Q30</f>
        <v>0</v>
      </c>
      <c r="C31" s="1239" t="str">
        <f>buildingfinal!B30</f>
        <v>b. 2 to 3 mt.</v>
      </c>
      <c r="D31" s="1235">
        <f>buildingfinal!C30</f>
        <v>185.24</v>
      </c>
      <c r="E31" s="1235" t="str">
        <f>buildingfinal!D30</f>
        <v>Cum.</v>
      </c>
      <c r="F31" s="1235">
        <f t="shared" si="0"/>
        <v>0</v>
      </c>
      <c r="G31" s="1240"/>
    </row>
    <row r="32" spans="1:8" s="1241" customFormat="1" ht="17.25" hidden="1">
      <c r="A32" s="1233">
        <f>buildingfinal!A31</f>
        <v>1.9</v>
      </c>
      <c r="B32" s="1521">
        <f>buildingfinal!Q31</f>
        <v>0</v>
      </c>
      <c r="C32" s="1239" t="str">
        <f>buildingfinal!B31</f>
        <v>Providing Driven PILES</v>
      </c>
      <c r="D32" s="1235">
        <f>buildingfinal!C31</f>
        <v>0</v>
      </c>
      <c r="E32" s="1235">
        <f>buildingfinal!D31</f>
        <v>0</v>
      </c>
      <c r="F32" s="1235">
        <f t="shared" si="0"/>
        <v>0</v>
      </c>
      <c r="G32" s="1240"/>
    </row>
    <row r="33" spans="1:8" s="1241" customFormat="1" ht="17.25" hidden="1">
      <c r="A33" s="1233">
        <f>buildingfinal!A32</f>
        <v>0</v>
      </c>
      <c r="B33" s="1521">
        <f>buildingfinal!Q32</f>
        <v>0</v>
      </c>
      <c r="C33" s="1239" t="str">
        <f>buildingfinal!B32</f>
        <v>a.300mm dia</v>
      </c>
      <c r="D33" s="1235">
        <f>buildingfinal!C32</f>
        <v>0</v>
      </c>
      <c r="E33" s="1235" t="str">
        <f>buildingfinal!D32</f>
        <v>Rmt</v>
      </c>
      <c r="F33" s="1235">
        <f t="shared" si="0"/>
        <v>0</v>
      </c>
      <c r="G33" s="1240"/>
    </row>
    <row r="34" spans="1:8" s="1241" customFormat="1" ht="17.25" hidden="1">
      <c r="A34" s="1233">
        <f>buildingfinal!A33</f>
        <v>0</v>
      </c>
      <c r="B34" s="1521">
        <f>buildingfinal!Q33</f>
        <v>0</v>
      </c>
      <c r="C34" s="1239" t="str">
        <f>buildingfinal!B33</f>
        <v>b.330mm dia</v>
      </c>
      <c r="D34" s="1235">
        <f>buildingfinal!C33</f>
        <v>0</v>
      </c>
      <c r="E34" s="1235" t="str">
        <f>buildingfinal!D33</f>
        <v>Rmt</v>
      </c>
      <c r="F34" s="1235">
        <f t="shared" si="0"/>
        <v>0</v>
      </c>
      <c r="G34" s="1240"/>
    </row>
    <row r="35" spans="1:8" s="1241" customFormat="1" ht="17.25" hidden="1">
      <c r="A35" s="1233">
        <f>buildingfinal!A34</f>
        <v>0</v>
      </c>
      <c r="B35" s="1521">
        <f>buildingfinal!Q34</f>
        <v>0</v>
      </c>
      <c r="C35" s="1239" t="str">
        <f>buildingfinal!B34</f>
        <v>c.375mm dia</v>
      </c>
      <c r="D35" s="1235">
        <f>buildingfinal!C34</f>
        <v>0</v>
      </c>
      <c r="E35" s="1235" t="str">
        <f>buildingfinal!D34</f>
        <v>Rmt</v>
      </c>
      <c r="F35" s="1235">
        <f t="shared" si="0"/>
        <v>0</v>
      </c>
      <c r="G35" s="1240"/>
    </row>
    <row r="36" spans="1:8" s="1241" customFormat="1" ht="17.25" hidden="1">
      <c r="A36" s="1233">
        <f>buildingfinal!A35</f>
        <v>0</v>
      </c>
      <c r="B36" s="1521">
        <f>buildingfinal!Q35</f>
        <v>0</v>
      </c>
      <c r="C36" s="1239" t="str">
        <f>buildingfinal!B35</f>
        <v>d.400mm dia</v>
      </c>
      <c r="D36" s="1235">
        <f>buildingfinal!C35</f>
        <v>0</v>
      </c>
      <c r="E36" s="1235" t="str">
        <f>buildingfinal!D35</f>
        <v>Rmt</v>
      </c>
      <c r="F36" s="1235">
        <f t="shared" si="0"/>
        <v>0</v>
      </c>
      <c r="G36" s="1240"/>
    </row>
    <row r="37" spans="1:8" s="1241" customFormat="1" ht="17.25" hidden="1">
      <c r="A37" s="1233">
        <f>buildingfinal!A36</f>
        <v>0</v>
      </c>
      <c r="B37" s="1521">
        <f>buildingfinal!Q36</f>
        <v>0</v>
      </c>
      <c r="C37" s="1239" t="str">
        <f>buildingfinal!B36</f>
        <v>e.450mm dia</v>
      </c>
      <c r="D37" s="1235">
        <f>buildingfinal!C36</f>
        <v>0</v>
      </c>
      <c r="E37" s="1235" t="str">
        <f>buildingfinal!D36</f>
        <v>Rmt</v>
      </c>
      <c r="F37" s="1235">
        <f t="shared" si="0"/>
        <v>0</v>
      </c>
      <c r="G37" s="1240"/>
    </row>
    <row r="38" spans="1:8" s="1241" customFormat="1" ht="17.25" hidden="1">
      <c r="A38" s="1233">
        <f>buildingfinal!A37</f>
        <v>0</v>
      </c>
      <c r="B38" s="1521">
        <f>buildingfinal!Q37</f>
        <v>0</v>
      </c>
      <c r="C38" s="1239" t="str">
        <f>buildingfinal!B37</f>
        <v>f.500mm dia</v>
      </c>
      <c r="D38" s="1235">
        <f>buildingfinal!C37</f>
        <v>0</v>
      </c>
      <c r="E38" s="1235" t="str">
        <f>buildingfinal!D37</f>
        <v>Rmt</v>
      </c>
      <c r="F38" s="1235">
        <f t="shared" si="0"/>
        <v>0</v>
      </c>
      <c r="G38" s="1240"/>
    </row>
    <row r="39" spans="1:8" s="1241" customFormat="1" ht="34.5" customHeight="1">
      <c r="A39" s="1233">
        <f>buildingfinal!A38</f>
        <v>2.1</v>
      </c>
      <c r="B39" s="1521">
        <f>buildingfinal!Q38</f>
        <v>1.8</v>
      </c>
      <c r="C39" s="1239" t="str">
        <f>buildingfinal!B38</f>
        <v>Filling C.S. sand</v>
      </c>
      <c r="D39" s="1235">
        <f>buildingfinal!C38</f>
        <v>1644.4</v>
      </c>
      <c r="E39" s="1235" t="str">
        <f>buildingfinal!D38</f>
        <v>Cum.</v>
      </c>
      <c r="F39" s="1235">
        <f t="shared" si="0"/>
        <v>2959.92</v>
      </c>
      <c r="G39" s="1240">
        <f>'[2]Abstract '!D39</f>
        <v>879.19</v>
      </c>
      <c r="H39" s="1216">
        <f>'[2]Abstract '!F39</f>
        <v>4483.87</v>
      </c>
    </row>
    <row r="40" spans="1:8" s="1241" customFormat="1" ht="17.25" hidden="1">
      <c r="A40" s="1233">
        <f>buildingfinal!A39</f>
        <v>2.2000000000000002</v>
      </c>
      <c r="B40" s="1521">
        <f>buildingfinal!Q39</f>
        <v>0</v>
      </c>
      <c r="C40" s="1239" t="str">
        <f>buildingfinal!B39</f>
        <v>Sand Gravel Mix</v>
      </c>
      <c r="D40" s="1235">
        <f>buildingfinal!C39</f>
        <v>1531</v>
      </c>
      <c r="E40" s="1235" t="str">
        <f>buildingfinal!D39</f>
        <v>Cum.</v>
      </c>
      <c r="F40" s="1235">
        <f t="shared" si="0"/>
        <v>0</v>
      </c>
      <c r="G40" s="1240"/>
    </row>
    <row r="41" spans="1:8" s="1241" customFormat="1" ht="17.25" hidden="1">
      <c r="A41" s="1233">
        <f>buildingfinal!A40</f>
        <v>2.2999999999999998</v>
      </c>
      <c r="B41" s="1521">
        <f>buildingfinal!Q40</f>
        <v>0</v>
      </c>
      <c r="C41" s="1239" t="str">
        <f>buildingfinal!B40</f>
        <v>Supply and filling of 40 mm Brick jelly</v>
      </c>
      <c r="D41" s="1235">
        <f>buildingfinal!C40</f>
        <v>903.15</v>
      </c>
      <c r="E41" s="1235" t="str">
        <f>buildingfinal!D40</f>
        <v>Cum.</v>
      </c>
      <c r="F41" s="1235">
        <f t="shared" si="0"/>
        <v>0</v>
      </c>
      <c r="G41" s="1240"/>
    </row>
    <row r="42" spans="1:8" s="1241" customFormat="1" ht="17.25" hidden="1">
      <c r="A42" s="1233">
        <f>buildingfinal!A41</f>
        <v>2.4</v>
      </c>
      <c r="B42" s="1521">
        <f>buildingfinal!Q41</f>
        <v>0</v>
      </c>
      <c r="C42" s="1239" t="str">
        <f>buildingfinal!B41</f>
        <v>Supply and filling of 20 mm Brick jelly</v>
      </c>
      <c r="D42" s="1235">
        <f>buildingfinal!C41</f>
        <v>984.15</v>
      </c>
      <c r="E42" s="1235" t="str">
        <f>buildingfinal!D41</f>
        <v>Cum.</v>
      </c>
      <c r="F42" s="1235">
        <f t="shared" si="0"/>
        <v>0</v>
      </c>
      <c r="G42" s="1240"/>
    </row>
    <row r="43" spans="1:8" s="1241" customFormat="1" ht="17.25" hidden="1">
      <c r="A43" s="1233">
        <f>buildingfinal!A42</f>
        <v>2.5</v>
      </c>
      <c r="B43" s="1521">
        <f>buildingfinal!Q42</f>
        <v>0</v>
      </c>
      <c r="C43" s="1239" t="str">
        <f>buildingfinal!B42</f>
        <v>Gravel soling</v>
      </c>
      <c r="D43" s="1235">
        <f>buildingfinal!C42</f>
        <v>385.22</v>
      </c>
      <c r="E43" s="1235" t="str">
        <f>buildingfinal!D42</f>
        <v>Cum.</v>
      </c>
      <c r="F43" s="1235">
        <f t="shared" si="0"/>
        <v>0</v>
      </c>
      <c r="G43" s="1240"/>
    </row>
    <row r="44" spans="1:8" hidden="1">
      <c r="A44" s="1233">
        <f>buildingfinal!A43</f>
        <v>2.6</v>
      </c>
      <c r="B44" s="1521">
        <f>buildingfinal!Q43</f>
        <v>0</v>
      </c>
      <c r="C44" s="1239" t="str">
        <f>buildingfinal!B43</f>
        <v>Supply and filling of 40 mm HBSJ</v>
      </c>
      <c r="D44" s="1235">
        <f>buildingfinal!C43</f>
        <v>1332.34</v>
      </c>
      <c r="E44" s="1235" t="str">
        <f>buildingfinal!D43</f>
        <v>Cum.</v>
      </c>
      <c r="F44" s="1235">
        <f t="shared" si="0"/>
        <v>0</v>
      </c>
      <c r="G44" s="1240"/>
      <c r="H44" s="1217"/>
    </row>
    <row r="45" spans="1:8" s="1241" customFormat="1" ht="17.25" hidden="1">
      <c r="A45" s="1233">
        <f>buildingfinal!A44</f>
        <v>2.7</v>
      </c>
      <c r="B45" s="1521">
        <f>buildingfinal!Q44</f>
        <v>0</v>
      </c>
      <c r="C45" s="1239" t="str">
        <f>buildingfinal!B44</f>
        <v>Supply and filling of 20 mm HBSJ</v>
      </c>
      <c r="D45" s="1235">
        <f>buildingfinal!C44</f>
        <v>1745.34</v>
      </c>
      <c r="E45" s="1235" t="str">
        <f>buildingfinal!D44</f>
        <v>Cum.</v>
      </c>
      <c r="F45" s="1235">
        <f t="shared" si="0"/>
        <v>0</v>
      </c>
      <c r="G45" s="1240"/>
    </row>
    <row r="46" spans="1:8" s="1241" customFormat="1" ht="33.75" customHeight="1">
      <c r="A46" s="1233">
        <f>buildingfinal!A45</f>
        <v>3.1</v>
      </c>
      <c r="B46" s="1521">
        <f>buildingfinal!Q45</f>
        <v>77.8</v>
      </c>
      <c r="C46" s="1239" t="str">
        <f>buildingfinal!B45</f>
        <v>C.C.1:5:10 for Foundation &amp; Basement</v>
      </c>
      <c r="D46" s="1235">
        <f>buildingfinal!C45</f>
        <v>4888.3100000000004</v>
      </c>
      <c r="E46" s="1235" t="str">
        <f>buildingfinal!D45</f>
        <v>Cum.</v>
      </c>
      <c r="F46" s="1235">
        <f t="shared" si="0"/>
        <v>380310.52</v>
      </c>
      <c r="G46" s="1240">
        <f>buildingfinal!R45</f>
        <v>380310.52</v>
      </c>
      <c r="H46" s="1216">
        <f t="shared" ref="H46:H47" si="2">F46-G46</f>
        <v>0</v>
      </c>
    </row>
    <row r="47" spans="1:8" s="1241" customFormat="1" ht="45" customHeight="1">
      <c r="A47" s="1233">
        <f>buildingfinal!A46</f>
        <v>3.2</v>
      </c>
      <c r="B47" s="1521">
        <f>buildingfinal!Q46</f>
        <v>37.200000000000003</v>
      </c>
      <c r="C47" s="1239" t="str">
        <f>buildingfinal!B46</f>
        <v>P.C.C. 1:2:4 for Foundation &amp; Basement and other similar works</v>
      </c>
      <c r="D47" s="1235">
        <f>buildingfinal!C46</f>
        <v>6434.18</v>
      </c>
      <c r="E47" s="1235" t="str">
        <f>buildingfinal!D46</f>
        <v>Cum.</v>
      </c>
      <c r="F47" s="1235">
        <f t="shared" si="0"/>
        <v>239351.5</v>
      </c>
      <c r="G47" s="1240">
        <f>buildingfinal!R46</f>
        <v>239351.5</v>
      </c>
      <c r="H47" s="1216">
        <f t="shared" si="2"/>
        <v>0</v>
      </c>
    </row>
    <row r="48" spans="1:8" s="1241" customFormat="1" ht="17.25" hidden="1">
      <c r="A48" s="1233">
        <f>buildingfinal!A47</f>
        <v>3.3</v>
      </c>
      <c r="B48" s="1521">
        <f>buildingfinal!Q47</f>
        <v>0</v>
      </c>
      <c r="C48" s="1239" t="str">
        <f>buildingfinal!B47</f>
        <v>P.C.C. 1:8:16 using 20 mm broken brick jelly</v>
      </c>
      <c r="D48" s="1235">
        <f>buildingfinal!C47</f>
        <v>4281.3900000000003</v>
      </c>
      <c r="E48" s="1235" t="str">
        <f>buildingfinal!D47</f>
        <v>Cum.</v>
      </c>
      <c r="F48" s="1235">
        <f t="shared" si="0"/>
        <v>0</v>
      </c>
      <c r="G48" s="1240"/>
    </row>
    <row r="49" spans="1:8" ht="30" hidden="1">
      <c r="A49" s="1233">
        <f>buildingfinal!A48</f>
        <v>3.4</v>
      </c>
      <c r="B49" s="1521">
        <f>buildingfinal!Q48</f>
        <v>0</v>
      </c>
      <c r="C49" s="1239" t="str">
        <f>buildingfinal!B48</f>
        <v>Providing  WBM 125  mm consolidated thick with gravel blindage</v>
      </c>
      <c r="D49" s="1235">
        <f>buildingfinal!C48</f>
        <v>0</v>
      </c>
      <c r="E49" s="1235" t="str">
        <f>buildingfinal!D48</f>
        <v>Sqm.</v>
      </c>
      <c r="F49" s="1235">
        <f t="shared" si="0"/>
        <v>0</v>
      </c>
      <c r="G49" s="1240"/>
      <c r="H49" s="1217"/>
    </row>
    <row r="50" spans="1:8" hidden="1">
      <c r="A50" s="1233">
        <f>buildingfinal!A49</f>
        <v>3.5</v>
      </c>
      <c r="B50" s="1521">
        <f>buildingfinal!Q49</f>
        <v>0</v>
      </c>
      <c r="C50" s="1239" t="str">
        <f>buildingfinal!B49</f>
        <v>Surface dressing over WBM  25 mm thick</v>
      </c>
      <c r="D50" s="1235">
        <f>buildingfinal!C49</f>
        <v>0</v>
      </c>
      <c r="E50" s="1235" t="str">
        <f>buildingfinal!D49</f>
        <v>Sqm.</v>
      </c>
      <c r="F50" s="1235">
        <f t="shared" si="0"/>
        <v>0</v>
      </c>
      <c r="G50" s="1240"/>
      <c r="H50" s="1217"/>
    </row>
    <row r="51" spans="1:8" ht="60" hidden="1">
      <c r="A51" s="1233">
        <f>buildingfinal!A50</f>
        <v>3.6</v>
      </c>
      <c r="B51" s="1521">
        <f>buildingfinal!Q50</f>
        <v>0</v>
      </c>
      <c r="C51" s="1239" t="str">
        <f>buildingfinal!B50</f>
        <v>Providing  WBM 125  mm consolidated thick with gravel blindage
(IRC 63 to 45mm for 75mm thick and 37.5 to 26.5mm for 50.mm thick)</v>
      </c>
      <c r="D51" s="1235">
        <f>buildingfinal!C50</f>
        <v>185.42</v>
      </c>
      <c r="E51" s="1235" t="str">
        <f>buildingfinal!D50</f>
        <v>Sqm.</v>
      </c>
      <c r="F51" s="1235">
        <f t="shared" si="0"/>
        <v>0</v>
      </c>
      <c r="G51" s="1240"/>
      <c r="H51" s="1217"/>
    </row>
    <row r="52" spans="1:8" ht="30" hidden="1">
      <c r="A52" s="1233">
        <f>buildingfinal!A51</f>
        <v>3.7</v>
      </c>
      <c r="B52" s="1521">
        <f>buildingfinal!Q51</f>
        <v>0</v>
      </c>
      <c r="C52" s="1239" t="str">
        <f>buildingfinal!B51</f>
        <v>Surface dressing over WBM  25 mm tk.
with pre-coated chips using 11.2mm size IRC</v>
      </c>
      <c r="D52" s="1235">
        <f>buildingfinal!C51</f>
        <v>143.94</v>
      </c>
      <c r="E52" s="1235" t="str">
        <f>buildingfinal!D51</f>
        <v>Sqm.</v>
      </c>
      <c r="F52" s="1235">
        <f t="shared" si="0"/>
        <v>0</v>
      </c>
      <c r="G52" s="1240"/>
      <c r="H52" s="1217"/>
    </row>
    <row r="53" spans="1:8" hidden="1">
      <c r="A53" s="1233">
        <f>buildingfinal!A52</f>
        <v>4.0999999999999996</v>
      </c>
      <c r="B53" s="1521">
        <f>buildingfinal!Q52</f>
        <v>0</v>
      </c>
      <c r="C53" s="1239" t="str">
        <f>buildingfinal!B52</f>
        <v>R.C.C. 1:2:4 Foundation and Basement</v>
      </c>
      <c r="D53" s="1235">
        <f>buildingfinal!C52</f>
        <v>8058.2</v>
      </c>
      <c r="E53" s="1235" t="str">
        <f>buildingfinal!D52</f>
        <v>Cum.</v>
      </c>
      <c r="F53" s="1235">
        <f t="shared" si="0"/>
        <v>0</v>
      </c>
      <c r="G53" s="1240"/>
      <c r="H53" s="1217"/>
    </row>
    <row r="54" spans="1:8" hidden="1">
      <c r="A54" s="1233">
        <f>buildingfinal!A53</f>
        <v>4.2</v>
      </c>
      <c r="B54" s="1521">
        <f>buildingfinal!Q53</f>
        <v>0</v>
      </c>
      <c r="C54" s="1239" t="str">
        <f>buildingfinal!B53</f>
        <v>R.C.C. 1: 11/2: 3 Foundation and Basement</v>
      </c>
      <c r="D54" s="1235">
        <f>buildingfinal!C53</f>
        <v>8708.7099999999991</v>
      </c>
      <c r="E54" s="1235" t="str">
        <f>buildingfinal!D53</f>
        <v>Cum.</v>
      </c>
      <c r="F54" s="1235">
        <f t="shared" si="0"/>
        <v>0</v>
      </c>
      <c r="G54" s="1240"/>
      <c r="H54" s="1217"/>
    </row>
    <row r="55" spans="1:8" s="1241" customFormat="1" ht="17.25" hidden="1">
      <c r="A55" s="1233">
        <f>buildingfinal!A54</f>
        <v>5</v>
      </c>
      <c r="B55" s="1521">
        <f>buildingfinal!Q54</f>
        <v>0</v>
      </c>
      <c r="C55" s="1239" t="str">
        <f>buildingfinal!B54</f>
        <v>R.R. masonry in C.M. 1:5 Foundation and Basment</v>
      </c>
      <c r="D55" s="1235">
        <f>buildingfinal!C54</f>
        <v>5470.46</v>
      </c>
      <c r="E55" s="1235" t="str">
        <f>buildingfinal!D54</f>
        <v>Cum.</v>
      </c>
      <c r="F55" s="1235">
        <f t="shared" si="0"/>
        <v>0</v>
      </c>
      <c r="G55" s="1240"/>
    </row>
    <row r="56" spans="1:8" s="1241" customFormat="1" ht="30" hidden="1">
      <c r="A56" s="1233">
        <f>buildingfinal!A55</f>
        <v>6.1</v>
      </c>
      <c r="B56" s="1521">
        <f>buildingfinal!Q55</f>
        <v>0</v>
      </c>
      <c r="C56" s="1239" t="str">
        <f>buildingfinal!B55</f>
        <v>Brick work in C.M. 1:5 (F&amp; B) using Chamber Burnt brick of size 23 x 11.2 x 7 cm (9" x 4 3/8" x 2 3/4")</v>
      </c>
      <c r="D56" s="1235">
        <f>buildingfinal!C55</f>
        <v>7109.63</v>
      </c>
      <c r="E56" s="1235" t="str">
        <f>buildingfinal!D55</f>
        <v>Cum.</v>
      </c>
      <c r="F56" s="1235">
        <f t="shared" si="0"/>
        <v>0</v>
      </c>
      <c r="G56" s="1240"/>
    </row>
    <row r="57" spans="1:8" s="1241" customFormat="1" ht="45" customHeight="1">
      <c r="A57" s="1233">
        <f>buildingfinal!A56</f>
        <v>6.2</v>
      </c>
      <c r="B57" s="1521">
        <f>buildingfinal!Q56</f>
        <v>70.400000000000006</v>
      </c>
      <c r="C57" s="1239" t="str">
        <f>buildingfinal!B56</f>
        <v>Brick work in C.M. 1:5 (F&amp; B) using chamber Burnt bricks of size 23 x 11.4 x 7.5 cm (9" x 4 1/2"x 3")</v>
      </c>
      <c r="D57" s="1235">
        <f>buildingfinal!C56</f>
        <v>6772.44</v>
      </c>
      <c r="E57" s="1235" t="str">
        <f>buildingfinal!D56</f>
        <v>Cum.</v>
      </c>
      <c r="F57" s="1235">
        <f t="shared" si="0"/>
        <v>476779.78</v>
      </c>
      <c r="G57" s="1240">
        <f>buildingfinal!R56</f>
        <v>476779.78</v>
      </c>
      <c r="H57" s="1216">
        <f>F57-G57</f>
        <v>0</v>
      </c>
    </row>
    <row r="58" spans="1:8" s="1241" customFormat="1" ht="30" hidden="1">
      <c r="A58" s="1233">
        <f>buildingfinal!A57</f>
        <v>6.3</v>
      </c>
      <c r="B58" s="1521">
        <f>buildingfinal!Q57</f>
        <v>0</v>
      </c>
      <c r="C58" s="1239" t="str">
        <f>buildingfinal!B57</f>
        <v>Brick work in C.M. 1:5 (F&amp; B) using Chamber Burnt brick of size 23 x 11 x 7 cm (9" x 4 1/4" x 2 3/4")</v>
      </c>
      <c r="D58" s="1235">
        <f>buildingfinal!C57</f>
        <v>0</v>
      </c>
      <c r="E58" s="1235" t="str">
        <f>buildingfinal!D57</f>
        <v>Cum.</v>
      </c>
      <c r="F58" s="1235">
        <f t="shared" si="0"/>
        <v>0</v>
      </c>
      <c r="G58" s="1240"/>
    </row>
    <row r="59" spans="1:8" s="1241" customFormat="1" ht="30" hidden="1">
      <c r="A59" s="1233">
        <f>buildingfinal!A58</f>
        <v>6.4</v>
      </c>
      <c r="B59" s="1521">
        <f>buildingfinal!Q58</f>
        <v>0</v>
      </c>
      <c r="C59" s="1239" t="str">
        <f>buildingfinal!B58</f>
        <v>Brick work in C.M. 1:5 (F&amp; B) using Chamber Burnt brick of size 22 x 11 x 7 cm (8 3/4" x 4 1/4" x 2 3/4")</v>
      </c>
      <c r="D59" s="1235">
        <f>buildingfinal!C58</f>
        <v>0</v>
      </c>
      <c r="E59" s="1235" t="str">
        <f>buildingfinal!D58</f>
        <v>Cum.</v>
      </c>
      <c r="F59" s="1235">
        <f t="shared" si="0"/>
        <v>0</v>
      </c>
      <c r="G59" s="1240"/>
    </row>
    <row r="60" spans="1:8" s="1241" customFormat="1" ht="45" hidden="1">
      <c r="A60" s="1233">
        <f>buildingfinal!A59</f>
        <v>6.5</v>
      </c>
      <c r="B60" s="1521">
        <f>buildingfinal!Q59</f>
        <v>0</v>
      </c>
      <c r="C60" s="1239" t="str">
        <f>buildingfinal!B59</f>
        <v>Brick work in C.M. 1:5 (F&amp; B) using Kiln Burnt Country bricks of size 22 x 11 x 7 cm (8 3/4" x 4 1/4" x 2 3/4")</v>
      </c>
      <c r="D60" s="1235">
        <f>buildingfinal!C59</f>
        <v>6761.33</v>
      </c>
      <c r="E60" s="1235" t="str">
        <f>buildingfinal!D59</f>
        <v>Cum.</v>
      </c>
      <c r="F60" s="1235">
        <f t="shared" si="0"/>
        <v>0</v>
      </c>
      <c r="G60" s="1240"/>
    </row>
    <row r="61" spans="1:8" s="1241" customFormat="1" ht="45" hidden="1">
      <c r="A61" s="1233">
        <f>buildingfinal!A60</f>
        <v>6.6</v>
      </c>
      <c r="B61" s="1521">
        <f>buildingfinal!Q60</f>
        <v>0</v>
      </c>
      <c r="C61" s="1239" t="str">
        <f>buildingfinal!B60</f>
        <v>Brick work in C.M. 1:5 (F&amp; B) using Kiln Burnt Country bricks of size 22 x 11 x 5.7 cm (8 3/4" x 4 1/4" x 2 1/4")</v>
      </c>
      <c r="D61" s="1235">
        <f>buildingfinal!C60</f>
        <v>0</v>
      </c>
      <c r="E61" s="1235" t="str">
        <f>buildingfinal!D60</f>
        <v>Cum.</v>
      </c>
      <c r="F61" s="1235">
        <f t="shared" si="0"/>
        <v>0</v>
      </c>
      <c r="G61" s="1240"/>
    </row>
    <row r="62" spans="1:8" ht="30" hidden="1">
      <c r="A62" s="1233">
        <f>buildingfinal!A61</f>
        <v>7.1</v>
      </c>
      <c r="B62" s="1521">
        <f>buildingfinal!Q61</f>
        <v>0</v>
      </c>
      <c r="C62" s="1239" t="str">
        <f>buildingfinal!B61</f>
        <v>Damp Proof Course
in C.M. 1:4, 12 MM thick mixed with Crude oil</v>
      </c>
      <c r="D62" s="1235">
        <f>buildingfinal!C61</f>
        <v>0</v>
      </c>
      <c r="E62" s="1235" t="str">
        <f>buildingfinal!D61</f>
        <v>Sqm.</v>
      </c>
      <c r="F62" s="1235">
        <f t="shared" si="0"/>
        <v>0</v>
      </c>
      <c r="G62" s="1240"/>
      <c r="H62" s="1217"/>
    </row>
    <row r="63" spans="1:8" s="1241" customFormat="1" ht="42" customHeight="1">
      <c r="A63" s="1233">
        <f>buildingfinal!A62</f>
        <v>7.2</v>
      </c>
      <c r="B63" s="1521">
        <f>buildingfinal!Q62</f>
        <v>36</v>
      </c>
      <c r="C63" s="1239" t="str">
        <f>buildingfinal!B62</f>
        <v>Supply and fixing of Bituminous filler pad, 20 mm tk. for expansion joint</v>
      </c>
      <c r="D63" s="1235">
        <f>buildingfinal!C62</f>
        <v>719</v>
      </c>
      <c r="E63" s="1235" t="str">
        <f>buildingfinal!D62</f>
        <v>Sqm.</v>
      </c>
      <c r="F63" s="1235">
        <f t="shared" si="0"/>
        <v>25884</v>
      </c>
      <c r="G63" s="1240">
        <f>buildingfinal!R62</f>
        <v>25884</v>
      </c>
      <c r="H63" s="1216">
        <f>F63-G63</f>
        <v>0</v>
      </c>
    </row>
    <row r="64" spans="1:8" s="1241" customFormat="1" ht="30" hidden="1">
      <c r="A64" s="1233">
        <f>buildingfinal!A63</f>
        <v>7.3</v>
      </c>
      <c r="B64" s="1521">
        <f>buildingfinal!Q63</f>
        <v>0</v>
      </c>
      <c r="C64" s="1239" t="str">
        <f>buildingfinal!B63</f>
        <v>Damp Proof Course in C.M. 1:4, 12 MM thick mixed with Water proofing compound</v>
      </c>
      <c r="D64" s="1235">
        <f>buildingfinal!C63</f>
        <v>325.61</v>
      </c>
      <c r="E64" s="1235" t="str">
        <f>buildingfinal!D63</f>
        <v>Sqm.</v>
      </c>
      <c r="F64" s="1235">
        <f t="shared" si="0"/>
        <v>0</v>
      </c>
      <c r="G64" s="1240"/>
    </row>
    <row r="65" spans="1:8" s="1241" customFormat="1" ht="17.25" hidden="1">
      <c r="A65" s="1233">
        <f>buildingfinal!A64</f>
        <v>8.1</v>
      </c>
      <c r="B65" s="1521">
        <f>buildingfinal!Q64</f>
        <v>0</v>
      </c>
      <c r="C65" s="1239" t="str">
        <f>buildingfinal!B64</f>
        <v>R.C.C.1:2:4</v>
      </c>
      <c r="D65" s="1235">
        <f>buildingfinal!C64</f>
        <v>0</v>
      </c>
      <c r="E65" s="1235">
        <f>buildingfinal!D64</f>
        <v>0</v>
      </c>
      <c r="F65" s="1235">
        <f t="shared" si="0"/>
        <v>0</v>
      </c>
      <c r="G65" s="1240"/>
    </row>
    <row r="66" spans="1:8" s="1241" customFormat="1" ht="17.25" hidden="1">
      <c r="A66" s="1233">
        <f>buildingfinal!A65</f>
        <v>0</v>
      </c>
      <c r="B66" s="1521">
        <f>buildingfinal!Q65</f>
        <v>0</v>
      </c>
      <c r="C66" s="1239" t="str">
        <f>buildingfinal!B65</f>
        <v>a. In Ground floor</v>
      </c>
      <c r="D66" s="1235">
        <f>buildingfinal!C65</f>
        <v>8183.16</v>
      </c>
      <c r="E66" s="1235" t="str">
        <f>buildingfinal!D65</f>
        <v>Cum.</v>
      </c>
      <c r="F66" s="1235">
        <f t="shared" si="0"/>
        <v>0</v>
      </c>
      <c r="G66" s="1240"/>
    </row>
    <row r="67" spans="1:8" hidden="1">
      <c r="A67" s="1233">
        <f>buildingfinal!A66</f>
        <v>0</v>
      </c>
      <c r="B67" s="1521">
        <f>buildingfinal!Q66</f>
        <v>0</v>
      </c>
      <c r="C67" s="1239" t="str">
        <f>buildingfinal!B66</f>
        <v>b. In First floor</v>
      </c>
      <c r="D67" s="1235">
        <f>buildingfinal!C66</f>
        <v>8429.34</v>
      </c>
      <c r="E67" s="1235" t="str">
        <f>buildingfinal!D66</f>
        <v>Cum.</v>
      </c>
      <c r="F67" s="1235">
        <f t="shared" si="0"/>
        <v>0</v>
      </c>
      <c r="G67" s="1240"/>
      <c r="H67" s="1217"/>
    </row>
    <row r="68" spans="1:8" s="1241" customFormat="1" ht="17.25" hidden="1">
      <c r="A68" s="1233">
        <f>buildingfinal!A67</f>
        <v>0</v>
      </c>
      <c r="B68" s="1521">
        <f>buildingfinal!Q67</f>
        <v>0</v>
      </c>
      <c r="C68" s="1239" t="str">
        <f>buildingfinal!B67</f>
        <v>c. In Second floor</v>
      </c>
      <c r="D68" s="1235">
        <f>buildingfinal!C67</f>
        <v>8675.52</v>
      </c>
      <c r="E68" s="1235" t="str">
        <f>buildingfinal!D67</f>
        <v>Cum.</v>
      </c>
      <c r="F68" s="1235">
        <f t="shared" si="0"/>
        <v>0</v>
      </c>
      <c r="G68" s="1240"/>
    </row>
    <row r="69" spans="1:8" s="1241" customFormat="1" ht="17.25" hidden="1">
      <c r="A69" s="1233">
        <f>buildingfinal!A68</f>
        <v>0</v>
      </c>
      <c r="B69" s="1521">
        <f>buildingfinal!Q68</f>
        <v>0</v>
      </c>
      <c r="C69" s="1239" t="str">
        <f>buildingfinal!B68</f>
        <v>d. In Third floor</v>
      </c>
      <c r="D69" s="1235">
        <f>buildingfinal!C68</f>
        <v>8921.7000000000007</v>
      </c>
      <c r="E69" s="1235" t="str">
        <f>buildingfinal!D68</f>
        <v>Cum.</v>
      </c>
      <c r="F69" s="1235">
        <f t="shared" si="0"/>
        <v>0</v>
      </c>
      <c r="G69" s="1240"/>
    </row>
    <row r="70" spans="1:8" s="1241" customFormat="1" ht="17.25" hidden="1">
      <c r="A70" s="1233">
        <f>buildingfinal!A69</f>
        <v>0</v>
      </c>
      <c r="B70" s="1521">
        <f>buildingfinal!Q69</f>
        <v>0</v>
      </c>
      <c r="C70" s="1239" t="str">
        <f>buildingfinal!B69</f>
        <v>e.  In Fourth floor</v>
      </c>
      <c r="D70" s="1235">
        <f>buildingfinal!C69</f>
        <v>9167.8799999999992</v>
      </c>
      <c r="E70" s="1235" t="str">
        <f>buildingfinal!D69</f>
        <v>Cum.</v>
      </c>
      <c r="F70" s="1235">
        <f t="shared" si="0"/>
        <v>0</v>
      </c>
      <c r="G70" s="1240"/>
    </row>
    <row r="71" spans="1:8" s="1241" customFormat="1" ht="17.25" hidden="1">
      <c r="A71" s="1233">
        <f>buildingfinal!A70</f>
        <v>8.1999999999999993</v>
      </c>
      <c r="B71" s="1521">
        <f>buildingfinal!Q70</f>
        <v>0</v>
      </c>
      <c r="C71" s="1239" t="str">
        <f>buildingfinal!B70</f>
        <v>R.C.C.1: 1 1/2 :3</v>
      </c>
      <c r="D71" s="1235">
        <f>buildingfinal!C70</f>
        <v>0</v>
      </c>
      <c r="E71" s="1235">
        <f>buildingfinal!D70</f>
        <v>0</v>
      </c>
      <c r="F71" s="1235">
        <f t="shared" si="0"/>
        <v>0</v>
      </c>
      <c r="G71" s="1240"/>
    </row>
    <row r="72" spans="1:8" s="1241" customFormat="1" ht="17.25" hidden="1">
      <c r="A72" s="1233">
        <f>buildingfinal!A71</f>
        <v>0</v>
      </c>
      <c r="B72" s="1521">
        <f>buildingfinal!Q71</f>
        <v>0</v>
      </c>
      <c r="C72" s="1239" t="str">
        <f>buildingfinal!B71</f>
        <v>a. In Ground floor</v>
      </c>
      <c r="D72" s="1235">
        <f>buildingfinal!C71</f>
        <v>8833.67</v>
      </c>
      <c r="E72" s="1235" t="str">
        <f>buildingfinal!D71</f>
        <v>Cum.</v>
      </c>
      <c r="F72" s="1235">
        <f t="shared" ref="F72:F135" si="3">D72*B72</f>
        <v>0</v>
      </c>
      <c r="G72" s="1240"/>
    </row>
    <row r="73" spans="1:8" s="1241" customFormat="1" ht="17.25" hidden="1">
      <c r="A73" s="1233">
        <f>buildingfinal!A72</f>
        <v>0</v>
      </c>
      <c r="B73" s="1521">
        <f>buildingfinal!Q72</f>
        <v>0</v>
      </c>
      <c r="C73" s="1239" t="str">
        <f>buildingfinal!B72</f>
        <v>b. In First floor</v>
      </c>
      <c r="D73" s="1235">
        <f>buildingfinal!C72</f>
        <v>9079.85</v>
      </c>
      <c r="E73" s="1235" t="str">
        <f>buildingfinal!D72</f>
        <v>Cum.</v>
      </c>
      <c r="F73" s="1235">
        <f t="shared" si="3"/>
        <v>0</v>
      </c>
      <c r="G73" s="1240"/>
    </row>
    <row r="74" spans="1:8" s="1241" customFormat="1" ht="17.25" hidden="1">
      <c r="A74" s="1233">
        <f>buildingfinal!A73</f>
        <v>0</v>
      </c>
      <c r="B74" s="1521">
        <f>buildingfinal!Q73</f>
        <v>0</v>
      </c>
      <c r="C74" s="1239" t="str">
        <f>buildingfinal!B73</f>
        <v>c. In Second floor</v>
      </c>
      <c r="D74" s="1235">
        <f>buildingfinal!C73</f>
        <v>9326.0300000000007</v>
      </c>
      <c r="E74" s="1235" t="str">
        <f>buildingfinal!D73</f>
        <v>Cum.</v>
      </c>
      <c r="F74" s="1235">
        <f t="shared" si="3"/>
        <v>0</v>
      </c>
      <c r="G74" s="1240"/>
    </row>
    <row r="75" spans="1:8" s="1241" customFormat="1" ht="17.25" hidden="1">
      <c r="A75" s="1233">
        <f>buildingfinal!A74</f>
        <v>0</v>
      </c>
      <c r="B75" s="1521">
        <f>buildingfinal!Q74</f>
        <v>0</v>
      </c>
      <c r="C75" s="1239" t="str">
        <f>buildingfinal!B74</f>
        <v>d. In Third floor</v>
      </c>
      <c r="D75" s="1235">
        <f>buildingfinal!C74</f>
        <v>9572.2099999999991</v>
      </c>
      <c r="E75" s="1235" t="str">
        <f>buildingfinal!D74</f>
        <v>Cum.</v>
      </c>
      <c r="F75" s="1235">
        <f t="shared" si="3"/>
        <v>0</v>
      </c>
      <c r="G75" s="1240"/>
    </row>
    <row r="76" spans="1:8" s="1241" customFormat="1" ht="17.25" hidden="1">
      <c r="A76" s="1233">
        <f>buildingfinal!A75</f>
        <v>0</v>
      </c>
      <c r="B76" s="1521">
        <f>buildingfinal!Q75</f>
        <v>0</v>
      </c>
      <c r="C76" s="1239" t="str">
        <f>buildingfinal!B75</f>
        <v>e.  In Fourth floor</v>
      </c>
      <c r="D76" s="1235">
        <f>buildingfinal!C75</f>
        <v>9818.39</v>
      </c>
      <c r="E76" s="1235" t="str">
        <f>buildingfinal!D75</f>
        <v>Cum.</v>
      </c>
      <c r="F76" s="1235">
        <f t="shared" si="3"/>
        <v>0</v>
      </c>
      <c r="G76" s="1240"/>
    </row>
    <row r="77" spans="1:8" s="1241" customFormat="1" ht="17.25" hidden="1">
      <c r="A77" s="1233">
        <f>buildingfinal!A76</f>
        <v>0</v>
      </c>
      <c r="B77" s="1521">
        <f>buildingfinal!Q76</f>
        <v>0</v>
      </c>
      <c r="C77" s="1239" t="str">
        <f>buildingfinal!B76</f>
        <v>f.  In Fifth floor</v>
      </c>
      <c r="D77" s="1235">
        <f>buildingfinal!C76</f>
        <v>10064.57</v>
      </c>
      <c r="E77" s="1235" t="str">
        <f>buildingfinal!D76</f>
        <v>Cum.</v>
      </c>
      <c r="F77" s="1235">
        <f t="shared" si="3"/>
        <v>0</v>
      </c>
      <c r="G77" s="1240"/>
    </row>
    <row r="78" spans="1:8" s="1241" customFormat="1" ht="17.25" hidden="1">
      <c r="A78" s="1233">
        <f>buildingfinal!A77</f>
        <v>0</v>
      </c>
      <c r="B78" s="1521">
        <f>buildingfinal!Q77</f>
        <v>0</v>
      </c>
      <c r="C78" s="1239" t="str">
        <f>buildingfinal!B77</f>
        <v>g.  In sixth floor</v>
      </c>
      <c r="D78" s="1235">
        <f>buildingfinal!C77</f>
        <v>10310.75</v>
      </c>
      <c r="E78" s="1235" t="str">
        <f>buildingfinal!D77</f>
        <v>Cum.</v>
      </c>
      <c r="F78" s="1235">
        <f t="shared" si="3"/>
        <v>0</v>
      </c>
      <c r="G78" s="1240"/>
    </row>
    <row r="79" spans="1:8" s="1241" customFormat="1" ht="17.25" hidden="1">
      <c r="A79" s="1233">
        <f>buildingfinal!A78</f>
        <v>0</v>
      </c>
      <c r="B79" s="1521">
        <f>buildingfinal!Q78</f>
        <v>0</v>
      </c>
      <c r="C79" s="1239" t="str">
        <f>buildingfinal!B78</f>
        <v>h.  In seventh floor</v>
      </c>
      <c r="D79" s="1235">
        <f>buildingfinal!C78</f>
        <v>10556.93</v>
      </c>
      <c r="E79" s="1235" t="str">
        <f>buildingfinal!D78</f>
        <v>Cum.</v>
      </c>
      <c r="F79" s="1235">
        <f t="shared" si="3"/>
        <v>0</v>
      </c>
      <c r="G79" s="1240"/>
    </row>
    <row r="80" spans="1:8" s="1241" customFormat="1" ht="17.25" hidden="1">
      <c r="A80" s="1233">
        <f>buildingfinal!A79</f>
        <v>0</v>
      </c>
      <c r="B80" s="1521">
        <f>buildingfinal!Q79</f>
        <v>0</v>
      </c>
      <c r="C80" s="1239" t="str">
        <f>buildingfinal!B79</f>
        <v>i.  In eighth floor</v>
      </c>
      <c r="D80" s="1235">
        <f>buildingfinal!C79</f>
        <v>10803.11</v>
      </c>
      <c r="E80" s="1235" t="str">
        <f>buildingfinal!D79</f>
        <v>Cum.</v>
      </c>
      <c r="F80" s="1235">
        <f t="shared" si="3"/>
        <v>0</v>
      </c>
      <c r="G80" s="1240"/>
    </row>
    <row r="81" spans="1:8" s="1241" customFormat="1" ht="17.25" hidden="1">
      <c r="A81" s="1233">
        <f>buildingfinal!A80</f>
        <v>0</v>
      </c>
      <c r="B81" s="1521">
        <f>buildingfinal!Q80</f>
        <v>0</v>
      </c>
      <c r="C81" s="1239" t="str">
        <f>buildingfinal!B80</f>
        <v>j.  In Ninth floor</v>
      </c>
      <c r="D81" s="1235">
        <f>buildingfinal!C80</f>
        <v>11049.29</v>
      </c>
      <c r="E81" s="1235" t="str">
        <f>buildingfinal!D80</f>
        <v>Cum.</v>
      </c>
      <c r="F81" s="1235">
        <f t="shared" si="3"/>
        <v>0</v>
      </c>
      <c r="G81" s="1240"/>
    </row>
    <row r="82" spans="1:8" s="1241" customFormat="1" ht="17.25" hidden="1">
      <c r="A82" s="1233">
        <f>buildingfinal!A81</f>
        <v>0</v>
      </c>
      <c r="B82" s="1521">
        <f>buildingfinal!Q81</f>
        <v>0</v>
      </c>
      <c r="C82" s="1239" t="str">
        <f>buildingfinal!B81</f>
        <v>k.  In Tenth floor</v>
      </c>
      <c r="D82" s="1235">
        <f>buildingfinal!C81</f>
        <v>11295.47</v>
      </c>
      <c r="E82" s="1235" t="str">
        <f>buildingfinal!D81</f>
        <v>Cum.</v>
      </c>
      <c r="F82" s="1235">
        <f t="shared" si="3"/>
        <v>0</v>
      </c>
      <c r="G82" s="1240"/>
    </row>
    <row r="83" spans="1:8" s="1241" customFormat="1" ht="17.25" hidden="1">
      <c r="A83" s="1233">
        <f>buildingfinal!A82</f>
        <v>0</v>
      </c>
      <c r="B83" s="1521">
        <f>buildingfinal!Q82</f>
        <v>0</v>
      </c>
      <c r="C83" s="1239" t="str">
        <f>buildingfinal!B82</f>
        <v>l.  In Eleventh floor</v>
      </c>
      <c r="D83" s="1235">
        <f>buildingfinal!C82</f>
        <v>11541.65</v>
      </c>
      <c r="E83" s="1235" t="str">
        <f>buildingfinal!D82</f>
        <v>Cum.</v>
      </c>
      <c r="F83" s="1235">
        <f t="shared" si="3"/>
        <v>0</v>
      </c>
      <c r="G83" s="1240"/>
    </row>
    <row r="84" spans="1:8" s="1241" customFormat="1" ht="17.25" hidden="1">
      <c r="A84" s="1233">
        <f>buildingfinal!A83</f>
        <v>0</v>
      </c>
      <c r="B84" s="1521">
        <f>buildingfinal!Q83</f>
        <v>0</v>
      </c>
      <c r="C84" s="1239" t="str">
        <f>buildingfinal!B83</f>
        <v>m.  In Twelth floor</v>
      </c>
      <c r="D84" s="1235">
        <f>buildingfinal!C83</f>
        <v>11787.83</v>
      </c>
      <c r="E84" s="1235" t="str">
        <f>buildingfinal!D83</f>
        <v>Cum.</v>
      </c>
      <c r="F84" s="1235">
        <f t="shared" si="3"/>
        <v>0</v>
      </c>
      <c r="G84" s="1240"/>
    </row>
    <row r="85" spans="1:8" s="1241" customFormat="1" ht="30" hidden="1">
      <c r="A85" s="1233">
        <f>buildingfinal!A84</f>
        <v>9.1</v>
      </c>
      <c r="B85" s="1521">
        <f>buildingfinal!Q84</f>
        <v>0</v>
      </c>
      <c r="C85" s="1239" t="str">
        <f>buildingfinal!B84</f>
        <v>Brick work in C.M. 1:6  using Chamber Burnt brick of size 23 x 11.2 x 7 cm (9" x 4 3/8" x 2 3/4")</v>
      </c>
      <c r="D85" s="1235">
        <f>buildingfinal!C84</f>
        <v>0</v>
      </c>
      <c r="E85" s="1235">
        <f>buildingfinal!D84</f>
        <v>0</v>
      </c>
      <c r="F85" s="1235">
        <f t="shared" si="3"/>
        <v>0</v>
      </c>
      <c r="G85" s="1240"/>
    </row>
    <row r="86" spans="1:8" s="1241" customFormat="1" ht="17.25" hidden="1">
      <c r="A86" s="1233">
        <f>buildingfinal!A85</f>
        <v>0</v>
      </c>
      <c r="B86" s="1521">
        <f>buildingfinal!Q85</f>
        <v>0</v>
      </c>
      <c r="C86" s="1239" t="str">
        <f>buildingfinal!B85</f>
        <v>a. In Ground Floor</v>
      </c>
      <c r="D86" s="1235">
        <f>buildingfinal!C85</f>
        <v>7119.43</v>
      </c>
      <c r="E86" s="1235" t="str">
        <f>buildingfinal!D85</f>
        <v>Cum.</v>
      </c>
      <c r="F86" s="1235">
        <f t="shared" si="3"/>
        <v>0</v>
      </c>
      <c r="G86" s="1240"/>
    </row>
    <row r="87" spans="1:8" s="1241" customFormat="1" ht="17.25" hidden="1">
      <c r="A87" s="1233">
        <f>buildingfinal!A86</f>
        <v>0</v>
      </c>
      <c r="B87" s="1521">
        <f>buildingfinal!Q86</f>
        <v>0</v>
      </c>
      <c r="C87" s="1239" t="str">
        <f>buildingfinal!B86</f>
        <v>b. In First Floor</v>
      </c>
      <c r="D87" s="1235">
        <f>buildingfinal!C86</f>
        <v>7285.42</v>
      </c>
      <c r="E87" s="1235" t="str">
        <f>buildingfinal!D86</f>
        <v>Cum.</v>
      </c>
      <c r="F87" s="1235">
        <f t="shared" si="3"/>
        <v>0</v>
      </c>
      <c r="G87" s="1240"/>
    </row>
    <row r="88" spans="1:8" s="1241" customFormat="1" ht="17.25" hidden="1">
      <c r="A88" s="1233">
        <f>buildingfinal!A87</f>
        <v>0</v>
      </c>
      <c r="B88" s="1521">
        <f>buildingfinal!Q87</f>
        <v>0</v>
      </c>
      <c r="C88" s="1239" t="str">
        <f>buildingfinal!B87</f>
        <v>c. In Second Floor</v>
      </c>
      <c r="D88" s="1235">
        <f>buildingfinal!C87</f>
        <v>7451.41</v>
      </c>
      <c r="E88" s="1235" t="str">
        <f>buildingfinal!D87</f>
        <v>Cum.</v>
      </c>
      <c r="F88" s="1235">
        <f t="shared" si="3"/>
        <v>0</v>
      </c>
      <c r="G88" s="1240"/>
    </row>
    <row r="89" spans="1:8" s="1241" customFormat="1" ht="17.25" hidden="1">
      <c r="A89" s="1233">
        <f>buildingfinal!A88</f>
        <v>0</v>
      </c>
      <c r="B89" s="1521">
        <f>buildingfinal!Q88</f>
        <v>0</v>
      </c>
      <c r="C89" s="1239" t="str">
        <f>buildingfinal!B88</f>
        <v>d. In Third Floor</v>
      </c>
      <c r="D89" s="1235">
        <f>buildingfinal!C88</f>
        <v>7617.4</v>
      </c>
      <c r="E89" s="1235" t="str">
        <f>buildingfinal!D88</f>
        <v>Cum.</v>
      </c>
      <c r="F89" s="1235">
        <f t="shared" si="3"/>
        <v>0</v>
      </c>
      <c r="G89" s="1240"/>
    </row>
    <row r="90" spans="1:8" s="1241" customFormat="1" ht="17.25" hidden="1">
      <c r="A90" s="1233">
        <f>buildingfinal!A89</f>
        <v>0</v>
      </c>
      <c r="B90" s="1521">
        <f>buildingfinal!Q89</f>
        <v>0</v>
      </c>
      <c r="C90" s="1239" t="str">
        <f>buildingfinal!B89</f>
        <v>e. In Fourth Floor</v>
      </c>
      <c r="D90" s="1235">
        <f>buildingfinal!C89</f>
        <v>7783.39</v>
      </c>
      <c r="E90" s="1235" t="str">
        <f>buildingfinal!D89</f>
        <v>Cum.</v>
      </c>
      <c r="F90" s="1235">
        <f t="shared" si="3"/>
        <v>0</v>
      </c>
      <c r="G90" s="1240"/>
    </row>
    <row r="91" spans="1:8" s="1241" customFormat="1" ht="41.25" customHeight="1">
      <c r="A91" s="1233">
        <f>buildingfinal!A90</f>
        <v>9.1999999999999993</v>
      </c>
      <c r="B91" s="1260" t="str">
        <f>buildingfinal!Q90</f>
        <v>*</v>
      </c>
      <c r="C91" s="1234" t="str">
        <f>buildingfinal!B90</f>
        <v>Brick work in C.M. 1:6 using chamber Burnt bricks of size 23 x 11.4 x 7.5 cm (9" x 4 1/2"x 3")</v>
      </c>
      <c r="D91" s="1235">
        <f>buildingfinal!C90</f>
        <v>0</v>
      </c>
      <c r="E91" s="1235">
        <f>buildingfinal!D90</f>
        <v>0</v>
      </c>
      <c r="F91" s="1235"/>
      <c r="G91" s="1240">
        <f>buildingfinal!R90</f>
        <v>0</v>
      </c>
      <c r="H91" s="1216">
        <f t="shared" ref="H91:H96" si="4">F91-G91</f>
        <v>0</v>
      </c>
    </row>
    <row r="92" spans="1:8" s="1241" customFormat="1" ht="33.75" customHeight="1">
      <c r="A92" s="1233">
        <f>buildingfinal!A91</f>
        <v>0</v>
      </c>
      <c r="B92" s="1521">
        <f>buildingfinal!Q91</f>
        <v>88.4</v>
      </c>
      <c r="C92" s="1239" t="str">
        <f>buildingfinal!B91</f>
        <v>a. In Ground Floor/Stilt floor</v>
      </c>
      <c r="D92" s="1235">
        <f>buildingfinal!C91</f>
        <v>6796.74</v>
      </c>
      <c r="E92" s="1235" t="str">
        <f>buildingfinal!D91</f>
        <v>Cum.</v>
      </c>
      <c r="F92" s="1235">
        <f t="shared" si="3"/>
        <v>600831.81999999995</v>
      </c>
      <c r="G92" s="1240">
        <f>buildingfinal!R91</f>
        <v>600831.81999999995</v>
      </c>
      <c r="H92" s="1216">
        <f t="shared" si="4"/>
        <v>0</v>
      </c>
    </row>
    <row r="93" spans="1:8" s="1241" customFormat="1" ht="33.75" customHeight="1">
      <c r="A93" s="1233">
        <f>buildingfinal!A92</f>
        <v>0</v>
      </c>
      <c r="B93" s="1521">
        <f>buildingfinal!Q92</f>
        <v>86.6</v>
      </c>
      <c r="C93" s="1239" t="str">
        <f>buildingfinal!B92</f>
        <v>b. In First Floor</v>
      </c>
      <c r="D93" s="1235">
        <f>buildingfinal!C92</f>
        <v>6962.73</v>
      </c>
      <c r="E93" s="1235" t="str">
        <f>buildingfinal!D92</f>
        <v>Cum.</v>
      </c>
      <c r="F93" s="1235">
        <f t="shared" si="3"/>
        <v>602972.42000000004</v>
      </c>
      <c r="G93" s="1240">
        <f>buildingfinal!R92</f>
        <v>602972.42000000004</v>
      </c>
      <c r="H93" s="1216">
        <f t="shared" si="4"/>
        <v>0</v>
      </c>
    </row>
    <row r="94" spans="1:8" s="1241" customFormat="1" ht="33.75" customHeight="1">
      <c r="A94" s="1233">
        <f>buildingfinal!A93</f>
        <v>0</v>
      </c>
      <c r="B94" s="1521">
        <f>buildingfinal!Q93</f>
        <v>80.5</v>
      </c>
      <c r="C94" s="1239" t="str">
        <f>buildingfinal!B93</f>
        <v>c. In Second Floor</v>
      </c>
      <c r="D94" s="1235">
        <f>buildingfinal!C93</f>
        <v>7128.72</v>
      </c>
      <c r="E94" s="1235" t="str">
        <f>buildingfinal!D93</f>
        <v>Cum.</v>
      </c>
      <c r="F94" s="1235">
        <f t="shared" si="3"/>
        <v>573861.96</v>
      </c>
      <c r="G94" s="1240">
        <f>buildingfinal!R93</f>
        <v>573861.96</v>
      </c>
      <c r="H94" s="1216">
        <f t="shared" si="4"/>
        <v>0</v>
      </c>
    </row>
    <row r="95" spans="1:8" s="1241" customFormat="1" ht="33.75" customHeight="1">
      <c r="A95" s="1233">
        <f>buildingfinal!A94</f>
        <v>0</v>
      </c>
      <c r="B95" s="1521">
        <f>buildingfinal!Q94</f>
        <v>85.4</v>
      </c>
      <c r="C95" s="1239" t="str">
        <f>buildingfinal!B94</f>
        <v>d. In Third Floor</v>
      </c>
      <c r="D95" s="1235">
        <f>buildingfinal!C94</f>
        <v>7294.71</v>
      </c>
      <c r="E95" s="1235" t="str">
        <f>buildingfinal!D94</f>
        <v>Cum.</v>
      </c>
      <c r="F95" s="1235">
        <f t="shared" si="3"/>
        <v>622968.23</v>
      </c>
      <c r="G95" s="1240">
        <f>buildingfinal!R94</f>
        <v>622968.23</v>
      </c>
      <c r="H95" s="1216">
        <f t="shared" si="4"/>
        <v>0</v>
      </c>
    </row>
    <row r="96" spans="1:8" s="1241" customFormat="1" ht="33.75" customHeight="1">
      <c r="A96" s="1233">
        <f>buildingfinal!A95</f>
        <v>0</v>
      </c>
      <c r="B96" s="1521">
        <f>buildingfinal!Q95</f>
        <v>60.1</v>
      </c>
      <c r="C96" s="1239" t="str">
        <f>buildingfinal!B95</f>
        <v>e. In Fourth Floor</v>
      </c>
      <c r="D96" s="1235">
        <f>buildingfinal!C95</f>
        <v>7460.7</v>
      </c>
      <c r="E96" s="1235" t="str">
        <f>buildingfinal!D95</f>
        <v>Cum.</v>
      </c>
      <c r="F96" s="1235">
        <f t="shared" si="3"/>
        <v>448388.07</v>
      </c>
      <c r="G96" s="1240">
        <f>buildingfinal!R95</f>
        <v>448388.07</v>
      </c>
      <c r="H96" s="1216">
        <f t="shared" si="4"/>
        <v>0</v>
      </c>
    </row>
    <row r="97" spans="1:7" s="1241" customFormat="1" ht="17.25" hidden="1">
      <c r="A97" s="1233">
        <f>buildingfinal!A96</f>
        <v>0</v>
      </c>
      <c r="B97" s="1521">
        <f>buildingfinal!Q96</f>
        <v>0</v>
      </c>
      <c r="C97" s="1239" t="str">
        <f>buildingfinal!B96</f>
        <v>f.  In Fifth floor</v>
      </c>
      <c r="D97" s="1235">
        <f>buildingfinal!C96</f>
        <v>7626.69</v>
      </c>
      <c r="E97" s="1235" t="str">
        <f>buildingfinal!D96</f>
        <v>Cum.</v>
      </c>
      <c r="F97" s="1235">
        <f t="shared" si="3"/>
        <v>0</v>
      </c>
      <c r="G97" s="1240"/>
    </row>
    <row r="98" spans="1:7" s="1241" customFormat="1" ht="17.25" hidden="1">
      <c r="A98" s="1233">
        <f>buildingfinal!A97</f>
        <v>0</v>
      </c>
      <c r="B98" s="1521">
        <f>buildingfinal!Q97</f>
        <v>0</v>
      </c>
      <c r="C98" s="1239" t="str">
        <f>buildingfinal!B97</f>
        <v>g.  In sixth floor</v>
      </c>
      <c r="D98" s="1235">
        <f>buildingfinal!C97</f>
        <v>7792.68</v>
      </c>
      <c r="E98" s="1235" t="str">
        <f>buildingfinal!D97</f>
        <v>Cum.</v>
      </c>
      <c r="F98" s="1235">
        <f t="shared" si="3"/>
        <v>0</v>
      </c>
      <c r="G98" s="1240"/>
    </row>
    <row r="99" spans="1:7" s="1241" customFormat="1" ht="17.25" hidden="1">
      <c r="A99" s="1233">
        <f>buildingfinal!A98</f>
        <v>0</v>
      </c>
      <c r="B99" s="1521">
        <f>buildingfinal!Q98</f>
        <v>0</v>
      </c>
      <c r="C99" s="1239" t="str">
        <f>buildingfinal!B98</f>
        <v>h.  In seventh floor</v>
      </c>
      <c r="D99" s="1235">
        <f>buildingfinal!C98</f>
        <v>7958.67</v>
      </c>
      <c r="E99" s="1235" t="str">
        <f>buildingfinal!D98</f>
        <v>Cum.</v>
      </c>
      <c r="F99" s="1235">
        <f t="shared" si="3"/>
        <v>0</v>
      </c>
      <c r="G99" s="1240"/>
    </row>
    <row r="100" spans="1:7" s="1241" customFormat="1" ht="17.25" hidden="1">
      <c r="A100" s="1233">
        <f>buildingfinal!A99</f>
        <v>0</v>
      </c>
      <c r="B100" s="1521">
        <f>buildingfinal!Q99</f>
        <v>0</v>
      </c>
      <c r="C100" s="1239" t="str">
        <f>buildingfinal!B99</f>
        <v>i.  In eighth floor</v>
      </c>
      <c r="D100" s="1235">
        <f>buildingfinal!C99</f>
        <v>8124.66</v>
      </c>
      <c r="E100" s="1235" t="str">
        <f>buildingfinal!D99</f>
        <v>Cum.</v>
      </c>
      <c r="F100" s="1235">
        <f t="shared" si="3"/>
        <v>0</v>
      </c>
      <c r="G100" s="1240"/>
    </row>
    <row r="101" spans="1:7" s="1241" customFormat="1" ht="17.25" hidden="1">
      <c r="A101" s="1233">
        <f>buildingfinal!A100</f>
        <v>0</v>
      </c>
      <c r="B101" s="1521">
        <f>buildingfinal!Q100</f>
        <v>0</v>
      </c>
      <c r="C101" s="1239" t="str">
        <f>buildingfinal!B100</f>
        <v>j.  In Ninth floor</v>
      </c>
      <c r="D101" s="1235">
        <f>buildingfinal!C100</f>
        <v>8290.65</v>
      </c>
      <c r="E101" s="1235" t="str">
        <f>buildingfinal!D100</f>
        <v>Cum.</v>
      </c>
      <c r="F101" s="1235">
        <f t="shared" si="3"/>
        <v>0</v>
      </c>
      <c r="G101" s="1240"/>
    </row>
    <row r="102" spans="1:7" s="1241" customFormat="1" ht="17.25" hidden="1">
      <c r="A102" s="1233">
        <f>buildingfinal!A101</f>
        <v>0</v>
      </c>
      <c r="B102" s="1521">
        <f>buildingfinal!Q101</f>
        <v>0</v>
      </c>
      <c r="C102" s="1239" t="str">
        <f>buildingfinal!B101</f>
        <v>k.  In Tenth floor</v>
      </c>
      <c r="D102" s="1235">
        <f>buildingfinal!C101</f>
        <v>8456.64</v>
      </c>
      <c r="E102" s="1235" t="str">
        <f>buildingfinal!D101</f>
        <v>Cum.</v>
      </c>
      <c r="F102" s="1235">
        <f t="shared" si="3"/>
        <v>0</v>
      </c>
      <c r="G102" s="1240"/>
    </row>
    <row r="103" spans="1:7" s="1241" customFormat="1" ht="17.25" hidden="1">
      <c r="A103" s="1233">
        <f>buildingfinal!A102</f>
        <v>0</v>
      </c>
      <c r="B103" s="1521">
        <f>buildingfinal!Q102</f>
        <v>0</v>
      </c>
      <c r="C103" s="1239" t="str">
        <f>buildingfinal!B102</f>
        <v>l.  In Eleventh floor</v>
      </c>
      <c r="D103" s="1235">
        <f>buildingfinal!C102</f>
        <v>8622.6299999999992</v>
      </c>
      <c r="E103" s="1235" t="str">
        <f>buildingfinal!D102</f>
        <v>Cum.</v>
      </c>
      <c r="F103" s="1235">
        <f t="shared" si="3"/>
        <v>0</v>
      </c>
      <c r="G103" s="1240"/>
    </row>
    <row r="104" spans="1:7" s="1241" customFormat="1" ht="17.25" hidden="1">
      <c r="A104" s="1233">
        <f>buildingfinal!A103</f>
        <v>0</v>
      </c>
      <c r="B104" s="1521">
        <f>buildingfinal!Q103</f>
        <v>0</v>
      </c>
      <c r="C104" s="1239" t="str">
        <f>buildingfinal!B103</f>
        <v>m.  In Twelth floor</v>
      </c>
      <c r="D104" s="1235">
        <f>buildingfinal!C103</f>
        <v>8788.6200000000008</v>
      </c>
      <c r="E104" s="1235" t="str">
        <f>buildingfinal!D103</f>
        <v>Cum.</v>
      </c>
      <c r="F104" s="1235">
        <f t="shared" si="3"/>
        <v>0</v>
      </c>
      <c r="G104" s="1240"/>
    </row>
    <row r="105" spans="1:7" s="1241" customFormat="1" ht="17.25" hidden="1">
      <c r="A105" s="1233">
        <f>buildingfinal!A104</f>
        <v>0</v>
      </c>
      <c r="B105" s="1521">
        <f>buildingfinal!Q104</f>
        <v>0</v>
      </c>
      <c r="C105" s="1239" t="str">
        <f>buildingfinal!B104</f>
        <v>n. In thirteen floor</v>
      </c>
      <c r="D105" s="1235">
        <f>buildingfinal!C104</f>
        <v>8954.61</v>
      </c>
      <c r="E105" s="1235" t="str">
        <f>buildingfinal!D104</f>
        <v>Cum.</v>
      </c>
      <c r="F105" s="1235">
        <f t="shared" si="3"/>
        <v>0</v>
      </c>
      <c r="G105" s="1240"/>
    </row>
    <row r="106" spans="1:7" s="1241" customFormat="1" ht="30" hidden="1">
      <c r="A106" s="1233">
        <f>buildingfinal!A105</f>
        <v>9.3000000000000007</v>
      </c>
      <c r="B106" s="1521">
        <f>buildingfinal!Q105</f>
        <v>0</v>
      </c>
      <c r="C106" s="1239" t="str">
        <f>buildingfinal!B105</f>
        <v>Brick work in C.M. 1:6  using Chamber Burnt brick of size 23 x 11 x 7 cm (9" x 4 1/4" x 2 3/4")</v>
      </c>
      <c r="D106" s="1235">
        <f>buildingfinal!C105</f>
        <v>0</v>
      </c>
      <c r="E106" s="1235">
        <f>buildingfinal!D105</f>
        <v>0</v>
      </c>
      <c r="F106" s="1235">
        <f t="shared" si="3"/>
        <v>0</v>
      </c>
      <c r="G106" s="1240"/>
    </row>
    <row r="107" spans="1:7" s="1241" customFormat="1" ht="17.25" hidden="1">
      <c r="A107" s="1233">
        <f>buildingfinal!A106</f>
        <v>0</v>
      </c>
      <c r="B107" s="1521">
        <f>buildingfinal!Q106</f>
        <v>0</v>
      </c>
      <c r="C107" s="1239" t="str">
        <f>buildingfinal!B106</f>
        <v>a. In Ground Floor</v>
      </c>
      <c r="D107" s="1235">
        <f>buildingfinal!C106</f>
        <v>0</v>
      </c>
      <c r="E107" s="1235" t="str">
        <f>buildingfinal!D106</f>
        <v>Cum.</v>
      </c>
      <c r="F107" s="1235">
        <f t="shared" si="3"/>
        <v>0</v>
      </c>
      <c r="G107" s="1240"/>
    </row>
    <row r="108" spans="1:7" s="1241" customFormat="1" ht="17.25" hidden="1">
      <c r="A108" s="1233">
        <f>buildingfinal!A107</f>
        <v>0</v>
      </c>
      <c r="B108" s="1521">
        <f>buildingfinal!Q107</f>
        <v>0</v>
      </c>
      <c r="C108" s="1239" t="str">
        <f>buildingfinal!B107</f>
        <v>b. In First Floor</v>
      </c>
      <c r="D108" s="1235">
        <f>buildingfinal!C107</f>
        <v>0</v>
      </c>
      <c r="E108" s="1235" t="str">
        <f>buildingfinal!D107</f>
        <v>Cum.</v>
      </c>
      <c r="F108" s="1235">
        <f t="shared" si="3"/>
        <v>0</v>
      </c>
      <c r="G108" s="1240"/>
    </row>
    <row r="109" spans="1:7" s="1241" customFormat="1" ht="17.25" hidden="1">
      <c r="A109" s="1233">
        <f>buildingfinal!A108</f>
        <v>0</v>
      </c>
      <c r="B109" s="1521">
        <f>buildingfinal!Q108</f>
        <v>0</v>
      </c>
      <c r="C109" s="1239" t="str">
        <f>buildingfinal!B108</f>
        <v>c. In Second Floor</v>
      </c>
      <c r="D109" s="1235">
        <f>buildingfinal!C108</f>
        <v>0</v>
      </c>
      <c r="E109" s="1235" t="str">
        <f>buildingfinal!D108</f>
        <v>Cum.</v>
      </c>
      <c r="F109" s="1235">
        <f t="shared" si="3"/>
        <v>0</v>
      </c>
      <c r="G109" s="1240"/>
    </row>
    <row r="110" spans="1:7" s="1241" customFormat="1" ht="17.25" hidden="1">
      <c r="A110" s="1233">
        <f>buildingfinal!A109</f>
        <v>0</v>
      </c>
      <c r="B110" s="1521">
        <f>buildingfinal!Q109</f>
        <v>0</v>
      </c>
      <c r="C110" s="1239" t="str">
        <f>buildingfinal!B109</f>
        <v>d. In Third Floor</v>
      </c>
      <c r="D110" s="1235">
        <f>buildingfinal!C109</f>
        <v>0</v>
      </c>
      <c r="E110" s="1235" t="str">
        <f>buildingfinal!D109</f>
        <v>Cum.</v>
      </c>
      <c r="F110" s="1235">
        <f t="shared" si="3"/>
        <v>0</v>
      </c>
      <c r="G110" s="1240"/>
    </row>
    <row r="111" spans="1:7" s="1241" customFormat="1" ht="17.25" hidden="1">
      <c r="A111" s="1233">
        <f>buildingfinal!A110</f>
        <v>0</v>
      </c>
      <c r="B111" s="1521">
        <f>buildingfinal!Q110</f>
        <v>0</v>
      </c>
      <c r="C111" s="1239" t="str">
        <f>buildingfinal!B110</f>
        <v>e. In Fourth Floor</v>
      </c>
      <c r="D111" s="1235">
        <f>buildingfinal!C110</f>
        <v>0</v>
      </c>
      <c r="E111" s="1235" t="str">
        <f>buildingfinal!D110</f>
        <v>Cum.</v>
      </c>
      <c r="F111" s="1235">
        <f t="shared" si="3"/>
        <v>0</v>
      </c>
      <c r="G111" s="1240"/>
    </row>
    <row r="112" spans="1:7" s="1241" customFormat="1" ht="30" hidden="1">
      <c r="A112" s="1233">
        <f>buildingfinal!A111</f>
        <v>9.4</v>
      </c>
      <c r="B112" s="1521">
        <f>buildingfinal!Q111</f>
        <v>0</v>
      </c>
      <c r="C112" s="1239" t="str">
        <f>buildingfinal!B111</f>
        <v>Brick work in C.M. 1:6  using Chamber Burnt brick of size 22 x 11 x 7 cm (8 3/4" x 4 1/4" x 2 3/4")</v>
      </c>
      <c r="D112" s="1235">
        <f>buildingfinal!C111</f>
        <v>0</v>
      </c>
      <c r="E112" s="1235">
        <f>buildingfinal!D111</f>
        <v>0</v>
      </c>
      <c r="F112" s="1235">
        <f t="shared" si="3"/>
        <v>0</v>
      </c>
      <c r="G112" s="1240"/>
    </row>
    <row r="113" spans="1:8" s="1241" customFormat="1" ht="17.25" hidden="1">
      <c r="A113" s="1233">
        <f>buildingfinal!A112</f>
        <v>0</v>
      </c>
      <c r="B113" s="1521">
        <f>buildingfinal!Q112</f>
        <v>0</v>
      </c>
      <c r="C113" s="1239" t="str">
        <f>buildingfinal!B112</f>
        <v>a. In Ground Floor</v>
      </c>
      <c r="D113" s="1235">
        <f>buildingfinal!C112</f>
        <v>0</v>
      </c>
      <c r="E113" s="1235" t="str">
        <f>buildingfinal!D112</f>
        <v>Cum.</v>
      </c>
      <c r="F113" s="1235">
        <f t="shared" si="3"/>
        <v>0</v>
      </c>
      <c r="G113" s="1240"/>
    </row>
    <row r="114" spans="1:8" s="1241" customFormat="1" ht="17.25" hidden="1">
      <c r="A114" s="1233">
        <f>buildingfinal!A113</f>
        <v>0</v>
      </c>
      <c r="B114" s="1521">
        <f>buildingfinal!Q113</f>
        <v>0</v>
      </c>
      <c r="C114" s="1239" t="str">
        <f>buildingfinal!B113</f>
        <v>b. In First Floor</v>
      </c>
      <c r="D114" s="1235">
        <f>buildingfinal!C113</f>
        <v>0</v>
      </c>
      <c r="E114" s="1235" t="str">
        <f>buildingfinal!D113</f>
        <v>Cum.</v>
      </c>
      <c r="F114" s="1235">
        <f t="shared" si="3"/>
        <v>0</v>
      </c>
      <c r="G114" s="1240"/>
    </row>
    <row r="115" spans="1:8" s="1241" customFormat="1" ht="17.25" hidden="1">
      <c r="A115" s="1233">
        <f>buildingfinal!A114</f>
        <v>0</v>
      </c>
      <c r="B115" s="1521">
        <f>buildingfinal!Q114</f>
        <v>0</v>
      </c>
      <c r="C115" s="1239" t="str">
        <f>buildingfinal!B114</f>
        <v>c. In Second Floor</v>
      </c>
      <c r="D115" s="1235">
        <f>buildingfinal!C114</f>
        <v>0</v>
      </c>
      <c r="E115" s="1235" t="str">
        <f>buildingfinal!D114</f>
        <v>Cum.</v>
      </c>
      <c r="F115" s="1235">
        <f t="shared" si="3"/>
        <v>0</v>
      </c>
      <c r="G115" s="1240"/>
    </row>
    <row r="116" spans="1:8" s="1241" customFormat="1" ht="17.25" hidden="1">
      <c r="A116" s="1233">
        <f>buildingfinal!A115</f>
        <v>0</v>
      </c>
      <c r="B116" s="1521">
        <f>buildingfinal!Q115</f>
        <v>0</v>
      </c>
      <c r="C116" s="1239" t="str">
        <f>buildingfinal!B115</f>
        <v>d. In Third Floor</v>
      </c>
      <c r="D116" s="1235">
        <f>buildingfinal!C115</f>
        <v>0</v>
      </c>
      <c r="E116" s="1235" t="str">
        <f>buildingfinal!D115</f>
        <v>Cum.</v>
      </c>
      <c r="F116" s="1235">
        <f t="shared" si="3"/>
        <v>0</v>
      </c>
      <c r="G116" s="1240"/>
    </row>
    <row r="117" spans="1:8" s="1241" customFormat="1" ht="17.25" hidden="1">
      <c r="A117" s="1233">
        <f>buildingfinal!A116</f>
        <v>0</v>
      </c>
      <c r="B117" s="1521">
        <f>buildingfinal!Q116</f>
        <v>0</v>
      </c>
      <c r="C117" s="1239" t="str">
        <f>buildingfinal!B116</f>
        <v>e. In Fourth Floor</v>
      </c>
      <c r="D117" s="1235">
        <f>buildingfinal!C116</f>
        <v>0</v>
      </c>
      <c r="E117" s="1235" t="str">
        <f>buildingfinal!D116</f>
        <v>Cum.</v>
      </c>
      <c r="F117" s="1235">
        <f t="shared" si="3"/>
        <v>0</v>
      </c>
      <c r="G117" s="1240"/>
    </row>
    <row r="118" spans="1:8" s="1241" customFormat="1" ht="45" hidden="1">
      <c r="A118" s="1233">
        <f>buildingfinal!A117</f>
        <v>9.5</v>
      </c>
      <c r="B118" s="1521">
        <f>buildingfinal!Q117</f>
        <v>0</v>
      </c>
      <c r="C118" s="1239" t="str">
        <f>buildingfinal!B117</f>
        <v>Brick work in C.M. 1:6  using Kiln Burnt Country bricks of size 22 x 11 x 7 cm ( 8 3/4" x 4 1/4" x 2 3/4")</v>
      </c>
      <c r="D118" s="1235">
        <f>buildingfinal!C117</f>
        <v>0</v>
      </c>
      <c r="E118" s="1235">
        <f>buildingfinal!D117</f>
        <v>0</v>
      </c>
      <c r="F118" s="1235">
        <f t="shared" si="3"/>
        <v>0</v>
      </c>
      <c r="G118" s="1240"/>
    </row>
    <row r="119" spans="1:8" s="1241" customFormat="1" ht="17.25" hidden="1">
      <c r="A119" s="1233">
        <f>buildingfinal!A118</f>
        <v>0</v>
      </c>
      <c r="B119" s="1521">
        <f>buildingfinal!Q118</f>
        <v>0</v>
      </c>
      <c r="C119" s="1239" t="str">
        <f>buildingfinal!B118</f>
        <v>a. In Ground Floor</v>
      </c>
      <c r="D119" s="1235">
        <f>buildingfinal!C118</f>
        <v>6770.63</v>
      </c>
      <c r="E119" s="1235" t="str">
        <f>buildingfinal!D118</f>
        <v>Cum.</v>
      </c>
      <c r="F119" s="1235">
        <f t="shared" si="3"/>
        <v>0</v>
      </c>
      <c r="G119" s="1240"/>
    </row>
    <row r="120" spans="1:8" s="1241" customFormat="1" ht="17.25" hidden="1">
      <c r="A120" s="1233">
        <f>buildingfinal!A119</f>
        <v>0</v>
      </c>
      <c r="B120" s="1521">
        <f>buildingfinal!Q119</f>
        <v>0</v>
      </c>
      <c r="C120" s="1239" t="str">
        <f>buildingfinal!B119</f>
        <v>b. In First Floor</v>
      </c>
      <c r="D120" s="1235">
        <f>buildingfinal!C119</f>
        <v>6936.62</v>
      </c>
      <c r="E120" s="1235" t="str">
        <f>buildingfinal!D119</f>
        <v>Cum.</v>
      </c>
      <c r="F120" s="1235">
        <f t="shared" si="3"/>
        <v>0</v>
      </c>
      <c r="G120" s="1240"/>
    </row>
    <row r="121" spans="1:8" s="1241" customFormat="1" ht="17.25" hidden="1">
      <c r="A121" s="1233">
        <f>buildingfinal!A120</f>
        <v>0</v>
      </c>
      <c r="B121" s="1521">
        <f>buildingfinal!Q120</f>
        <v>0</v>
      </c>
      <c r="C121" s="1239" t="str">
        <f>buildingfinal!B120</f>
        <v>c. In Second Floor</v>
      </c>
      <c r="D121" s="1235">
        <f>buildingfinal!C120</f>
        <v>7102.61</v>
      </c>
      <c r="E121" s="1235" t="str">
        <f>buildingfinal!D120</f>
        <v>Cum.</v>
      </c>
      <c r="F121" s="1235">
        <f t="shared" si="3"/>
        <v>0</v>
      </c>
      <c r="G121" s="1240"/>
    </row>
    <row r="122" spans="1:8" s="1241" customFormat="1" ht="17.25" hidden="1">
      <c r="A122" s="1233">
        <f>buildingfinal!A121</f>
        <v>0</v>
      </c>
      <c r="B122" s="1521">
        <f>buildingfinal!Q121</f>
        <v>0</v>
      </c>
      <c r="C122" s="1239" t="str">
        <f>buildingfinal!B121</f>
        <v>d. In Third Floor</v>
      </c>
      <c r="D122" s="1235">
        <f>buildingfinal!C121</f>
        <v>7268.6</v>
      </c>
      <c r="E122" s="1235" t="str">
        <f>buildingfinal!D121</f>
        <v>Cum.</v>
      </c>
      <c r="F122" s="1235">
        <f t="shared" si="3"/>
        <v>0</v>
      </c>
      <c r="G122" s="1240"/>
    </row>
    <row r="123" spans="1:8" s="1241" customFormat="1" ht="17.25" hidden="1">
      <c r="A123" s="1233">
        <f>buildingfinal!A122</f>
        <v>0</v>
      </c>
      <c r="B123" s="1521">
        <f>buildingfinal!Q122</f>
        <v>0</v>
      </c>
      <c r="C123" s="1239" t="str">
        <f>buildingfinal!B122</f>
        <v>e. In Fourth Floor</v>
      </c>
      <c r="D123" s="1235">
        <f>buildingfinal!C122</f>
        <v>7434.59</v>
      </c>
      <c r="E123" s="1235" t="str">
        <f>buildingfinal!D122</f>
        <v>Cum.</v>
      </c>
      <c r="F123" s="1235">
        <f t="shared" si="3"/>
        <v>0</v>
      </c>
      <c r="G123" s="1240"/>
    </row>
    <row r="124" spans="1:8" s="1241" customFormat="1" ht="45" hidden="1">
      <c r="A124" s="1233">
        <f>buildingfinal!A123</f>
        <v>9.6</v>
      </c>
      <c r="B124" s="1521">
        <f>buildingfinal!Q123</f>
        <v>0</v>
      </c>
      <c r="C124" s="1239" t="str">
        <f>buildingfinal!B123</f>
        <v>Brick work in C.M. 1:6  using Kiln Burnt Country bricks of size 22 x 11 x 5.7 cm (8 3/4" x 4 1/4" x 2 1/4")</v>
      </c>
      <c r="D124" s="1235">
        <f>buildingfinal!C123</f>
        <v>0</v>
      </c>
      <c r="E124" s="1235">
        <f>buildingfinal!D123</f>
        <v>0</v>
      </c>
      <c r="F124" s="1235">
        <f t="shared" si="3"/>
        <v>0</v>
      </c>
      <c r="G124" s="1240"/>
    </row>
    <row r="125" spans="1:8" hidden="1">
      <c r="A125" s="1233">
        <f>buildingfinal!A124</f>
        <v>0</v>
      </c>
      <c r="B125" s="1521">
        <f>buildingfinal!Q124</f>
        <v>0</v>
      </c>
      <c r="C125" s="1239" t="str">
        <f>buildingfinal!B124</f>
        <v>a. In Ground Floor</v>
      </c>
      <c r="D125" s="1235">
        <f>buildingfinal!C124</f>
        <v>0</v>
      </c>
      <c r="E125" s="1235" t="str">
        <f>buildingfinal!D124</f>
        <v>Cum.</v>
      </c>
      <c r="F125" s="1235">
        <f t="shared" si="3"/>
        <v>0</v>
      </c>
      <c r="G125" s="1240"/>
      <c r="H125" s="1217"/>
    </row>
    <row r="126" spans="1:8" hidden="1">
      <c r="A126" s="1233">
        <f>buildingfinal!A125</f>
        <v>0</v>
      </c>
      <c r="B126" s="1521">
        <f>buildingfinal!Q125</f>
        <v>0</v>
      </c>
      <c r="C126" s="1239" t="str">
        <f>buildingfinal!B125</f>
        <v>b. In First Floor</v>
      </c>
      <c r="D126" s="1235">
        <f>buildingfinal!C125</f>
        <v>0</v>
      </c>
      <c r="E126" s="1235" t="str">
        <f>buildingfinal!D125</f>
        <v>Cum.</v>
      </c>
      <c r="F126" s="1235">
        <f t="shared" si="3"/>
        <v>0</v>
      </c>
      <c r="G126" s="1240"/>
      <c r="H126" s="1217"/>
    </row>
    <row r="127" spans="1:8" hidden="1">
      <c r="A127" s="1233">
        <f>buildingfinal!A126</f>
        <v>0</v>
      </c>
      <c r="B127" s="1521">
        <f>buildingfinal!Q126</f>
        <v>0</v>
      </c>
      <c r="C127" s="1239" t="str">
        <f>buildingfinal!B126</f>
        <v>c. In Second Floor</v>
      </c>
      <c r="D127" s="1235">
        <f>buildingfinal!C126</f>
        <v>0</v>
      </c>
      <c r="E127" s="1235" t="str">
        <f>buildingfinal!D126</f>
        <v>Cum.</v>
      </c>
      <c r="F127" s="1235">
        <f t="shared" si="3"/>
        <v>0</v>
      </c>
      <c r="G127" s="1240"/>
      <c r="H127" s="1217"/>
    </row>
    <row r="128" spans="1:8" hidden="1">
      <c r="A128" s="1233">
        <f>buildingfinal!A127</f>
        <v>0</v>
      </c>
      <c r="B128" s="1521">
        <f>buildingfinal!Q127</f>
        <v>0</v>
      </c>
      <c r="C128" s="1239" t="str">
        <f>buildingfinal!B127</f>
        <v>d. In Third Floor</v>
      </c>
      <c r="D128" s="1235">
        <f>buildingfinal!C127</f>
        <v>0</v>
      </c>
      <c r="E128" s="1235" t="str">
        <f>buildingfinal!D127</f>
        <v>Cum.</v>
      </c>
      <c r="F128" s="1235">
        <f t="shared" si="3"/>
        <v>0</v>
      </c>
      <c r="G128" s="1240"/>
      <c r="H128" s="1217"/>
    </row>
    <row r="129" spans="1:8" hidden="1">
      <c r="A129" s="1233">
        <f>buildingfinal!A128</f>
        <v>0</v>
      </c>
      <c r="B129" s="1521">
        <f>buildingfinal!Q128</f>
        <v>0</v>
      </c>
      <c r="C129" s="1239" t="str">
        <f>buildingfinal!B128</f>
        <v>e. In Fourth Floor</v>
      </c>
      <c r="D129" s="1235">
        <f>buildingfinal!C128</f>
        <v>0</v>
      </c>
      <c r="E129" s="1235" t="str">
        <f>buildingfinal!D128</f>
        <v>Cum.</v>
      </c>
      <c r="F129" s="1235">
        <f t="shared" si="3"/>
        <v>0</v>
      </c>
      <c r="G129" s="1240"/>
      <c r="H129" s="1217"/>
    </row>
    <row r="130" spans="1:8" ht="45" hidden="1">
      <c r="A130" s="1233">
        <f>buildingfinal!A129</f>
        <v>10.1</v>
      </c>
      <c r="B130" s="1521">
        <f>buildingfinal!Q129</f>
        <v>0</v>
      </c>
      <c r="C130" s="1239" t="str">
        <f>buildingfinal!B129</f>
        <v>Brick partition work in C.M. 1:4 
Chamber Burnt brick of size 23 x 11.2 x 7 cm (9" x 4 3/8" x 2 3/4")112 mm tk (B.P.)</v>
      </c>
      <c r="D130" s="1235">
        <f>buildingfinal!C129</f>
        <v>0</v>
      </c>
      <c r="E130" s="1235">
        <f>buildingfinal!D129</f>
        <v>0</v>
      </c>
      <c r="F130" s="1235">
        <f t="shared" si="3"/>
        <v>0</v>
      </c>
      <c r="G130" s="1240"/>
      <c r="H130" s="1217"/>
    </row>
    <row r="131" spans="1:8" s="1241" customFormat="1" ht="17.25" hidden="1">
      <c r="A131" s="1233">
        <f>buildingfinal!A130</f>
        <v>0</v>
      </c>
      <c r="B131" s="1521">
        <f>buildingfinal!Q130</f>
        <v>0</v>
      </c>
      <c r="C131" s="1239" t="str">
        <f>buildingfinal!B130</f>
        <v>a. In Foundation and basement</v>
      </c>
      <c r="D131" s="1235">
        <f>buildingfinal!C130</f>
        <v>875.55</v>
      </c>
      <c r="E131" s="1235" t="str">
        <f>buildingfinal!D130</f>
        <v>Sqm.</v>
      </c>
      <c r="F131" s="1235">
        <f t="shared" si="3"/>
        <v>0</v>
      </c>
      <c r="G131" s="1240"/>
    </row>
    <row r="132" spans="1:8" s="1241" customFormat="1" ht="17.25" hidden="1">
      <c r="A132" s="1233">
        <f>buildingfinal!A131</f>
        <v>0</v>
      </c>
      <c r="B132" s="1521">
        <f>buildingfinal!Q131</f>
        <v>0</v>
      </c>
      <c r="C132" s="1239" t="str">
        <f>buildingfinal!B131</f>
        <v>b. In Ground Floor</v>
      </c>
      <c r="D132" s="1235">
        <f>buildingfinal!C131</f>
        <v>884.77</v>
      </c>
      <c r="E132" s="1235" t="str">
        <f>buildingfinal!D131</f>
        <v>Sqm.</v>
      </c>
      <c r="F132" s="1235">
        <f t="shared" si="3"/>
        <v>0</v>
      </c>
      <c r="G132" s="1240"/>
    </row>
    <row r="133" spans="1:8" s="1241" customFormat="1" ht="17.25" hidden="1">
      <c r="A133" s="1233">
        <f>buildingfinal!A132</f>
        <v>0</v>
      </c>
      <c r="B133" s="1521">
        <f>buildingfinal!Q132</f>
        <v>0</v>
      </c>
      <c r="C133" s="1239" t="str">
        <f>buildingfinal!B132</f>
        <v>c. In First Floor</v>
      </c>
      <c r="D133" s="1235">
        <f>buildingfinal!C132</f>
        <v>903.36</v>
      </c>
      <c r="E133" s="1235" t="str">
        <f>buildingfinal!D132</f>
        <v>Sqm.</v>
      </c>
      <c r="F133" s="1235">
        <f t="shared" si="3"/>
        <v>0</v>
      </c>
      <c r="G133" s="1240"/>
    </row>
    <row r="134" spans="1:8" s="1241" customFormat="1" ht="17.25" hidden="1">
      <c r="A134" s="1233">
        <f>buildingfinal!A133</f>
        <v>0</v>
      </c>
      <c r="B134" s="1521">
        <f>buildingfinal!Q133</f>
        <v>0</v>
      </c>
      <c r="C134" s="1239" t="str">
        <f>buildingfinal!B133</f>
        <v>d. In Second Floor</v>
      </c>
      <c r="D134" s="1235">
        <f>buildingfinal!C133</f>
        <v>921.95</v>
      </c>
      <c r="E134" s="1235" t="str">
        <f>buildingfinal!D133</f>
        <v>Sqm.</v>
      </c>
      <c r="F134" s="1235">
        <f t="shared" si="3"/>
        <v>0</v>
      </c>
      <c r="G134" s="1240"/>
    </row>
    <row r="135" spans="1:8" s="1241" customFormat="1" ht="17.25" hidden="1">
      <c r="A135" s="1233">
        <f>buildingfinal!A134</f>
        <v>0</v>
      </c>
      <c r="B135" s="1521">
        <f>buildingfinal!Q134</f>
        <v>0</v>
      </c>
      <c r="C135" s="1239" t="str">
        <f>buildingfinal!B134</f>
        <v>e. In Third Floor</v>
      </c>
      <c r="D135" s="1235">
        <f>buildingfinal!C134</f>
        <v>940.54</v>
      </c>
      <c r="E135" s="1235" t="str">
        <f>buildingfinal!D134</f>
        <v>Sqm.</v>
      </c>
      <c r="F135" s="1235">
        <f t="shared" si="3"/>
        <v>0</v>
      </c>
      <c r="G135" s="1240"/>
    </row>
    <row r="136" spans="1:8" s="1241" customFormat="1" ht="17.25" hidden="1">
      <c r="A136" s="1233">
        <f>buildingfinal!A135</f>
        <v>0</v>
      </c>
      <c r="B136" s="1521">
        <f>buildingfinal!Q135</f>
        <v>0</v>
      </c>
      <c r="C136" s="1239" t="str">
        <f>buildingfinal!B135</f>
        <v>f. In Fourth Floor</v>
      </c>
      <c r="D136" s="1235">
        <f>buildingfinal!C135</f>
        <v>959.13</v>
      </c>
      <c r="E136" s="1235" t="str">
        <f>buildingfinal!D135</f>
        <v>Sqm.</v>
      </c>
      <c r="F136" s="1235">
        <f t="shared" ref="F136:F199" si="5">D136*B136</f>
        <v>0</v>
      </c>
      <c r="G136" s="1240"/>
    </row>
    <row r="137" spans="1:8" s="1241" customFormat="1" ht="59.25" customHeight="1">
      <c r="A137" s="1233">
        <f>buildingfinal!A136</f>
        <v>10.199999999999999</v>
      </c>
      <c r="B137" s="1260" t="str">
        <f>buildingfinal!Q136</f>
        <v>*</v>
      </c>
      <c r="C137" s="1234" t="str">
        <f>buildingfinal!B136</f>
        <v>Brick partition work in C.M. 1:4 using chamber Burnt bricks of size 23 x 11.4 x 7.5 cm (9" x 4 1/2"x 3") 114 mm tk (B.P.)</v>
      </c>
      <c r="D137" s="1235">
        <f>buildingfinal!C136</f>
        <v>0</v>
      </c>
      <c r="E137" s="1235">
        <f>buildingfinal!D136</f>
        <v>0</v>
      </c>
      <c r="F137" s="1235"/>
      <c r="G137" s="1240">
        <f>buildingfinal!R136</f>
        <v>0</v>
      </c>
      <c r="H137" s="1216">
        <f t="shared" ref="H137:H142" si="6">F137-G137</f>
        <v>0</v>
      </c>
    </row>
    <row r="138" spans="1:8" s="1241" customFormat="1" ht="36" customHeight="1">
      <c r="A138" s="1233">
        <f>buildingfinal!A137</f>
        <v>0</v>
      </c>
      <c r="B138" s="1521">
        <f>buildingfinal!Q137</f>
        <v>32.299999999999997</v>
      </c>
      <c r="C138" s="1239" t="str">
        <f>buildingfinal!B137</f>
        <v>a. In Foundation and basement</v>
      </c>
      <c r="D138" s="1235">
        <f>buildingfinal!C137</f>
        <v>856.42</v>
      </c>
      <c r="E138" s="1235" t="str">
        <f>buildingfinal!D137</f>
        <v>Sqm.</v>
      </c>
      <c r="F138" s="1235">
        <f t="shared" si="5"/>
        <v>27662.37</v>
      </c>
      <c r="G138" s="1240">
        <f>buildingfinal!R137</f>
        <v>27662.37</v>
      </c>
      <c r="H138" s="1216">
        <f t="shared" si="6"/>
        <v>0</v>
      </c>
    </row>
    <row r="139" spans="1:8" s="1241" customFormat="1" ht="36" customHeight="1">
      <c r="A139" s="1233">
        <f>buildingfinal!A138</f>
        <v>0</v>
      </c>
      <c r="B139" s="1521">
        <f>buildingfinal!Q138</f>
        <v>91.1</v>
      </c>
      <c r="C139" s="1239" t="str">
        <f>buildingfinal!B138</f>
        <v>b. In Ground Floor/stilt floor</v>
      </c>
      <c r="D139" s="1235">
        <f>buildingfinal!C138</f>
        <v>865.8</v>
      </c>
      <c r="E139" s="1235" t="str">
        <f>buildingfinal!D138</f>
        <v>Sqm.</v>
      </c>
      <c r="F139" s="1235">
        <f t="shared" si="5"/>
        <v>78874.38</v>
      </c>
      <c r="G139" s="1240">
        <f>buildingfinal!R138</f>
        <v>78874.38</v>
      </c>
      <c r="H139" s="1216">
        <f t="shared" si="6"/>
        <v>0</v>
      </c>
    </row>
    <row r="140" spans="1:8" s="1241" customFormat="1" ht="36" customHeight="1">
      <c r="A140" s="1233">
        <f>buildingfinal!A139</f>
        <v>0</v>
      </c>
      <c r="B140" s="1521">
        <f>buildingfinal!Q139</f>
        <v>123.1</v>
      </c>
      <c r="C140" s="1239" t="str">
        <f>buildingfinal!B139</f>
        <v>c. In First Floor</v>
      </c>
      <c r="D140" s="1235">
        <f>buildingfinal!C139</f>
        <v>884.72</v>
      </c>
      <c r="E140" s="1235" t="str">
        <f>buildingfinal!D139</f>
        <v>Sqm.</v>
      </c>
      <c r="F140" s="1235">
        <f t="shared" si="5"/>
        <v>108909.03</v>
      </c>
      <c r="G140" s="1240">
        <f>buildingfinal!R139</f>
        <v>108909.03</v>
      </c>
      <c r="H140" s="1216">
        <f t="shared" si="6"/>
        <v>0</v>
      </c>
    </row>
    <row r="141" spans="1:8" s="1241" customFormat="1" ht="36" customHeight="1">
      <c r="A141" s="1233">
        <f>buildingfinal!A140</f>
        <v>0</v>
      </c>
      <c r="B141" s="1521">
        <f>buildingfinal!Q140</f>
        <v>187.2</v>
      </c>
      <c r="C141" s="1239" t="str">
        <f>buildingfinal!B140</f>
        <v>d. In Second Floor</v>
      </c>
      <c r="D141" s="1235">
        <f>buildingfinal!C140</f>
        <v>903.64</v>
      </c>
      <c r="E141" s="1235" t="str">
        <f>buildingfinal!D140</f>
        <v>Sqm.</v>
      </c>
      <c r="F141" s="1235">
        <f t="shared" si="5"/>
        <v>169161.41</v>
      </c>
      <c r="G141" s="1240">
        <f>buildingfinal!R140</f>
        <v>169161.41</v>
      </c>
      <c r="H141" s="1216">
        <f t="shared" si="6"/>
        <v>0</v>
      </c>
    </row>
    <row r="142" spans="1:8" s="1241" customFormat="1" ht="36" customHeight="1">
      <c r="A142" s="1233">
        <f>buildingfinal!A141</f>
        <v>0</v>
      </c>
      <c r="B142" s="1521">
        <f>buildingfinal!Q141</f>
        <v>143.69999999999999</v>
      </c>
      <c r="C142" s="1239" t="str">
        <f>buildingfinal!B141</f>
        <v>e. In Third Floor</v>
      </c>
      <c r="D142" s="1235">
        <f>buildingfinal!C141</f>
        <v>922.56</v>
      </c>
      <c r="E142" s="1235" t="str">
        <f>buildingfinal!D141</f>
        <v>Sqm.</v>
      </c>
      <c r="F142" s="1235">
        <f t="shared" si="5"/>
        <v>132571.87</v>
      </c>
      <c r="G142" s="1240">
        <f>buildingfinal!R141</f>
        <v>132571.87</v>
      </c>
      <c r="H142" s="1216">
        <f t="shared" si="6"/>
        <v>0</v>
      </c>
    </row>
    <row r="143" spans="1:8" s="1241" customFormat="1" ht="17.25" hidden="1">
      <c r="A143" s="1233">
        <f>buildingfinal!A142</f>
        <v>0</v>
      </c>
      <c r="B143" s="1521">
        <f>buildingfinal!Q142</f>
        <v>0</v>
      </c>
      <c r="C143" s="1239" t="str">
        <f>buildingfinal!B142</f>
        <v>f. In Fourth Floor</v>
      </c>
      <c r="D143" s="1235">
        <f>buildingfinal!C142</f>
        <v>941.48</v>
      </c>
      <c r="E143" s="1235" t="str">
        <f>buildingfinal!D142</f>
        <v>Sqm.</v>
      </c>
      <c r="F143" s="1235">
        <f t="shared" si="5"/>
        <v>0</v>
      </c>
      <c r="G143" s="1240"/>
    </row>
    <row r="144" spans="1:8" s="1241" customFormat="1" ht="17.25" hidden="1">
      <c r="A144" s="1233">
        <f>buildingfinal!A143</f>
        <v>0</v>
      </c>
      <c r="B144" s="1521">
        <f>buildingfinal!Q143</f>
        <v>0</v>
      </c>
      <c r="C144" s="1239" t="str">
        <f>buildingfinal!B143</f>
        <v>f.  In Fifth floor</v>
      </c>
      <c r="D144" s="1235">
        <f>buildingfinal!C143</f>
        <v>960.4</v>
      </c>
      <c r="E144" s="1235" t="str">
        <f>buildingfinal!D143</f>
        <v>Sqm.</v>
      </c>
      <c r="F144" s="1235">
        <f t="shared" si="5"/>
        <v>0</v>
      </c>
      <c r="G144" s="1240"/>
    </row>
    <row r="145" spans="1:7" s="1241" customFormat="1" ht="17.25" hidden="1">
      <c r="A145" s="1233">
        <f>buildingfinal!A144</f>
        <v>0</v>
      </c>
      <c r="B145" s="1521">
        <f>buildingfinal!Q144</f>
        <v>0</v>
      </c>
      <c r="C145" s="1239" t="str">
        <f>buildingfinal!B144</f>
        <v>g.  In sixth floor</v>
      </c>
      <c r="D145" s="1235">
        <f>buildingfinal!C144</f>
        <v>979.32</v>
      </c>
      <c r="E145" s="1235" t="str">
        <f>buildingfinal!D144</f>
        <v>Sqm.</v>
      </c>
      <c r="F145" s="1235">
        <f t="shared" si="5"/>
        <v>0</v>
      </c>
      <c r="G145" s="1240"/>
    </row>
    <row r="146" spans="1:7" s="1241" customFormat="1" ht="17.25" hidden="1">
      <c r="A146" s="1233">
        <f>buildingfinal!A145</f>
        <v>0</v>
      </c>
      <c r="B146" s="1521">
        <f>buildingfinal!Q145</f>
        <v>0</v>
      </c>
      <c r="C146" s="1239" t="str">
        <f>buildingfinal!B145</f>
        <v>h.  In seventh floor</v>
      </c>
      <c r="D146" s="1235">
        <f>buildingfinal!C145</f>
        <v>998.24</v>
      </c>
      <c r="E146" s="1235" t="str">
        <f>buildingfinal!D145</f>
        <v>Sqm.</v>
      </c>
      <c r="F146" s="1235">
        <f t="shared" si="5"/>
        <v>0</v>
      </c>
      <c r="G146" s="1240"/>
    </row>
    <row r="147" spans="1:7" s="1241" customFormat="1" ht="17.25" hidden="1">
      <c r="A147" s="1233">
        <f>buildingfinal!A146</f>
        <v>0</v>
      </c>
      <c r="B147" s="1521">
        <f>buildingfinal!Q146</f>
        <v>0</v>
      </c>
      <c r="C147" s="1239" t="str">
        <f>buildingfinal!B146</f>
        <v>i.  In eighth floor</v>
      </c>
      <c r="D147" s="1235">
        <f>buildingfinal!C146</f>
        <v>1017.16</v>
      </c>
      <c r="E147" s="1235" t="str">
        <f>buildingfinal!D146</f>
        <v>Sqm.</v>
      </c>
      <c r="F147" s="1235">
        <f t="shared" si="5"/>
        <v>0</v>
      </c>
      <c r="G147" s="1240"/>
    </row>
    <row r="148" spans="1:7" s="1241" customFormat="1" ht="17.25" hidden="1">
      <c r="A148" s="1233">
        <f>buildingfinal!A147</f>
        <v>0</v>
      </c>
      <c r="B148" s="1521">
        <f>buildingfinal!Q147</f>
        <v>0</v>
      </c>
      <c r="C148" s="1239" t="str">
        <f>buildingfinal!B147</f>
        <v>j.  In Ninth floor</v>
      </c>
      <c r="D148" s="1235">
        <f>buildingfinal!C147</f>
        <v>1036.08</v>
      </c>
      <c r="E148" s="1235" t="str">
        <f>buildingfinal!D147</f>
        <v>Sqm.</v>
      </c>
      <c r="F148" s="1235">
        <f t="shared" si="5"/>
        <v>0</v>
      </c>
      <c r="G148" s="1240"/>
    </row>
    <row r="149" spans="1:7" s="1241" customFormat="1" ht="17.25" hidden="1">
      <c r="A149" s="1233">
        <f>buildingfinal!A148</f>
        <v>0</v>
      </c>
      <c r="B149" s="1521">
        <f>buildingfinal!Q148</f>
        <v>0</v>
      </c>
      <c r="C149" s="1239" t="str">
        <f>buildingfinal!B148</f>
        <v>k.  In Tenth floor</v>
      </c>
      <c r="D149" s="1235">
        <f>buildingfinal!C148</f>
        <v>1055</v>
      </c>
      <c r="E149" s="1235" t="str">
        <f>buildingfinal!D148</f>
        <v>Sqm.</v>
      </c>
      <c r="F149" s="1235">
        <f t="shared" si="5"/>
        <v>0</v>
      </c>
      <c r="G149" s="1240"/>
    </row>
    <row r="150" spans="1:7" s="1241" customFormat="1" ht="17.25" hidden="1">
      <c r="A150" s="1233">
        <f>buildingfinal!A149</f>
        <v>0</v>
      </c>
      <c r="B150" s="1521">
        <f>buildingfinal!Q149</f>
        <v>0</v>
      </c>
      <c r="C150" s="1239" t="str">
        <f>buildingfinal!B149</f>
        <v>l.  In Eleventh floor</v>
      </c>
      <c r="D150" s="1235">
        <f>buildingfinal!C149</f>
        <v>1073.92</v>
      </c>
      <c r="E150" s="1235" t="str">
        <f>buildingfinal!D149</f>
        <v>Sqm.</v>
      </c>
      <c r="F150" s="1235">
        <f t="shared" si="5"/>
        <v>0</v>
      </c>
      <c r="G150" s="1240"/>
    </row>
    <row r="151" spans="1:7" s="1241" customFormat="1" ht="17.25" hidden="1">
      <c r="A151" s="1233">
        <f>buildingfinal!A150</f>
        <v>0</v>
      </c>
      <c r="B151" s="1521">
        <f>buildingfinal!Q150</f>
        <v>0</v>
      </c>
      <c r="C151" s="1239" t="str">
        <f>buildingfinal!B150</f>
        <v>m.  In Twelth floor</v>
      </c>
      <c r="D151" s="1235">
        <f>buildingfinal!C150</f>
        <v>1092.8399999999999</v>
      </c>
      <c r="E151" s="1235" t="str">
        <f>buildingfinal!D150</f>
        <v>Sqm.</v>
      </c>
      <c r="F151" s="1235">
        <f t="shared" si="5"/>
        <v>0</v>
      </c>
      <c r="G151" s="1240"/>
    </row>
    <row r="152" spans="1:7" s="1241" customFormat="1" ht="17.25" hidden="1">
      <c r="A152" s="1233">
        <f>buildingfinal!A151</f>
        <v>0</v>
      </c>
      <c r="B152" s="1521">
        <f>buildingfinal!Q151</f>
        <v>0</v>
      </c>
      <c r="C152" s="1239" t="str">
        <f>buildingfinal!B151</f>
        <v>n. In thirteen floor</v>
      </c>
      <c r="D152" s="1235">
        <f>buildingfinal!C151</f>
        <v>1111.76</v>
      </c>
      <c r="E152" s="1235" t="str">
        <f>buildingfinal!D151</f>
        <v>Sqm.</v>
      </c>
      <c r="F152" s="1235">
        <f t="shared" si="5"/>
        <v>0</v>
      </c>
      <c r="G152" s="1240"/>
    </row>
    <row r="153" spans="1:7" s="1241" customFormat="1" ht="45" hidden="1">
      <c r="A153" s="1233">
        <f>buildingfinal!A152</f>
        <v>10.3</v>
      </c>
      <c r="B153" s="1521">
        <f>buildingfinal!Q152</f>
        <v>0</v>
      </c>
      <c r="C153" s="1239" t="str">
        <f>buildingfinal!B152</f>
        <v>Brick partition work in C.M. 1:4 Chamber Burnt 
brick of size 23 x 11 x 7 cm (9" x 4 1/4" x 2 3/4") 110 mm tk (B.P.)</v>
      </c>
      <c r="D153" s="1235">
        <f>buildingfinal!C152</f>
        <v>0</v>
      </c>
      <c r="E153" s="1235">
        <f>buildingfinal!D152</f>
        <v>0</v>
      </c>
      <c r="F153" s="1235">
        <f t="shared" si="5"/>
        <v>0</v>
      </c>
      <c r="G153" s="1240"/>
    </row>
    <row r="154" spans="1:7" s="1241" customFormat="1" ht="17.25" hidden="1">
      <c r="A154" s="1233">
        <f>buildingfinal!A153</f>
        <v>0</v>
      </c>
      <c r="B154" s="1521">
        <f>buildingfinal!Q153</f>
        <v>0</v>
      </c>
      <c r="C154" s="1239" t="str">
        <f>buildingfinal!B153</f>
        <v>a. In Foundation and basement</v>
      </c>
      <c r="D154" s="1235">
        <f>buildingfinal!C153</f>
        <v>0</v>
      </c>
      <c r="E154" s="1235" t="str">
        <f>buildingfinal!D153</f>
        <v>Sqm.</v>
      </c>
      <c r="F154" s="1235">
        <f t="shared" si="5"/>
        <v>0</v>
      </c>
      <c r="G154" s="1240"/>
    </row>
    <row r="155" spans="1:7" s="1241" customFormat="1" ht="17.25" hidden="1">
      <c r="A155" s="1233">
        <f>buildingfinal!A154</f>
        <v>0</v>
      </c>
      <c r="B155" s="1521">
        <f>buildingfinal!Q154</f>
        <v>0</v>
      </c>
      <c r="C155" s="1239" t="str">
        <f>buildingfinal!B154</f>
        <v>b. In Ground Floor</v>
      </c>
      <c r="D155" s="1235">
        <f>buildingfinal!C154</f>
        <v>0</v>
      </c>
      <c r="E155" s="1235" t="str">
        <f>buildingfinal!D154</f>
        <v>Sqm.</v>
      </c>
      <c r="F155" s="1235">
        <f t="shared" si="5"/>
        <v>0</v>
      </c>
      <c r="G155" s="1240"/>
    </row>
    <row r="156" spans="1:7" s="1241" customFormat="1" ht="17.25" hidden="1">
      <c r="A156" s="1233">
        <f>buildingfinal!A155</f>
        <v>0</v>
      </c>
      <c r="B156" s="1521">
        <f>buildingfinal!Q155</f>
        <v>0</v>
      </c>
      <c r="C156" s="1239" t="str">
        <f>buildingfinal!B155</f>
        <v>c. In First Floor</v>
      </c>
      <c r="D156" s="1235">
        <f>buildingfinal!C155</f>
        <v>0</v>
      </c>
      <c r="E156" s="1235" t="str">
        <f>buildingfinal!D155</f>
        <v>Sqm.</v>
      </c>
      <c r="F156" s="1235">
        <f t="shared" si="5"/>
        <v>0</v>
      </c>
      <c r="G156" s="1240"/>
    </row>
    <row r="157" spans="1:7" s="1241" customFormat="1" ht="17.25" hidden="1">
      <c r="A157" s="1233">
        <f>buildingfinal!A156</f>
        <v>0</v>
      </c>
      <c r="B157" s="1521">
        <f>buildingfinal!Q156</f>
        <v>0</v>
      </c>
      <c r="C157" s="1239" t="str">
        <f>buildingfinal!B156</f>
        <v>d. In Second Floor</v>
      </c>
      <c r="D157" s="1235">
        <f>buildingfinal!C156</f>
        <v>0</v>
      </c>
      <c r="E157" s="1235" t="str">
        <f>buildingfinal!D156</f>
        <v>Sqm.</v>
      </c>
      <c r="F157" s="1235">
        <f t="shared" si="5"/>
        <v>0</v>
      </c>
      <c r="G157" s="1240"/>
    </row>
    <row r="158" spans="1:7" s="1241" customFormat="1" ht="17.25" hidden="1">
      <c r="A158" s="1233">
        <f>buildingfinal!A157</f>
        <v>0</v>
      </c>
      <c r="B158" s="1521">
        <f>buildingfinal!Q157</f>
        <v>0</v>
      </c>
      <c r="C158" s="1239" t="str">
        <f>buildingfinal!B157</f>
        <v>e. In Third Floor</v>
      </c>
      <c r="D158" s="1235">
        <f>buildingfinal!C157</f>
        <v>0</v>
      </c>
      <c r="E158" s="1235" t="str">
        <f>buildingfinal!D157</f>
        <v>Sqm.</v>
      </c>
      <c r="F158" s="1235">
        <f t="shared" si="5"/>
        <v>0</v>
      </c>
      <c r="G158" s="1240"/>
    </row>
    <row r="159" spans="1:7" s="1241" customFormat="1" ht="17.25" hidden="1">
      <c r="A159" s="1233">
        <f>buildingfinal!A158</f>
        <v>0</v>
      </c>
      <c r="B159" s="1521">
        <f>buildingfinal!Q158</f>
        <v>0</v>
      </c>
      <c r="C159" s="1239" t="str">
        <f>buildingfinal!B158</f>
        <v>f. In Fourth Floor</v>
      </c>
      <c r="D159" s="1235">
        <f>buildingfinal!C158</f>
        <v>0</v>
      </c>
      <c r="E159" s="1235" t="str">
        <f>buildingfinal!D158</f>
        <v>Sqm.</v>
      </c>
      <c r="F159" s="1235">
        <f t="shared" si="5"/>
        <v>0</v>
      </c>
      <c r="G159" s="1240"/>
    </row>
    <row r="160" spans="1:7" s="1241" customFormat="1" ht="45" hidden="1">
      <c r="A160" s="1233">
        <f>buildingfinal!A159</f>
        <v>10.4</v>
      </c>
      <c r="B160" s="1521">
        <f>buildingfinal!Q159</f>
        <v>0</v>
      </c>
      <c r="C160" s="1239" t="str">
        <f>buildingfinal!B159</f>
        <v>Brick partition work in C.M. 1:4 
Chamber Burnt brick of size 22 x 11 x 7 cm (8 3/4" x 4 1/4" x 2 3/4") 110 mm tk (B.P.)</v>
      </c>
      <c r="D160" s="1235">
        <f>buildingfinal!C159</f>
        <v>0</v>
      </c>
      <c r="E160" s="1235">
        <f>buildingfinal!D159</f>
        <v>0</v>
      </c>
      <c r="F160" s="1235">
        <f t="shared" si="5"/>
        <v>0</v>
      </c>
      <c r="G160" s="1240"/>
    </row>
    <row r="161" spans="1:8" s="1241" customFormat="1" ht="17.25" hidden="1">
      <c r="A161" s="1233">
        <f>buildingfinal!A160</f>
        <v>0</v>
      </c>
      <c r="B161" s="1521">
        <f>buildingfinal!Q160</f>
        <v>0</v>
      </c>
      <c r="C161" s="1239" t="str">
        <f>buildingfinal!B160</f>
        <v>a. In Foundation and basement</v>
      </c>
      <c r="D161" s="1235">
        <f>buildingfinal!C160</f>
        <v>0</v>
      </c>
      <c r="E161" s="1235" t="str">
        <f>buildingfinal!D160</f>
        <v>Sqm.</v>
      </c>
      <c r="F161" s="1235">
        <f t="shared" si="5"/>
        <v>0</v>
      </c>
      <c r="G161" s="1240"/>
    </row>
    <row r="162" spans="1:8" s="1241" customFormat="1" ht="17.25" hidden="1">
      <c r="A162" s="1233">
        <f>buildingfinal!A161</f>
        <v>0</v>
      </c>
      <c r="B162" s="1521">
        <f>buildingfinal!Q161</f>
        <v>0</v>
      </c>
      <c r="C162" s="1239" t="str">
        <f>buildingfinal!B161</f>
        <v>b. In Ground Floor</v>
      </c>
      <c r="D162" s="1235">
        <f>buildingfinal!C161</f>
        <v>0</v>
      </c>
      <c r="E162" s="1235" t="str">
        <f>buildingfinal!D161</f>
        <v>Sqm.</v>
      </c>
      <c r="F162" s="1235">
        <f t="shared" si="5"/>
        <v>0</v>
      </c>
      <c r="G162" s="1240"/>
    </row>
    <row r="163" spans="1:8" s="1241" customFormat="1" ht="17.25" hidden="1">
      <c r="A163" s="1233">
        <f>buildingfinal!A162</f>
        <v>0</v>
      </c>
      <c r="B163" s="1521">
        <f>buildingfinal!Q162</f>
        <v>0</v>
      </c>
      <c r="C163" s="1239" t="str">
        <f>buildingfinal!B162</f>
        <v>c. In First Floor</v>
      </c>
      <c r="D163" s="1235">
        <f>buildingfinal!C162</f>
        <v>0</v>
      </c>
      <c r="E163" s="1235" t="str">
        <f>buildingfinal!D162</f>
        <v>Sqm.</v>
      </c>
      <c r="F163" s="1235">
        <f t="shared" si="5"/>
        <v>0</v>
      </c>
      <c r="G163" s="1240"/>
    </row>
    <row r="164" spans="1:8" s="1241" customFormat="1" ht="17.25" hidden="1">
      <c r="A164" s="1233">
        <f>buildingfinal!A163</f>
        <v>0</v>
      </c>
      <c r="B164" s="1521">
        <f>buildingfinal!Q163</f>
        <v>0</v>
      </c>
      <c r="C164" s="1239" t="str">
        <f>buildingfinal!B163</f>
        <v>d. In Second Floor</v>
      </c>
      <c r="D164" s="1235">
        <f>buildingfinal!C163</f>
        <v>0</v>
      </c>
      <c r="E164" s="1235" t="str">
        <f>buildingfinal!D163</f>
        <v>Sqm.</v>
      </c>
      <c r="F164" s="1235">
        <f t="shared" si="5"/>
        <v>0</v>
      </c>
      <c r="G164" s="1240"/>
    </row>
    <row r="165" spans="1:8" s="1241" customFormat="1" ht="17.25" hidden="1">
      <c r="A165" s="1233">
        <f>buildingfinal!A164</f>
        <v>0</v>
      </c>
      <c r="B165" s="1521">
        <f>buildingfinal!Q164</f>
        <v>0</v>
      </c>
      <c r="C165" s="1239" t="str">
        <f>buildingfinal!B164</f>
        <v>e. In Third Floor</v>
      </c>
      <c r="D165" s="1235">
        <f>buildingfinal!C164</f>
        <v>0</v>
      </c>
      <c r="E165" s="1235" t="str">
        <f>buildingfinal!D164</f>
        <v>Sqm.</v>
      </c>
      <c r="F165" s="1235">
        <f t="shared" si="5"/>
        <v>0</v>
      </c>
      <c r="G165" s="1240"/>
    </row>
    <row r="166" spans="1:8" s="1241" customFormat="1" ht="17.25" hidden="1">
      <c r="A166" s="1233">
        <f>buildingfinal!A165</f>
        <v>0</v>
      </c>
      <c r="B166" s="1521">
        <f>buildingfinal!Q165</f>
        <v>0</v>
      </c>
      <c r="C166" s="1239" t="str">
        <f>buildingfinal!B165</f>
        <v>f. In Fourth Floor</v>
      </c>
      <c r="D166" s="1235">
        <f>buildingfinal!C165</f>
        <v>0</v>
      </c>
      <c r="E166" s="1235" t="str">
        <f>buildingfinal!D165</f>
        <v>Sqm.</v>
      </c>
      <c r="F166" s="1235">
        <f t="shared" si="5"/>
        <v>0</v>
      </c>
      <c r="G166" s="1240"/>
    </row>
    <row r="167" spans="1:8" s="1241" customFormat="1" ht="45" hidden="1">
      <c r="A167" s="1233">
        <f>buildingfinal!A166</f>
        <v>10.5</v>
      </c>
      <c r="B167" s="1521">
        <f>buildingfinal!Q166</f>
        <v>0</v>
      </c>
      <c r="C167" s="1239" t="str">
        <f>buildingfinal!B166</f>
        <v>Brick partition work in C.M. 1:4 Kiln Burnt Country bricks of size 22 x 11 x 7 cm (8 3/4" x 4 1/4" x 2 3/4") 110 mm tk (B.P.)</v>
      </c>
      <c r="D167" s="1235">
        <f>buildingfinal!C166</f>
        <v>0</v>
      </c>
      <c r="E167" s="1235">
        <f>buildingfinal!D166</f>
        <v>0</v>
      </c>
      <c r="F167" s="1235">
        <f t="shared" si="5"/>
        <v>0</v>
      </c>
      <c r="G167" s="1240"/>
    </row>
    <row r="168" spans="1:8" s="1241" customFormat="1" ht="17.25" hidden="1">
      <c r="A168" s="1233">
        <f>buildingfinal!A167</f>
        <v>0</v>
      </c>
      <c r="B168" s="1521">
        <f>buildingfinal!Q167</f>
        <v>0</v>
      </c>
      <c r="C168" s="1239" t="str">
        <f>buildingfinal!B167</f>
        <v>a. In Foundation and basement</v>
      </c>
      <c r="D168" s="1235">
        <f>buildingfinal!C167</f>
        <v>823.41</v>
      </c>
      <c r="E168" s="1235" t="str">
        <f>buildingfinal!D167</f>
        <v>Sqm.</v>
      </c>
      <c r="F168" s="1235">
        <f t="shared" si="5"/>
        <v>0</v>
      </c>
      <c r="G168" s="1240"/>
    </row>
    <row r="169" spans="1:8" s="1241" customFormat="1" ht="17.25" hidden="1">
      <c r="A169" s="1233">
        <f>buildingfinal!A168</f>
        <v>0</v>
      </c>
      <c r="B169" s="1521">
        <f>buildingfinal!Q168</f>
        <v>0</v>
      </c>
      <c r="C169" s="1239" t="str">
        <f>buildingfinal!B168</f>
        <v>b. In Ground Floor</v>
      </c>
      <c r="D169" s="1235">
        <f>buildingfinal!C168</f>
        <v>832.46</v>
      </c>
      <c r="E169" s="1235" t="str">
        <f>buildingfinal!D168</f>
        <v>Sqm.</v>
      </c>
      <c r="F169" s="1235">
        <f t="shared" si="5"/>
        <v>0</v>
      </c>
      <c r="G169" s="1240"/>
    </row>
    <row r="170" spans="1:8" s="1241" customFormat="1" ht="17.25" hidden="1">
      <c r="A170" s="1233">
        <f>buildingfinal!A169</f>
        <v>0</v>
      </c>
      <c r="B170" s="1521">
        <f>buildingfinal!Q169</f>
        <v>0</v>
      </c>
      <c r="C170" s="1239" t="str">
        <f>buildingfinal!B169</f>
        <v>c. In First Floor</v>
      </c>
      <c r="D170" s="1235">
        <f>buildingfinal!C169</f>
        <v>850.72</v>
      </c>
      <c r="E170" s="1235" t="str">
        <f>buildingfinal!D169</f>
        <v>Sqm.</v>
      </c>
      <c r="F170" s="1235">
        <f t="shared" si="5"/>
        <v>0</v>
      </c>
      <c r="G170" s="1240"/>
    </row>
    <row r="171" spans="1:8" s="1241" customFormat="1" ht="17.25" hidden="1">
      <c r="A171" s="1233">
        <f>buildingfinal!A170</f>
        <v>0</v>
      </c>
      <c r="B171" s="1521">
        <f>buildingfinal!Q170</f>
        <v>0</v>
      </c>
      <c r="C171" s="1239" t="str">
        <f>buildingfinal!B170</f>
        <v>d. In Second Floor</v>
      </c>
      <c r="D171" s="1235">
        <f>buildingfinal!C170</f>
        <v>868.98</v>
      </c>
      <c r="E171" s="1235" t="str">
        <f>buildingfinal!D170</f>
        <v>Sqm.</v>
      </c>
      <c r="F171" s="1235">
        <f t="shared" si="5"/>
        <v>0</v>
      </c>
      <c r="G171" s="1240"/>
    </row>
    <row r="172" spans="1:8" s="1241" customFormat="1" ht="17.25" hidden="1">
      <c r="A172" s="1233">
        <f>buildingfinal!A171</f>
        <v>0</v>
      </c>
      <c r="B172" s="1521">
        <f>buildingfinal!Q171</f>
        <v>0</v>
      </c>
      <c r="C172" s="1239" t="str">
        <f>buildingfinal!B171</f>
        <v>e. In Third Floor</v>
      </c>
      <c r="D172" s="1235">
        <f>buildingfinal!C171</f>
        <v>887.24</v>
      </c>
      <c r="E172" s="1235" t="str">
        <f>buildingfinal!D171</f>
        <v>Sqm.</v>
      </c>
      <c r="F172" s="1235">
        <f t="shared" si="5"/>
        <v>0</v>
      </c>
      <c r="G172" s="1240"/>
    </row>
    <row r="173" spans="1:8" s="1241" customFormat="1" ht="17.25" hidden="1">
      <c r="A173" s="1233">
        <f>buildingfinal!A172</f>
        <v>0</v>
      </c>
      <c r="B173" s="1521">
        <f>buildingfinal!Q172</f>
        <v>0</v>
      </c>
      <c r="C173" s="1239" t="str">
        <f>buildingfinal!B172</f>
        <v>f. In Fourth Floor</v>
      </c>
      <c r="D173" s="1235">
        <f>buildingfinal!C172</f>
        <v>905.5</v>
      </c>
      <c r="E173" s="1235" t="str">
        <f>buildingfinal!D172</f>
        <v>Sqm.</v>
      </c>
      <c r="F173" s="1235">
        <f t="shared" si="5"/>
        <v>0</v>
      </c>
      <c r="G173" s="1240"/>
    </row>
    <row r="174" spans="1:8" ht="45" hidden="1">
      <c r="A174" s="1233">
        <f>buildingfinal!A173</f>
        <v>10.6</v>
      </c>
      <c r="B174" s="1521">
        <f>buildingfinal!Q173</f>
        <v>0</v>
      </c>
      <c r="C174" s="1239" t="str">
        <f>buildingfinal!B173</f>
        <v>Brick partition work in C.M. 1:4 Kiln Burnt Country bricks of size 22 x 11 x 5.7 cm (8 3/4" x 4 1/4" x 2 1/4") 110 mm tk (B.P.)</v>
      </c>
      <c r="D174" s="1235">
        <f>buildingfinal!C173</f>
        <v>0</v>
      </c>
      <c r="E174" s="1235">
        <f>buildingfinal!D173</f>
        <v>0</v>
      </c>
      <c r="F174" s="1235">
        <f t="shared" si="5"/>
        <v>0</v>
      </c>
      <c r="G174" s="1240"/>
      <c r="H174" s="1217"/>
    </row>
    <row r="175" spans="1:8" hidden="1">
      <c r="A175" s="1233">
        <f>buildingfinal!A174</f>
        <v>0</v>
      </c>
      <c r="B175" s="1521">
        <f>buildingfinal!Q174</f>
        <v>0</v>
      </c>
      <c r="C175" s="1239" t="str">
        <f>buildingfinal!B174</f>
        <v>a. In Foundation and basement</v>
      </c>
      <c r="D175" s="1235">
        <f>buildingfinal!C174</f>
        <v>0</v>
      </c>
      <c r="E175" s="1235" t="str">
        <f>buildingfinal!D174</f>
        <v>Sqm.</v>
      </c>
      <c r="F175" s="1235">
        <f t="shared" si="5"/>
        <v>0</v>
      </c>
      <c r="G175" s="1240"/>
      <c r="H175" s="1217"/>
    </row>
    <row r="176" spans="1:8" hidden="1">
      <c r="A176" s="1233">
        <f>buildingfinal!A175</f>
        <v>0</v>
      </c>
      <c r="B176" s="1521">
        <f>buildingfinal!Q175</f>
        <v>0</v>
      </c>
      <c r="C176" s="1239" t="str">
        <f>buildingfinal!B175</f>
        <v>b. In Ground Floor</v>
      </c>
      <c r="D176" s="1235">
        <f>buildingfinal!C175</f>
        <v>0</v>
      </c>
      <c r="E176" s="1235" t="str">
        <f>buildingfinal!D175</f>
        <v>Sqm.</v>
      </c>
      <c r="F176" s="1235">
        <f t="shared" si="5"/>
        <v>0</v>
      </c>
      <c r="G176" s="1240"/>
      <c r="H176" s="1217"/>
    </row>
    <row r="177" spans="1:8" hidden="1">
      <c r="A177" s="1233">
        <f>buildingfinal!A176</f>
        <v>0</v>
      </c>
      <c r="B177" s="1521">
        <f>buildingfinal!Q176</f>
        <v>0</v>
      </c>
      <c r="C177" s="1239" t="str">
        <f>buildingfinal!B176</f>
        <v>c. In First Floor</v>
      </c>
      <c r="D177" s="1235">
        <f>buildingfinal!C176</f>
        <v>0</v>
      </c>
      <c r="E177" s="1235" t="str">
        <f>buildingfinal!D176</f>
        <v>Sqm.</v>
      </c>
      <c r="F177" s="1235">
        <f t="shared" si="5"/>
        <v>0</v>
      </c>
      <c r="G177" s="1240"/>
      <c r="H177" s="1217"/>
    </row>
    <row r="178" spans="1:8" hidden="1">
      <c r="A178" s="1233">
        <f>buildingfinal!A177</f>
        <v>0</v>
      </c>
      <c r="B178" s="1521">
        <f>buildingfinal!Q177</f>
        <v>0</v>
      </c>
      <c r="C178" s="1239" t="str">
        <f>buildingfinal!B177</f>
        <v>d. In Second Floor</v>
      </c>
      <c r="D178" s="1235">
        <f>buildingfinal!C177</f>
        <v>0</v>
      </c>
      <c r="E178" s="1235" t="str">
        <f>buildingfinal!D177</f>
        <v>Sqm.</v>
      </c>
      <c r="F178" s="1235">
        <f t="shared" si="5"/>
        <v>0</v>
      </c>
      <c r="G178" s="1240"/>
      <c r="H178" s="1217"/>
    </row>
    <row r="179" spans="1:8" hidden="1">
      <c r="A179" s="1233">
        <f>buildingfinal!A178</f>
        <v>0</v>
      </c>
      <c r="B179" s="1521">
        <f>buildingfinal!Q178</f>
        <v>0</v>
      </c>
      <c r="C179" s="1239" t="str">
        <f>buildingfinal!B178</f>
        <v>e. In Third Floor</v>
      </c>
      <c r="D179" s="1235">
        <f>buildingfinal!C178</f>
        <v>0</v>
      </c>
      <c r="E179" s="1235" t="str">
        <f>buildingfinal!D178</f>
        <v>Sqm.</v>
      </c>
      <c r="F179" s="1235">
        <f t="shared" si="5"/>
        <v>0</v>
      </c>
      <c r="G179" s="1240"/>
      <c r="H179" s="1217"/>
    </row>
    <row r="180" spans="1:8" s="1241" customFormat="1" ht="17.25" hidden="1">
      <c r="A180" s="1233">
        <f>buildingfinal!A179</f>
        <v>0</v>
      </c>
      <c r="B180" s="1521">
        <f>buildingfinal!Q179</f>
        <v>0</v>
      </c>
      <c r="C180" s="1239" t="str">
        <f>buildingfinal!B179</f>
        <v>f. In Fourth Floor</v>
      </c>
      <c r="D180" s="1235">
        <f>buildingfinal!C179</f>
        <v>0</v>
      </c>
      <c r="E180" s="1235" t="str">
        <f>buildingfinal!D179</f>
        <v>Sqm.</v>
      </c>
      <c r="F180" s="1235">
        <f t="shared" si="5"/>
        <v>0</v>
      </c>
      <c r="G180" s="1240"/>
    </row>
    <row r="181" spans="1:8" s="1241" customFormat="1" ht="45" hidden="1">
      <c r="A181" s="1233">
        <f>buildingfinal!A180</f>
        <v>11.1</v>
      </c>
      <c r="B181" s="1521">
        <f>buildingfinal!Q180</f>
        <v>0</v>
      </c>
      <c r="C181" s="1239" t="str">
        <f>buildingfinal!B180</f>
        <v>Brick work in C.M. 1:4 Chamber Burnt brick of size 23 x 11.2 x 7 cm (9" x 4 3/8" x 2 3/4")70 mm tk (B.P.)</v>
      </c>
      <c r="D181" s="1235">
        <f>buildingfinal!C180</f>
        <v>0</v>
      </c>
      <c r="E181" s="1235">
        <f>buildingfinal!D180</f>
        <v>0</v>
      </c>
      <c r="F181" s="1235">
        <f t="shared" si="5"/>
        <v>0</v>
      </c>
      <c r="G181" s="1240"/>
    </row>
    <row r="182" spans="1:8" s="1241" customFormat="1" ht="17.25" hidden="1">
      <c r="A182" s="1233">
        <f>buildingfinal!A181</f>
        <v>0</v>
      </c>
      <c r="B182" s="1521">
        <f>buildingfinal!Q181</f>
        <v>0</v>
      </c>
      <c r="C182" s="1239" t="str">
        <f>buildingfinal!B181</f>
        <v>a. In Ground Floor</v>
      </c>
      <c r="D182" s="1235">
        <f>buildingfinal!C181</f>
        <v>592.04</v>
      </c>
      <c r="E182" s="1235" t="str">
        <f>buildingfinal!D181</f>
        <v>Sqm.</v>
      </c>
      <c r="F182" s="1235">
        <f t="shared" si="5"/>
        <v>0</v>
      </c>
      <c r="G182" s="1240"/>
    </row>
    <row r="183" spans="1:8" s="1241" customFormat="1" ht="17.25" hidden="1">
      <c r="A183" s="1233">
        <f>buildingfinal!A182</f>
        <v>0</v>
      </c>
      <c r="B183" s="1521">
        <f>buildingfinal!Q182</f>
        <v>0</v>
      </c>
      <c r="C183" s="1239" t="str">
        <f>buildingfinal!B182</f>
        <v>b. In First Floor</v>
      </c>
      <c r="D183" s="1235">
        <f>buildingfinal!C182</f>
        <v>603.66</v>
      </c>
      <c r="E183" s="1235" t="str">
        <f>buildingfinal!D182</f>
        <v>Sqm.</v>
      </c>
      <c r="F183" s="1235">
        <f t="shared" si="5"/>
        <v>0</v>
      </c>
      <c r="G183" s="1240"/>
    </row>
    <row r="184" spans="1:8" s="1241" customFormat="1" ht="17.25" hidden="1">
      <c r="A184" s="1233">
        <f>buildingfinal!A183</f>
        <v>0</v>
      </c>
      <c r="B184" s="1521">
        <f>buildingfinal!Q183</f>
        <v>0</v>
      </c>
      <c r="C184" s="1239" t="str">
        <f>buildingfinal!B183</f>
        <v>c. In Second Floor</v>
      </c>
      <c r="D184" s="1235">
        <f>buildingfinal!C183</f>
        <v>615.28</v>
      </c>
      <c r="E184" s="1235" t="str">
        <f>buildingfinal!D183</f>
        <v>Sqm.</v>
      </c>
      <c r="F184" s="1235">
        <f t="shared" si="5"/>
        <v>0</v>
      </c>
      <c r="G184" s="1240"/>
    </row>
    <row r="185" spans="1:8" s="1241" customFormat="1" ht="17.25" hidden="1">
      <c r="A185" s="1233">
        <f>buildingfinal!A184</f>
        <v>0</v>
      </c>
      <c r="B185" s="1521">
        <f>buildingfinal!Q184</f>
        <v>0</v>
      </c>
      <c r="C185" s="1239" t="str">
        <f>buildingfinal!B184</f>
        <v>d. In Third Floor</v>
      </c>
      <c r="D185" s="1235">
        <f>buildingfinal!C184</f>
        <v>626.9</v>
      </c>
      <c r="E185" s="1235" t="str">
        <f>buildingfinal!D184</f>
        <v>Sqm.</v>
      </c>
      <c r="F185" s="1235">
        <f t="shared" si="5"/>
        <v>0</v>
      </c>
      <c r="G185" s="1240"/>
    </row>
    <row r="186" spans="1:8" s="1241" customFormat="1" ht="17.25" hidden="1">
      <c r="A186" s="1233">
        <f>buildingfinal!A185</f>
        <v>0</v>
      </c>
      <c r="B186" s="1521">
        <f>buildingfinal!Q185</f>
        <v>0</v>
      </c>
      <c r="C186" s="1239" t="str">
        <f>buildingfinal!B185</f>
        <v>e. In Fourth Floor</v>
      </c>
      <c r="D186" s="1235">
        <f>buildingfinal!C185</f>
        <v>638.52</v>
      </c>
      <c r="E186" s="1235" t="str">
        <f>buildingfinal!D185</f>
        <v>Sqm.</v>
      </c>
      <c r="F186" s="1235">
        <f t="shared" si="5"/>
        <v>0</v>
      </c>
      <c r="G186" s="1240"/>
    </row>
    <row r="187" spans="1:8" s="1241" customFormat="1" ht="53.25" customHeight="1">
      <c r="A187" s="1233">
        <f>buildingfinal!A186</f>
        <v>11.2</v>
      </c>
      <c r="B187" s="1260" t="str">
        <f>buildingfinal!Q186</f>
        <v>*</v>
      </c>
      <c r="C187" s="1234" t="str">
        <f>buildingfinal!B186</f>
        <v>Brick work in C.M. 1:4 using chamber Burnt bricks of size 23 x 11.4 x 7.5 cm (9" x 4 1/2"x 3") 75 mm tk (B.P.)</v>
      </c>
      <c r="D187" s="1235">
        <f>buildingfinal!C186</f>
        <v>0</v>
      </c>
      <c r="E187" s="1235">
        <f>buildingfinal!D186</f>
        <v>0</v>
      </c>
      <c r="F187" s="1235"/>
      <c r="G187" s="1240">
        <f>buildingfinal!R186</f>
        <v>0</v>
      </c>
      <c r="H187" s="1216">
        <f t="shared" ref="H187:H191" si="7">F187-G187</f>
        <v>0</v>
      </c>
    </row>
    <row r="188" spans="1:8" s="1241" customFormat="1" ht="30.75" customHeight="1">
      <c r="A188" s="1233">
        <f>buildingfinal!A187</f>
        <v>0</v>
      </c>
      <c r="B188" s="1521">
        <f>buildingfinal!Q187</f>
        <v>12.3</v>
      </c>
      <c r="C188" s="1239" t="str">
        <f>buildingfinal!B187</f>
        <v>a. In Ground Floor</v>
      </c>
      <c r="D188" s="1235">
        <f>buildingfinal!C187</f>
        <v>605.24</v>
      </c>
      <c r="E188" s="1235" t="str">
        <f>buildingfinal!D187</f>
        <v>Sqm.</v>
      </c>
      <c r="F188" s="1235">
        <f t="shared" si="5"/>
        <v>7444.45</v>
      </c>
      <c r="G188" s="1240">
        <f>buildingfinal!R187</f>
        <v>7444.45</v>
      </c>
      <c r="H188" s="1216">
        <f t="shared" si="7"/>
        <v>0</v>
      </c>
    </row>
    <row r="189" spans="1:8" s="1241" customFormat="1" ht="30.75" customHeight="1">
      <c r="A189" s="1233">
        <f>buildingfinal!A188</f>
        <v>0</v>
      </c>
      <c r="B189" s="1521">
        <f>buildingfinal!Q188</f>
        <v>21.8</v>
      </c>
      <c r="C189" s="1239" t="str">
        <f>buildingfinal!B188</f>
        <v>b. In First Floor</v>
      </c>
      <c r="D189" s="1235">
        <f>buildingfinal!C188</f>
        <v>617.69000000000005</v>
      </c>
      <c r="E189" s="1235" t="str">
        <f>buildingfinal!D188</f>
        <v>Sqm.</v>
      </c>
      <c r="F189" s="1235">
        <f t="shared" si="5"/>
        <v>13465.64</v>
      </c>
      <c r="G189" s="1240">
        <f>buildingfinal!R188</f>
        <v>13465.64</v>
      </c>
      <c r="H189" s="1216">
        <f t="shared" si="7"/>
        <v>0</v>
      </c>
    </row>
    <row r="190" spans="1:8" s="1241" customFormat="1" ht="30.75" customHeight="1">
      <c r="A190" s="1233">
        <f>buildingfinal!A189</f>
        <v>0</v>
      </c>
      <c r="B190" s="1521">
        <f>buildingfinal!Q189</f>
        <v>32.799999999999997</v>
      </c>
      <c r="C190" s="1239" t="str">
        <f>buildingfinal!B189</f>
        <v>c. In Second Floor</v>
      </c>
      <c r="D190" s="1235">
        <f>buildingfinal!C189</f>
        <v>630.14</v>
      </c>
      <c r="E190" s="1235" t="str">
        <f>buildingfinal!D189</f>
        <v>Sqm.</v>
      </c>
      <c r="F190" s="1235">
        <f t="shared" si="5"/>
        <v>20668.59</v>
      </c>
      <c r="G190" s="1240">
        <f>buildingfinal!R189</f>
        <v>20668.59</v>
      </c>
      <c r="H190" s="1216">
        <f t="shared" si="7"/>
        <v>0</v>
      </c>
    </row>
    <row r="191" spans="1:8" s="1241" customFormat="1" ht="30.75" customHeight="1">
      <c r="A191" s="1233">
        <f>buildingfinal!A190</f>
        <v>0</v>
      </c>
      <c r="B191" s="1521">
        <f>buildingfinal!Q190</f>
        <v>10.1</v>
      </c>
      <c r="C191" s="1239" t="str">
        <f>buildingfinal!B190</f>
        <v>d. In Third Floor</v>
      </c>
      <c r="D191" s="1235">
        <f>buildingfinal!C190</f>
        <v>642.59</v>
      </c>
      <c r="E191" s="1235" t="str">
        <f>buildingfinal!D190</f>
        <v>Sqm.</v>
      </c>
      <c r="F191" s="1235">
        <f t="shared" si="5"/>
        <v>6490.16</v>
      </c>
      <c r="G191" s="1240">
        <f>buildingfinal!R190</f>
        <v>6490.16</v>
      </c>
      <c r="H191" s="1216">
        <f t="shared" si="7"/>
        <v>0</v>
      </c>
    </row>
    <row r="192" spans="1:8" s="1241" customFormat="1" ht="17.25" hidden="1">
      <c r="A192" s="1233">
        <f>buildingfinal!A191</f>
        <v>0</v>
      </c>
      <c r="B192" s="1521">
        <f>buildingfinal!Q191</f>
        <v>0</v>
      </c>
      <c r="C192" s="1239" t="str">
        <f>buildingfinal!B191</f>
        <v>e. In Fourth Floor</v>
      </c>
      <c r="D192" s="1235">
        <f>buildingfinal!C191</f>
        <v>655.04</v>
      </c>
      <c r="E192" s="1235" t="str">
        <f>buildingfinal!D191</f>
        <v>Sqm.</v>
      </c>
      <c r="F192" s="1235">
        <f t="shared" si="5"/>
        <v>0</v>
      </c>
      <c r="G192" s="1240"/>
    </row>
    <row r="193" spans="1:7" s="1241" customFormat="1" ht="45" hidden="1">
      <c r="A193" s="1233">
        <f>buildingfinal!A192</f>
        <v>11.3</v>
      </c>
      <c r="B193" s="1521">
        <f>buildingfinal!Q192</f>
        <v>0</v>
      </c>
      <c r="C193" s="1239" t="str">
        <f>buildingfinal!B192</f>
        <v>Brick work in C.M. 1:4 Chamber Burnt brick: 
of size 23 x 11 x 7 cm (9" x 4 1/4" x 2 3/4") 70 mm tk (B.P.)</v>
      </c>
      <c r="D193" s="1235">
        <f>buildingfinal!C192</f>
        <v>0</v>
      </c>
      <c r="E193" s="1235">
        <f>buildingfinal!D192</f>
        <v>0</v>
      </c>
      <c r="F193" s="1235">
        <f t="shared" si="5"/>
        <v>0</v>
      </c>
      <c r="G193" s="1240"/>
    </row>
    <row r="194" spans="1:7" s="1241" customFormat="1" ht="17.25" hidden="1">
      <c r="A194" s="1233">
        <f>buildingfinal!A193</f>
        <v>0</v>
      </c>
      <c r="B194" s="1521">
        <f>buildingfinal!Q193</f>
        <v>0</v>
      </c>
      <c r="C194" s="1239" t="str">
        <f>buildingfinal!B193</f>
        <v>a. In Ground Floor</v>
      </c>
      <c r="D194" s="1235">
        <f>buildingfinal!C193</f>
        <v>0</v>
      </c>
      <c r="E194" s="1235" t="str">
        <f>buildingfinal!D193</f>
        <v>Sqm.</v>
      </c>
      <c r="F194" s="1235">
        <f t="shared" si="5"/>
        <v>0</v>
      </c>
      <c r="G194" s="1240"/>
    </row>
    <row r="195" spans="1:7" s="1241" customFormat="1" ht="17.25" hidden="1">
      <c r="A195" s="1233">
        <f>buildingfinal!A194</f>
        <v>0</v>
      </c>
      <c r="B195" s="1521">
        <f>buildingfinal!Q194</f>
        <v>0</v>
      </c>
      <c r="C195" s="1239" t="str">
        <f>buildingfinal!B194</f>
        <v>b. In First Floor</v>
      </c>
      <c r="D195" s="1235">
        <f>buildingfinal!C194</f>
        <v>0</v>
      </c>
      <c r="E195" s="1235" t="str">
        <f>buildingfinal!D194</f>
        <v>Sqm.</v>
      </c>
      <c r="F195" s="1235">
        <f t="shared" si="5"/>
        <v>0</v>
      </c>
      <c r="G195" s="1240"/>
    </row>
    <row r="196" spans="1:7" s="1241" customFormat="1" ht="17.25" hidden="1">
      <c r="A196" s="1233">
        <f>buildingfinal!A195</f>
        <v>0</v>
      </c>
      <c r="B196" s="1521">
        <f>buildingfinal!Q195</f>
        <v>0</v>
      </c>
      <c r="C196" s="1239" t="str">
        <f>buildingfinal!B195</f>
        <v>c. In Second Floor</v>
      </c>
      <c r="D196" s="1235">
        <f>buildingfinal!C195</f>
        <v>0</v>
      </c>
      <c r="E196" s="1235" t="str">
        <f>buildingfinal!D195</f>
        <v>Sqm.</v>
      </c>
      <c r="F196" s="1235">
        <f t="shared" si="5"/>
        <v>0</v>
      </c>
      <c r="G196" s="1240"/>
    </row>
    <row r="197" spans="1:7" s="1241" customFormat="1" ht="17.25" hidden="1">
      <c r="A197" s="1233">
        <f>buildingfinal!A196</f>
        <v>0</v>
      </c>
      <c r="B197" s="1521">
        <f>buildingfinal!Q196</f>
        <v>0</v>
      </c>
      <c r="C197" s="1239" t="str">
        <f>buildingfinal!B196</f>
        <v>d. In Third Floor</v>
      </c>
      <c r="D197" s="1235">
        <f>buildingfinal!C196</f>
        <v>0</v>
      </c>
      <c r="E197" s="1235" t="str">
        <f>buildingfinal!D196</f>
        <v>Sqm.</v>
      </c>
      <c r="F197" s="1235">
        <f t="shared" si="5"/>
        <v>0</v>
      </c>
      <c r="G197" s="1240"/>
    </row>
    <row r="198" spans="1:7" s="1241" customFormat="1" ht="17.25" hidden="1">
      <c r="A198" s="1233">
        <f>buildingfinal!A197</f>
        <v>0</v>
      </c>
      <c r="B198" s="1521">
        <f>buildingfinal!Q197</f>
        <v>0</v>
      </c>
      <c r="C198" s="1239" t="str">
        <f>buildingfinal!B197</f>
        <v>e. In Fourth Floor</v>
      </c>
      <c r="D198" s="1235">
        <f>buildingfinal!C197</f>
        <v>0</v>
      </c>
      <c r="E198" s="1235" t="str">
        <f>buildingfinal!D197</f>
        <v>Sqm.</v>
      </c>
      <c r="F198" s="1235">
        <f t="shared" si="5"/>
        <v>0</v>
      </c>
      <c r="G198" s="1240"/>
    </row>
    <row r="199" spans="1:7" s="1241" customFormat="1" ht="45" hidden="1">
      <c r="A199" s="1233">
        <f>buildingfinal!A198</f>
        <v>11.4</v>
      </c>
      <c r="B199" s="1521">
        <f>buildingfinal!Q198</f>
        <v>0</v>
      </c>
      <c r="C199" s="1239" t="str">
        <f>buildingfinal!B198</f>
        <v>Brick work in C.M. 1:4 Chamber Burnt brick of size 22 x 11 x 7 cm (8 3/4" x 4 1/4" x 2 3/4") 70 mm tk (B.P.)</v>
      </c>
      <c r="D199" s="1235">
        <f>buildingfinal!C198</f>
        <v>0</v>
      </c>
      <c r="E199" s="1235">
        <f>buildingfinal!D198</f>
        <v>0</v>
      </c>
      <c r="F199" s="1235">
        <f t="shared" si="5"/>
        <v>0</v>
      </c>
      <c r="G199" s="1240"/>
    </row>
    <row r="200" spans="1:7" s="1241" customFormat="1" ht="17.25" hidden="1">
      <c r="A200" s="1233">
        <f>buildingfinal!A199</f>
        <v>0</v>
      </c>
      <c r="B200" s="1521">
        <f>buildingfinal!Q199</f>
        <v>0</v>
      </c>
      <c r="C200" s="1239" t="str">
        <f>buildingfinal!B199</f>
        <v>a. In Ground Floor</v>
      </c>
      <c r="D200" s="1235">
        <f>buildingfinal!C199</f>
        <v>0</v>
      </c>
      <c r="E200" s="1235" t="str">
        <f>buildingfinal!D199</f>
        <v>Sqm.</v>
      </c>
      <c r="F200" s="1235">
        <f t="shared" ref="F200:F263" si="8">D200*B200</f>
        <v>0</v>
      </c>
      <c r="G200" s="1240"/>
    </row>
    <row r="201" spans="1:7" s="1241" customFormat="1" ht="17.25" hidden="1">
      <c r="A201" s="1233">
        <f>buildingfinal!A200</f>
        <v>0</v>
      </c>
      <c r="B201" s="1521">
        <f>buildingfinal!Q200</f>
        <v>0</v>
      </c>
      <c r="C201" s="1239" t="str">
        <f>buildingfinal!B200</f>
        <v>b. In First Floor</v>
      </c>
      <c r="D201" s="1235">
        <f>buildingfinal!C200</f>
        <v>0</v>
      </c>
      <c r="E201" s="1235" t="str">
        <f>buildingfinal!D200</f>
        <v>Sqm.</v>
      </c>
      <c r="F201" s="1235">
        <f t="shared" si="8"/>
        <v>0</v>
      </c>
      <c r="G201" s="1240"/>
    </row>
    <row r="202" spans="1:7" s="1241" customFormat="1" ht="17.25" hidden="1">
      <c r="A202" s="1233">
        <f>buildingfinal!A201</f>
        <v>0</v>
      </c>
      <c r="B202" s="1521">
        <f>buildingfinal!Q201</f>
        <v>0</v>
      </c>
      <c r="C202" s="1239" t="str">
        <f>buildingfinal!B201</f>
        <v>c. In Second Floor</v>
      </c>
      <c r="D202" s="1235">
        <f>buildingfinal!C201</f>
        <v>0</v>
      </c>
      <c r="E202" s="1235" t="str">
        <f>buildingfinal!D201</f>
        <v>Sqm.</v>
      </c>
      <c r="F202" s="1235">
        <f t="shared" si="8"/>
        <v>0</v>
      </c>
      <c r="G202" s="1240"/>
    </row>
    <row r="203" spans="1:7" s="1241" customFormat="1" ht="17.25" hidden="1">
      <c r="A203" s="1233">
        <f>buildingfinal!A202</f>
        <v>0</v>
      </c>
      <c r="B203" s="1521">
        <f>buildingfinal!Q202</f>
        <v>0</v>
      </c>
      <c r="C203" s="1239" t="str">
        <f>buildingfinal!B202</f>
        <v>d. In Third Floor</v>
      </c>
      <c r="D203" s="1235">
        <f>buildingfinal!C202</f>
        <v>0</v>
      </c>
      <c r="E203" s="1235" t="str">
        <f>buildingfinal!D202</f>
        <v>Sqm.</v>
      </c>
      <c r="F203" s="1235">
        <f t="shared" si="8"/>
        <v>0</v>
      </c>
      <c r="G203" s="1240"/>
    </row>
    <row r="204" spans="1:7" s="1241" customFormat="1" ht="17.25" hidden="1">
      <c r="A204" s="1233">
        <f>buildingfinal!A203</f>
        <v>0</v>
      </c>
      <c r="B204" s="1521">
        <f>buildingfinal!Q203</f>
        <v>0</v>
      </c>
      <c r="C204" s="1239" t="str">
        <f>buildingfinal!B203</f>
        <v>e. In Fourth Floor</v>
      </c>
      <c r="D204" s="1235">
        <f>buildingfinal!C203</f>
        <v>0</v>
      </c>
      <c r="E204" s="1235" t="str">
        <f>buildingfinal!D203</f>
        <v>Sqm.</v>
      </c>
      <c r="F204" s="1235">
        <f t="shared" si="8"/>
        <v>0</v>
      </c>
      <c r="G204" s="1240"/>
    </row>
    <row r="205" spans="1:7" s="1241" customFormat="1" ht="45" hidden="1">
      <c r="A205" s="1233">
        <f>buildingfinal!A204</f>
        <v>11.5</v>
      </c>
      <c r="B205" s="1521">
        <f>buildingfinal!Q204</f>
        <v>0</v>
      </c>
      <c r="C205" s="1239" t="str">
        <f>buildingfinal!B204</f>
        <v>Brick work in C.M. 1:4 Kiln Burnt Country bricks of size 22 x 11 x 7 cm (8 3/4" x 4 1/4" x 2 3/4") 70 mm tk (B.P.)</v>
      </c>
      <c r="D205" s="1235">
        <f>buildingfinal!C204</f>
        <v>0</v>
      </c>
      <c r="E205" s="1235">
        <f>buildingfinal!D204</f>
        <v>0</v>
      </c>
      <c r="F205" s="1235">
        <f t="shared" si="8"/>
        <v>0</v>
      </c>
      <c r="G205" s="1240"/>
    </row>
    <row r="206" spans="1:7" s="1241" customFormat="1" ht="17.25" hidden="1">
      <c r="A206" s="1233">
        <f>buildingfinal!A205</f>
        <v>0</v>
      </c>
      <c r="B206" s="1521">
        <f>buildingfinal!Q205</f>
        <v>0</v>
      </c>
      <c r="C206" s="1239" t="str">
        <f>buildingfinal!B205</f>
        <v>a. In Ground Floor</v>
      </c>
      <c r="D206" s="1235">
        <f>buildingfinal!C205</f>
        <v>567.63</v>
      </c>
      <c r="E206" s="1235" t="str">
        <f>buildingfinal!D205</f>
        <v>Sqm.</v>
      </c>
      <c r="F206" s="1235">
        <f t="shared" si="8"/>
        <v>0</v>
      </c>
      <c r="G206" s="1240"/>
    </row>
    <row r="207" spans="1:7" s="1241" customFormat="1" ht="17.25" hidden="1">
      <c r="A207" s="1233">
        <f>buildingfinal!A206</f>
        <v>0</v>
      </c>
      <c r="B207" s="1521">
        <f>buildingfinal!Q206</f>
        <v>0</v>
      </c>
      <c r="C207" s="1239" t="str">
        <f>buildingfinal!B206</f>
        <v>b. In First Floor</v>
      </c>
      <c r="D207" s="1235">
        <f>buildingfinal!C206</f>
        <v>579.25</v>
      </c>
      <c r="E207" s="1235" t="str">
        <f>buildingfinal!D206</f>
        <v>Sqm.</v>
      </c>
      <c r="F207" s="1235">
        <f t="shared" si="8"/>
        <v>0</v>
      </c>
      <c r="G207" s="1240"/>
    </row>
    <row r="208" spans="1:7" s="1241" customFormat="1" ht="17.25" hidden="1">
      <c r="A208" s="1233">
        <f>buildingfinal!A207</f>
        <v>0</v>
      </c>
      <c r="B208" s="1521">
        <f>buildingfinal!Q207</f>
        <v>0</v>
      </c>
      <c r="C208" s="1239" t="str">
        <f>buildingfinal!B207</f>
        <v>c. In Second Floor</v>
      </c>
      <c r="D208" s="1235">
        <f>buildingfinal!C207</f>
        <v>590.87</v>
      </c>
      <c r="E208" s="1235" t="str">
        <f>buildingfinal!D207</f>
        <v>Sqm.</v>
      </c>
      <c r="F208" s="1235">
        <f t="shared" si="8"/>
        <v>0</v>
      </c>
      <c r="G208" s="1240"/>
    </row>
    <row r="209" spans="1:8" s="1241" customFormat="1" ht="17.25" hidden="1">
      <c r="A209" s="1233">
        <f>buildingfinal!A208</f>
        <v>0</v>
      </c>
      <c r="B209" s="1521">
        <f>buildingfinal!Q208</f>
        <v>0</v>
      </c>
      <c r="C209" s="1239" t="str">
        <f>buildingfinal!B208</f>
        <v>d. In Third Floor</v>
      </c>
      <c r="D209" s="1235">
        <f>buildingfinal!C208</f>
        <v>602.49</v>
      </c>
      <c r="E209" s="1235" t="str">
        <f>buildingfinal!D208</f>
        <v>Sqm.</v>
      </c>
      <c r="F209" s="1235">
        <f t="shared" si="8"/>
        <v>0</v>
      </c>
      <c r="G209" s="1240"/>
    </row>
    <row r="210" spans="1:8" s="1241" customFormat="1" ht="17.25" hidden="1">
      <c r="A210" s="1233">
        <f>buildingfinal!A209</f>
        <v>0</v>
      </c>
      <c r="B210" s="1521">
        <f>buildingfinal!Q209</f>
        <v>0</v>
      </c>
      <c r="C210" s="1239" t="str">
        <f>buildingfinal!B209</f>
        <v>e. In Fourth Floor</v>
      </c>
      <c r="D210" s="1235">
        <f>buildingfinal!C209</f>
        <v>614.11</v>
      </c>
      <c r="E210" s="1235" t="str">
        <f>buildingfinal!D209</f>
        <v>Sqm.</v>
      </c>
      <c r="F210" s="1235">
        <f t="shared" si="8"/>
        <v>0</v>
      </c>
      <c r="G210" s="1240"/>
    </row>
    <row r="211" spans="1:8" s="1241" customFormat="1" ht="45" hidden="1">
      <c r="A211" s="1233">
        <f>buildingfinal!A210</f>
        <v>11.6</v>
      </c>
      <c r="B211" s="1521">
        <f>buildingfinal!Q210</f>
        <v>0</v>
      </c>
      <c r="C211" s="1239" t="str">
        <f>buildingfinal!B210</f>
        <v>Brick work in C.M. 1:4 Kiln Burnt Country bricks of size 22 x 11 x 5.7 cm (8 3/4" x 4 1/4" x 2 1/4") 57 mm tk (B.P.)</v>
      </c>
      <c r="D211" s="1235">
        <f>buildingfinal!C210</f>
        <v>0</v>
      </c>
      <c r="E211" s="1235">
        <f>buildingfinal!D210</f>
        <v>0</v>
      </c>
      <c r="F211" s="1235">
        <f t="shared" si="8"/>
        <v>0</v>
      </c>
      <c r="G211" s="1240"/>
    </row>
    <row r="212" spans="1:8" hidden="1">
      <c r="A212" s="1233">
        <f>buildingfinal!A211</f>
        <v>0</v>
      </c>
      <c r="B212" s="1521">
        <f>buildingfinal!Q211</f>
        <v>0</v>
      </c>
      <c r="C212" s="1239" t="str">
        <f>buildingfinal!B211</f>
        <v>a. In Ground Floor</v>
      </c>
      <c r="D212" s="1235">
        <f>buildingfinal!C211</f>
        <v>0</v>
      </c>
      <c r="E212" s="1235" t="str">
        <f>buildingfinal!D211</f>
        <v>Sqm.</v>
      </c>
      <c r="F212" s="1235">
        <f t="shared" si="8"/>
        <v>0</v>
      </c>
      <c r="G212" s="1240"/>
      <c r="H212" s="1217"/>
    </row>
    <row r="213" spans="1:8" hidden="1">
      <c r="A213" s="1233">
        <f>buildingfinal!A212</f>
        <v>0</v>
      </c>
      <c r="B213" s="1521">
        <f>buildingfinal!Q212</f>
        <v>0</v>
      </c>
      <c r="C213" s="1239" t="str">
        <f>buildingfinal!B212</f>
        <v>b. In First Floor</v>
      </c>
      <c r="D213" s="1235">
        <f>buildingfinal!C212</f>
        <v>0</v>
      </c>
      <c r="E213" s="1235" t="str">
        <f>buildingfinal!D212</f>
        <v>Sqm.</v>
      </c>
      <c r="F213" s="1235">
        <f t="shared" si="8"/>
        <v>0</v>
      </c>
      <c r="G213" s="1240"/>
      <c r="H213" s="1217"/>
    </row>
    <row r="214" spans="1:8" hidden="1">
      <c r="A214" s="1233">
        <f>buildingfinal!A213</f>
        <v>0</v>
      </c>
      <c r="B214" s="1521">
        <f>buildingfinal!Q213</f>
        <v>0</v>
      </c>
      <c r="C214" s="1239" t="str">
        <f>buildingfinal!B213</f>
        <v>c. In Second Floor</v>
      </c>
      <c r="D214" s="1235">
        <f>buildingfinal!C213</f>
        <v>0</v>
      </c>
      <c r="E214" s="1235" t="str">
        <f>buildingfinal!D213</f>
        <v>Sqm.</v>
      </c>
      <c r="F214" s="1235">
        <f t="shared" si="8"/>
        <v>0</v>
      </c>
      <c r="G214" s="1240"/>
      <c r="H214" s="1217"/>
    </row>
    <row r="215" spans="1:8" hidden="1">
      <c r="A215" s="1233">
        <f>buildingfinal!A214</f>
        <v>0</v>
      </c>
      <c r="B215" s="1521">
        <f>buildingfinal!Q214</f>
        <v>0</v>
      </c>
      <c r="C215" s="1239" t="str">
        <f>buildingfinal!B214</f>
        <v>d. In Third Floor</v>
      </c>
      <c r="D215" s="1235">
        <f>buildingfinal!C214</f>
        <v>0</v>
      </c>
      <c r="E215" s="1235" t="str">
        <f>buildingfinal!D214</f>
        <v>Sqm.</v>
      </c>
      <c r="F215" s="1235">
        <f t="shared" si="8"/>
        <v>0</v>
      </c>
      <c r="G215" s="1240"/>
      <c r="H215" s="1217"/>
    </row>
    <row r="216" spans="1:8" hidden="1">
      <c r="A216" s="1233">
        <f>buildingfinal!A215</f>
        <v>0</v>
      </c>
      <c r="B216" s="1521">
        <f>buildingfinal!Q215</f>
        <v>0</v>
      </c>
      <c r="C216" s="1239" t="str">
        <f>buildingfinal!B215</f>
        <v>e. In Fourth Floor</v>
      </c>
      <c r="D216" s="1235">
        <f>buildingfinal!C215</f>
        <v>0</v>
      </c>
      <c r="E216" s="1235" t="str">
        <f>buildingfinal!D215</f>
        <v>Sqm.</v>
      </c>
      <c r="F216" s="1235">
        <f t="shared" si="8"/>
        <v>0</v>
      </c>
      <c r="G216" s="1240"/>
      <c r="H216" s="1217"/>
    </row>
    <row r="217" spans="1:8" s="1241" customFormat="1" ht="43.5" hidden="1" customHeight="1">
      <c r="A217" s="1233">
        <f>buildingfinal!A216</f>
        <v>12.1</v>
      </c>
      <c r="B217" s="1521">
        <f>buildingfinal!Q216</f>
        <v>0</v>
      </c>
      <c r="C217" s="1239" t="str">
        <f>buildingfinal!B216</f>
        <v>Brick partition in C.M. 1:4 using country bricks of size 22 x11x5cm 50 mm thick</v>
      </c>
      <c r="D217" s="1235">
        <f>buildingfinal!C216</f>
        <v>0</v>
      </c>
      <c r="E217" s="1235">
        <f>buildingfinal!D216</f>
        <v>0</v>
      </c>
      <c r="F217" s="1235">
        <f t="shared" si="8"/>
        <v>0</v>
      </c>
      <c r="G217" s="1240">
        <f>buildingfinal!R216</f>
        <v>0</v>
      </c>
      <c r="H217" s="1216">
        <f t="shared" ref="H217:H219" si="9">F217-G217</f>
        <v>0</v>
      </c>
    </row>
    <row r="218" spans="1:8" s="1241" customFormat="1" ht="35.25" hidden="1" customHeight="1">
      <c r="A218" s="1233">
        <f>buildingfinal!A217</f>
        <v>0</v>
      </c>
      <c r="B218" s="1521">
        <f>buildingfinal!Q217</f>
        <v>0</v>
      </c>
      <c r="C218" s="1239" t="str">
        <f>buildingfinal!B217</f>
        <v>a. In Ground Floor</v>
      </c>
      <c r="D218" s="1235">
        <f>buildingfinal!C217</f>
        <v>410.58</v>
      </c>
      <c r="E218" s="1235" t="str">
        <f>buildingfinal!D217</f>
        <v>Sqm.</v>
      </c>
      <c r="F218" s="1235">
        <f t="shared" si="8"/>
        <v>0</v>
      </c>
      <c r="G218" s="1240">
        <f>buildingfinal!R217</f>
        <v>0</v>
      </c>
      <c r="H218" s="1216">
        <f t="shared" si="9"/>
        <v>0</v>
      </c>
    </row>
    <row r="219" spans="1:8" s="1241" customFormat="1" ht="35.25" hidden="1" customHeight="1">
      <c r="A219" s="1233">
        <f>buildingfinal!A218</f>
        <v>0</v>
      </c>
      <c r="B219" s="1521">
        <f>buildingfinal!Q218</f>
        <v>0</v>
      </c>
      <c r="C219" s="1239" t="str">
        <f>buildingfinal!B218</f>
        <v>b. In First Floor</v>
      </c>
      <c r="D219" s="1235">
        <f>buildingfinal!C218</f>
        <v>418.88</v>
      </c>
      <c r="E219" s="1235" t="str">
        <f>buildingfinal!D218</f>
        <v>Sqm.</v>
      </c>
      <c r="F219" s="1235">
        <f t="shared" si="8"/>
        <v>0</v>
      </c>
      <c r="G219" s="1240">
        <f>buildingfinal!R218</f>
        <v>0</v>
      </c>
      <c r="H219" s="1216">
        <f t="shared" si="9"/>
        <v>0</v>
      </c>
    </row>
    <row r="220" spans="1:8" s="1241" customFormat="1" ht="17.25" hidden="1">
      <c r="A220" s="1233">
        <f>buildingfinal!A219</f>
        <v>0</v>
      </c>
      <c r="B220" s="1521">
        <f>buildingfinal!Q219</f>
        <v>0</v>
      </c>
      <c r="C220" s="1239" t="str">
        <f>buildingfinal!B219</f>
        <v>c. In Second Floor</v>
      </c>
      <c r="D220" s="1235">
        <f>buildingfinal!C219</f>
        <v>427.18</v>
      </c>
      <c r="E220" s="1235" t="str">
        <f>buildingfinal!D219</f>
        <v>Sqm.</v>
      </c>
      <c r="F220" s="1235">
        <f t="shared" si="8"/>
        <v>0</v>
      </c>
      <c r="G220" s="1240">
        <f>'[2]Abstract '!D220</f>
        <v>362.44</v>
      </c>
      <c r="H220" s="1216">
        <f>'[2]Abstract '!F220</f>
        <v>2029.66</v>
      </c>
    </row>
    <row r="221" spans="1:8" s="1241" customFormat="1" ht="17.25" hidden="1">
      <c r="A221" s="1233">
        <f>buildingfinal!A220</f>
        <v>0</v>
      </c>
      <c r="B221" s="1521">
        <f>buildingfinal!Q220</f>
        <v>0</v>
      </c>
      <c r="C221" s="1239" t="str">
        <f>buildingfinal!B220</f>
        <v>d. In Third Floor</v>
      </c>
      <c r="D221" s="1235">
        <f>buildingfinal!C220</f>
        <v>435.48</v>
      </c>
      <c r="E221" s="1235" t="str">
        <f>buildingfinal!D220</f>
        <v>Sqm.</v>
      </c>
      <c r="F221" s="1235">
        <f t="shared" si="8"/>
        <v>0</v>
      </c>
      <c r="G221" s="1240"/>
    </row>
    <row r="222" spans="1:8" s="1241" customFormat="1" ht="17.25" hidden="1">
      <c r="A222" s="1233">
        <f>buildingfinal!A221</f>
        <v>0</v>
      </c>
      <c r="B222" s="1521">
        <f>buildingfinal!Q221</f>
        <v>0</v>
      </c>
      <c r="C222" s="1239" t="str">
        <f>buildingfinal!B221</f>
        <v>e. In Fourth Floor</v>
      </c>
      <c r="D222" s="1235">
        <f>buildingfinal!C221</f>
        <v>443.78</v>
      </c>
      <c r="E222" s="1235" t="str">
        <f>buildingfinal!D221</f>
        <v>Sqm.</v>
      </c>
      <c r="F222" s="1235">
        <f t="shared" si="8"/>
        <v>0</v>
      </c>
      <c r="G222" s="1240"/>
    </row>
    <row r="223" spans="1:8" s="1241" customFormat="1" ht="45" hidden="1">
      <c r="A223" s="1233">
        <f>buildingfinal!A222</f>
        <v>12.2</v>
      </c>
      <c r="B223" s="1521">
        <f>buildingfinal!Q222</f>
        <v>0</v>
      </c>
      <c r="C223" s="1239" t="str">
        <f>buildingfinal!B222</f>
        <v xml:space="preserve">Brick partition in C.M. 1:4 50 mm tk. (B.P.)
Kiln Burnt Country brick: 23 x 11 x 5 cm 
(9" x 4 1/4" x 2") </v>
      </c>
      <c r="D223" s="1235">
        <f>buildingfinal!C222</f>
        <v>0</v>
      </c>
      <c r="E223" s="1235">
        <f>buildingfinal!D222</f>
        <v>0</v>
      </c>
      <c r="F223" s="1235">
        <f t="shared" si="8"/>
        <v>0</v>
      </c>
      <c r="G223" s="1240"/>
    </row>
    <row r="224" spans="1:8" hidden="1">
      <c r="A224" s="1233">
        <f>buildingfinal!A223</f>
        <v>0</v>
      </c>
      <c r="B224" s="1521">
        <f>buildingfinal!Q223</f>
        <v>0</v>
      </c>
      <c r="C224" s="1239" t="str">
        <f>buildingfinal!B223</f>
        <v>a. In Ground Floor</v>
      </c>
      <c r="D224" s="1235">
        <f>buildingfinal!C223</f>
        <v>0</v>
      </c>
      <c r="E224" s="1235" t="str">
        <f>buildingfinal!D223</f>
        <v>Sqm.</v>
      </c>
      <c r="F224" s="1235">
        <f t="shared" si="8"/>
        <v>0</v>
      </c>
      <c r="G224" s="1240"/>
      <c r="H224" s="1217"/>
    </row>
    <row r="225" spans="1:8" hidden="1">
      <c r="A225" s="1233">
        <f>buildingfinal!A224</f>
        <v>0</v>
      </c>
      <c r="B225" s="1521">
        <f>buildingfinal!Q224</f>
        <v>0</v>
      </c>
      <c r="C225" s="1239" t="str">
        <f>buildingfinal!B224</f>
        <v>b. In First Floor</v>
      </c>
      <c r="D225" s="1235">
        <f>buildingfinal!C224</f>
        <v>0</v>
      </c>
      <c r="E225" s="1235" t="str">
        <f>buildingfinal!D224</f>
        <v>Sqm.</v>
      </c>
      <c r="F225" s="1235">
        <f t="shared" si="8"/>
        <v>0</v>
      </c>
      <c r="G225" s="1240"/>
      <c r="H225" s="1217"/>
    </row>
    <row r="226" spans="1:8" hidden="1">
      <c r="A226" s="1233">
        <f>buildingfinal!A225</f>
        <v>0</v>
      </c>
      <c r="B226" s="1521">
        <f>buildingfinal!Q225</f>
        <v>0</v>
      </c>
      <c r="C226" s="1239" t="str">
        <f>buildingfinal!B225</f>
        <v>c. In Second Floor</v>
      </c>
      <c r="D226" s="1235">
        <f>buildingfinal!C225</f>
        <v>0</v>
      </c>
      <c r="E226" s="1235" t="str">
        <f>buildingfinal!D225</f>
        <v>Sqm.</v>
      </c>
      <c r="F226" s="1235">
        <f t="shared" si="8"/>
        <v>0</v>
      </c>
      <c r="G226" s="1240"/>
      <c r="H226" s="1217"/>
    </row>
    <row r="227" spans="1:8" hidden="1">
      <c r="A227" s="1233">
        <f>buildingfinal!A226</f>
        <v>0</v>
      </c>
      <c r="B227" s="1521">
        <f>buildingfinal!Q226</f>
        <v>0</v>
      </c>
      <c r="C227" s="1239" t="str">
        <f>buildingfinal!B226</f>
        <v>d. In Third Floor</v>
      </c>
      <c r="D227" s="1235">
        <f>buildingfinal!C226</f>
        <v>0</v>
      </c>
      <c r="E227" s="1235" t="str">
        <f>buildingfinal!D226</f>
        <v>Sqm.</v>
      </c>
      <c r="F227" s="1235">
        <f t="shared" si="8"/>
        <v>0</v>
      </c>
      <c r="G227" s="1240"/>
      <c r="H227" s="1217"/>
    </row>
    <row r="228" spans="1:8" hidden="1">
      <c r="A228" s="1233">
        <f>buildingfinal!A227</f>
        <v>0</v>
      </c>
      <c r="B228" s="1521">
        <f>buildingfinal!Q227</f>
        <v>0</v>
      </c>
      <c r="C228" s="1239" t="str">
        <f>buildingfinal!B227</f>
        <v>e. In Fourth Floor</v>
      </c>
      <c r="D228" s="1235">
        <f>buildingfinal!C227</f>
        <v>0</v>
      </c>
      <c r="E228" s="1235" t="str">
        <f>buildingfinal!D227</f>
        <v>Sqm.</v>
      </c>
      <c r="F228" s="1235">
        <f t="shared" si="8"/>
        <v>0</v>
      </c>
      <c r="G228" s="1240"/>
      <c r="H228" s="1217"/>
    </row>
    <row r="229" spans="1:8" hidden="1">
      <c r="A229" s="1233">
        <f>buildingfinal!A228</f>
        <v>0</v>
      </c>
      <c r="B229" s="1521">
        <f>buildingfinal!Q228</f>
        <v>0</v>
      </c>
      <c r="C229" s="1239">
        <f>buildingfinal!B228</f>
        <v>0</v>
      </c>
      <c r="D229" s="1235">
        <f>buildingfinal!C228</f>
        <v>0</v>
      </c>
      <c r="E229" s="1235">
        <f>buildingfinal!D228</f>
        <v>0</v>
      </c>
      <c r="F229" s="1235">
        <f t="shared" si="8"/>
        <v>0</v>
      </c>
      <c r="G229" s="1240"/>
      <c r="H229" s="1217"/>
    </row>
    <row r="230" spans="1:8" s="1241" customFormat="1" ht="35.25" customHeight="1">
      <c r="A230" s="1233">
        <f>buildingfinal!A229</f>
        <v>13.1</v>
      </c>
      <c r="B230" s="1521">
        <f>buildingfinal!Q229</f>
        <v>104.9</v>
      </c>
      <c r="C230" s="1239" t="str">
        <f>buildingfinal!B229</f>
        <v>Filling with Excavated Earth</v>
      </c>
      <c r="D230" s="1235">
        <f>buildingfinal!C229</f>
        <v>40.65</v>
      </c>
      <c r="E230" s="1235" t="str">
        <f>buildingfinal!D229</f>
        <v>Cum.</v>
      </c>
      <c r="F230" s="1235">
        <f t="shared" si="8"/>
        <v>4264.1899999999996</v>
      </c>
      <c r="G230" s="1240">
        <f>buildingfinal!R229</f>
        <v>4264.1899999999996</v>
      </c>
      <c r="H230" s="1216">
        <f>F230-G230</f>
        <v>0</v>
      </c>
    </row>
    <row r="231" spans="1:8" s="1241" customFormat="1" ht="30" hidden="1">
      <c r="A231" s="1233">
        <f>buildingfinal!A230</f>
        <v>13.2</v>
      </c>
      <c r="B231" s="1521">
        <f>buildingfinal!Q230</f>
        <v>0</v>
      </c>
      <c r="C231" s="1239" t="str">
        <f>buildingfinal!B230</f>
        <v>Filling with Excavated Earth Mixed with lime in the proporation 1:4 (one of lime &amp; four of earth)</v>
      </c>
      <c r="D231" s="1235">
        <f>buildingfinal!C230</f>
        <v>0</v>
      </c>
      <c r="E231" s="1235" t="str">
        <f>buildingfinal!D230</f>
        <v>Cum.</v>
      </c>
      <c r="F231" s="1235">
        <f t="shared" si="8"/>
        <v>0</v>
      </c>
      <c r="G231" s="1240"/>
    </row>
    <row r="232" spans="1:8" s="1241" customFormat="1" ht="17.25" hidden="1">
      <c r="A232" s="1233" t="str">
        <f>buildingfinal!A231</f>
        <v>14.I</v>
      </c>
      <c r="B232" s="1521">
        <f>buildingfinal!Q231</f>
        <v>0</v>
      </c>
      <c r="C232" s="1239" t="str">
        <f>buildingfinal!B231</f>
        <v>Precast Cupboard slab 20 mm tk.</v>
      </c>
      <c r="D232" s="1235">
        <f>buildingfinal!C231</f>
        <v>0</v>
      </c>
      <c r="E232" s="1235">
        <f>buildingfinal!D231</f>
        <v>0</v>
      </c>
      <c r="F232" s="1235">
        <f t="shared" si="8"/>
        <v>0</v>
      </c>
      <c r="G232" s="1240"/>
    </row>
    <row r="233" spans="1:8" s="1241" customFormat="1" ht="17.25" hidden="1">
      <c r="A233" s="1233">
        <f>buildingfinal!A232</f>
        <v>0</v>
      </c>
      <c r="B233" s="1521">
        <f>buildingfinal!Q232</f>
        <v>0</v>
      </c>
      <c r="C233" s="1239" t="str">
        <f>buildingfinal!B232</f>
        <v>a. In Ground floor</v>
      </c>
      <c r="D233" s="1235">
        <f>buildingfinal!C232</f>
        <v>1537.62</v>
      </c>
      <c r="E233" s="1235" t="str">
        <f>buildingfinal!D232</f>
        <v>Sqm.</v>
      </c>
      <c r="F233" s="1235">
        <f t="shared" si="8"/>
        <v>0</v>
      </c>
      <c r="G233" s="1240"/>
    </row>
    <row r="234" spans="1:8" s="1241" customFormat="1" ht="17.25" hidden="1">
      <c r="A234" s="1233">
        <f>buildingfinal!A233</f>
        <v>0</v>
      </c>
      <c r="B234" s="1521">
        <f>buildingfinal!Q233</f>
        <v>0</v>
      </c>
      <c r="C234" s="1239" t="str">
        <f>buildingfinal!B233</f>
        <v>b. In First floor</v>
      </c>
      <c r="D234" s="1235">
        <f>buildingfinal!C233</f>
        <v>1542.59</v>
      </c>
      <c r="E234" s="1235" t="str">
        <f>buildingfinal!D233</f>
        <v>Sqm.</v>
      </c>
      <c r="F234" s="1235">
        <f t="shared" si="8"/>
        <v>0</v>
      </c>
      <c r="G234" s="1240"/>
    </row>
    <row r="235" spans="1:8" s="1241" customFormat="1" ht="17.25" hidden="1">
      <c r="A235" s="1233">
        <f>buildingfinal!A234</f>
        <v>0</v>
      </c>
      <c r="B235" s="1521">
        <f>buildingfinal!Q234</f>
        <v>0</v>
      </c>
      <c r="C235" s="1239" t="str">
        <f>buildingfinal!B234</f>
        <v>c. In Second floor</v>
      </c>
      <c r="D235" s="1235">
        <f>buildingfinal!C234</f>
        <v>1547.56</v>
      </c>
      <c r="E235" s="1235" t="str">
        <f>buildingfinal!D234</f>
        <v>Sqm.</v>
      </c>
      <c r="F235" s="1235">
        <f t="shared" si="8"/>
        <v>0</v>
      </c>
      <c r="G235" s="1240"/>
    </row>
    <row r="236" spans="1:8" hidden="1">
      <c r="A236" s="1233">
        <f>buildingfinal!A235</f>
        <v>0</v>
      </c>
      <c r="B236" s="1521">
        <f>buildingfinal!Q235</f>
        <v>0</v>
      </c>
      <c r="C236" s="1239" t="str">
        <f>buildingfinal!B235</f>
        <v>d. In Third floor</v>
      </c>
      <c r="D236" s="1235">
        <f>buildingfinal!C235</f>
        <v>1552.53</v>
      </c>
      <c r="E236" s="1235" t="str">
        <f>buildingfinal!D235</f>
        <v>Sqm.</v>
      </c>
      <c r="F236" s="1235">
        <f t="shared" si="8"/>
        <v>0</v>
      </c>
      <c r="G236" s="1240"/>
      <c r="H236" s="1217"/>
    </row>
    <row r="237" spans="1:8" s="1241" customFormat="1" ht="17.25" hidden="1">
      <c r="A237" s="1233">
        <f>buildingfinal!A236</f>
        <v>0</v>
      </c>
      <c r="B237" s="1521">
        <f>buildingfinal!Q236</f>
        <v>0</v>
      </c>
      <c r="C237" s="1239" t="str">
        <f>buildingfinal!B236</f>
        <v>e.  In Fourth floor</v>
      </c>
      <c r="D237" s="1235">
        <f>buildingfinal!C236</f>
        <v>1557.5</v>
      </c>
      <c r="E237" s="1235" t="str">
        <f>buildingfinal!D236</f>
        <v>Sqm.</v>
      </c>
      <c r="F237" s="1235">
        <f t="shared" si="8"/>
        <v>0</v>
      </c>
      <c r="G237" s="1240"/>
    </row>
    <row r="238" spans="1:8" s="1241" customFormat="1" ht="17.25" hidden="1">
      <c r="A238" s="1233">
        <f>buildingfinal!A237</f>
        <v>0</v>
      </c>
      <c r="B238" s="1521">
        <f>buildingfinal!Q237</f>
        <v>0</v>
      </c>
      <c r="C238" s="1239" t="str">
        <f>buildingfinal!B237</f>
        <v>f.  In Fifth floor</v>
      </c>
      <c r="D238" s="1235">
        <f>buildingfinal!C237</f>
        <v>1562.47</v>
      </c>
      <c r="E238" s="1235" t="str">
        <f>buildingfinal!D237</f>
        <v>Sqm.</v>
      </c>
      <c r="F238" s="1235">
        <f t="shared" si="8"/>
        <v>0</v>
      </c>
      <c r="G238" s="1240"/>
    </row>
    <row r="239" spans="1:8" s="1241" customFormat="1" ht="17.25" hidden="1">
      <c r="A239" s="1233">
        <f>buildingfinal!A238</f>
        <v>0</v>
      </c>
      <c r="B239" s="1521">
        <f>buildingfinal!Q238</f>
        <v>0</v>
      </c>
      <c r="C239" s="1239" t="str">
        <f>buildingfinal!B238</f>
        <v>g.  In sixth floor</v>
      </c>
      <c r="D239" s="1235">
        <f>buildingfinal!C238</f>
        <v>1567.44</v>
      </c>
      <c r="E239" s="1235" t="str">
        <f>buildingfinal!D238</f>
        <v>Sqm.</v>
      </c>
      <c r="F239" s="1235">
        <f t="shared" si="8"/>
        <v>0</v>
      </c>
      <c r="G239" s="1240"/>
    </row>
    <row r="240" spans="1:8" s="1241" customFormat="1" ht="17.25" hidden="1">
      <c r="A240" s="1233">
        <f>buildingfinal!A239</f>
        <v>0</v>
      </c>
      <c r="B240" s="1521">
        <f>buildingfinal!Q239</f>
        <v>0</v>
      </c>
      <c r="C240" s="1239" t="str">
        <f>buildingfinal!B239</f>
        <v>h.  In seventh floor</v>
      </c>
      <c r="D240" s="1235">
        <f>buildingfinal!C239</f>
        <v>1572.41</v>
      </c>
      <c r="E240" s="1235" t="str">
        <f>buildingfinal!D239</f>
        <v>Sqm.</v>
      </c>
      <c r="F240" s="1235">
        <f t="shared" si="8"/>
        <v>0</v>
      </c>
      <c r="G240" s="1240"/>
    </row>
    <row r="241" spans="1:7" s="1241" customFormat="1" ht="17.25" hidden="1">
      <c r="A241" s="1233">
        <f>buildingfinal!A240</f>
        <v>0</v>
      </c>
      <c r="B241" s="1521">
        <f>buildingfinal!Q240</f>
        <v>0</v>
      </c>
      <c r="C241" s="1239" t="str">
        <f>buildingfinal!B240</f>
        <v>i.  In eighth floor</v>
      </c>
      <c r="D241" s="1235">
        <f>buildingfinal!C240</f>
        <v>1577.38</v>
      </c>
      <c r="E241" s="1235" t="str">
        <f>buildingfinal!D240</f>
        <v>Sqm.</v>
      </c>
      <c r="F241" s="1235">
        <f t="shared" si="8"/>
        <v>0</v>
      </c>
      <c r="G241" s="1240"/>
    </row>
    <row r="242" spans="1:7" s="1241" customFormat="1" ht="17.25" hidden="1">
      <c r="A242" s="1233">
        <f>buildingfinal!A241</f>
        <v>0</v>
      </c>
      <c r="B242" s="1521">
        <f>buildingfinal!Q241</f>
        <v>0</v>
      </c>
      <c r="C242" s="1239" t="str">
        <f>buildingfinal!B241</f>
        <v>j.  In Ninth floor</v>
      </c>
      <c r="D242" s="1235">
        <f>buildingfinal!C241</f>
        <v>1582.35</v>
      </c>
      <c r="E242" s="1235" t="str">
        <f>buildingfinal!D241</f>
        <v>Sqm.</v>
      </c>
      <c r="F242" s="1235">
        <f t="shared" si="8"/>
        <v>0</v>
      </c>
      <c r="G242" s="1240"/>
    </row>
    <row r="243" spans="1:7" s="1241" customFormat="1" ht="17.25" hidden="1">
      <c r="A243" s="1233">
        <f>buildingfinal!A242</f>
        <v>0</v>
      </c>
      <c r="B243" s="1521">
        <f>buildingfinal!Q242</f>
        <v>0</v>
      </c>
      <c r="C243" s="1239" t="str">
        <f>buildingfinal!B242</f>
        <v>k.  In Tenth floor</v>
      </c>
      <c r="D243" s="1235">
        <f>buildingfinal!C242</f>
        <v>1587.32</v>
      </c>
      <c r="E243" s="1235" t="str">
        <f>buildingfinal!D242</f>
        <v>Sqm.</v>
      </c>
      <c r="F243" s="1235">
        <f t="shared" si="8"/>
        <v>0</v>
      </c>
      <c r="G243" s="1240"/>
    </row>
    <row r="244" spans="1:7" s="1241" customFormat="1" ht="17.25" hidden="1">
      <c r="A244" s="1233">
        <f>buildingfinal!A243</f>
        <v>0</v>
      </c>
      <c r="B244" s="1521">
        <f>buildingfinal!Q243</f>
        <v>0</v>
      </c>
      <c r="C244" s="1239" t="str">
        <f>buildingfinal!B243</f>
        <v>l.  In Eleventh floor</v>
      </c>
      <c r="D244" s="1235">
        <f>buildingfinal!C243</f>
        <v>1592.29</v>
      </c>
      <c r="E244" s="1235" t="str">
        <f>buildingfinal!D243</f>
        <v>Sqm.</v>
      </c>
      <c r="F244" s="1235">
        <f t="shared" si="8"/>
        <v>0</v>
      </c>
      <c r="G244" s="1240"/>
    </row>
    <row r="245" spans="1:7" s="1241" customFormat="1" ht="17.25" hidden="1">
      <c r="A245" s="1233" t="str">
        <f>buildingfinal!A244</f>
        <v>14.II</v>
      </c>
      <c r="B245" s="1521">
        <f>buildingfinal!Q244</f>
        <v>0</v>
      </c>
      <c r="C245" s="1239" t="str">
        <f>buildingfinal!B244</f>
        <v>Precast cupboard slab 40 mm tk.</v>
      </c>
      <c r="D245" s="1235">
        <f>buildingfinal!C244</f>
        <v>0</v>
      </c>
      <c r="E245" s="1235">
        <f>buildingfinal!D244</f>
        <v>0</v>
      </c>
      <c r="F245" s="1235">
        <f t="shared" si="8"/>
        <v>0</v>
      </c>
      <c r="G245" s="1240"/>
    </row>
    <row r="246" spans="1:7" s="1241" customFormat="1" ht="17.25" hidden="1">
      <c r="A246" s="1233">
        <f>buildingfinal!A245</f>
        <v>0</v>
      </c>
      <c r="B246" s="1521">
        <f>buildingfinal!Q245</f>
        <v>0</v>
      </c>
      <c r="C246" s="1239" t="str">
        <f>buildingfinal!B245</f>
        <v>a. In Foundation &amp; basement</v>
      </c>
      <c r="D246" s="1235">
        <f>buildingfinal!C245</f>
        <v>1683</v>
      </c>
      <c r="E246" s="1235" t="str">
        <f>buildingfinal!D245</f>
        <v>Sqm.</v>
      </c>
      <c r="F246" s="1235">
        <f t="shared" si="8"/>
        <v>0</v>
      </c>
      <c r="G246" s="1240"/>
    </row>
    <row r="247" spans="1:7" s="1241" customFormat="1" ht="17.25" hidden="1">
      <c r="A247" s="1233">
        <f>buildingfinal!A246</f>
        <v>0</v>
      </c>
      <c r="B247" s="1521">
        <f>buildingfinal!Q246</f>
        <v>0</v>
      </c>
      <c r="C247" s="1239" t="str">
        <f>buildingfinal!B246</f>
        <v>b. In Ground floor</v>
      </c>
      <c r="D247" s="1235">
        <f>buildingfinal!C246</f>
        <v>1688.05</v>
      </c>
      <c r="E247" s="1235" t="str">
        <f>buildingfinal!D246</f>
        <v>Sqm.</v>
      </c>
      <c r="F247" s="1235">
        <f t="shared" si="8"/>
        <v>0</v>
      </c>
      <c r="G247" s="1240"/>
    </row>
    <row r="248" spans="1:7" s="1241" customFormat="1" ht="17.25" hidden="1">
      <c r="A248" s="1233">
        <f>buildingfinal!A247</f>
        <v>0</v>
      </c>
      <c r="B248" s="1521">
        <f>buildingfinal!Q247</f>
        <v>0</v>
      </c>
      <c r="C248" s="1239" t="str">
        <f>buildingfinal!B247</f>
        <v>c. In First floor</v>
      </c>
      <c r="D248" s="1235">
        <f>buildingfinal!C247</f>
        <v>1697.99</v>
      </c>
      <c r="E248" s="1235" t="str">
        <f>buildingfinal!D247</f>
        <v>Sqm.</v>
      </c>
      <c r="F248" s="1235">
        <f t="shared" si="8"/>
        <v>0</v>
      </c>
      <c r="G248" s="1240"/>
    </row>
    <row r="249" spans="1:7" s="1241" customFormat="1" ht="17.25" hidden="1">
      <c r="A249" s="1233">
        <f>buildingfinal!A248</f>
        <v>0</v>
      </c>
      <c r="B249" s="1521">
        <f>buildingfinal!Q248</f>
        <v>0</v>
      </c>
      <c r="C249" s="1239" t="str">
        <f>buildingfinal!B248</f>
        <v>d. In Second floor</v>
      </c>
      <c r="D249" s="1235">
        <f>buildingfinal!C248</f>
        <v>1707.93</v>
      </c>
      <c r="E249" s="1235" t="str">
        <f>buildingfinal!D248</f>
        <v>Sqm.</v>
      </c>
      <c r="F249" s="1235">
        <f t="shared" si="8"/>
        <v>0</v>
      </c>
      <c r="G249" s="1240"/>
    </row>
    <row r="250" spans="1:7" s="1241" customFormat="1" ht="17.25" hidden="1">
      <c r="A250" s="1233">
        <f>buildingfinal!A249</f>
        <v>0</v>
      </c>
      <c r="B250" s="1521">
        <f>buildingfinal!Q249</f>
        <v>0</v>
      </c>
      <c r="C250" s="1239" t="str">
        <f>buildingfinal!B249</f>
        <v>e. In Third floor</v>
      </c>
      <c r="D250" s="1235">
        <f>buildingfinal!C249</f>
        <v>1717.87</v>
      </c>
      <c r="E250" s="1235" t="str">
        <f>buildingfinal!D249</f>
        <v>Sqm.</v>
      </c>
      <c r="F250" s="1235">
        <f t="shared" si="8"/>
        <v>0</v>
      </c>
      <c r="G250" s="1240"/>
    </row>
    <row r="251" spans="1:7" s="1241" customFormat="1" ht="17.25" hidden="1">
      <c r="A251" s="1233">
        <f>buildingfinal!A250</f>
        <v>0</v>
      </c>
      <c r="B251" s="1521">
        <f>buildingfinal!Q250</f>
        <v>0</v>
      </c>
      <c r="C251" s="1239" t="str">
        <f>buildingfinal!B250</f>
        <v>f.  In Fourth floor</v>
      </c>
      <c r="D251" s="1235">
        <f>buildingfinal!C250</f>
        <v>1727.81</v>
      </c>
      <c r="E251" s="1235" t="str">
        <f>buildingfinal!D250</f>
        <v>Sqm.</v>
      </c>
      <c r="F251" s="1235">
        <f t="shared" si="8"/>
        <v>0</v>
      </c>
      <c r="G251" s="1240"/>
    </row>
    <row r="252" spans="1:7" s="1241" customFormat="1" ht="17.25" hidden="1">
      <c r="A252" s="1233">
        <f>buildingfinal!A251</f>
        <v>15.1</v>
      </c>
      <c r="B252" s="1521">
        <f>buildingfinal!Q251</f>
        <v>0</v>
      </c>
      <c r="C252" s="1239" t="str">
        <f>buildingfinal!B251</f>
        <v>Cuddappa slab 20 mm tk.</v>
      </c>
      <c r="D252" s="1235">
        <f>buildingfinal!C251</f>
        <v>0</v>
      </c>
      <c r="E252" s="1235">
        <f>buildingfinal!D251</f>
        <v>0</v>
      </c>
      <c r="F252" s="1235">
        <f t="shared" si="8"/>
        <v>0</v>
      </c>
      <c r="G252" s="1240"/>
    </row>
    <row r="253" spans="1:7" s="1241" customFormat="1" ht="17.25" hidden="1">
      <c r="A253" s="1233">
        <f>buildingfinal!A252</f>
        <v>0</v>
      </c>
      <c r="B253" s="1521">
        <f>buildingfinal!Q252</f>
        <v>0</v>
      </c>
      <c r="C253" s="1239" t="str">
        <f>buildingfinal!B252</f>
        <v>a. In Ground floor</v>
      </c>
      <c r="D253" s="1235">
        <f>buildingfinal!C252</f>
        <v>563.35</v>
      </c>
      <c r="E253" s="1235" t="str">
        <f>buildingfinal!D252</f>
        <v>Sqm.</v>
      </c>
      <c r="F253" s="1235">
        <f t="shared" si="8"/>
        <v>0</v>
      </c>
      <c r="G253" s="1240"/>
    </row>
    <row r="254" spans="1:7" s="1241" customFormat="1" ht="17.25" hidden="1">
      <c r="A254" s="1233">
        <f>buildingfinal!A253</f>
        <v>0</v>
      </c>
      <c r="B254" s="1521">
        <f>buildingfinal!Q253</f>
        <v>0</v>
      </c>
      <c r="C254" s="1239" t="str">
        <f>buildingfinal!B253</f>
        <v>b. In First floor</v>
      </c>
      <c r="D254" s="1235">
        <f>buildingfinal!C253</f>
        <v>568.27</v>
      </c>
      <c r="E254" s="1235" t="str">
        <f>buildingfinal!D253</f>
        <v>Sqm.</v>
      </c>
      <c r="F254" s="1235">
        <f t="shared" si="8"/>
        <v>0</v>
      </c>
      <c r="G254" s="1240"/>
    </row>
    <row r="255" spans="1:7" s="1241" customFormat="1" ht="17.25" hidden="1">
      <c r="A255" s="1233">
        <f>buildingfinal!A254</f>
        <v>0</v>
      </c>
      <c r="B255" s="1521">
        <f>buildingfinal!Q254</f>
        <v>0</v>
      </c>
      <c r="C255" s="1239" t="str">
        <f>buildingfinal!B254</f>
        <v>c. In Second floor</v>
      </c>
      <c r="D255" s="1235">
        <f>buildingfinal!C254</f>
        <v>573.19000000000005</v>
      </c>
      <c r="E255" s="1235" t="str">
        <f>buildingfinal!D254</f>
        <v>Sqm.</v>
      </c>
      <c r="F255" s="1235">
        <f t="shared" si="8"/>
        <v>0</v>
      </c>
      <c r="G255" s="1240"/>
    </row>
    <row r="256" spans="1:7" s="1241" customFormat="1" ht="17.25" hidden="1">
      <c r="A256" s="1233">
        <f>buildingfinal!A255</f>
        <v>0</v>
      </c>
      <c r="B256" s="1521">
        <f>buildingfinal!Q255</f>
        <v>0</v>
      </c>
      <c r="C256" s="1239" t="str">
        <f>buildingfinal!B255</f>
        <v>d. In Third floor</v>
      </c>
      <c r="D256" s="1235">
        <f>buildingfinal!C255</f>
        <v>578.11</v>
      </c>
      <c r="E256" s="1235" t="str">
        <f>buildingfinal!D255</f>
        <v>Sqm.</v>
      </c>
      <c r="F256" s="1235">
        <f t="shared" si="8"/>
        <v>0</v>
      </c>
      <c r="G256" s="1240"/>
    </row>
    <row r="257" spans="1:8" s="1241" customFormat="1" ht="17.25" hidden="1">
      <c r="A257" s="1233">
        <f>buildingfinal!A256</f>
        <v>0</v>
      </c>
      <c r="B257" s="1521">
        <f>buildingfinal!Q256</f>
        <v>0</v>
      </c>
      <c r="C257" s="1239" t="str">
        <f>buildingfinal!B256</f>
        <v>e.  In Fourth floor</v>
      </c>
      <c r="D257" s="1235">
        <f>buildingfinal!C256</f>
        <v>583.03</v>
      </c>
      <c r="E257" s="1235" t="str">
        <f>buildingfinal!D256</f>
        <v>Sqm.</v>
      </c>
      <c r="F257" s="1235">
        <f t="shared" si="8"/>
        <v>0</v>
      </c>
      <c r="G257" s="1240"/>
    </row>
    <row r="258" spans="1:8" hidden="1">
      <c r="A258" s="1233">
        <f>buildingfinal!A257</f>
        <v>15.2</v>
      </c>
      <c r="B258" s="1521">
        <f>buildingfinal!Q257</f>
        <v>0</v>
      </c>
      <c r="C258" s="1239" t="str">
        <f>buildingfinal!B257</f>
        <v>Cuddappa slab 40 mm tk.</v>
      </c>
      <c r="D258" s="1235">
        <f>buildingfinal!C257</f>
        <v>0</v>
      </c>
      <c r="E258" s="1235">
        <f>buildingfinal!D257</f>
        <v>0</v>
      </c>
      <c r="F258" s="1235">
        <f t="shared" si="8"/>
        <v>0</v>
      </c>
      <c r="G258" s="1240"/>
      <c r="H258" s="1217"/>
    </row>
    <row r="259" spans="1:8" hidden="1">
      <c r="A259" s="1233">
        <f>buildingfinal!A258</f>
        <v>0</v>
      </c>
      <c r="B259" s="1521">
        <f>buildingfinal!Q258</f>
        <v>0</v>
      </c>
      <c r="C259" s="1239" t="str">
        <f>buildingfinal!B258</f>
        <v>a. In Ground floor</v>
      </c>
      <c r="D259" s="1235">
        <f>buildingfinal!C258</f>
        <v>2142.63</v>
      </c>
      <c r="E259" s="1235" t="str">
        <f>buildingfinal!D258</f>
        <v>Sqm.</v>
      </c>
      <c r="F259" s="1235">
        <f t="shared" si="8"/>
        <v>0</v>
      </c>
      <c r="G259" s="1240"/>
      <c r="H259" s="1217"/>
    </row>
    <row r="260" spans="1:8" hidden="1">
      <c r="A260" s="1233">
        <f>buildingfinal!A259</f>
        <v>0</v>
      </c>
      <c r="B260" s="1521">
        <f>buildingfinal!Q259</f>
        <v>0</v>
      </c>
      <c r="C260" s="1239" t="str">
        <f>buildingfinal!B259</f>
        <v>b. In First floor</v>
      </c>
      <c r="D260" s="1235">
        <f>buildingfinal!C259</f>
        <v>2152.48</v>
      </c>
      <c r="E260" s="1235" t="str">
        <f>buildingfinal!D259</f>
        <v>Sqm.</v>
      </c>
      <c r="F260" s="1235">
        <f t="shared" si="8"/>
        <v>0</v>
      </c>
      <c r="G260" s="1240"/>
      <c r="H260" s="1217"/>
    </row>
    <row r="261" spans="1:8" hidden="1">
      <c r="A261" s="1233">
        <f>buildingfinal!A260</f>
        <v>0</v>
      </c>
      <c r="B261" s="1521">
        <f>buildingfinal!Q260</f>
        <v>0</v>
      </c>
      <c r="C261" s="1239" t="str">
        <f>buildingfinal!B260</f>
        <v>c. In Second floor</v>
      </c>
      <c r="D261" s="1235">
        <f>buildingfinal!C260</f>
        <v>2162.33</v>
      </c>
      <c r="E261" s="1235" t="str">
        <f>buildingfinal!D260</f>
        <v>Sqm.</v>
      </c>
      <c r="F261" s="1235">
        <f t="shared" si="8"/>
        <v>0</v>
      </c>
      <c r="G261" s="1240"/>
      <c r="H261" s="1217"/>
    </row>
    <row r="262" spans="1:8" hidden="1">
      <c r="A262" s="1233">
        <f>buildingfinal!A261</f>
        <v>0</v>
      </c>
      <c r="B262" s="1521">
        <f>buildingfinal!Q261</f>
        <v>0</v>
      </c>
      <c r="C262" s="1239" t="str">
        <f>buildingfinal!B261</f>
        <v>d. In Third floor</v>
      </c>
      <c r="D262" s="1235">
        <f>buildingfinal!C261</f>
        <v>2172.1799999999998</v>
      </c>
      <c r="E262" s="1235" t="str">
        <f>buildingfinal!D261</f>
        <v>Sqm.</v>
      </c>
      <c r="F262" s="1235">
        <f t="shared" si="8"/>
        <v>0</v>
      </c>
      <c r="G262" s="1240"/>
      <c r="H262" s="1217"/>
    </row>
    <row r="263" spans="1:8" s="1241" customFormat="1" ht="17.25" hidden="1">
      <c r="A263" s="1233">
        <f>buildingfinal!A262</f>
        <v>0</v>
      </c>
      <c r="B263" s="1521">
        <f>buildingfinal!Q262</f>
        <v>0</v>
      </c>
      <c r="C263" s="1239" t="str">
        <f>buildingfinal!B262</f>
        <v>e.  In Fourth floor</v>
      </c>
      <c r="D263" s="1235">
        <f>buildingfinal!C262</f>
        <v>2182.0300000000002</v>
      </c>
      <c r="E263" s="1235" t="str">
        <f>buildingfinal!D262</f>
        <v>Sqm.</v>
      </c>
      <c r="F263" s="1235">
        <f t="shared" si="8"/>
        <v>0</v>
      </c>
      <c r="G263" s="1240"/>
    </row>
    <row r="264" spans="1:8" hidden="1">
      <c r="A264" s="1233">
        <f>buildingfinal!A263</f>
        <v>16.100000000000001</v>
      </c>
      <c r="B264" s="1521">
        <f>buildingfinal!Q263</f>
        <v>0</v>
      </c>
      <c r="C264" s="1239" t="str">
        <f>buildingfinal!B263</f>
        <v>Precast Jally ventilator 50mm tk.</v>
      </c>
      <c r="D264" s="1235">
        <f>buildingfinal!C263</f>
        <v>0</v>
      </c>
      <c r="E264" s="1235">
        <f>buildingfinal!D263</f>
        <v>0</v>
      </c>
      <c r="F264" s="1235">
        <f t="shared" ref="F264:F327" si="10">D264*B264</f>
        <v>0</v>
      </c>
      <c r="G264" s="1240"/>
      <c r="H264" s="1217"/>
    </row>
    <row r="265" spans="1:8" hidden="1">
      <c r="A265" s="1233">
        <f>buildingfinal!A264</f>
        <v>0</v>
      </c>
      <c r="B265" s="1521">
        <f>buildingfinal!Q264</f>
        <v>0</v>
      </c>
      <c r="C265" s="1239" t="str">
        <f>buildingfinal!B264</f>
        <v>a. In Ground Floor</v>
      </c>
      <c r="D265" s="1235">
        <f>buildingfinal!C264</f>
        <v>3079.3</v>
      </c>
      <c r="E265" s="1235" t="str">
        <f>buildingfinal!D264</f>
        <v>Sqm.</v>
      </c>
      <c r="F265" s="1235">
        <f t="shared" si="10"/>
        <v>0</v>
      </c>
      <c r="G265" s="1240"/>
      <c r="H265" s="1217"/>
    </row>
    <row r="266" spans="1:8" hidden="1">
      <c r="A266" s="1233">
        <f>buildingfinal!A265</f>
        <v>0</v>
      </c>
      <c r="B266" s="1521">
        <f>buildingfinal!Q265</f>
        <v>0</v>
      </c>
      <c r="C266" s="1239" t="str">
        <f>buildingfinal!B265</f>
        <v>b. In First floor</v>
      </c>
      <c r="D266" s="1235">
        <f>buildingfinal!C265</f>
        <v>3088.56</v>
      </c>
      <c r="E266" s="1235" t="str">
        <f>buildingfinal!D265</f>
        <v>Sqm.</v>
      </c>
      <c r="F266" s="1235">
        <f t="shared" si="10"/>
        <v>0</v>
      </c>
      <c r="G266" s="1240"/>
      <c r="H266" s="1217"/>
    </row>
    <row r="267" spans="1:8" hidden="1">
      <c r="A267" s="1233">
        <f>buildingfinal!A266</f>
        <v>0</v>
      </c>
      <c r="B267" s="1521">
        <f>buildingfinal!Q266</f>
        <v>0</v>
      </c>
      <c r="C267" s="1239" t="str">
        <f>buildingfinal!B266</f>
        <v>c. In Second floor</v>
      </c>
      <c r="D267" s="1235">
        <f>buildingfinal!C266</f>
        <v>3097.82</v>
      </c>
      <c r="E267" s="1235" t="str">
        <f>buildingfinal!D266</f>
        <v>Sqm.</v>
      </c>
      <c r="F267" s="1235">
        <f t="shared" si="10"/>
        <v>0</v>
      </c>
      <c r="G267" s="1240"/>
      <c r="H267" s="1217"/>
    </row>
    <row r="268" spans="1:8" hidden="1">
      <c r="A268" s="1233">
        <f>buildingfinal!A267</f>
        <v>0</v>
      </c>
      <c r="B268" s="1521">
        <f>buildingfinal!Q267</f>
        <v>0</v>
      </c>
      <c r="C268" s="1239" t="str">
        <f>buildingfinal!B267</f>
        <v>d. In Third floor</v>
      </c>
      <c r="D268" s="1235">
        <f>buildingfinal!C267</f>
        <v>3107.08</v>
      </c>
      <c r="E268" s="1235" t="str">
        <f>buildingfinal!D267</f>
        <v>Sqm.</v>
      </c>
      <c r="F268" s="1235">
        <f t="shared" si="10"/>
        <v>0</v>
      </c>
      <c r="G268" s="1240"/>
      <c r="H268" s="1217"/>
    </row>
    <row r="269" spans="1:8" s="1241" customFormat="1" ht="17.25" hidden="1">
      <c r="A269" s="1233">
        <f>buildingfinal!A268</f>
        <v>0</v>
      </c>
      <c r="B269" s="1521">
        <f>buildingfinal!Q268</f>
        <v>0</v>
      </c>
      <c r="C269" s="1239" t="str">
        <f>buildingfinal!B268</f>
        <v>e.  In Fourth floor</v>
      </c>
      <c r="D269" s="1235">
        <f>buildingfinal!C268</f>
        <v>3116.34</v>
      </c>
      <c r="E269" s="1235" t="str">
        <f>buildingfinal!D268</f>
        <v>Sqm.</v>
      </c>
      <c r="F269" s="1235">
        <f t="shared" si="10"/>
        <v>0</v>
      </c>
      <c r="G269" s="1240"/>
    </row>
    <row r="270" spans="1:8" s="1241" customFormat="1" ht="30" hidden="1">
      <c r="A270" s="1233">
        <f>buildingfinal!A269</f>
        <v>16.2</v>
      </c>
      <c r="B270" s="1521">
        <f>buildingfinal!Q269</f>
        <v>0</v>
      </c>
      <c r="C270" s="1239" t="str">
        <f>buildingfinal!B269</f>
        <v>Supplying &amp; fixing of Terra cotta jolly (not less than 50mm)</v>
      </c>
      <c r="D270" s="1235">
        <f>buildingfinal!C269</f>
        <v>0</v>
      </c>
      <c r="E270" s="1235">
        <f>buildingfinal!D269</f>
        <v>0</v>
      </c>
      <c r="F270" s="1235">
        <f t="shared" si="10"/>
        <v>0</v>
      </c>
      <c r="G270" s="1240"/>
    </row>
    <row r="271" spans="1:8" s="1241" customFormat="1" ht="17.25" hidden="1">
      <c r="A271" s="1233">
        <f>buildingfinal!A270</f>
        <v>0</v>
      </c>
      <c r="B271" s="1521">
        <f>buildingfinal!Q270</f>
        <v>0</v>
      </c>
      <c r="C271" s="1239" t="str">
        <f>buildingfinal!B270</f>
        <v>a. In Ground Floor</v>
      </c>
      <c r="D271" s="1235">
        <f>buildingfinal!C270</f>
        <v>484.11</v>
      </c>
      <c r="E271" s="1235" t="str">
        <f>buildingfinal!D270</f>
        <v>Sqm.</v>
      </c>
      <c r="F271" s="1235">
        <f t="shared" si="10"/>
        <v>0</v>
      </c>
      <c r="G271" s="1240"/>
    </row>
    <row r="272" spans="1:8" s="1241" customFormat="1" ht="17.25" hidden="1">
      <c r="A272" s="1233">
        <f>buildingfinal!A271</f>
        <v>0</v>
      </c>
      <c r="B272" s="1521">
        <f>buildingfinal!Q271</f>
        <v>0</v>
      </c>
      <c r="C272" s="1239" t="str">
        <f>buildingfinal!B271</f>
        <v>b. In First Floor</v>
      </c>
      <c r="D272" s="1235">
        <f>buildingfinal!C271</f>
        <v>492.41</v>
      </c>
      <c r="E272" s="1235" t="str">
        <f>buildingfinal!D271</f>
        <v>Sqm.</v>
      </c>
      <c r="F272" s="1235">
        <f t="shared" si="10"/>
        <v>0</v>
      </c>
      <c r="G272" s="1240"/>
    </row>
    <row r="273" spans="1:7" s="1241" customFormat="1" ht="17.25" hidden="1">
      <c r="A273" s="1233">
        <f>buildingfinal!A272</f>
        <v>0</v>
      </c>
      <c r="B273" s="1521">
        <f>buildingfinal!Q272</f>
        <v>0</v>
      </c>
      <c r="C273" s="1239" t="str">
        <f>buildingfinal!B272</f>
        <v>c. In Second Floor</v>
      </c>
      <c r="D273" s="1235">
        <f>buildingfinal!C272</f>
        <v>500.71</v>
      </c>
      <c r="E273" s="1235" t="str">
        <f>buildingfinal!D272</f>
        <v>Sqm.</v>
      </c>
      <c r="F273" s="1235">
        <f t="shared" si="10"/>
        <v>0</v>
      </c>
      <c r="G273" s="1240"/>
    </row>
    <row r="274" spans="1:7" s="1241" customFormat="1" ht="17.25" hidden="1">
      <c r="A274" s="1233">
        <f>buildingfinal!A273</f>
        <v>0</v>
      </c>
      <c r="B274" s="1521">
        <f>buildingfinal!Q273</f>
        <v>0</v>
      </c>
      <c r="C274" s="1239" t="str">
        <f>buildingfinal!B273</f>
        <v>d. In Third Floor</v>
      </c>
      <c r="D274" s="1235">
        <f>buildingfinal!C273</f>
        <v>509.01</v>
      </c>
      <c r="E274" s="1235" t="str">
        <f>buildingfinal!D273</f>
        <v>Sqm.</v>
      </c>
      <c r="F274" s="1235">
        <f t="shared" si="10"/>
        <v>0</v>
      </c>
      <c r="G274" s="1240"/>
    </row>
    <row r="275" spans="1:7" s="1241" customFormat="1" ht="17.25" hidden="1">
      <c r="A275" s="1233">
        <f>buildingfinal!A274</f>
        <v>0</v>
      </c>
      <c r="B275" s="1521">
        <f>buildingfinal!Q274</f>
        <v>0</v>
      </c>
      <c r="C275" s="1239" t="str">
        <f>buildingfinal!B274</f>
        <v>e. In Fourth Floor</v>
      </c>
      <c r="D275" s="1235">
        <f>buildingfinal!C274</f>
        <v>517.30999999999995</v>
      </c>
      <c r="E275" s="1235" t="str">
        <f>buildingfinal!D274</f>
        <v>Sqm.</v>
      </c>
      <c r="F275" s="1235">
        <f t="shared" si="10"/>
        <v>0</v>
      </c>
      <c r="G275" s="1240"/>
    </row>
    <row r="276" spans="1:7" s="1241" customFormat="1" ht="30" hidden="1">
      <c r="A276" s="1233">
        <f>buildingfinal!A275</f>
        <v>16.3</v>
      </c>
      <c r="B276" s="1521">
        <f>buildingfinal!Q275</f>
        <v>0</v>
      </c>
      <c r="C276" s="1239" t="str">
        <f>buildingfinal!B275</f>
        <v>Supplying &amp; fixing of Terra cotta jolly (more than  50mm  upto 110 mm)</v>
      </c>
      <c r="D276" s="1235">
        <f>buildingfinal!C275</f>
        <v>0</v>
      </c>
      <c r="E276" s="1235">
        <f>buildingfinal!D275</f>
        <v>0</v>
      </c>
      <c r="F276" s="1235">
        <f t="shared" si="10"/>
        <v>0</v>
      </c>
      <c r="G276" s="1240"/>
    </row>
    <row r="277" spans="1:7" s="1241" customFormat="1" ht="17.25" hidden="1">
      <c r="A277" s="1233">
        <f>buildingfinal!A276</f>
        <v>0</v>
      </c>
      <c r="B277" s="1521">
        <f>buildingfinal!Q276</f>
        <v>0</v>
      </c>
      <c r="C277" s="1239" t="str">
        <f>buildingfinal!B276</f>
        <v>a. In Ground Floor</v>
      </c>
      <c r="D277" s="1235">
        <f>buildingfinal!C276</f>
        <v>659.05</v>
      </c>
      <c r="E277" s="1235" t="str">
        <f>buildingfinal!D276</f>
        <v>Sqm.</v>
      </c>
      <c r="F277" s="1235">
        <f t="shared" si="10"/>
        <v>0</v>
      </c>
      <c r="G277" s="1240"/>
    </row>
    <row r="278" spans="1:7" s="1241" customFormat="1" ht="17.25" hidden="1">
      <c r="A278" s="1233">
        <f>buildingfinal!A277</f>
        <v>0</v>
      </c>
      <c r="B278" s="1521">
        <f>buildingfinal!Q277</f>
        <v>0</v>
      </c>
      <c r="C278" s="1239" t="str">
        <f>buildingfinal!B277</f>
        <v>b. In First Floor</v>
      </c>
      <c r="D278" s="1235">
        <f>buildingfinal!C277</f>
        <v>677.31</v>
      </c>
      <c r="E278" s="1235" t="str">
        <f>buildingfinal!D277</f>
        <v>Sqm.</v>
      </c>
      <c r="F278" s="1235">
        <f t="shared" si="10"/>
        <v>0</v>
      </c>
      <c r="G278" s="1240"/>
    </row>
    <row r="279" spans="1:7" s="1241" customFormat="1" ht="17.25" hidden="1">
      <c r="A279" s="1233">
        <f>buildingfinal!A278</f>
        <v>0</v>
      </c>
      <c r="B279" s="1521">
        <f>buildingfinal!Q278</f>
        <v>0</v>
      </c>
      <c r="C279" s="1239" t="str">
        <f>buildingfinal!B278</f>
        <v>c. In Second Floor</v>
      </c>
      <c r="D279" s="1235">
        <f>buildingfinal!C278</f>
        <v>695.57</v>
      </c>
      <c r="E279" s="1235" t="str">
        <f>buildingfinal!D278</f>
        <v>Sqm.</v>
      </c>
      <c r="F279" s="1235">
        <f t="shared" si="10"/>
        <v>0</v>
      </c>
      <c r="G279" s="1240"/>
    </row>
    <row r="280" spans="1:7" s="1241" customFormat="1" ht="17.25" hidden="1">
      <c r="A280" s="1233">
        <f>buildingfinal!A279</f>
        <v>0</v>
      </c>
      <c r="B280" s="1521">
        <f>buildingfinal!Q279</f>
        <v>0</v>
      </c>
      <c r="C280" s="1239" t="str">
        <f>buildingfinal!B279</f>
        <v>d. In Third Floor</v>
      </c>
      <c r="D280" s="1235">
        <f>buildingfinal!C279</f>
        <v>713.83</v>
      </c>
      <c r="E280" s="1235" t="str">
        <f>buildingfinal!D279</f>
        <v>Sqm.</v>
      </c>
      <c r="F280" s="1235">
        <f t="shared" si="10"/>
        <v>0</v>
      </c>
      <c r="G280" s="1240"/>
    </row>
    <row r="281" spans="1:7" s="1241" customFormat="1" ht="17.25" hidden="1">
      <c r="A281" s="1233">
        <f>buildingfinal!A280</f>
        <v>0</v>
      </c>
      <c r="B281" s="1521">
        <f>buildingfinal!Q280</f>
        <v>0</v>
      </c>
      <c r="C281" s="1239" t="str">
        <f>buildingfinal!B280</f>
        <v>e. In Fourth Floor</v>
      </c>
      <c r="D281" s="1235">
        <f>buildingfinal!C280</f>
        <v>732.09</v>
      </c>
      <c r="E281" s="1235" t="str">
        <f>buildingfinal!D280</f>
        <v>Sqm.</v>
      </c>
      <c r="F281" s="1235">
        <f t="shared" si="10"/>
        <v>0</v>
      </c>
      <c r="G281" s="1240"/>
    </row>
    <row r="282" spans="1:7" s="1241" customFormat="1" ht="17.25" hidden="1">
      <c r="A282" s="1233">
        <f>buildingfinal!A281</f>
        <v>17</v>
      </c>
      <c r="B282" s="1521">
        <f>buildingfinal!Q281</f>
        <v>0</v>
      </c>
      <c r="C282" s="1239" t="str">
        <f>buildingfinal!B281</f>
        <v>Form work- Lintel (C.W. planks)</v>
      </c>
      <c r="D282" s="1235">
        <f>buildingfinal!C281</f>
        <v>0</v>
      </c>
      <c r="E282" s="1235" t="str">
        <f>buildingfinal!D281</f>
        <v>Sqm.</v>
      </c>
      <c r="F282" s="1235">
        <f t="shared" si="10"/>
        <v>0</v>
      </c>
      <c r="G282" s="1240"/>
    </row>
    <row r="283" spans="1:7" s="1241" customFormat="1" ht="17.25" hidden="1">
      <c r="A283" s="1233">
        <f>buildingfinal!A282</f>
        <v>18</v>
      </c>
      <c r="B283" s="1521">
        <f>buildingfinal!Q282</f>
        <v>0</v>
      </c>
      <c r="C283" s="1239" t="str">
        <f>buildingfinal!B282</f>
        <v>Form work - M.S. Sheet (slab)</v>
      </c>
      <c r="D283" s="1235">
        <f>buildingfinal!C282</f>
        <v>0</v>
      </c>
      <c r="E283" s="1235" t="str">
        <f>buildingfinal!D282</f>
        <v>Sqm.</v>
      </c>
      <c r="F283" s="1235">
        <f t="shared" si="10"/>
        <v>0</v>
      </c>
      <c r="G283" s="1240"/>
    </row>
    <row r="284" spans="1:7" s="1241" customFormat="1" ht="17.25" hidden="1">
      <c r="A284" s="1233">
        <f>buildingfinal!A283</f>
        <v>19</v>
      </c>
      <c r="B284" s="1521">
        <f>buildingfinal!Q283</f>
        <v>0</v>
      </c>
      <c r="C284" s="1239" t="str">
        <f>buildingfinal!B283</f>
        <v>Form work - Small quantities  (M.S. Sheet)</v>
      </c>
      <c r="D284" s="1235">
        <f>buildingfinal!C283</f>
        <v>0</v>
      </c>
      <c r="E284" s="1235" t="str">
        <f>buildingfinal!D283</f>
        <v>Sqm.</v>
      </c>
      <c r="F284" s="1235">
        <f t="shared" si="10"/>
        <v>0</v>
      </c>
      <c r="G284" s="1240"/>
    </row>
    <row r="285" spans="1:7" s="1241" customFormat="1" ht="17.25" hidden="1">
      <c r="A285" s="1233">
        <f>buildingfinal!A284</f>
        <v>20</v>
      </c>
      <c r="B285" s="1521">
        <f>buildingfinal!Q284</f>
        <v>0</v>
      </c>
      <c r="C285" s="1239" t="str">
        <f>buildingfinal!B284</f>
        <v>Form work - Plinth beam (C.W. planks)</v>
      </c>
      <c r="D285" s="1235">
        <f>buildingfinal!C284</f>
        <v>0</v>
      </c>
      <c r="E285" s="1235" t="str">
        <f>buildingfinal!D284</f>
        <v>Sqm.</v>
      </c>
      <c r="F285" s="1235">
        <f t="shared" si="10"/>
        <v>0</v>
      </c>
      <c r="G285" s="1240"/>
    </row>
    <row r="286" spans="1:7" s="1241" customFormat="1" ht="17.25" hidden="1">
      <c r="A286" s="1233">
        <f>buildingfinal!A285</f>
        <v>21.1</v>
      </c>
      <c r="B286" s="1521">
        <f>buildingfinal!Q285</f>
        <v>0</v>
      </c>
      <c r="C286" s="1239" t="str">
        <f>buildingfinal!B285</f>
        <v>R.C.C.Door frame</v>
      </c>
      <c r="D286" s="1235">
        <f>buildingfinal!C285</f>
        <v>0</v>
      </c>
      <c r="E286" s="1235">
        <f>buildingfinal!D285</f>
        <v>0</v>
      </c>
      <c r="F286" s="1235">
        <f t="shared" si="10"/>
        <v>0</v>
      </c>
      <c r="G286" s="1240"/>
    </row>
    <row r="287" spans="1:7" s="1241" customFormat="1" ht="17.25" hidden="1">
      <c r="A287" s="1233">
        <f>buildingfinal!A286</f>
        <v>0</v>
      </c>
      <c r="B287" s="1521">
        <f>buildingfinal!Q286</f>
        <v>0</v>
      </c>
      <c r="C287" s="1239" t="str">
        <f>buildingfinal!B286</f>
        <v>a. 900 x 2100 mm</v>
      </c>
      <c r="D287" s="1235">
        <f>buildingfinal!C286</f>
        <v>2883.15</v>
      </c>
      <c r="E287" s="1235" t="str">
        <f>buildingfinal!D286</f>
        <v>Each</v>
      </c>
      <c r="F287" s="1235">
        <f t="shared" si="10"/>
        <v>0</v>
      </c>
      <c r="G287" s="1240"/>
    </row>
    <row r="288" spans="1:7" s="1241" customFormat="1" ht="17.25" hidden="1">
      <c r="A288" s="1233">
        <f>buildingfinal!A287</f>
        <v>0</v>
      </c>
      <c r="B288" s="1521">
        <f>buildingfinal!Q287</f>
        <v>0</v>
      </c>
      <c r="C288" s="1239" t="str">
        <f>buildingfinal!B287</f>
        <v>b. 700 x 2100 mm</v>
      </c>
      <c r="D288" s="1235">
        <f>buildingfinal!C287</f>
        <v>0</v>
      </c>
      <c r="E288" s="1235" t="str">
        <f>buildingfinal!D287</f>
        <v>Each</v>
      </c>
      <c r="F288" s="1235">
        <f t="shared" si="10"/>
        <v>0</v>
      </c>
      <c r="G288" s="1240"/>
    </row>
    <row r="289" spans="1:8" s="1241" customFormat="1" ht="17.25" hidden="1">
      <c r="A289" s="1233">
        <f>buildingfinal!A288</f>
        <v>0</v>
      </c>
      <c r="B289" s="1521">
        <f>buildingfinal!Q288</f>
        <v>0</v>
      </c>
      <c r="C289" s="1239" t="str">
        <f>buildingfinal!B288</f>
        <v>c. 1000 x 2100 mm</v>
      </c>
      <c r="D289" s="1235">
        <f>buildingfinal!C288</f>
        <v>2905.94</v>
      </c>
      <c r="E289" s="1235" t="str">
        <f>buildingfinal!D288</f>
        <v>Each</v>
      </c>
      <c r="F289" s="1235">
        <f t="shared" si="10"/>
        <v>0</v>
      </c>
      <c r="G289" s="1240"/>
    </row>
    <row r="290" spans="1:8" s="1241" customFormat="1" ht="35.25" customHeight="1">
      <c r="A290" s="1233">
        <f>buildingfinal!A289</f>
        <v>21.2</v>
      </c>
      <c r="B290" s="1260" t="str">
        <f>buildingfinal!Q289</f>
        <v>*</v>
      </c>
      <c r="C290" s="1234" t="str">
        <f>buildingfinal!B289</f>
        <v>Teak wood Wrought &amp; Put up</v>
      </c>
      <c r="D290" s="1235">
        <f>buildingfinal!C289</f>
        <v>0</v>
      </c>
      <c r="E290" s="1235">
        <f>buildingfinal!D289</f>
        <v>0</v>
      </c>
      <c r="F290" s="1235"/>
      <c r="G290" s="1240">
        <f>buildingfinal!R289</f>
        <v>0</v>
      </c>
      <c r="H290" s="1216">
        <f t="shared" ref="H290:H292" si="11">F290-G290</f>
        <v>0</v>
      </c>
    </row>
    <row r="291" spans="1:8" s="1241" customFormat="1" ht="35.25" customHeight="1">
      <c r="A291" s="1233">
        <f>buildingfinal!A290</f>
        <v>0</v>
      </c>
      <c r="B291" s="1521">
        <f>buildingfinal!Q290</f>
        <v>0.104</v>
      </c>
      <c r="C291" s="1239" t="str">
        <f>buildingfinal!B290</f>
        <v>a. T.W. over 2 m &amp; below 3 m</v>
      </c>
      <c r="D291" s="1235">
        <f>buildingfinal!C290</f>
        <v>125878</v>
      </c>
      <c r="E291" s="1235" t="str">
        <f>buildingfinal!D290</f>
        <v>Cum.</v>
      </c>
      <c r="F291" s="1235">
        <f t="shared" si="10"/>
        <v>13091.31</v>
      </c>
      <c r="G291" s="1240">
        <f>buildingfinal!R290</f>
        <v>13091.31</v>
      </c>
      <c r="H291" s="1216">
        <f t="shared" si="11"/>
        <v>0</v>
      </c>
    </row>
    <row r="292" spans="1:8" s="1241" customFormat="1" ht="35.25" customHeight="1">
      <c r="A292" s="1233">
        <f>buildingfinal!A291</f>
        <v>0</v>
      </c>
      <c r="B292" s="1521">
        <f>buildingfinal!Q291</f>
        <v>6.9000000000000006E-2</v>
      </c>
      <c r="C292" s="1239" t="str">
        <f>buildingfinal!B291</f>
        <v>b. T.W. below 2 m length.</v>
      </c>
      <c r="D292" s="1235">
        <f>buildingfinal!C291</f>
        <v>113678</v>
      </c>
      <c r="E292" s="1235" t="str">
        <f>buildingfinal!D291</f>
        <v>Cum.</v>
      </c>
      <c r="F292" s="1235">
        <f t="shared" si="10"/>
        <v>7843.78</v>
      </c>
      <c r="G292" s="1240">
        <f>buildingfinal!R291</f>
        <v>7843.78</v>
      </c>
      <c r="H292" s="1216">
        <f t="shared" si="11"/>
        <v>0</v>
      </c>
    </row>
    <row r="293" spans="1:8" s="1241" customFormat="1" ht="30" hidden="1">
      <c r="A293" s="1233">
        <f>buildingfinal!A292</f>
        <v>21.3</v>
      </c>
      <c r="B293" s="1521">
        <f>buildingfinal!Q292</f>
        <v>0</v>
      </c>
      <c r="C293" s="1239" t="str">
        <f>buildingfinal!B292</f>
        <v xml:space="preserve">PVC Door frame &amp; shutter  
</v>
      </c>
      <c r="D293" s="1235">
        <f>buildingfinal!C292</f>
        <v>2135</v>
      </c>
      <c r="E293" s="1235" t="str">
        <f>buildingfinal!D292</f>
        <v>Sqm.</v>
      </c>
      <c r="F293" s="1235">
        <f t="shared" si="10"/>
        <v>0</v>
      </c>
      <c r="G293" s="1240"/>
    </row>
    <row r="294" spans="1:8" s="1241" customFormat="1" ht="17.25" hidden="1">
      <c r="A294" s="1233">
        <f>buildingfinal!A293</f>
        <v>22.1</v>
      </c>
      <c r="B294" s="1521">
        <f>buildingfinal!Q293</f>
        <v>0</v>
      </c>
      <c r="C294" s="1239" t="str">
        <f>buildingfinal!B293</f>
        <v>Teak wood panelled door shutters</v>
      </c>
      <c r="D294" s="1235">
        <f>buildingfinal!C293</f>
        <v>0</v>
      </c>
      <c r="E294" s="1235">
        <f>buildingfinal!D293</f>
        <v>0</v>
      </c>
      <c r="F294" s="1235">
        <f t="shared" si="10"/>
        <v>0</v>
      </c>
      <c r="G294" s="1240"/>
    </row>
    <row r="295" spans="1:8" s="1241" customFormat="1" ht="17.25" hidden="1">
      <c r="A295" s="1233">
        <f>buildingfinal!A294</f>
        <v>0</v>
      </c>
      <c r="B295" s="1521">
        <f>buildingfinal!Q294</f>
        <v>0</v>
      </c>
      <c r="C295" s="1239" t="str">
        <f>buildingfinal!B294</f>
        <v>a. 1000 x 2100 mm</v>
      </c>
      <c r="D295" s="1235">
        <f>buildingfinal!C294</f>
        <v>5096.5600000000004</v>
      </c>
      <c r="E295" s="1235" t="str">
        <f>buildingfinal!D294</f>
        <v>Sqm.</v>
      </c>
      <c r="F295" s="1235">
        <f t="shared" si="10"/>
        <v>0</v>
      </c>
      <c r="G295" s="1240"/>
    </row>
    <row r="296" spans="1:8" hidden="1">
      <c r="A296" s="1233">
        <f>buildingfinal!A295</f>
        <v>0</v>
      </c>
      <c r="B296" s="1521">
        <f>buildingfinal!Q295</f>
        <v>0</v>
      </c>
      <c r="C296" s="1239" t="str">
        <f>buildingfinal!B295</f>
        <v>b. 900 x 2100 mm</v>
      </c>
      <c r="D296" s="1235">
        <f>buildingfinal!C295</f>
        <v>5112.2700000000004</v>
      </c>
      <c r="E296" s="1235" t="str">
        <f>buildingfinal!D295</f>
        <v>Sqm.</v>
      </c>
      <c r="F296" s="1235">
        <f t="shared" si="10"/>
        <v>0</v>
      </c>
      <c r="G296" s="1240"/>
      <c r="H296" s="1217"/>
    </row>
    <row r="297" spans="1:8" hidden="1">
      <c r="A297" s="1233">
        <f>buildingfinal!A296</f>
        <v>0</v>
      </c>
      <c r="B297" s="1521">
        <f>buildingfinal!Q296</f>
        <v>0</v>
      </c>
      <c r="C297" s="1239" t="str">
        <f>buildingfinal!B296</f>
        <v>c. 700 x 2100 mm</v>
      </c>
      <c r="D297" s="1235">
        <f>buildingfinal!C296</f>
        <v>5136.9399999999996</v>
      </c>
      <c r="E297" s="1235" t="str">
        <f>buildingfinal!D296</f>
        <v>Sqm.</v>
      </c>
      <c r="F297" s="1235">
        <f t="shared" si="10"/>
        <v>0</v>
      </c>
      <c r="G297" s="1240"/>
      <c r="H297" s="1217"/>
    </row>
    <row r="298" spans="1:8" hidden="1">
      <c r="A298" s="1233">
        <f>buildingfinal!A297</f>
        <v>0</v>
      </c>
      <c r="B298" s="1521">
        <f>buildingfinal!Q297</f>
        <v>0</v>
      </c>
      <c r="C298" s="1239" t="str">
        <f>buildingfinal!B297</f>
        <v>d. 1200 x 2100 mm (Single) annexure item</v>
      </c>
      <c r="D298" s="1235">
        <f>buildingfinal!C297</f>
        <v>6116.01</v>
      </c>
      <c r="E298" s="1235" t="str">
        <f>buildingfinal!D297</f>
        <v>Sqm.</v>
      </c>
      <c r="F298" s="1235">
        <f t="shared" si="10"/>
        <v>0</v>
      </c>
      <c r="G298" s="1240"/>
      <c r="H298" s="1217"/>
    </row>
    <row r="299" spans="1:8" s="1241" customFormat="1" ht="17.25" hidden="1">
      <c r="A299" s="1233">
        <f>buildingfinal!A298</f>
        <v>22.2</v>
      </c>
      <c r="B299" s="1521">
        <f>buildingfinal!Q298</f>
        <v>0</v>
      </c>
      <c r="C299" s="1239" t="str">
        <f>buildingfinal!B298</f>
        <v>Teak wood "Window" &amp;  Ventilator Shutter</v>
      </c>
      <c r="D299" s="1235">
        <f>buildingfinal!C298</f>
        <v>0</v>
      </c>
      <c r="E299" s="1235">
        <f>buildingfinal!D298</f>
        <v>0</v>
      </c>
      <c r="F299" s="1235">
        <f t="shared" si="10"/>
        <v>0</v>
      </c>
      <c r="G299" s="1240"/>
    </row>
    <row r="300" spans="1:8" hidden="1">
      <c r="A300" s="1233">
        <f>buildingfinal!A299</f>
        <v>0</v>
      </c>
      <c r="B300" s="1521">
        <f>buildingfinal!Q299</f>
        <v>0</v>
      </c>
      <c r="C300" s="1239" t="str">
        <f>buildingfinal!B299</f>
        <v>a. Window: 135 cm ht.</v>
      </c>
      <c r="D300" s="1235">
        <f>buildingfinal!C299</f>
        <v>3659.42</v>
      </c>
      <c r="E300" s="1235" t="str">
        <f>buildingfinal!D299</f>
        <v>Sqm.</v>
      </c>
      <c r="F300" s="1235">
        <f t="shared" si="10"/>
        <v>0</v>
      </c>
      <c r="G300" s="1240"/>
      <c r="H300" s="1217"/>
    </row>
    <row r="301" spans="1:8" hidden="1">
      <c r="A301" s="1233">
        <f>buildingfinal!A300</f>
        <v>0</v>
      </c>
      <c r="B301" s="1521">
        <f>buildingfinal!Q300</f>
        <v>0</v>
      </c>
      <c r="C301" s="1239" t="str">
        <f>buildingfinal!B300</f>
        <v>b. Window: 120 cm ht.</v>
      </c>
      <c r="D301" s="1235">
        <f>buildingfinal!C300</f>
        <v>0</v>
      </c>
      <c r="E301" s="1235" t="str">
        <f>buildingfinal!D300</f>
        <v>Sqm.</v>
      </c>
      <c r="F301" s="1235">
        <f t="shared" si="10"/>
        <v>0</v>
      </c>
      <c r="G301" s="1240"/>
      <c r="H301" s="1217"/>
    </row>
    <row r="302" spans="1:8" s="1241" customFormat="1" ht="17.25" hidden="1">
      <c r="A302" s="1233">
        <f>buildingfinal!A301</f>
        <v>0</v>
      </c>
      <c r="B302" s="1521">
        <f>buildingfinal!Q301</f>
        <v>0</v>
      </c>
      <c r="C302" s="1239" t="str">
        <f>buildingfinal!B301</f>
        <v>c. Window: 105 cm ht.</v>
      </c>
      <c r="D302" s="1235">
        <f>buildingfinal!C301</f>
        <v>3858.29</v>
      </c>
      <c r="E302" s="1235" t="str">
        <f>buildingfinal!D301</f>
        <v>Sqm.</v>
      </c>
      <c r="F302" s="1235">
        <f t="shared" si="10"/>
        <v>0</v>
      </c>
      <c r="G302" s="1240"/>
    </row>
    <row r="303" spans="1:8" s="1241" customFormat="1" ht="17.25" hidden="1">
      <c r="A303" s="1233">
        <f>buildingfinal!A302</f>
        <v>0</v>
      </c>
      <c r="B303" s="1521">
        <f>buildingfinal!Q302</f>
        <v>0</v>
      </c>
      <c r="C303" s="1239" t="str">
        <f>buildingfinal!B302</f>
        <v>d. Ventilator: (90 x 60 cm)</v>
      </c>
      <c r="D303" s="1235">
        <f>buildingfinal!C302</f>
        <v>2856.35</v>
      </c>
      <c r="E303" s="1235" t="str">
        <f>buildingfinal!D302</f>
        <v>Sqm.</v>
      </c>
      <c r="F303" s="1235">
        <f t="shared" si="10"/>
        <v>0</v>
      </c>
      <c r="G303" s="1240"/>
    </row>
    <row r="304" spans="1:8" s="1241" customFormat="1" ht="17.25" hidden="1">
      <c r="A304" s="1233">
        <f>buildingfinal!A303</f>
        <v>22.3</v>
      </c>
      <c r="B304" s="1521">
        <f>buildingfinal!Q303</f>
        <v>0</v>
      </c>
      <c r="C304" s="1239" t="str">
        <f>buildingfinal!B303</f>
        <v>T.W. double leaf shutters for cup board/ ward robes</v>
      </c>
      <c r="D304" s="1235">
        <f>buildingfinal!C303</f>
        <v>0</v>
      </c>
      <c r="E304" s="1235" t="str">
        <f>buildingfinal!D303</f>
        <v>Sqm.</v>
      </c>
      <c r="F304" s="1235">
        <f t="shared" si="10"/>
        <v>0</v>
      </c>
      <c r="G304" s="1240"/>
    </row>
    <row r="305" spans="1:8" s="1241" customFormat="1" ht="30" hidden="1">
      <c r="A305" s="1233">
        <f>buildingfinal!A304</f>
        <v>23.1</v>
      </c>
      <c r="B305" s="1521">
        <f>buildingfinal!Q304</f>
        <v>0</v>
      </c>
      <c r="C305" s="1239" t="str">
        <f>buildingfinal!B304</f>
        <v>T.W. single leaf  Door shutters using    9 mm tk. phynol bonded BWR plywood</v>
      </c>
      <c r="D305" s="1235">
        <f>buildingfinal!C304</f>
        <v>0</v>
      </c>
      <c r="E305" s="1235" t="str">
        <f>buildingfinal!D304</f>
        <v>Sqm.</v>
      </c>
      <c r="F305" s="1235">
        <f t="shared" si="10"/>
        <v>0</v>
      </c>
      <c r="G305" s="1240"/>
    </row>
    <row r="306" spans="1:8" s="1241" customFormat="1" ht="17.25" hidden="1">
      <c r="A306" s="1233">
        <f>buildingfinal!A305</f>
        <v>0</v>
      </c>
      <c r="B306" s="1521">
        <f>buildingfinal!Q305</f>
        <v>0</v>
      </c>
      <c r="C306" s="1239" t="str">
        <f>buildingfinal!B305</f>
        <v>a. 900 x 2100 mm</v>
      </c>
      <c r="D306" s="1235">
        <f>buildingfinal!C305</f>
        <v>3687.68</v>
      </c>
      <c r="E306" s="1235" t="str">
        <f>buildingfinal!D305</f>
        <v>Sqm.</v>
      </c>
      <c r="F306" s="1235">
        <f t="shared" si="10"/>
        <v>0</v>
      </c>
      <c r="G306" s="1240"/>
    </row>
    <row r="307" spans="1:8" s="1241" customFormat="1" ht="17.25" hidden="1">
      <c r="A307" s="1233">
        <f>buildingfinal!A306</f>
        <v>23.2</v>
      </c>
      <c r="B307" s="1521">
        <f>buildingfinal!Q306</f>
        <v>0</v>
      </c>
      <c r="C307" s="1239" t="str">
        <f>buildingfinal!B306</f>
        <v>Glass panels with Aluminium beedings</v>
      </c>
      <c r="D307" s="1235">
        <f>buildingfinal!C306</f>
        <v>845.1</v>
      </c>
      <c r="E307" s="1235" t="str">
        <f>buildingfinal!D306</f>
        <v>Sqm.</v>
      </c>
      <c r="F307" s="1235">
        <f t="shared" si="10"/>
        <v>0</v>
      </c>
      <c r="G307" s="1240"/>
    </row>
    <row r="308" spans="1:8" s="1241" customFormat="1" ht="35.25" customHeight="1">
      <c r="A308" s="1233">
        <f>buildingfinal!A307</f>
        <v>23.3</v>
      </c>
      <c r="B308" s="1521">
        <f>buildingfinal!Q307</f>
        <v>45</v>
      </c>
      <c r="C308" s="1239" t="str">
        <f>buildingfinal!B307</f>
        <v>S&amp;F of Magnetic door catches</v>
      </c>
      <c r="D308" s="1235">
        <f>buildingfinal!C307</f>
        <v>52</v>
      </c>
      <c r="E308" s="1235" t="str">
        <f>buildingfinal!D307</f>
        <v>Each</v>
      </c>
      <c r="F308" s="1235">
        <f t="shared" si="10"/>
        <v>2340</v>
      </c>
      <c r="G308" s="1240">
        <f>buildingfinal!R307</f>
        <v>2340</v>
      </c>
      <c r="H308" s="1216">
        <f>F308-G308</f>
        <v>0</v>
      </c>
    </row>
    <row r="309" spans="1:8" s="1241" customFormat="1" ht="30" hidden="1">
      <c r="A309" s="1233">
        <f>buildingfinal!A308</f>
        <v>23.4</v>
      </c>
      <c r="B309" s="1521">
        <f>buildingfinal!Q308</f>
        <v>0</v>
      </c>
      <c r="C309" s="1239" t="str">
        <f>buildingfinal!B308</f>
        <v xml:space="preserve">Supply and fixing of Aluminium window with 3mm thick Glass </v>
      </c>
      <c r="D309" s="1235">
        <f>buildingfinal!C308</f>
        <v>0</v>
      </c>
      <c r="E309" s="1235">
        <f>buildingfinal!D308</f>
        <v>0</v>
      </c>
      <c r="F309" s="1235">
        <f t="shared" si="10"/>
        <v>0</v>
      </c>
      <c r="G309" s="1240"/>
    </row>
    <row r="310" spans="1:8" s="1241" customFormat="1" ht="17.25" hidden="1">
      <c r="A310" s="1233">
        <f>buildingfinal!A309</f>
        <v>0</v>
      </c>
      <c r="B310" s="1521">
        <f>buildingfinal!Q309</f>
        <v>0</v>
      </c>
      <c r="C310" s="1239" t="str">
        <f>buildingfinal!B309</f>
        <v>a. 1.8 x 1.35 mt.window</v>
      </c>
      <c r="D310" s="1235">
        <f>buildingfinal!C309</f>
        <v>16343.94</v>
      </c>
      <c r="E310" s="1235" t="str">
        <f>buildingfinal!D309</f>
        <v>Each</v>
      </c>
      <c r="F310" s="1235">
        <f t="shared" si="10"/>
        <v>0</v>
      </c>
      <c r="G310" s="1240"/>
    </row>
    <row r="311" spans="1:8" hidden="1">
      <c r="A311" s="1233">
        <f>buildingfinal!A310</f>
        <v>0</v>
      </c>
      <c r="B311" s="1521">
        <f>buildingfinal!Q310</f>
        <v>0</v>
      </c>
      <c r="C311" s="1239" t="str">
        <f>buildingfinal!B310</f>
        <v>b. 1.35 x 1.35 mt.window</v>
      </c>
      <c r="D311" s="1235">
        <f>buildingfinal!C310</f>
        <v>12316.86</v>
      </c>
      <c r="E311" s="1235" t="str">
        <f>buildingfinal!D310</f>
        <v>Each</v>
      </c>
      <c r="F311" s="1235">
        <f t="shared" si="10"/>
        <v>0</v>
      </c>
      <c r="G311" s="1240"/>
      <c r="H311" s="1217"/>
    </row>
    <row r="312" spans="1:8" s="1241" customFormat="1" ht="17.25" hidden="1">
      <c r="A312" s="1233">
        <f>buildingfinal!A311</f>
        <v>0</v>
      </c>
      <c r="B312" s="1521">
        <f>buildingfinal!Q311</f>
        <v>0</v>
      </c>
      <c r="C312" s="1239" t="str">
        <f>buildingfinal!B311</f>
        <v>c. 1.35 x  1.05 mt window</v>
      </c>
      <c r="D312" s="1235">
        <f>buildingfinal!C311</f>
        <v>10473.56</v>
      </c>
      <c r="E312" s="1235" t="str">
        <f>buildingfinal!D311</f>
        <v>Each</v>
      </c>
      <c r="F312" s="1235">
        <f t="shared" si="10"/>
        <v>0</v>
      </c>
      <c r="G312" s="1240"/>
    </row>
    <row r="313" spans="1:8" hidden="1">
      <c r="A313" s="1233">
        <f>buildingfinal!A312</f>
        <v>0</v>
      </c>
      <c r="B313" s="1521">
        <f>buildingfinal!Q312</f>
        <v>0</v>
      </c>
      <c r="C313" s="1239" t="str">
        <f>buildingfinal!B312</f>
        <v>d. 1.2 x 1.35 mt window</v>
      </c>
      <c r="D313" s="1235">
        <f>buildingfinal!C312</f>
        <v>9840.4500000000007</v>
      </c>
      <c r="E313" s="1235" t="str">
        <f>buildingfinal!D312</f>
        <v>Each</v>
      </c>
      <c r="F313" s="1235">
        <f t="shared" si="10"/>
        <v>0</v>
      </c>
      <c r="G313" s="1240"/>
      <c r="H313" s="1217"/>
    </row>
    <row r="314" spans="1:8" s="1241" customFormat="1" ht="17.25" hidden="1">
      <c r="A314" s="1233">
        <f>buildingfinal!A313</f>
        <v>0</v>
      </c>
      <c r="B314" s="1521">
        <f>buildingfinal!Q313</f>
        <v>0</v>
      </c>
      <c r="C314" s="1239" t="str">
        <f>buildingfinal!B313</f>
        <v>e. 1.2 x 1.05 mt window</v>
      </c>
      <c r="D314" s="1235">
        <f>buildingfinal!C313</f>
        <v>8156.59</v>
      </c>
      <c r="E314" s="1235" t="str">
        <f>buildingfinal!D313</f>
        <v>Each</v>
      </c>
      <c r="F314" s="1235">
        <f t="shared" si="10"/>
        <v>0</v>
      </c>
      <c r="G314" s="1240"/>
    </row>
    <row r="315" spans="1:8" s="1241" customFormat="1" ht="17.25" hidden="1">
      <c r="A315" s="1233">
        <f>buildingfinal!A314</f>
        <v>0</v>
      </c>
      <c r="B315" s="1521">
        <f>buildingfinal!Q314</f>
        <v>0</v>
      </c>
      <c r="C315" s="1239" t="str">
        <f>buildingfinal!B314</f>
        <v>f. 1.05 x 1.35 mt window</v>
      </c>
      <c r="D315" s="1235">
        <f>buildingfinal!C314</f>
        <v>9063.73</v>
      </c>
      <c r="E315" s="1235" t="str">
        <f>buildingfinal!D314</f>
        <v>Each</v>
      </c>
      <c r="F315" s="1235">
        <f t="shared" si="10"/>
        <v>0</v>
      </c>
      <c r="G315" s="1240"/>
    </row>
    <row r="316" spans="1:8" s="1241" customFormat="1" ht="17.25" hidden="1">
      <c r="A316" s="1233">
        <f>buildingfinal!A315</f>
        <v>0</v>
      </c>
      <c r="B316" s="1521">
        <f>buildingfinal!Q315</f>
        <v>0</v>
      </c>
      <c r="C316" s="1239" t="str">
        <f>buildingfinal!B315</f>
        <v>g. 0.9 x 1.35 mt window</v>
      </c>
      <c r="D316" s="1235">
        <f>buildingfinal!C315</f>
        <v>8281.5400000000009</v>
      </c>
      <c r="E316" s="1235" t="str">
        <f>buildingfinal!D315</f>
        <v>Each</v>
      </c>
      <c r="F316" s="1235">
        <f t="shared" si="10"/>
        <v>0</v>
      </c>
      <c r="G316" s="1240"/>
    </row>
    <row r="317" spans="1:8" s="1241" customFormat="1" ht="17.25" hidden="1">
      <c r="A317" s="1233">
        <f>buildingfinal!A316</f>
        <v>0</v>
      </c>
      <c r="B317" s="1521">
        <f>buildingfinal!Q316</f>
        <v>0</v>
      </c>
      <c r="C317" s="1239" t="str">
        <f>buildingfinal!B316</f>
        <v>h. 0.9 x 1.05 mt window</v>
      </c>
      <c r="D317" s="1235">
        <f>buildingfinal!C316</f>
        <v>7043.28</v>
      </c>
      <c r="E317" s="1235" t="str">
        <f>buildingfinal!D316</f>
        <v>Each</v>
      </c>
      <c r="F317" s="1235">
        <f t="shared" si="10"/>
        <v>0</v>
      </c>
      <c r="G317" s="1240"/>
    </row>
    <row r="318" spans="1:8" s="1241" customFormat="1" ht="17.25" hidden="1">
      <c r="A318" s="1233">
        <f>buildingfinal!A317</f>
        <v>0</v>
      </c>
      <c r="B318" s="1521">
        <f>buildingfinal!Q317</f>
        <v>0</v>
      </c>
      <c r="C318" s="1239" t="str">
        <f>buildingfinal!B317</f>
        <v>i. 0.5 x 1.35 mt window</v>
      </c>
      <c r="D318" s="1235">
        <f>buildingfinal!C317</f>
        <v>4508.79</v>
      </c>
      <c r="E318" s="1235" t="str">
        <f>buildingfinal!D317</f>
        <v>Each</v>
      </c>
      <c r="F318" s="1235">
        <f t="shared" si="10"/>
        <v>0</v>
      </c>
      <c r="G318" s="1240"/>
    </row>
    <row r="319" spans="1:8" s="1241" customFormat="1" ht="17.25" hidden="1">
      <c r="A319" s="1233">
        <f>buildingfinal!A318</f>
        <v>0</v>
      </c>
      <c r="B319" s="1521">
        <f>buildingfinal!Q318</f>
        <v>0</v>
      </c>
      <c r="C319" s="1239" t="str">
        <f>buildingfinal!B318</f>
        <v>j. 0.45 x 1.35 mt window</v>
      </c>
      <c r="D319" s="1235">
        <f>buildingfinal!C318</f>
        <v>4250.1499999999996</v>
      </c>
      <c r="E319" s="1235" t="str">
        <f>buildingfinal!D318</f>
        <v>Each</v>
      </c>
      <c r="F319" s="1235">
        <f t="shared" si="10"/>
        <v>0</v>
      </c>
      <c r="G319" s="1240"/>
    </row>
    <row r="320" spans="1:8" s="1241" customFormat="1" ht="17.25" hidden="1">
      <c r="A320" s="1233">
        <f>buildingfinal!A319</f>
        <v>0</v>
      </c>
      <c r="B320" s="1521">
        <f>buildingfinal!Q319</f>
        <v>0</v>
      </c>
      <c r="C320" s="1239" t="str">
        <f>buildingfinal!B319</f>
        <v>k.0.90 x 0.60 mt.Ventilator</v>
      </c>
      <c r="D320" s="1235">
        <f>buildingfinal!C319</f>
        <v>5203.1499999999996</v>
      </c>
      <c r="E320" s="1235" t="str">
        <f>buildingfinal!D319</f>
        <v>Each</v>
      </c>
      <c r="F320" s="1235">
        <f t="shared" si="10"/>
        <v>0</v>
      </c>
      <c r="G320" s="1240"/>
    </row>
    <row r="321" spans="1:8" s="1241" customFormat="1" ht="17.25" hidden="1">
      <c r="A321" s="1233">
        <f>buildingfinal!A320</f>
        <v>0</v>
      </c>
      <c r="B321" s="1521">
        <f>buildingfinal!Q320</f>
        <v>0</v>
      </c>
      <c r="C321" s="1239" t="str">
        <f>buildingfinal!B320</f>
        <v>l. 0.60 x 0.60 mt.Ventilator</v>
      </c>
      <c r="D321" s="1235">
        <f>buildingfinal!C320</f>
        <v>5768</v>
      </c>
      <c r="E321" s="1235" t="str">
        <f>buildingfinal!D320</f>
        <v>Each</v>
      </c>
      <c r="F321" s="1235">
        <f t="shared" si="10"/>
        <v>0</v>
      </c>
      <c r="G321" s="1240"/>
    </row>
    <row r="322" spans="1:8" s="1241" customFormat="1" ht="30" hidden="1">
      <c r="A322" s="1233">
        <f>buildingfinal!A321</f>
        <v>24</v>
      </c>
      <c r="B322" s="1521">
        <f>buildingfinal!Q321</f>
        <v>0</v>
      </c>
      <c r="C322" s="1239" t="str">
        <f>buildingfinal!B321</f>
        <v>Manufacturing &amp; supply of steel windows (Weight basis)</v>
      </c>
      <c r="D322" s="1235">
        <f>buildingfinal!C321</f>
        <v>69.599999999999994</v>
      </c>
      <c r="E322" s="1235" t="str">
        <f>buildingfinal!D321</f>
        <v>Kg.</v>
      </c>
      <c r="F322" s="1235">
        <f t="shared" si="10"/>
        <v>0</v>
      </c>
      <c r="G322" s="1240"/>
    </row>
    <row r="323" spans="1:8" s="1241" customFormat="1" ht="35.25" customHeight="1">
      <c r="A323" s="1233">
        <f>buildingfinal!A322</f>
        <v>25</v>
      </c>
      <c r="B323" s="1521">
        <f>buildingfinal!Q322</f>
        <v>234</v>
      </c>
      <c r="C323" s="1239" t="str">
        <f>buildingfinal!B322</f>
        <v>M.S.Holdfast</v>
      </c>
      <c r="D323" s="1235">
        <f>buildingfinal!C322</f>
        <v>9.6</v>
      </c>
      <c r="E323" s="1235" t="str">
        <f>buildingfinal!D322</f>
        <v>Each</v>
      </c>
      <c r="F323" s="1235">
        <f t="shared" si="10"/>
        <v>2246.4</v>
      </c>
      <c r="G323" s="1240">
        <f>buildingfinal!R322</f>
        <v>2246.4</v>
      </c>
      <c r="H323" s="1216">
        <f t="shared" ref="H323:H324" si="12">F323-G323</f>
        <v>0</v>
      </c>
    </row>
    <row r="324" spans="1:8" s="1241" customFormat="1" ht="35.25" customHeight="1">
      <c r="A324" s="1233">
        <f>buildingfinal!A323</f>
        <v>26</v>
      </c>
      <c r="B324" s="1521">
        <f>buildingfinal!Q323</f>
        <v>40.200000000000003</v>
      </c>
      <c r="C324" s="1239" t="str">
        <f>buildingfinal!B323</f>
        <v>Flooring in C.C.1:5:10</v>
      </c>
      <c r="D324" s="1235">
        <f>buildingfinal!C323</f>
        <v>4888.3100000000004</v>
      </c>
      <c r="E324" s="1235" t="str">
        <f>buildingfinal!D323</f>
        <v>Cum.</v>
      </c>
      <c r="F324" s="1235">
        <f t="shared" si="10"/>
        <v>196510.06</v>
      </c>
      <c r="G324" s="1240">
        <f>buildingfinal!R323</f>
        <v>196510.06</v>
      </c>
      <c r="H324" s="1216">
        <f t="shared" si="12"/>
        <v>0</v>
      </c>
    </row>
    <row r="325" spans="1:8" s="1241" customFormat="1" ht="30" hidden="1">
      <c r="A325" s="1233">
        <f>buildingfinal!A324</f>
        <v>27.1</v>
      </c>
      <c r="B325" s="1521">
        <f>buildingfinal!Q324</f>
        <v>0</v>
      </c>
      <c r="C325" s="1239" t="str">
        <f>buildingfinal!B324</f>
        <v>B.w. in C.M. 1:4 for staircase steps Chamber
 burnt bricks 23 x 11.2 x 7 cm.</v>
      </c>
      <c r="D325" s="1235">
        <f>buildingfinal!C324</f>
        <v>7383.63</v>
      </c>
      <c r="E325" s="1235" t="str">
        <f>buildingfinal!D324</f>
        <v>Cum.</v>
      </c>
      <c r="F325" s="1235">
        <f t="shared" si="10"/>
        <v>0</v>
      </c>
      <c r="G325" s="1240"/>
    </row>
    <row r="326" spans="1:8" s="1241" customFormat="1" ht="30" hidden="1">
      <c r="A326" s="1233">
        <f>buildingfinal!A325</f>
        <v>27.2</v>
      </c>
      <c r="B326" s="1521">
        <f>buildingfinal!Q325</f>
        <v>0</v>
      </c>
      <c r="C326" s="1239" t="str">
        <f>buildingfinal!B325</f>
        <v>B.w. in C.M. 1:4 for staircase steps Chamber
 burnt bricks 23 x 11.4 x 7.5 cm.</v>
      </c>
      <c r="D326" s="1235">
        <f>buildingfinal!C325</f>
        <v>7190.19</v>
      </c>
      <c r="E326" s="1235" t="str">
        <f>buildingfinal!D325</f>
        <v>Cum.</v>
      </c>
      <c r="F326" s="1235">
        <f t="shared" si="10"/>
        <v>0</v>
      </c>
      <c r="G326" s="1240"/>
    </row>
    <row r="327" spans="1:8" ht="30" hidden="1">
      <c r="A327" s="1233">
        <f>buildingfinal!A326</f>
        <v>27.3</v>
      </c>
      <c r="B327" s="1521">
        <f>buildingfinal!Q326</f>
        <v>0</v>
      </c>
      <c r="C327" s="1239" t="str">
        <f>buildingfinal!B326</f>
        <v>B.w. in C.M. 1:4 for staircase steps Chamber 
burnt bricks  23 x 11 x 7 cm.</v>
      </c>
      <c r="D327" s="1235">
        <f>buildingfinal!C326</f>
        <v>0</v>
      </c>
      <c r="E327" s="1235" t="str">
        <f>buildingfinal!D326</f>
        <v>Cum.</v>
      </c>
      <c r="F327" s="1235">
        <f t="shared" si="10"/>
        <v>0</v>
      </c>
      <c r="G327" s="1240"/>
      <c r="H327" s="1217"/>
    </row>
    <row r="328" spans="1:8" ht="30" hidden="1">
      <c r="A328" s="1233">
        <f>buildingfinal!A327</f>
        <v>27.4</v>
      </c>
      <c r="B328" s="1521">
        <f>buildingfinal!Q327</f>
        <v>0</v>
      </c>
      <c r="C328" s="1239" t="str">
        <f>buildingfinal!B327</f>
        <v>B.w. in C.M. 1:4 for staircase steps Chamber
 burnt bricks 22 x 11 x 7 cm.</v>
      </c>
      <c r="D328" s="1235">
        <f>buildingfinal!C327</f>
        <v>0</v>
      </c>
      <c r="E328" s="1235" t="str">
        <f>buildingfinal!D327</f>
        <v>Cum.</v>
      </c>
      <c r="F328" s="1235">
        <f t="shared" ref="F328:F391" si="13">D328*B328</f>
        <v>0</v>
      </c>
      <c r="G328" s="1240"/>
      <c r="H328" s="1217"/>
    </row>
    <row r="329" spans="1:8" ht="30" hidden="1">
      <c r="A329" s="1233">
        <f>buildingfinal!A328</f>
        <v>27.5</v>
      </c>
      <c r="B329" s="1521">
        <f>buildingfinal!Q328</f>
        <v>0</v>
      </c>
      <c r="C329" s="1239" t="str">
        <f>buildingfinal!B328</f>
        <v>B.w. in C.M. 1:4 for staircase steps Kiln burnt country bricks 22 x 11 x 7 cm.</v>
      </c>
      <c r="D329" s="1235">
        <f>buildingfinal!C328</f>
        <v>7200.82</v>
      </c>
      <c r="E329" s="1235" t="str">
        <f>buildingfinal!D328</f>
        <v>Cum.</v>
      </c>
      <c r="F329" s="1235">
        <f t="shared" si="13"/>
        <v>0</v>
      </c>
      <c r="G329" s="1240"/>
      <c r="H329" s="1217"/>
    </row>
    <row r="330" spans="1:8" s="1241" customFormat="1" ht="30" hidden="1">
      <c r="A330" s="1233">
        <f>buildingfinal!A329</f>
        <v>27.6</v>
      </c>
      <c r="B330" s="1521">
        <f>buildingfinal!Q329</f>
        <v>0</v>
      </c>
      <c r="C330" s="1239" t="str">
        <f>buildingfinal!B329</f>
        <v>B.w. in C.M. 1:4 for staircase steps Kiln burnt country bricks 22 x 11 x 5.7 cm.</v>
      </c>
      <c r="D330" s="1235">
        <f>buildingfinal!C329</f>
        <v>0</v>
      </c>
      <c r="E330" s="1235" t="str">
        <f>buildingfinal!D329</f>
        <v>Cum.</v>
      </c>
      <c r="F330" s="1235">
        <f t="shared" si="13"/>
        <v>0</v>
      </c>
      <c r="G330" s="1240"/>
    </row>
    <row r="331" spans="1:8" s="1241" customFormat="1" ht="35.25" customHeight="1">
      <c r="A331" s="1233">
        <f>buildingfinal!A330</f>
        <v>28</v>
      </c>
      <c r="B331" s="1521">
        <f>buildingfinal!Q330</f>
        <v>4.3</v>
      </c>
      <c r="C331" s="1239" t="str">
        <f>buildingfinal!B330</f>
        <v>Floor plastering in C.M. 1:4, 20 mm tk.</v>
      </c>
      <c r="D331" s="1235">
        <f>buildingfinal!C330</f>
        <v>528.02</v>
      </c>
      <c r="E331" s="1235" t="str">
        <f>buildingfinal!D330</f>
        <v>Sqm.</v>
      </c>
      <c r="F331" s="1235">
        <f t="shared" si="13"/>
        <v>2270.4899999999998</v>
      </c>
      <c r="G331" s="1240">
        <f>buildingfinal!R330</f>
        <v>2270.4899999999998</v>
      </c>
      <c r="H331" s="1216">
        <f>F331-G331</f>
        <v>0</v>
      </c>
    </row>
    <row r="332" spans="1:8" s="1241" customFormat="1" ht="17.25" hidden="1">
      <c r="A332" s="1233">
        <f>buildingfinal!A331</f>
        <v>29.1</v>
      </c>
      <c r="B332" s="1521">
        <f>buildingfinal!Q331</f>
        <v>0</v>
      </c>
      <c r="C332" s="1239" t="str">
        <f>buildingfinal!B331</f>
        <v>Mosaic tiles 20 cm x 20 cm x 2 cm.</v>
      </c>
      <c r="D332" s="1235">
        <f>buildingfinal!C331</f>
        <v>0</v>
      </c>
      <c r="E332" s="1235" t="str">
        <f>buildingfinal!D331</f>
        <v>Sqm.</v>
      </c>
      <c r="F332" s="1235">
        <f t="shared" si="13"/>
        <v>0</v>
      </c>
      <c r="G332" s="1240"/>
    </row>
    <row r="333" spans="1:8" s="1241" customFormat="1" ht="17.25" hidden="1">
      <c r="A333" s="1233">
        <f>buildingfinal!A332</f>
        <v>29.2</v>
      </c>
      <c r="B333" s="1521">
        <f>buildingfinal!Q332</f>
        <v>0</v>
      </c>
      <c r="C333" s="1239" t="str">
        <f>buildingfinal!B332</f>
        <v>Mosaic tiles 25 cm x 25 cm x 2 cm.</v>
      </c>
      <c r="D333" s="1235">
        <f>buildingfinal!C332</f>
        <v>1269.32</v>
      </c>
      <c r="E333" s="1235" t="str">
        <f>buildingfinal!D332</f>
        <v>Sqm.</v>
      </c>
      <c r="F333" s="1235">
        <f t="shared" si="13"/>
        <v>0</v>
      </c>
      <c r="G333" s="1240"/>
    </row>
    <row r="334" spans="1:8" s="1241" customFormat="1" ht="17.25" hidden="1">
      <c r="A334" s="1233">
        <f>buildingfinal!A333</f>
        <v>29.3</v>
      </c>
      <c r="B334" s="1521">
        <f>buildingfinal!Q333</f>
        <v>0</v>
      </c>
      <c r="C334" s="1239" t="str">
        <f>buildingfinal!B333</f>
        <v>Floor ceramic tiles</v>
      </c>
      <c r="D334" s="1235">
        <f>buildingfinal!C333</f>
        <v>1239.0899999999999</v>
      </c>
      <c r="E334" s="1235" t="str">
        <f>buildingfinal!D333</f>
        <v>Sqm.</v>
      </c>
      <c r="F334" s="1235">
        <f t="shared" si="13"/>
        <v>0</v>
      </c>
      <c r="G334" s="1240"/>
    </row>
    <row r="335" spans="1:8" s="1241" customFormat="1" ht="17.25" hidden="1">
      <c r="A335" s="1233">
        <f>buildingfinal!A334</f>
        <v>29.4</v>
      </c>
      <c r="B335" s="1521">
        <f>buildingfinal!Q334</f>
        <v>0</v>
      </c>
      <c r="C335" s="1239" t="str">
        <f>buildingfinal!B334</f>
        <v>Glazed tiles</v>
      </c>
      <c r="D335" s="1235">
        <f>buildingfinal!C334</f>
        <v>1413.66</v>
      </c>
      <c r="E335" s="1235" t="str">
        <f>buildingfinal!D334</f>
        <v>Sqm.</v>
      </c>
      <c r="F335" s="1235">
        <f t="shared" si="13"/>
        <v>0</v>
      </c>
      <c r="G335" s="1240"/>
    </row>
    <row r="336" spans="1:8" hidden="1">
      <c r="A336" s="1233">
        <f>buildingfinal!A335</f>
        <v>29.5</v>
      </c>
      <c r="B336" s="1521">
        <f>buildingfinal!Q335</f>
        <v>0</v>
      </c>
      <c r="C336" s="1239" t="str">
        <f>buildingfinal!B335</f>
        <v>Floor ceramic tiles (Anti-skid)</v>
      </c>
      <c r="D336" s="1235">
        <f>buildingfinal!C335</f>
        <v>1239.0899999999999</v>
      </c>
      <c r="E336" s="1235" t="str">
        <f>buildingfinal!D335</f>
        <v>Sqm.</v>
      </c>
      <c r="F336" s="1235">
        <f t="shared" si="13"/>
        <v>0</v>
      </c>
      <c r="G336" s="1240"/>
      <c r="H336" s="1217"/>
    </row>
    <row r="337" spans="1:8" s="1241" customFormat="1" ht="35.25" customHeight="1">
      <c r="A337" s="1233">
        <f>buildingfinal!A336</f>
        <v>30</v>
      </c>
      <c r="B337" s="1521">
        <f>buildingfinal!Q336</f>
        <v>39.299999999999997</v>
      </c>
      <c r="C337" s="1239" t="str">
        <f>buildingfinal!B336</f>
        <v>Ellispattern</v>
      </c>
      <c r="D337" s="1235">
        <f>buildingfinal!C336</f>
        <v>461.34</v>
      </c>
      <c r="E337" s="1235" t="str">
        <f>buildingfinal!D336</f>
        <v>Sqm.</v>
      </c>
      <c r="F337" s="1235">
        <f t="shared" si="13"/>
        <v>18130.66</v>
      </c>
      <c r="G337" s="1240">
        <f>buildingfinal!R336</f>
        <v>18130.66</v>
      </c>
      <c r="H337" s="1216">
        <f t="shared" ref="H337:H338" si="14">F337-G337</f>
        <v>0</v>
      </c>
    </row>
    <row r="338" spans="1:8" s="1241" customFormat="1" ht="35.25" customHeight="1">
      <c r="A338" s="1233">
        <f>buildingfinal!A337</f>
        <v>31</v>
      </c>
      <c r="B338" s="1521">
        <f>buildingfinal!Q337</f>
        <v>82.9</v>
      </c>
      <c r="C338" s="1239" t="str">
        <f>buildingfinal!B337</f>
        <v>Weathering course</v>
      </c>
      <c r="D338" s="1235">
        <f>buildingfinal!C337</f>
        <v>3934.05</v>
      </c>
      <c r="E338" s="1235" t="str">
        <f>buildingfinal!D337</f>
        <v>Cum.</v>
      </c>
      <c r="F338" s="1235">
        <f t="shared" si="13"/>
        <v>326132.75</v>
      </c>
      <c r="G338" s="1240">
        <f>buildingfinal!R337</f>
        <v>326132.75</v>
      </c>
      <c r="H338" s="1216">
        <f t="shared" si="14"/>
        <v>0</v>
      </c>
    </row>
    <row r="339" spans="1:8" s="1241" customFormat="1" ht="30" hidden="1">
      <c r="A339" s="1233">
        <f>buildingfinal!A338</f>
        <v>32</v>
      </c>
      <c r="B339" s="1521">
        <f>buildingfinal!Q338</f>
        <v>0</v>
      </c>
      <c r="C339" s="1239" t="str">
        <f>buildingfinal!B338</f>
        <v>Pressed tiles (23cmx23cmx20mm) mixed with Crude oil</v>
      </c>
      <c r="D339" s="1235">
        <f>buildingfinal!C338</f>
        <v>0</v>
      </c>
      <c r="E339" s="1235" t="str">
        <f>buildingfinal!D338</f>
        <v>Sqm.</v>
      </c>
      <c r="F339" s="1235">
        <f t="shared" si="13"/>
        <v>0</v>
      </c>
      <c r="G339" s="1240"/>
    </row>
    <row r="340" spans="1:8" s="1241" customFormat="1" ht="48" customHeight="1">
      <c r="A340" s="1233">
        <f>buildingfinal!A339</f>
        <v>32.1</v>
      </c>
      <c r="B340" s="1521">
        <f>buildingfinal!Q339</f>
        <v>624.6</v>
      </c>
      <c r="C340" s="1239" t="str">
        <f>buildingfinal!B339</f>
        <v>Pressed tiles (23cmx23cmx20mm) mixed with Water proofing compound</v>
      </c>
      <c r="D340" s="1235">
        <f>buildingfinal!C339</f>
        <v>1225.6099999999999</v>
      </c>
      <c r="E340" s="1235" t="str">
        <f>buildingfinal!D339</f>
        <v>Sqm.</v>
      </c>
      <c r="F340" s="1235">
        <f t="shared" si="13"/>
        <v>765516.01</v>
      </c>
      <c r="G340" s="1240">
        <f>buildingfinal!R339</f>
        <v>765516.01</v>
      </c>
      <c r="H340" s="1216">
        <f>F340-G340</f>
        <v>0</v>
      </c>
    </row>
    <row r="341" spans="1:8" s="1241" customFormat="1" ht="30" hidden="1">
      <c r="A341" s="1233">
        <f>buildingfinal!A340</f>
        <v>32.200000000000003</v>
      </c>
      <c r="B341" s="1521">
        <f>buildingfinal!Q340</f>
        <v>0</v>
      </c>
      <c r="C341" s="1239" t="str">
        <f>buildingfinal!B340</f>
        <v>Pressed tiles (23cmx23cmx18mm) mixed with Water proofing compound</v>
      </c>
      <c r="D341" s="1235">
        <f>buildingfinal!C340</f>
        <v>0</v>
      </c>
      <c r="E341" s="1235" t="str">
        <f>buildingfinal!D340</f>
        <v>Sqm.</v>
      </c>
      <c r="F341" s="1235">
        <f t="shared" si="13"/>
        <v>0</v>
      </c>
      <c r="G341" s="1240"/>
    </row>
    <row r="342" spans="1:8" ht="36.75" customHeight="1">
      <c r="A342" s="1233">
        <f>buildingfinal!A341</f>
        <v>33</v>
      </c>
      <c r="B342" s="1521">
        <f>buildingfinal!Q341</f>
        <v>5469.3</v>
      </c>
      <c r="C342" s="1239" t="str">
        <f>buildingfinal!B341</f>
        <v>Plastering in C.M. 1:5, 12 mm tk.</v>
      </c>
      <c r="D342" s="1235">
        <f>buildingfinal!C341</f>
        <v>258.99</v>
      </c>
      <c r="E342" s="1235" t="str">
        <f>buildingfinal!D341</f>
        <v>Sqm.</v>
      </c>
      <c r="F342" s="1235">
        <f t="shared" si="13"/>
        <v>1416494.01</v>
      </c>
      <c r="G342" s="1240">
        <f>buildingfinal!R341</f>
        <v>1416494.01</v>
      </c>
      <c r="H342" s="1216">
        <f t="shared" ref="H342:H349" si="15">F342-G342</f>
        <v>0</v>
      </c>
    </row>
    <row r="343" spans="1:8" ht="36.75" hidden="1" customHeight="1">
      <c r="A343" s="1233">
        <f>buildingfinal!A342</f>
        <v>34</v>
      </c>
      <c r="B343" s="1521">
        <f>buildingfinal!Q342</f>
        <v>0</v>
      </c>
      <c r="C343" s="1239" t="str">
        <f>buildingfinal!B342</f>
        <v>Plastering in C.M. 1:4, 12 mm tk.</v>
      </c>
      <c r="D343" s="1235">
        <f>buildingfinal!C342</f>
        <v>265.08</v>
      </c>
      <c r="E343" s="1235" t="str">
        <f>buildingfinal!D342</f>
        <v>Sqm.</v>
      </c>
      <c r="F343" s="1235">
        <f t="shared" si="13"/>
        <v>0</v>
      </c>
      <c r="G343" s="1240">
        <f>buildingfinal!R342</f>
        <v>0</v>
      </c>
      <c r="H343" s="1216">
        <f t="shared" si="15"/>
        <v>0</v>
      </c>
    </row>
    <row r="344" spans="1:8" s="1241" customFormat="1" ht="48" customHeight="1">
      <c r="A344" s="1233">
        <f>buildingfinal!A343</f>
        <v>35</v>
      </c>
      <c r="B344" s="1521">
        <f>buildingfinal!Q343</f>
        <v>2487.6</v>
      </c>
      <c r="C344" s="1239" t="str">
        <f>buildingfinal!B343</f>
        <v>Spl. Ceiling plastering in C.M. 1:3,
 10 mm tk.</v>
      </c>
      <c r="D344" s="1235">
        <f>buildingfinal!C343</f>
        <v>297.5</v>
      </c>
      <c r="E344" s="1235" t="str">
        <f>buildingfinal!D343</f>
        <v>Sqm.</v>
      </c>
      <c r="F344" s="1235">
        <f t="shared" si="13"/>
        <v>740061</v>
      </c>
      <c r="G344" s="1240">
        <f>buildingfinal!R343</f>
        <v>740061</v>
      </c>
      <c r="H344" s="1216">
        <f t="shared" si="15"/>
        <v>0</v>
      </c>
    </row>
    <row r="345" spans="1:8" s="1241" customFormat="1" ht="33.75" customHeight="1">
      <c r="A345" s="1233">
        <f>buildingfinal!A344</f>
        <v>36</v>
      </c>
      <c r="B345" s="1260" t="str">
        <f>buildingfinal!Q344</f>
        <v>*</v>
      </c>
      <c r="C345" s="1234" t="str">
        <f>buildingfinal!B344</f>
        <v>Cement mortar Border in  C.M. 1:5, 12 mm tk.</v>
      </c>
      <c r="D345" s="1235">
        <f>buildingfinal!C344</f>
        <v>0</v>
      </c>
      <c r="E345" s="1235">
        <f>buildingfinal!D344</f>
        <v>0</v>
      </c>
      <c r="F345" s="1235"/>
      <c r="G345" s="1240">
        <f>buildingfinal!R344</f>
        <v>0</v>
      </c>
      <c r="H345" s="1216">
        <f t="shared" si="15"/>
        <v>0</v>
      </c>
    </row>
    <row r="346" spans="1:8" s="1241" customFormat="1" ht="33.75" customHeight="1">
      <c r="A346" s="1233" t="str">
        <f>buildingfinal!A345</f>
        <v xml:space="preserve"> </v>
      </c>
      <c r="B346" s="1521">
        <f>buildingfinal!Q345</f>
        <v>240.6</v>
      </c>
      <c r="C346" s="1239" t="str">
        <f>buildingfinal!B345</f>
        <v>a. 150 mm wide</v>
      </c>
      <c r="D346" s="1235">
        <f>buildingfinal!C345</f>
        <v>83.46</v>
      </c>
      <c r="E346" s="1235" t="str">
        <f>buildingfinal!D345</f>
        <v>Rmt</v>
      </c>
      <c r="F346" s="1235">
        <f t="shared" si="13"/>
        <v>20080.48</v>
      </c>
      <c r="G346" s="1240">
        <f>buildingfinal!R345</f>
        <v>20080.48</v>
      </c>
      <c r="H346" s="1216">
        <f t="shared" si="15"/>
        <v>0</v>
      </c>
    </row>
    <row r="347" spans="1:8" ht="33.75" customHeight="1">
      <c r="A347" s="1233">
        <f>buildingfinal!A346</f>
        <v>0</v>
      </c>
      <c r="B347" s="1521">
        <f>buildingfinal!Q346</f>
        <v>348.1</v>
      </c>
      <c r="C347" s="1239" t="str">
        <f>buildingfinal!B346</f>
        <v>b. 75 mm wide</v>
      </c>
      <c r="D347" s="1235">
        <f>buildingfinal!C346</f>
        <v>54.44</v>
      </c>
      <c r="E347" s="1235" t="str">
        <f>buildingfinal!D346</f>
        <v>Rmt</v>
      </c>
      <c r="F347" s="1235">
        <f t="shared" si="13"/>
        <v>18950.560000000001</v>
      </c>
      <c r="G347" s="1240">
        <f>buildingfinal!R346</f>
        <v>18950.560000000001</v>
      </c>
      <c r="H347" s="1216">
        <f t="shared" si="15"/>
        <v>0</v>
      </c>
    </row>
    <row r="348" spans="1:8" ht="33.75" customHeight="1">
      <c r="A348" s="1233">
        <f>buildingfinal!A347</f>
        <v>0</v>
      </c>
      <c r="B348" s="1521">
        <f>buildingfinal!Q347</f>
        <v>305.39999999999998</v>
      </c>
      <c r="C348" s="1239" t="str">
        <f>buildingfinal!B347</f>
        <v>c. 50 mm wide</v>
      </c>
      <c r="D348" s="1235">
        <f>buildingfinal!C347</f>
        <v>40.549999999999997</v>
      </c>
      <c r="E348" s="1235" t="str">
        <f>buildingfinal!D347</f>
        <v>Rmt</v>
      </c>
      <c r="F348" s="1235">
        <f t="shared" si="13"/>
        <v>12383.97</v>
      </c>
      <c r="G348" s="1240">
        <f>buildingfinal!R347</f>
        <v>12383.97</v>
      </c>
      <c r="H348" s="1216">
        <f t="shared" si="15"/>
        <v>0</v>
      </c>
    </row>
    <row r="349" spans="1:8" ht="33.75" customHeight="1">
      <c r="A349" s="1233">
        <f>buildingfinal!A348</f>
        <v>37.1</v>
      </c>
      <c r="B349" s="1521">
        <f>buildingfinal!Q348</f>
        <v>2487.6</v>
      </c>
      <c r="C349" s="1239" t="str">
        <f>buildingfinal!B348</f>
        <v>White washing 3 coats  (slaked)</v>
      </c>
      <c r="D349" s="1235">
        <f>buildingfinal!C348</f>
        <v>47.21</v>
      </c>
      <c r="E349" s="1235" t="str">
        <f>buildingfinal!D348</f>
        <v>Sqm.</v>
      </c>
      <c r="F349" s="1235">
        <f t="shared" si="13"/>
        <v>117439.6</v>
      </c>
      <c r="G349" s="1240">
        <f>buildingfinal!R348</f>
        <v>117439.6</v>
      </c>
      <c r="H349" s="1216">
        <f t="shared" si="15"/>
        <v>0</v>
      </c>
    </row>
    <row r="350" spans="1:8" s="1241" customFormat="1" ht="17.25" hidden="1">
      <c r="A350" s="1233">
        <f>buildingfinal!A349</f>
        <v>37.200000000000003</v>
      </c>
      <c r="B350" s="1521">
        <f>buildingfinal!Q349</f>
        <v>0</v>
      </c>
      <c r="C350" s="1239" t="str">
        <f>buildingfinal!B349</f>
        <v>Colour washing  ( slaked)</v>
      </c>
      <c r="D350" s="1235">
        <f>buildingfinal!C349</f>
        <v>52.47</v>
      </c>
      <c r="E350" s="1235" t="str">
        <f>buildingfinal!D349</f>
        <v>Sqm.</v>
      </c>
      <c r="F350" s="1235">
        <f t="shared" si="13"/>
        <v>0</v>
      </c>
      <c r="G350" s="1240"/>
    </row>
    <row r="351" spans="1:8" hidden="1">
      <c r="A351" s="1233">
        <f>buildingfinal!A350</f>
        <v>38.1</v>
      </c>
      <c r="B351" s="1521">
        <f>buildingfinal!Q350</f>
        <v>0</v>
      </c>
      <c r="C351" s="1239" t="str">
        <f>buildingfinal!B350</f>
        <v>Cement paint</v>
      </c>
      <c r="D351" s="1235">
        <f>buildingfinal!C350</f>
        <v>204.36</v>
      </c>
      <c r="E351" s="1235" t="str">
        <f>buildingfinal!D350</f>
        <v>Sqm.</v>
      </c>
      <c r="F351" s="1235">
        <f t="shared" si="13"/>
        <v>0</v>
      </c>
      <c r="G351" s="1240"/>
      <c r="H351" s="1217"/>
    </row>
    <row r="352" spans="1:8" hidden="1">
      <c r="A352" s="1233">
        <f>buildingfinal!A351</f>
        <v>38.200000000000003</v>
      </c>
      <c r="B352" s="1521">
        <f>buildingfinal!Q351</f>
        <v>0</v>
      </c>
      <c r="C352" s="1239" t="str">
        <f>buildingfinal!B351</f>
        <v>Matt paint</v>
      </c>
      <c r="D352" s="1235">
        <f>buildingfinal!C351</f>
        <v>169</v>
      </c>
      <c r="E352" s="1235" t="str">
        <f>buildingfinal!D351</f>
        <v>Sqm.</v>
      </c>
      <c r="F352" s="1235">
        <f t="shared" si="13"/>
        <v>0</v>
      </c>
      <c r="G352" s="1240"/>
      <c r="H352" s="1217"/>
    </row>
    <row r="353" spans="1:8" ht="33.75" customHeight="1">
      <c r="A353" s="1233">
        <f>buildingfinal!A352</f>
        <v>39</v>
      </c>
      <c r="B353" s="1521">
        <f>buildingfinal!Q352</f>
        <v>5337</v>
      </c>
      <c r="C353" s="1239" t="str">
        <f>buildingfinal!B352</f>
        <v>M.s Grills</v>
      </c>
      <c r="D353" s="1235">
        <f>buildingfinal!C352</f>
        <v>70.150000000000006</v>
      </c>
      <c r="E353" s="1235" t="str">
        <f>buildingfinal!D352</f>
        <v>Kg.</v>
      </c>
      <c r="F353" s="1235">
        <f t="shared" si="13"/>
        <v>374390.55</v>
      </c>
      <c r="G353" s="1240">
        <f>buildingfinal!R352</f>
        <v>374390.55</v>
      </c>
      <c r="H353" s="1216">
        <f t="shared" ref="H353:H355" si="16">F353-G353</f>
        <v>0</v>
      </c>
    </row>
    <row r="354" spans="1:8" ht="33.75" customHeight="1">
      <c r="A354" s="1233">
        <f>buildingfinal!A353</f>
        <v>40</v>
      </c>
      <c r="B354" s="1521">
        <f>buildingfinal!Q353</f>
        <v>154.30000000000001</v>
      </c>
      <c r="C354" s="1239" t="str">
        <f>buildingfinal!B353</f>
        <v>Painting - New "wood work"</v>
      </c>
      <c r="D354" s="1235">
        <f>buildingfinal!C353</f>
        <v>240.31</v>
      </c>
      <c r="E354" s="1235" t="str">
        <f>buildingfinal!D353</f>
        <v>Sqm.</v>
      </c>
      <c r="F354" s="1235">
        <f t="shared" si="13"/>
        <v>37079.83</v>
      </c>
      <c r="G354" s="1240">
        <f>buildingfinal!R353</f>
        <v>37079.83</v>
      </c>
      <c r="H354" s="1216">
        <f t="shared" si="16"/>
        <v>0</v>
      </c>
    </row>
    <row r="355" spans="1:8" s="1241" customFormat="1" ht="33.75" customHeight="1">
      <c r="A355" s="1233">
        <f>buildingfinal!A354</f>
        <v>41</v>
      </c>
      <c r="B355" s="1521">
        <f>buildingfinal!Q354</f>
        <v>223.9</v>
      </c>
      <c r="C355" s="1239" t="str">
        <f>buildingfinal!B354</f>
        <v>Painting - New "iron work"</v>
      </c>
      <c r="D355" s="1235">
        <f>buildingfinal!C354</f>
        <v>142.15</v>
      </c>
      <c r="E355" s="1235" t="str">
        <f>buildingfinal!D354</f>
        <v>Sqm.</v>
      </c>
      <c r="F355" s="1235">
        <f t="shared" si="13"/>
        <v>31827.39</v>
      </c>
      <c r="G355" s="1240">
        <f>buildingfinal!R354</f>
        <v>31827.39</v>
      </c>
      <c r="H355" s="1216">
        <f t="shared" si="16"/>
        <v>0</v>
      </c>
    </row>
    <row r="356" spans="1:8" s="1241" customFormat="1" ht="30" hidden="1">
      <c r="A356" s="1233">
        <f>buildingfinal!A355</f>
        <v>42</v>
      </c>
      <c r="B356" s="1521">
        <f>buildingfinal!Q355</f>
        <v>0</v>
      </c>
      <c r="C356" s="1239" t="str">
        <f>buildingfinal!B355</f>
        <v>Fabrication of Mild steel / RTS grills
(with cement slurry wash)</v>
      </c>
      <c r="D356" s="1235">
        <f>buildingfinal!C355</f>
        <v>0</v>
      </c>
      <c r="E356" s="1235">
        <f>buildingfinal!D355</f>
        <v>0</v>
      </c>
      <c r="F356" s="1235">
        <f t="shared" si="13"/>
        <v>0</v>
      </c>
      <c r="G356" s="1240">
        <f>'[2]Abstract '!D356</f>
        <v>54.5</v>
      </c>
      <c r="H356" s="1216">
        <f>'[2]Abstract '!F356</f>
        <v>151668.04999999999</v>
      </c>
    </row>
    <row r="357" spans="1:8" s="1241" customFormat="1" ht="17.25" hidden="1">
      <c r="A357" s="1233">
        <f>buildingfinal!A356</f>
        <v>0</v>
      </c>
      <c r="B357" s="1521">
        <f>buildingfinal!Q356</f>
        <v>0</v>
      </c>
      <c r="C357" s="1239" t="str">
        <f>buildingfinal!B356</f>
        <v>a. upto 16mm dia rods</v>
      </c>
      <c r="D357" s="1235">
        <f>buildingfinal!C356</f>
        <v>92263.5</v>
      </c>
      <c r="E357" s="1235" t="str">
        <f>buildingfinal!D356</f>
        <v>MT</v>
      </c>
      <c r="F357" s="1235">
        <f t="shared" si="13"/>
        <v>0</v>
      </c>
      <c r="G357" s="1240">
        <f>'[2]Abstract '!D357</f>
        <v>209.27</v>
      </c>
      <c r="H357" s="1216">
        <f>'[2]Abstract '!F357</f>
        <v>10505.35</v>
      </c>
    </row>
    <row r="358" spans="1:8" hidden="1">
      <c r="A358" s="1233">
        <f>buildingfinal!A357</f>
        <v>0</v>
      </c>
      <c r="B358" s="1521">
        <f>buildingfinal!Q357</f>
        <v>0</v>
      </c>
      <c r="C358" s="1239" t="str">
        <f>buildingfinal!B357</f>
        <v>b. above 16mm dia rods</v>
      </c>
      <c r="D358" s="1235">
        <f>buildingfinal!C357</f>
        <v>92263.5</v>
      </c>
      <c r="E358" s="1235" t="str">
        <f>buildingfinal!D357</f>
        <v>MT</v>
      </c>
      <c r="F358" s="1235">
        <f t="shared" si="13"/>
        <v>0</v>
      </c>
      <c r="G358" s="1240">
        <f>'[2]Abstract '!D358</f>
        <v>124.12</v>
      </c>
      <c r="H358" s="1216">
        <f>'[2]Abstract '!F358</f>
        <v>12846.42</v>
      </c>
    </row>
    <row r="359" spans="1:8" ht="30" hidden="1">
      <c r="A359" s="1233">
        <f>buildingfinal!A358</f>
        <v>43</v>
      </c>
      <c r="B359" s="1521">
        <f>buildingfinal!Q358</f>
        <v>0</v>
      </c>
      <c r="C359" s="1239" t="str">
        <f>buildingfinal!B358</f>
        <v xml:space="preserve">Fabrication of Mild steel / RTS grills 
</v>
      </c>
      <c r="D359" s="1235">
        <f>buildingfinal!C358</f>
        <v>0</v>
      </c>
      <c r="E359" s="1235">
        <f>buildingfinal!D358</f>
        <v>0</v>
      </c>
      <c r="F359" s="1235">
        <f t="shared" si="13"/>
        <v>0</v>
      </c>
      <c r="G359" s="1240"/>
      <c r="H359" s="1217"/>
    </row>
    <row r="360" spans="1:8" hidden="1">
      <c r="A360" s="1233">
        <f>buildingfinal!A359</f>
        <v>0</v>
      </c>
      <c r="B360" s="1521">
        <f>buildingfinal!Q359</f>
        <v>0</v>
      </c>
      <c r="C360" s="1239" t="str">
        <f>buildingfinal!B359</f>
        <v>a. upto 16mm dia rods</v>
      </c>
      <c r="D360" s="1235">
        <f>buildingfinal!C359</f>
        <v>90172</v>
      </c>
      <c r="E360" s="1235" t="str">
        <f>buildingfinal!D359</f>
        <v>MT</v>
      </c>
      <c r="F360" s="1235">
        <f t="shared" si="13"/>
        <v>0</v>
      </c>
      <c r="G360" s="1240"/>
      <c r="H360" s="1217"/>
    </row>
    <row r="361" spans="1:8" s="1241" customFormat="1" ht="17.25" hidden="1">
      <c r="A361" s="1233">
        <f>buildingfinal!A360</f>
        <v>0</v>
      </c>
      <c r="B361" s="1521">
        <f>buildingfinal!Q360</f>
        <v>0</v>
      </c>
      <c r="C361" s="1239" t="str">
        <f>buildingfinal!B360</f>
        <v>b. above 16mm dia rods</v>
      </c>
      <c r="D361" s="1235">
        <f>buildingfinal!C360</f>
        <v>90172</v>
      </c>
      <c r="E361" s="1235" t="str">
        <f>buildingfinal!D360</f>
        <v>MT</v>
      </c>
      <c r="F361" s="1235">
        <f t="shared" si="13"/>
        <v>0</v>
      </c>
      <c r="G361" s="1240"/>
    </row>
    <row r="362" spans="1:8" s="1241" customFormat="1" ht="17.25" hidden="1">
      <c r="A362" s="1233">
        <f>buildingfinal!A361</f>
        <v>44.1</v>
      </c>
      <c r="B362" s="1521">
        <f>buildingfinal!Q361</f>
        <v>0</v>
      </c>
      <c r="C362" s="1239" t="str">
        <f>buildingfinal!B361</f>
        <v>PVC SWR 110 mm dia Rain water pipe</v>
      </c>
      <c r="D362" s="1235">
        <f>buildingfinal!C361</f>
        <v>349.29</v>
      </c>
      <c r="E362" s="1235" t="str">
        <f>buildingfinal!D361</f>
        <v>Rmt</v>
      </c>
      <c r="F362" s="1235">
        <f t="shared" si="13"/>
        <v>0</v>
      </c>
      <c r="G362" s="1240"/>
    </row>
    <row r="363" spans="1:8" s="1241" customFormat="1" ht="30" hidden="1">
      <c r="A363" s="1233">
        <f>buildingfinal!A362</f>
        <v>44.2</v>
      </c>
      <c r="B363" s="1521">
        <f>buildingfinal!Q362</f>
        <v>0</v>
      </c>
      <c r="C363" s="1239" t="str">
        <f>buildingfinal!B362</f>
        <v>Rain Water Harvesting using Defunct borewell method</v>
      </c>
      <c r="D363" s="1235">
        <f>buildingfinal!C362</f>
        <v>0</v>
      </c>
      <c r="E363" s="1235" t="str">
        <f>buildingfinal!D362</f>
        <v>Each</v>
      </c>
      <c r="F363" s="1235">
        <f t="shared" si="13"/>
        <v>0</v>
      </c>
      <c r="G363" s="1240"/>
    </row>
    <row r="364" spans="1:8" s="1241" customFormat="1" ht="17.25" hidden="1">
      <c r="A364" s="1233">
        <f>buildingfinal!A363</f>
        <v>45</v>
      </c>
      <c r="B364" s="1521">
        <f>buildingfinal!Q363</f>
        <v>0</v>
      </c>
      <c r="C364" s="1239" t="str">
        <f>buildingfinal!B363</f>
        <v>Stucco plastering 12 mm tk.</v>
      </c>
      <c r="D364" s="1235">
        <f>buildingfinal!C363</f>
        <v>329.26</v>
      </c>
      <c r="E364" s="1235" t="str">
        <f>buildingfinal!D363</f>
        <v>Sqm.</v>
      </c>
      <c r="F364" s="1235">
        <f t="shared" si="13"/>
        <v>0</v>
      </c>
      <c r="G364" s="1240"/>
    </row>
    <row r="365" spans="1:8" s="1241" customFormat="1" ht="33.75" customHeight="1">
      <c r="A365" s="1233">
        <f>buildingfinal!A364</f>
        <v>46</v>
      </c>
      <c r="B365" s="1521">
        <f>buildingfinal!Q364</f>
        <v>17.899999999999999</v>
      </c>
      <c r="C365" s="1239" t="str">
        <f>buildingfinal!B364</f>
        <v>S &amp; F 20 mm dia Alu. Hanger Rod</v>
      </c>
      <c r="D365" s="1235">
        <f>buildingfinal!C364</f>
        <v>58</v>
      </c>
      <c r="E365" s="1235" t="str">
        <f>buildingfinal!D364</f>
        <v>Rmt</v>
      </c>
      <c r="F365" s="1235">
        <f t="shared" si="13"/>
        <v>1038.2</v>
      </c>
      <c r="G365" s="1240">
        <f>buildingfinal!R364</f>
        <v>1038.2</v>
      </c>
      <c r="H365" s="1216">
        <f t="shared" ref="H365:H368" si="17">F365-G365</f>
        <v>0</v>
      </c>
    </row>
    <row r="366" spans="1:8" s="1241" customFormat="1" ht="33.75" customHeight="1">
      <c r="A366" s="1233">
        <f>buildingfinal!A365</f>
        <v>47</v>
      </c>
      <c r="B366" s="1521">
        <f>buildingfinal!Q365</f>
        <v>24</v>
      </c>
      <c r="C366" s="1239" t="str">
        <f>buildingfinal!B365</f>
        <v>S &amp; F Alu  Towel rail 75 cm long</v>
      </c>
      <c r="D366" s="1235">
        <f>buildingfinal!C365</f>
        <v>95</v>
      </c>
      <c r="E366" s="1235" t="str">
        <f>buildingfinal!D365</f>
        <v>Each</v>
      </c>
      <c r="F366" s="1235">
        <f t="shared" si="13"/>
        <v>2280</v>
      </c>
      <c r="G366" s="1240">
        <f>buildingfinal!R365</f>
        <v>2280</v>
      </c>
      <c r="H366" s="1216">
        <f t="shared" si="17"/>
        <v>0</v>
      </c>
    </row>
    <row r="367" spans="1:8" s="1241" customFormat="1" ht="33.75" customHeight="1">
      <c r="A367" s="1233">
        <f>buildingfinal!A366</f>
        <v>48</v>
      </c>
      <c r="B367" s="1521">
        <f>buildingfinal!Q366</f>
        <v>13</v>
      </c>
      <c r="C367" s="1239" t="str">
        <f>buildingfinal!B366</f>
        <v>S &amp; F 5 pin Coat stand</v>
      </c>
      <c r="D367" s="1235">
        <f>buildingfinal!C366</f>
        <v>55</v>
      </c>
      <c r="E367" s="1235" t="str">
        <f>buildingfinal!D366</f>
        <v>Each</v>
      </c>
      <c r="F367" s="1235">
        <f t="shared" si="13"/>
        <v>715</v>
      </c>
      <c r="G367" s="1240">
        <f>buildingfinal!R366</f>
        <v>715</v>
      </c>
      <c r="H367" s="1216">
        <f t="shared" si="17"/>
        <v>0</v>
      </c>
    </row>
    <row r="368" spans="1:8" s="1241" customFormat="1" ht="33.75" customHeight="1">
      <c r="A368" s="1233">
        <f>buildingfinal!A367</f>
        <v>49</v>
      </c>
      <c r="B368" s="1521">
        <f>buildingfinal!Q367</f>
        <v>48</v>
      </c>
      <c r="C368" s="1239" t="str">
        <f>buildingfinal!B367</f>
        <v>S &amp; F chromium plated 8 guage Picture Hook</v>
      </c>
      <c r="D368" s="1235">
        <f>buildingfinal!C367</f>
        <v>1.5</v>
      </c>
      <c r="E368" s="1235" t="str">
        <f>buildingfinal!D367</f>
        <v>Each</v>
      </c>
      <c r="F368" s="1235">
        <f t="shared" si="13"/>
        <v>72</v>
      </c>
      <c r="G368" s="1240">
        <f>buildingfinal!R367</f>
        <v>72</v>
      </c>
      <c r="H368" s="1216">
        <f t="shared" si="17"/>
        <v>0</v>
      </c>
    </row>
    <row r="369" spans="1:8" s="1241" customFormat="1" ht="17.25" hidden="1">
      <c r="A369" s="1233">
        <f>buildingfinal!A368</f>
        <v>50.1</v>
      </c>
      <c r="B369" s="1521">
        <f>buildingfinal!Q368</f>
        <v>0</v>
      </c>
      <c r="C369" s="1239" t="str">
        <f>buildingfinal!B368</f>
        <v>Precast slab 50 mm tk.in C.C. 1:3:6</v>
      </c>
      <c r="D369" s="1235">
        <f>buildingfinal!C368</f>
        <v>0</v>
      </c>
      <c r="E369" s="1235" t="str">
        <f>buildingfinal!D368</f>
        <v>Sqm.</v>
      </c>
      <c r="F369" s="1235">
        <f t="shared" si="13"/>
        <v>0</v>
      </c>
      <c r="G369" s="1240">
        <f>'[2]Abstract '!D369</f>
        <v>95</v>
      </c>
      <c r="H369" s="1216">
        <f>'[2]Abstract '!F369</f>
        <v>1710</v>
      </c>
    </row>
    <row r="370" spans="1:8" ht="43.5" customHeight="1">
      <c r="A370" s="1233">
        <f>buildingfinal!A369</f>
        <v>50.2</v>
      </c>
      <c r="B370" s="1521">
        <f>buildingfinal!Q369</f>
        <v>50.4</v>
      </c>
      <c r="C370" s="1239" t="str">
        <f>buildingfinal!B369</f>
        <v xml:space="preserve">Providing precast Kerb stone in C.C. 1:3:6,  450 x 300 x 150 mm </v>
      </c>
      <c r="D370" s="1235">
        <f>buildingfinal!C369</f>
        <v>265.58999999999997</v>
      </c>
      <c r="E370" s="1235" t="str">
        <f>buildingfinal!D369</f>
        <v>Rmt</v>
      </c>
      <c r="F370" s="1235">
        <f t="shared" si="13"/>
        <v>13385.74</v>
      </c>
      <c r="G370" s="1240">
        <f>buildingfinal!R369</f>
        <v>13385.74</v>
      </c>
      <c r="H370" s="1216">
        <f t="shared" ref="H370:H373" si="18">F370-G370</f>
        <v>0</v>
      </c>
    </row>
    <row r="371" spans="1:8" ht="33.75" customHeight="1">
      <c r="A371" s="1233">
        <f>buildingfinal!A370</f>
        <v>50.3</v>
      </c>
      <c r="B371" s="1521">
        <f>buildingfinal!Q370</f>
        <v>10</v>
      </c>
      <c r="C371" s="1239" t="str">
        <f>buildingfinal!B370</f>
        <v>Supply and planting avenue trees</v>
      </c>
      <c r="D371" s="1235">
        <f>buildingfinal!C370</f>
        <v>365.51</v>
      </c>
      <c r="E371" s="1235" t="str">
        <f>buildingfinal!D370</f>
        <v>Each</v>
      </c>
      <c r="F371" s="1235">
        <f t="shared" si="13"/>
        <v>3655.1</v>
      </c>
      <c r="G371" s="1240">
        <f>buildingfinal!R370</f>
        <v>3655.1</v>
      </c>
      <c r="H371" s="1216">
        <f t="shared" si="18"/>
        <v>0</v>
      </c>
    </row>
    <row r="372" spans="1:8" ht="33.75" customHeight="1">
      <c r="A372" s="1233">
        <f>buildingfinal!A371</f>
        <v>50.4</v>
      </c>
      <c r="B372" s="1521">
        <f>buildingfinal!Q371</f>
        <v>10</v>
      </c>
      <c r="C372" s="1239" t="str">
        <f>buildingfinal!B371</f>
        <v>Providing Tree guard</v>
      </c>
      <c r="D372" s="1235">
        <f>buildingfinal!C371</f>
        <v>903.38</v>
      </c>
      <c r="E372" s="1235" t="str">
        <f>buildingfinal!D371</f>
        <v>Each</v>
      </c>
      <c r="F372" s="1235">
        <f t="shared" si="13"/>
        <v>9033.7999999999993</v>
      </c>
      <c r="G372" s="1240">
        <f>buildingfinal!R371</f>
        <v>9033.7999999999993</v>
      </c>
      <c r="H372" s="1216">
        <f t="shared" si="18"/>
        <v>0</v>
      </c>
    </row>
    <row r="373" spans="1:8" ht="40.5" customHeight="1">
      <c r="A373" s="1233">
        <f>buildingfinal!A372</f>
        <v>50.5</v>
      </c>
      <c r="B373" s="1521">
        <f>buildingfinal!Q372</f>
        <v>1</v>
      </c>
      <c r="C373" s="1239" t="str">
        <f>buildingfinal!B372</f>
        <v>Supplying. Fabricating and erection of M.S Scheme Name board</v>
      </c>
      <c r="D373" s="1235">
        <f>buildingfinal!C372</f>
        <v>19525.759999999998</v>
      </c>
      <c r="E373" s="1235" t="str">
        <f>buildingfinal!D372</f>
        <v>Each</v>
      </c>
      <c r="F373" s="1235">
        <f t="shared" si="13"/>
        <v>19525.759999999998</v>
      </c>
      <c r="G373" s="1240">
        <f>buildingfinal!R372</f>
        <v>19525.759999999998</v>
      </c>
      <c r="H373" s="1216">
        <f t="shared" si="18"/>
        <v>0</v>
      </c>
    </row>
    <row r="374" spans="1:8" s="1241" customFormat="1" ht="17.25" hidden="1">
      <c r="A374" s="1233">
        <f>buildingfinal!A373</f>
        <v>51</v>
      </c>
      <c r="B374" s="1521">
        <f>buildingfinal!Q373</f>
        <v>0</v>
      </c>
      <c r="C374" s="1239" t="str">
        <f>buildingfinal!B373</f>
        <v>HDPE water tank 700 lit capacity with ISI mark</v>
      </c>
      <c r="D374" s="1235">
        <f>buildingfinal!C373</f>
        <v>7035</v>
      </c>
      <c r="E374" s="1235" t="str">
        <f>buildingfinal!D373</f>
        <v>Each</v>
      </c>
      <c r="F374" s="1235">
        <f t="shared" si="13"/>
        <v>0</v>
      </c>
      <c r="G374" s="1240">
        <f>'[2]Abstract '!D374</f>
        <v>303.26</v>
      </c>
      <c r="H374" s="1216">
        <f>'[2]Abstract '!F374</f>
        <v>3639.12</v>
      </c>
    </row>
    <row r="375" spans="1:8" ht="33.75" customHeight="1">
      <c r="A375" s="1233">
        <f>buildingfinal!A374</f>
        <v>52</v>
      </c>
      <c r="B375" s="1260" t="str">
        <f>buildingfinal!Q374</f>
        <v>*</v>
      </c>
      <c r="C375" s="1234" t="str">
        <f>buildingfinal!B374</f>
        <v>PVC Water supply (ASTM)</v>
      </c>
      <c r="D375" s="1235">
        <f>buildingfinal!C374</f>
        <v>0</v>
      </c>
      <c r="E375" s="1235">
        <f>buildingfinal!D374</f>
        <v>0</v>
      </c>
      <c r="F375" s="1235"/>
      <c r="G375" s="1240">
        <f>'[2]Abstract '!D375</f>
        <v>790.6</v>
      </c>
      <c r="H375" s="1216">
        <f>'[2]Abstract '!F375</f>
        <v>9487.2000000000007</v>
      </c>
    </row>
    <row r="376" spans="1:8" ht="33.75" customHeight="1">
      <c r="A376" s="1233">
        <f>buildingfinal!A375</f>
        <v>0</v>
      </c>
      <c r="B376" s="1521">
        <f>buildingfinal!Q375</f>
        <v>37.4</v>
      </c>
      <c r="C376" s="1239" t="str">
        <f>buildingfinal!B375</f>
        <v xml:space="preserve">a. 32 mm dia </v>
      </c>
      <c r="D376" s="1235">
        <f>buildingfinal!C375</f>
        <v>261.45999999999998</v>
      </c>
      <c r="E376" s="1235" t="str">
        <f>buildingfinal!D375</f>
        <v>Rmt</v>
      </c>
      <c r="F376" s="1235">
        <f t="shared" si="13"/>
        <v>9778.6</v>
      </c>
      <c r="G376" s="1240">
        <f>'[2]Abstract '!D376</f>
        <v>15381.73</v>
      </c>
      <c r="H376" s="1216">
        <f>'[2]Abstract '!F376</f>
        <v>15381.73</v>
      </c>
    </row>
    <row r="377" spans="1:8" ht="33.75" customHeight="1">
      <c r="A377" s="1233">
        <f>buildingfinal!A376</f>
        <v>0</v>
      </c>
      <c r="B377" s="1521">
        <f>buildingfinal!Q376</f>
        <v>155.6</v>
      </c>
      <c r="C377" s="1239" t="str">
        <f>buildingfinal!B376</f>
        <v xml:space="preserve">b. 25 mm dia </v>
      </c>
      <c r="D377" s="1235">
        <f>buildingfinal!C376</f>
        <v>243.43</v>
      </c>
      <c r="E377" s="1235" t="str">
        <f>buildingfinal!D376</f>
        <v>Rmt</v>
      </c>
      <c r="F377" s="1235">
        <f t="shared" si="13"/>
        <v>37877.71</v>
      </c>
      <c r="G377" s="1240"/>
      <c r="H377" s="1217"/>
    </row>
    <row r="378" spans="1:8" ht="33.75" customHeight="1">
      <c r="A378" s="1233">
        <f>buildingfinal!A377</f>
        <v>0</v>
      </c>
      <c r="B378" s="1521">
        <f>buildingfinal!Q377</f>
        <v>90.6</v>
      </c>
      <c r="C378" s="1239" t="str">
        <f>buildingfinal!B377</f>
        <v xml:space="preserve">c. 20 mm dia </v>
      </c>
      <c r="D378" s="1235">
        <f>buildingfinal!C377</f>
        <v>238.64</v>
      </c>
      <c r="E378" s="1235" t="str">
        <f>buildingfinal!D377</f>
        <v>Rmt</v>
      </c>
      <c r="F378" s="1235">
        <f t="shared" si="13"/>
        <v>21620.78</v>
      </c>
      <c r="G378" s="1240"/>
      <c r="H378" s="1217"/>
    </row>
    <row r="379" spans="1:8" s="1241" customFormat="1" ht="41.25" customHeight="1">
      <c r="A379" s="1233">
        <f>buildingfinal!A378</f>
        <v>52.1</v>
      </c>
      <c r="B379" s="1521">
        <f>buildingfinal!Q378</f>
        <v>10</v>
      </c>
      <c r="C379" s="1239" t="str">
        <f>buildingfinal!B378</f>
        <v>G.I Pipe 20mm dia for Hot water line (Fully Concealed in walls)</v>
      </c>
      <c r="D379" s="1235">
        <f>buildingfinal!C378</f>
        <v>321.08</v>
      </c>
      <c r="E379" s="1235" t="str">
        <f>buildingfinal!D378</f>
        <v>Rmt</v>
      </c>
      <c r="F379" s="1235">
        <f t="shared" si="13"/>
        <v>3210.8</v>
      </c>
      <c r="G379" s="1240">
        <f>buildingfinal!R378</f>
        <v>3210.8</v>
      </c>
      <c r="H379" s="1216">
        <f>F379-G379</f>
        <v>0</v>
      </c>
    </row>
    <row r="380" spans="1:8" s="1241" customFormat="1" ht="17.25" hidden="1">
      <c r="A380" s="1233">
        <f>buildingfinal!A379</f>
        <v>53.1</v>
      </c>
      <c r="B380" s="1521">
        <f>buildingfinal!Q379</f>
        <v>0</v>
      </c>
      <c r="C380" s="1239" t="str">
        <f>buildingfinal!B379</f>
        <v>Wash basin</v>
      </c>
      <c r="D380" s="1235">
        <f>buildingfinal!C379</f>
        <v>3406.02</v>
      </c>
      <c r="E380" s="1235" t="str">
        <f>buildingfinal!D379</f>
        <v>Each</v>
      </c>
      <c r="F380" s="1235">
        <f t="shared" si="13"/>
        <v>0</v>
      </c>
      <c r="G380" s="1240"/>
    </row>
    <row r="381" spans="1:8" ht="30" hidden="1">
      <c r="A381" s="1233">
        <f>buildingfinal!A380</f>
        <v>53.2</v>
      </c>
      <c r="B381" s="1521">
        <f>buildingfinal!Q380</f>
        <v>0</v>
      </c>
      <c r="C381" s="1239" t="str">
        <f>buildingfinal!B380</f>
        <v>S &amp; F  of  C.I. Manhole cover 45 x 45 cm
 (20 kg. weight)</v>
      </c>
      <c r="D381" s="1235">
        <f>buildingfinal!C380</f>
        <v>0</v>
      </c>
      <c r="E381" s="1235" t="str">
        <f>buildingfinal!D380</f>
        <v>Each</v>
      </c>
      <c r="F381" s="1235">
        <f t="shared" si="13"/>
        <v>0</v>
      </c>
      <c r="G381" s="1240"/>
      <c r="H381" s="1217"/>
    </row>
    <row r="382" spans="1:8" ht="33.75" customHeight="1">
      <c r="A382" s="1233">
        <f>buildingfinal!A381</f>
        <v>53.3</v>
      </c>
      <c r="B382" s="1521">
        <f>buildingfinal!Q381</f>
        <v>10</v>
      </c>
      <c r="C382" s="1239" t="str">
        <f>buildingfinal!B381</f>
        <v>C.I. Steps ( 5 kg)</v>
      </c>
      <c r="D382" s="1235">
        <f>buildingfinal!C381</f>
        <v>30</v>
      </c>
      <c r="E382" s="1235" t="str">
        <f>buildingfinal!D381</f>
        <v>Each</v>
      </c>
      <c r="F382" s="1235">
        <f t="shared" si="13"/>
        <v>300</v>
      </c>
      <c r="G382" s="1240">
        <f>buildingfinal!R381</f>
        <v>300</v>
      </c>
      <c r="H382" s="1216">
        <f>F382-G382</f>
        <v>0</v>
      </c>
    </row>
    <row r="383" spans="1:8" hidden="1">
      <c r="A383" s="1233">
        <f>buildingfinal!A382</f>
        <v>54</v>
      </c>
      <c r="B383" s="1521">
        <f>buildingfinal!Q382</f>
        <v>0</v>
      </c>
      <c r="C383" s="1239" t="str">
        <f>buildingfinal!B382</f>
        <v>Brass tap (with ISI mark)</v>
      </c>
      <c r="D383" s="1235">
        <f>buildingfinal!C382</f>
        <v>206</v>
      </c>
      <c r="E383" s="1235" t="str">
        <f>buildingfinal!D382</f>
        <v>Each</v>
      </c>
      <c r="F383" s="1235">
        <f t="shared" si="13"/>
        <v>0</v>
      </c>
      <c r="G383" s="1240">
        <f>'[2]Abstract '!D382</f>
        <v>282.89</v>
      </c>
      <c r="H383" s="1216">
        <f>'[2]Abstract '!F382</f>
        <v>7920.92</v>
      </c>
    </row>
    <row r="384" spans="1:8" s="1241" customFormat="1" ht="17.25" hidden="1">
      <c r="A384" s="1233">
        <f>buildingfinal!A383</f>
        <v>54.1</v>
      </c>
      <c r="B384" s="1521">
        <f>buildingfinal!Q383</f>
        <v>0</v>
      </c>
      <c r="C384" s="1239" t="str">
        <f>buildingfinal!B383</f>
        <v xml:space="preserve">C.P tap long body </v>
      </c>
      <c r="D384" s="1235">
        <f>buildingfinal!C383</f>
        <v>300</v>
      </c>
      <c r="E384" s="1235" t="str">
        <f>buildingfinal!D383</f>
        <v>Each</v>
      </c>
      <c r="F384" s="1235">
        <f t="shared" si="13"/>
        <v>0</v>
      </c>
      <c r="G384" s="1240"/>
    </row>
    <row r="385" spans="1:8" hidden="1">
      <c r="A385" s="1233">
        <f>buildingfinal!A384</f>
        <v>54.2</v>
      </c>
      <c r="B385" s="1521">
        <f>buildingfinal!Q384</f>
        <v>0</v>
      </c>
      <c r="C385" s="1239" t="str">
        <f>buildingfinal!B384</f>
        <v xml:space="preserve">C.P tap short body </v>
      </c>
      <c r="D385" s="1235">
        <f>buildingfinal!C384</f>
        <v>250</v>
      </c>
      <c r="E385" s="1235" t="str">
        <f>buildingfinal!D384</f>
        <v>Each</v>
      </c>
      <c r="F385" s="1235">
        <f t="shared" si="13"/>
        <v>0</v>
      </c>
      <c r="G385" s="1240"/>
      <c r="H385" s="1217"/>
    </row>
    <row r="386" spans="1:8" hidden="1">
      <c r="A386" s="1233">
        <f>buildingfinal!A385</f>
        <v>55.1</v>
      </c>
      <c r="B386" s="1521">
        <f>buildingfinal!Q385</f>
        <v>0</v>
      </c>
      <c r="C386" s="1239" t="str">
        <f>buildingfinal!B385</f>
        <v>Squat Urinal</v>
      </c>
      <c r="D386" s="1235">
        <f>buildingfinal!C385</f>
        <v>905.27</v>
      </c>
      <c r="E386" s="1235" t="str">
        <f>buildingfinal!D385</f>
        <v>Each</v>
      </c>
      <c r="F386" s="1235">
        <f t="shared" si="13"/>
        <v>0</v>
      </c>
      <c r="G386" s="1240">
        <f>'[2]Abstract '!D385</f>
        <v>30</v>
      </c>
      <c r="H386" s="1216">
        <f>'[2]Abstract '!F385</f>
        <v>300</v>
      </c>
    </row>
    <row r="387" spans="1:8" s="1241" customFormat="1" ht="34.5" hidden="1" customHeight="1">
      <c r="A387" s="1233">
        <f>buildingfinal!A386</f>
        <v>55.2</v>
      </c>
      <c r="B387" s="1521">
        <f>buildingfinal!Q386</f>
        <v>0</v>
      </c>
      <c r="C387" s="1239" t="str">
        <f>buildingfinal!B386</f>
        <v>Flat Back Urinal</v>
      </c>
      <c r="D387" s="1235">
        <f>buildingfinal!C386</f>
        <v>2252.5500000000002</v>
      </c>
      <c r="E387" s="1235" t="str">
        <f>buildingfinal!D386</f>
        <v>Each</v>
      </c>
      <c r="F387" s="1235">
        <f t="shared" si="13"/>
        <v>0</v>
      </c>
      <c r="G387" s="1240">
        <f>buildingfinal!R386</f>
        <v>0</v>
      </c>
      <c r="H387" s="1216">
        <f>F387-G387</f>
        <v>0</v>
      </c>
    </row>
    <row r="388" spans="1:8" hidden="1">
      <c r="A388" s="1233">
        <f>buildingfinal!A387</f>
        <v>56.1</v>
      </c>
      <c r="B388" s="1521">
        <f>buildingfinal!Q387</f>
        <v>0</v>
      </c>
      <c r="C388" s="1239" t="str">
        <f>buildingfinal!B387</f>
        <v xml:space="preserve">S &amp; F of Orissapan  - in G.F.  </v>
      </c>
      <c r="D388" s="1235">
        <f>buildingfinal!C387</f>
        <v>3447.45</v>
      </c>
      <c r="E388" s="1235" t="str">
        <f>buildingfinal!D387</f>
        <v>Each</v>
      </c>
      <c r="F388" s="1235">
        <f t="shared" si="13"/>
        <v>0</v>
      </c>
      <c r="G388" s="1240"/>
      <c r="H388" s="1217"/>
    </row>
    <row r="389" spans="1:8" s="1241" customFormat="1" ht="17.25" hidden="1">
      <c r="A389" s="1233">
        <f>buildingfinal!A388</f>
        <v>56.2</v>
      </c>
      <c r="B389" s="1521">
        <f>buildingfinal!Q388</f>
        <v>0</v>
      </c>
      <c r="C389" s="1239" t="str">
        <f>buildingfinal!B388</f>
        <v xml:space="preserve">S &amp; F of Orissapan - other than G.F. </v>
      </c>
      <c r="D389" s="1235">
        <f>buildingfinal!C388</f>
        <v>5401.74</v>
      </c>
      <c r="E389" s="1235" t="str">
        <f>buildingfinal!D388</f>
        <v>Each</v>
      </c>
      <c r="F389" s="1235">
        <f t="shared" si="13"/>
        <v>0</v>
      </c>
      <c r="G389" s="1240"/>
    </row>
    <row r="390" spans="1:8" s="1241" customFormat="1" ht="17.25" hidden="1">
      <c r="A390" s="1233">
        <f>buildingfinal!A389</f>
        <v>57</v>
      </c>
      <c r="B390" s="1521">
        <f>buildingfinal!Q389</f>
        <v>0</v>
      </c>
      <c r="C390" s="1239" t="str">
        <f>buildingfinal!B389</f>
        <v>S &amp; F of E.W.C.(white)</v>
      </c>
      <c r="D390" s="1235">
        <f>buildingfinal!C389</f>
        <v>7287.75</v>
      </c>
      <c r="E390" s="1235" t="str">
        <f>buildingfinal!D389</f>
        <v>Each</v>
      </c>
      <c r="F390" s="1235">
        <f t="shared" si="13"/>
        <v>0</v>
      </c>
      <c r="G390" s="1240"/>
    </row>
    <row r="391" spans="1:8" s="1241" customFormat="1" ht="17.25" hidden="1">
      <c r="A391" s="1233">
        <f>buildingfinal!A390</f>
        <v>57.1</v>
      </c>
      <c r="B391" s="1521">
        <f>buildingfinal!Q390</f>
        <v>0</v>
      </c>
      <c r="C391" s="1239" t="str">
        <f>buildingfinal!B390</f>
        <v>S &amp; F of E.W.C.(colour)</v>
      </c>
      <c r="D391" s="1235">
        <f>buildingfinal!C390</f>
        <v>7681.75</v>
      </c>
      <c r="E391" s="1235" t="str">
        <f>buildingfinal!D390</f>
        <v>Each</v>
      </c>
      <c r="F391" s="1235">
        <f t="shared" si="13"/>
        <v>0</v>
      </c>
      <c r="G391" s="1240"/>
    </row>
    <row r="392" spans="1:8" s="1241" customFormat="1" ht="17.25" hidden="1">
      <c r="A392" s="1233">
        <f>buildingfinal!A391</f>
        <v>58.1</v>
      </c>
      <c r="B392" s="1521">
        <f>buildingfinal!Q391</f>
        <v>0</v>
      </c>
      <c r="C392" s="1239" t="str">
        <f>buildingfinal!B391</f>
        <v>PVC SWR pipe (Soil line)</v>
      </c>
      <c r="D392" s="1235">
        <f>buildingfinal!C391</f>
        <v>0</v>
      </c>
      <c r="E392" s="1235">
        <f>buildingfinal!D391</f>
        <v>0</v>
      </c>
      <c r="F392" s="1235">
        <f t="shared" ref="F392:F455" si="19">D392*B392</f>
        <v>0</v>
      </c>
      <c r="G392" s="1240"/>
    </row>
    <row r="393" spans="1:8" s="1241" customFormat="1" ht="17.25" hidden="1">
      <c r="A393" s="1233">
        <f>buildingfinal!A392</f>
        <v>0</v>
      </c>
      <c r="B393" s="1521">
        <f>buildingfinal!Q392</f>
        <v>0</v>
      </c>
      <c r="C393" s="1239" t="str">
        <f>buildingfinal!B392</f>
        <v>a. 110 mm dia.</v>
      </c>
      <c r="D393" s="1235">
        <f>buildingfinal!C392</f>
        <v>735.27</v>
      </c>
      <c r="E393" s="1235" t="str">
        <f>buildingfinal!D392</f>
        <v>Rmt</v>
      </c>
      <c r="F393" s="1235">
        <f t="shared" si="19"/>
        <v>0</v>
      </c>
      <c r="G393" s="1240"/>
    </row>
    <row r="394" spans="1:8" s="1241" customFormat="1" ht="17.25" hidden="1">
      <c r="A394" s="1233">
        <f>buildingfinal!A393</f>
        <v>0</v>
      </c>
      <c r="B394" s="1521">
        <f>buildingfinal!Q393</f>
        <v>0</v>
      </c>
      <c r="C394" s="1239" t="str">
        <f>buildingfinal!B393</f>
        <v>b. 75 mm dia.</v>
      </c>
      <c r="D394" s="1235">
        <f>buildingfinal!C393</f>
        <v>617.97</v>
      </c>
      <c r="E394" s="1235" t="str">
        <f>buildingfinal!D393</f>
        <v>Rmt</v>
      </c>
      <c r="F394" s="1235">
        <f t="shared" si="19"/>
        <v>0</v>
      </c>
      <c r="G394" s="1240"/>
    </row>
    <row r="395" spans="1:8" s="1241" customFormat="1" ht="17.25" hidden="1">
      <c r="A395" s="1233">
        <f>buildingfinal!A394</f>
        <v>58.2</v>
      </c>
      <c r="B395" s="1521">
        <f>buildingfinal!Q394</f>
        <v>0</v>
      </c>
      <c r="C395" s="1239" t="str">
        <f>buildingfinal!B394</f>
        <v>PVC Ventilating shaft with cowl</v>
      </c>
      <c r="D395" s="1235">
        <f>buildingfinal!C394</f>
        <v>454</v>
      </c>
      <c r="E395" s="1235" t="str">
        <f>buildingfinal!D394</f>
        <v>Each</v>
      </c>
      <c r="F395" s="1235">
        <f t="shared" si="19"/>
        <v>0</v>
      </c>
      <c r="G395" s="1240"/>
    </row>
    <row r="396" spans="1:8" s="1241" customFormat="1" ht="30" hidden="1">
      <c r="A396" s="1233">
        <f>buildingfinal!A395</f>
        <v>59.1</v>
      </c>
      <c r="B396" s="1521">
        <f>buildingfinal!Q395</f>
        <v>0</v>
      </c>
      <c r="C396" s="1239" t="str">
        <f>buildingfinal!B395</f>
        <v>Gully Trap using Chamber burnt bricks 23 x 11.2 x 7 cm.</v>
      </c>
      <c r="D396" s="1235">
        <f>buildingfinal!C395</f>
        <v>0</v>
      </c>
      <c r="E396" s="1235" t="str">
        <f>buildingfinal!D395</f>
        <v>Each</v>
      </c>
      <c r="F396" s="1235">
        <f t="shared" si="19"/>
        <v>0</v>
      </c>
      <c r="G396" s="1240"/>
    </row>
    <row r="397" spans="1:8" s="1241" customFormat="1" ht="46.5" customHeight="1">
      <c r="A397" s="1233">
        <f>buildingfinal!A396</f>
        <v>59.2</v>
      </c>
      <c r="B397" s="1521">
        <f>buildingfinal!Q396</f>
        <v>24</v>
      </c>
      <c r="C397" s="1239" t="str">
        <f>buildingfinal!B396</f>
        <v>Gully Trap using chamber burnt bricks of size 23x11.4x7.5cm</v>
      </c>
      <c r="D397" s="1235">
        <f>buildingfinal!C396</f>
        <v>2070.36</v>
      </c>
      <c r="E397" s="1235" t="str">
        <f>buildingfinal!D396</f>
        <v>Each</v>
      </c>
      <c r="F397" s="1235">
        <f t="shared" si="19"/>
        <v>49688.639999999999</v>
      </c>
      <c r="G397" s="1240">
        <f>buildingfinal!R396</f>
        <v>49688.639999999999</v>
      </c>
      <c r="H397" s="1216">
        <f>F397-G397</f>
        <v>0</v>
      </c>
    </row>
    <row r="398" spans="1:8" s="1241" customFormat="1" ht="30" hidden="1">
      <c r="A398" s="1233">
        <f>buildingfinal!A397</f>
        <v>59.3</v>
      </c>
      <c r="B398" s="1521">
        <f>buildingfinal!Q397</f>
        <v>0</v>
      </c>
      <c r="C398" s="1239" t="str">
        <f>buildingfinal!B397</f>
        <v>Gully Trap using Chamber burnt bricks 23 x 11 x 7 cm.</v>
      </c>
      <c r="D398" s="1235">
        <f>buildingfinal!C397</f>
        <v>0</v>
      </c>
      <c r="E398" s="1235" t="str">
        <f>buildingfinal!D397</f>
        <v>Each</v>
      </c>
      <c r="F398" s="1235">
        <f t="shared" si="19"/>
        <v>0</v>
      </c>
      <c r="G398" s="1240"/>
    </row>
    <row r="399" spans="1:8" s="1241" customFormat="1" ht="30" hidden="1">
      <c r="A399" s="1233">
        <f>buildingfinal!A398</f>
        <v>59.4</v>
      </c>
      <c r="B399" s="1521">
        <f>buildingfinal!Q398</f>
        <v>0</v>
      </c>
      <c r="C399" s="1239" t="str">
        <f>buildingfinal!B398</f>
        <v>Gully Trap using Chamber burnt bricks 22 x 11 x 7 cm.</v>
      </c>
      <c r="D399" s="1235">
        <f>buildingfinal!C398</f>
        <v>0</v>
      </c>
      <c r="E399" s="1235" t="str">
        <f>buildingfinal!D398</f>
        <v>Each</v>
      </c>
      <c r="F399" s="1235">
        <f t="shared" si="19"/>
        <v>0</v>
      </c>
      <c r="G399" s="1240"/>
    </row>
    <row r="400" spans="1:8" s="1241" customFormat="1" ht="30" hidden="1">
      <c r="A400" s="1233">
        <f>buildingfinal!A399</f>
        <v>59.5</v>
      </c>
      <c r="B400" s="1521">
        <f>buildingfinal!Q399</f>
        <v>0</v>
      </c>
      <c r="C400" s="1239" t="str">
        <f>buildingfinal!B399</f>
        <v>Gully Trap using Kiln burnt country bricks 22 x 11 x 7 cm.</v>
      </c>
      <c r="D400" s="1235">
        <f>buildingfinal!C399</f>
        <v>2070.36</v>
      </c>
      <c r="E400" s="1235" t="str">
        <f>buildingfinal!D399</f>
        <v>Each</v>
      </c>
      <c r="F400" s="1235">
        <f t="shared" si="19"/>
        <v>0</v>
      </c>
      <c r="G400" s="1240"/>
    </row>
    <row r="401" spans="1:8" ht="30" hidden="1">
      <c r="A401" s="1233">
        <f>buildingfinal!A400</f>
        <v>59.6</v>
      </c>
      <c r="B401" s="1521">
        <f>buildingfinal!Q400</f>
        <v>0</v>
      </c>
      <c r="C401" s="1239" t="str">
        <f>buildingfinal!B400</f>
        <v>Gully Trap using Kiln burnt country bricks 22 x 11 x 5.7 cm.</v>
      </c>
      <c r="D401" s="1235">
        <f>buildingfinal!C400</f>
        <v>0</v>
      </c>
      <c r="E401" s="1235" t="str">
        <f>buildingfinal!D400</f>
        <v>Each</v>
      </c>
      <c r="F401" s="1235">
        <f t="shared" si="19"/>
        <v>0</v>
      </c>
      <c r="G401" s="1240"/>
      <c r="H401" s="1217"/>
    </row>
    <row r="402" spans="1:8" s="1241" customFormat="1" ht="33.75" customHeight="1">
      <c r="A402" s="1233">
        <f>buildingfinal!A401</f>
        <v>60</v>
      </c>
      <c r="B402" s="1521">
        <f>buildingfinal!Q401</f>
        <v>45</v>
      </c>
      <c r="C402" s="1239" t="str">
        <f>buildingfinal!B401</f>
        <v>PVC Nahani trap (4way/2way)</v>
      </c>
      <c r="D402" s="1235">
        <f>buildingfinal!C401</f>
        <v>160</v>
      </c>
      <c r="E402" s="1235" t="str">
        <f>buildingfinal!D401</f>
        <v>Each</v>
      </c>
      <c r="F402" s="1235">
        <f t="shared" si="19"/>
        <v>7200</v>
      </c>
      <c r="G402" s="1240">
        <f>buildingfinal!R401</f>
        <v>7200</v>
      </c>
      <c r="H402" s="1216">
        <f>F402-G402</f>
        <v>0</v>
      </c>
    </row>
    <row r="403" spans="1:8" s="1241" customFormat="1" ht="17.25" hidden="1">
      <c r="A403" s="1233">
        <f>buildingfinal!A402</f>
        <v>61.1</v>
      </c>
      <c r="B403" s="1521">
        <f>buildingfinal!Q402</f>
        <v>0</v>
      </c>
      <c r="C403" s="1239" t="str">
        <f>buildingfinal!B402</f>
        <v>Stoneware pipe</v>
      </c>
      <c r="D403" s="1235">
        <f>buildingfinal!C402</f>
        <v>0</v>
      </c>
      <c r="E403" s="1235">
        <f>buildingfinal!D402</f>
        <v>0</v>
      </c>
      <c r="F403" s="1235">
        <f t="shared" si="19"/>
        <v>0</v>
      </c>
      <c r="G403" s="1240"/>
    </row>
    <row r="404" spans="1:8" s="1241" customFormat="1" ht="17.25" hidden="1">
      <c r="A404" s="1233">
        <f>buildingfinal!A403</f>
        <v>0</v>
      </c>
      <c r="B404" s="1521">
        <f>buildingfinal!Q403</f>
        <v>0</v>
      </c>
      <c r="C404" s="1239" t="str">
        <f>buildingfinal!B403</f>
        <v>a. 100 mm S.W. pipe</v>
      </c>
      <c r="D404" s="1235">
        <f>buildingfinal!C403</f>
        <v>590.15</v>
      </c>
      <c r="E404" s="1235" t="str">
        <f>buildingfinal!D403</f>
        <v>Rmt</v>
      </c>
      <c r="F404" s="1235">
        <f t="shared" si="19"/>
        <v>0</v>
      </c>
      <c r="G404" s="1240">
        <f>'[2]Abstract '!D403</f>
        <v>1705.74</v>
      </c>
      <c r="H404" s="1216">
        <f>'[2]Abstract '!F403</f>
        <v>34114.800000000003</v>
      </c>
    </row>
    <row r="405" spans="1:8" s="1241" customFormat="1" ht="17.25" hidden="1">
      <c r="A405" s="1233">
        <f>buildingfinal!A404</f>
        <v>0</v>
      </c>
      <c r="B405" s="1521">
        <f>buildingfinal!Q404</f>
        <v>0</v>
      </c>
      <c r="C405" s="1239" t="str">
        <f>buildingfinal!B404</f>
        <v>b. 150 mm S.W. pipe</v>
      </c>
      <c r="D405" s="1235">
        <f>buildingfinal!C404</f>
        <v>777.02</v>
      </c>
      <c r="E405" s="1235" t="str">
        <f>buildingfinal!D404</f>
        <v>Rmt</v>
      </c>
      <c r="F405" s="1235">
        <f t="shared" si="19"/>
        <v>0</v>
      </c>
      <c r="G405" s="1240"/>
    </row>
    <row r="406" spans="1:8" hidden="1">
      <c r="A406" s="1233">
        <f>buildingfinal!A405</f>
        <v>61.2</v>
      </c>
      <c r="B406" s="1521">
        <f>buildingfinal!Q405</f>
        <v>0</v>
      </c>
      <c r="C406" s="1239" t="str">
        <f>buildingfinal!B405</f>
        <v>Stoneware pipe dry condition</v>
      </c>
      <c r="D406" s="1235">
        <f>buildingfinal!C405</f>
        <v>0</v>
      </c>
      <c r="E406" s="1235">
        <f>buildingfinal!D405</f>
        <v>0</v>
      </c>
      <c r="F406" s="1235">
        <f t="shared" si="19"/>
        <v>0</v>
      </c>
      <c r="G406" s="1240">
        <f>'[2]Abstract '!D405</f>
        <v>136.69999999999999</v>
      </c>
      <c r="H406" s="1216">
        <f>'[2]Abstract '!F405</f>
        <v>3554.2</v>
      </c>
    </row>
    <row r="407" spans="1:8" s="1241" customFormat="1" ht="17.25" hidden="1">
      <c r="A407" s="1233">
        <f>buildingfinal!A406</f>
        <v>0</v>
      </c>
      <c r="B407" s="1521">
        <f>buildingfinal!Q406</f>
        <v>0</v>
      </c>
      <c r="C407" s="1239" t="str">
        <f>buildingfinal!B406</f>
        <v>a. 100 mm dia</v>
      </c>
      <c r="D407" s="1235">
        <f>buildingfinal!C406</f>
        <v>248.21</v>
      </c>
      <c r="E407" s="1235" t="str">
        <f>buildingfinal!D406</f>
        <v>Rmt</v>
      </c>
      <c r="F407" s="1235">
        <f t="shared" si="19"/>
        <v>0</v>
      </c>
      <c r="G407" s="1240"/>
    </row>
    <row r="408" spans="1:8" hidden="1">
      <c r="A408" s="1233">
        <f>buildingfinal!A407</f>
        <v>0</v>
      </c>
      <c r="B408" s="1521">
        <f>buildingfinal!Q407</f>
        <v>0</v>
      </c>
      <c r="C408" s="1239" t="str">
        <f>buildingfinal!B407</f>
        <v>b. 150 mm dia</v>
      </c>
      <c r="D408" s="1235">
        <f>buildingfinal!C407</f>
        <v>364.35</v>
      </c>
      <c r="E408" s="1235" t="str">
        <f>buildingfinal!D407</f>
        <v>Rmt</v>
      </c>
      <c r="F408" s="1235">
        <f t="shared" si="19"/>
        <v>0</v>
      </c>
      <c r="G408" s="1240"/>
      <c r="H408" s="1217"/>
    </row>
    <row r="409" spans="1:8" s="1241" customFormat="1" ht="17.25" hidden="1">
      <c r="A409" s="1233">
        <f>buildingfinal!A408</f>
        <v>62.1</v>
      </c>
      <c r="B409" s="1521">
        <f>buildingfinal!Q408</f>
        <v>0</v>
      </c>
      <c r="C409" s="1239" t="str">
        <f>buildingfinal!B408</f>
        <v>Stoneware bend</v>
      </c>
      <c r="D409" s="1235">
        <f>buildingfinal!C408</f>
        <v>0</v>
      </c>
      <c r="E409" s="1235">
        <f>buildingfinal!D408</f>
        <v>0</v>
      </c>
      <c r="F409" s="1235">
        <f t="shared" si="19"/>
        <v>0</v>
      </c>
      <c r="G409" s="1240"/>
    </row>
    <row r="410" spans="1:8" s="1241" customFormat="1" ht="17.25" hidden="1">
      <c r="A410" s="1233">
        <f>buildingfinal!A409</f>
        <v>0</v>
      </c>
      <c r="B410" s="1521">
        <f>buildingfinal!Q409</f>
        <v>0</v>
      </c>
      <c r="C410" s="1239" t="str">
        <f>buildingfinal!B409</f>
        <v>a. 100 mm dia</v>
      </c>
      <c r="D410" s="1235">
        <f>buildingfinal!C409</f>
        <v>104.1</v>
      </c>
      <c r="E410" s="1235" t="str">
        <f>buildingfinal!D409</f>
        <v>Each</v>
      </c>
      <c r="F410" s="1235">
        <f t="shared" si="19"/>
        <v>0</v>
      </c>
      <c r="G410" s="1240"/>
    </row>
    <row r="411" spans="1:8" s="1241" customFormat="1" ht="17.25" hidden="1">
      <c r="A411" s="1233">
        <f>buildingfinal!A410</f>
        <v>0</v>
      </c>
      <c r="B411" s="1521">
        <f>buildingfinal!Q410</f>
        <v>0</v>
      </c>
      <c r="C411" s="1239" t="str">
        <f>buildingfinal!B410</f>
        <v>b. 150 mm dia</v>
      </c>
      <c r="D411" s="1235">
        <f>buildingfinal!C410</f>
        <v>143.15</v>
      </c>
      <c r="E411" s="1235" t="str">
        <f>buildingfinal!D410</f>
        <v>Each</v>
      </c>
      <c r="F411" s="1235">
        <f t="shared" si="19"/>
        <v>0</v>
      </c>
      <c r="G411" s="1240"/>
    </row>
    <row r="412" spans="1:8" s="1241" customFormat="1" ht="17.25" hidden="1">
      <c r="A412" s="1233">
        <f>buildingfinal!A411</f>
        <v>62.2</v>
      </c>
      <c r="B412" s="1521">
        <f>buildingfinal!Q411</f>
        <v>0</v>
      </c>
      <c r="C412" s="1239" t="str">
        <f>buildingfinal!B411</f>
        <v>Stoneware Tee</v>
      </c>
      <c r="D412" s="1235">
        <f>buildingfinal!C411</f>
        <v>0</v>
      </c>
      <c r="E412" s="1235">
        <f>buildingfinal!D411</f>
        <v>0</v>
      </c>
      <c r="F412" s="1235">
        <f t="shared" si="19"/>
        <v>0</v>
      </c>
      <c r="G412" s="1240"/>
    </row>
    <row r="413" spans="1:8" s="1241" customFormat="1" ht="17.25" hidden="1">
      <c r="A413" s="1233">
        <f>buildingfinal!A412</f>
        <v>0</v>
      </c>
      <c r="B413" s="1521">
        <f>buildingfinal!Q412</f>
        <v>0</v>
      </c>
      <c r="C413" s="1239" t="str">
        <f>buildingfinal!B412</f>
        <v>a. 100 mm dia</v>
      </c>
      <c r="D413" s="1235">
        <f>buildingfinal!C412</f>
        <v>131</v>
      </c>
      <c r="E413" s="1235" t="str">
        <f>buildingfinal!D412</f>
        <v>Each</v>
      </c>
      <c r="F413" s="1235">
        <f t="shared" si="19"/>
        <v>0</v>
      </c>
      <c r="G413" s="1240"/>
    </row>
    <row r="414" spans="1:8" s="1241" customFormat="1" ht="17.25" hidden="1">
      <c r="A414" s="1233">
        <f>buildingfinal!A413</f>
        <v>0</v>
      </c>
      <c r="B414" s="1521">
        <f>buildingfinal!Q413</f>
        <v>0</v>
      </c>
      <c r="C414" s="1239" t="str">
        <f>buildingfinal!B413</f>
        <v>b. 150 mm dia</v>
      </c>
      <c r="D414" s="1235">
        <f>buildingfinal!C413</f>
        <v>169.15</v>
      </c>
      <c r="E414" s="1235" t="str">
        <f>buildingfinal!D413</f>
        <v>Each</v>
      </c>
      <c r="F414" s="1235">
        <f t="shared" si="19"/>
        <v>0</v>
      </c>
      <c r="G414" s="1240"/>
    </row>
    <row r="415" spans="1:8" s="1241" customFormat="1" ht="33.75" customHeight="1">
      <c r="A415" s="1233">
        <f>buildingfinal!A414</f>
        <v>63</v>
      </c>
      <c r="B415" s="1521">
        <f>buildingfinal!Q414</f>
        <v>1</v>
      </c>
      <c r="C415" s="1239" t="str">
        <f>buildingfinal!B414</f>
        <v>32 mm dia PVC waste pipe</v>
      </c>
      <c r="D415" s="1235">
        <f>buildingfinal!C414</f>
        <v>31.87</v>
      </c>
      <c r="E415" s="1235" t="str">
        <f>buildingfinal!D414</f>
        <v>Each</v>
      </c>
      <c r="F415" s="1235">
        <f t="shared" si="19"/>
        <v>31.87</v>
      </c>
      <c r="G415" s="1240"/>
    </row>
    <row r="416" spans="1:8" s="1241" customFormat="1" ht="33.75" customHeight="1">
      <c r="A416" s="1233">
        <f>buildingfinal!A415</f>
        <v>0</v>
      </c>
      <c r="B416" s="1260" t="str">
        <f>buildingfinal!Q415</f>
        <v>*</v>
      </c>
      <c r="C416" s="1234" t="str">
        <f>buildingfinal!B415</f>
        <v>Electrical arrangements</v>
      </c>
      <c r="D416" s="1235">
        <f>buildingfinal!C415</f>
        <v>0</v>
      </c>
      <c r="E416" s="1235">
        <f>buildingfinal!D415</f>
        <v>0</v>
      </c>
      <c r="F416" s="1235"/>
      <c r="G416" s="1240">
        <f>buildingfinal!R415</f>
        <v>0</v>
      </c>
      <c r="H416" s="1216">
        <f>F416-G416</f>
        <v>0</v>
      </c>
    </row>
    <row r="417" spans="1:8" s="1241" customFormat="1" ht="17.25" hidden="1">
      <c r="A417" s="1233">
        <f>buildingfinal!A416</f>
        <v>64</v>
      </c>
      <c r="B417" s="1521">
        <f>buildingfinal!Q416</f>
        <v>0</v>
      </c>
      <c r="C417" s="1239" t="str">
        <f>buildingfinal!B416</f>
        <v>a. Light point with ceiling rose</v>
      </c>
      <c r="D417" s="1235">
        <f>buildingfinal!C416</f>
        <v>1630</v>
      </c>
      <c r="E417" s="1235" t="str">
        <f>buildingfinal!D416</f>
        <v>Each</v>
      </c>
      <c r="F417" s="1235">
        <f t="shared" si="19"/>
        <v>0</v>
      </c>
      <c r="G417" s="1240"/>
    </row>
    <row r="418" spans="1:8" s="1241" customFormat="1" ht="17.25" hidden="1">
      <c r="A418" s="1233">
        <f>buildingfinal!A417</f>
        <v>0</v>
      </c>
      <c r="B418" s="1521">
        <f>buildingfinal!Q417</f>
        <v>0</v>
      </c>
      <c r="C418" s="1239" t="str">
        <f>buildingfinal!B417</f>
        <v>b. Light point without ceiling rose</v>
      </c>
      <c r="D418" s="1235">
        <f>buildingfinal!C417</f>
        <v>1633</v>
      </c>
      <c r="E418" s="1235" t="str">
        <f>buildingfinal!D417</f>
        <v>Each</v>
      </c>
      <c r="F418" s="1235">
        <f t="shared" si="19"/>
        <v>0</v>
      </c>
      <c r="G418" s="1240"/>
    </row>
    <row r="419" spans="1:8" s="1241" customFormat="1" ht="17.25" hidden="1">
      <c r="A419" s="1233">
        <f>buildingfinal!A418</f>
        <v>0</v>
      </c>
      <c r="B419" s="1521">
        <f>buildingfinal!Q418</f>
        <v>0</v>
      </c>
      <c r="C419" s="1239" t="str">
        <f>buildingfinal!B418</f>
        <v>c. Calling bell point with Buzzer/Calling bell</v>
      </c>
      <c r="D419" s="1235">
        <f>buildingfinal!C418</f>
        <v>1670</v>
      </c>
      <c r="E419" s="1235" t="str">
        <f>buildingfinal!D418</f>
        <v>Each</v>
      </c>
      <c r="F419" s="1235">
        <f t="shared" si="19"/>
        <v>0</v>
      </c>
      <c r="G419" s="1240"/>
    </row>
    <row r="420" spans="1:8" s="1241" customFormat="1" ht="17.25" hidden="1">
      <c r="A420" s="1233">
        <f>buildingfinal!A419</f>
        <v>65</v>
      </c>
      <c r="B420" s="1521">
        <f>buildingfinal!Q419</f>
        <v>0</v>
      </c>
      <c r="C420" s="1239" t="str">
        <f>buildingfinal!B419</f>
        <v xml:space="preserve">Fan point </v>
      </c>
      <c r="D420" s="1235">
        <f>buildingfinal!C419</f>
        <v>1705</v>
      </c>
      <c r="E420" s="1235" t="str">
        <f>buildingfinal!D419</f>
        <v>Each</v>
      </c>
      <c r="F420" s="1235">
        <f t="shared" si="19"/>
        <v>0</v>
      </c>
      <c r="G420" s="1240">
        <f>'[2]Abstract '!D419</f>
        <v>0</v>
      </c>
      <c r="H420" s="1216">
        <f>'[2]Abstract '!F419</f>
        <v>0</v>
      </c>
    </row>
    <row r="421" spans="1:8" s="1241" customFormat="1" ht="17.25" hidden="1">
      <c r="A421" s="1233">
        <f>buildingfinal!A420</f>
        <v>66</v>
      </c>
      <c r="B421" s="1521">
        <f>buildingfinal!Q420</f>
        <v>0</v>
      </c>
      <c r="C421" s="1239" t="str">
        <f>buildingfinal!B420</f>
        <v>Staircase light point</v>
      </c>
      <c r="D421" s="1235">
        <f>buildingfinal!C420</f>
        <v>3052</v>
      </c>
      <c r="E421" s="1235" t="str">
        <f>buildingfinal!D420</f>
        <v>Each</v>
      </c>
      <c r="F421" s="1235">
        <f t="shared" si="19"/>
        <v>0</v>
      </c>
      <c r="G421" s="1240"/>
    </row>
    <row r="422" spans="1:8" s="1241" customFormat="1" ht="17.25" hidden="1">
      <c r="A422" s="1233">
        <f>buildingfinal!A421</f>
        <v>67</v>
      </c>
      <c r="B422" s="1521">
        <f>buildingfinal!Q421</f>
        <v>0</v>
      </c>
      <c r="C422" s="1239" t="str">
        <f>buildingfinal!B421</f>
        <v>5 amps 5 pin Plug point (Switch board itself)</v>
      </c>
      <c r="D422" s="1235">
        <f>buildingfinal!C421</f>
        <v>835</v>
      </c>
      <c r="E422" s="1235" t="str">
        <f>buildingfinal!D421</f>
        <v>Each</v>
      </c>
      <c r="F422" s="1235">
        <f t="shared" si="19"/>
        <v>0</v>
      </c>
      <c r="G422" s="1240"/>
    </row>
    <row r="423" spans="1:8" s="1241" customFormat="1" ht="17.25" hidden="1">
      <c r="A423" s="1233">
        <f>buildingfinal!A422</f>
        <v>68</v>
      </c>
      <c r="B423" s="1521">
        <f>buildingfinal!Q422</f>
        <v>0</v>
      </c>
      <c r="C423" s="1239" t="str">
        <f>buildingfinal!B422</f>
        <v>5 amps 5 pin Plug point (Convenient places)</v>
      </c>
      <c r="D423" s="1235">
        <f>buildingfinal!C422</f>
        <v>1133</v>
      </c>
      <c r="E423" s="1235" t="str">
        <f>buildingfinal!D422</f>
        <v>Each</v>
      </c>
      <c r="F423" s="1235">
        <f t="shared" si="19"/>
        <v>0</v>
      </c>
      <c r="G423" s="1240"/>
    </row>
    <row r="424" spans="1:8" s="1241" customFormat="1" ht="33.75" customHeight="1">
      <c r="A424" s="1233">
        <f>buildingfinal!A423</f>
        <v>69</v>
      </c>
      <c r="B424" s="1521">
        <f>buildingfinal!Q423</f>
        <v>21</v>
      </c>
      <c r="C424" s="1239" t="str">
        <f>buildingfinal!B423</f>
        <v>15 Amp. Power plug</v>
      </c>
      <c r="D424" s="1235">
        <f>buildingfinal!C423</f>
        <v>150</v>
      </c>
      <c r="E424" s="1235" t="str">
        <f>buildingfinal!D423</f>
        <v>Each</v>
      </c>
      <c r="F424" s="1235">
        <f t="shared" si="19"/>
        <v>3150</v>
      </c>
      <c r="G424" s="1240">
        <f>buildingfinal!R423</f>
        <v>3150</v>
      </c>
      <c r="H424" s="1216">
        <f>F424-G424</f>
        <v>0</v>
      </c>
    </row>
    <row r="425" spans="1:8" s="1241" customFormat="1" ht="17.25" hidden="1">
      <c r="A425" s="1233">
        <f>buildingfinal!A424</f>
        <v>70.099999999999994</v>
      </c>
      <c r="B425" s="1521">
        <f>buildingfinal!Q424</f>
        <v>0</v>
      </c>
      <c r="C425" s="1239" t="str">
        <f>buildingfinal!B424</f>
        <v>Bulk head fitting</v>
      </c>
      <c r="D425" s="1235">
        <f>buildingfinal!C424</f>
        <v>517</v>
      </c>
      <c r="E425" s="1235" t="str">
        <f>buildingfinal!D424</f>
        <v>Each</v>
      </c>
      <c r="F425" s="1235">
        <f t="shared" si="19"/>
        <v>0</v>
      </c>
      <c r="G425" s="1240"/>
    </row>
    <row r="426" spans="1:8" s="1241" customFormat="1" ht="17.25" hidden="1">
      <c r="A426" s="1233">
        <f>buildingfinal!A425</f>
        <v>70.2</v>
      </c>
      <c r="B426" s="1521">
        <f>buildingfinal!Q425</f>
        <v>0</v>
      </c>
      <c r="C426" s="1239" t="str">
        <f>buildingfinal!B425</f>
        <v>S &amp; F of Tube light with fittings</v>
      </c>
      <c r="D426" s="1235">
        <f>buildingfinal!C425</f>
        <v>0</v>
      </c>
      <c r="E426" s="1235" t="str">
        <f>buildingfinal!D425</f>
        <v>Each</v>
      </c>
      <c r="F426" s="1235">
        <f t="shared" si="19"/>
        <v>0</v>
      </c>
      <c r="G426" s="1240"/>
    </row>
    <row r="427" spans="1:8" s="1241" customFormat="1" ht="17.25" hidden="1">
      <c r="A427" s="1233">
        <f>buildingfinal!A426</f>
        <v>70.3</v>
      </c>
      <c r="B427" s="1521">
        <f>buildingfinal!Q426</f>
        <v>0</v>
      </c>
      <c r="C427" s="1239" t="str">
        <f>buildingfinal!B426</f>
        <v>S &amp; F of 40/ 60 w bulb</v>
      </c>
      <c r="D427" s="1235">
        <f>buildingfinal!C426</f>
        <v>9.4</v>
      </c>
      <c r="E427" s="1235" t="str">
        <f>buildingfinal!D426</f>
        <v>Each</v>
      </c>
      <c r="F427" s="1235">
        <f t="shared" si="19"/>
        <v>0</v>
      </c>
      <c r="G427" s="1240"/>
    </row>
    <row r="428" spans="1:8" s="1241" customFormat="1" ht="17.25" hidden="1">
      <c r="A428" s="1233">
        <f>buildingfinal!A427</f>
        <v>70.400000000000006</v>
      </c>
      <c r="B428" s="1521">
        <f>buildingfinal!Q427</f>
        <v>0</v>
      </c>
      <c r="C428" s="1239" t="str">
        <f>buildingfinal!B427</f>
        <v>S &amp; F of plastic  shade</v>
      </c>
      <c r="D428" s="1235">
        <f>buildingfinal!C427</f>
        <v>10</v>
      </c>
      <c r="E428" s="1235" t="str">
        <f>buildingfinal!D427</f>
        <v>Each</v>
      </c>
      <c r="F428" s="1235">
        <f t="shared" si="19"/>
        <v>0</v>
      </c>
      <c r="G428" s="1240"/>
    </row>
    <row r="429" spans="1:8" s="1241" customFormat="1" ht="17.25" hidden="1">
      <c r="A429" s="1233">
        <f>buildingfinal!A428</f>
        <v>71</v>
      </c>
      <c r="B429" s="1521">
        <f>buildingfinal!Q428</f>
        <v>0</v>
      </c>
      <c r="C429" s="1239" t="str">
        <f>buildingfinal!B428</f>
        <v>Double pole main switch</v>
      </c>
      <c r="D429" s="1235">
        <f>buildingfinal!C428</f>
        <v>1345.6</v>
      </c>
      <c r="E429" s="1235" t="str">
        <f>buildingfinal!D428</f>
        <v>Each</v>
      </c>
      <c r="F429" s="1235">
        <f t="shared" si="19"/>
        <v>0</v>
      </c>
      <c r="G429" s="1240"/>
    </row>
    <row r="430" spans="1:8" ht="33.75" customHeight="1">
      <c r="A430" s="1233">
        <f>buildingfinal!A429</f>
        <v>72</v>
      </c>
      <c r="B430" s="1521">
        <f>buildingfinal!Q429</f>
        <v>99</v>
      </c>
      <c r="C430" s="1239" t="str">
        <f>buildingfinal!B429</f>
        <v>Box type Fibre Fan hook</v>
      </c>
      <c r="D430" s="1235">
        <f>buildingfinal!C429</f>
        <v>33.9</v>
      </c>
      <c r="E430" s="1235" t="str">
        <f>buildingfinal!D429</f>
        <v>Each</v>
      </c>
      <c r="F430" s="1235">
        <f t="shared" si="19"/>
        <v>3356.1</v>
      </c>
      <c r="G430" s="1240">
        <f>buildingfinal!R429</f>
        <v>3356.1</v>
      </c>
      <c r="H430" s="1216">
        <f>F430-G430</f>
        <v>0</v>
      </c>
    </row>
    <row r="431" spans="1:8" s="1241" customFormat="1" ht="17.25" hidden="1">
      <c r="A431" s="1233">
        <f>buildingfinal!A430</f>
        <v>73.099999999999994</v>
      </c>
      <c r="B431" s="1521">
        <f>buildingfinal!Q430</f>
        <v>0</v>
      </c>
      <c r="C431" s="1239" t="str">
        <f>buildingfinal!B430</f>
        <v>6 way - D.B.</v>
      </c>
      <c r="D431" s="1235">
        <f>buildingfinal!C430</f>
        <v>4212</v>
      </c>
      <c r="E431" s="1235" t="str">
        <f>buildingfinal!D430</f>
        <v>Each</v>
      </c>
      <c r="F431" s="1235">
        <f t="shared" si="19"/>
        <v>0</v>
      </c>
      <c r="G431" s="1240"/>
    </row>
    <row r="432" spans="1:8" s="1241" customFormat="1" ht="17.25" hidden="1">
      <c r="A432" s="1233">
        <f>buildingfinal!A431</f>
        <v>73.2</v>
      </c>
      <c r="B432" s="1521">
        <f>buildingfinal!Q431</f>
        <v>0</v>
      </c>
      <c r="C432" s="1239" t="str">
        <f>buildingfinal!B431</f>
        <v>4 way - D.B.</v>
      </c>
      <c r="D432" s="1235">
        <f>buildingfinal!C431</f>
        <v>3430</v>
      </c>
      <c r="E432" s="1235" t="str">
        <f>buildingfinal!D431</f>
        <v>Each</v>
      </c>
      <c r="F432" s="1235">
        <f t="shared" si="19"/>
        <v>0</v>
      </c>
      <c r="G432" s="1240"/>
    </row>
    <row r="433" spans="1:8" s="1241" customFormat="1" ht="33.75" customHeight="1">
      <c r="A433" s="1233">
        <f>buildingfinal!A432</f>
        <v>74</v>
      </c>
      <c r="B433" s="1521">
        <f>buildingfinal!Q432</f>
        <v>70</v>
      </c>
      <c r="C433" s="1239" t="str">
        <f>buildingfinal!B432</f>
        <v>Charges for fixing of "Fan"</v>
      </c>
      <c r="D433" s="1235">
        <f>buildingfinal!C432</f>
        <v>571</v>
      </c>
      <c r="E433" s="1235" t="str">
        <f>buildingfinal!D432</f>
        <v>Each</v>
      </c>
      <c r="F433" s="1235">
        <f t="shared" si="19"/>
        <v>39970</v>
      </c>
      <c r="G433" s="1240">
        <f>buildingfinal!R432</f>
        <v>39970</v>
      </c>
      <c r="H433" s="1216">
        <f>F433-G433</f>
        <v>0</v>
      </c>
    </row>
    <row r="434" spans="1:8" s="1241" customFormat="1" ht="17.25" hidden="1">
      <c r="A434" s="1233">
        <f>buildingfinal!A433</f>
        <v>75</v>
      </c>
      <c r="B434" s="1521">
        <f>buildingfinal!Q433</f>
        <v>0</v>
      </c>
      <c r="C434" s="1239" t="str">
        <f>buildingfinal!B433</f>
        <v>Supply and delivery of Fan</v>
      </c>
      <c r="D434" s="1235">
        <f>buildingfinal!C433</f>
        <v>0</v>
      </c>
      <c r="E434" s="1235">
        <f>buildingfinal!D433</f>
        <v>0</v>
      </c>
      <c r="F434" s="1235">
        <f t="shared" si="19"/>
        <v>0</v>
      </c>
      <c r="G434" s="1240">
        <f>'[2]Abstract '!D433</f>
        <v>33.9</v>
      </c>
      <c r="H434" s="1216">
        <f>'[2]Abstract '!F433</f>
        <v>983.1</v>
      </c>
    </row>
    <row r="435" spans="1:8" s="1241" customFormat="1" ht="17.25" hidden="1">
      <c r="A435" s="1233">
        <f>buildingfinal!A434</f>
        <v>0</v>
      </c>
      <c r="B435" s="1521">
        <f>buildingfinal!Q434</f>
        <v>0</v>
      </c>
      <c r="C435" s="1239" t="str">
        <f>buildingfinal!B434</f>
        <v>a. 48" (1200 mm)</v>
      </c>
      <c r="D435" s="1235">
        <f>buildingfinal!C434</f>
        <v>0</v>
      </c>
      <c r="E435" s="1235" t="str">
        <f>buildingfinal!D434</f>
        <v>Each</v>
      </c>
      <c r="F435" s="1235">
        <f t="shared" si="19"/>
        <v>0</v>
      </c>
      <c r="G435" s="1240"/>
    </row>
    <row r="436" spans="1:8" hidden="1">
      <c r="A436" s="1233">
        <f>buildingfinal!A435</f>
        <v>0</v>
      </c>
      <c r="B436" s="1521">
        <f>buildingfinal!Q435</f>
        <v>0</v>
      </c>
      <c r="C436" s="1239" t="str">
        <f>buildingfinal!B435</f>
        <v>b. 42" (1050 mm)</v>
      </c>
      <c r="D436" s="1235">
        <f>buildingfinal!C435</f>
        <v>0</v>
      </c>
      <c r="E436" s="1235" t="str">
        <f>buildingfinal!D435</f>
        <v>Each</v>
      </c>
      <c r="F436" s="1235">
        <f t="shared" si="19"/>
        <v>0</v>
      </c>
      <c r="G436" s="1240">
        <f>'[2]Abstract '!D435</f>
        <v>3250</v>
      </c>
      <c r="H436" s="1216">
        <f>'[2]Abstract '!F435</f>
        <v>13000</v>
      </c>
    </row>
    <row r="437" spans="1:8" ht="33.75" customHeight="1">
      <c r="A437" s="1233">
        <f>buildingfinal!A436</f>
        <v>76</v>
      </c>
      <c r="B437" s="1521">
        <f>buildingfinal!Q436</f>
        <v>46</v>
      </c>
      <c r="C437" s="1239" t="str">
        <f>buildingfinal!B436</f>
        <v>8 SWG wire</v>
      </c>
      <c r="D437" s="1235">
        <f>buildingfinal!C436</f>
        <v>26.3</v>
      </c>
      <c r="E437" s="1235" t="str">
        <f>buildingfinal!D436</f>
        <v>Rmt</v>
      </c>
      <c r="F437" s="1235">
        <f t="shared" si="19"/>
        <v>1209.8</v>
      </c>
      <c r="G437" s="1240">
        <f>buildingfinal!R436</f>
        <v>1209.8</v>
      </c>
      <c r="H437" s="1216">
        <f>F437-G437</f>
        <v>0</v>
      </c>
    </row>
    <row r="438" spans="1:8" s="1241" customFormat="1" ht="17.25" hidden="1">
      <c r="A438" s="1233">
        <f>buildingfinal!A437</f>
        <v>77</v>
      </c>
      <c r="B438" s="1521">
        <f>buildingfinal!Q437</f>
        <v>0</v>
      </c>
      <c r="C438" s="1239" t="str">
        <f>buildingfinal!B437</f>
        <v>Run of main 2 wires of 1.50 Sqmm.</v>
      </c>
      <c r="D438" s="1235">
        <f>buildingfinal!C437</f>
        <v>208</v>
      </c>
      <c r="E438" s="1235" t="str">
        <f>buildingfinal!D437</f>
        <v>Rmt</v>
      </c>
      <c r="F438" s="1235">
        <f t="shared" si="19"/>
        <v>0</v>
      </c>
      <c r="G438" s="1240"/>
    </row>
    <row r="439" spans="1:8" ht="30" hidden="1">
      <c r="A439" s="1233">
        <f>buildingfinal!A438</f>
        <v>77.099999999999994</v>
      </c>
      <c r="B439" s="1521">
        <f>buildingfinal!Q438</f>
        <v>0</v>
      </c>
      <c r="C439" s="1239" t="str">
        <f>buildingfinal!B438</f>
        <v>Run of 2 wires of 4 sqmm with continuous earth by means of 2.5sqmm</v>
      </c>
      <c r="D439" s="1235">
        <f>buildingfinal!C438</f>
        <v>266</v>
      </c>
      <c r="E439" s="1235" t="str">
        <f>buildingfinal!D438</f>
        <v>Rmt</v>
      </c>
      <c r="F439" s="1235">
        <f t="shared" si="19"/>
        <v>0</v>
      </c>
      <c r="G439" s="1240"/>
      <c r="H439" s="1217"/>
    </row>
    <row r="440" spans="1:8" s="1241" customFormat="1" ht="17.25" hidden="1">
      <c r="A440" s="1233">
        <f>buildingfinal!A439</f>
        <v>77.2</v>
      </c>
      <c r="B440" s="1521">
        <f>buildingfinal!Q439</f>
        <v>0</v>
      </c>
      <c r="C440" s="1239" t="str">
        <f>buildingfinal!B439</f>
        <v>S &amp; F of A/C metal clad switch (SD-140)</v>
      </c>
      <c r="D440" s="1235">
        <f>buildingfinal!C439</f>
        <v>1879</v>
      </c>
      <c r="E440" s="1235" t="str">
        <f>buildingfinal!D439</f>
        <v>Each</v>
      </c>
      <c r="F440" s="1235">
        <f t="shared" si="19"/>
        <v>0</v>
      </c>
      <c r="G440" s="1240"/>
    </row>
    <row r="441" spans="1:8" s="1241" customFormat="1" ht="33.75" customHeight="1">
      <c r="A441" s="1233">
        <f>buildingfinal!A440</f>
        <v>77.3</v>
      </c>
      <c r="B441" s="1521">
        <f>buildingfinal!Q440</f>
        <v>4</v>
      </c>
      <c r="C441" s="1239" t="str">
        <f>buildingfinal!B440</f>
        <v>S&amp;F of TV/Telephone line Socket</v>
      </c>
      <c r="D441" s="1235">
        <f>buildingfinal!C440</f>
        <v>77.010000000000005</v>
      </c>
      <c r="E441" s="1235" t="str">
        <f>buildingfinal!D440</f>
        <v>Each</v>
      </c>
      <c r="F441" s="1235">
        <f t="shared" si="19"/>
        <v>308.04000000000002</v>
      </c>
      <c r="G441" s="1240">
        <f>buildingfinal!R440</f>
        <v>308.04000000000002</v>
      </c>
      <c r="H441" s="1216">
        <f t="shared" ref="H441:H443" si="20">F441-G441</f>
        <v>0</v>
      </c>
    </row>
    <row r="442" spans="1:8" s="1241" customFormat="1" ht="33.75" customHeight="1">
      <c r="A442" s="1233">
        <f>buildingfinal!A441</f>
        <v>77.400000000000006</v>
      </c>
      <c r="B442" s="1521">
        <f>buildingfinal!Q441</f>
        <v>60</v>
      </c>
      <c r="C442" s="1239" t="str">
        <f>buildingfinal!B441</f>
        <v>S&amp;F of 20mm dia PVC pipe for TV/Telephone line</v>
      </c>
      <c r="D442" s="1235">
        <f>buildingfinal!C441</f>
        <v>87.66</v>
      </c>
      <c r="E442" s="1235" t="str">
        <f>buildingfinal!D441</f>
        <v>Rmt</v>
      </c>
      <c r="F442" s="1235">
        <f t="shared" si="19"/>
        <v>5259.6</v>
      </c>
      <c r="G442" s="1240">
        <f>buildingfinal!R441</f>
        <v>5259.6</v>
      </c>
      <c r="H442" s="1216">
        <f t="shared" si="20"/>
        <v>0</v>
      </c>
    </row>
    <row r="443" spans="1:8" ht="33.75" customHeight="1">
      <c r="A443" s="1233">
        <f>buildingfinal!A442</f>
        <v>78</v>
      </c>
      <c r="B443" s="1521">
        <f>buildingfinal!Q442</f>
        <v>4</v>
      </c>
      <c r="C443" s="1239" t="str">
        <f>buildingfinal!B442</f>
        <v>Earthing Station IS3043 (Type I)</v>
      </c>
      <c r="D443" s="1235">
        <f>buildingfinal!C442</f>
        <v>2921</v>
      </c>
      <c r="E443" s="1235" t="str">
        <f>buildingfinal!D442</f>
        <v>Each</v>
      </c>
      <c r="F443" s="1235">
        <f t="shared" si="19"/>
        <v>11684</v>
      </c>
      <c r="G443" s="1240">
        <f>buildingfinal!R442</f>
        <v>11684</v>
      </c>
      <c r="H443" s="1216">
        <f t="shared" si="20"/>
        <v>0</v>
      </c>
    </row>
    <row r="444" spans="1:8" s="1241" customFormat="1" ht="17.25" hidden="1">
      <c r="A444" s="1233">
        <f>buildingfinal!A443</f>
        <v>78.099999999999994</v>
      </c>
      <c r="B444" s="1521">
        <f>buildingfinal!Q443</f>
        <v>0</v>
      </c>
      <c r="C444" s="1239" t="str">
        <f>buildingfinal!B443</f>
        <v>Earthing Station (Type II)</v>
      </c>
      <c r="D444" s="1235">
        <f>buildingfinal!C443</f>
        <v>0</v>
      </c>
      <c r="E444" s="1235" t="str">
        <f>buildingfinal!D443</f>
        <v>Each</v>
      </c>
      <c r="F444" s="1235">
        <f t="shared" si="19"/>
        <v>0</v>
      </c>
      <c r="G444" s="1240"/>
    </row>
    <row r="445" spans="1:8" s="1241" customFormat="1" ht="17.25" hidden="1">
      <c r="A445" s="1233">
        <f>buildingfinal!A444</f>
        <v>79.099999999999994</v>
      </c>
      <c r="B445" s="1521">
        <f>buildingfinal!Q444</f>
        <v>0</v>
      </c>
      <c r="C445" s="1239" t="str">
        <f>buildingfinal!B444</f>
        <v>1 No.of 30Amps - Fuse Unit</v>
      </c>
      <c r="D445" s="1235">
        <f>buildingfinal!C444</f>
        <v>550</v>
      </c>
      <c r="E445" s="1235" t="str">
        <f>buildingfinal!D444</f>
        <v>Each</v>
      </c>
      <c r="F445" s="1235">
        <f t="shared" si="19"/>
        <v>0</v>
      </c>
      <c r="G445" s="1240">
        <f>'[2]Abstract '!D444</f>
        <v>76</v>
      </c>
      <c r="H445" s="1216">
        <f>'[2]Abstract '!F444</f>
        <v>912</v>
      </c>
    </row>
    <row r="446" spans="1:8" hidden="1">
      <c r="A446" s="1233">
        <f>buildingfinal!A445</f>
        <v>79.2</v>
      </c>
      <c r="B446" s="1521">
        <f>buildingfinal!Q445</f>
        <v>0</v>
      </c>
      <c r="C446" s="1239" t="str">
        <f>buildingfinal!B445</f>
        <v>3 Nos.of 30Amps - Fuse Unit</v>
      </c>
      <c r="D446" s="1235">
        <f>buildingfinal!C445</f>
        <v>825</v>
      </c>
      <c r="E446" s="1235" t="str">
        <f>buildingfinal!D445</f>
        <v>Each</v>
      </c>
      <c r="F446" s="1235">
        <f t="shared" si="19"/>
        <v>0</v>
      </c>
      <c r="G446" s="1240">
        <f>'[2]Abstract '!D445</f>
        <v>73.599999999999994</v>
      </c>
      <c r="H446" s="1216">
        <f>'[2]Abstract '!F445</f>
        <v>12070.4</v>
      </c>
    </row>
    <row r="447" spans="1:8" hidden="1">
      <c r="A447" s="1233">
        <f>buildingfinal!A446</f>
        <v>80</v>
      </c>
      <c r="B447" s="1521">
        <f>buildingfinal!Q446</f>
        <v>0</v>
      </c>
      <c r="C447" s="1239" t="str">
        <f>buildingfinal!B446</f>
        <v>375 x 300 x 20 mm T.W. plank</v>
      </c>
      <c r="D447" s="1235">
        <f>buildingfinal!C446</f>
        <v>818.75</v>
      </c>
      <c r="E447" s="1235" t="str">
        <f>buildingfinal!D446</f>
        <v>Each</v>
      </c>
      <c r="F447" s="1235">
        <f t="shared" si="19"/>
        <v>0</v>
      </c>
      <c r="G447" s="1240">
        <f>'[2]Abstract '!D446</f>
        <v>2588</v>
      </c>
      <c r="H447" s="1216">
        <f>'[2]Abstract '!F446</f>
        <v>7764</v>
      </c>
    </row>
    <row r="448" spans="1:8" hidden="1">
      <c r="A448" s="1233">
        <f>buildingfinal!A447</f>
        <v>81</v>
      </c>
      <c r="B448" s="1521">
        <f>buildingfinal!Q447</f>
        <v>0</v>
      </c>
      <c r="C448" s="1239" t="str">
        <f>buildingfinal!B447</f>
        <v>Meter cupboard</v>
      </c>
      <c r="D448" s="1235">
        <f>buildingfinal!C447</f>
        <v>2589.9</v>
      </c>
      <c r="E448" s="1235" t="str">
        <f>buildingfinal!D447</f>
        <v>Sqm</v>
      </c>
      <c r="F448" s="1235">
        <f t="shared" si="19"/>
        <v>0</v>
      </c>
      <c r="G448" s="1240"/>
      <c r="H448" s="1217"/>
    </row>
    <row r="449" spans="1:8" hidden="1">
      <c r="A449" s="1233">
        <f>buildingfinal!A448</f>
        <v>82</v>
      </c>
      <c r="B449" s="1521">
        <f>buildingfinal!Q448</f>
        <v>0</v>
      </c>
      <c r="C449" s="1239" t="str">
        <f>buildingfinal!B448</f>
        <v>Street lights</v>
      </c>
      <c r="D449" s="1235">
        <f>buildingfinal!C448</f>
        <v>2946</v>
      </c>
      <c r="E449" s="1235" t="str">
        <f>buildingfinal!D448</f>
        <v>Each</v>
      </c>
      <c r="F449" s="1235">
        <f t="shared" si="19"/>
        <v>0</v>
      </c>
      <c r="G449" s="1240"/>
      <c r="H449" s="1217"/>
    </row>
    <row r="450" spans="1:8" s="1241" customFormat="1" ht="17.25" hidden="1">
      <c r="A450" s="1233">
        <f>buildingfinal!A449</f>
        <v>83</v>
      </c>
      <c r="B450" s="1521">
        <f>buildingfinal!Q449</f>
        <v>0</v>
      </c>
      <c r="C450" s="1239" t="str">
        <f>buildingfinal!B449</f>
        <v>M.S Angle</v>
      </c>
      <c r="D450" s="1235">
        <f>buildingfinal!C449</f>
        <v>190</v>
      </c>
      <c r="E450" s="1235" t="str">
        <f>buildingfinal!D449</f>
        <v>Rmt</v>
      </c>
      <c r="F450" s="1235">
        <f t="shared" si="19"/>
        <v>0</v>
      </c>
      <c r="G450" s="1240"/>
    </row>
    <row r="451" spans="1:8" s="1241" customFormat="1" ht="17.25" hidden="1">
      <c r="A451" s="1233">
        <f>buildingfinal!A450</f>
        <v>84</v>
      </c>
      <c r="B451" s="1521">
        <f>buildingfinal!Q450</f>
        <v>0</v>
      </c>
      <c r="C451" s="1239" t="str">
        <f>buildingfinal!B450</f>
        <v>Run of 2 wires of 4 sqmm</v>
      </c>
      <c r="D451" s="1235">
        <f>buildingfinal!C450</f>
        <v>0</v>
      </c>
      <c r="E451" s="1235" t="str">
        <f>buildingfinal!D450</f>
        <v>Rmt</v>
      </c>
      <c r="F451" s="1235">
        <f t="shared" si="19"/>
        <v>0</v>
      </c>
      <c r="G451" s="1240"/>
    </row>
    <row r="452" spans="1:8" s="1241" customFormat="1" ht="17.25" hidden="1">
      <c r="A452" s="1233">
        <f>buildingfinal!A451</f>
        <v>85</v>
      </c>
      <c r="B452" s="1521">
        <f>buildingfinal!Q451</f>
        <v>0</v>
      </c>
      <c r="C452" s="1239" t="str">
        <f>buildingfinal!B451</f>
        <v>Supply of G.I pipe 25mm dia</v>
      </c>
      <c r="D452" s="1235">
        <f>buildingfinal!C451</f>
        <v>130</v>
      </c>
      <c r="E452" s="1235" t="str">
        <f>buildingfinal!D451</f>
        <v>Rmt</v>
      </c>
      <c r="F452" s="1235">
        <f t="shared" si="19"/>
        <v>0</v>
      </c>
      <c r="G452" s="1240">
        <f>'[2]Abstract '!D451</f>
        <v>2292.0700000000002</v>
      </c>
      <c r="H452" s="1216">
        <f>'[2]Abstract '!F451</f>
        <v>5271.76</v>
      </c>
    </row>
    <row r="453" spans="1:8" s="1241" customFormat="1" ht="33.75" customHeight="1">
      <c r="A453" s="1233">
        <f>buildingfinal!A452</f>
        <v>86</v>
      </c>
      <c r="B453" s="1521">
        <f>buildingfinal!Q452</f>
        <v>611.29999999999995</v>
      </c>
      <c r="C453" s="1239" t="str">
        <f>buildingfinal!B452</f>
        <v>Anti termite treatment</v>
      </c>
      <c r="D453" s="1235">
        <f>buildingfinal!C452</f>
        <v>34</v>
      </c>
      <c r="E453" s="1235" t="str">
        <f>buildingfinal!D452</f>
        <v>Sqm.</v>
      </c>
      <c r="F453" s="1235">
        <f t="shared" si="19"/>
        <v>20784.2</v>
      </c>
      <c r="G453" s="1240">
        <f>buildingfinal!R452</f>
        <v>20784.2</v>
      </c>
      <c r="H453" s="1216">
        <f>F453-G453</f>
        <v>0</v>
      </c>
    </row>
    <row r="454" spans="1:8" hidden="1">
      <c r="A454" s="1233">
        <f>buildingfinal!A453</f>
        <v>87</v>
      </c>
      <c r="B454" s="1521">
        <f>buildingfinal!Q453</f>
        <v>0</v>
      </c>
      <c r="C454" s="1239" t="str">
        <f>buildingfinal!B453</f>
        <v>ELCB Single phase</v>
      </c>
      <c r="D454" s="1235">
        <f>buildingfinal!C453</f>
        <v>2695</v>
      </c>
      <c r="E454" s="1235" t="str">
        <f>buildingfinal!D453</f>
        <v>Each</v>
      </c>
      <c r="F454" s="1235">
        <f t="shared" si="19"/>
        <v>0</v>
      </c>
      <c r="G454" s="1240"/>
      <c r="H454" s="1217"/>
    </row>
    <row r="455" spans="1:8" s="1241" customFormat="1" ht="33.75" customHeight="1">
      <c r="A455" s="1233">
        <f>buildingfinal!A454</f>
        <v>112</v>
      </c>
      <c r="B455" s="1521">
        <f>buildingfinal!Q454</f>
        <v>16</v>
      </c>
      <c r="C455" s="1239" t="str">
        <f>buildingfinal!B454</f>
        <v>S &amp; F of Exsaust Fan 300 mm dia</v>
      </c>
      <c r="D455" s="1235">
        <f>buildingfinal!C454</f>
        <v>2336</v>
      </c>
      <c r="E455" s="1235" t="str">
        <f>buildingfinal!D454</f>
        <v>Each</v>
      </c>
      <c r="F455" s="1235">
        <f t="shared" si="19"/>
        <v>37376</v>
      </c>
      <c r="G455" s="1240"/>
    </row>
    <row r="456" spans="1:8" s="1241" customFormat="1" ht="33.75" customHeight="1">
      <c r="A456" s="1233">
        <f>buildingfinal!A455</f>
        <v>238</v>
      </c>
      <c r="B456" s="1521">
        <f>buildingfinal!Q455</f>
        <v>102.51</v>
      </c>
      <c r="C456" s="1239" t="str">
        <f>buildingfinal!B455</f>
        <v>Anticorrosive treatment for steel grills</v>
      </c>
      <c r="D456" s="1235">
        <f>buildingfinal!C455</f>
        <v>4755.5</v>
      </c>
      <c r="E456" s="1235" t="str">
        <f>buildingfinal!D455</f>
        <v>MT</v>
      </c>
      <c r="F456" s="1235">
        <f t="shared" ref="F456:F519" si="21">D456*B456</f>
        <v>487486.31</v>
      </c>
      <c r="G456" s="1240">
        <f>buildingfinal!R455</f>
        <v>487486.31</v>
      </c>
      <c r="H456" s="1216">
        <f t="shared" ref="H456:H457" si="22">F456-G456</f>
        <v>0</v>
      </c>
    </row>
    <row r="457" spans="1:8" s="1241" customFormat="1" ht="33.75" customHeight="1">
      <c r="A457" s="1233">
        <f>buildingfinal!A456</f>
        <v>0</v>
      </c>
      <c r="B457" s="1260" t="str">
        <f>buildingfinal!Q456</f>
        <v>*</v>
      </c>
      <c r="C457" s="1234" t="str">
        <f>buildingfinal!B456</f>
        <v>ANNEXURE</v>
      </c>
      <c r="D457" s="1235">
        <f>buildingfinal!C456</f>
        <v>0</v>
      </c>
      <c r="E457" s="1235">
        <f>buildingfinal!D456</f>
        <v>0</v>
      </c>
      <c r="F457" s="1235"/>
      <c r="G457" s="1240">
        <f>buildingfinal!R456</f>
        <v>0</v>
      </c>
      <c r="H457" s="1216">
        <f t="shared" si="22"/>
        <v>0</v>
      </c>
    </row>
    <row r="458" spans="1:8" s="1241" customFormat="1" ht="30" hidden="1">
      <c r="A458" s="1233" t="str">
        <f>buildingfinal!A457</f>
        <v>14.I</v>
      </c>
      <c r="B458" s="1521">
        <f>buildingfinal!Q457</f>
        <v>0</v>
      </c>
      <c r="C458" s="1239" t="str">
        <f>buildingfinal!B457</f>
        <v>Precast Cupboard slab 20 mm tk.using standardised concrete mix M20 (annexure)</v>
      </c>
      <c r="D458" s="1235">
        <f>buildingfinal!C457</f>
        <v>0</v>
      </c>
      <c r="E458" s="1235">
        <f>buildingfinal!D457</f>
        <v>0</v>
      </c>
      <c r="F458" s="1235">
        <f t="shared" si="21"/>
        <v>0</v>
      </c>
      <c r="G458" s="1240"/>
    </row>
    <row r="459" spans="1:8" hidden="1">
      <c r="A459" s="1233">
        <f>buildingfinal!A458</f>
        <v>0</v>
      </c>
      <c r="B459" s="1521">
        <f>buildingfinal!Q458</f>
        <v>0</v>
      </c>
      <c r="C459" s="1239" t="str">
        <f>buildingfinal!B458</f>
        <v xml:space="preserve">a. In Stilt / Ground Floor  </v>
      </c>
      <c r="D459" s="1235">
        <f>buildingfinal!C458</f>
        <v>1539.84</v>
      </c>
      <c r="E459" s="1235" t="str">
        <f>buildingfinal!D458</f>
        <v>Sqm.</v>
      </c>
      <c r="F459" s="1235">
        <f t="shared" si="21"/>
        <v>0</v>
      </c>
      <c r="G459" s="1240">
        <f>'[2]Abstract '!D458</f>
        <v>1919</v>
      </c>
      <c r="H459" s="1216">
        <f>'[2]Abstract '!F458</f>
        <v>11514</v>
      </c>
    </row>
    <row r="460" spans="1:8" s="1241" customFormat="1" ht="17.25" hidden="1">
      <c r="A460" s="1233">
        <f>buildingfinal!A459</f>
        <v>0</v>
      </c>
      <c r="B460" s="1521">
        <f>buildingfinal!Q459</f>
        <v>0</v>
      </c>
      <c r="C460" s="1239" t="str">
        <f>buildingfinal!B459</f>
        <v>b. In First floor</v>
      </c>
      <c r="D460" s="1235">
        <f>buildingfinal!C459</f>
        <v>1544.81</v>
      </c>
      <c r="E460" s="1235" t="str">
        <f>buildingfinal!D459</f>
        <v>Sqm.</v>
      </c>
      <c r="F460" s="1235">
        <f t="shared" si="21"/>
        <v>0</v>
      </c>
      <c r="G460" s="1240">
        <f>'[2]Abstract '!D459</f>
        <v>4366.75</v>
      </c>
      <c r="H460" s="1216">
        <f>'[2]Abstract '!F459</f>
        <v>229044.77</v>
      </c>
    </row>
    <row r="461" spans="1:8" s="1241" customFormat="1" ht="17.25" hidden="1">
      <c r="A461" s="1233">
        <f>buildingfinal!A460</f>
        <v>0</v>
      </c>
      <c r="B461" s="1521">
        <f>buildingfinal!Q460</f>
        <v>0</v>
      </c>
      <c r="C461" s="1239" t="str">
        <f>buildingfinal!B460</f>
        <v>c. In Second floor</v>
      </c>
      <c r="D461" s="1235">
        <f>buildingfinal!C460</f>
        <v>1549.78</v>
      </c>
      <c r="E461" s="1235" t="str">
        <f>buildingfinal!D460</f>
        <v>Sqm.</v>
      </c>
      <c r="F461" s="1235">
        <f t="shared" si="21"/>
        <v>0</v>
      </c>
      <c r="G461" s="1240">
        <f>'[2]Abstract '!D460</f>
        <v>0</v>
      </c>
      <c r="H461" s="1216">
        <f>'[2]Abstract '!F460</f>
        <v>0</v>
      </c>
    </row>
    <row r="462" spans="1:8" s="1241" customFormat="1" ht="17.25" hidden="1">
      <c r="A462" s="1233">
        <f>buildingfinal!A461</f>
        <v>0</v>
      </c>
      <c r="B462" s="1521">
        <f>buildingfinal!Q461</f>
        <v>0</v>
      </c>
      <c r="C462" s="1239" t="str">
        <f>buildingfinal!B461</f>
        <v>d. In Third floor</v>
      </c>
      <c r="D462" s="1235">
        <f>buildingfinal!C461</f>
        <v>1554.75</v>
      </c>
      <c r="E462" s="1235" t="str">
        <f>buildingfinal!D461</f>
        <v>Sqm.</v>
      </c>
      <c r="F462" s="1235">
        <f t="shared" si="21"/>
        <v>0</v>
      </c>
      <c r="G462" s="1240"/>
    </row>
    <row r="463" spans="1:8" s="1241" customFormat="1" ht="17.25" hidden="1">
      <c r="A463" s="1233">
        <f>buildingfinal!A462</f>
        <v>0</v>
      </c>
      <c r="B463" s="1521">
        <f>buildingfinal!Q462</f>
        <v>0</v>
      </c>
      <c r="C463" s="1239" t="str">
        <f>buildingfinal!B462</f>
        <v>e.  In Fourth floor</v>
      </c>
      <c r="D463" s="1235">
        <f>buildingfinal!C462</f>
        <v>1559.72</v>
      </c>
      <c r="E463" s="1235" t="str">
        <f>buildingfinal!D462</f>
        <v>Sqm.</v>
      </c>
      <c r="F463" s="1235">
        <f t="shared" si="21"/>
        <v>0</v>
      </c>
      <c r="G463" s="1240"/>
    </row>
    <row r="464" spans="1:8" s="1241" customFormat="1" ht="30" hidden="1">
      <c r="A464" s="1233" t="str">
        <f>buildingfinal!A463</f>
        <v>14.II</v>
      </c>
      <c r="B464" s="1521">
        <f>buildingfinal!Q463</f>
        <v>0</v>
      </c>
      <c r="C464" s="1239" t="str">
        <f>buildingfinal!B463</f>
        <v>Precast cupboard slab 40 mm tkusing standardised concrete mix M20 (annexure)</v>
      </c>
      <c r="D464" s="1235">
        <f>buildingfinal!C463</f>
        <v>0</v>
      </c>
      <c r="E464" s="1235">
        <f>buildingfinal!D463</f>
        <v>0</v>
      </c>
      <c r="F464" s="1235">
        <f t="shared" si="21"/>
        <v>0</v>
      </c>
      <c r="G464" s="1240"/>
    </row>
    <row r="465" spans="1:8" s="1241" customFormat="1" ht="17.25" hidden="1">
      <c r="A465" s="1233">
        <f>buildingfinal!A464</f>
        <v>0</v>
      </c>
      <c r="B465" s="1521">
        <f>buildingfinal!Q464</f>
        <v>0</v>
      </c>
      <c r="C465" s="1239" t="str">
        <f>buildingfinal!B464</f>
        <v>a. In Foundation &amp; basement</v>
      </c>
      <c r="D465" s="1235">
        <f>buildingfinal!C464</f>
        <v>1687.42</v>
      </c>
      <c r="E465" s="1235" t="str">
        <f>buildingfinal!D464</f>
        <v>Sqm.</v>
      </c>
      <c r="F465" s="1235">
        <f t="shared" si="21"/>
        <v>0</v>
      </c>
      <c r="G465" s="1240"/>
    </row>
    <row r="466" spans="1:8" s="1241" customFormat="1" ht="17.25" hidden="1">
      <c r="A466" s="1233">
        <f>buildingfinal!A465</f>
        <v>0</v>
      </c>
      <c r="B466" s="1521">
        <f>buildingfinal!Q465</f>
        <v>0</v>
      </c>
      <c r="C466" s="1239" t="str">
        <f>buildingfinal!B465</f>
        <v xml:space="preserve">b. In Stilt / Ground Floor  </v>
      </c>
      <c r="D466" s="1235">
        <f>buildingfinal!C465</f>
        <v>1692.47</v>
      </c>
      <c r="E466" s="1235" t="str">
        <f>buildingfinal!D465</f>
        <v>Sqm.</v>
      </c>
      <c r="F466" s="1235">
        <f t="shared" si="21"/>
        <v>0</v>
      </c>
      <c r="G466" s="1240"/>
    </row>
    <row r="467" spans="1:8" s="1241" customFormat="1" ht="17.25" hidden="1">
      <c r="A467" s="1233">
        <f>buildingfinal!A466</f>
        <v>0</v>
      </c>
      <c r="B467" s="1521">
        <f>buildingfinal!Q466</f>
        <v>0</v>
      </c>
      <c r="C467" s="1239" t="str">
        <f>buildingfinal!B466</f>
        <v>c. In First floor</v>
      </c>
      <c r="D467" s="1235">
        <f>buildingfinal!C466</f>
        <v>1702.41</v>
      </c>
      <c r="E467" s="1235" t="str">
        <f>buildingfinal!D466</f>
        <v>Sqm.</v>
      </c>
      <c r="F467" s="1235">
        <f t="shared" si="21"/>
        <v>0</v>
      </c>
      <c r="G467" s="1240"/>
    </row>
    <row r="468" spans="1:8" s="1241" customFormat="1" ht="17.25" hidden="1">
      <c r="A468" s="1233">
        <f>buildingfinal!A467</f>
        <v>0</v>
      </c>
      <c r="B468" s="1521">
        <f>buildingfinal!Q467</f>
        <v>0</v>
      </c>
      <c r="C468" s="1239" t="str">
        <f>buildingfinal!B467</f>
        <v>d. In Second floor</v>
      </c>
      <c r="D468" s="1235">
        <f>buildingfinal!C467</f>
        <v>1712.35</v>
      </c>
      <c r="E468" s="1235" t="str">
        <f>buildingfinal!D467</f>
        <v>Sqm.</v>
      </c>
      <c r="F468" s="1235">
        <f t="shared" si="21"/>
        <v>0</v>
      </c>
      <c r="G468" s="1240"/>
    </row>
    <row r="469" spans="1:8" s="1241" customFormat="1" ht="17.25" hidden="1">
      <c r="A469" s="1233">
        <f>buildingfinal!A468</f>
        <v>0</v>
      </c>
      <c r="B469" s="1521">
        <f>buildingfinal!Q468</f>
        <v>0</v>
      </c>
      <c r="C469" s="1239" t="str">
        <f>buildingfinal!B468</f>
        <v>e. In Third floor</v>
      </c>
      <c r="D469" s="1235">
        <f>buildingfinal!C468</f>
        <v>1722.29</v>
      </c>
      <c r="E469" s="1235" t="str">
        <f>buildingfinal!D468</f>
        <v>Sqm.</v>
      </c>
      <c r="F469" s="1235">
        <f t="shared" si="21"/>
        <v>0</v>
      </c>
      <c r="G469" s="1240"/>
    </row>
    <row r="470" spans="1:8" ht="39" customHeight="1">
      <c r="A470" s="1233" t="str">
        <f>buildingfinal!A469</f>
        <v>14.I</v>
      </c>
      <c r="B470" s="1260" t="str">
        <f>buildingfinal!Q469</f>
        <v>*</v>
      </c>
      <c r="C470" s="1234" t="str">
        <f>buildingfinal!B469</f>
        <v>Precast Cupboard slab 20 mm tk.using standardised concrete mix M25 (annexure)</v>
      </c>
      <c r="D470" s="1235">
        <f>buildingfinal!C469</f>
        <v>0</v>
      </c>
      <c r="E470" s="1235">
        <f>buildingfinal!D469</f>
        <v>0</v>
      </c>
      <c r="F470" s="1235"/>
      <c r="G470" s="1240"/>
      <c r="H470" s="1217"/>
    </row>
    <row r="471" spans="1:8" ht="33.75" customHeight="1">
      <c r="A471" s="1233">
        <f>buildingfinal!A470</f>
        <v>0</v>
      </c>
      <c r="B471" s="1521">
        <f>buildingfinal!Q470</f>
        <v>23.1</v>
      </c>
      <c r="C471" s="1239" t="str">
        <f>buildingfinal!B470</f>
        <v xml:space="preserve">a. In Stilt / Ground Floor  </v>
      </c>
      <c r="D471" s="1235">
        <f>buildingfinal!C470</f>
        <v>1553.6</v>
      </c>
      <c r="E471" s="1235" t="str">
        <f>buildingfinal!D470</f>
        <v>Sqm.</v>
      </c>
      <c r="F471" s="1235">
        <f t="shared" si="21"/>
        <v>35888.160000000003</v>
      </c>
      <c r="G471" s="1240"/>
      <c r="H471" s="1217"/>
    </row>
    <row r="472" spans="1:8" s="1241" customFormat="1" ht="33.75" customHeight="1">
      <c r="A472" s="1233">
        <f>buildingfinal!A471</f>
        <v>0</v>
      </c>
      <c r="B472" s="1521">
        <f>buildingfinal!Q471</f>
        <v>15.2</v>
      </c>
      <c r="C472" s="1239" t="str">
        <f>buildingfinal!B471</f>
        <v>b. In First floor</v>
      </c>
      <c r="D472" s="1235">
        <f>buildingfinal!C471</f>
        <v>1558.57</v>
      </c>
      <c r="E472" s="1235" t="str">
        <f>buildingfinal!D471</f>
        <v>Sqm.</v>
      </c>
      <c r="F472" s="1235">
        <f t="shared" si="21"/>
        <v>23690.26</v>
      </c>
      <c r="G472" s="1240"/>
    </row>
    <row r="473" spans="1:8" s="1241" customFormat="1" ht="33.75" customHeight="1">
      <c r="A473" s="1233">
        <f>buildingfinal!A472</f>
        <v>0</v>
      </c>
      <c r="B473" s="1521">
        <f>buildingfinal!Q472</f>
        <v>37.5</v>
      </c>
      <c r="C473" s="1239" t="str">
        <f>buildingfinal!B472</f>
        <v>c. In Second floor</v>
      </c>
      <c r="D473" s="1235">
        <f>buildingfinal!C472</f>
        <v>1563.54</v>
      </c>
      <c r="E473" s="1235" t="str">
        <f>buildingfinal!D472</f>
        <v>Sqm.</v>
      </c>
      <c r="F473" s="1235">
        <f t="shared" si="21"/>
        <v>58632.75</v>
      </c>
      <c r="G473" s="1240"/>
    </row>
    <row r="474" spans="1:8" s="1241" customFormat="1" ht="33.75" customHeight="1">
      <c r="A474" s="1233">
        <f>buildingfinal!A473</f>
        <v>0</v>
      </c>
      <c r="B474" s="1521">
        <f>buildingfinal!Q473</f>
        <v>11.6</v>
      </c>
      <c r="C474" s="1239" t="str">
        <f>buildingfinal!B473</f>
        <v>d. In Third floor</v>
      </c>
      <c r="D474" s="1235">
        <f>buildingfinal!C473</f>
        <v>1568.51</v>
      </c>
      <c r="E474" s="1235" t="str">
        <f>buildingfinal!D473</f>
        <v>Sqm.</v>
      </c>
      <c r="F474" s="1235">
        <f t="shared" si="21"/>
        <v>18194.72</v>
      </c>
      <c r="G474" s="1240"/>
    </row>
    <row r="475" spans="1:8" s="1241" customFormat="1" ht="17.25" hidden="1">
      <c r="A475" s="1233">
        <f>buildingfinal!A474</f>
        <v>0</v>
      </c>
      <c r="B475" s="1521">
        <f>buildingfinal!Q474</f>
        <v>0</v>
      </c>
      <c r="C475" s="1239" t="str">
        <f>buildingfinal!B474</f>
        <v>e.  In Fourth floor</v>
      </c>
      <c r="D475" s="1235">
        <f>buildingfinal!C474</f>
        <v>1573.48</v>
      </c>
      <c r="E475" s="1235" t="str">
        <f>buildingfinal!D474</f>
        <v>Sqm.</v>
      </c>
      <c r="F475" s="1235">
        <f t="shared" si="21"/>
        <v>0</v>
      </c>
      <c r="G475" s="1240"/>
    </row>
    <row r="476" spans="1:8" s="1241" customFormat="1" ht="31.5">
      <c r="A476" s="1233" t="str">
        <f>buildingfinal!A475</f>
        <v>14.II</v>
      </c>
      <c r="B476" s="1260" t="str">
        <f>buildingfinal!Q475</f>
        <v>*</v>
      </c>
      <c r="C476" s="1234" t="str">
        <f>buildingfinal!B475</f>
        <v>Precast cupboard slab 40 mm tkusing standardised concrete mix M25 (annexure)</v>
      </c>
      <c r="D476" s="1235">
        <f>buildingfinal!C475</f>
        <v>0</v>
      </c>
      <c r="E476" s="1235">
        <f>buildingfinal!D475</f>
        <v>0</v>
      </c>
      <c r="F476" s="1235"/>
      <c r="G476" s="1240"/>
    </row>
    <row r="477" spans="1:8" hidden="1">
      <c r="A477" s="1233">
        <f>buildingfinal!A476</f>
        <v>0</v>
      </c>
      <c r="B477" s="1521">
        <f>buildingfinal!Q476</f>
        <v>0</v>
      </c>
      <c r="C477" s="1239" t="str">
        <f>buildingfinal!B476</f>
        <v>a. In Foundation &amp; basement</v>
      </c>
      <c r="D477" s="1235">
        <f>buildingfinal!C476</f>
        <v>1714.94</v>
      </c>
      <c r="E477" s="1235" t="str">
        <f>buildingfinal!D476</f>
        <v>Sqm.</v>
      </c>
      <c r="F477" s="1235">
        <f t="shared" si="21"/>
        <v>0</v>
      </c>
      <c r="G477" s="1240"/>
      <c r="H477" s="1217"/>
    </row>
    <row r="478" spans="1:8" ht="33.75" customHeight="1">
      <c r="A478" s="1233">
        <f>buildingfinal!A477</f>
        <v>0</v>
      </c>
      <c r="B478" s="1521">
        <f>buildingfinal!Q477</f>
        <v>5.8</v>
      </c>
      <c r="C478" s="1239" t="str">
        <f>buildingfinal!B477</f>
        <v xml:space="preserve">b. In Stilt / Ground Floor  </v>
      </c>
      <c r="D478" s="1235">
        <f>buildingfinal!C477</f>
        <v>1719.99</v>
      </c>
      <c r="E478" s="1235" t="str">
        <f>buildingfinal!D477</f>
        <v>Sqm.</v>
      </c>
      <c r="F478" s="1235">
        <f t="shared" si="21"/>
        <v>9975.94</v>
      </c>
      <c r="G478" s="1240"/>
      <c r="H478" s="1217"/>
    </row>
    <row r="479" spans="1:8" ht="33.75" customHeight="1">
      <c r="A479" s="1233">
        <f>buildingfinal!A478</f>
        <v>0</v>
      </c>
      <c r="B479" s="1521">
        <f>buildingfinal!Q478</f>
        <v>3.8</v>
      </c>
      <c r="C479" s="1239" t="str">
        <f>buildingfinal!B478</f>
        <v>c. In First floor</v>
      </c>
      <c r="D479" s="1235">
        <f>buildingfinal!C478</f>
        <v>1729.93</v>
      </c>
      <c r="E479" s="1235" t="str">
        <f>buildingfinal!D478</f>
        <v>Sqm.</v>
      </c>
      <c r="F479" s="1235">
        <f t="shared" si="21"/>
        <v>6573.73</v>
      </c>
      <c r="G479" s="1240"/>
      <c r="H479" s="1217"/>
    </row>
    <row r="480" spans="1:8" ht="33.75" customHeight="1">
      <c r="A480" s="1233">
        <f>buildingfinal!A479</f>
        <v>0</v>
      </c>
      <c r="B480" s="1521">
        <f>buildingfinal!Q479</f>
        <v>9.4</v>
      </c>
      <c r="C480" s="1239" t="str">
        <f>buildingfinal!B479</f>
        <v>d. In Second floor</v>
      </c>
      <c r="D480" s="1235">
        <f>buildingfinal!C479</f>
        <v>1739.87</v>
      </c>
      <c r="E480" s="1235" t="str">
        <f>buildingfinal!D479</f>
        <v>Sqm.</v>
      </c>
      <c r="F480" s="1235">
        <f t="shared" si="21"/>
        <v>16354.78</v>
      </c>
      <c r="G480" s="1240"/>
      <c r="H480" s="1217"/>
    </row>
    <row r="481" spans="1:8" ht="33.75" customHeight="1">
      <c r="A481" s="1233">
        <f>buildingfinal!A480</f>
        <v>0</v>
      </c>
      <c r="B481" s="1521">
        <f>buildingfinal!Q480</f>
        <v>2.9</v>
      </c>
      <c r="C481" s="1239" t="str">
        <f>buildingfinal!B480</f>
        <v>e. In Third floor</v>
      </c>
      <c r="D481" s="1235">
        <f>buildingfinal!C480</f>
        <v>1749.81</v>
      </c>
      <c r="E481" s="1235" t="str">
        <f>buildingfinal!D480</f>
        <v>Sqm.</v>
      </c>
      <c r="F481" s="1235">
        <f t="shared" si="21"/>
        <v>5074.45</v>
      </c>
      <c r="G481" s="1240">
        <f>'[2]Abstract '!D480</f>
        <v>0</v>
      </c>
      <c r="H481" s="1216">
        <f>'[2]Abstract '!F480</f>
        <v>0</v>
      </c>
    </row>
    <row r="482" spans="1:8" hidden="1">
      <c r="A482" s="1233">
        <f>buildingfinal!A481</f>
        <v>0</v>
      </c>
      <c r="B482" s="1521">
        <f>buildingfinal!Q481</f>
        <v>0</v>
      </c>
      <c r="C482" s="1239" t="str">
        <f>buildingfinal!B481</f>
        <v>f.  In Fourth floor</v>
      </c>
      <c r="D482" s="1235">
        <f>buildingfinal!C481</f>
        <v>1759.75</v>
      </c>
      <c r="E482" s="1235" t="str">
        <f>buildingfinal!D481</f>
        <v>Sqm.</v>
      </c>
      <c r="F482" s="1235">
        <f t="shared" si="21"/>
        <v>0</v>
      </c>
      <c r="G482" s="1240">
        <f>'[2]Abstract '!D481</f>
        <v>1398.83</v>
      </c>
      <c r="H482" s="1216">
        <f>'[2]Abstract '!F481</f>
        <v>10770.99</v>
      </c>
    </row>
    <row r="483" spans="1:8" s="1241" customFormat="1" ht="30" hidden="1">
      <c r="A483" s="1233" t="str">
        <f>buildingfinal!A482</f>
        <v>14.I</v>
      </c>
      <c r="B483" s="1521">
        <f>buildingfinal!Q482</f>
        <v>0</v>
      </c>
      <c r="C483" s="1239" t="str">
        <f>buildingfinal!B482</f>
        <v>Precast Cupboard slab 20 mm tk.using standardised concrete mix M30 (annexure)</v>
      </c>
      <c r="D483" s="1235">
        <f>buildingfinal!C482</f>
        <v>0</v>
      </c>
      <c r="E483" s="1235">
        <f>buildingfinal!D482</f>
        <v>0</v>
      </c>
      <c r="F483" s="1235">
        <f t="shared" si="21"/>
        <v>0</v>
      </c>
      <c r="G483" s="1240"/>
    </row>
    <row r="484" spans="1:8" hidden="1">
      <c r="A484" s="1233">
        <f>buildingfinal!A483</f>
        <v>0</v>
      </c>
      <c r="B484" s="1521">
        <f>buildingfinal!Q483</f>
        <v>0</v>
      </c>
      <c r="C484" s="1239" t="str">
        <f>buildingfinal!B483</f>
        <v>a. In Ground floor</v>
      </c>
      <c r="D484" s="1235">
        <f>buildingfinal!C483</f>
        <v>1550.82</v>
      </c>
      <c r="E484" s="1235" t="str">
        <f>buildingfinal!D483</f>
        <v>Sqm.</v>
      </c>
      <c r="F484" s="1235">
        <f t="shared" si="21"/>
        <v>0</v>
      </c>
      <c r="G484" s="1240"/>
      <c r="H484" s="1217"/>
    </row>
    <row r="485" spans="1:8" hidden="1">
      <c r="A485" s="1233">
        <f>buildingfinal!A484</f>
        <v>0</v>
      </c>
      <c r="B485" s="1521">
        <f>buildingfinal!Q484</f>
        <v>0</v>
      </c>
      <c r="C485" s="1239" t="str">
        <f>buildingfinal!B484</f>
        <v>b. In First floor</v>
      </c>
      <c r="D485" s="1235">
        <f>buildingfinal!C484</f>
        <v>1555.79</v>
      </c>
      <c r="E485" s="1235" t="str">
        <f>buildingfinal!D484</f>
        <v>Sqm.</v>
      </c>
      <c r="F485" s="1235">
        <f t="shared" si="21"/>
        <v>0</v>
      </c>
      <c r="G485" s="1240"/>
      <c r="H485" s="1217"/>
    </row>
    <row r="486" spans="1:8" hidden="1">
      <c r="A486" s="1233">
        <f>buildingfinal!A485</f>
        <v>0</v>
      </c>
      <c r="B486" s="1521">
        <f>buildingfinal!Q485</f>
        <v>0</v>
      </c>
      <c r="C486" s="1239" t="str">
        <f>buildingfinal!B485</f>
        <v>c. In Second floor</v>
      </c>
      <c r="D486" s="1235">
        <f>buildingfinal!C485</f>
        <v>1560.76</v>
      </c>
      <c r="E486" s="1235" t="str">
        <f>buildingfinal!D485</f>
        <v>Sqm.</v>
      </c>
      <c r="F486" s="1235">
        <f t="shared" si="21"/>
        <v>0</v>
      </c>
      <c r="G486" s="1240"/>
      <c r="H486" s="1217"/>
    </row>
    <row r="487" spans="1:8" hidden="1">
      <c r="A487" s="1233">
        <f>buildingfinal!A486</f>
        <v>0</v>
      </c>
      <c r="B487" s="1521">
        <f>buildingfinal!Q486</f>
        <v>0</v>
      </c>
      <c r="C487" s="1239" t="str">
        <f>buildingfinal!B486</f>
        <v>d. In Third floor</v>
      </c>
      <c r="D487" s="1235">
        <f>buildingfinal!C486</f>
        <v>1565.73</v>
      </c>
      <c r="E487" s="1235" t="str">
        <f>buildingfinal!D486</f>
        <v>Sqm.</v>
      </c>
      <c r="F487" s="1235">
        <f t="shared" si="21"/>
        <v>0</v>
      </c>
      <c r="G487" s="1240"/>
      <c r="H487" s="1217"/>
    </row>
    <row r="488" spans="1:8" hidden="1">
      <c r="A488" s="1233">
        <f>buildingfinal!A487</f>
        <v>0</v>
      </c>
      <c r="B488" s="1521">
        <f>buildingfinal!Q487</f>
        <v>0</v>
      </c>
      <c r="C488" s="1239" t="str">
        <f>buildingfinal!B487</f>
        <v>e.  In Fourth floor</v>
      </c>
      <c r="D488" s="1235">
        <f>buildingfinal!C487</f>
        <v>1570.7</v>
      </c>
      <c r="E488" s="1235" t="str">
        <f>buildingfinal!D487</f>
        <v>Sqm.</v>
      </c>
      <c r="F488" s="1235">
        <f t="shared" si="21"/>
        <v>0</v>
      </c>
      <c r="G488" s="1240">
        <f>'[2]Abstract '!D487</f>
        <v>0</v>
      </c>
      <c r="H488" s="1216">
        <f>'[2]Abstract '!F487</f>
        <v>0</v>
      </c>
    </row>
    <row r="489" spans="1:8" ht="30" hidden="1">
      <c r="A489" s="1233" t="str">
        <f>buildingfinal!A488</f>
        <v>14.II</v>
      </c>
      <c r="B489" s="1521">
        <f>buildingfinal!Q488</f>
        <v>0</v>
      </c>
      <c r="C489" s="1239" t="str">
        <f>buildingfinal!B488</f>
        <v>Precast cupboard slab 40 mm tkusing standardised concrete mix M30 (annexure)</v>
      </c>
      <c r="D489" s="1235">
        <f>buildingfinal!C488</f>
        <v>0</v>
      </c>
      <c r="E489" s="1235">
        <f>buildingfinal!D488</f>
        <v>0</v>
      </c>
      <c r="F489" s="1235">
        <f t="shared" si="21"/>
        <v>0</v>
      </c>
      <c r="G489" s="1240">
        <f>'[2]Abstract '!D488</f>
        <v>2529.69</v>
      </c>
      <c r="H489" s="1216">
        <f>'[2]Abstract '!F488</f>
        <v>7336.1</v>
      </c>
    </row>
    <row r="490" spans="1:8" hidden="1">
      <c r="A490" s="1233">
        <f>buildingfinal!A489</f>
        <v>0</v>
      </c>
      <c r="B490" s="1521">
        <f>buildingfinal!Q489</f>
        <v>0</v>
      </c>
      <c r="C490" s="1239" t="str">
        <f>buildingfinal!B489</f>
        <v>a. In Foundation &amp; basement</v>
      </c>
      <c r="D490" s="1235">
        <f>buildingfinal!C489</f>
        <v>1709.39</v>
      </c>
      <c r="E490" s="1235" t="str">
        <f>buildingfinal!D489</f>
        <v>Sqm.</v>
      </c>
      <c r="F490" s="1235">
        <f t="shared" si="21"/>
        <v>0</v>
      </c>
      <c r="G490" s="1240">
        <f>'[2]Abstract '!D489</f>
        <v>2537.02</v>
      </c>
      <c r="H490" s="1216">
        <f>'[2]Abstract '!F489</f>
        <v>9640.68</v>
      </c>
    </row>
    <row r="491" spans="1:8" s="1241" customFormat="1" ht="17.25" hidden="1">
      <c r="A491" s="1233">
        <f>buildingfinal!A490</f>
        <v>0</v>
      </c>
      <c r="B491" s="1521">
        <f>buildingfinal!Q490</f>
        <v>0</v>
      </c>
      <c r="C491" s="1239" t="str">
        <f>buildingfinal!B490</f>
        <v>b. In Ground floor</v>
      </c>
      <c r="D491" s="1235">
        <f>buildingfinal!C490</f>
        <v>1714.44</v>
      </c>
      <c r="E491" s="1235" t="str">
        <f>buildingfinal!D490</f>
        <v>Sqm.</v>
      </c>
      <c r="F491" s="1235">
        <f t="shared" si="21"/>
        <v>0</v>
      </c>
      <c r="G491" s="1240">
        <f>'[2]Abstract '!D490</f>
        <v>2544.35</v>
      </c>
      <c r="H491" s="1216">
        <f>'[2]Abstract '!F490</f>
        <v>9668.5300000000007</v>
      </c>
    </row>
    <row r="492" spans="1:8" s="1241" customFormat="1" ht="17.25" hidden="1">
      <c r="A492" s="1233">
        <f>buildingfinal!A491</f>
        <v>0</v>
      </c>
      <c r="B492" s="1521">
        <f>buildingfinal!Q491</f>
        <v>0</v>
      </c>
      <c r="C492" s="1239" t="str">
        <f>buildingfinal!B491</f>
        <v>c. In First floor</v>
      </c>
      <c r="D492" s="1235">
        <f>buildingfinal!C491</f>
        <v>1724.38</v>
      </c>
      <c r="E492" s="1235" t="str">
        <f>buildingfinal!D491</f>
        <v>Sqm.</v>
      </c>
      <c r="F492" s="1235">
        <f t="shared" si="21"/>
        <v>0</v>
      </c>
      <c r="G492" s="1240">
        <f>'[2]Abstract '!D491</f>
        <v>2551.6799999999998</v>
      </c>
      <c r="H492" s="1216">
        <f>'[2]Abstract '!F491</f>
        <v>7399.87</v>
      </c>
    </row>
    <row r="493" spans="1:8" s="1241" customFormat="1" ht="17.25" hidden="1">
      <c r="A493" s="1233">
        <f>buildingfinal!A492</f>
        <v>0</v>
      </c>
      <c r="B493" s="1521">
        <f>buildingfinal!Q492</f>
        <v>0</v>
      </c>
      <c r="C493" s="1239" t="str">
        <f>buildingfinal!B492</f>
        <v>d. In Second floor</v>
      </c>
      <c r="D493" s="1235">
        <f>buildingfinal!C492</f>
        <v>1734.32</v>
      </c>
      <c r="E493" s="1235" t="str">
        <f>buildingfinal!D492</f>
        <v>Sqm.</v>
      </c>
      <c r="F493" s="1235">
        <f t="shared" si="21"/>
        <v>0</v>
      </c>
      <c r="G493" s="1240"/>
    </row>
    <row r="494" spans="1:8" s="1241" customFormat="1" ht="17.25" hidden="1">
      <c r="A494" s="1233">
        <f>buildingfinal!A493</f>
        <v>0</v>
      </c>
      <c r="B494" s="1521">
        <f>buildingfinal!Q493</f>
        <v>0</v>
      </c>
      <c r="C494" s="1239" t="str">
        <f>buildingfinal!B493</f>
        <v>e. In Third floor</v>
      </c>
      <c r="D494" s="1235">
        <f>buildingfinal!C493</f>
        <v>1744.26</v>
      </c>
      <c r="E494" s="1235" t="str">
        <f>buildingfinal!D493</f>
        <v>Sqm.</v>
      </c>
      <c r="F494" s="1235">
        <f t="shared" si="21"/>
        <v>0</v>
      </c>
      <c r="G494" s="1240"/>
    </row>
    <row r="495" spans="1:8" s="1241" customFormat="1" ht="17.25" hidden="1">
      <c r="A495" s="1233">
        <f>buildingfinal!A494</f>
        <v>0</v>
      </c>
      <c r="B495" s="1521">
        <f>buildingfinal!Q494</f>
        <v>0</v>
      </c>
      <c r="C495" s="1239" t="str">
        <f>buildingfinal!B494</f>
        <v>f.  In Fourth floor</v>
      </c>
      <c r="D495" s="1235">
        <f>buildingfinal!C494</f>
        <v>1754.2</v>
      </c>
      <c r="E495" s="1235" t="str">
        <f>buildingfinal!D494</f>
        <v>Sqm.</v>
      </c>
      <c r="F495" s="1235">
        <f t="shared" si="21"/>
        <v>0</v>
      </c>
      <c r="G495" s="1240"/>
    </row>
    <row r="496" spans="1:8" s="1241" customFormat="1" ht="45" hidden="1">
      <c r="A496" s="1233">
        <f>buildingfinal!A495</f>
        <v>0</v>
      </c>
      <c r="B496" s="1521">
        <f>buildingfinal!Q495</f>
        <v>0</v>
      </c>
      <c r="C496" s="1239" t="str">
        <f>buildingfinal!B495</f>
        <v>Precast Jally ventilator 50mm tk.using standardised concrete mix M30 (annexure) without vibrating charges</v>
      </c>
      <c r="D496" s="1235">
        <f>buildingfinal!C495</f>
        <v>0</v>
      </c>
      <c r="E496" s="1235">
        <f>buildingfinal!D495</f>
        <v>0</v>
      </c>
      <c r="F496" s="1235">
        <f t="shared" si="21"/>
        <v>0</v>
      </c>
      <c r="G496" s="1240"/>
    </row>
    <row r="497" spans="1:8" s="1241" customFormat="1" ht="17.25" hidden="1">
      <c r="A497" s="1233">
        <f>buildingfinal!A496</f>
        <v>0</v>
      </c>
      <c r="B497" s="1521">
        <f>buildingfinal!Q496</f>
        <v>0</v>
      </c>
      <c r="C497" s="1239" t="str">
        <f>buildingfinal!B496</f>
        <v xml:space="preserve">a. In Ground floor </v>
      </c>
      <c r="D497" s="1235">
        <f>buildingfinal!C496</f>
        <v>3098.57</v>
      </c>
      <c r="E497" s="1235" t="str">
        <f>buildingfinal!D496</f>
        <v>Sqm.</v>
      </c>
      <c r="F497" s="1235">
        <f t="shared" si="21"/>
        <v>0</v>
      </c>
      <c r="G497" s="1240"/>
    </row>
    <row r="498" spans="1:8" s="1241" customFormat="1" ht="17.25" hidden="1">
      <c r="A498" s="1233">
        <f>buildingfinal!A497</f>
        <v>0</v>
      </c>
      <c r="B498" s="1521">
        <f>buildingfinal!Q497</f>
        <v>0</v>
      </c>
      <c r="C498" s="1239" t="str">
        <f>buildingfinal!B497</f>
        <v>b. In First floor</v>
      </c>
      <c r="D498" s="1235">
        <f>buildingfinal!C497</f>
        <v>3107.83</v>
      </c>
      <c r="E498" s="1235" t="str">
        <f>buildingfinal!D497</f>
        <v>Sqm.</v>
      </c>
      <c r="F498" s="1235">
        <f t="shared" si="21"/>
        <v>0</v>
      </c>
      <c r="G498" s="1240"/>
    </row>
    <row r="499" spans="1:8" s="1241" customFormat="1" ht="17.25" hidden="1">
      <c r="A499" s="1233">
        <f>buildingfinal!A498</f>
        <v>0</v>
      </c>
      <c r="B499" s="1521">
        <f>buildingfinal!Q498</f>
        <v>0</v>
      </c>
      <c r="C499" s="1239" t="str">
        <f>buildingfinal!B498</f>
        <v>c. In Second floor</v>
      </c>
      <c r="D499" s="1235">
        <f>buildingfinal!C498</f>
        <v>3117.09</v>
      </c>
      <c r="E499" s="1235" t="str">
        <f>buildingfinal!D498</f>
        <v>Sqm.</v>
      </c>
      <c r="F499" s="1235">
        <f t="shared" si="21"/>
        <v>0</v>
      </c>
      <c r="G499" s="1240"/>
    </row>
    <row r="500" spans="1:8" s="1241" customFormat="1" ht="17.25" hidden="1">
      <c r="A500" s="1233">
        <f>buildingfinal!A499</f>
        <v>0</v>
      </c>
      <c r="B500" s="1521">
        <f>buildingfinal!Q499</f>
        <v>0</v>
      </c>
      <c r="C500" s="1239" t="str">
        <f>buildingfinal!B499</f>
        <v>d. In Third floor</v>
      </c>
      <c r="D500" s="1235">
        <f>buildingfinal!C499</f>
        <v>3126.35</v>
      </c>
      <c r="E500" s="1235" t="str">
        <f>buildingfinal!D499</f>
        <v>Sqm.</v>
      </c>
      <c r="F500" s="1235">
        <f t="shared" si="21"/>
        <v>0</v>
      </c>
      <c r="G500" s="1240"/>
    </row>
    <row r="501" spans="1:8" s="1241" customFormat="1" ht="17.25" hidden="1">
      <c r="A501" s="1233">
        <f>buildingfinal!A500</f>
        <v>0</v>
      </c>
      <c r="B501" s="1521">
        <f>buildingfinal!Q500</f>
        <v>0</v>
      </c>
      <c r="C501" s="1239" t="str">
        <f>buildingfinal!B500</f>
        <v>e.  In Fourth floor</v>
      </c>
      <c r="D501" s="1235">
        <f>buildingfinal!C500</f>
        <v>3135.61</v>
      </c>
      <c r="E501" s="1235" t="str">
        <f>buildingfinal!D500</f>
        <v>Sqm.</v>
      </c>
      <c r="F501" s="1235">
        <f t="shared" si="21"/>
        <v>0</v>
      </c>
      <c r="G501" s="1240"/>
    </row>
    <row r="502" spans="1:8" s="1241" customFormat="1" ht="45" hidden="1">
      <c r="A502" s="1233">
        <f>buildingfinal!A501</f>
        <v>0</v>
      </c>
      <c r="B502" s="1521">
        <f>buildingfinal!Q501</f>
        <v>0</v>
      </c>
      <c r="C502" s="1239" t="str">
        <f>buildingfinal!B501</f>
        <v>Precast Jally ventilator 50mm tk.using standardised concrete mix M20 (annexure) without vibrating charges</v>
      </c>
      <c r="D502" s="1235">
        <f>buildingfinal!C501</f>
        <v>0</v>
      </c>
      <c r="E502" s="1235">
        <f>buildingfinal!D501</f>
        <v>0</v>
      </c>
      <c r="F502" s="1235">
        <f t="shared" si="21"/>
        <v>0</v>
      </c>
      <c r="G502" s="1240"/>
    </row>
    <row r="503" spans="1:8" s="1241" customFormat="1" ht="17.25" hidden="1">
      <c r="A503" s="1233">
        <f>buildingfinal!A502</f>
        <v>0</v>
      </c>
      <c r="B503" s="1521">
        <f>buildingfinal!Q502</f>
        <v>0</v>
      </c>
      <c r="C503" s="1239" t="str">
        <f>buildingfinal!B502</f>
        <v>a. In Ground Floor</v>
      </c>
      <c r="D503" s="1235">
        <f>buildingfinal!C502</f>
        <v>3078.09</v>
      </c>
      <c r="E503" s="1235" t="str">
        <f>buildingfinal!D502</f>
        <v>Sqm.</v>
      </c>
      <c r="F503" s="1235">
        <f t="shared" si="21"/>
        <v>0</v>
      </c>
      <c r="G503" s="1240"/>
    </row>
    <row r="504" spans="1:8" s="1241" customFormat="1" ht="17.25" hidden="1">
      <c r="A504" s="1233">
        <f>buildingfinal!A503</f>
        <v>0</v>
      </c>
      <c r="B504" s="1521">
        <f>buildingfinal!Q503</f>
        <v>0</v>
      </c>
      <c r="C504" s="1239" t="str">
        <f>buildingfinal!B503</f>
        <v>b. In First floor</v>
      </c>
      <c r="D504" s="1235">
        <f>buildingfinal!C503</f>
        <v>3087.35</v>
      </c>
      <c r="E504" s="1235" t="str">
        <f>buildingfinal!D503</f>
        <v>Sqm.</v>
      </c>
      <c r="F504" s="1235">
        <f t="shared" si="21"/>
        <v>0</v>
      </c>
      <c r="G504" s="1240"/>
    </row>
    <row r="505" spans="1:8" s="1241" customFormat="1" ht="17.25" hidden="1">
      <c r="A505" s="1233">
        <f>buildingfinal!A504</f>
        <v>0</v>
      </c>
      <c r="B505" s="1521">
        <f>buildingfinal!Q504</f>
        <v>0</v>
      </c>
      <c r="C505" s="1239" t="str">
        <f>buildingfinal!B504</f>
        <v>c. In Second floor</v>
      </c>
      <c r="D505" s="1235">
        <f>buildingfinal!C504</f>
        <v>3096.61</v>
      </c>
      <c r="E505" s="1235" t="str">
        <f>buildingfinal!D504</f>
        <v>Sqm.</v>
      </c>
      <c r="F505" s="1235">
        <f t="shared" si="21"/>
        <v>0</v>
      </c>
      <c r="G505" s="1240"/>
    </row>
    <row r="506" spans="1:8" s="1241" customFormat="1" ht="17.25" hidden="1">
      <c r="A506" s="1233">
        <f>buildingfinal!A505</f>
        <v>0</v>
      </c>
      <c r="B506" s="1521">
        <f>buildingfinal!Q505</f>
        <v>0</v>
      </c>
      <c r="C506" s="1239" t="str">
        <f>buildingfinal!B505</f>
        <v>d. In Third floor</v>
      </c>
      <c r="D506" s="1235">
        <f>buildingfinal!C505</f>
        <v>3105.87</v>
      </c>
      <c r="E506" s="1235" t="str">
        <f>buildingfinal!D505</f>
        <v>Sqm.</v>
      </c>
      <c r="F506" s="1235">
        <f t="shared" si="21"/>
        <v>0</v>
      </c>
      <c r="G506" s="1240"/>
    </row>
    <row r="507" spans="1:8" s="1241" customFormat="1" ht="17.25" hidden="1">
      <c r="A507" s="1233">
        <f>buildingfinal!A506</f>
        <v>0</v>
      </c>
      <c r="B507" s="1521">
        <f>buildingfinal!Q506</f>
        <v>0</v>
      </c>
      <c r="C507" s="1239" t="str">
        <f>buildingfinal!B506</f>
        <v>e.  In Fourth floor</v>
      </c>
      <c r="D507" s="1235">
        <f>buildingfinal!C506</f>
        <v>3115.13</v>
      </c>
      <c r="E507" s="1235" t="str">
        <f>buildingfinal!D506</f>
        <v>Sqm.</v>
      </c>
      <c r="F507" s="1235">
        <f t="shared" si="21"/>
        <v>0</v>
      </c>
      <c r="G507" s="1240"/>
    </row>
    <row r="508" spans="1:8" s="1241" customFormat="1" ht="17.25" hidden="1">
      <c r="A508" s="1233">
        <f>buildingfinal!A507</f>
        <v>0</v>
      </c>
      <c r="B508" s="1521">
        <f>buildingfinal!Q507</f>
        <v>0</v>
      </c>
      <c r="C508" s="1239" t="str">
        <f>buildingfinal!B507</f>
        <v>f.  In Fifth floor</v>
      </c>
      <c r="D508" s="1235">
        <f>buildingfinal!C507</f>
        <v>0</v>
      </c>
      <c r="E508" s="1235" t="str">
        <f>buildingfinal!D507</f>
        <v>Sqm.</v>
      </c>
      <c r="F508" s="1235">
        <f t="shared" si="21"/>
        <v>0</v>
      </c>
      <c r="G508" s="1240">
        <f>'[2]Abstract '!D507</f>
        <v>0</v>
      </c>
      <c r="H508" s="1216">
        <f>'[2]Abstract '!F507</f>
        <v>0</v>
      </c>
    </row>
    <row r="509" spans="1:8" s="1241" customFormat="1" ht="17.25" hidden="1">
      <c r="A509" s="1233">
        <f>buildingfinal!A508</f>
        <v>0</v>
      </c>
      <c r="B509" s="1521">
        <f>buildingfinal!Q508</f>
        <v>0</v>
      </c>
      <c r="C509" s="1239" t="str">
        <f>buildingfinal!B508</f>
        <v>Standardised concrete Mix M20 Grade Concrete</v>
      </c>
      <c r="D509" s="1235">
        <f>buildingfinal!C508</f>
        <v>0</v>
      </c>
      <c r="E509" s="1235">
        <f>buildingfinal!D508</f>
        <v>0</v>
      </c>
      <c r="F509" s="1235">
        <f t="shared" si="21"/>
        <v>0</v>
      </c>
      <c r="G509" s="1240">
        <f>'[2]Abstract '!D508</f>
        <v>7288.72</v>
      </c>
      <c r="H509" s="1216">
        <f>'[2]Abstract '!F508</f>
        <v>1262406.3</v>
      </c>
    </row>
    <row r="510" spans="1:8" s="1241" customFormat="1" ht="17.25" hidden="1">
      <c r="A510" s="1233">
        <f>buildingfinal!A509</f>
        <v>0</v>
      </c>
      <c r="B510" s="1521">
        <f>buildingfinal!Q509</f>
        <v>0</v>
      </c>
      <c r="C510" s="1239" t="str">
        <f>buildingfinal!B509</f>
        <v>a. In Foundation and basement</v>
      </c>
      <c r="D510" s="1235">
        <f>buildingfinal!C509</f>
        <v>8026.96</v>
      </c>
      <c r="E510" s="1235" t="str">
        <f>buildingfinal!D509</f>
        <v>Cum</v>
      </c>
      <c r="F510" s="1235">
        <f t="shared" si="21"/>
        <v>0</v>
      </c>
      <c r="G510" s="1240">
        <f>'[2]Abstract '!D509</f>
        <v>7387.61</v>
      </c>
      <c r="H510" s="1216">
        <f>'[2]Abstract '!F509</f>
        <v>378984.39</v>
      </c>
    </row>
    <row r="511" spans="1:8" s="1241" customFormat="1" ht="17.25" hidden="1">
      <c r="A511" s="1233">
        <f>buildingfinal!A510</f>
        <v>0</v>
      </c>
      <c r="B511" s="1521">
        <f>buildingfinal!Q510</f>
        <v>0</v>
      </c>
      <c r="C511" s="1239" t="str">
        <f>buildingfinal!B510</f>
        <v xml:space="preserve">b. Stilt / Ground Floor  </v>
      </c>
      <c r="D511" s="1235">
        <f>buildingfinal!C510</f>
        <v>8151.92</v>
      </c>
      <c r="E511" s="1235" t="str">
        <f>buildingfinal!D510</f>
        <v>Cum</v>
      </c>
      <c r="F511" s="1235">
        <f t="shared" si="21"/>
        <v>0</v>
      </c>
      <c r="G511" s="1240">
        <f>'[2]Abstract '!D510</f>
        <v>7582.31</v>
      </c>
      <c r="H511" s="1216">
        <f>'[2]Abstract '!F510</f>
        <v>682407.9</v>
      </c>
    </row>
    <row r="512" spans="1:8" s="1241" customFormat="1" ht="17.25" hidden="1">
      <c r="A512" s="1233">
        <f>buildingfinal!A511</f>
        <v>0</v>
      </c>
      <c r="B512" s="1521">
        <f>buildingfinal!Q511</f>
        <v>0</v>
      </c>
      <c r="C512" s="1239" t="str">
        <f>buildingfinal!B511</f>
        <v>c. In First Floor</v>
      </c>
      <c r="D512" s="1235">
        <f>buildingfinal!C511</f>
        <v>8398.1</v>
      </c>
      <c r="E512" s="1235" t="str">
        <f>buildingfinal!D511</f>
        <v>Cum</v>
      </c>
      <c r="F512" s="1235">
        <f t="shared" si="21"/>
        <v>0</v>
      </c>
      <c r="G512" s="1240">
        <f>'[2]Abstract '!D511</f>
        <v>7777.01</v>
      </c>
      <c r="H512" s="1216">
        <f>'[2]Abstract '!F511</f>
        <v>665712.06000000006</v>
      </c>
    </row>
    <row r="513" spans="1:8" s="1241" customFormat="1" ht="17.25" hidden="1">
      <c r="A513" s="1233">
        <f>buildingfinal!A512</f>
        <v>0</v>
      </c>
      <c r="B513" s="1521">
        <f>buildingfinal!Q512</f>
        <v>0</v>
      </c>
      <c r="C513" s="1239" t="str">
        <f>buildingfinal!B512</f>
        <v>d. In Second Floor</v>
      </c>
      <c r="D513" s="1235">
        <f>buildingfinal!C512</f>
        <v>8644.2800000000007</v>
      </c>
      <c r="E513" s="1235" t="str">
        <f>buildingfinal!D512</f>
        <v>Cum</v>
      </c>
      <c r="F513" s="1235">
        <f t="shared" si="21"/>
        <v>0</v>
      </c>
      <c r="G513" s="1240">
        <f>'[2]Abstract '!D512</f>
        <v>7971.71</v>
      </c>
      <c r="H513" s="1216">
        <f>'[2]Abstract '!F512</f>
        <v>192118.21</v>
      </c>
    </row>
    <row r="514" spans="1:8" s="1241" customFormat="1" ht="17.25" hidden="1">
      <c r="A514" s="1233">
        <f>buildingfinal!A513</f>
        <v>0</v>
      </c>
      <c r="B514" s="1521">
        <f>buildingfinal!Q513</f>
        <v>0</v>
      </c>
      <c r="C514" s="1239" t="str">
        <f>buildingfinal!B513</f>
        <v>e. In Third floor</v>
      </c>
      <c r="D514" s="1235">
        <f>buildingfinal!C513</f>
        <v>8890.4599999999991</v>
      </c>
      <c r="E514" s="1235" t="str">
        <f>buildingfinal!D513</f>
        <v>Cum</v>
      </c>
      <c r="F514" s="1235">
        <f t="shared" si="21"/>
        <v>0</v>
      </c>
      <c r="G514" s="1240"/>
    </row>
    <row r="515" spans="1:8" s="1241" customFormat="1" ht="17.25" hidden="1">
      <c r="A515" s="1233">
        <f>buildingfinal!A514</f>
        <v>0</v>
      </c>
      <c r="B515" s="1521">
        <f>buildingfinal!Q514</f>
        <v>0</v>
      </c>
      <c r="C515" s="1239" t="str">
        <f>buildingfinal!B514</f>
        <v>f.In fourth floor</v>
      </c>
      <c r="D515" s="1235">
        <f>buildingfinal!C514</f>
        <v>9136.64</v>
      </c>
      <c r="E515" s="1235" t="str">
        <f>buildingfinal!D514</f>
        <v>Cum</v>
      </c>
      <c r="F515" s="1235">
        <f t="shared" si="21"/>
        <v>0</v>
      </c>
      <c r="G515" s="1240"/>
    </row>
    <row r="516" spans="1:8" s="1241" customFormat="1" ht="33.75" customHeight="1">
      <c r="A516" s="1233">
        <f>buildingfinal!A515</f>
        <v>4.0999999999999996</v>
      </c>
      <c r="B516" s="1260" t="str">
        <f>buildingfinal!Q515</f>
        <v>*</v>
      </c>
      <c r="C516" s="1234" t="str">
        <f>buildingfinal!B515</f>
        <v>Standardised concrete Mix M25 Grade Concrete</v>
      </c>
      <c r="D516" s="1235">
        <f>buildingfinal!C515</f>
        <v>0</v>
      </c>
      <c r="E516" s="1235">
        <f>buildingfinal!D515</f>
        <v>0</v>
      </c>
      <c r="F516" s="1235"/>
      <c r="G516" s="1240"/>
    </row>
    <row r="517" spans="1:8" s="1241" customFormat="1" ht="17.25" hidden="1">
      <c r="A517" s="1233">
        <f>buildingfinal!A516</f>
        <v>0</v>
      </c>
      <c r="B517" s="1521">
        <f>buildingfinal!Q516</f>
        <v>0</v>
      </c>
      <c r="C517" s="1239" t="str">
        <f>buildingfinal!B516</f>
        <v>a. In Foundation and basement</v>
      </c>
      <c r="D517" s="1235">
        <f>buildingfinal!C516</f>
        <v>8215.61</v>
      </c>
      <c r="E517" s="1235" t="str">
        <f>buildingfinal!D516</f>
        <v>Cum</v>
      </c>
      <c r="F517" s="1235">
        <f t="shared" si="21"/>
        <v>0</v>
      </c>
      <c r="G517" s="1240"/>
    </row>
    <row r="518" spans="1:8" s="1241" customFormat="1" ht="33.75" customHeight="1">
      <c r="A518" s="1233">
        <f>buildingfinal!A517</f>
        <v>8.1</v>
      </c>
      <c r="B518" s="1521">
        <f>buildingfinal!Q517</f>
        <v>123.6</v>
      </c>
      <c r="C518" s="1239" t="str">
        <f>buildingfinal!B517</f>
        <v xml:space="preserve">b. Stilt / Ground Floor  </v>
      </c>
      <c r="D518" s="1235">
        <f>buildingfinal!C517</f>
        <v>8340.57</v>
      </c>
      <c r="E518" s="1235" t="str">
        <f>buildingfinal!D517</f>
        <v>Cum</v>
      </c>
      <c r="F518" s="1235">
        <f t="shared" si="21"/>
        <v>1030894.45</v>
      </c>
      <c r="G518" s="1240"/>
    </row>
    <row r="519" spans="1:8" s="1241" customFormat="1" ht="33.75" customHeight="1">
      <c r="A519" s="1233">
        <f>buildingfinal!A518</f>
        <v>0</v>
      </c>
      <c r="B519" s="1521">
        <f>buildingfinal!Q518</f>
        <v>151.9</v>
      </c>
      <c r="C519" s="1239" t="str">
        <f>buildingfinal!B518</f>
        <v>c. In First Floor</v>
      </c>
      <c r="D519" s="1235">
        <f>buildingfinal!C518</f>
        <v>8586.75</v>
      </c>
      <c r="E519" s="1235" t="str">
        <f>buildingfinal!D518</f>
        <v>Cum</v>
      </c>
      <c r="F519" s="1235">
        <f t="shared" si="21"/>
        <v>1304327.33</v>
      </c>
      <c r="G519" s="1240"/>
    </row>
    <row r="520" spans="1:8" s="1241" customFormat="1" ht="33.75" customHeight="1">
      <c r="A520" s="1233">
        <f>buildingfinal!A519</f>
        <v>0</v>
      </c>
      <c r="B520" s="1521">
        <f>buildingfinal!Q519</f>
        <v>151.69999999999999</v>
      </c>
      <c r="C520" s="1239" t="str">
        <f>buildingfinal!B519</f>
        <v>d. In Second Floor</v>
      </c>
      <c r="D520" s="1235">
        <f>buildingfinal!C519</f>
        <v>8832.93</v>
      </c>
      <c r="E520" s="1235" t="str">
        <f>buildingfinal!D519</f>
        <v>Cum</v>
      </c>
      <c r="F520" s="1235">
        <f t="shared" ref="F520:F583" si="23">D520*B520</f>
        <v>1339955.48</v>
      </c>
      <c r="G520" s="1240"/>
    </row>
    <row r="521" spans="1:8" s="1241" customFormat="1" ht="33.75" customHeight="1">
      <c r="A521" s="1233">
        <f>buildingfinal!A520</f>
        <v>0</v>
      </c>
      <c r="B521" s="1521">
        <f>buildingfinal!Q520</f>
        <v>150</v>
      </c>
      <c r="C521" s="1239" t="str">
        <f>buildingfinal!B520</f>
        <v>e. In Third floor</v>
      </c>
      <c r="D521" s="1235">
        <f>buildingfinal!C520</f>
        <v>9079.11</v>
      </c>
      <c r="E521" s="1235" t="str">
        <f>buildingfinal!D520</f>
        <v>Cum</v>
      </c>
      <c r="F521" s="1235">
        <f t="shared" si="23"/>
        <v>1361866.5</v>
      </c>
      <c r="G521" s="1240"/>
    </row>
    <row r="522" spans="1:8" s="1241" customFormat="1" ht="33.75" customHeight="1">
      <c r="A522" s="1233">
        <f>buildingfinal!A521</f>
        <v>0</v>
      </c>
      <c r="B522" s="1521">
        <f>buildingfinal!Q521</f>
        <v>45.3</v>
      </c>
      <c r="C522" s="1239" t="str">
        <f>buildingfinal!B521</f>
        <v>f.In fourth floor</v>
      </c>
      <c r="D522" s="1235">
        <f>buildingfinal!C521</f>
        <v>9325.2900000000009</v>
      </c>
      <c r="E522" s="1235" t="str">
        <f>buildingfinal!D521</f>
        <v>Cum</v>
      </c>
      <c r="F522" s="1235">
        <f t="shared" si="23"/>
        <v>422435.64</v>
      </c>
      <c r="G522" s="1240"/>
    </row>
    <row r="523" spans="1:8" s="1241" customFormat="1" ht="17.25" hidden="1">
      <c r="A523" s="1233">
        <f>buildingfinal!A522</f>
        <v>0</v>
      </c>
      <c r="B523" s="1521">
        <f>buildingfinal!Q522</f>
        <v>0</v>
      </c>
      <c r="C523" s="1239" t="str">
        <f>buildingfinal!B522</f>
        <v>g.In fifth floor</v>
      </c>
      <c r="D523" s="1235">
        <f>buildingfinal!C522</f>
        <v>9423.6299999999992</v>
      </c>
      <c r="E523" s="1235" t="str">
        <f>buildingfinal!D522</f>
        <v>Cum</v>
      </c>
      <c r="F523" s="1235">
        <f t="shared" si="23"/>
        <v>0</v>
      </c>
      <c r="G523" s="1240"/>
    </row>
    <row r="524" spans="1:8" s="1241" customFormat="1" ht="33.75" customHeight="1">
      <c r="A524" s="1233" t="str">
        <f>buildingfinal!A523</f>
        <v>4.1.1</v>
      </c>
      <c r="B524" s="1260" t="str">
        <f>buildingfinal!Q523</f>
        <v>*</v>
      </c>
      <c r="C524" s="1234" t="str">
        <f>buildingfinal!B523</f>
        <v>Standardised concrete Mix M30 Grade Concrete</v>
      </c>
      <c r="D524" s="1235">
        <f>buildingfinal!C523</f>
        <v>0</v>
      </c>
      <c r="E524" s="1235">
        <f>buildingfinal!D523</f>
        <v>0</v>
      </c>
      <c r="F524" s="1235"/>
      <c r="G524" s="1240">
        <f>buildingfinal!R523</f>
        <v>0</v>
      </c>
      <c r="H524" s="1216">
        <f t="shared" ref="H524:H530" si="24">F524-G524</f>
        <v>0</v>
      </c>
    </row>
    <row r="525" spans="1:8" s="1241" customFormat="1" ht="33.75" customHeight="1">
      <c r="A525" s="1233">
        <f>buildingfinal!A524</f>
        <v>0</v>
      </c>
      <c r="B525" s="1521">
        <f>buildingfinal!Q524</f>
        <v>146.19999999999999</v>
      </c>
      <c r="C525" s="1239" t="str">
        <f>buildingfinal!B524</f>
        <v>a. In Foundation and basement</v>
      </c>
      <c r="D525" s="1235">
        <f>buildingfinal!C524</f>
        <v>8571.2199999999993</v>
      </c>
      <c r="E525" s="1235" t="str">
        <f>buildingfinal!D524</f>
        <v>Cum</v>
      </c>
      <c r="F525" s="1235">
        <f t="shared" si="23"/>
        <v>1253112.3600000001</v>
      </c>
      <c r="G525" s="1240">
        <f>buildingfinal!R524</f>
        <v>1253112.3600000001</v>
      </c>
      <c r="H525" s="1216">
        <f t="shared" si="24"/>
        <v>0</v>
      </c>
    </row>
    <row r="526" spans="1:8" s="1241" customFormat="1" ht="33.75" hidden="1" customHeight="1">
      <c r="A526" s="1233">
        <f>buildingfinal!A525</f>
        <v>0</v>
      </c>
      <c r="B526" s="1521">
        <f>buildingfinal!Q525</f>
        <v>0</v>
      </c>
      <c r="C526" s="1239" t="str">
        <f>buildingfinal!B525</f>
        <v>b. In Ground Floor</v>
      </c>
      <c r="D526" s="1235">
        <f>buildingfinal!C525</f>
        <v>8696.18</v>
      </c>
      <c r="E526" s="1235" t="str">
        <f>buildingfinal!D525</f>
        <v>Cum</v>
      </c>
      <c r="F526" s="1235">
        <f t="shared" si="23"/>
        <v>0</v>
      </c>
      <c r="G526" s="1240">
        <f>buildingfinal!R525</f>
        <v>0</v>
      </c>
      <c r="H526" s="1216">
        <f t="shared" si="24"/>
        <v>0</v>
      </c>
    </row>
    <row r="527" spans="1:8" s="1241" customFormat="1" ht="33.75" hidden="1" customHeight="1">
      <c r="A527" s="1233">
        <f>buildingfinal!A526</f>
        <v>0</v>
      </c>
      <c r="B527" s="1521">
        <f>buildingfinal!Q526</f>
        <v>0</v>
      </c>
      <c r="C527" s="1239" t="str">
        <f>buildingfinal!B526</f>
        <v>c. In First Floor</v>
      </c>
      <c r="D527" s="1235">
        <f>buildingfinal!C526</f>
        <v>8942.36</v>
      </c>
      <c r="E527" s="1235" t="str">
        <f>buildingfinal!D526</f>
        <v>Cum</v>
      </c>
      <c r="F527" s="1235">
        <f t="shared" si="23"/>
        <v>0</v>
      </c>
      <c r="G527" s="1240">
        <f>buildingfinal!R526</f>
        <v>0</v>
      </c>
      <c r="H527" s="1216">
        <f t="shared" si="24"/>
        <v>0</v>
      </c>
    </row>
    <row r="528" spans="1:8" s="1241" customFormat="1" ht="33.75" hidden="1" customHeight="1">
      <c r="A528" s="1233">
        <f>buildingfinal!A527</f>
        <v>0</v>
      </c>
      <c r="B528" s="1521">
        <f>buildingfinal!Q527</f>
        <v>0</v>
      </c>
      <c r="C528" s="1239" t="str">
        <f>buildingfinal!B527</f>
        <v>d. In Second Floor</v>
      </c>
      <c r="D528" s="1235">
        <f>buildingfinal!C527</f>
        <v>9188.5400000000009</v>
      </c>
      <c r="E528" s="1235" t="str">
        <f>buildingfinal!D527</f>
        <v>Cum</v>
      </c>
      <c r="F528" s="1235">
        <f t="shared" si="23"/>
        <v>0</v>
      </c>
      <c r="G528" s="1240">
        <f>buildingfinal!R527</f>
        <v>0</v>
      </c>
      <c r="H528" s="1216">
        <f t="shared" si="24"/>
        <v>0</v>
      </c>
    </row>
    <row r="529" spans="1:8" s="1241" customFormat="1" ht="33.75" hidden="1" customHeight="1">
      <c r="A529" s="1233">
        <f>buildingfinal!A528</f>
        <v>0</v>
      </c>
      <c r="B529" s="1521">
        <f>buildingfinal!Q528</f>
        <v>0</v>
      </c>
      <c r="C529" s="1239" t="str">
        <f>buildingfinal!B528</f>
        <v>e. In Third floor</v>
      </c>
      <c r="D529" s="1235">
        <f>buildingfinal!C528</f>
        <v>9434.7199999999993</v>
      </c>
      <c r="E529" s="1235" t="str">
        <f>buildingfinal!D528</f>
        <v>Cum</v>
      </c>
      <c r="F529" s="1235">
        <f t="shared" si="23"/>
        <v>0</v>
      </c>
      <c r="G529" s="1240">
        <f>buildingfinal!R528</f>
        <v>0</v>
      </c>
      <c r="H529" s="1216">
        <f t="shared" si="24"/>
        <v>0</v>
      </c>
    </row>
    <row r="530" spans="1:8" s="1241" customFormat="1" ht="33.75" hidden="1" customHeight="1">
      <c r="A530" s="1233">
        <f>buildingfinal!A529</f>
        <v>0</v>
      </c>
      <c r="B530" s="1521">
        <f>buildingfinal!Q529</f>
        <v>0</v>
      </c>
      <c r="C530" s="1239" t="str">
        <f>buildingfinal!B529</f>
        <v>e. In fourth  floor</v>
      </c>
      <c r="D530" s="1235">
        <f>buildingfinal!C529</f>
        <v>9680.9</v>
      </c>
      <c r="E530" s="1235" t="str">
        <f>buildingfinal!D529</f>
        <v>Cum</v>
      </c>
      <c r="F530" s="1235">
        <f t="shared" si="23"/>
        <v>0</v>
      </c>
      <c r="G530" s="1240">
        <f>buildingfinal!R529</f>
        <v>0</v>
      </c>
      <c r="H530" s="1216">
        <f t="shared" si="24"/>
        <v>0</v>
      </c>
    </row>
    <row r="531" spans="1:8" s="1241" customFormat="1" ht="30" hidden="1">
      <c r="A531" s="1233">
        <f>buildingfinal!A530</f>
        <v>0</v>
      </c>
      <c r="B531" s="1521">
        <f>buildingfinal!Q530</f>
        <v>0</v>
      </c>
      <c r="C531" s="1239" t="str">
        <f>buildingfinal!B530</f>
        <v>RCC M30 mix using hard broken stone jelly for foundation and basement</v>
      </c>
      <c r="D531" s="1235">
        <f>buildingfinal!C530</f>
        <v>0</v>
      </c>
      <c r="E531" s="1235">
        <f>buildingfinal!D530</f>
        <v>0</v>
      </c>
      <c r="F531" s="1235">
        <f t="shared" si="23"/>
        <v>0</v>
      </c>
      <c r="G531" s="1240"/>
    </row>
    <row r="532" spans="1:8" s="1241" customFormat="1" ht="17.25" hidden="1">
      <c r="A532" s="1233">
        <f>buildingfinal!A531</f>
        <v>0</v>
      </c>
      <c r="B532" s="1521">
        <f>buildingfinal!Q531</f>
        <v>0</v>
      </c>
      <c r="C532" s="1239" t="str">
        <f>buildingfinal!B531</f>
        <v>a. Foundation &amp; basement</v>
      </c>
      <c r="D532" s="1235">
        <f>buildingfinal!C531</f>
        <v>8436.92</v>
      </c>
      <c r="E532" s="1235" t="str">
        <f>buildingfinal!D531</f>
        <v>Cum</v>
      </c>
      <c r="F532" s="1235">
        <f t="shared" si="23"/>
        <v>0</v>
      </c>
      <c r="G532" s="1240"/>
    </row>
    <row r="533" spans="1:8" s="1241" customFormat="1" ht="17.25" hidden="1">
      <c r="A533" s="1233">
        <f>buildingfinal!A532</f>
        <v>0</v>
      </c>
      <c r="B533" s="1521">
        <f>buildingfinal!Q532</f>
        <v>0</v>
      </c>
      <c r="C533" s="1239" t="str">
        <f>buildingfinal!B532</f>
        <v>b.Stilt floor</v>
      </c>
      <c r="D533" s="1235">
        <f>buildingfinal!C532</f>
        <v>8561.8799999999992</v>
      </c>
      <c r="E533" s="1235" t="str">
        <f>buildingfinal!D532</f>
        <v>Cum</v>
      </c>
      <c r="F533" s="1235">
        <f t="shared" si="23"/>
        <v>0</v>
      </c>
      <c r="G533" s="1240"/>
    </row>
    <row r="534" spans="1:8" s="1241" customFormat="1" ht="30" hidden="1">
      <c r="A534" s="1233">
        <f>buildingfinal!A533</f>
        <v>0</v>
      </c>
      <c r="B534" s="1521">
        <f>buildingfinal!Q533</f>
        <v>0</v>
      </c>
      <c r="C534" s="1239" t="str">
        <f>buildingfinal!B533</f>
        <v>Cement Concrete using desing mix of grade M25 concrete</v>
      </c>
      <c r="D534" s="1235">
        <f>buildingfinal!C533</f>
        <v>0</v>
      </c>
      <c r="E534" s="1235">
        <f>buildingfinal!D533</f>
        <v>0</v>
      </c>
      <c r="F534" s="1235">
        <f t="shared" si="23"/>
        <v>0</v>
      </c>
      <c r="G534" s="1240"/>
    </row>
    <row r="535" spans="1:8" s="1241" customFormat="1" ht="17.25" hidden="1">
      <c r="A535" s="1233">
        <f>buildingfinal!A534</f>
        <v>0</v>
      </c>
      <c r="B535" s="1521">
        <f>buildingfinal!Q534</f>
        <v>0</v>
      </c>
      <c r="C535" s="1239" t="str">
        <f>buildingfinal!B534</f>
        <v>a. In Foundation and basement</v>
      </c>
      <c r="D535" s="1235">
        <f>buildingfinal!C534</f>
        <v>8357.82</v>
      </c>
      <c r="E535" s="1235" t="str">
        <f>buildingfinal!D534</f>
        <v>Cum.</v>
      </c>
      <c r="F535" s="1235">
        <f t="shared" si="23"/>
        <v>0</v>
      </c>
      <c r="G535" s="1240"/>
    </row>
    <row r="536" spans="1:8" s="1241" customFormat="1" ht="17.25" hidden="1">
      <c r="A536" s="1233">
        <f>buildingfinal!A535</f>
        <v>0</v>
      </c>
      <c r="B536" s="1521">
        <f>buildingfinal!Q535</f>
        <v>0</v>
      </c>
      <c r="C536" s="1239" t="str">
        <f>buildingfinal!B535</f>
        <v>b. In Stilt /Ground Floor</v>
      </c>
      <c r="D536" s="1235">
        <f>buildingfinal!C535</f>
        <v>8482.7800000000007</v>
      </c>
      <c r="E536" s="1235" t="str">
        <f>buildingfinal!D535</f>
        <v>Cum.</v>
      </c>
      <c r="F536" s="1235">
        <f t="shared" si="23"/>
        <v>0</v>
      </c>
      <c r="G536" s="1240"/>
    </row>
    <row r="537" spans="1:8" hidden="1">
      <c r="A537" s="1233">
        <f>buildingfinal!A536</f>
        <v>0</v>
      </c>
      <c r="B537" s="1521">
        <f>buildingfinal!Q536</f>
        <v>0</v>
      </c>
      <c r="C537" s="1239" t="str">
        <f>buildingfinal!B536</f>
        <v>c. In First Floor</v>
      </c>
      <c r="D537" s="1235">
        <f>buildingfinal!C536</f>
        <v>8728.9599999999991</v>
      </c>
      <c r="E537" s="1235" t="str">
        <f>buildingfinal!D536</f>
        <v>Cum.</v>
      </c>
      <c r="F537" s="1235">
        <f t="shared" si="23"/>
        <v>0</v>
      </c>
      <c r="G537" s="1240"/>
      <c r="H537" s="1217"/>
    </row>
    <row r="538" spans="1:8" hidden="1">
      <c r="A538" s="1233">
        <f>buildingfinal!A537</f>
        <v>0</v>
      </c>
      <c r="B538" s="1521">
        <f>buildingfinal!Q537</f>
        <v>0</v>
      </c>
      <c r="C538" s="1239" t="str">
        <f>buildingfinal!B537</f>
        <v>d. In Second Floor</v>
      </c>
      <c r="D538" s="1235">
        <f>buildingfinal!C537</f>
        <v>8975.14</v>
      </c>
      <c r="E538" s="1235" t="str">
        <f>buildingfinal!D537</f>
        <v>Cum.</v>
      </c>
      <c r="F538" s="1235">
        <f t="shared" si="23"/>
        <v>0</v>
      </c>
      <c r="G538" s="1240"/>
      <c r="H538" s="1217"/>
    </row>
    <row r="539" spans="1:8" s="1241" customFormat="1" ht="17.25" hidden="1">
      <c r="A539" s="1233">
        <f>buildingfinal!A538</f>
        <v>0</v>
      </c>
      <c r="B539" s="1521">
        <f>buildingfinal!Q538</f>
        <v>0</v>
      </c>
      <c r="C539" s="1239" t="str">
        <f>buildingfinal!B538</f>
        <v>e. In Third floor</v>
      </c>
      <c r="D539" s="1235">
        <f>buildingfinal!C538</f>
        <v>9221.32</v>
      </c>
      <c r="E539" s="1235" t="str">
        <f>buildingfinal!D538</f>
        <v>Cum.</v>
      </c>
      <c r="F539" s="1235">
        <f t="shared" si="23"/>
        <v>0</v>
      </c>
      <c r="G539" s="1240"/>
    </row>
    <row r="540" spans="1:8" s="1241" customFormat="1" ht="17.25" hidden="1">
      <c r="A540" s="1233">
        <f>buildingfinal!A539</f>
        <v>0</v>
      </c>
      <c r="B540" s="1521">
        <f>buildingfinal!Q539</f>
        <v>0</v>
      </c>
      <c r="C540" s="1239" t="str">
        <f>buildingfinal!B539</f>
        <v>f. In Fourth Floor</v>
      </c>
      <c r="D540" s="1235">
        <f>buildingfinal!C539</f>
        <v>9467.5</v>
      </c>
      <c r="E540" s="1235" t="str">
        <f>buildingfinal!D539</f>
        <v>Cum.</v>
      </c>
      <c r="F540" s="1235">
        <f t="shared" si="23"/>
        <v>0</v>
      </c>
      <c r="G540" s="1240"/>
    </row>
    <row r="541" spans="1:8" s="1241" customFormat="1" ht="17.25" hidden="1">
      <c r="A541" s="1233">
        <f>buildingfinal!A540</f>
        <v>0</v>
      </c>
      <c r="B541" s="1521">
        <f>buildingfinal!Q540</f>
        <v>0</v>
      </c>
      <c r="C541" s="1239" t="str">
        <f>buildingfinal!B540</f>
        <v>g. In Fifth Floor</v>
      </c>
      <c r="D541" s="1235">
        <f>buildingfinal!C540</f>
        <v>9713.68</v>
      </c>
      <c r="E541" s="1235" t="str">
        <f>buildingfinal!D540</f>
        <v>Cum.</v>
      </c>
      <c r="F541" s="1235">
        <f t="shared" si="23"/>
        <v>0</v>
      </c>
      <c r="G541" s="1240"/>
    </row>
    <row r="542" spans="1:8" s="1241" customFormat="1" ht="17.25" hidden="1">
      <c r="A542" s="1233">
        <f>buildingfinal!A541</f>
        <v>0</v>
      </c>
      <c r="B542" s="1521">
        <f>buildingfinal!Q541</f>
        <v>0</v>
      </c>
      <c r="C542" s="1239" t="str">
        <f>buildingfinal!B541</f>
        <v>h. In Sixth Floor</v>
      </c>
      <c r="D542" s="1235">
        <f>buildingfinal!C541</f>
        <v>9959.86</v>
      </c>
      <c r="E542" s="1235" t="str">
        <f>buildingfinal!D541</f>
        <v>Cum.</v>
      </c>
      <c r="F542" s="1235">
        <f t="shared" si="23"/>
        <v>0</v>
      </c>
      <c r="G542" s="1240"/>
    </row>
    <row r="543" spans="1:8" s="1241" customFormat="1" ht="17.25" hidden="1">
      <c r="A543" s="1233">
        <f>buildingfinal!A542</f>
        <v>0</v>
      </c>
      <c r="B543" s="1521">
        <f>buildingfinal!Q542</f>
        <v>0</v>
      </c>
      <c r="C543" s="1239" t="str">
        <f>buildingfinal!B542</f>
        <v>i. In Seventh Floor</v>
      </c>
      <c r="D543" s="1235">
        <f>buildingfinal!C542</f>
        <v>10206.040000000001</v>
      </c>
      <c r="E543" s="1235" t="str">
        <f>buildingfinal!D542</f>
        <v>Cum.</v>
      </c>
      <c r="F543" s="1235">
        <f t="shared" si="23"/>
        <v>0</v>
      </c>
      <c r="G543" s="1240"/>
    </row>
    <row r="544" spans="1:8" s="1241" customFormat="1" ht="17.25" hidden="1">
      <c r="A544" s="1233">
        <f>buildingfinal!A543</f>
        <v>0</v>
      </c>
      <c r="B544" s="1521">
        <f>buildingfinal!Q543</f>
        <v>0</v>
      </c>
      <c r="C544" s="1239" t="str">
        <f>buildingfinal!B543</f>
        <v>j.in Eighth floor</v>
      </c>
      <c r="D544" s="1235">
        <f>buildingfinal!C543</f>
        <v>10452.219999999999</v>
      </c>
      <c r="E544" s="1235" t="str">
        <f>buildingfinal!D543</f>
        <v>Cum.</v>
      </c>
      <c r="F544" s="1235">
        <f t="shared" si="23"/>
        <v>0</v>
      </c>
      <c r="G544" s="1240"/>
    </row>
    <row r="545" spans="1:8" s="1241" customFormat="1" ht="17.25" hidden="1">
      <c r="A545" s="1233">
        <f>buildingfinal!A544</f>
        <v>0</v>
      </c>
      <c r="B545" s="1521">
        <f>buildingfinal!Q544</f>
        <v>0</v>
      </c>
      <c r="C545" s="1239" t="str">
        <f>buildingfinal!B544</f>
        <v>k.in Ninth floor</v>
      </c>
      <c r="D545" s="1235">
        <f>buildingfinal!C544</f>
        <v>10698.4</v>
      </c>
      <c r="E545" s="1235" t="str">
        <f>buildingfinal!D544</f>
        <v>Cum.</v>
      </c>
      <c r="F545" s="1235">
        <f t="shared" si="23"/>
        <v>0</v>
      </c>
      <c r="G545" s="1240"/>
    </row>
    <row r="546" spans="1:8" s="1241" customFormat="1" ht="17.25" hidden="1">
      <c r="A546" s="1233">
        <f>buildingfinal!A545</f>
        <v>0</v>
      </c>
      <c r="B546" s="1521">
        <f>buildingfinal!Q545</f>
        <v>0</v>
      </c>
      <c r="C546" s="1239" t="str">
        <f>buildingfinal!B545</f>
        <v>l.in Tenth floor</v>
      </c>
      <c r="D546" s="1235">
        <f>buildingfinal!C545</f>
        <v>10944.58</v>
      </c>
      <c r="E546" s="1235" t="str">
        <f>buildingfinal!D545</f>
        <v>Cum.</v>
      </c>
      <c r="F546" s="1235">
        <f t="shared" si="23"/>
        <v>0</v>
      </c>
      <c r="G546" s="1240"/>
    </row>
    <row r="547" spans="1:8" s="1241" customFormat="1" ht="17.25" hidden="1">
      <c r="A547" s="1233">
        <f>buildingfinal!A546</f>
        <v>0</v>
      </c>
      <c r="B547" s="1521">
        <f>buildingfinal!Q546</f>
        <v>0</v>
      </c>
      <c r="C547" s="1239" t="str">
        <f>buildingfinal!B546</f>
        <v>l.  In Eleventh floor</v>
      </c>
      <c r="D547" s="1235">
        <f>buildingfinal!C546</f>
        <v>11190.76</v>
      </c>
      <c r="E547" s="1235" t="str">
        <f>buildingfinal!D546</f>
        <v>Cum.</v>
      </c>
      <c r="F547" s="1235">
        <f t="shared" si="23"/>
        <v>0</v>
      </c>
      <c r="G547" s="1240"/>
    </row>
    <row r="548" spans="1:8" s="1241" customFormat="1" ht="17.25" hidden="1">
      <c r="A548" s="1233">
        <f>buildingfinal!A547</f>
        <v>0</v>
      </c>
      <c r="B548" s="1521">
        <f>buildingfinal!Q547</f>
        <v>0</v>
      </c>
      <c r="C548" s="1239" t="str">
        <f>buildingfinal!B547</f>
        <v>m.  In Twelth floor</v>
      </c>
      <c r="D548" s="1235">
        <f>buildingfinal!C547</f>
        <v>11436.94</v>
      </c>
      <c r="E548" s="1235" t="str">
        <f>buildingfinal!D547</f>
        <v>Cum.</v>
      </c>
      <c r="F548" s="1235">
        <f t="shared" si="23"/>
        <v>0</v>
      </c>
      <c r="G548" s="1240"/>
    </row>
    <row r="549" spans="1:8" s="1241" customFormat="1" ht="17.25" hidden="1">
      <c r="A549" s="1233">
        <f>buildingfinal!A548</f>
        <v>0</v>
      </c>
      <c r="B549" s="1521">
        <f>buildingfinal!Q548</f>
        <v>0</v>
      </c>
      <c r="C549" s="1239" t="str">
        <f>buildingfinal!B548</f>
        <v>n. In Thirteen floor</v>
      </c>
      <c r="D549" s="1235">
        <f>buildingfinal!C548</f>
        <v>11683.12</v>
      </c>
      <c r="E549" s="1235" t="str">
        <f>buildingfinal!D548</f>
        <v>Cum.</v>
      </c>
      <c r="F549" s="1235">
        <f t="shared" si="23"/>
        <v>0</v>
      </c>
      <c r="G549" s="1240"/>
    </row>
    <row r="550" spans="1:8" s="1241" customFormat="1" ht="45" hidden="1">
      <c r="A550" s="1233">
        <f>buildingfinal!A549</f>
        <v>6.2</v>
      </c>
      <c r="B550" s="1521">
        <f>buildingfinal!Q549</f>
        <v>0</v>
      </c>
      <c r="C550" s="1239" t="str">
        <f>buildingfinal!B549</f>
        <v>Brick work in C.M. 1:5 using Fly Ash 
bricks of size 23 x 11 x 7 cm in Foundation and Basement</v>
      </c>
      <c r="D550" s="1235">
        <f>buildingfinal!C549</f>
        <v>7104.8</v>
      </c>
      <c r="E550" s="1235" t="str">
        <f>buildingfinal!D549</f>
        <v>Cum.</v>
      </c>
      <c r="F550" s="1235">
        <f t="shared" si="23"/>
        <v>0</v>
      </c>
      <c r="G550" s="1240"/>
    </row>
    <row r="551" spans="1:8" s="1241" customFormat="1" ht="30" hidden="1">
      <c r="A551" s="1233">
        <f>buildingfinal!A550</f>
        <v>9.1999999999999993</v>
      </c>
      <c r="B551" s="1521">
        <f>buildingfinal!Q550</f>
        <v>0</v>
      </c>
      <c r="C551" s="1239" t="str">
        <f>buildingfinal!B550</f>
        <v xml:space="preserve">Brick work in C.M. 1:6 using Fly Ash 
bricks of size 23 x 11 x 7 cm </v>
      </c>
      <c r="D551" s="1235">
        <f>buildingfinal!C550</f>
        <v>0</v>
      </c>
      <c r="E551" s="1235">
        <f>buildingfinal!D550</f>
        <v>0</v>
      </c>
      <c r="F551" s="1235">
        <f t="shared" si="23"/>
        <v>0</v>
      </c>
      <c r="G551" s="1240"/>
    </row>
    <row r="552" spans="1:8" s="1241" customFormat="1" ht="17.25" hidden="1">
      <c r="A552" s="1233">
        <f>buildingfinal!A551</f>
        <v>0</v>
      </c>
      <c r="B552" s="1521">
        <f>buildingfinal!Q551</f>
        <v>0</v>
      </c>
      <c r="C552" s="1239" t="str">
        <f>buildingfinal!B551</f>
        <v xml:space="preserve">a. In Stilt / Ground Floor  </v>
      </c>
      <c r="D552" s="1235">
        <f>buildingfinal!C551</f>
        <v>7114.59</v>
      </c>
      <c r="E552" s="1235" t="str">
        <f>buildingfinal!D551</f>
        <v>Cum.</v>
      </c>
      <c r="F552" s="1235">
        <f t="shared" si="23"/>
        <v>0</v>
      </c>
      <c r="G552" s="1240">
        <f>'[2]Abstract '!D551</f>
        <v>2964.62</v>
      </c>
      <c r="H552" s="1216">
        <f>'[2]Abstract '!F551</f>
        <v>133704.35999999999</v>
      </c>
    </row>
    <row r="553" spans="1:8" s="1241" customFormat="1" ht="17.25" hidden="1">
      <c r="A553" s="1233">
        <f>buildingfinal!A552</f>
        <v>0</v>
      </c>
      <c r="B553" s="1521">
        <f>buildingfinal!Q552</f>
        <v>0</v>
      </c>
      <c r="C553" s="1239" t="str">
        <f>buildingfinal!B552</f>
        <v>b. In First Floor</v>
      </c>
      <c r="D553" s="1235">
        <f>buildingfinal!C552</f>
        <v>7280.58</v>
      </c>
      <c r="E553" s="1235" t="str">
        <f>buildingfinal!D552</f>
        <v>Cum.</v>
      </c>
      <c r="F553" s="1235">
        <f t="shared" si="23"/>
        <v>0</v>
      </c>
      <c r="G553" s="1240">
        <f>'[2]Abstract '!D552</f>
        <v>284.93</v>
      </c>
      <c r="H553" s="1216">
        <f>'[2]Abstract '!F552</f>
        <v>74309.740000000005</v>
      </c>
    </row>
    <row r="554" spans="1:8" s="1241" customFormat="1" ht="17.25" hidden="1">
      <c r="A554" s="1233">
        <f>buildingfinal!A553</f>
        <v>0</v>
      </c>
      <c r="B554" s="1521">
        <f>buildingfinal!Q553</f>
        <v>0</v>
      </c>
      <c r="C554" s="1239" t="str">
        <f>buildingfinal!B553</f>
        <v>c. In Second Floor</v>
      </c>
      <c r="D554" s="1235">
        <f>buildingfinal!C553</f>
        <v>7446.57</v>
      </c>
      <c r="E554" s="1235" t="str">
        <f>buildingfinal!D553</f>
        <v>Cum.</v>
      </c>
      <c r="F554" s="1235">
        <f t="shared" si="23"/>
        <v>0</v>
      </c>
      <c r="G554" s="1240">
        <f>'[2]Abstract '!D553</f>
        <v>231.12</v>
      </c>
      <c r="H554" s="1216">
        <f>'[2]Abstract '!F553</f>
        <v>31987.01</v>
      </c>
    </row>
    <row r="555" spans="1:8" s="1241" customFormat="1" ht="17.25" hidden="1">
      <c r="A555" s="1233">
        <f>buildingfinal!A554</f>
        <v>0</v>
      </c>
      <c r="B555" s="1521">
        <f>buildingfinal!Q554</f>
        <v>0</v>
      </c>
      <c r="C555" s="1239" t="str">
        <f>buildingfinal!B554</f>
        <v>d. In Third Floor</v>
      </c>
      <c r="D555" s="1235">
        <f>buildingfinal!C554</f>
        <v>7612.56</v>
      </c>
      <c r="E555" s="1235" t="str">
        <f>buildingfinal!D554</f>
        <v>Cum.</v>
      </c>
      <c r="F555" s="1235">
        <f t="shared" si="23"/>
        <v>0</v>
      </c>
      <c r="G555" s="1240"/>
    </row>
    <row r="556" spans="1:8" s="1241" customFormat="1" ht="17.25" hidden="1">
      <c r="A556" s="1233">
        <f>buildingfinal!A555</f>
        <v>0</v>
      </c>
      <c r="B556" s="1521">
        <f>buildingfinal!Q555</f>
        <v>0</v>
      </c>
      <c r="C556" s="1239" t="str">
        <f>buildingfinal!B555</f>
        <v>e. In Fourth Floor</v>
      </c>
      <c r="D556" s="1235">
        <f>buildingfinal!C555</f>
        <v>7778.55</v>
      </c>
      <c r="E556" s="1235" t="str">
        <f>buildingfinal!D555</f>
        <v>Cum.</v>
      </c>
      <c r="F556" s="1235">
        <f t="shared" si="23"/>
        <v>0</v>
      </c>
      <c r="G556" s="1240"/>
    </row>
    <row r="557" spans="1:8" s="1241" customFormat="1" ht="17.25" hidden="1">
      <c r="A557" s="1233">
        <f>buildingfinal!A556</f>
        <v>0</v>
      </c>
      <c r="B557" s="1521">
        <f>buildingfinal!Q556</f>
        <v>0</v>
      </c>
      <c r="C557" s="1239" t="str">
        <f>buildingfinal!B556</f>
        <v>f. In Fifth Floor</v>
      </c>
      <c r="D557" s="1235">
        <f>buildingfinal!C556</f>
        <v>7944.54</v>
      </c>
      <c r="E557" s="1235" t="str">
        <f>buildingfinal!D556</f>
        <v>Cum.</v>
      </c>
      <c r="F557" s="1235">
        <f t="shared" si="23"/>
        <v>0</v>
      </c>
      <c r="G557" s="1240"/>
    </row>
    <row r="558" spans="1:8" s="1241" customFormat="1" ht="30" hidden="1">
      <c r="A558" s="1233">
        <f>buildingfinal!A557</f>
        <v>10.199999999999999</v>
      </c>
      <c r="B558" s="1521">
        <f>buildingfinal!Q557</f>
        <v>0</v>
      </c>
      <c r="C558" s="1239" t="str">
        <f>buildingfinal!B557</f>
        <v>Brick partition work in C.M. 1:4 using Fly Ash 
bricks of size 23 x 11 x 7 cm 110 mm tk (B.P.)</v>
      </c>
      <c r="D558" s="1235">
        <f>buildingfinal!C557</f>
        <v>0</v>
      </c>
      <c r="E558" s="1235">
        <f>buildingfinal!D557</f>
        <v>0</v>
      </c>
      <c r="F558" s="1235">
        <f t="shared" si="23"/>
        <v>0</v>
      </c>
      <c r="G558" s="1240"/>
    </row>
    <row r="559" spans="1:8" s="1241" customFormat="1" ht="17.25" hidden="1">
      <c r="A559" s="1233">
        <f>buildingfinal!A558</f>
        <v>0</v>
      </c>
      <c r="B559" s="1521">
        <f>buildingfinal!Q558</f>
        <v>0</v>
      </c>
      <c r="C559" s="1239" t="str">
        <f>buildingfinal!B558</f>
        <v>a. In Foundation and Basement</v>
      </c>
      <c r="D559" s="1235">
        <f>buildingfinal!C558</f>
        <v>897.66</v>
      </c>
      <c r="E559" s="1235" t="str">
        <f>buildingfinal!D558</f>
        <v>Sqm</v>
      </c>
      <c r="F559" s="1235">
        <f t="shared" si="23"/>
        <v>0</v>
      </c>
      <c r="G559" s="1240"/>
    </row>
    <row r="560" spans="1:8" s="1241" customFormat="1" ht="17.25" hidden="1">
      <c r="A560" s="1233">
        <f>buildingfinal!A559</f>
        <v>0</v>
      </c>
      <c r="B560" s="1521">
        <f>buildingfinal!Q559</f>
        <v>0</v>
      </c>
      <c r="C560" s="1239" t="str">
        <f>buildingfinal!B559</f>
        <v xml:space="preserve">b. In Stilt / Ground Floor  </v>
      </c>
      <c r="D560" s="1235">
        <f>buildingfinal!C559</f>
        <v>906.71</v>
      </c>
      <c r="E560" s="1235" t="str">
        <f>buildingfinal!D559</f>
        <v>Sqm</v>
      </c>
      <c r="F560" s="1235">
        <f t="shared" si="23"/>
        <v>0</v>
      </c>
      <c r="G560" s="1240"/>
    </row>
    <row r="561" spans="1:8" s="1241" customFormat="1" ht="17.25" hidden="1">
      <c r="A561" s="1233">
        <f>buildingfinal!A560</f>
        <v>0</v>
      </c>
      <c r="B561" s="1521">
        <f>buildingfinal!Q560</f>
        <v>0</v>
      </c>
      <c r="C561" s="1239" t="str">
        <f>buildingfinal!B560</f>
        <v>c. In First Floor</v>
      </c>
      <c r="D561" s="1235">
        <f>buildingfinal!C560</f>
        <v>924.97</v>
      </c>
      <c r="E561" s="1235" t="str">
        <f>buildingfinal!D560</f>
        <v>Sqm</v>
      </c>
      <c r="F561" s="1235">
        <f t="shared" si="23"/>
        <v>0</v>
      </c>
      <c r="G561" s="1240"/>
    </row>
    <row r="562" spans="1:8" s="1241" customFormat="1" ht="17.25" hidden="1">
      <c r="A562" s="1233">
        <f>buildingfinal!A561</f>
        <v>0</v>
      </c>
      <c r="B562" s="1521">
        <f>buildingfinal!Q561</f>
        <v>0</v>
      </c>
      <c r="C562" s="1239" t="str">
        <f>buildingfinal!B561</f>
        <v>d. In Second Floor</v>
      </c>
      <c r="D562" s="1235">
        <f>buildingfinal!C561</f>
        <v>943.23</v>
      </c>
      <c r="E562" s="1235" t="str">
        <f>buildingfinal!D561</f>
        <v>Sqm</v>
      </c>
      <c r="F562" s="1235">
        <f t="shared" si="23"/>
        <v>0</v>
      </c>
      <c r="G562" s="1240"/>
    </row>
    <row r="563" spans="1:8" hidden="1">
      <c r="A563" s="1233">
        <f>buildingfinal!A562</f>
        <v>0</v>
      </c>
      <c r="B563" s="1521">
        <f>buildingfinal!Q562</f>
        <v>0</v>
      </c>
      <c r="C563" s="1239" t="str">
        <f>buildingfinal!B562</f>
        <v>e. In Third Floor</v>
      </c>
      <c r="D563" s="1235">
        <f>buildingfinal!C562</f>
        <v>961.49</v>
      </c>
      <c r="E563" s="1235" t="str">
        <f>buildingfinal!D562</f>
        <v>Sqm</v>
      </c>
      <c r="F563" s="1235">
        <f t="shared" si="23"/>
        <v>0</v>
      </c>
      <c r="G563" s="1240"/>
      <c r="H563" s="1217"/>
    </row>
    <row r="564" spans="1:8" hidden="1">
      <c r="A564" s="1233">
        <f>buildingfinal!A563</f>
        <v>0</v>
      </c>
      <c r="B564" s="1521">
        <f>buildingfinal!Q563</f>
        <v>0</v>
      </c>
      <c r="C564" s="1239" t="str">
        <f>buildingfinal!B563</f>
        <v>f. In Fourth Floor</v>
      </c>
      <c r="D564" s="1235">
        <f>buildingfinal!C563</f>
        <v>979.75</v>
      </c>
      <c r="E564" s="1235" t="str">
        <f>buildingfinal!D563</f>
        <v>Sqm</v>
      </c>
      <c r="F564" s="1235">
        <f t="shared" si="23"/>
        <v>0</v>
      </c>
      <c r="G564" s="1240"/>
      <c r="H564" s="1217"/>
    </row>
    <row r="565" spans="1:8" hidden="1">
      <c r="A565" s="1233">
        <f>buildingfinal!A564</f>
        <v>0</v>
      </c>
      <c r="B565" s="1521">
        <f>buildingfinal!Q564</f>
        <v>0</v>
      </c>
      <c r="C565" s="1239" t="str">
        <f>buildingfinal!B564</f>
        <v>g. In Fifth Floor</v>
      </c>
      <c r="D565" s="1235">
        <f>buildingfinal!C564</f>
        <v>0</v>
      </c>
      <c r="E565" s="1235" t="str">
        <f>buildingfinal!D564</f>
        <v>Sqm</v>
      </c>
      <c r="F565" s="1235">
        <f t="shared" si="23"/>
        <v>0</v>
      </c>
      <c r="G565" s="1240"/>
      <c r="H565" s="1217"/>
    </row>
    <row r="566" spans="1:8" ht="30" hidden="1">
      <c r="A566" s="1233">
        <f>buildingfinal!A565</f>
        <v>11.2</v>
      </c>
      <c r="B566" s="1521">
        <f>buildingfinal!Q565</f>
        <v>0</v>
      </c>
      <c r="C566" s="1239" t="str">
        <f>buildingfinal!B565</f>
        <v>Brick work in C.M. 1:4 using Fly Ash 
bricks of size 23 x 11 x 7 cm 70 mm tk (B.P.)</v>
      </c>
      <c r="D566" s="1235">
        <f>buildingfinal!C565</f>
        <v>0</v>
      </c>
      <c r="E566" s="1235">
        <f>buildingfinal!D565</f>
        <v>0</v>
      </c>
      <c r="F566" s="1235">
        <f t="shared" si="23"/>
        <v>0</v>
      </c>
      <c r="G566" s="1240"/>
      <c r="H566" s="1217"/>
    </row>
    <row r="567" spans="1:8" hidden="1">
      <c r="A567" s="1233">
        <f>buildingfinal!A566</f>
        <v>0</v>
      </c>
      <c r="B567" s="1521">
        <f>buildingfinal!Q566</f>
        <v>0</v>
      </c>
      <c r="C567" s="1239" t="str">
        <f>buildingfinal!B566</f>
        <v xml:space="preserve">a. In Stilt / Ground Floor  </v>
      </c>
      <c r="D567" s="1235">
        <f>buildingfinal!C566</f>
        <v>614.88</v>
      </c>
      <c r="E567" s="1235" t="str">
        <f>buildingfinal!D566</f>
        <v>Sqm</v>
      </c>
      <c r="F567" s="1235">
        <f t="shared" si="23"/>
        <v>0</v>
      </c>
      <c r="G567" s="1240"/>
      <c r="H567" s="1217"/>
    </row>
    <row r="568" spans="1:8" s="1241" customFormat="1" ht="17.25" hidden="1">
      <c r="A568" s="1233">
        <f>buildingfinal!A567</f>
        <v>0</v>
      </c>
      <c r="B568" s="1521">
        <f>buildingfinal!Q567</f>
        <v>0</v>
      </c>
      <c r="C568" s="1239" t="str">
        <f>buildingfinal!B567</f>
        <v>b. In First Floor</v>
      </c>
      <c r="D568" s="1235">
        <f>buildingfinal!C567</f>
        <v>626.5</v>
      </c>
      <c r="E568" s="1235" t="str">
        <f>buildingfinal!D567</f>
        <v>Sqm</v>
      </c>
      <c r="F568" s="1235">
        <f t="shared" si="23"/>
        <v>0</v>
      </c>
      <c r="G568" s="1240"/>
    </row>
    <row r="569" spans="1:8" s="1241" customFormat="1" ht="17.25" hidden="1">
      <c r="A569" s="1233">
        <f>buildingfinal!A568</f>
        <v>0</v>
      </c>
      <c r="B569" s="1521">
        <f>buildingfinal!Q568</f>
        <v>0</v>
      </c>
      <c r="C569" s="1239" t="str">
        <f>buildingfinal!B568</f>
        <v>c. In Second Floor</v>
      </c>
      <c r="D569" s="1235">
        <f>buildingfinal!C568</f>
        <v>638.12</v>
      </c>
      <c r="E569" s="1235" t="str">
        <f>buildingfinal!D568</f>
        <v>Sqm</v>
      </c>
      <c r="F569" s="1235">
        <f t="shared" si="23"/>
        <v>0</v>
      </c>
      <c r="G569" s="1240"/>
    </row>
    <row r="570" spans="1:8" s="1241" customFormat="1" ht="17.25" hidden="1">
      <c r="A570" s="1233">
        <f>buildingfinal!A569</f>
        <v>0</v>
      </c>
      <c r="B570" s="1521">
        <f>buildingfinal!Q569</f>
        <v>0</v>
      </c>
      <c r="C570" s="1239" t="str">
        <f>buildingfinal!B569</f>
        <v>d. In Third Floor</v>
      </c>
      <c r="D570" s="1235">
        <f>buildingfinal!C569</f>
        <v>649.74</v>
      </c>
      <c r="E570" s="1235" t="str">
        <f>buildingfinal!D569</f>
        <v>Sqm</v>
      </c>
      <c r="F570" s="1235">
        <f t="shared" si="23"/>
        <v>0</v>
      </c>
      <c r="G570" s="1240"/>
    </row>
    <row r="571" spans="1:8" hidden="1">
      <c r="A571" s="1233">
        <f>buildingfinal!A570</f>
        <v>0</v>
      </c>
      <c r="B571" s="1521">
        <f>buildingfinal!Q570</f>
        <v>0</v>
      </c>
      <c r="C571" s="1239" t="str">
        <f>buildingfinal!B570</f>
        <v>e. In Fourth Floor</v>
      </c>
      <c r="D571" s="1235">
        <f>buildingfinal!C570</f>
        <v>661.36</v>
      </c>
      <c r="E571" s="1235" t="str">
        <f>buildingfinal!D570</f>
        <v>Sqm</v>
      </c>
      <c r="F571" s="1235">
        <f t="shared" si="23"/>
        <v>0</v>
      </c>
      <c r="G571" s="1240"/>
      <c r="H571" s="1217"/>
    </row>
    <row r="572" spans="1:8" hidden="1">
      <c r="A572" s="1233">
        <f>buildingfinal!A571</f>
        <v>0</v>
      </c>
      <c r="B572" s="1521">
        <f>buildingfinal!Q571</f>
        <v>0</v>
      </c>
      <c r="C572" s="1239" t="str">
        <f>buildingfinal!B571</f>
        <v xml:space="preserve">Supply and laying of Hard core layer 200mm </v>
      </c>
      <c r="D572" s="1235">
        <f>buildingfinal!C571</f>
        <v>3627.75</v>
      </c>
      <c r="E572" s="1235" t="str">
        <f>buildingfinal!D571</f>
        <v>Cum</v>
      </c>
      <c r="F572" s="1235">
        <f t="shared" si="23"/>
        <v>0</v>
      </c>
      <c r="G572" s="1240"/>
      <c r="H572" s="1217"/>
    </row>
    <row r="573" spans="1:8" s="1241" customFormat="1" ht="33.75" customHeight="1">
      <c r="A573" s="1233">
        <f>buildingfinal!A572</f>
        <v>0</v>
      </c>
      <c r="B573" s="1521">
        <f>buildingfinal!Q572</f>
        <v>1401</v>
      </c>
      <c r="C573" s="1239" t="str">
        <f>buildingfinal!B572</f>
        <v>Supplying and filling stone dust</v>
      </c>
      <c r="D573" s="1235">
        <f>buildingfinal!C572</f>
        <v>327.64999999999998</v>
      </c>
      <c r="E573" s="1235" t="str">
        <f>buildingfinal!D572</f>
        <v>Cum.</v>
      </c>
      <c r="F573" s="1235">
        <f t="shared" si="23"/>
        <v>459037.65</v>
      </c>
      <c r="G573" s="1240">
        <f>buildingfinal!R572</f>
        <v>459037.65</v>
      </c>
      <c r="H573" s="1216">
        <f t="shared" ref="H573:H574" si="25">F573-G573</f>
        <v>0</v>
      </c>
    </row>
    <row r="574" spans="1:8" s="1241" customFormat="1" ht="33.75" customHeight="1">
      <c r="A574" s="1233">
        <f>buildingfinal!A573</f>
        <v>0</v>
      </c>
      <c r="B574" s="1521">
        <f>buildingfinal!Q573</f>
        <v>217.2</v>
      </c>
      <c r="C574" s="1239" t="str">
        <f>buildingfinal!B573</f>
        <v>Plastering with CM 1:3, 12mm with WPC</v>
      </c>
      <c r="D574" s="1235">
        <f>buildingfinal!C573</f>
        <v>283.77</v>
      </c>
      <c r="E574" s="1235" t="str">
        <f>buildingfinal!D573</f>
        <v>Sqm</v>
      </c>
      <c r="F574" s="1235">
        <f t="shared" si="23"/>
        <v>61634.84</v>
      </c>
      <c r="G574" s="1240">
        <f>buildingfinal!R573</f>
        <v>61634.84</v>
      </c>
      <c r="H574" s="1216">
        <f t="shared" si="25"/>
        <v>0</v>
      </c>
    </row>
    <row r="575" spans="1:8" s="1241" customFormat="1" ht="17.25" hidden="1">
      <c r="A575" s="1233">
        <f>buildingfinal!A574</f>
        <v>0</v>
      </c>
      <c r="B575" s="1521">
        <f>buildingfinal!Q574</f>
        <v>0</v>
      </c>
      <c r="C575" s="1239" t="str">
        <f>buildingfinal!B574</f>
        <v xml:space="preserve">Supplying and filling with gravel </v>
      </c>
      <c r="D575" s="1235">
        <f>buildingfinal!C574</f>
        <v>407.22</v>
      </c>
      <c r="E575" s="1235" t="str">
        <f>buildingfinal!D574</f>
        <v>Cum</v>
      </c>
      <c r="F575" s="1235">
        <f t="shared" si="23"/>
        <v>0</v>
      </c>
      <c r="G575" s="1240"/>
    </row>
    <row r="576" spans="1:8" s="1241" customFormat="1" ht="30" hidden="1">
      <c r="A576" s="1233">
        <f>buildingfinal!A575</f>
        <v>0</v>
      </c>
      <c r="B576" s="1521">
        <f>buildingfinal!Q575</f>
        <v>0</v>
      </c>
      <c r="C576" s="1239" t="str">
        <f>buildingfinal!B575</f>
        <v>B.W in CM 1:4 in Superstructure for OHT in First floor</v>
      </c>
      <c r="D576" s="1235">
        <f>buildingfinal!C575</f>
        <v>7117.82</v>
      </c>
      <c r="E576" s="1235" t="str">
        <f>buildingfinal!D575</f>
        <v>Cum</v>
      </c>
      <c r="F576" s="1235">
        <f t="shared" si="23"/>
        <v>0</v>
      </c>
      <c r="G576" s="1240"/>
    </row>
    <row r="577" spans="1:8" s="1241" customFormat="1" ht="30" hidden="1">
      <c r="A577" s="1233">
        <f>buildingfinal!A576</f>
        <v>0</v>
      </c>
      <c r="B577" s="1521">
        <f>buildingfinal!Q576</f>
        <v>0</v>
      </c>
      <c r="C577" s="1239" t="str">
        <f>buildingfinal!B576</f>
        <v>B.W in CM 1:4 in Superstructure for OHT in Second  floor</v>
      </c>
      <c r="D577" s="1235">
        <f>buildingfinal!C576</f>
        <v>7283.81</v>
      </c>
      <c r="E577" s="1235" t="str">
        <f>buildingfinal!D576</f>
        <v>Cum</v>
      </c>
      <c r="F577" s="1235">
        <f t="shared" si="23"/>
        <v>0</v>
      </c>
      <c r="G577" s="1240"/>
    </row>
    <row r="578" spans="1:8" s="1241" customFormat="1" ht="30" hidden="1">
      <c r="A578" s="1233">
        <f>buildingfinal!A577</f>
        <v>0</v>
      </c>
      <c r="B578" s="1521">
        <f>buildingfinal!Q577</f>
        <v>0</v>
      </c>
      <c r="C578" s="1239" t="str">
        <f>buildingfinal!B577</f>
        <v>B.W in CM 1:4 in Superstructure for OHT
In Third  floor</v>
      </c>
      <c r="D578" s="1235">
        <f>buildingfinal!C577</f>
        <v>7449.8</v>
      </c>
      <c r="E578" s="1235" t="str">
        <f>buildingfinal!D577</f>
        <v>Cum</v>
      </c>
      <c r="F578" s="1235">
        <f t="shared" si="23"/>
        <v>0</v>
      </c>
      <c r="G578" s="1240"/>
    </row>
    <row r="579" spans="1:8" s="1241" customFormat="1" ht="30" hidden="1">
      <c r="A579" s="1233">
        <f>buildingfinal!A578</f>
        <v>0</v>
      </c>
      <c r="B579" s="1521">
        <f>buildingfinal!Q578</f>
        <v>0</v>
      </c>
      <c r="C579" s="1239" t="str">
        <f>buildingfinal!B578</f>
        <v>B.W in CM 1:4 in Superstructure for OHT In Fourth  floor</v>
      </c>
      <c r="D579" s="1235">
        <f>buildingfinal!C578</f>
        <v>7615.79</v>
      </c>
      <c r="E579" s="1235" t="str">
        <f>buildingfinal!D578</f>
        <v>Cum</v>
      </c>
      <c r="F579" s="1235">
        <f t="shared" si="23"/>
        <v>0</v>
      </c>
      <c r="G579" s="1240"/>
    </row>
    <row r="580" spans="1:8" s="1241" customFormat="1" ht="30" hidden="1">
      <c r="A580" s="1233">
        <f>buildingfinal!A579</f>
        <v>0</v>
      </c>
      <c r="B580" s="1521">
        <f>buildingfinal!Q579</f>
        <v>0</v>
      </c>
      <c r="C580" s="1239" t="str">
        <f>buildingfinal!B579</f>
        <v>Earth work excavation in Loose / sandy soils (including refilling)</v>
      </c>
      <c r="D580" s="1235">
        <f>buildingfinal!C579</f>
        <v>168</v>
      </c>
      <c r="E580" s="1235">
        <f>buildingfinal!D579</f>
        <v>0</v>
      </c>
      <c r="F580" s="1235">
        <f t="shared" si="23"/>
        <v>0</v>
      </c>
      <c r="G580" s="1240"/>
    </row>
    <row r="581" spans="1:8" s="1241" customFormat="1" ht="30" hidden="1">
      <c r="A581" s="1233">
        <f>buildingfinal!A580</f>
        <v>0</v>
      </c>
      <c r="B581" s="1521">
        <f>buildingfinal!Q580</f>
        <v>0</v>
      </c>
      <c r="C581" s="1239" t="str">
        <f>buildingfinal!B580</f>
        <v>Earth work excavation in Loose / sandy soils (excluding refilling) for open foundation</v>
      </c>
      <c r="D581" s="1235">
        <f>buildingfinal!C580</f>
        <v>78.05</v>
      </c>
      <c r="E581" s="1235">
        <f>buildingfinal!D580</f>
        <v>0</v>
      </c>
      <c r="F581" s="1235">
        <f t="shared" si="23"/>
        <v>0</v>
      </c>
      <c r="G581" s="1240"/>
    </row>
    <row r="582" spans="1:8" s="1241" customFormat="1" ht="30" hidden="1">
      <c r="A582" s="1233">
        <f>buildingfinal!A581</f>
        <v>0</v>
      </c>
      <c r="B582" s="1521">
        <f>buildingfinal!Q581</f>
        <v>0</v>
      </c>
      <c r="C582" s="1239" t="str">
        <f>buildingfinal!B581</f>
        <v>Earth work excavation in Loose / sandy soils (excluding refilling) for drain</v>
      </c>
      <c r="D582" s="1235">
        <f>buildingfinal!C581</f>
        <v>117.08</v>
      </c>
      <c r="E582" s="1235">
        <f>buildingfinal!D581</f>
        <v>0</v>
      </c>
      <c r="F582" s="1235">
        <f t="shared" si="23"/>
        <v>0</v>
      </c>
      <c r="G582" s="1240"/>
    </row>
    <row r="583" spans="1:8" hidden="1">
      <c r="A583" s="1233">
        <f>buildingfinal!A582</f>
        <v>8.4</v>
      </c>
      <c r="B583" s="1521">
        <f>buildingfinal!Q582</f>
        <v>0</v>
      </c>
      <c r="C583" s="1239" t="str">
        <f>buildingfinal!B582</f>
        <v>Providing earth quake resistant for Corner walls</v>
      </c>
      <c r="D583" s="1235">
        <f>buildingfinal!C582</f>
        <v>0</v>
      </c>
      <c r="E583" s="1235">
        <f>buildingfinal!D582</f>
        <v>0</v>
      </c>
      <c r="F583" s="1235">
        <f t="shared" si="23"/>
        <v>0</v>
      </c>
      <c r="G583" s="1240"/>
      <c r="H583" s="1217"/>
    </row>
    <row r="584" spans="1:8" s="1241" customFormat="1" ht="17.25" hidden="1">
      <c r="A584" s="1233">
        <f>buildingfinal!A583</f>
        <v>0</v>
      </c>
      <c r="B584" s="1521">
        <f>buildingfinal!Q583</f>
        <v>0</v>
      </c>
      <c r="C584" s="1239" t="str">
        <f>buildingfinal!B583</f>
        <v>a. Foundation &amp; basement</v>
      </c>
      <c r="D584" s="1235">
        <f>buildingfinal!C583</f>
        <v>7325.65</v>
      </c>
      <c r="E584" s="1235" t="str">
        <f>buildingfinal!D583</f>
        <v>Cum</v>
      </c>
      <c r="F584" s="1235">
        <f t="shared" ref="F584:F647" si="26">D584*B584</f>
        <v>0</v>
      </c>
      <c r="G584" s="1240"/>
    </row>
    <row r="585" spans="1:8" s="1241" customFormat="1" ht="17.25" hidden="1">
      <c r="A585" s="1233">
        <f>buildingfinal!A584</f>
        <v>0</v>
      </c>
      <c r="B585" s="1521">
        <f>buildingfinal!Q584</f>
        <v>0</v>
      </c>
      <c r="C585" s="1239" t="str">
        <f>buildingfinal!B584</f>
        <v>b. Ground Floor</v>
      </c>
      <c r="D585" s="1235">
        <f>buildingfinal!C584</f>
        <v>7450.61</v>
      </c>
      <c r="E585" s="1235" t="str">
        <f>buildingfinal!D584</f>
        <v>Cum</v>
      </c>
      <c r="F585" s="1235">
        <f t="shared" si="26"/>
        <v>0</v>
      </c>
      <c r="G585" s="1240">
        <f>'[2]Abstract '!D583</f>
        <v>4201.45</v>
      </c>
      <c r="H585" s="1216">
        <f>'[2]Abstract '!F583</f>
        <v>44955.519999999997</v>
      </c>
    </row>
    <row r="586" spans="1:8" s="1241" customFormat="1" ht="17.25" hidden="1">
      <c r="A586" s="1233">
        <f>buildingfinal!A585</f>
        <v>0</v>
      </c>
      <c r="B586" s="1521">
        <f>buildingfinal!Q585</f>
        <v>0</v>
      </c>
      <c r="C586" s="1239" t="str">
        <f>buildingfinal!B585</f>
        <v>c. First Floor</v>
      </c>
      <c r="D586" s="1235">
        <f>buildingfinal!C585</f>
        <v>7696.79</v>
      </c>
      <c r="E586" s="1235" t="str">
        <f>buildingfinal!D585</f>
        <v>Cum</v>
      </c>
      <c r="F586" s="1235">
        <f t="shared" si="26"/>
        <v>0</v>
      </c>
      <c r="G586" s="1240"/>
    </row>
    <row r="587" spans="1:8" s="1241" customFormat="1" ht="17.25" hidden="1">
      <c r="A587" s="1233">
        <f>buildingfinal!A586</f>
        <v>0</v>
      </c>
      <c r="B587" s="1521">
        <f>buildingfinal!Q586</f>
        <v>0</v>
      </c>
      <c r="C587" s="1239" t="str">
        <f>buildingfinal!B586</f>
        <v>d. Second Floor</v>
      </c>
      <c r="D587" s="1235">
        <f>buildingfinal!C586</f>
        <v>7942.97</v>
      </c>
      <c r="E587" s="1235" t="str">
        <f>buildingfinal!D586</f>
        <v>Cum</v>
      </c>
      <c r="F587" s="1235">
        <f t="shared" si="26"/>
        <v>0</v>
      </c>
      <c r="G587" s="1240">
        <f>'[2]Abstract '!D585</f>
        <v>0</v>
      </c>
      <c r="H587" s="1216">
        <f>'[2]Abstract '!F585</f>
        <v>0</v>
      </c>
    </row>
    <row r="588" spans="1:8" s="1241" customFormat="1" ht="30" hidden="1">
      <c r="A588" s="1233">
        <f>buildingfinal!A587</f>
        <v>8.5</v>
      </c>
      <c r="B588" s="1521">
        <f>buildingfinal!Q587</f>
        <v>0</v>
      </c>
      <c r="C588" s="1239" t="str">
        <f>buildingfinal!B587</f>
        <v>Providing earth quake resistant for Door/window Jambs</v>
      </c>
      <c r="D588" s="1235">
        <f>buildingfinal!C587</f>
        <v>0</v>
      </c>
      <c r="E588" s="1235">
        <f>buildingfinal!D587</f>
        <v>0</v>
      </c>
      <c r="F588" s="1235">
        <f t="shared" si="26"/>
        <v>0</v>
      </c>
      <c r="G588" s="1240">
        <f>'[2]Abstract '!D586</f>
        <v>722.82</v>
      </c>
      <c r="H588" s="1216">
        <f>'[2]Abstract '!F586</f>
        <v>385913.59999999998</v>
      </c>
    </row>
    <row r="589" spans="1:8" s="1241" customFormat="1" ht="17.25" hidden="1">
      <c r="A589" s="1233">
        <f>buildingfinal!A588</f>
        <v>0</v>
      </c>
      <c r="B589" s="1521">
        <f>buildingfinal!Q588</f>
        <v>0</v>
      </c>
      <c r="C589" s="1239" t="str">
        <f>buildingfinal!B588</f>
        <v>a. Ground Floor</v>
      </c>
      <c r="D589" s="1235">
        <f>buildingfinal!C588</f>
        <v>710.21</v>
      </c>
      <c r="E589" s="1235" t="str">
        <f>buildingfinal!D588</f>
        <v>Rmt</v>
      </c>
      <c r="F589" s="1235">
        <f t="shared" si="26"/>
        <v>0</v>
      </c>
      <c r="G589" s="1240">
        <f>'[2]Abstract '!D587</f>
        <v>813.94</v>
      </c>
      <c r="H589" s="1216">
        <f>'[2]Abstract '!F587</f>
        <v>1459801.39</v>
      </c>
    </row>
    <row r="590" spans="1:8" s="1241" customFormat="1" ht="17.25" hidden="1">
      <c r="A590" s="1233">
        <f>buildingfinal!A589</f>
        <v>0</v>
      </c>
      <c r="B590" s="1521">
        <f>buildingfinal!Q589</f>
        <v>0</v>
      </c>
      <c r="C590" s="1239" t="str">
        <f>buildingfinal!B589</f>
        <v>b. First Floor</v>
      </c>
      <c r="D590" s="1235">
        <f>buildingfinal!C589</f>
        <v>714.43</v>
      </c>
      <c r="E590" s="1235" t="str">
        <f>buildingfinal!D589</f>
        <v>Rmt</v>
      </c>
      <c r="F590" s="1235">
        <f t="shared" si="26"/>
        <v>0</v>
      </c>
      <c r="G590" s="1240">
        <f>'[2]Abstract '!D588</f>
        <v>976.73</v>
      </c>
      <c r="H590" s="1216">
        <f>'[2]Abstract '!F588</f>
        <v>357190.16</v>
      </c>
    </row>
    <row r="591" spans="1:8" s="1241" customFormat="1" ht="17.25" hidden="1">
      <c r="A591" s="1233">
        <f>buildingfinal!A590</f>
        <v>0</v>
      </c>
      <c r="B591" s="1521">
        <f>buildingfinal!Q590</f>
        <v>0</v>
      </c>
      <c r="C591" s="1239" t="str">
        <f>buildingfinal!B590</f>
        <v>c. Second Floor</v>
      </c>
      <c r="D591" s="1235">
        <f>buildingfinal!C590</f>
        <v>718.65</v>
      </c>
      <c r="E591" s="1235" t="str">
        <f>buildingfinal!D590</f>
        <v>Rmt</v>
      </c>
      <c r="F591" s="1235">
        <f t="shared" si="26"/>
        <v>0</v>
      </c>
      <c r="G591" s="1240">
        <f>'[2]Abstract '!D589</f>
        <v>895.33</v>
      </c>
      <c r="H591" s="1216">
        <f>'[2]Abstract '!F589</f>
        <v>40916.58</v>
      </c>
    </row>
    <row r="592" spans="1:8" s="1241" customFormat="1" ht="68.25" customHeight="1">
      <c r="A592" s="1233">
        <f>buildingfinal!A591</f>
        <v>0</v>
      </c>
      <c r="B592" s="1260" t="str">
        <f>buildingfinal!Q591</f>
        <v>*</v>
      </c>
      <c r="C592" s="1234" t="str">
        <f>buildingfinal!B591</f>
        <v xml:space="preserve">Bored cast sit piles installation of vertical cast in Situ Bored piles of following dia using Standardised concrete  mix M30 Grade) </v>
      </c>
      <c r="D592" s="1235">
        <f>buildingfinal!C591</f>
        <v>0</v>
      </c>
      <c r="E592" s="1235">
        <f>buildingfinal!D591</f>
        <v>0</v>
      </c>
      <c r="F592" s="1235"/>
      <c r="G592" s="1240"/>
    </row>
    <row r="593" spans="1:8" s="1241" customFormat="1" ht="17.25" hidden="1">
      <c r="A593" s="1233">
        <f>buildingfinal!A592</f>
        <v>0</v>
      </c>
      <c r="B593" s="1521">
        <f>buildingfinal!Q592</f>
        <v>0</v>
      </c>
      <c r="C593" s="1239" t="str">
        <f>buildingfinal!B592</f>
        <v>a.500mm dia pile</v>
      </c>
      <c r="D593" s="1235">
        <f>buildingfinal!C592</f>
        <v>3258.07</v>
      </c>
      <c r="E593" s="1235" t="str">
        <f>buildingfinal!D592</f>
        <v>Rmt</v>
      </c>
      <c r="F593" s="1235">
        <f t="shared" si="26"/>
        <v>0</v>
      </c>
      <c r="G593" s="1240">
        <f>'[2]Abstract '!D591</f>
        <v>1220.9100000000001</v>
      </c>
      <c r="H593" s="1216">
        <f>'[2]Abstract '!F591</f>
        <v>77771.97</v>
      </c>
    </row>
    <row r="594" spans="1:8" s="1241" customFormat="1" ht="33.75" customHeight="1">
      <c r="A594" s="1233">
        <f>buildingfinal!A593</f>
        <v>0</v>
      </c>
      <c r="B594" s="1521">
        <f>buildingfinal!Q593</f>
        <v>1738</v>
      </c>
      <c r="C594" s="1239" t="str">
        <f>buildingfinal!B593</f>
        <v>b.450mm dia pile</v>
      </c>
      <c r="D594" s="1235">
        <f>buildingfinal!C593</f>
        <v>2543.31</v>
      </c>
      <c r="E594" s="1235" t="str">
        <f>buildingfinal!D593</f>
        <v>Rmt</v>
      </c>
      <c r="F594" s="1235">
        <f t="shared" si="26"/>
        <v>4420272.78</v>
      </c>
      <c r="G594" s="1240">
        <f>'[2]Abstract '!D592</f>
        <v>1627.88</v>
      </c>
      <c r="H594" s="1216">
        <f>'[2]Abstract '!F592</f>
        <v>190136.38</v>
      </c>
    </row>
    <row r="595" spans="1:8" s="1241" customFormat="1" ht="17.25" hidden="1">
      <c r="A595" s="1233">
        <f>buildingfinal!A594</f>
        <v>0</v>
      </c>
      <c r="B595" s="1521">
        <f>buildingfinal!Q594</f>
        <v>0</v>
      </c>
      <c r="C595" s="1239" t="str">
        <f>buildingfinal!B594</f>
        <v>c.400mm dia pile</v>
      </c>
      <c r="D595" s="1235">
        <f>buildingfinal!C594</f>
        <v>2495.96</v>
      </c>
      <c r="E595" s="1235" t="str">
        <f>buildingfinal!D594</f>
        <v>Rmt</v>
      </c>
      <c r="F595" s="1235">
        <f t="shared" si="26"/>
        <v>0</v>
      </c>
      <c r="G595" s="1240">
        <f>'[2]Abstract '!D593</f>
        <v>0</v>
      </c>
      <c r="H595" s="1216">
        <f>'[2]Abstract '!F593</f>
        <v>0</v>
      </c>
    </row>
    <row r="596" spans="1:8" s="1241" customFormat="1" ht="63">
      <c r="A596" s="1233">
        <f>buildingfinal!A595</f>
        <v>0</v>
      </c>
      <c r="B596" s="1260" t="str">
        <f>buildingfinal!Q595</f>
        <v>*</v>
      </c>
      <c r="C596" s="1234" t="str">
        <f>buildingfinal!B595</f>
        <v>Chipping of RCC pile head to the required cut of level and clearing way debries with an average lead of 3 km entirely with city limits M30 Grade</v>
      </c>
      <c r="D596" s="1235">
        <f>buildingfinal!C595</f>
        <v>0</v>
      </c>
      <c r="E596" s="1235">
        <f>buildingfinal!D595</f>
        <v>0</v>
      </c>
      <c r="F596" s="1235"/>
      <c r="G596" s="1240">
        <f>'[2]Abstract '!D594</f>
        <v>2368.27</v>
      </c>
      <c r="H596" s="1216">
        <f>'[2]Abstract '!F594</f>
        <v>9473.08</v>
      </c>
    </row>
    <row r="597" spans="1:8" s="1241" customFormat="1" ht="17.25" hidden="1">
      <c r="A597" s="1233">
        <f>buildingfinal!A596</f>
        <v>0</v>
      </c>
      <c r="B597" s="1521">
        <f>buildingfinal!Q596</f>
        <v>0</v>
      </c>
      <c r="C597" s="1239" t="str">
        <f>buildingfinal!B596</f>
        <v>a.500mm dia pile</v>
      </c>
      <c r="D597" s="1235">
        <f>buildingfinal!C596</f>
        <v>3258.07</v>
      </c>
      <c r="E597" s="1235" t="str">
        <f>buildingfinal!D596</f>
        <v>Rmt</v>
      </c>
      <c r="F597" s="1235">
        <f t="shared" si="26"/>
        <v>0</v>
      </c>
      <c r="G597" s="1240"/>
    </row>
    <row r="598" spans="1:8" s="1241" customFormat="1" ht="30" customHeight="1">
      <c r="A598" s="1233">
        <f>buildingfinal!A597</f>
        <v>0</v>
      </c>
      <c r="B598" s="1521">
        <f>buildingfinal!Q597</f>
        <v>59.3</v>
      </c>
      <c r="C598" s="1239" t="str">
        <f>buildingfinal!B597</f>
        <v>b.450mm dia pile</v>
      </c>
      <c r="D598" s="1235">
        <f>buildingfinal!C597</f>
        <v>1126.6600000000001</v>
      </c>
      <c r="E598" s="1235">
        <f>buildingfinal!D597</f>
        <v>0</v>
      </c>
      <c r="F598" s="1235">
        <f t="shared" si="26"/>
        <v>66810.94</v>
      </c>
      <c r="G598" s="1240">
        <f>'[2]Abstract '!D596</f>
        <v>2386.75</v>
      </c>
      <c r="H598" s="1216">
        <f>'[2]Abstract '!F596</f>
        <v>21480.75</v>
      </c>
    </row>
    <row r="599" spans="1:8" s="1241" customFormat="1" ht="17.25" hidden="1">
      <c r="A599" s="1233">
        <f>buildingfinal!A598</f>
        <v>0</v>
      </c>
      <c r="B599" s="1521">
        <f>buildingfinal!Q598</f>
        <v>0</v>
      </c>
      <c r="C599" s="1239" t="str">
        <f>buildingfinal!B598</f>
        <v>c.400mm dia pile</v>
      </c>
      <c r="D599" s="1235">
        <f>buildingfinal!C598</f>
        <v>816.25</v>
      </c>
      <c r="E599" s="1235" t="str">
        <f>buildingfinal!D598</f>
        <v>Rmt</v>
      </c>
      <c r="F599" s="1235">
        <f t="shared" si="26"/>
        <v>0</v>
      </c>
      <c r="G599" s="1240"/>
    </row>
    <row r="600" spans="1:8" s="1241" customFormat="1" ht="42.75" customHeight="1">
      <c r="A600" s="1233">
        <f>buildingfinal!A599</f>
        <v>0</v>
      </c>
      <c r="B600" s="1521">
        <f>buildingfinal!Q599</f>
        <v>1</v>
      </c>
      <c r="C600" s="1239" t="str">
        <f>buildingfinal!B599</f>
        <v>Conducting routine vertical compression load test CER No.328/2014-15</v>
      </c>
      <c r="D600" s="1235">
        <f>buildingfinal!C599</f>
        <v>70000</v>
      </c>
      <c r="E600" s="1235" t="str">
        <f>buildingfinal!D599</f>
        <v>Nos</v>
      </c>
      <c r="F600" s="1235">
        <f t="shared" si="26"/>
        <v>70000</v>
      </c>
      <c r="G600" s="1240"/>
    </row>
    <row r="601" spans="1:8" s="1241" customFormat="1" ht="42.75" customHeight="1">
      <c r="A601" s="1233">
        <f>buildingfinal!A600</f>
        <v>0</v>
      </c>
      <c r="B601" s="1521">
        <f>buildingfinal!Q600</f>
        <v>1</v>
      </c>
      <c r="C601" s="1239" t="str">
        <f>buildingfinal!B600</f>
        <v>Mobilization charges including transporting to site CER No.328/2014-15</v>
      </c>
      <c r="D601" s="1235">
        <f>buildingfinal!C600</f>
        <v>50000</v>
      </c>
      <c r="E601" s="1235" t="str">
        <f>buildingfinal!D600</f>
        <v>Set</v>
      </c>
      <c r="F601" s="1235">
        <f t="shared" si="26"/>
        <v>50000</v>
      </c>
      <c r="G601" s="1240"/>
    </row>
    <row r="602" spans="1:8" hidden="1">
      <c r="A602" s="1233">
        <f>buildingfinal!A601</f>
        <v>0</v>
      </c>
      <c r="B602" s="1521">
        <f>buildingfinal!Q601</f>
        <v>0</v>
      </c>
      <c r="C602" s="1239" t="str">
        <f>buildingfinal!B601</f>
        <v xml:space="preserve">Red oxide plastering in CM 1:4 </v>
      </c>
      <c r="D602" s="1235">
        <f>buildingfinal!C601</f>
        <v>784.92</v>
      </c>
      <c r="E602" s="1235" t="str">
        <f>buildingfinal!D601</f>
        <v>Sqm</v>
      </c>
      <c r="F602" s="1235">
        <f t="shared" si="26"/>
        <v>0</v>
      </c>
      <c r="G602" s="1240"/>
      <c r="H602" s="1217"/>
    </row>
    <row r="603" spans="1:8" ht="30" hidden="1">
      <c r="A603" s="1233">
        <f>buildingfinal!A602</f>
        <v>3.8</v>
      </c>
      <c r="B603" s="1521">
        <f>buildingfinal!Q602</f>
        <v>0</v>
      </c>
      <c r="C603" s="1239" t="str">
        <f>buildingfinal!B602</f>
        <v>P.C.C. 1:3:6  for foundation &amp; basement using 20mm metal</v>
      </c>
      <c r="D603" s="1235">
        <f>buildingfinal!C602</f>
        <v>5781.86</v>
      </c>
      <c r="E603" s="1235" t="str">
        <f>buildingfinal!D602</f>
        <v>Cum</v>
      </c>
      <c r="F603" s="1235">
        <f t="shared" si="26"/>
        <v>0</v>
      </c>
      <c r="G603" s="1240"/>
      <c r="H603" s="1217"/>
    </row>
    <row r="604" spans="1:8" s="1241" customFormat="1" ht="33.75" hidden="1" customHeight="1">
      <c r="A604" s="1233">
        <f>buildingfinal!A603</f>
        <v>3.3</v>
      </c>
      <c r="B604" s="1521">
        <f>buildingfinal!Q603</f>
        <v>0</v>
      </c>
      <c r="C604" s="1239" t="str">
        <f>buildingfinal!B603</f>
        <v>P.C.C. 1:4:8 using 40 mm broken brick jelly</v>
      </c>
      <c r="D604" s="1235">
        <f>buildingfinal!C603</f>
        <v>5084</v>
      </c>
      <c r="E604" s="1235" t="str">
        <f>buildingfinal!D603</f>
        <v>Cum</v>
      </c>
      <c r="F604" s="1235">
        <f t="shared" si="26"/>
        <v>0</v>
      </c>
      <c r="G604" s="1240">
        <f>buildingfinal!R603</f>
        <v>0</v>
      </c>
      <c r="H604" s="1216">
        <f>F604-G604</f>
        <v>0</v>
      </c>
    </row>
    <row r="605" spans="1:8" s="1241" customFormat="1" ht="30" hidden="1">
      <c r="A605" s="1233">
        <f>buildingfinal!A604</f>
        <v>0</v>
      </c>
      <c r="B605" s="1521">
        <f>buildingfinal!Q604</f>
        <v>0</v>
      </c>
      <c r="C605" s="1239" t="str">
        <f>buildingfinal!B604</f>
        <v>P. C.C. 1:3:6 for foundation &amp; basement using 40mm metal</v>
      </c>
      <c r="D605" s="1235">
        <f>buildingfinal!C604</f>
        <v>5410.16</v>
      </c>
      <c r="E605" s="1235" t="str">
        <f>buildingfinal!D604</f>
        <v>Cum</v>
      </c>
      <c r="F605" s="1235">
        <f t="shared" si="26"/>
        <v>0</v>
      </c>
      <c r="G605" s="1240"/>
    </row>
    <row r="606" spans="1:8" s="1241" customFormat="1" ht="33.75" customHeight="1">
      <c r="A606" s="1233">
        <f>buildingfinal!A605</f>
        <v>18.100000000000001</v>
      </c>
      <c r="B606" s="1260" t="str">
        <f>buildingfinal!Q605</f>
        <v>*</v>
      </c>
      <c r="C606" s="1234" t="str">
        <f>buildingfinal!B605</f>
        <v>Formwork using M.S.Sheet</v>
      </c>
      <c r="D606" s="1235">
        <f>buildingfinal!C605</f>
        <v>0</v>
      </c>
      <c r="E606" s="1235">
        <f>buildingfinal!D605</f>
        <v>0</v>
      </c>
      <c r="F606" s="1235"/>
      <c r="G606" s="1240">
        <f>buildingfinal!R605</f>
        <v>0</v>
      </c>
      <c r="H606" s="1216">
        <f t="shared" ref="H606:H610" si="27">F606-G606</f>
        <v>0</v>
      </c>
    </row>
    <row r="607" spans="1:8" s="1241" customFormat="1" ht="47.25" customHeight="1">
      <c r="A607" s="1233">
        <f>buildingfinal!A606</f>
        <v>0</v>
      </c>
      <c r="B607" s="1521">
        <f>buildingfinal!Q606</f>
        <v>824</v>
      </c>
      <c r="C607" s="1239" t="str">
        <f>buildingfinal!B606</f>
        <v>a.For Column footings,plinth beam,Grade beam,Raftbeam,Raft slab etc.,</v>
      </c>
      <c r="D607" s="1235">
        <f>buildingfinal!C606</f>
        <v>881.39</v>
      </c>
      <c r="E607" s="1235" t="str">
        <f>buildingfinal!D606</f>
        <v>Sqm</v>
      </c>
      <c r="F607" s="1235">
        <f t="shared" si="26"/>
        <v>726265.36</v>
      </c>
      <c r="G607" s="1240">
        <f>buildingfinal!R606</f>
        <v>726265.36</v>
      </c>
      <c r="H607" s="1216">
        <f t="shared" si="27"/>
        <v>0</v>
      </c>
    </row>
    <row r="608" spans="1:8" s="1241" customFormat="1" ht="69.75" customHeight="1">
      <c r="A608" s="1233">
        <f>buildingfinal!A607</f>
        <v>0</v>
      </c>
      <c r="B608" s="1521">
        <f>buildingfinal!Q607</f>
        <v>3699</v>
      </c>
      <c r="C608" s="1239" t="str">
        <f>buildingfinal!B607</f>
        <v>b.Plain surfaces such as Roof slab,floorslab,Beams,lintels,lofts,sill slab,staircase,portico slab and other similar works</v>
      </c>
      <c r="D608" s="1235">
        <f>buildingfinal!C607</f>
        <v>982.08</v>
      </c>
      <c r="E608" s="1235" t="str">
        <f>buildingfinal!D607</f>
        <v>Sqm</v>
      </c>
      <c r="F608" s="1235">
        <f t="shared" si="26"/>
        <v>3632713.92</v>
      </c>
      <c r="G608" s="1240">
        <f>buildingfinal!R607</f>
        <v>3632713.92</v>
      </c>
      <c r="H608" s="1216">
        <f t="shared" si="27"/>
        <v>0</v>
      </c>
    </row>
    <row r="609" spans="1:8" s="1241" customFormat="1" ht="43.5" customHeight="1">
      <c r="A609" s="1233">
        <f>buildingfinal!A608</f>
        <v>0</v>
      </c>
      <c r="B609" s="1521">
        <f>buildingfinal!Q608</f>
        <v>776</v>
      </c>
      <c r="C609" s="1239" t="str">
        <f>buildingfinal!B608</f>
        <v>c.For Square and rectangular columns and small quantities</v>
      </c>
      <c r="D609" s="1235">
        <f>buildingfinal!C608</f>
        <v>1178.5</v>
      </c>
      <c r="E609" s="1235" t="str">
        <f>buildingfinal!D608</f>
        <v>Sqm</v>
      </c>
      <c r="F609" s="1235">
        <f t="shared" si="26"/>
        <v>914516</v>
      </c>
      <c r="G609" s="1240">
        <f>buildingfinal!R608</f>
        <v>914516</v>
      </c>
      <c r="H609" s="1216">
        <f t="shared" si="27"/>
        <v>0</v>
      </c>
    </row>
    <row r="610" spans="1:8" s="1241" customFormat="1" ht="28.5" customHeight="1">
      <c r="A610" s="1233">
        <f>buildingfinal!A609</f>
        <v>0</v>
      </c>
      <c r="B610" s="1521">
        <f>buildingfinal!Q609</f>
        <v>34</v>
      </c>
      <c r="C610" s="1239" t="str">
        <f>buildingfinal!B609</f>
        <v>d.Vertical wall</v>
      </c>
      <c r="D610" s="1235">
        <f>buildingfinal!C609</f>
        <v>1080.29</v>
      </c>
      <c r="E610" s="1235" t="str">
        <f>buildingfinal!D609</f>
        <v>Sqm</v>
      </c>
      <c r="F610" s="1235">
        <f t="shared" si="26"/>
        <v>36729.86</v>
      </c>
      <c r="G610" s="1240">
        <f>buildingfinal!R609</f>
        <v>36729.86</v>
      </c>
      <c r="H610" s="1216">
        <f t="shared" si="27"/>
        <v>0</v>
      </c>
    </row>
    <row r="611" spans="1:8" s="1241" customFormat="1" ht="17.25" hidden="1">
      <c r="A611" s="1233">
        <f>buildingfinal!A610</f>
        <v>0</v>
      </c>
      <c r="B611" s="1521">
        <f>buildingfinal!Q610</f>
        <v>0</v>
      </c>
      <c r="C611" s="1239" t="str">
        <f>buildingfinal!B610</f>
        <v>e.Circular column</v>
      </c>
      <c r="D611" s="1235">
        <f>buildingfinal!C610</f>
        <v>2357</v>
      </c>
      <c r="E611" s="1235" t="str">
        <f>buildingfinal!D610</f>
        <v>Sqm</v>
      </c>
      <c r="F611" s="1235">
        <f t="shared" si="26"/>
        <v>0</v>
      </c>
      <c r="G611" s="1240"/>
    </row>
    <row r="612" spans="1:8" s="1241" customFormat="1" ht="28.5" customHeight="1">
      <c r="A612" s="1233">
        <f>buildingfinal!A611</f>
        <v>0</v>
      </c>
      <c r="B612" s="1521">
        <f>buildingfinal!Q611</f>
        <v>63.4</v>
      </c>
      <c r="C612" s="1239" t="str">
        <f>buildingfinal!B611</f>
        <v>f.Curved surface</v>
      </c>
      <c r="D612" s="1235">
        <f>buildingfinal!C611</f>
        <v>1473.12</v>
      </c>
      <c r="E612" s="1235" t="str">
        <f>buildingfinal!D611</f>
        <v>Sqm</v>
      </c>
      <c r="F612" s="1235">
        <f t="shared" si="26"/>
        <v>93395.81</v>
      </c>
      <c r="G612" s="1240"/>
    </row>
    <row r="613" spans="1:8" s="1241" customFormat="1" ht="28.5" customHeight="1">
      <c r="A613" s="1233">
        <f>buildingfinal!A612</f>
        <v>0</v>
      </c>
      <c r="B613" s="1521">
        <f>buildingfinal!Q612</f>
        <v>409</v>
      </c>
      <c r="C613" s="1239" t="str">
        <f>buildingfinal!B612</f>
        <v>g.Double centering portico area</v>
      </c>
      <c r="D613" s="1235">
        <f>buildingfinal!C612</f>
        <v>1964.16</v>
      </c>
      <c r="E613" s="1235" t="str">
        <f>buildingfinal!D612</f>
        <v>Sqm</v>
      </c>
      <c r="F613" s="1235">
        <f t="shared" si="26"/>
        <v>803341.44</v>
      </c>
      <c r="G613" s="1240">
        <f>buildingfinal!R612</f>
        <v>803341.44</v>
      </c>
      <c r="H613" s="1216">
        <f t="shared" ref="H613:H615" si="28">F613-G613</f>
        <v>0</v>
      </c>
    </row>
    <row r="614" spans="1:8" s="1241" customFormat="1" ht="57" customHeight="1">
      <c r="A614" s="1233">
        <f>buildingfinal!A613</f>
        <v>21.6</v>
      </c>
      <c r="B614" s="1260" t="str">
        <f>buildingfinal!Q613</f>
        <v>*</v>
      </c>
      <c r="C614" s="1234" t="str">
        <f>buildingfinal!B613</f>
        <v>R.C.C.Door frames of size 100 x 75mm with one edge grooves size 't' x 20 mm using M30 grade ( with out vibrating charges)</v>
      </c>
      <c r="D614" s="1235">
        <f>buildingfinal!C613</f>
        <v>0</v>
      </c>
      <c r="E614" s="1235">
        <f>buildingfinal!D613</f>
        <v>0</v>
      </c>
      <c r="F614" s="1235"/>
      <c r="G614" s="1240">
        <f>buildingfinal!R613</f>
        <v>0</v>
      </c>
      <c r="H614" s="1216">
        <f t="shared" si="28"/>
        <v>0</v>
      </c>
    </row>
    <row r="615" spans="1:8" s="1241" customFormat="1" ht="28.5" customHeight="1">
      <c r="A615" s="1233">
        <f>buildingfinal!A614</f>
        <v>0</v>
      </c>
      <c r="B615" s="1521">
        <f>buildingfinal!Q614</f>
        <v>11</v>
      </c>
      <c r="C615" s="1239" t="str">
        <f>buildingfinal!B614</f>
        <v>a. 900 x 2100 mm</v>
      </c>
      <c r="D615" s="1235">
        <f>buildingfinal!C614</f>
        <v>2883.15</v>
      </c>
      <c r="E615" s="1235" t="str">
        <f>buildingfinal!D614</f>
        <v>Each</v>
      </c>
      <c r="F615" s="1235">
        <f t="shared" si="26"/>
        <v>31714.65</v>
      </c>
      <c r="G615" s="1240">
        <f>buildingfinal!R614</f>
        <v>31714.65</v>
      </c>
      <c r="H615" s="1216">
        <f t="shared" si="28"/>
        <v>0</v>
      </c>
    </row>
    <row r="616" spans="1:8" s="1241" customFormat="1" ht="17.25" hidden="1">
      <c r="A616" s="1233">
        <f>buildingfinal!A615</f>
        <v>0</v>
      </c>
      <c r="B616" s="1521">
        <f>buildingfinal!Q615</f>
        <v>0</v>
      </c>
      <c r="C616" s="1239" t="str">
        <f>buildingfinal!B615</f>
        <v>c. 1200 x 2100 mm</v>
      </c>
      <c r="D616" s="1235">
        <f>buildingfinal!C615</f>
        <v>3445.01</v>
      </c>
      <c r="E616" s="1235" t="str">
        <f>buildingfinal!D615</f>
        <v>Each</v>
      </c>
      <c r="F616" s="1235">
        <f t="shared" si="26"/>
        <v>0</v>
      </c>
      <c r="G616" s="1240"/>
    </row>
    <row r="617" spans="1:8" s="1241" customFormat="1" ht="28.5" customHeight="1">
      <c r="A617" s="1233">
        <f>buildingfinal!A616</f>
        <v>0</v>
      </c>
      <c r="B617" s="1521">
        <f>buildingfinal!Q616</f>
        <v>21</v>
      </c>
      <c r="C617" s="1239" t="str">
        <f>buildingfinal!B616</f>
        <v>c. 1000 x 2100 mm</v>
      </c>
      <c r="D617" s="1235">
        <f>buildingfinal!C616</f>
        <v>2905.94</v>
      </c>
      <c r="E617" s="1235" t="str">
        <f>buildingfinal!D616</f>
        <v>Each</v>
      </c>
      <c r="F617" s="1235">
        <f t="shared" si="26"/>
        <v>61024.74</v>
      </c>
      <c r="G617" s="1240">
        <f>buildingfinal!R616</f>
        <v>61024.74</v>
      </c>
      <c r="H617" s="1216">
        <f>F617-G617</f>
        <v>0</v>
      </c>
    </row>
    <row r="618" spans="1:8" s="1241" customFormat="1" ht="17.25" hidden="1">
      <c r="A618" s="1233">
        <f>buildingfinal!A617</f>
        <v>0</v>
      </c>
      <c r="B618" s="1521">
        <f>buildingfinal!Q617</f>
        <v>0</v>
      </c>
      <c r="C618" s="1239" t="str">
        <f>buildingfinal!B617</f>
        <v>d. 750 x 2100 mm</v>
      </c>
      <c r="D618" s="1235">
        <f>buildingfinal!C617</f>
        <v>0</v>
      </c>
      <c r="E618" s="1235" t="str">
        <f>buildingfinal!D617</f>
        <v>Each</v>
      </c>
      <c r="F618" s="1235">
        <f t="shared" si="26"/>
        <v>0</v>
      </c>
      <c r="G618" s="1240"/>
    </row>
    <row r="619" spans="1:8" s="1241" customFormat="1" ht="28.5" customHeight="1">
      <c r="A619" s="1233">
        <f>buildingfinal!A618</f>
        <v>0</v>
      </c>
      <c r="B619" s="1521">
        <f>buildingfinal!Q618</f>
        <v>5</v>
      </c>
      <c r="C619" s="1239" t="str">
        <f>buildingfinal!B618</f>
        <v>c.1500x2100</v>
      </c>
      <c r="D619" s="1235">
        <f>buildingfinal!C618</f>
        <v>3149.42</v>
      </c>
      <c r="E619" s="1235" t="str">
        <f>buildingfinal!D618</f>
        <v>Each</v>
      </c>
      <c r="F619" s="1235">
        <f t="shared" si="26"/>
        <v>15747.1</v>
      </c>
      <c r="G619" s="1240"/>
    </row>
    <row r="620" spans="1:8" s="1241" customFormat="1" ht="30" hidden="1">
      <c r="A620" s="1233">
        <f>buildingfinal!A619</f>
        <v>0</v>
      </c>
      <c r="B620" s="1521">
        <f>buildingfinal!Q619</f>
        <v>0</v>
      </c>
      <c r="C620" s="1239" t="str">
        <f>buildingfinal!B619</f>
        <v>Teak wood "Window" &amp;  Ventilator Shutter with 4mm thick pin headed glasses</v>
      </c>
      <c r="D620" s="1235">
        <f>buildingfinal!C619</f>
        <v>0</v>
      </c>
      <c r="E620" s="1235">
        <f>buildingfinal!D619</f>
        <v>0</v>
      </c>
      <c r="F620" s="1235">
        <f t="shared" si="26"/>
        <v>0</v>
      </c>
      <c r="G620" s="1240"/>
    </row>
    <row r="621" spans="1:8" s="1241" customFormat="1" ht="17.25" hidden="1">
      <c r="A621" s="1233">
        <f>buildingfinal!A620</f>
        <v>0</v>
      </c>
      <c r="B621" s="1521">
        <f>buildingfinal!Q620</f>
        <v>0</v>
      </c>
      <c r="C621" s="1239" t="str">
        <f>buildingfinal!B620</f>
        <v>a. Window: 135 cm ht.</v>
      </c>
      <c r="D621" s="1235">
        <f>buildingfinal!C620</f>
        <v>3659.42</v>
      </c>
      <c r="E621" s="1235" t="str">
        <f>buildingfinal!D620</f>
        <v>Sqm.</v>
      </c>
      <c r="F621" s="1235">
        <f t="shared" si="26"/>
        <v>0</v>
      </c>
      <c r="G621" s="1240"/>
    </row>
    <row r="622" spans="1:8" s="1241" customFormat="1" ht="17.25" hidden="1">
      <c r="A622" s="1233">
        <f>buildingfinal!A621</f>
        <v>0</v>
      </c>
      <c r="B622" s="1521">
        <f>buildingfinal!Q621</f>
        <v>0</v>
      </c>
      <c r="C622" s="1239" t="str">
        <f>buildingfinal!B621</f>
        <v>b. Window: 120 cm ht.</v>
      </c>
      <c r="D622" s="1235">
        <f>buildingfinal!C621</f>
        <v>0</v>
      </c>
      <c r="E622" s="1235" t="str">
        <f>buildingfinal!D621</f>
        <v>Sqm.</v>
      </c>
      <c r="F622" s="1235">
        <f t="shared" si="26"/>
        <v>0</v>
      </c>
      <c r="G622" s="1240"/>
    </row>
    <row r="623" spans="1:8" s="1241" customFormat="1" ht="17.25" hidden="1">
      <c r="A623" s="1233">
        <f>buildingfinal!A622</f>
        <v>0</v>
      </c>
      <c r="B623" s="1521">
        <f>buildingfinal!Q622</f>
        <v>0</v>
      </c>
      <c r="C623" s="1239" t="str">
        <f>buildingfinal!B622</f>
        <v>c. Window: 105 cm ht.</v>
      </c>
      <c r="D623" s="1235">
        <f>buildingfinal!C622</f>
        <v>3858.29</v>
      </c>
      <c r="E623" s="1235" t="str">
        <f>buildingfinal!D622</f>
        <v>Sqm.</v>
      </c>
      <c r="F623" s="1235">
        <f t="shared" si="26"/>
        <v>0</v>
      </c>
      <c r="G623" s="1240"/>
    </row>
    <row r="624" spans="1:8" s="1241" customFormat="1" ht="17.25" hidden="1">
      <c r="A624" s="1233">
        <f>buildingfinal!A623</f>
        <v>0</v>
      </c>
      <c r="B624" s="1521">
        <f>buildingfinal!Q623</f>
        <v>0</v>
      </c>
      <c r="C624" s="1239" t="str">
        <f>buildingfinal!B623</f>
        <v>d. Ventilator: (90 x 60 cm)</v>
      </c>
      <c r="D624" s="1235">
        <f>buildingfinal!C623</f>
        <v>2856.35</v>
      </c>
      <c r="E624" s="1235" t="str">
        <f>buildingfinal!D623</f>
        <v>Sqm.</v>
      </c>
      <c r="F624" s="1235">
        <f t="shared" si="26"/>
        <v>0</v>
      </c>
      <c r="G624" s="1240"/>
    </row>
    <row r="625" spans="1:8" s="1241" customFormat="1" ht="17.25" hidden="1">
      <c r="A625" s="1233">
        <f>buildingfinal!A624</f>
        <v>0</v>
      </c>
      <c r="B625" s="1521">
        <f>buildingfinal!Q624</f>
        <v>0</v>
      </c>
      <c r="C625" s="1239" t="str">
        <f>buildingfinal!B624</f>
        <v>d. Ventilator: (75 x 75 cm)</v>
      </c>
      <c r="D625" s="1235">
        <f>buildingfinal!C624</f>
        <v>2203.2800000000002</v>
      </c>
      <c r="E625" s="1235" t="str">
        <f>buildingfinal!D624</f>
        <v>Sqm.</v>
      </c>
      <c r="F625" s="1235">
        <f t="shared" si="26"/>
        <v>0</v>
      </c>
      <c r="G625" s="1240"/>
    </row>
    <row r="626" spans="1:8" s="1241" customFormat="1" ht="60" hidden="1" customHeight="1">
      <c r="A626" s="1233" t="str">
        <f>buildingfinal!A625</f>
        <v>22.3.2</v>
      </c>
      <c r="B626" s="1521">
        <f>buildingfinal!Q625</f>
        <v>0</v>
      </c>
      <c r="C626" s="1239" t="str">
        <f>buildingfinal!B625</f>
        <v xml:space="preserve"> MDF board (18mm thick) double leaf shutters with TW frame for cup board/ ward robes.</v>
      </c>
      <c r="D626" s="1235">
        <f>buildingfinal!C625</f>
        <v>2208.35</v>
      </c>
      <c r="E626" s="1235" t="str">
        <f>buildingfinal!D625</f>
        <v>Sqm</v>
      </c>
      <c r="F626" s="1235">
        <f t="shared" si="26"/>
        <v>0</v>
      </c>
      <c r="G626" s="1240">
        <f>buildingfinal!R626</f>
        <v>185311.7</v>
      </c>
      <c r="H626" s="1216">
        <f>F626-G626</f>
        <v>-185311.7</v>
      </c>
    </row>
    <row r="627" spans="1:8" ht="58.5" customHeight="1">
      <c r="A627" s="1233">
        <f>buildingfinal!A626</f>
        <v>0</v>
      </c>
      <c r="B627" s="1521">
        <f>buildingfinal!Q626</f>
        <v>42.9</v>
      </c>
      <c r="C627" s="1239" t="str">
        <f>buildingfinal!B626</f>
        <v>T.W. frame &amp; TW styles &amp; rails with BWR double leaf shutters for cup board/ ward robes including two coat enamel paint &amp; one coat primer.</v>
      </c>
      <c r="D627" s="1235">
        <f>buildingfinal!C626</f>
        <v>4319.62</v>
      </c>
      <c r="E627" s="1235" t="str">
        <f>buildingfinal!D626</f>
        <v>Sqm</v>
      </c>
      <c r="F627" s="1235">
        <f t="shared" si="26"/>
        <v>185311.7</v>
      </c>
      <c r="G627" s="1240"/>
      <c r="H627" s="1217"/>
    </row>
    <row r="628" spans="1:8" s="1241" customFormat="1" ht="59.25" customHeight="1">
      <c r="A628" s="1233">
        <f>buildingfinal!A627</f>
        <v>0</v>
      </c>
      <c r="B628" s="1521">
        <f>buildingfinal!Q627</f>
        <v>25.2</v>
      </c>
      <c r="C628" s="1239" t="str">
        <f>buildingfinal!B627</f>
        <v>T.W. frame &amp; TW styles &amp; rails with BWR double leaf shutters for SPECIAL cup board/ ward robes including two coat enamel paint &amp; one coat primer.</v>
      </c>
      <c r="D628" s="1235">
        <f>buildingfinal!C627</f>
        <v>5047</v>
      </c>
      <c r="E628" s="1235" t="str">
        <f>buildingfinal!D627</f>
        <v>Sqm</v>
      </c>
      <c r="F628" s="1235">
        <f t="shared" si="26"/>
        <v>127184.4</v>
      </c>
      <c r="G628" s="1240"/>
    </row>
    <row r="629" spans="1:8" ht="30" hidden="1">
      <c r="A629" s="1233">
        <f>buildingfinal!A628</f>
        <v>22.8</v>
      </c>
      <c r="B629" s="1521">
        <f>buildingfinal!Q628</f>
        <v>0</v>
      </c>
      <c r="C629" s="1239" t="str">
        <f>buildingfinal!B628</f>
        <v>MDF board door shutters (35mm thick) exterior grade both side laminated with external lipping.</v>
      </c>
      <c r="D629" s="1235">
        <f>buildingfinal!C628</f>
        <v>0</v>
      </c>
      <c r="E629" s="1235">
        <f>buildingfinal!D628</f>
        <v>0</v>
      </c>
      <c r="F629" s="1235">
        <f t="shared" si="26"/>
        <v>0</v>
      </c>
      <c r="G629" s="1240"/>
      <c r="H629" s="1217"/>
    </row>
    <row r="630" spans="1:8" s="1241" customFormat="1" ht="17.25" hidden="1">
      <c r="A630" s="1233">
        <f>buildingfinal!A629</f>
        <v>0</v>
      </c>
      <c r="B630" s="1521">
        <f>buildingfinal!Q629</f>
        <v>0</v>
      </c>
      <c r="C630" s="1239" t="str">
        <f>buildingfinal!B629</f>
        <v>a. 1000X2100mm.</v>
      </c>
      <c r="D630" s="1235">
        <f>buildingfinal!C629</f>
        <v>2816.03</v>
      </c>
      <c r="E630" s="1235" t="str">
        <f>buildingfinal!D629</f>
        <v>Sqm</v>
      </c>
      <c r="F630" s="1235">
        <f t="shared" si="26"/>
        <v>0</v>
      </c>
      <c r="G630" s="1240">
        <f>'[2]Abstract '!D628</f>
        <v>3359.98</v>
      </c>
      <c r="H630" s="1216">
        <f>'[2]Abstract '!F628</f>
        <v>21839.87</v>
      </c>
    </row>
    <row r="631" spans="1:8" s="1241" customFormat="1" ht="39.75" hidden="1" customHeight="1">
      <c r="A631" s="1233">
        <f>buildingfinal!A630</f>
        <v>0</v>
      </c>
      <c r="B631" s="1521">
        <f>buildingfinal!Q630</f>
        <v>0</v>
      </c>
      <c r="C631" s="1239" t="str">
        <f>buildingfinal!B630</f>
        <v>b. 900X2100mm.</v>
      </c>
      <c r="D631" s="1235">
        <f>buildingfinal!C630</f>
        <v>2861.95</v>
      </c>
      <c r="E631" s="1235" t="str">
        <f>buildingfinal!D630</f>
        <v>Sqm</v>
      </c>
      <c r="F631" s="1235">
        <f t="shared" si="26"/>
        <v>0</v>
      </c>
      <c r="G631" s="1240">
        <f>buildingfinal!R632</f>
        <v>0</v>
      </c>
      <c r="H631" s="1216">
        <f>F631-G631</f>
        <v>0</v>
      </c>
    </row>
    <row r="632" spans="1:8" hidden="1">
      <c r="A632" s="1233">
        <f>buildingfinal!A631</f>
        <v>0</v>
      </c>
      <c r="B632" s="1521">
        <f>buildingfinal!Q631</f>
        <v>0</v>
      </c>
      <c r="C632" s="1239" t="str">
        <f>buildingfinal!B631</f>
        <v>c.1200X2100mm.</v>
      </c>
      <c r="D632" s="1235">
        <f>buildingfinal!C631</f>
        <v>0</v>
      </c>
      <c r="E632" s="1235" t="str">
        <f>buildingfinal!D631</f>
        <v>Sqm</v>
      </c>
      <c r="F632" s="1235">
        <f t="shared" si="26"/>
        <v>0</v>
      </c>
      <c r="G632" s="1240"/>
      <c r="H632" s="1217"/>
    </row>
    <row r="633" spans="1:8" s="1241" customFormat="1" ht="41.25" customHeight="1">
      <c r="A633" s="1233">
        <f>buildingfinal!A632</f>
        <v>0</v>
      </c>
      <c r="B633" s="1260" t="str">
        <f>buildingfinal!Q632</f>
        <v>*</v>
      </c>
      <c r="C633" s="1234" t="str">
        <f>buildingfinal!B632</f>
        <v>TW panelled  single door shutter with  brass fittings.</v>
      </c>
      <c r="D633" s="1235">
        <f>buildingfinal!C632</f>
        <v>0</v>
      </c>
      <c r="E633" s="1235">
        <f>buildingfinal!D632</f>
        <v>0</v>
      </c>
      <c r="F633" s="1235"/>
      <c r="G633" s="1240">
        <f>'[2]Abstract '!D631</f>
        <v>2828</v>
      </c>
      <c r="H633" s="1216">
        <f>'[2]Abstract '!F631</f>
        <v>71265.600000000006</v>
      </c>
    </row>
    <row r="634" spans="1:8" ht="39" customHeight="1">
      <c r="A634" s="1233">
        <f>buildingfinal!A633</f>
        <v>0</v>
      </c>
      <c r="B634" s="1521">
        <f>buildingfinal!Q633</f>
        <v>1.9</v>
      </c>
      <c r="C634" s="1239" t="str">
        <f>buildingfinal!B633</f>
        <v>a. 1000X2100mm.(Single leaf) For Qtrs</v>
      </c>
      <c r="D634" s="1235">
        <f>buildingfinal!C633</f>
        <v>6752.88</v>
      </c>
      <c r="E634" s="1235" t="str">
        <f>buildingfinal!D633</f>
        <v>Sqm</v>
      </c>
      <c r="F634" s="1235">
        <f t="shared" si="26"/>
        <v>12830.47</v>
      </c>
      <c r="G634" s="1240">
        <f>buildingfinal!R635</f>
        <v>0</v>
      </c>
      <c r="H634" s="1216">
        <f>F634-G634</f>
        <v>12830.47</v>
      </c>
    </row>
    <row r="635" spans="1:8" s="1241" customFormat="1" ht="17.25" hidden="1">
      <c r="A635" s="1233">
        <f>buildingfinal!A634</f>
        <v>0</v>
      </c>
      <c r="B635" s="1521">
        <f>buildingfinal!Q634</f>
        <v>0</v>
      </c>
      <c r="C635" s="1239" t="str">
        <f>buildingfinal!B634</f>
        <v>b.1500x2100mm (double leaves)</v>
      </c>
      <c r="D635" s="1235">
        <f>buildingfinal!C634</f>
        <v>6286.31</v>
      </c>
      <c r="E635" s="1235" t="str">
        <f>buildingfinal!D634</f>
        <v>Sqm</v>
      </c>
      <c r="F635" s="1235">
        <f t="shared" si="26"/>
        <v>0</v>
      </c>
      <c r="G635" s="1240"/>
    </row>
    <row r="636" spans="1:8" ht="45" hidden="1">
      <c r="A636" s="1233">
        <f>buildingfinal!A635</f>
        <v>0</v>
      </c>
      <c r="B636" s="1521">
        <f>buildingfinal!Q635</f>
        <v>0</v>
      </c>
      <c r="C636" s="1239" t="str">
        <f>buildingfinal!B635</f>
        <v xml:space="preserve">a. 1200X2100mm.(double leaf)  Four horizontal Panel
</v>
      </c>
      <c r="D636" s="1235">
        <f>buildingfinal!C635</f>
        <v>7218.85</v>
      </c>
      <c r="E636" s="1235" t="str">
        <f>buildingfinal!D635</f>
        <v>Sqm</v>
      </c>
      <c r="F636" s="1235">
        <f t="shared" si="26"/>
        <v>0</v>
      </c>
      <c r="G636" s="1240"/>
      <c r="H636" s="1217"/>
    </row>
    <row r="637" spans="1:8" hidden="1">
      <c r="A637" s="1233">
        <f>buildingfinal!A636</f>
        <v>0</v>
      </c>
      <c r="B637" s="1521">
        <f>buildingfinal!Q636</f>
        <v>0</v>
      </c>
      <c r="C637" s="1239" t="str">
        <f>buildingfinal!B636</f>
        <v xml:space="preserve">a. 1200X2100mm.(Single leaf)  </v>
      </c>
      <c r="D637" s="1235">
        <f>buildingfinal!C636</f>
        <v>6116.01</v>
      </c>
      <c r="E637" s="1235" t="str">
        <f>buildingfinal!D636</f>
        <v>Sqm</v>
      </c>
      <c r="F637" s="1235">
        <f t="shared" si="26"/>
        <v>0</v>
      </c>
      <c r="G637" s="1240"/>
      <c r="H637" s="1217"/>
    </row>
    <row r="638" spans="1:8" hidden="1">
      <c r="A638" s="1233">
        <f>buildingfinal!A637</f>
        <v>0</v>
      </c>
      <c r="B638" s="1521">
        <f>buildingfinal!Q637</f>
        <v>0</v>
      </c>
      <c r="C638" s="1239" t="str">
        <f>buildingfinal!B637</f>
        <v>b. 900X2100mm  without Brass fittings ( Single leaf)</v>
      </c>
      <c r="D638" s="1235">
        <f>buildingfinal!C637</f>
        <v>5112.2700000000004</v>
      </c>
      <c r="E638" s="1235" t="str">
        <f>buildingfinal!D637</f>
        <v>Sqm</v>
      </c>
      <c r="F638" s="1235">
        <f t="shared" si="26"/>
        <v>0</v>
      </c>
      <c r="G638" s="1240"/>
      <c r="H638" s="1217"/>
    </row>
    <row r="639" spans="1:8" s="1241" customFormat="1" ht="17.25" hidden="1">
      <c r="A639" s="1233">
        <f>buildingfinal!A638</f>
        <v>0</v>
      </c>
      <c r="B639" s="1521">
        <f>buildingfinal!Q638</f>
        <v>0</v>
      </c>
      <c r="C639" s="1239" t="str">
        <f>buildingfinal!B638</f>
        <v>900X2100mm  without Brass fittings ( Single leaf)</v>
      </c>
      <c r="D639" s="1235">
        <f>buildingfinal!C638</f>
        <v>5112.2700000000004</v>
      </c>
      <c r="E639" s="1235" t="str">
        <f>buildingfinal!D638</f>
        <v>Sqm</v>
      </c>
      <c r="F639" s="1235">
        <f t="shared" si="26"/>
        <v>0</v>
      </c>
      <c r="G639" s="1240"/>
    </row>
    <row r="640" spans="1:8" s="1241" customFormat="1" ht="17.25" hidden="1">
      <c r="A640" s="1233">
        <f>buildingfinal!A639</f>
        <v>0</v>
      </c>
      <c r="B640" s="1521">
        <f>buildingfinal!Q639</f>
        <v>0</v>
      </c>
      <c r="C640" s="1239" t="str">
        <f>buildingfinal!B639</f>
        <v>TW double leaves shutter  with Brass Fittings</v>
      </c>
      <c r="D640" s="1235">
        <f>buildingfinal!C639</f>
        <v>0</v>
      </c>
      <c r="E640" s="1235">
        <f>buildingfinal!D639</f>
        <v>0</v>
      </c>
      <c r="F640" s="1235">
        <f t="shared" si="26"/>
        <v>0</v>
      </c>
      <c r="G640" s="1240"/>
    </row>
    <row r="641" spans="1:8" s="1241" customFormat="1" ht="30" hidden="1">
      <c r="A641" s="1233">
        <f>buildingfinal!A640</f>
        <v>0</v>
      </c>
      <c r="B641" s="1521">
        <f>buildingfinal!Q640</f>
        <v>0</v>
      </c>
      <c r="C641" s="1239" t="str">
        <f>buildingfinal!B640</f>
        <v>TW double leaves shutter of size  2000X2400mm.(Double leaves) with Brass fittings</v>
      </c>
      <c r="D641" s="1235">
        <f>buildingfinal!C640</f>
        <v>5325.2</v>
      </c>
      <c r="E641" s="1235" t="str">
        <f>buildingfinal!D640</f>
        <v>Sqm</v>
      </c>
      <c r="F641" s="1235">
        <f t="shared" si="26"/>
        <v>0</v>
      </c>
      <c r="G641" s="1240">
        <f>'[2]Abstract '!D639</f>
        <v>0</v>
      </c>
      <c r="H641" s="1216">
        <f>'[2]Abstract '!F639</f>
        <v>0</v>
      </c>
    </row>
    <row r="642" spans="1:8" s="1241" customFormat="1" ht="45" hidden="1">
      <c r="A642" s="1233">
        <f>buildingfinal!A641</f>
        <v>0</v>
      </c>
      <c r="B642" s="1521">
        <f>buildingfinal!Q641</f>
        <v>0</v>
      </c>
      <c r="C642" s="1239" t="str">
        <f>buildingfinal!B641</f>
        <v>TW panelled door double leaves shutter with brass fittings of size . 2000X2100mm. Thiruvarur AR  Garage</v>
      </c>
      <c r="D642" s="1235">
        <f>buildingfinal!C641</f>
        <v>5937.12</v>
      </c>
      <c r="E642" s="1235" t="str">
        <f>buildingfinal!D641</f>
        <v>Sqm</v>
      </c>
      <c r="F642" s="1235">
        <f t="shared" si="26"/>
        <v>0</v>
      </c>
      <c r="G642" s="1240">
        <f>'[2]Abstract '!D640</f>
        <v>519.79</v>
      </c>
      <c r="H642" s="1216">
        <f>'[2]Abstract '!F640</f>
        <v>6029.56</v>
      </c>
    </row>
    <row r="643" spans="1:8" ht="37.5" customHeight="1">
      <c r="A643" s="1233">
        <f>buildingfinal!A642</f>
        <v>0</v>
      </c>
      <c r="B643" s="1521">
        <f>buildingfinal!Q642</f>
        <v>4</v>
      </c>
      <c r="C643" s="1239" t="str">
        <f>buildingfinal!B642</f>
        <v xml:space="preserve">TW double leaves shutter of size  with brass fittings
a.1800 x 2400mm </v>
      </c>
      <c r="D643" s="1235">
        <f>buildingfinal!C642</f>
        <v>6196.56</v>
      </c>
      <c r="E643" s="1235" t="str">
        <f>buildingfinal!D642</f>
        <v>Sqm</v>
      </c>
      <c r="F643" s="1235">
        <f t="shared" si="26"/>
        <v>24786.240000000002</v>
      </c>
      <c r="G643" s="1240">
        <f>'[2]Abstract '!D641</f>
        <v>523.67999999999995</v>
      </c>
      <c r="H643" s="1216">
        <f>'[2]Abstract '!F641</f>
        <v>16024.61</v>
      </c>
    </row>
    <row r="644" spans="1:8" ht="30" hidden="1">
      <c r="A644" s="1233">
        <f>buildingfinal!A643</f>
        <v>0</v>
      </c>
      <c r="B644" s="1521">
        <f>buildingfinal!Q643</f>
        <v>0</v>
      </c>
      <c r="C644" s="1239" t="str">
        <f>buildingfinal!B643</f>
        <v>a. 1500X2400mm.(Double leaves) with Brass  Screws only ( DPO Ariyalur)</v>
      </c>
      <c r="D644" s="1235">
        <f>buildingfinal!C643</f>
        <v>6286.31</v>
      </c>
      <c r="E644" s="1235" t="str">
        <f>buildingfinal!D643</f>
        <v>Sqm</v>
      </c>
      <c r="F644" s="1235">
        <f t="shared" si="26"/>
        <v>0</v>
      </c>
      <c r="G644" s="1240">
        <f>'[2]Abstract '!D642</f>
        <v>527.57000000000005</v>
      </c>
      <c r="H644" s="1216">
        <f>'[2]Abstract '!F642</f>
        <v>25745.42</v>
      </c>
    </row>
    <row r="645" spans="1:8" ht="30" hidden="1">
      <c r="A645" s="1233">
        <f>buildingfinal!A644</f>
        <v>0</v>
      </c>
      <c r="B645" s="1521">
        <f>buildingfinal!Q644</f>
        <v>0</v>
      </c>
      <c r="C645" s="1239" t="str">
        <f>buildingfinal!B644</f>
        <v>a. 1500X2100mm.(Double leaves) with Brass fittings</v>
      </c>
      <c r="D645" s="1235">
        <f>buildingfinal!C644</f>
        <v>6604.12</v>
      </c>
      <c r="E645" s="1235" t="str">
        <f>buildingfinal!D644</f>
        <v>Sqm</v>
      </c>
      <c r="F645" s="1235">
        <f t="shared" si="26"/>
        <v>0</v>
      </c>
      <c r="G645" s="1240"/>
      <c r="H645" s="1217"/>
    </row>
    <row r="646" spans="1:8" ht="30" hidden="1">
      <c r="A646" s="1233">
        <f>buildingfinal!A645</f>
        <v>0</v>
      </c>
      <c r="B646" s="1521">
        <f>buildingfinal!Q645</f>
        <v>0</v>
      </c>
      <c r="C646" s="1239" t="str">
        <f>buildingfinal!B645</f>
        <v>TW panelled door double leaves shutter with brass fittings of size . 1200X2100mm.( Crime &amp; Traffic)</v>
      </c>
      <c r="D646" s="1235">
        <f>buildingfinal!C645</f>
        <v>7218.85</v>
      </c>
      <c r="E646" s="1235" t="str">
        <f>buildingfinal!D645</f>
        <v>Sqm</v>
      </c>
      <c r="F646" s="1235">
        <f t="shared" si="26"/>
        <v>0</v>
      </c>
      <c r="G646" s="1240"/>
      <c r="H646" s="1217"/>
    </row>
    <row r="647" spans="1:8" s="1241" customFormat="1" ht="60" hidden="1">
      <c r="A647" s="1233">
        <f>buildingfinal!A646</f>
        <v>0</v>
      </c>
      <c r="B647" s="1521">
        <f>buildingfinal!Q646</f>
        <v>0</v>
      </c>
      <c r="C647" s="1239" t="str">
        <f>buildingfinal!B646</f>
        <v>TW paneled door shutter  size  2400 x 2400mm  with french window  (two end fixed 5.5mm thick glass and doble leaf shutter , Trichy Community hall )</v>
      </c>
      <c r="D647" s="1235">
        <f>buildingfinal!C646</f>
        <v>27750</v>
      </c>
      <c r="E647" s="1235" t="str">
        <f>buildingfinal!D646</f>
        <v>Each</v>
      </c>
      <c r="F647" s="1235">
        <f t="shared" si="26"/>
        <v>0</v>
      </c>
      <c r="G647" s="1240">
        <f>'[2]Abstract '!D645</f>
        <v>0</v>
      </c>
      <c r="H647" s="1216">
        <f>'[2]Abstract '!F645</f>
        <v>0</v>
      </c>
    </row>
    <row r="648" spans="1:8" ht="75" hidden="1">
      <c r="A648" s="1233">
        <f>buildingfinal!A647</f>
        <v>0</v>
      </c>
      <c r="B648" s="1521">
        <f>buildingfinal!Q647</f>
        <v>0</v>
      </c>
      <c r="C648" s="1239" t="str">
        <f>buildingfinal!B647</f>
        <v xml:space="preserve">Providing teakwood glazed french window shutters and 5.5mm thick plain glass for panels including labour charges and cost of furniture fittings as per schedule ‘E and directed by the departmental officers. </v>
      </c>
      <c r="D648" s="1235">
        <f>buildingfinal!C647</f>
        <v>0</v>
      </c>
      <c r="E648" s="1235">
        <f>buildingfinal!D647</f>
        <v>0</v>
      </c>
      <c r="F648" s="1235">
        <f t="shared" ref="F648:F711" si="29">D648*B648</f>
        <v>0</v>
      </c>
      <c r="G648" s="1240">
        <f>'[2]Abstract '!D646</f>
        <v>552.77</v>
      </c>
      <c r="H648" s="1216">
        <f>'[2]Abstract '!F646</f>
        <v>3206.07</v>
      </c>
    </row>
    <row r="649" spans="1:8" hidden="1">
      <c r="A649" s="1233">
        <f>buildingfinal!A648</f>
        <v>0</v>
      </c>
      <c r="B649" s="1521">
        <f>buildingfinal!Q648</f>
        <v>0</v>
      </c>
      <c r="C649" s="1239" t="str">
        <f>buildingfinal!B648</f>
        <v>a) 750x2100mm</v>
      </c>
      <c r="D649" s="1235">
        <f>buildingfinal!C648</f>
        <v>3346.03</v>
      </c>
      <c r="E649" s="1235" t="str">
        <f>buildingfinal!D648</f>
        <v>sqm</v>
      </c>
      <c r="F649" s="1235">
        <f t="shared" si="29"/>
        <v>0</v>
      </c>
      <c r="G649" s="1240">
        <f>'[2]Abstract '!D647</f>
        <v>560.55999999999995</v>
      </c>
      <c r="H649" s="1216">
        <f>'[2]Abstract '!F647</f>
        <v>6278.27</v>
      </c>
    </row>
    <row r="650" spans="1:8" hidden="1">
      <c r="A650" s="1233">
        <f>buildingfinal!A649</f>
        <v>0</v>
      </c>
      <c r="B650" s="1521">
        <f>buildingfinal!Q649</f>
        <v>0</v>
      </c>
      <c r="C650" s="1239" t="str">
        <f>buildingfinal!B649</f>
        <v>b) 1100x2100mm</v>
      </c>
      <c r="D650" s="1235">
        <f>buildingfinal!C649</f>
        <v>2819.29</v>
      </c>
      <c r="E650" s="1235" t="str">
        <f>buildingfinal!D649</f>
        <v>sqm</v>
      </c>
      <c r="F650" s="1235">
        <f t="shared" si="29"/>
        <v>0</v>
      </c>
      <c r="G650" s="1240">
        <f>'[2]Abstract '!D648</f>
        <v>568.35</v>
      </c>
      <c r="H650" s="1216">
        <f>'[2]Abstract '!F648</f>
        <v>6365.52</v>
      </c>
    </row>
    <row r="651" spans="1:8" ht="52.5" hidden="1" customHeight="1">
      <c r="A651" s="1233">
        <f>buildingfinal!A650</f>
        <v>0</v>
      </c>
      <c r="B651" s="1521">
        <f>buildingfinal!Q650</f>
        <v>0</v>
      </c>
      <c r="C651" s="1239" t="str">
        <f>buildingfinal!B650</f>
        <v>c) 1300x2100mm</v>
      </c>
      <c r="D651" s="1235">
        <f>buildingfinal!C650</f>
        <v>2596.6799999999998</v>
      </c>
      <c r="E651" s="1235" t="str">
        <f>buildingfinal!D650</f>
        <v>Sqm</v>
      </c>
      <c r="F651" s="1235">
        <f t="shared" si="29"/>
        <v>0</v>
      </c>
      <c r="G651" s="1240">
        <f>buildingfinal!R652</f>
        <v>0</v>
      </c>
      <c r="H651" s="1216">
        <f>F651-G651</f>
        <v>0</v>
      </c>
    </row>
    <row r="652" spans="1:8" ht="30" hidden="1">
      <c r="A652" s="1233">
        <f>buildingfinal!A651</f>
        <v>0</v>
      </c>
      <c r="B652" s="1521">
        <f>buildingfinal!Q651</f>
        <v>0</v>
      </c>
      <c r="C652" s="1239" t="str">
        <f>buildingfinal!B651</f>
        <v>TW styles &amp; rails with 9mm thick BWR single leaf shutters  with brass screws size of 750 x 2100 mm</v>
      </c>
      <c r="D652" s="1235">
        <f>buildingfinal!C651</f>
        <v>4124.04</v>
      </c>
      <c r="E652" s="1235" t="str">
        <f>buildingfinal!D651</f>
        <v>Sqm</v>
      </c>
      <c r="F652" s="1235">
        <f t="shared" si="29"/>
        <v>0</v>
      </c>
      <c r="G652" s="1240"/>
      <c r="H652" s="1217"/>
    </row>
    <row r="653" spans="1:8" ht="30" hidden="1">
      <c r="A653" s="1233">
        <f>buildingfinal!A652</f>
        <v>0</v>
      </c>
      <c r="B653" s="1521">
        <f>buildingfinal!Q652</f>
        <v>0</v>
      </c>
      <c r="C653" s="1239" t="str">
        <f>buildingfinal!B652</f>
        <v>TW styles &amp; rails with 9mm thick BWR single leaf shutters  with brass screws size of 1000 x 2100 mm</v>
      </c>
      <c r="D653" s="1235">
        <f>buildingfinal!C652</f>
        <v>3489.37</v>
      </c>
      <c r="E653" s="1235" t="str">
        <f>buildingfinal!D652</f>
        <v>Sqm</v>
      </c>
      <c r="F653" s="1235">
        <f t="shared" si="29"/>
        <v>0</v>
      </c>
      <c r="G653" s="1240"/>
      <c r="H653" s="1217"/>
    </row>
    <row r="654" spans="1:8" ht="30" hidden="1">
      <c r="A654" s="1233">
        <f>buildingfinal!A653</f>
        <v>0</v>
      </c>
      <c r="B654" s="1521">
        <f>buildingfinal!Q653</f>
        <v>0</v>
      </c>
      <c r="C654" s="1239" t="str">
        <f>buildingfinal!B653</f>
        <v>TW styles &amp; rails with 9mm thick BWR single leaf shutters  with brass screws size of 1200 x 2100 mm</v>
      </c>
      <c r="D654" s="1235">
        <f>buildingfinal!C653</f>
        <v>3371.53</v>
      </c>
      <c r="E654" s="1235" t="str">
        <f>buildingfinal!D653</f>
        <v>Sqm</v>
      </c>
      <c r="F654" s="1235">
        <f t="shared" si="29"/>
        <v>0</v>
      </c>
      <c r="G654" s="1240"/>
      <c r="H654" s="1217"/>
    </row>
    <row r="655" spans="1:8" ht="42" hidden="1" customHeight="1">
      <c r="A655" s="1233">
        <f>buildingfinal!A654</f>
        <v>0</v>
      </c>
      <c r="B655" s="1521">
        <f>buildingfinal!Q654</f>
        <v>0</v>
      </c>
      <c r="C655" s="1239" t="str">
        <f>buildingfinal!B654</f>
        <v>TW styles &amp; rails with 9mm thick BWR single leaf shutters  with brass screws size of 900 x 2100 mm</v>
      </c>
      <c r="D655" s="1235">
        <f>buildingfinal!C654</f>
        <v>3687.68</v>
      </c>
      <c r="E655" s="1235" t="str">
        <f>buildingfinal!D654</f>
        <v>Sqm</v>
      </c>
      <c r="F655" s="1235">
        <f t="shared" si="29"/>
        <v>0</v>
      </c>
      <c r="G655" s="1240">
        <f>buildingfinal!R656</f>
        <v>167580</v>
      </c>
      <c r="H655" s="1216">
        <f t="shared" ref="H655:H656" si="30">F655-G655</f>
        <v>-167580</v>
      </c>
    </row>
    <row r="656" spans="1:8" s="1241" customFormat="1" ht="42" hidden="1" customHeight="1">
      <c r="A656" s="1233">
        <f>buildingfinal!A655</f>
        <v>0</v>
      </c>
      <c r="B656" s="1521">
        <f>buildingfinal!Q655</f>
        <v>0</v>
      </c>
      <c r="C656" s="1239" t="str">
        <f>buildingfinal!B655</f>
        <v>Ornamental TW double leaves panelled door shutter of size 2000 x 2400mm with 8mm tk sand blasting Glass</v>
      </c>
      <c r="D656" s="1235">
        <f>buildingfinal!C655</f>
        <v>8847.7900000000009</v>
      </c>
      <c r="E656" s="1235" t="str">
        <f>buildingfinal!D655</f>
        <v>Sqm</v>
      </c>
      <c r="F656" s="1235">
        <f t="shared" si="29"/>
        <v>0</v>
      </c>
      <c r="G656" s="1240">
        <f>buildingfinal!R657</f>
        <v>0</v>
      </c>
      <c r="H656" s="1216">
        <f t="shared" si="30"/>
        <v>0</v>
      </c>
    </row>
    <row r="657" spans="1:8" ht="37.5" customHeight="1">
      <c r="A657" s="1233" t="str">
        <f>buildingfinal!A656</f>
        <v>21.5.2</v>
      </c>
      <c r="B657" s="1521">
        <f>buildingfinal!Q656</f>
        <v>50.4</v>
      </c>
      <c r="C657" s="1239" t="str">
        <f>buildingfinal!B656</f>
        <v>Supply and Fixing Soild UPVC door Shutter with frame</v>
      </c>
      <c r="D657" s="1235">
        <f>buildingfinal!C656</f>
        <v>3325</v>
      </c>
      <c r="E657" s="1235" t="str">
        <f>buildingfinal!D656</f>
        <v>Sqm</v>
      </c>
      <c r="F657" s="1235">
        <f t="shared" si="29"/>
        <v>167580</v>
      </c>
      <c r="G657" s="1240"/>
      <c r="H657" s="1217"/>
    </row>
    <row r="658" spans="1:8" hidden="1">
      <c r="A658" s="1233">
        <f>buildingfinal!A657</f>
        <v>0</v>
      </c>
      <c r="B658" s="1521">
        <f>buildingfinal!Q657</f>
        <v>0</v>
      </c>
      <c r="C658" s="1239" t="str">
        <f>buildingfinal!B657</f>
        <v>Supplying and fixing of PVC Sliding Door with Roller</v>
      </c>
      <c r="D658" s="1235">
        <f>buildingfinal!C657</f>
        <v>3562</v>
      </c>
      <c r="E658" s="1235" t="str">
        <f>buildingfinal!D657</f>
        <v>Sqm</v>
      </c>
      <c r="F658" s="1235">
        <f t="shared" si="29"/>
        <v>0</v>
      </c>
      <c r="G658" s="1240"/>
      <c r="H658" s="1217"/>
    </row>
    <row r="659" spans="1:8" s="1241" customFormat="1" ht="30" hidden="1">
      <c r="A659" s="1233" t="str">
        <f>buildingfinal!A658</f>
        <v>23.2.1</v>
      </c>
      <c r="B659" s="1521">
        <f>buildingfinal!Q658</f>
        <v>0</v>
      </c>
      <c r="C659" s="1239" t="str">
        <f>buildingfinal!B658</f>
        <v xml:space="preserve">4mm thick plain  Glass panels with Aluminium beedings </v>
      </c>
      <c r="D659" s="1235">
        <f>buildingfinal!C658</f>
        <v>845.1</v>
      </c>
      <c r="E659" s="1235" t="str">
        <f>buildingfinal!D658</f>
        <v>Sqm</v>
      </c>
      <c r="F659" s="1235">
        <f t="shared" si="29"/>
        <v>0</v>
      </c>
      <c r="G659" s="1240">
        <f>'[2]Abstract '!D657</f>
        <v>1199.51</v>
      </c>
      <c r="H659" s="1216">
        <f>'[2]Abstract '!F657</f>
        <v>295319.36</v>
      </c>
    </row>
    <row r="660" spans="1:8" ht="30" hidden="1">
      <c r="A660" s="1233" t="str">
        <f>buildingfinal!A659</f>
        <v>23.2.1</v>
      </c>
      <c r="B660" s="1521">
        <f>buildingfinal!Q659</f>
        <v>0</v>
      </c>
      <c r="C660" s="1239" t="str">
        <f>buildingfinal!B659</f>
        <v xml:space="preserve">5mm thick plain  Glass panels with Aluminium beedings </v>
      </c>
      <c r="D660" s="1235">
        <f>buildingfinal!C659</f>
        <v>900.7</v>
      </c>
      <c r="E660" s="1235" t="str">
        <f>buildingfinal!D659</f>
        <v>Sqm</v>
      </c>
      <c r="F660" s="1235">
        <f t="shared" si="29"/>
        <v>0</v>
      </c>
      <c r="G660" s="1240"/>
      <c r="H660" s="1217">
        <f>D660*89</f>
        <v>80162.3</v>
      </c>
    </row>
    <row r="661" spans="1:8" s="1241" customFormat="1" ht="17.25" hidden="1">
      <c r="A661" s="1233">
        <f>buildingfinal!A660</f>
        <v>0</v>
      </c>
      <c r="B661" s="1521">
        <f>buildingfinal!Q660</f>
        <v>0</v>
      </c>
      <c r="C661" s="1239" t="str">
        <f>buildingfinal!B660</f>
        <v>Cuddappa slab 20 mm tk.for kitchen hearth slab.</v>
      </c>
      <c r="D661" s="1235">
        <f>buildingfinal!C660</f>
        <v>0</v>
      </c>
      <c r="E661" s="1235">
        <f>buildingfinal!D660</f>
        <v>0</v>
      </c>
      <c r="F661" s="1235">
        <f t="shared" si="29"/>
        <v>0</v>
      </c>
      <c r="G661" s="1240">
        <f>'[2]Abstract '!D659</f>
        <v>1048.25</v>
      </c>
      <c r="H661" s="1216">
        <f>'[2]Abstract '!F659</f>
        <v>72224.429999999993</v>
      </c>
    </row>
    <row r="662" spans="1:8" s="1241" customFormat="1" ht="17.25" hidden="1">
      <c r="A662" s="1233">
        <f>buildingfinal!A661</f>
        <v>0</v>
      </c>
      <c r="B662" s="1521">
        <f>buildingfinal!Q661</f>
        <v>0</v>
      </c>
      <c r="C662" s="1239" t="str">
        <f>buildingfinal!B661</f>
        <v>a. In Ground floor</v>
      </c>
      <c r="D662" s="1235">
        <f>buildingfinal!C661</f>
        <v>606.92999999999995</v>
      </c>
      <c r="E662" s="1235" t="str">
        <f>buildingfinal!D661</f>
        <v>Sqm.</v>
      </c>
      <c r="F662" s="1235">
        <f t="shared" si="29"/>
        <v>0</v>
      </c>
      <c r="G662" s="1240">
        <f>'[2]Abstract '!D660</f>
        <v>112.57</v>
      </c>
      <c r="H662" s="1216">
        <f>'[2]Abstract '!F660</f>
        <v>1924.95</v>
      </c>
    </row>
    <row r="663" spans="1:8" hidden="1">
      <c r="A663" s="1233">
        <f>buildingfinal!A662</f>
        <v>0</v>
      </c>
      <c r="B663" s="1521">
        <f>buildingfinal!Q662</f>
        <v>0</v>
      </c>
      <c r="C663" s="1239" t="str">
        <f>buildingfinal!B662</f>
        <v>b. In First floor</v>
      </c>
      <c r="D663" s="1235">
        <f>buildingfinal!C662</f>
        <v>611.85</v>
      </c>
      <c r="E663" s="1235" t="str">
        <f>buildingfinal!D662</f>
        <v>Sqm.</v>
      </c>
      <c r="F663" s="1235">
        <f t="shared" si="29"/>
        <v>0</v>
      </c>
      <c r="G663" s="1240"/>
      <c r="H663" s="1217"/>
    </row>
    <row r="664" spans="1:8" s="1241" customFormat="1" ht="17.25" hidden="1">
      <c r="A664" s="1233">
        <f>buildingfinal!A663</f>
        <v>0</v>
      </c>
      <c r="B664" s="1521">
        <f>buildingfinal!Q663</f>
        <v>0</v>
      </c>
      <c r="C664" s="1239" t="str">
        <f>buildingfinal!B663</f>
        <v>c. In Second floor</v>
      </c>
      <c r="D664" s="1235">
        <f>buildingfinal!C663</f>
        <v>616.77</v>
      </c>
      <c r="E664" s="1235" t="str">
        <f>buildingfinal!D663</f>
        <v>Sqm.</v>
      </c>
      <c r="F664" s="1235">
        <f t="shared" si="29"/>
        <v>0</v>
      </c>
      <c r="G664" s="1240">
        <f>'[2]Abstract '!D662</f>
        <v>52.84</v>
      </c>
      <c r="H664" s="1216">
        <f>'[2]Abstract '!F662</f>
        <v>117669.4</v>
      </c>
    </row>
    <row r="665" spans="1:8" s="1241" customFormat="1" ht="37.5" hidden="1" customHeight="1">
      <c r="A665" s="1233">
        <f>buildingfinal!A664</f>
        <v>0</v>
      </c>
      <c r="B665" s="1521">
        <f>buildingfinal!Q664</f>
        <v>0</v>
      </c>
      <c r="C665" s="1239" t="str">
        <f>buildingfinal!B664</f>
        <v>d. In Third floor</v>
      </c>
      <c r="D665" s="1235">
        <f>buildingfinal!C664</f>
        <v>621.69000000000005</v>
      </c>
      <c r="E665" s="1235" t="str">
        <f>buildingfinal!D664</f>
        <v>Sqm.</v>
      </c>
      <c r="F665" s="1235">
        <f t="shared" si="29"/>
        <v>0</v>
      </c>
      <c r="G665" s="1240">
        <f>buildingfinal!R666</f>
        <v>0</v>
      </c>
      <c r="H665" s="1216">
        <f t="shared" ref="H665:H669" si="31">F665-G665</f>
        <v>0</v>
      </c>
    </row>
    <row r="666" spans="1:8" ht="37.5" hidden="1" customHeight="1">
      <c r="A666" s="1233">
        <f>buildingfinal!A665</f>
        <v>0</v>
      </c>
      <c r="B666" s="1521">
        <f>buildingfinal!Q665</f>
        <v>0</v>
      </c>
      <c r="C666" s="1239" t="str">
        <f>buildingfinal!B665</f>
        <v>e.  In Fourth floor</v>
      </c>
      <c r="D666" s="1235">
        <f>buildingfinal!C665</f>
        <v>626.61</v>
      </c>
      <c r="E666" s="1235" t="str">
        <f>buildingfinal!D665</f>
        <v>Sqm.</v>
      </c>
      <c r="F666" s="1235">
        <f t="shared" si="29"/>
        <v>0</v>
      </c>
      <c r="G666" s="1240">
        <f>buildingfinal!R667</f>
        <v>0</v>
      </c>
      <c r="H666" s="1216">
        <f t="shared" si="31"/>
        <v>0</v>
      </c>
    </row>
    <row r="667" spans="1:8" s="1241" customFormat="1" ht="37.5" hidden="1" customHeight="1">
      <c r="A667" s="1233">
        <f>buildingfinal!A666</f>
        <v>0</v>
      </c>
      <c r="B667" s="1521">
        <f>buildingfinal!Q666</f>
        <v>0</v>
      </c>
      <c r="C667" s="1239" t="str">
        <f>buildingfinal!B666</f>
        <v>Cuddappa slab 20 mm tk.for C/B  slab.</v>
      </c>
      <c r="D667" s="1235">
        <f>buildingfinal!C666</f>
        <v>0</v>
      </c>
      <c r="E667" s="1235">
        <f>buildingfinal!D666</f>
        <v>0</v>
      </c>
      <c r="F667" s="1235">
        <f t="shared" si="29"/>
        <v>0</v>
      </c>
      <c r="G667" s="1240">
        <f>buildingfinal!R668</f>
        <v>0</v>
      </c>
      <c r="H667" s="1216">
        <f t="shared" si="31"/>
        <v>0</v>
      </c>
    </row>
    <row r="668" spans="1:8" s="1241" customFormat="1" ht="37.5" hidden="1" customHeight="1">
      <c r="A668" s="1233">
        <f>buildingfinal!A667</f>
        <v>0</v>
      </c>
      <c r="B668" s="1521">
        <f>buildingfinal!Q667</f>
        <v>0</v>
      </c>
      <c r="C668" s="1239" t="str">
        <f>buildingfinal!B667</f>
        <v>a. Ground floor</v>
      </c>
      <c r="D668" s="1235">
        <f>buildingfinal!C667</f>
        <v>563.35</v>
      </c>
      <c r="E668" s="1235" t="str">
        <f>buildingfinal!D667</f>
        <v>Sqm.</v>
      </c>
      <c r="F668" s="1235">
        <f t="shared" si="29"/>
        <v>0</v>
      </c>
      <c r="G668" s="1240">
        <f>buildingfinal!R669</f>
        <v>0</v>
      </c>
      <c r="H668" s="1216">
        <f t="shared" si="31"/>
        <v>0</v>
      </c>
    </row>
    <row r="669" spans="1:8" s="1241" customFormat="1" ht="37.5" hidden="1" customHeight="1">
      <c r="A669" s="1233">
        <f>buildingfinal!A668</f>
        <v>0</v>
      </c>
      <c r="B669" s="1521">
        <f>buildingfinal!Q668</f>
        <v>0</v>
      </c>
      <c r="C669" s="1239" t="str">
        <f>buildingfinal!B668</f>
        <v>b. In First floor</v>
      </c>
      <c r="D669" s="1235">
        <f>buildingfinal!C668</f>
        <v>568.27</v>
      </c>
      <c r="E669" s="1235" t="str">
        <f>buildingfinal!D668</f>
        <v>Sqm.</v>
      </c>
      <c r="F669" s="1235">
        <f t="shared" si="29"/>
        <v>0</v>
      </c>
      <c r="G669" s="1240">
        <f>buildingfinal!R670</f>
        <v>0</v>
      </c>
      <c r="H669" s="1216">
        <f t="shared" si="31"/>
        <v>0</v>
      </c>
    </row>
    <row r="670" spans="1:8" s="1241" customFormat="1" ht="17.25" hidden="1">
      <c r="A670" s="1233">
        <f>buildingfinal!A669</f>
        <v>0</v>
      </c>
      <c r="B670" s="1521">
        <f>buildingfinal!Q669</f>
        <v>0</v>
      </c>
      <c r="C670" s="1239" t="str">
        <f>buildingfinal!B669</f>
        <v>c. In Second floor</v>
      </c>
      <c r="D670" s="1235">
        <f>buildingfinal!C669</f>
        <v>573.19000000000005</v>
      </c>
      <c r="E670" s="1235" t="str">
        <f>buildingfinal!D669</f>
        <v>Sqm.</v>
      </c>
      <c r="F670" s="1235">
        <f t="shared" si="29"/>
        <v>0</v>
      </c>
      <c r="G670" s="1240">
        <f>'[2]Abstract '!D668</f>
        <v>1828</v>
      </c>
      <c r="H670" s="1216">
        <f>'[2]Abstract '!F668</f>
        <v>10968</v>
      </c>
    </row>
    <row r="671" spans="1:8" ht="37.5" hidden="1" customHeight="1">
      <c r="A671" s="1233">
        <f>buildingfinal!A670</f>
        <v>0</v>
      </c>
      <c r="B671" s="1521">
        <f>buildingfinal!Q670</f>
        <v>0</v>
      </c>
      <c r="C671" s="1239" t="str">
        <f>buildingfinal!B670</f>
        <v>d. In Third floor</v>
      </c>
      <c r="D671" s="1235">
        <f>buildingfinal!C670</f>
        <v>578.11</v>
      </c>
      <c r="E671" s="1235" t="str">
        <f>buildingfinal!D670</f>
        <v>Sqm.</v>
      </c>
      <c r="F671" s="1235">
        <f t="shared" si="29"/>
        <v>0</v>
      </c>
      <c r="G671" s="1240">
        <f>buildingfinal!R672</f>
        <v>0</v>
      </c>
      <c r="H671" s="1216">
        <f t="shared" ref="H671:H675" si="32">F671-G671</f>
        <v>0</v>
      </c>
    </row>
    <row r="672" spans="1:8" ht="37.5" hidden="1" customHeight="1">
      <c r="A672" s="1233">
        <f>buildingfinal!A671</f>
        <v>0</v>
      </c>
      <c r="B672" s="1521">
        <f>buildingfinal!Q671</f>
        <v>0</v>
      </c>
      <c r="C672" s="1239" t="str">
        <f>buildingfinal!B671</f>
        <v>e.  In Fourth floor</v>
      </c>
      <c r="D672" s="1235">
        <f>buildingfinal!C671</f>
        <v>583.03</v>
      </c>
      <c r="E672" s="1235" t="str">
        <f>buildingfinal!D671</f>
        <v>Sqm.</v>
      </c>
      <c r="F672" s="1235">
        <f t="shared" si="29"/>
        <v>0</v>
      </c>
      <c r="G672" s="1240">
        <f>buildingfinal!R673</f>
        <v>0</v>
      </c>
      <c r="H672" s="1216">
        <f t="shared" si="32"/>
        <v>0</v>
      </c>
    </row>
    <row r="673" spans="1:8" ht="37.5" hidden="1" customHeight="1">
      <c r="A673" s="1233">
        <f>buildingfinal!A672</f>
        <v>0</v>
      </c>
      <c r="B673" s="1521">
        <f>buildingfinal!Q672</f>
        <v>0</v>
      </c>
      <c r="C673" s="1239" t="str">
        <f>buildingfinal!B672</f>
        <v>Cuddappa slab 40 mm tk.for C/B  slab.</v>
      </c>
      <c r="D673" s="1235">
        <f>buildingfinal!C672</f>
        <v>0</v>
      </c>
      <c r="E673" s="1235">
        <f>buildingfinal!D672</f>
        <v>0</v>
      </c>
      <c r="F673" s="1235">
        <f t="shared" si="29"/>
        <v>0</v>
      </c>
      <c r="G673" s="1240">
        <f>buildingfinal!R674</f>
        <v>0</v>
      </c>
      <c r="H673" s="1216">
        <f t="shared" si="32"/>
        <v>0</v>
      </c>
    </row>
    <row r="674" spans="1:8" s="1241" customFormat="1" ht="37.5" hidden="1" customHeight="1">
      <c r="A674" s="1233">
        <f>buildingfinal!A673</f>
        <v>0</v>
      </c>
      <c r="B674" s="1521">
        <f>buildingfinal!Q673</f>
        <v>0</v>
      </c>
      <c r="C674" s="1239" t="str">
        <f>buildingfinal!B673</f>
        <v>a. In Ground floor</v>
      </c>
      <c r="D674" s="1235">
        <f>buildingfinal!C673</f>
        <v>597.15</v>
      </c>
      <c r="E674" s="1235" t="str">
        <f>buildingfinal!D673</f>
        <v>Sqm.</v>
      </c>
      <c r="F674" s="1235">
        <f t="shared" si="29"/>
        <v>0</v>
      </c>
      <c r="G674" s="1240">
        <f>buildingfinal!R675</f>
        <v>0</v>
      </c>
      <c r="H674" s="1216">
        <f t="shared" si="32"/>
        <v>0</v>
      </c>
    </row>
    <row r="675" spans="1:8" ht="37.5" hidden="1" customHeight="1">
      <c r="A675" s="1233">
        <f>buildingfinal!A674</f>
        <v>0</v>
      </c>
      <c r="B675" s="1521">
        <f>buildingfinal!Q674</f>
        <v>0</v>
      </c>
      <c r="C675" s="1239" t="str">
        <f>buildingfinal!B674</f>
        <v>b. In First floor</v>
      </c>
      <c r="D675" s="1235">
        <f>buildingfinal!C674</f>
        <v>607</v>
      </c>
      <c r="E675" s="1235" t="str">
        <f>buildingfinal!D674</f>
        <v>Sqm.</v>
      </c>
      <c r="F675" s="1235">
        <f t="shared" si="29"/>
        <v>0</v>
      </c>
      <c r="G675" s="1240">
        <f>buildingfinal!R676</f>
        <v>0</v>
      </c>
      <c r="H675" s="1216">
        <f t="shared" si="32"/>
        <v>0</v>
      </c>
    </row>
    <row r="676" spans="1:8" hidden="1">
      <c r="A676" s="1233">
        <f>buildingfinal!A675</f>
        <v>0</v>
      </c>
      <c r="B676" s="1521">
        <f>buildingfinal!Q675</f>
        <v>0</v>
      </c>
      <c r="C676" s="1239" t="str">
        <f>buildingfinal!B675</f>
        <v>c. In Second floor</v>
      </c>
      <c r="D676" s="1235">
        <f>buildingfinal!C675</f>
        <v>616.85</v>
      </c>
      <c r="E676" s="1235" t="str">
        <f>buildingfinal!D675</f>
        <v>Sqm.</v>
      </c>
      <c r="F676" s="1235">
        <f t="shared" si="29"/>
        <v>0</v>
      </c>
      <c r="G676" s="1240">
        <f>'[2]Abstract '!D674</f>
        <v>641.9</v>
      </c>
      <c r="H676" s="1216">
        <f>'[2]Abstract '!F674</f>
        <v>70865.759999999995</v>
      </c>
    </row>
    <row r="677" spans="1:8" hidden="1">
      <c r="A677" s="1233">
        <f>buildingfinal!A676</f>
        <v>0</v>
      </c>
      <c r="B677" s="1521">
        <f>buildingfinal!Q676</f>
        <v>0</v>
      </c>
      <c r="C677" s="1239" t="str">
        <f>buildingfinal!B676</f>
        <v>d. In Third floor</v>
      </c>
      <c r="D677" s="1235">
        <f>buildingfinal!C676</f>
        <v>626.70000000000005</v>
      </c>
      <c r="E677" s="1235" t="str">
        <f>buildingfinal!D676</f>
        <v>Sqm.</v>
      </c>
      <c r="F677" s="1235">
        <f t="shared" si="29"/>
        <v>0</v>
      </c>
      <c r="G677" s="1240">
        <f>'[2]Abstract '!D675</f>
        <v>529.1</v>
      </c>
      <c r="H677" s="1216">
        <f>'[2]Abstract '!F675</f>
        <v>54761.85</v>
      </c>
    </row>
    <row r="678" spans="1:8" s="1241" customFormat="1" ht="17.25" hidden="1">
      <c r="A678" s="1233">
        <f>buildingfinal!A677</f>
        <v>0</v>
      </c>
      <c r="B678" s="1521">
        <f>buildingfinal!Q677</f>
        <v>0</v>
      </c>
      <c r="C678" s="1239" t="str">
        <f>buildingfinal!B677</f>
        <v>e.  In Fourth floor</v>
      </c>
      <c r="D678" s="1235">
        <f>buildingfinal!C677</f>
        <v>626.70000000000005</v>
      </c>
      <c r="E678" s="1235">
        <f>buildingfinal!D677</f>
        <v>0</v>
      </c>
      <c r="F678" s="1235">
        <f t="shared" si="29"/>
        <v>0</v>
      </c>
      <c r="G678" s="1240">
        <f>'[2]Abstract '!D676</f>
        <v>81.2</v>
      </c>
      <c r="H678" s="1216">
        <f>'[2]Abstract '!F676</f>
        <v>2598.4</v>
      </c>
    </row>
    <row r="679" spans="1:8" s="1241" customFormat="1" ht="17.25" hidden="1">
      <c r="A679" s="1233">
        <f>buildingfinal!A678</f>
        <v>0</v>
      </c>
      <c r="B679" s="1521">
        <f>buildingfinal!Q678</f>
        <v>0</v>
      </c>
      <c r="C679" s="1239" t="str">
        <f>buildingfinal!B678</f>
        <v>Cuddappa slab 40 mm tk.for Sunshade.</v>
      </c>
      <c r="D679" s="1235">
        <f>buildingfinal!C678</f>
        <v>0</v>
      </c>
      <c r="E679" s="1235">
        <f>buildingfinal!D678</f>
        <v>0</v>
      </c>
      <c r="F679" s="1235">
        <f t="shared" si="29"/>
        <v>0</v>
      </c>
      <c r="G679" s="1240"/>
    </row>
    <row r="680" spans="1:8" s="1241" customFormat="1" ht="17.25" hidden="1">
      <c r="A680" s="1233">
        <f>buildingfinal!A679</f>
        <v>0</v>
      </c>
      <c r="B680" s="1521">
        <f>buildingfinal!Q679</f>
        <v>0</v>
      </c>
      <c r="C680" s="1239" t="str">
        <f>buildingfinal!B679</f>
        <v>a. In Ground floor</v>
      </c>
      <c r="D680" s="1235">
        <f>buildingfinal!C679</f>
        <v>2142.63</v>
      </c>
      <c r="E680" s="1235" t="str">
        <f>buildingfinal!D679</f>
        <v>Sqm.</v>
      </c>
      <c r="F680" s="1235">
        <f t="shared" si="29"/>
        <v>0</v>
      </c>
      <c r="G680" s="1240"/>
    </row>
    <row r="681" spans="1:8" s="1241" customFormat="1" ht="17.25" hidden="1">
      <c r="A681" s="1233">
        <f>buildingfinal!A680</f>
        <v>0</v>
      </c>
      <c r="B681" s="1521">
        <f>buildingfinal!Q680</f>
        <v>0</v>
      </c>
      <c r="C681" s="1239" t="str">
        <f>buildingfinal!B680</f>
        <v>b. In First floor</v>
      </c>
      <c r="D681" s="1235">
        <f>buildingfinal!C680</f>
        <v>2152.48</v>
      </c>
      <c r="E681" s="1235" t="str">
        <f>buildingfinal!D680</f>
        <v>Sqm.</v>
      </c>
      <c r="F681" s="1235">
        <f t="shared" si="29"/>
        <v>0</v>
      </c>
      <c r="G681" s="1240"/>
    </row>
    <row r="682" spans="1:8" hidden="1">
      <c r="A682" s="1233">
        <f>buildingfinal!A681</f>
        <v>0</v>
      </c>
      <c r="B682" s="1521">
        <f>buildingfinal!Q681</f>
        <v>0</v>
      </c>
      <c r="C682" s="1239" t="str">
        <f>buildingfinal!B681</f>
        <v>c. In Second floor</v>
      </c>
      <c r="D682" s="1235">
        <f>buildingfinal!C681</f>
        <v>2162.33</v>
      </c>
      <c r="E682" s="1235" t="str">
        <f>buildingfinal!D681</f>
        <v>Sqm.</v>
      </c>
      <c r="F682" s="1235">
        <f t="shared" si="29"/>
        <v>0</v>
      </c>
      <c r="G682" s="1240"/>
      <c r="H682" s="1217"/>
    </row>
    <row r="683" spans="1:8" ht="42" hidden="1" customHeight="1">
      <c r="A683" s="1233">
        <f>buildingfinal!A682</f>
        <v>0</v>
      </c>
      <c r="B683" s="1521">
        <f>buildingfinal!Q682</f>
        <v>0</v>
      </c>
      <c r="C683" s="1239" t="str">
        <f>buildingfinal!B682</f>
        <v>d. In Third floor</v>
      </c>
      <c r="D683" s="1235">
        <f>buildingfinal!C682</f>
        <v>2172.1799999999998</v>
      </c>
      <c r="E683" s="1235" t="str">
        <f>buildingfinal!D682</f>
        <v>Sqm.</v>
      </c>
      <c r="F683" s="1235">
        <f t="shared" si="29"/>
        <v>0</v>
      </c>
      <c r="G683" s="1240">
        <f>buildingfinal!R684</f>
        <v>496194.66</v>
      </c>
      <c r="H683" s="1216">
        <f>F683-G683</f>
        <v>-496194.66</v>
      </c>
    </row>
    <row r="684" spans="1:8" s="1241" customFormat="1" ht="17.25" hidden="1">
      <c r="A684" s="1233">
        <f>buildingfinal!A683</f>
        <v>0</v>
      </c>
      <c r="B684" s="1521">
        <f>buildingfinal!Q683</f>
        <v>0</v>
      </c>
      <c r="C684" s="1239" t="str">
        <f>buildingfinal!B683</f>
        <v>e.  In Fourth floor</v>
      </c>
      <c r="D684" s="1235">
        <f>buildingfinal!C683</f>
        <v>2182.0300000000002</v>
      </c>
      <c r="E684" s="1235" t="str">
        <f>buildingfinal!D683</f>
        <v>Sqm.</v>
      </c>
      <c r="F684" s="1235">
        <f t="shared" si="29"/>
        <v>0</v>
      </c>
      <c r="G684" s="1240"/>
    </row>
    <row r="685" spans="1:8" s="1241" customFormat="1" ht="37.5" customHeight="1">
      <c r="A685" s="1233">
        <f>buildingfinal!A684</f>
        <v>29.8</v>
      </c>
      <c r="B685" s="1521">
        <f>buildingfinal!Q684</f>
        <v>351</v>
      </c>
      <c r="C685" s="1239" t="str">
        <f>buildingfinal!B684</f>
        <v>Glazed tiles using Grout (Tile Joint Filler), C.M 1:2, 10mm tk</v>
      </c>
      <c r="D685" s="1235">
        <f>buildingfinal!C684</f>
        <v>1413.66</v>
      </c>
      <c r="E685" s="1235" t="str">
        <f>buildingfinal!D684</f>
        <v>Sqm</v>
      </c>
      <c r="F685" s="1235">
        <f t="shared" si="29"/>
        <v>496194.66</v>
      </c>
      <c r="G685" s="1240">
        <f>buildingfinal!R686</f>
        <v>181154.96</v>
      </c>
      <c r="H685" s="1216">
        <f>F685-G685</f>
        <v>315039.7</v>
      </c>
    </row>
    <row r="686" spans="1:8" s="1241" customFormat="1" ht="17.25" hidden="1">
      <c r="A686" s="1233">
        <f>buildingfinal!A685</f>
        <v>0</v>
      </c>
      <c r="B686" s="1521">
        <f>buildingfinal!Q685</f>
        <v>0</v>
      </c>
      <c r="C686" s="1239" t="str">
        <f>buildingfinal!B685</f>
        <v>Floor ceramic tiles  using Grout (Tile Joint Filler).</v>
      </c>
      <c r="D686" s="1235">
        <f>buildingfinal!C685</f>
        <v>1239.0899999999999</v>
      </c>
      <c r="E686" s="1235" t="str">
        <f>buildingfinal!D685</f>
        <v>Sqm</v>
      </c>
      <c r="F686" s="1235">
        <f t="shared" si="29"/>
        <v>0</v>
      </c>
      <c r="G686" s="1240"/>
    </row>
    <row r="687" spans="1:8" s="1241" customFormat="1" ht="37.5" customHeight="1">
      <c r="A687" s="1233">
        <f>buildingfinal!A686</f>
        <v>29.9</v>
      </c>
      <c r="B687" s="1521">
        <f>buildingfinal!Q686</f>
        <v>146.19999999999999</v>
      </c>
      <c r="C687" s="1239" t="str">
        <f>buildingfinal!B686</f>
        <v>Floor ceramic tiles (Anti-skid) using Grout (Tile Joint Filler).</v>
      </c>
      <c r="D687" s="1235">
        <f>buildingfinal!C686</f>
        <v>1239.0899999999999</v>
      </c>
      <c r="E687" s="1235" t="str">
        <f>buildingfinal!D686</f>
        <v>Sqm</v>
      </c>
      <c r="F687" s="1235">
        <f t="shared" si="29"/>
        <v>181154.96</v>
      </c>
      <c r="G687" s="1240"/>
    </row>
    <row r="688" spans="1:8" ht="37.5" customHeight="1">
      <c r="A688" s="1233">
        <f>buildingfinal!A687</f>
        <v>38.4</v>
      </c>
      <c r="B688" s="1521">
        <f>buildingfinal!Q687</f>
        <v>142.19999999999999</v>
      </c>
      <c r="C688" s="1239" t="str">
        <f>buildingfinal!B687</f>
        <v>Two coat of cement paint over one coat white cement</v>
      </c>
      <c r="D688" s="1235">
        <f>buildingfinal!C687</f>
        <v>135.33000000000001</v>
      </c>
      <c r="E688" s="1235" t="str">
        <f>buildingfinal!D687</f>
        <v>Sqm</v>
      </c>
      <c r="F688" s="1235">
        <f t="shared" si="29"/>
        <v>19243.93</v>
      </c>
      <c r="G688" s="1240">
        <f>buildingfinal!R689</f>
        <v>0</v>
      </c>
      <c r="H688" s="1216">
        <f>F688-G688</f>
        <v>19243.93</v>
      </c>
    </row>
    <row r="689" spans="1:8" hidden="1">
      <c r="A689" s="1233">
        <f>buildingfinal!A688</f>
        <v>38.5</v>
      </c>
      <c r="B689" s="1521">
        <f>buildingfinal!Q688</f>
        <v>0</v>
      </c>
      <c r="C689" s="1239" t="str">
        <f>buildingfinal!B688</f>
        <v>Matt paint</v>
      </c>
      <c r="D689" s="1235">
        <f>buildingfinal!C688</f>
        <v>169</v>
      </c>
      <c r="E689" s="1235" t="str">
        <f>buildingfinal!D688</f>
        <v>Sqm</v>
      </c>
      <c r="F689" s="1235">
        <f t="shared" si="29"/>
        <v>0</v>
      </c>
      <c r="G689" s="1240">
        <f>'[2]Abstract '!D687</f>
        <v>1284</v>
      </c>
      <c r="H689" s="1216">
        <f>'[2]Abstract '!F687</f>
        <v>43656</v>
      </c>
    </row>
    <row r="690" spans="1:8" s="1241" customFormat="1" ht="30" hidden="1">
      <c r="A690" s="1233">
        <f>buildingfinal!A689</f>
        <v>38.6</v>
      </c>
      <c r="B690" s="1521">
        <f>buildingfinal!Q689</f>
        <v>0</v>
      </c>
      <c r="C690" s="1239" t="str">
        <f>buildingfinal!B689</f>
        <v>One coat white cement for new walls and other similar works.</v>
      </c>
      <c r="D690" s="1235">
        <f>buildingfinal!C689</f>
        <v>64.16</v>
      </c>
      <c r="E690" s="1235" t="str">
        <f>buildingfinal!D689</f>
        <v>Sqm</v>
      </c>
      <c r="F690" s="1235">
        <f t="shared" si="29"/>
        <v>0</v>
      </c>
      <c r="G690" s="1240">
        <f>'[2]Abstract '!D688</f>
        <v>219</v>
      </c>
      <c r="H690" s="1216">
        <f>'[2]Abstract '!F688</f>
        <v>10950</v>
      </c>
    </row>
    <row r="691" spans="1:8" s="1241" customFormat="1" ht="39.75" hidden="1" customHeight="1">
      <c r="A691" s="1233">
        <f>buildingfinal!A690</f>
        <v>42</v>
      </c>
      <c r="B691" s="1521">
        <f>buildingfinal!Q690</f>
        <v>0</v>
      </c>
      <c r="C691" s="1239" t="str">
        <f>buildingfinal!B690</f>
        <v>Fabrication of Mild steel / RTS grills
(with cement slurry wash) for all sizes of rods.</v>
      </c>
      <c r="D691" s="1235">
        <f>buildingfinal!C690</f>
        <v>92263.5</v>
      </c>
      <c r="E691" s="1235" t="str">
        <f>buildingfinal!D690</f>
        <v>MT</v>
      </c>
      <c r="F691" s="1235">
        <f t="shared" si="29"/>
        <v>0</v>
      </c>
      <c r="G691" s="1240">
        <f>buildingfinal!R692</f>
        <v>64688.51</v>
      </c>
      <c r="H691" s="1216">
        <f>F691-G691</f>
        <v>-64688.51</v>
      </c>
    </row>
    <row r="692" spans="1:8" s="1241" customFormat="1" ht="37.5" customHeight="1">
      <c r="A692" s="1233">
        <f>buildingfinal!A691</f>
        <v>43</v>
      </c>
      <c r="B692" s="1521">
        <f>buildingfinal!Q691</f>
        <v>125.41</v>
      </c>
      <c r="C692" s="1239" t="str">
        <f>buildingfinal!B691</f>
        <v xml:space="preserve">Fabrication of Mild steel / RTS grills (without cement slurry) for all sizes of rods.
</v>
      </c>
      <c r="D692" s="1235">
        <f>buildingfinal!C691</f>
        <v>90172</v>
      </c>
      <c r="E692" s="1235" t="str">
        <f>buildingfinal!D691</f>
        <v>MT</v>
      </c>
      <c r="F692" s="1235">
        <f t="shared" si="29"/>
        <v>11308470.52</v>
      </c>
      <c r="G692" s="1240">
        <f>'[2]Abstract '!D690</f>
        <v>187</v>
      </c>
      <c r="H692" s="1216">
        <f>'[2]Abstract '!F690</f>
        <v>60962</v>
      </c>
    </row>
    <row r="693" spans="1:8" s="1241" customFormat="1" ht="37.5" customHeight="1">
      <c r="A693" s="1233">
        <f>buildingfinal!A692</f>
        <v>44.6</v>
      </c>
      <c r="B693" s="1521">
        <f>buildingfinal!Q692</f>
        <v>185.2</v>
      </c>
      <c r="C693" s="1239" t="str">
        <f>buildingfinal!B692</f>
        <v>PVC SWR 110 mm dia with ISI mark type- A for Rain water down fall pipe</v>
      </c>
      <c r="D693" s="1235">
        <f>buildingfinal!C692</f>
        <v>349.29</v>
      </c>
      <c r="E693" s="1235" t="str">
        <f>buildingfinal!D692</f>
        <v>Rmt</v>
      </c>
      <c r="F693" s="1235">
        <f t="shared" si="29"/>
        <v>64688.51</v>
      </c>
      <c r="G693" s="1240">
        <f>buildingfinal!R694</f>
        <v>0</v>
      </c>
      <c r="H693" s="1216">
        <f t="shared" ref="H693:H695" si="33">F693-G693</f>
        <v>64688.51</v>
      </c>
    </row>
    <row r="694" spans="1:8" ht="27.75" customHeight="1">
      <c r="A694" s="1233">
        <f>buildingfinal!A693</f>
        <v>50.6</v>
      </c>
      <c r="B694" s="1521">
        <f>buildingfinal!Q693</f>
        <v>43.1</v>
      </c>
      <c r="C694" s="1239" t="str">
        <f>buildingfinal!B693</f>
        <v>Precast slab 50 mm tk.in C.C. 1:3:6 with fibre</v>
      </c>
      <c r="D694" s="1235">
        <f>buildingfinal!C693</f>
        <v>412.01</v>
      </c>
      <c r="E694" s="1235" t="str">
        <f>buildingfinal!D693</f>
        <v>Sqm</v>
      </c>
      <c r="F694" s="1235">
        <f t="shared" si="29"/>
        <v>17757.63</v>
      </c>
      <c r="G694" s="1240">
        <f>buildingfinal!R695</f>
        <v>13048</v>
      </c>
      <c r="H694" s="1216">
        <f t="shared" si="33"/>
        <v>4709.63</v>
      </c>
    </row>
    <row r="695" spans="1:8" s="1241" customFormat="1" ht="42" hidden="1" customHeight="1">
      <c r="A695" s="1233">
        <f>buildingfinal!A694</f>
        <v>52.4</v>
      </c>
      <c r="B695" s="1521">
        <f>buildingfinal!Q694</f>
        <v>0</v>
      </c>
      <c r="C695" s="1239" t="str">
        <f>buildingfinal!B694</f>
        <v>20mm dia PVC water supply ASTM pipe (fully consealed in walls)</v>
      </c>
      <c r="D695" s="1235">
        <f>buildingfinal!C694</f>
        <v>240.64</v>
      </c>
      <c r="E695" s="1235" t="str">
        <f>buildingfinal!D694</f>
        <v>Rmt</v>
      </c>
      <c r="F695" s="1235">
        <f t="shared" si="29"/>
        <v>0</v>
      </c>
      <c r="G695" s="1240">
        <f>buildingfinal!R696</f>
        <v>71526.42</v>
      </c>
      <c r="H695" s="1216">
        <f t="shared" si="33"/>
        <v>-71526.42</v>
      </c>
    </row>
    <row r="696" spans="1:8" ht="26.25" customHeight="1">
      <c r="A696" s="1233">
        <f>buildingfinal!A695</f>
        <v>53.4</v>
      </c>
      <c r="B696" s="1521">
        <f>buildingfinal!Q695</f>
        <v>7</v>
      </c>
      <c r="C696" s="1239" t="str">
        <f>buildingfinal!B695</f>
        <v xml:space="preserve">S&amp;F of C.I Manhole cover 60 x 60 cm (50kg weight ) </v>
      </c>
      <c r="D696" s="1235">
        <f>buildingfinal!C695</f>
        <v>1864</v>
      </c>
      <c r="E696" s="1235" t="str">
        <f>buildingfinal!D695</f>
        <v>Each</v>
      </c>
      <c r="F696" s="1235">
        <f t="shared" si="29"/>
        <v>13048</v>
      </c>
      <c r="G696" s="1240">
        <f>'[2]Abstract '!D694</f>
        <v>1768</v>
      </c>
      <c r="H696" s="1216">
        <f>'[2]Abstract '!F694</f>
        <v>10608</v>
      </c>
    </row>
    <row r="697" spans="1:8" s="1241" customFormat="1" ht="37.5" customHeight="1">
      <c r="A697" s="1233">
        <f>buildingfinal!A696</f>
        <v>0</v>
      </c>
      <c r="B697" s="1521">
        <f>buildingfinal!Q696</f>
        <v>21</v>
      </c>
      <c r="C697" s="1239" t="str">
        <f>buildingfinal!B696</f>
        <v>Wash Hand  Basin of size 550 x 400 mm
(White without Pedestal)</v>
      </c>
      <c r="D697" s="1235">
        <f>buildingfinal!C696</f>
        <v>3406.02</v>
      </c>
      <c r="E697" s="1235" t="str">
        <f>buildingfinal!D696</f>
        <v>Each</v>
      </c>
      <c r="F697" s="1235">
        <f t="shared" si="29"/>
        <v>71526.42</v>
      </c>
      <c r="G697" s="1240"/>
    </row>
    <row r="698" spans="1:8" ht="30" hidden="1">
      <c r="A698" s="1233">
        <f>buildingfinal!A697</f>
        <v>0</v>
      </c>
      <c r="B698" s="1521">
        <f>buildingfinal!Q697</f>
        <v>0</v>
      </c>
      <c r="C698" s="1239" t="str">
        <f>buildingfinal!B697</f>
        <v>Supply and fixing of oval shape wash hand basin of size 560x450mm SRP-51</v>
      </c>
      <c r="D698" s="1235">
        <f>buildingfinal!C697</f>
        <v>2899</v>
      </c>
      <c r="E698" s="1235" t="str">
        <f>buildingfinal!D697</f>
        <v>Each</v>
      </c>
      <c r="F698" s="1235">
        <f t="shared" si="29"/>
        <v>0</v>
      </c>
      <c r="G698" s="1240"/>
      <c r="H698" s="1217"/>
    </row>
    <row r="699" spans="1:8" s="1241" customFormat="1" ht="60" hidden="1">
      <c r="A699" s="1233">
        <f>buildingfinal!A698</f>
        <v>54.3</v>
      </c>
      <c r="B699" s="1521">
        <f>buildingfinal!Q698</f>
        <v>0</v>
      </c>
      <c r="C699" s="1239" t="str">
        <f>buildingfinal!B698</f>
        <v xml:space="preserve">Supplying and fixing of Brass Chromium plated screw down tap 15mm dia (heavy type not less than 430 grms weight)  with ISI mark.
</v>
      </c>
      <c r="D699" s="1235">
        <f>buildingfinal!C698</f>
        <v>206</v>
      </c>
      <c r="E699" s="1235" t="str">
        <f>buildingfinal!D698</f>
        <v>Each</v>
      </c>
      <c r="F699" s="1235">
        <f t="shared" si="29"/>
        <v>0</v>
      </c>
      <c r="G699" s="1240"/>
    </row>
    <row r="700" spans="1:8" s="1241" customFormat="1" ht="28.5" hidden="1" customHeight="1">
      <c r="A700" s="1233">
        <f>buildingfinal!A699</f>
        <v>56.3</v>
      </c>
      <c r="B700" s="1521">
        <f>buildingfinal!Q699</f>
        <v>0</v>
      </c>
      <c r="C700" s="1239" t="str">
        <f>buildingfinal!B699</f>
        <v xml:space="preserve">S &amp; F of Indian Water closet white glazed (Oriya type) of size 580 x 440mm  - in G.F.  </v>
      </c>
      <c r="D700" s="1235">
        <f>buildingfinal!C699</f>
        <v>3447.45</v>
      </c>
      <c r="E700" s="1235" t="str">
        <f>buildingfinal!D699</f>
        <v>Each</v>
      </c>
      <c r="F700" s="1235">
        <f t="shared" si="29"/>
        <v>0</v>
      </c>
      <c r="G700" s="1240">
        <f>buildingfinal!R701</f>
        <v>0</v>
      </c>
      <c r="H700" s="1216">
        <f t="shared" ref="H700:H703" si="34">F700-G700</f>
        <v>0</v>
      </c>
    </row>
    <row r="701" spans="1:8" ht="28.5" hidden="1" customHeight="1">
      <c r="A701" s="1233">
        <f>buildingfinal!A700</f>
        <v>56.4</v>
      </c>
      <c r="B701" s="1521">
        <f>buildingfinal!Q700</f>
        <v>0</v>
      </c>
      <c r="C701" s="1239" t="str">
        <f>buildingfinal!B700</f>
        <v xml:space="preserve">S &amp; F of Indian Water closet white glazed (Oriya type) of size 580 x 440mm  - Other than  G.F.  </v>
      </c>
      <c r="D701" s="1235">
        <f>buildingfinal!C700</f>
        <v>5401.74</v>
      </c>
      <c r="E701" s="1235" t="str">
        <f>buildingfinal!D700</f>
        <v>Each</v>
      </c>
      <c r="F701" s="1235">
        <f t="shared" si="29"/>
        <v>0</v>
      </c>
      <c r="G701" s="1240">
        <f>buildingfinal!R702</f>
        <v>200875.76</v>
      </c>
      <c r="H701" s="1216">
        <f t="shared" si="34"/>
        <v>-200875.76</v>
      </c>
    </row>
    <row r="702" spans="1:8" s="1241" customFormat="1" ht="33.75" customHeight="1">
      <c r="A702" s="1233">
        <f>buildingfinal!A701</f>
        <v>58.3</v>
      </c>
      <c r="B702" s="1260" t="str">
        <f>buildingfinal!Q701</f>
        <v>*</v>
      </c>
      <c r="C702" s="1234" t="str">
        <f>buildingfinal!B701</f>
        <v>PVC SWR pipe (Soil line) with ISI mark - type 'B'.</v>
      </c>
      <c r="D702" s="1235">
        <f>buildingfinal!C701</f>
        <v>0</v>
      </c>
      <c r="E702" s="1235">
        <f>buildingfinal!D701</f>
        <v>0</v>
      </c>
      <c r="F702" s="1235"/>
      <c r="G702" s="1240">
        <f>buildingfinal!R703</f>
        <v>143863.42000000001</v>
      </c>
      <c r="H702" s="1216">
        <f t="shared" si="34"/>
        <v>-143863.42000000001</v>
      </c>
    </row>
    <row r="703" spans="1:8" s="1241" customFormat="1" ht="33.75" customHeight="1">
      <c r="A703" s="1233">
        <f>buildingfinal!A702</f>
        <v>0</v>
      </c>
      <c r="B703" s="1521">
        <f>buildingfinal!Q702</f>
        <v>273.2</v>
      </c>
      <c r="C703" s="1239" t="str">
        <f>buildingfinal!B702</f>
        <v>a. 110 mm dia.</v>
      </c>
      <c r="D703" s="1235">
        <f>buildingfinal!C702</f>
        <v>735.27</v>
      </c>
      <c r="E703" s="1235" t="str">
        <f>buildingfinal!D702</f>
        <v>Rmt</v>
      </c>
      <c r="F703" s="1235">
        <f t="shared" si="29"/>
        <v>200875.76</v>
      </c>
      <c r="G703" s="1240">
        <f>buildingfinal!R704</f>
        <v>2403.4499999999998</v>
      </c>
      <c r="H703" s="1216">
        <f t="shared" si="34"/>
        <v>198472.31</v>
      </c>
    </row>
    <row r="704" spans="1:8" s="1241" customFormat="1" ht="33.75" customHeight="1">
      <c r="A704" s="1233">
        <f>buildingfinal!A703</f>
        <v>0</v>
      </c>
      <c r="B704" s="1521">
        <f>buildingfinal!Q703</f>
        <v>232.8</v>
      </c>
      <c r="C704" s="1239" t="str">
        <f>buildingfinal!B703</f>
        <v>b. 75 mm dia.</v>
      </c>
      <c r="D704" s="1235">
        <f>buildingfinal!C703</f>
        <v>617.97</v>
      </c>
      <c r="E704" s="1235" t="str">
        <f>buildingfinal!D703</f>
        <v>Rmt</v>
      </c>
      <c r="F704" s="1235">
        <f t="shared" si="29"/>
        <v>143863.42000000001</v>
      </c>
      <c r="G704" s="1240">
        <f>'[2]Abstract '!D702</f>
        <v>1179.79</v>
      </c>
      <c r="H704" s="1216">
        <f>'[2]Abstract '!F702</f>
        <v>8258.5300000000007</v>
      </c>
    </row>
    <row r="705" spans="1:8" s="1241" customFormat="1" ht="56.25" customHeight="1">
      <c r="A705" s="1233">
        <f>buildingfinal!A704</f>
        <v>58.4</v>
      </c>
      <c r="B705" s="1521">
        <f>buildingfinal!Q704</f>
        <v>21</v>
      </c>
      <c r="C705" s="1239" t="str">
        <f>buildingfinal!B704</f>
        <v>Supplying, Laying &amp; Concealing the 50mm dia PVC ( SWR) pipe with ISI mark type - 'B' with relevant specials.</v>
      </c>
      <c r="D705" s="1235">
        <f>buildingfinal!C704</f>
        <v>114.45</v>
      </c>
      <c r="E705" s="1235" t="str">
        <f>buildingfinal!D704</f>
        <v>Rmt</v>
      </c>
      <c r="F705" s="1235">
        <f t="shared" si="29"/>
        <v>2403.4499999999998</v>
      </c>
      <c r="G705" s="1240"/>
    </row>
    <row r="706" spans="1:8" s="1241" customFormat="1" ht="30" hidden="1">
      <c r="A706" s="1233">
        <f>buildingfinal!A705</f>
        <v>58.5</v>
      </c>
      <c r="B706" s="1521">
        <f>buildingfinal!Q705</f>
        <v>0</v>
      </c>
      <c r="C706" s="1239" t="str">
        <f>buildingfinal!B705</f>
        <v>PVC(SWR) pipe with ISI mark - type 'A' for Ventilating shaft with cowl</v>
      </c>
      <c r="D706" s="1235">
        <f>buildingfinal!C705</f>
        <v>454</v>
      </c>
      <c r="E706" s="1235" t="str">
        <f>buildingfinal!D705</f>
        <v>Each</v>
      </c>
      <c r="F706" s="1235">
        <f t="shared" si="29"/>
        <v>0</v>
      </c>
      <c r="G706" s="1240">
        <f>'[2]Abstract '!D704</f>
        <v>375.7</v>
      </c>
      <c r="H706" s="1216">
        <f>'[2]Abstract '!F704</f>
        <v>3005.6</v>
      </c>
    </row>
    <row r="707" spans="1:8" s="1241" customFormat="1" ht="47.25">
      <c r="A707" s="1233">
        <f>buildingfinal!A706</f>
        <v>0</v>
      </c>
      <c r="B707" s="1260" t="str">
        <f>buildingfinal!Q706</f>
        <v>*</v>
      </c>
      <c r="C707" s="1234" t="str">
        <f>buildingfinal!B706</f>
        <v>Wiring with 1.5 sqmm PVC insulated single core multi strand fire retardant flexible copper cable with ISI mark confirming IS: 694:1990.</v>
      </c>
      <c r="D707" s="1235">
        <f>buildingfinal!C706</f>
        <v>0</v>
      </c>
      <c r="E707" s="1235">
        <f>buildingfinal!D706</f>
        <v>0</v>
      </c>
      <c r="F707" s="1235"/>
      <c r="G707" s="1240">
        <f>'[2]Abstract '!D705</f>
        <v>1000</v>
      </c>
      <c r="H707" s="1216">
        <f>'[2]Abstract '!F705</f>
        <v>2000</v>
      </c>
    </row>
    <row r="708" spans="1:8" s="1241" customFormat="1" ht="28.5" customHeight="1">
      <c r="A708" s="1233">
        <f>buildingfinal!A707</f>
        <v>0</v>
      </c>
      <c r="B708" s="1521">
        <f>buildingfinal!Q707</f>
        <v>143</v>
      </c>
      <c r="C708" s="1239" t="str">
        <f>buildingfinal!B707</f>
        <v>a. Light point with ceiling rose</v>
      </c>
      <c r="D708" s="1235">
        <f>buildingfinal!C707</f>
        <v>1630</v>
      </c>
      <c r="E708" s="1235" t="str">
        <f>buildingfinal!D707</f>
        <v>Each</v>
      </c>
      <c r="F708" s="1235">
        <f t="shared" si="29"/>
        <v>233090</v>
      </c>
      <c r="G708" s="1240">
        <f>'[2]Abstract '!D706</f>
        <v>235</v>
      </c>
      <c r="H708" s="1216">
        <f>'[2]Abstract '!F706</f>
        <v>2350</v>
      </c>
    </row>
    <row r="709" spans="1:8" s="1241" customFormat="1" ht="28.5" customHeight="1">
      <c r="A709" s="1233">
        <f>buildingfinal!A708</f>
        <v>0</v>
      </c>
      <c r="B709" s="1521">
        <f>buildingfinal!Q708</f>
        <v>99</v>
      </c>
      <c r="C709" s="1239" t="str">
        <f>buildingfinal!B708</f>
        <v>b. Light point without ceiling rose</v>
      </c>
      <c r="D709" s="1235">
        <f>buildingfinal!C708</f>
        <v>1633</v>
      </c>
      <c r="E709" s="1235" t="str">
        <f>buildingfinal!D708</f>
        <v>Each</v>
      </c>
      <c r="F709" s="1235">
        <f t="shared" si="29"/>
        <v>161667</v>
      </c>
      <c r="G709" s="1240"/>
    </row>
    <row r="710" spans="1:8" s="1241" customFormat="1" ht="28.5" customHeight="1">
      <c r="A710" s="1233">
        <f>buildingfinal!A709</f>
        <v>0</v>
      </c>
      <c r="B710" s="1521">
        <f>buildingfinal!Q709</f>
        <v>5</v>
      </c>
      <c r="C710" s="1239" t="str">
        <f>buildingfinal!B709</f>
        <v>c. Calling bell point with Buzzer/Calling bell</v>
      </c>
      <c r="D710" s="1235">
        <f>buildingfinal!C709</f>
        <v>1670</v>
      </c>
      <c r="E710" s="1235" t="str">
        <f>buildingfinal!D709</f>
        <v>Each</v>
      </c>
      <c r="F710" s="1235">
        <f t="shared" si="29"/>
        <v>8350</v>
      </c>
      <c r="G710" s="1240">
        <f>'[2]Abstract '!D708</f>
        <v>1489.95</v>
      </c>
      <c r="H710" s="1216">
        <f>'[2]Abstract '!F708</f>
        <v>2979.9</v>
      </c>
    </row>
    <row r="711" spans="1:8" s="1241" customFormat="1" ht="45">
      <c r="A711" s="1233">
        <f>buildingfinal!A710</f>
        <v>65.099999999999994</v>
      </c>
      <c r="B711" s="1521">
        <f>buildingfinal!Q710</f>
        <v>70</v>
      </c>
      <c r="C711" s="1239" t="str">
        <f>buildingfinal!B710</f>
        <v>Wiring with 1.5 sqmm PVC insulated single core multi strand fire retardant flexible copper cable with ISI mark confirming IS: 694:1990 for Fan point</v>
      </c>
      <c r="D711" s="1235">
        <f>buildingfinal!C710</f>
        <v>1705</v>
      </c>
      <c r="E711" s="1235" t="str">
        <f>buildingfinal!D710</f>
        <v>Each</v>
      </c>
      <c r="F711" s="1235">
        <f t="shared" si="29"/>
        <v>119350</v>
      </c>
      <c r="G711" s="1240"/>
    </row>
    <row r="712" spans="1:8" s="1241" customFormat="1" ht="60">
      <c r="A712" s="1233">
        <f>buildingfinal!A711</f>
        <v>66.099999999999994</v>
      </c>
      <c r="B712" s="1521">
        <f>buildingfinal!Q711</f>
        <v>8</v>
      </c>
      <c r="C712" s="1239" t="str">
        <f>buildingfinal!B711</f>
        <v>Wiring with 1.5 sqmm PVC insulated single core multi strand fire retardant flexible copper cable with ISI mark confirming IS: 694:1990 for Staircase Light Point.</v>
      </c>
      <c r="D712" s="1235">
        <f>buildingfinal!C711</f>
        <v>3052</v>
      </c>
      <c r="E712" s="1235" t="str">
        <f>buildingfinal!D711</f>
        <v>Each</v>
      </c>
      <c r="F712" s="1235">
        <f t="shared" ref="F712:F775" si="35">D712*B712</f>
        <v>24416</v>
      </c>
      <c r="G712" s="1240">
        <f>'[2]Abstract '!D710</f>
        <v>2566.5</v>
      </c>
      <c r="H712" s="1216">
        <f>'[2]Abstract '!F710</f>
        <v>7142.57</v>
      </c>
    </row>
    <row r="713" spans="1:8" s="1241" customFormat="1" ht="60">
      <c r="A713" s="1233">
        <f>buildingfinal!A712</f>
        <v>0</v>
      </c>
      <c r="B713" s="1521">
        <f>buildingfinal!Q712</f>
        <v>52</v>
      </c>
      <c r="C713" s="1239" t="str">
        <f>buildingfinal!B712</f>
        <v xml:space="preserve">Wiring with 1.5 sqmm PVC insulated single core multi strand fire retardant flexible copper cable with ISI mark confirming IS: 694:1990 for 5 amps 5 pin plug socket point @ Switch Board Itself </v>
      </c>
      <c r="D713" s="1235">
        <f>buildingfinal!C712</f>
        <v>835</v>
      </c>
      <c r="E713" s="1235" t="str">
        <f>buildingfinal!D712</f>
        <v>Each</v>
      </c>
      <c r="F713" s="1235">
        <f t="shared" si="35"/>
        <v>43420</v>
      </c>
      <c r="G713" s="1240">
        <f>'[2]Abstract '!D711</f>
        <v>2007</v>
      </c>
      <c r="H713" s="1216">
        <f>'[2]Abstract '!F711</f>
        <v>12042</v>
      </c>
    </row>
    <row r="714" spans="1:8" s="1241" customFormat="1" ht="78" customHeight="1">
      <c r="A714" s="1233">
        <f>buildingfinal!A713</f>
        <v>68.2</v>
      </c>
      <c r="B714" s="1521">
        <f>buildingfinal!Q713</f>
        <v>40</v>
      </c>
      <c r="C714" s="1239" t="str">
        <f>buildingfinal!B713</f>
        <v>Wiring with 1.5 sqmm PVC insulated single core multi strand fire retardant flexible copper cable with ISI mark confirming IS: 694:1990 for 5 amps 5 pin plug socket point @ Convenient Places..</v>
      </c>
      <c r="D714" s="1235">
        <f>buildingfinal!C713</f>
        <v>1133</v>
      </c>
      <c r="E714" s="1235" t="str">
        <f>buildingfinal!D713</f>
        <v>Each</v>
      </c>
      <c r="F714" s="1235">
        <f t="shared" si="35"/>
        <v>45320</v>
      </c>
      <c r="G714" s="1240">
        <f>buildingfinal!R715</f>
        <v>108689</v>
      </c>
      <c r="H714" s="1216">
        <f t="shared" ref="H714:H721" si="36">F714-G714</f>
        <v>-63369</v>
      </c>
    </row>
    <row r="715" spans="1:8" s="1241" customFormat="1" ht="63" hidden="1" customHeight="1">
      <c r="A715" s="1233">
        <f>buildingfinal!A714</f>
        <v>70.5</v>
      </c>
      <c r="B715" s="1521">
        <f>buildingfinal!Q714</f>
        <v>0</v>
      </c>
      <c r="C715" s="1239" t="str">
        <f>buildingfinal!B714</f>
        <v>Supply and fixing of 16 amps power plug (Modular) socke with switch</v>
      </c>
      <c r="D715" s="1235">
        <f>buildingfinal!C714</f>
        <v>150</v>
      </c>
      <c r="E715" s="1235" t="str">
        <f>buildingfinal!D714</f>
        <v>Each</v>
      </c>
      <c r="F715" s="1235">
        <f t="shared" si="35"/>
        <v>0</v>
      </c>
      <c r="G715" s="1240">
        <f>buildingfinal!R716</f>
        <v>42560</v>
      </c>
      <c r="H715" s="1216">
        <f t="shared" si="36"/>
        <v>-42560</v>
      </c>
    </row>
    <row r="716" spans="1:8" s="1241" customFormat="1" ht="53.25" customHeight="1">
      <c r="A716" s="1233">
        <f>buildingfinal!A715</f>
        <v>0</v>
      </c>
      <c r="B716" s="1521">
        <f>buildingfinal!Q715</f>
        <v>70</v>
      </c>
      <c r="C716" s="1239" t="str">
        <f>buildingfinal!B715</f>
        <v>Supply and delivery of  48" (1200 mm) Fan with ISI mark with Eletronic Dimmer</v>
      </c>
      <c r="D716" s="1235">
        <f>buildingfinal!C715</f>
        <v>1552.7</v>
      </c>
      <c r="E716" s="1235" t="str">
        <f>buildingfinal!D715</f>
        <v>Each</v>
      </c>
      <c r="F716" s="1235">
        <f t="shared" si="35"/>
        <v>108689</v>
      </c>
      <c r="G716" s="1240">
        <f>buildingfinal!R717</f>
        <v>24960</v>
      </c>
      <c r="H716" s="1216">
        <f t="shared" si="36"/>
        <v>83729</v>
      </c>
    </row>
    <row r="717" spans="1:8" s="1241" customFormat="1" ht="56.25" customHeight="1">
      <c r="A717" s="1233">
        <f>buildingfinal!A716</f>
        <v>0</v>
      </c>
      <c r="B717" s="1521">
        <f>buildingfinal!Q716</f>
        <v>160</v>
      </c>
      <c r="C717" s="1239" t="str">
        <f>buildingfinal!B716</f>
        <v>Run of 2 Wires of 4 sqmm PVC insulated single core multi strand fire retardant flexible copper cable with ISI mark confirming IS: 694:1990.</v>
      </c>
      <c r="D717" s="1235">
        <f>buildingfinal!C716</f>
        <v>266</v>
      </c>
      <c r="E717" s="1235" t="str">
        <f>buildingfinal!D716</f>
        <v>Rmt</v>
      </c>
      <c r="F717" s="1235">
        <f t="shared" si="35"/>
        <v>42560</v>
      </c>
      <c r="G717" s="1240">
        <f>buildingfinal!R718</f>
        <v>176280</v>
      </c>
      <c r="H717" s="1216">
        <f t="shared" si="36"/>
        <v>-133720</v>
      </c>
    </row>
    <row r="718" spans="1:8" s="1241" customFormat="1" ht="58.5" customHeight="1">
      <c r="A718" s="1233">
        <f>buildingfinal!A717</f>
        <v>77.5</v>
      </c>
      <c r="B718" s="1521">
        <f>buildingfinal!Q717</f>
        <v>120</v>
      </c>
      <c r="C718" s="1239" t="str">
        <f>buildingfinal!B717</f>
        <v>Run of 2 Wires of 1.5 sqmm PVC insulated single core multi strand fire retardant flexible copper cable with ISI mark confirming IS: 694:1990.</v>
      </c>
      <c r="D718" s="1235">
        <f>buildingfinal!C717</f>
        <v>208</v>
      </c>
      <c r="E718" s="1235" t="str">
        <f>buildingfinal!D717</f>
        <v>Rmt</v>
      </c>
      <c r="F718" s="1235">
        <f t="shared" si="35"/>
        <v>24960</v>
      </c>
      <c r="G718" s="1240">
        <f>buildingfinal!R719</f>
        <v>0</v>
      </c>
      <c r="H718" s="1216">
        <f t="shared" si="36"/>
        <v>24960</v>
      </c>
    </row>
    <row r="719" spans="1:8" s="1241" customFormat="1" ht="57" customHeight="1">
      <c r="A719" s="1233">
        <f>buildingfinal!A718</f>
        <v>0</v>
      </c>
      <c r="B719" s="1521">
        <f>buildingfinal!Q718</f>
        <v>780</v>
      </c>
      <c r="C719" s="1239" t="str">
        <f>buildingfinal!B718</f>
        <v>Run of 2 Wires of 2.5 sqmm PVC insulated single core multi strand fire retardant flexible copper cable with ISI mark confirming IS: 694:1990.</v>
      </c>
      <c r="D719" s="1235">
        <f>buildingfinal!C718</f>
        <v>226</v>
      </c>
      <c r="E719" s="1235" t="str">
        <f>buildingfinal!D718</f>
        <v>Rmt</v>
      </c>
      <c r="F719" s="1235">
        <f t="shared" si="35"/>
        <v>176280</v>
      </c>
      <c r="G719" s="1240">
        <f>buildingfinal!R720</f>
        <v>0</v>
      </c>
      <c r="H719" s="1216">
        <f t="shared" si="36"/>
        <v>176280</v>
      </c>
    </row>
    <row r="720" spans="1:8" s="1241" customFormat="1" ht="42" hidden="1" customHeight="1">
      <c r="A720" s="1233">
        <f>buildingfinal!A719</f>
        <v>0</v>
      </c>
      <c r="B720" s="1521">
        <f>buildingfinal!Q719</f>
        <v>0</v>
      </c>
      <c r="C720" s="1239" t="str">
        <f>buildingfinal!B719</f>
        <v>4 x 4  Sq mm copper PVC insulated unsheathed single core cable for 3 phase EB service connection</v>
      </c>
      <c r="D720" s="1235">
        <f>buildingfinal!C719</f>
        <v>270</v>
      </c>
      <c r="E720" s="1235" t="str">
        <f>buildingfinal!D719</f>
        <v>Rmt</v>
      </c>
      <c r="F720" s="1235">
        <f t="shared" si="35"/>
        <v>0</v>
      </c>
      <c r="G720" s="1240">
        <f>buildingfinal!R721</f>
        <v>82335.149999999994</v>
      </c>
      <c r="H720" s="1216">
        <f t="shared" si="36"/>
        <v>-82335.149999999994</v>
      </c>
    </row>
    <row r="721" spans="1:8" s="1241" customFormat="1" ht="29.25" hidden="1" customHeight="1">
      <c r="A721" s="1233">
        <f>buildingfinal!A720</f>
        <v>0</v>
      </c>
      <c r="B721" s="1521">
        <f>buildingfinal!Q720</f>
        <v>0</v>
      </c>
      <c r="C721" s="1239" t="str">
        <f>buildingfinal!B720</f>
        <v xml:space="preserve">Run of 4 Wires of 6 sqmm PVC insulated single core multi strand </v>
      </c>
      <c r="D721" s="1235">
        <f>buildingfinal!C720</f>
        <v>492</v>
      </c>
      <c r="E721" s="1235" t="str">
        <f>buildingfinal!D720</f>
        <v>Rmt</v>
      </c>
      <c r="F721" s="1235">
        <f t="shared" si="35"/>
        <v>0</v>
      </c>
      <c r="G721" s="1240">
        <f>buildingfinal!R722</f>
        <v>0</v>
      </c>
      <c r="H721" s="1216">
        <f t="shared" si="36"/>
        <v>0</v>
      </c>
    </row>
    <row r="722" spans="1:8" s="1241" customFormat="1" ht="43.5" customHeight="1">
      <c r="A722" s="1233">
        <f>buildingfinal!A721</f>
        <v>0</v>
      </c>
      <c r="B722" s="1521">
        <f>buildingfinal!Q721</f>
        <v>135</v>
      </c>
      <c r="C722" s="1239" t="str">
        <f>buildingfinal!B721</f>
        <v xml:space="preserve">Run of 4 Wires of 10 sqmm PVC insulated single core multi strand </v>
      </c>
      <c r="D722" s="1235">
        <f>buildingfinal!C721</f>
        <v>609.89</v>
      </c>
      <c r="E722" s="1235" t="str">
        <f>buildingfinal!D721</f>
        <v>Rmt</v>
      </c>
      <c r="F722" s="1235">
        <f t="shared" si="35"/>
        <v>82335.149999999994</v>
      </c>
      <c r="G722" s="1240"/>
    </row>
    <row r="723" spans="1:8" s="1241" customFormat="1" ht="17.25" hidden="1">
      <c r="A723" s="1233">
        <f>buildingfinal!A722</f>
        <v>112.1</v>
      </c>
      <c r="B723" s="1521">
        <f>buildingfinal!Q722</f>
        <v>0</v>
      </c>
      <c r="C723" s="1239" t="str">
        <f>buildingfinal!B722</f>
        <v>S &amp; F of Exsaust Fan 225mm dia</v>
      </c>
      <c r="D723" s="1235">
        <f>buildingfinal!C722</f>
        <v>2150</v>
      </c>
      <c r="E723" s="1235" t="str">
        <f>buildingfinal!D722</f>
        <v>Each</v>
      </c>
      <c r="F723" s="1235">
        <f t="shared" si="35"/>
        <v>0</v>
      </c>
      <c r="G723" s="1240"/>
    </row>
    <row r="724" spans="1:8" s="1241" customFormat="1" ht="17.25" hidden="1">
      <c r="A724" s="1233">
        <f>buildingfinal!A723</f>
        <v>0</v>
      </c>
      <c r="B724" s="1521">
        <f>buildingfinal!Q723</f>
        <v>0</v>
      </c>
      <c r="C724" s="1239" t="str">
        <f>buildingfinal!B723</f>
        <v>Compact Fluoresent Lamp (CFL)</v>
      </c>
      <c r="D724" s="1235">
        <f>buildingfinal!C723</f>
        <v>0</v>
      </c>
      <c r="E724" s="1235">
        <f>buildingfinal!D723</f>
        <v>0</v>
      </c>
      <c r="F724" s="1235">
        <f t="shared" si="35"/>
        <v>0</v>
      </c>
      <c r="G724" s="1240">
        <f>'[2]Abstract '!D722</f>
        <v>118.08</v>
      </c>
      <c r="H724" s="1216">
        <f>'[2]Abstract '!F722</f>
        <v>472.32</v>
      </c>
    </row>
    <row r="725" spans="1:8" s="1241" customFormat="1" ht="17.25" hidden="1">
      <c r="A725" s="1233">
        <f>buildingfinal!A724</f>
        <v>0</v>
      </c>
      <c r="B725" s="1521">
        <f>buildingfinal!Q724</f>
        <v>0</v>
      </c>
      <c r="C725" s="1239" t="str">
        <f>buildingfinal!B724</f>
        <v>a. 14W bulb for Bath &amp; WC</v>
      </c>
      <c r="D725" s="1235">
        <f>buildingfinal!C724</f>
        <v>0</v>
      </c>
      <c r="E725" s="1235" t="str">
        <f>buildingfinal!D724</f>
        <v>Each</v>
      </c>
      <c r="F725" s="1235">
        <f t="shared" si="35"/>
        <v>0</v>
      </c>
      <c r="G725" s="1240"/>
    </row>
    <row r="726" spans="1:8" s="1241" customFormat="1" ht="42" hidden="1" customHeight="1">
      <c r="A726" s="1233">
        <f>buildingfinal!A725</f>
        <v>0</v>
      </c>
      <c r="B726" s="1521">
        <f>buildingfinal!Q725</f>
        <v>0</v>
      </c>
      <c r="C726" s="1239" t="str">
        <f>buildingfinal!B725</f>
        <v>b. 18w bulb for Bulk Head fittings</v>
      </c>
      <c r="D726" s="1235">
        <f>buildingfinal!C725</f>
        <v>0</v>
      </c>
      <c r="E726" s="1235" t="str">
        <f>buildingfinal!D725</f>
        <v>Each</v>
      </c>
      <c r="F726" s="1235">
        <f t="shared" si="35"/>
        <v>0</v>
      </c>
      <c r="G726" s="1240">
        <f>buildingfinal!R727</f>
        <v>0</v>
      </c>
      <c r="H726" s="1216">
        <f t="shared" ref="H726:H728" si="37">F726-G726</f>
        <v>0</v>
      </c>
    </row>
    <row r="727" spans="1:8" s="1241" customFormat="1" ht="27.75" hidden="1" customHeight="1">
      <c r="A727" s="1233">
        <f>buildingfinal!A726</f>
        <v>0</v>
      </c>
      <c r="B727" s="1521">
        <f>buildingfinal!Q726</f>
        <v>0</v>
      </c>
      <c r="C727" s="1239" t="str">
        <f>buildingfinal!B726</f>
        <v>S &amp; F of Bulk head fitting suitable for CFL</v>
      </c>
      <c r="D727" s="1235">
        <f>buildingfinal!C726</f>
        <v>0</v>
      </c>
      <c r="E727" s="1235" t="str">
        <f>buildingfinal!D726</f>
        <v>Each</v>
      </c>
      <c r="F727" s="1235">
        <f t="shared" si="35"/>
        <v>0</v>
      </c>
      <c r="G727" s="1240">
        <f>buildingfinal!R728</f>
        <v>17286.16</v>
      </c>
      <c r="H727" s="1216">
        <f t="shared" si="37"/>
        <v>-17286.16</v>
      </c>
    </row>
    <row r="728" spans="1:8" s="1241" customFormat="1" ht="44.25" customHeight="1">
      <c r="A728" s="1233">
        <f>buildingfinal!A727</f>
        <v>44.2</v>
      </c>
      <c r="B728" s="1260" t="str">
        <f>buildingfinal!Q727</f>
        <v>*</v>
      </c>
      <c r="C728" s="1234" t="str">
        <f>buildingfinal!B727</f>
        <v>Rain water harvesting using defunct borewell and providing perforated cover slab</v>
      </c>
      <c r="D728" s="1235">
        <f>buildingfinal!C727</f>
        <v>0</v>
      </c>
      <c r="E728" s="1235">
        <f>buildingfinal!D727</f>
        <v>0</v>
      </c>
      <c r="F728" s="1235"/>
      <c r="G728" s="1240">
        <f>buildingfinal!R729</f>
        <v>12186.48</v>
      </c>
      <c r="H728" s="1216">
        <f t="shared" si="37"/>
        <v>-12186.48</v>
      </c>
    </row>
    <row r="729" spans="1:8" s="1241" customFormat="1" ht="30.75" customHeight="1">
      <c r="A729" s="1233">
        <f>buildingfinal!A728</f>
        <v>0</v>
      </c>
      <c r="B729" s="1521">
        <f>buildingfinal!Q728</f>
        <v>8</v>
      </c>
      <c r="C729" s="1239" t="str">
        <f>buildingfinal!B728</f>
        <v>a). Providing pit (M25)</v>
      </c>
      <c r="D729" s="1235">
        <f>buildingfinal!C728</f>
        <v>2160.77</v>
      </c>
      <c r="E729" s="1235" t="str">
        <f>buildingfinal!D728</f>
        <v>Each</v>
      </c>
      <c r="F729" s="1235">
        <f t="shared" si="35"/>
        <v>17286.16</v>
      </c>
      <c r="G729" s="1240">
        <f>'[2]Abstract '!D727</f>
        <v>1123.4100000000001</v>
      </c>
      <c r="H729" s="1216">
        <f>'[2]Abstract '!F727</f>
        <v>403753.55</v>
      </c>
    </row>
    <row r="730" spans="1:8" s="1241" customFormat="1" ht="30.75" customHeight="1">
      <c r="A730" s="1233">
        <f>buildingfinal!A729</f>
        <v>0</v>
      </c>
      <c r="B730" s="1521">
        <f>buildingfinal!Q729</f>
        <v>24</v>
      </c>
      <c r="C730" s="1239" t="str">
        <f>buildingfinal!B729</f>
        <v>b) Augering 30cm dia</v>
      </c>
      <c r="D730" s="1235">
        <f>buildingfinal!C729</f>
        <v>507.77</v>
      </c>
      <c r="E730" s="1235" t="str">
        <f>buildingfinal!D729</f>
        <v>Rmt</v>
      </c>
      <c r="F730" s="1235">
        <f t="shared" si="35"/>
        <v>12186.48</v>
      </c>
      <c r="G730" s="1240">
        <f>buildingfinal!R731</f>
        <v>8364.2999999999993</v>
      </c>
      <c r="H730" s="1216">
        <f>F730-G730</f>
        <v>3822.18</v>
      </c>
    </row>
    <row r="731" spans="1:8" s="1241" customFormat="1" ht="30" hidden="1">
      <c r="A731" s="1233">
        <f>buildingfinal!A730</f>
        <v>257.10000000000002</v>
      </c>
      <c r="B731" s="1521">
        <f>buildingfinal!Q730</f>
        <v>0</v>
      </c>
      <c r="C731" s="1239" t="str">
        <f>buildingfinal!B730</f>
        <v>S&amp;F of M.S. Angle of size 35x35x5mm for staircase steps</v>
      </c>
      <c r="D731" s="1235">
        <f>buildingfinal!C730</f>
        <v>278.39999999999998</v>
      </c>
      <c r="E731" s="1235" t="str">
        <f>buildingfinal!D730</f>
        <v>Rmt</v>
      </c>
      <c r="F731" s="1235">
        <f t="shared" si="35"/>
        <v>0</v>
      </c>
      <c r="G731" s="1240">
        <f>'[2]Abstract '!D729</f>
        <v>1299.25</v>
      </c>
      <c r="H731" s="1216">
        <f>'[2]Abstract '!F729</f>
        <v>63273.48</v>
      </c>
    </row>
    <row r="732" spans="1:8" s="1241" customFormat="1" ht="30.75" customHeight="1">
      <c r="A732" s="1233">
        <f>buildingfinal!A731</f>
        <v>344.2</v>
      </c>
      <c r="B732" s="1521">
        <f>buildingfinal!Q731</f>
        <v>21</v>
      </c>
      <c r="C732" s="1239" t="str">
        <f>buildingfinal!B731</f>
        <v>S&amp;F of Bevelled edge mirror 500 x 400 x 5.5mm</v>
      </c>
      <c r="D732" s="1235">
        <f>buildingfinal!C731</f>
        <v>398.3</v>
      </c>
      <c r="E732" s="1235" t="str">
        <f>buildingfinal!D731</f>
        <v>Each</v>
      </c>
      <c r="F732" s="1235">
        <f t="shared" si="35"/>
        <v>8364.2999999999993</v>
      </c>
      <c r="G732" s="1240">
        <f>buildingfinal!R733</f>
        <v>0</v>
      </c>
      <c r="H732" s="1216">
        <f>F732-G732</f>
        <v>8364.2999999999993</v>
      </c>
    </row>
    <row r="733" spans="1:8" s="1241" customFormat="1" ht="30.75" customHeight="1">
      <c r="A733" s="1233">
        <f>buildingfinal!A732</f>
        <v>383</v>
      </c>
      <c r="B733" s="1521">
        <f>buildingfinal!Q732</f>
        <v>1</v>
      </c>
      <c r="C733" s="1239" t="str">
        <f>buildingfinal!B732</f>
        <v>S&amp;F of Cuddapah sink 600 x 600 x 200mm</v>
      </c>
      <c r="D733" s="1235">
        <f>buildingfinal!C732</f>
        <v>1020</v>
      </c>
      <c r="E733" s="1235" t="str">
        <f>buildingfinal!D732</f>
        <v>Each</v>
      </c>
      <c r="F733" s="1235">
        <f t="shared" si="35"/>
        <v>1020</v>
      </c>
      <c r="G733" s="1240"/>
    </row>
    <row r="734" spans="1:8" s="1241" customFormat="1" ht="30" hidden="1">
      <c r="A734" s="1233">
        <f>buildingfinal!A733</f>
        <v>383.1</v>
      </c>
      <c r="B734" s="1521">
        <f>buildingfinal!Q733</f>
        <v>0</v>
      </c>
      <c r="C734" s="1239" t="str">
        <f>buildingfinal!B733</f>
        <v>Providing single nosing to the edges of Granite slab  at entrance steps [PWD SR-2022-23/p-36]</v>
      </c>
      <c r="D734" s="1235">
        <f>buildingfinal!C733</f>
        <v>195.7</v>
      </c>
      <c r="E734" s="1235" t="str">
        <f>buildingfinal!D733</f>
        <v>Rmt</v>
      </c>
      <c r="F734" s="1235">
        <f t="shared" si="35"/>
        <v>0</v>
      </c>
      <c r="G734" s="1240"/>
    </row>
    <row r="735" spans="1:8" s="1241" customFormat="1" ht="30" hidden="1">
      <c r="A735" s="1233">
        <f>buildingfinal!A734</f>
        <v>0</v>
      </c>
      <c r="B735" s="1521">
        <f>buildingfinal!Q734</f>
        <v>0</v>
      </c>
      <c r="C735" s="1239" t="str">
        <f>buildingfinal!B734</f>
        <v>Providing double nosing to the edges of Granite slab  [PWD SR-2022-23/p-36]</v>
      </c>
      <c r="D735" s="1235">
        <f>buildingfinal!C734</f>
        <v>370.25</v>
      </c>
      <c r="E735" s="1235" t="str">
        <f>buildingfinal!D734</f>
        <v>Rmt</v>
      </c>
      <c r="F735" s="1235">
        <f t="shared" si="35"/>
        <v>0</v>
      </c>
      <c r="G735" s="1240"/>
    </row>
    <row r="736" spans="1:8" s="1241" customFormat="1" ht="30" hidden="1">
      <c r="A736" s="1233">
        <f>buildingfinal!A735</f>
        <v>0</v>
      </c>
      <c r="B736" s="1521">
        <f>buildingfinal!Q735</f>
        <v>0</v>
      </c>
      <c r="C736" s="1239" t="str">
        <f>buildingfinal!B735</f>
        <v>Supply and fixing of PVC water supply (ASTM)
a.50mm dia</v>
      </c>
      <c r="D736" s="1235">
        <f>buildingfinal!C735</f>
        <v>331.79</v>
      </c>
      <c r="E736" s="1235" t="str">
        <f>buildingfinal!D735</f>
        <v>Rmt</v>
      </c>
      <c r="F736" s="1235">
        <f t="shared" si="35"/>
        <v>0</v>
      </c>
      <c r="G736" s="1240"/>
    </row>
    <row r="737" spans="1:8" s="1241" customFormat="1" ht="39.75" hidden="1" customHeight="1">
      <c r="A737" s="1233">
        <f>buildingfinal!A736</f>
        <v>384</v>
      </c>
      <c r="B737" s="1521">
        <f>buildingfinal!Q736</f>
        <v>0</v>
      </c>
      <c r="C737" s="1239" t="str">
        <f>buildingfinal!B736</f>
        <v>S&amp;F of PVC flushing cistern</v>
      </c>
      <c r="D737" s="1235">
        <f>buildingfinal!C736</f>
        <v>1786.45</v>
      </c>
      <c r="E737" s="1235" t="str">
        <f>buildingfinal!D736</f>
        <v>Each</v>
      </c>
      <c r="F737" s="1235">
        <f t="shared" si="35"/>
        <v>0</v>
      </c>
      <c r="G737" s="1240">
        <f>buildingfinal!R738</f>
        <v>15766.83</v>
      </c>
      <c r="H737" s="1216">
        <f t="shared" ref="H737:H742" si="38">F737-G737</f>
        <v>-15766.83</v>
      </c>
    </row>
    <row r="738" spans="1:8" s="1241" customFormat="1" ht="42" hidden="1" customHeight="1">
      <c r="A738" s="1233">
        <f>buildingfinal!A737</f>
        <v>385</v>
      </c>
      <c r="B738" s="1521">
        <f>buildingfinal!Q737</f>
        <v>0</v>
      </c>
      <c r="C738" s="1239" t="str">
        <f>buildingfinal!B737</f>
        <v>S&amp;F of cloth drying arrangement</v>
      </c>
      <c r="D738" s="1235">
        <f>buildingfinal!C737</f>
        <v>847.52</v>
      </c>
      <c r="E738" s="1235" t="str">
        <f>buildingfinal!D737</f>
        <v>Each</v>
      </c>
      <c r="F738" s="1235">
        <f t="shared" si="35"/>
        <v>0</v>
      </c>
      <c r="G738" s="1240">
        <f>buildingfinal!R739</f>
        <v>19431</v>
      </c>
      <c r="H738" s="1216">
        <f t="shared" si="38"/>
        <v>-19431</v>
      </c>
    </row>
    <row r="739" spans="1:8" s="1241" customFormat="1" ht="30.75" customHeight="1">
      <c r="A739" s="1233">
        <f>buildingfinal!A738</f>
        <v>238.1</v>
      </c>
      <c r="B739" s="1521">
        <f>buildingfinal!Q738</f>
        <v>5.3369999999999997</v>
      </c>
      <c r="C739" s="1239" t="str">
        <f>buildingfinal!B738</f>
        <v>Anticorrosive treatment for window grills</v>
      </c>
      <c r="D739" s="1235">
        <f>buildingfinal!C738</f>
        <v>2954.25</v>
      </c>
      <c r="E739" s="1235" t="str">
        <f>buildingfinal!D738</f>
        <v>MT</v>
      </c>
      <c r="F739" s="1235">
        <f t="shared" si="35"/>
        <v>15766.83</v>
      </c>
      <c r="G739" s="1240">
        <f>buildingfinal!R740</f>
        <v>1309</v>
      </c>
      <c r="H739" s="1216">
        <f t="shared" si="38"/>
        <v>14457.83</v>
      </c>
    </row>
    <row r="740" spans="1:8" s="1241" customFormat="1" ht="35.25" customHeight="1">
      <c r="A740" s="1233">
        <f>buildingfinal!A739</f>
        <v>71.2</v>
      </c>
      <c r="B740" s="1521">
        <f>buildingfinal!Q739</f>
        <v>9</v>
      </c>
      <c r="C740" s="1239" t="str">
        <f>buildingfinal!B739</f>
        <v>Supplying and fixing of 32 AMPS Triple pole main switch</v>
      </c>
      <c r="D740" s="1235">
        <f>buildingfinal!C739</f>
        <v>2159</v>
      </c>
      <c r="E740" s="1235" t="str">
        <f>buildingfinal!D739</f>
        <v>Each</v>
      </c>
      <c r="F740" s="1235">
        <f t="shared" si="35"/>
        <v>19431</v>
      </c>
      <c r="G740" s="1240">
        <f>buildingfinal!R741</f>
        <v>0</v>
      </c>
      <c r="H740" s="1216">
        <f t="shared" si="38"/>
        <v>19431</v>
      </c>
    </row>
    <row r="741" spans="1:8" s="1241" customFormat="1" ht="30.75" customHeight="1">
      <c r="A741" s="1233">
        <f>buildingfinal!A740</f>
        <v>80.099999999999994</v>
      </c>
      <c r="B741" s="1521">
        <f>buildingfinal!Q740</f>
        <v>1</v>
      </c>
      <c r="C741" s="1239" t="str">
        <f>buildingfinal!B740</f>
        <v>450 x 375 x 20 mm   thick TW plank</v>
      </c>
      <c r="D741" s="1235">
        <f>buildingfinal!C740</f>
        <v>1309</v>
      </c>
      <c r="E741" s="1235" t="str">
        <f>buildingfinal!D740</f>
        <v>Each</v>
      </c>
      <c r="F741" s="1235">
        <f t="shared" si="35"/>
        <v>1309</v>
      </c>
      <c r="G741" s="1240">
        <f>buildingfinal!R742</f>
        <v>0</v>
      </c>
      <c r="H741" s="1216">
        <f t="shared" si="38"/>
        <v>1309</v>
      </c>
    </row>
    <row r="742" spans="1:8" s="1241" customFormat="1" ht="42" hidden="1" customHeight="1">
      <c r="A742" s="1233">
        <f>buildingfinal!A741</f>
        <v>0</v>
      </c>
      <c r="B742" s="1521">
        <f>buildingfinal!Q741</f>
        <v>0</v>
      </c>
      <c r="C742" s="1239" t="str">
        <f>buildingfinal!B741</f>
        <v>3 Nos.of 32Amps - Fuse Unit</v>
      </c>
      <c r="D742" s="1235">
        <f>buildingfinal!C741</f>
        <v>825</v>
      </c>
      <c r="E742" s="1235" t="str">
        <f>buildingfinal!D741</f>
        <v>Each</v>
      </c>
      <c r="F742" s="1235">
        <f t="shared" si="35"/>
        <v>0</v>
      </c>
      <c r="G742" s="1240">
        <f>buildingfinal!R743</f>
        <v>0</v>
      </c>
      <c r="H742" s="1216">
        <f t="shared" si="38"/>
        <v>0</v>
      </c>
    </row>
    <row r="743" spans="1:8" s="1241" customFormat="1" ht="38.25" hidden="1" customHeight="1">
      <c r="A743" s="1233">
        <f>buildingfinal!A742</f>
        <v>0</v>
      </c>
      <c r="B743" s="1521">
        <f>buildingfinal!Q742</f>
        <v>0</v>
      </c>
      <c r="C743" s="1239" t="str">
        <f>buildingfinal!B742</f>
        <v>1 Nos.of 32Amps - Fuse Unit</v>
      </c>
      <c r="D743" s="1235">
        <f>buildingfinal!C742</f>
        <v>550</v>
      </c>
      <c r="E743" s="1235" t="str">
        <f>buildingfinal!D742</f>
        <v>Each</v>
      </c>
      <c r="F743" s="1235">
        <f t="shared" si="35"/>
        <v>0</v>
      </c>
      <c r="G743" s="1240"/>
    </row>
    <row r="744" spans="1:8" s="1241" customFormat="1" ht="45" hidden="1" customHeight="1">
      <c r="A744" s="1233">
        <f>buildingfinal!A743</f>
        <v>87.1</v>
      </c>
      <c r="B744" s="1521">
        <f>buildingfinal!Q743</f>
        <v>0</v>
      </c>
      <c r="C744" s="1239" t="str">
        <f>buildingfinal!B743</f>
        <v>Supplying and delivery of Three phase ELCB/RCCB</v>
      </c>
      <c r="D744" s="1235">
        <f>buildingfinal!C743</f>
        <v>3068.5</v>
      </c>
      <c r="E744" s="1235" t="str">
        <f>buildingfinal!D743</f>
        <v>Each</v>
      </c>
      <c r="F744" s="1235">
        <f t="shared" si="35"/>
        <v>0</v>
      </c>
      <c r="G744" s="1240">
        <f>buildingfinal!R745</f>
        <v>900405.73</v>
      </c>
      <c r="H744" s="1216">
        <f t="shared" ref="H744:H745" si="39">F744-G744</f>
        <v>-900405.73</v>
      </c>
    </row>
    <row r="745" spans="1:8" s="1241" customFormat="1" ht="42.75" hidden="1" customHeight="1">
      <c r="A745" s="1233">
        <f>buildingfinal!A744</f>
        <v>0</v>
      </c>
      <c r="B745" s="1521">
        <f>buildingfinal!Q744</f>
        <v>0</v>
      </c>
      <c r="C745" s="1239" t="str">
        <f>buildingfinal!B744</f>
        <v>Supply of G.I pipe 40mm dia 'B' Class</v>
      </c>
      <c r="D745" s="1235">
        <f>buildingfinal!C744</f>
        <v>165</v>
      </c>
      <c r="E745" s="1235" t="str">
        <f>buildingfinal!D744</f>
        <v>Rmt</v>
      </c>
      <c r="F745" s="1235">
        <f t="shared" si="35"/>
        <v>0</v>
      </c>
      <c r="G745" s="1240">
        <f>buildingfinal!R746</f>
        <v>374517.96</v>
      </c>
      <c r="H745" s="1216">
        <f t="shared" si="39"/>
        <v>-374517.96</v>
      </c>
    </row>
    <row r="746" spans="1:8" s="1241" customFormat="1" ht="40.5" customHeight="1">
      <c r="A746" s="1233">
        <f>buildingfinal!A745</f>
        <v>0</v>
      </c>
      <c r="B746" s="1521">
        <f>buildingfinal!Q745</f>
        <v>3766.6</v>
      </c>
      <c r="C746" s="1239" t="str">
        <f>buildingfinal!B745</f>
        <v xml:space="preserve">Providing  two coats of Plastic Emulsion PAINT including primer for inner walls </v>
      </c>
      <c r="D746" s="1235">
        <f>buildingfinal!C745</f>
        <v>239.05</v>
      </c>
      <c r="E746" s="1235" t="str">
        <f>buildingfinal!D745</f>
        <v>Sqm</v>
      </c>
      <c r="F746" s="1235">
        <f t="shared" si="35"/>
        <v>900405.73</v>
      </c>
      <c r="G746" s="1240"/>
    </row>
    <row r="747" spans="1:8" s="1241" customFormat="1" ht="40.5" customHeight="1">
      <c r="A747" s="1233">
        <f>buildingfinal!A746</f>
        <v>0</v>
      </c>
      <c r="B747" s="1521">
        <f>buildingfinal!Q746</f>
        <v>1556.6</v>
      </c>
      <c r="C747" s="1239" t="str">
        <f>buildingfinal!B746</f>
        <v xml:space="preserve">Providing  two coats of Exterior Emulsion PAINT including primer for outer walls </v>
      </c>
      <c r="D747" s="1235">
        <f>buildingfinal!C746</f>
        <v>240.6</v>
      </c>
      <c r="E747" s="1235" t="str">
        <f>buildingfinal!D746</f>
        <v>Sqm</v>
      </c>
      <c r="F747" s="1235">
        <f t="shared" si="35"/>
        <v>374517.96</v>
      </c>
      <c r="G747" s="1240"/>
    </row>
    <row r="748" spans="1:8" s="1241" customFormat="1" ht="30" hidden="1">
      <c r="A748" s="1233" t="str">
        <f>buildingfinal!A747</f>
        <v>38.4.1</v>
      </c>
      <c r="B748" s="1521">
        <f>buildingfinal!Q747</f>
        <v>0</v>
      </c>
      <c r="C748" s="1239" t="str">
        <f>buildingfinal!B747</f>
        <v xml:space="preserve">Two coat of OBD over one coat white cement for inner walls </v>
      </c>
      <c r="D748" s="1235">
        <f>buildingfinal!C747</f>
        <v>130.34</v>
      </c>
      <c r="E748" s="1235" t="str">
        <f>buildingfinal!D747</f>
        <v>Sqm</v>
      </c>
      <c r="F748" s="1235">
        <f t="shared" si="35"/>
        <v>0</v>
      </c>
      <c r="G748" s="1240"/>
    </row>
    <row r="749" spans="1:8" s="1241" customFormat="1" ht="48.75" hidden="1" customHeight="1">
      <c r="A749" s="1233">
        <f>buildingfinal!A748</f>
        <v>0</v>
      </c>
      <c r="B749" s="1521">
        <f>buildingfinal!Q748</f>
        <v>0</v>
      </c>
      <c r="C749" s="1239" t="str">
        <f>buildingfinal!B748</f>
        <v>2 x 4 Sqmm Copper PVC insulated unsheathed single core 1 KV grade cable for EB service single phase.</v>
      </c>
      <c r="D749" s="1235">
        <f>buildingfinal!C748</f>
        <v>154.5</v>
      </c>
      <c r="E749" s="1235" t="str">
        <f>buildingfinal!D748</f>
        <v>Rmt</v>
      </c>
      <c r="F749" s="1235">
        <f t="shared" si="35"/>
        <v>0</v>
      </c>
      <c r="G749" s="1240">
        <f>buildingfinal!R750</f>
        <v>0</v>
      </c>
      <c r="H749" s="1216">
        <f t="shared" ref="H749:H751" si="40">F749-G749</f>
        <v>0</v>
      </c>
    </row>
    <row r="750" spans="1:8" s="1241" customFormat="1" ht="41.25" hidden="1" customHeight="1">
      <c r="A750" s="1233">
        <f>buildingfinal!A749</f>
        <v>0</v>
      </c>
      <c r="B750" s="1521">
        <f>buildingfinal!Q749</f>
        <v>0</v>
      </c>
      <c r="C750" s="1239" t="str">
        <f>buildingfinal!B749</f>
        <v>40 mm dia GI pipe "B"class</v>
      </c>
      <c r="D750" s="1235">
        <f>buildingfinal!C749</f>
        <v>165</v>
      </c>
      <c r="E750" s="1235" t="str">
        <f>buildingfinal!D749</f>
        <v>Rmt</v>
      </c>
      <c r="F750" s="1235">
        <f t="shared" si="35"/>
        <v>0</v>
      </c>
      <c r="G750" s="1240">
        <f>buildingfinal!R751</f>
        <v>333820.79999999999</v>
      </c>
      <c r="H750" s="1216">
        <f t="shared" si="40"/>
        <v>-333820.79999999999</v>
      </c>
    </row>
    <row r="751" spans="1:8" s="1241" customFormat="1" ht="45" hidden="1" customHeight="1">
      <c r="A751" s="1233">
        <f>buildingfinal!A750</f>
        <v>0</v>
      </c>
      <c r="B751" s="1521">
        <f>buildingfinal!Q750</f>
        <v>0</v>
      </c>
      <c r="C751" s="1239" t="str">
        <f>buildingfinal!B750</f>
        <v>S&amp;F of stainless steel sink 600mm x 450mm x 200mm PWD SR 22-23</v>
      </c>
      <c r="D751" s="1235">
        <f>buildingfinal!C750</f>
        <v>7140</v>
      </c>
      <c r="E751" s="1235" t="str">
        <f>buildingfinal!D750</f>
        <v>Each</v>
      </c>
      <c r="F751" s="1235">
        <f t="shared" si="35"/>
        <v>0</v>
      </c>
      <c r="G751" s="1240">
        <f>buildingfinal!R752</f>
        <v>0</v>
      </c>
      <c r="H751" s="1216">
        <f t="shared" si="40"/>
        <v>0</v>
      </c>
    </row>
    <row r="752" spans="1:8" s="1241" customFormat="1" ht="40.5" customHeight="1">
      <c r="A752" s="1233">
        <f>buildingfinal!A751</f>
        <v>0</v>
      </c>
      <c r="B752" s="1521">
        <f>buildingfinal!Q751</f>
        <v>60.3</v>
      </c>
      <c r="C752" s="1239" t="str">
        <f>buildingfinal!B751</f>
        <v>Supplying &amp; fixing of Stainless steel Hand Rails for Staircase (PWD SR 22-23/p-50)</v>
      </c>
      <c r="D752" s="1235">
        <f>buildingfinal!C751</f>
        <v>5536</v>
      </c>
      <c r="E752" s="1235" t="str">
        <f>buildingfinal!D751</f>
        <v>Sqm</v>
      </c>
      <c r="F752" s="1235">
        <f t="shared" si="35"/>
        <v>333820.79999999999</v>
      </c>
      <c r="G752" s="1240"/>
    </row>
    <row r="753" spans="1:8" s="1241" customFormat="1" ht="47.25" hidden="1" customHeight="1">
      <c r="A753" s="1233">
        <f>buildingfinal!A752</f>
        <v>0</v>
      </c>
      <c r="B753" s="1521">
        <f>buildingfinal!Q752</f>
        <v>0</v>
      </c>
      <c r="C753" s="1239" t="str">
        <f>buildingfinal!B752</f>
        <v>Supplying &amp; fixing of Stainless steel Hand Rails  for staircase wall side</v>
      </c>
      <c r="D753" s="1235">
        <f>buildingfinal!C752</f>
        <v>1843</v>
      </c>
      <c r="E753" s="1235" t="str">
        <f>buildingfinal!D752</f>
        <v>Sqm</v>
      </c>
      <c r="F753" s="1235">
        <f t="shared" si="35"/>
        <v>0</v>
      </c>
      <c r="G753" s="1240">
        <f>buildingfinal!R754</f>
        <v>66411.08</v>
      </c>
      <c r="H753" s="1216">
        <f t="shared" ref="H753:H754" si="41">F753-G753</f>
        <v>-66411.08</v>
      </c>
    </row>
    <row r="754" spans="1:8" s="1241" customFormat="1" ht="40.5" hidden="1" customHeight="1">
      <c r="A754" s="1233">
        <f>buildingfinal!A753</f>
        <v>448.2</v>
      </c>
      <c r="B754" s="1521">
        <f>buildingfinal!Q753</f>
        <v>0</v>
      </c>
      <c r="C754" s="1239" t="str">
        <f>buildingfinal!B753</f>
        <v xml:space="preserve">Providing PVC Tee with end cap </v>
      </c>
      <c r="D754" s="1235">
        <f>buildingfinal!C753</f>
        <v>142.96</v>
      </c>
      <c r="E754" s="1235" t="str">
        <f>buildingfinal!D753</f>
        <v>Each</v>
      </c>
      <c r="F754" s="1235">
        <f t="shared" si="35"/>
        <v>0</v>
      </c>
      <c r="G754" s="1240">
        <f>buildingfinal!R755</f>
        <v>18686.05</v>
      </c>
      <c r="H754" s="1216">
        <f t="shared" si="41"/>
        <v>-18686.05</v>
      </c>
    </row>
    <row r="755" spans="1:8" s="1241" customFormat="1" ht="40.5" customHeight="1">
      <c r="A755" s="1233">
        <f>buildingfinal!A754</f>
        <v>0</v>
      </c>
      <c r="B755" s="1521">
        <f>buildingfinal!Q754</f>
        <v>38</v>
      </c>
      <c r="C755" s="1239" t="str">
        <f>buildingfinal!B754</f>
        <v>Granite Tile wall cladding using 10mmtk  (Sinthetic Grey)  tile in C.M 1:2, 10mm tk .</v>
      </c>
      <c r="D755" s="1235">
        <f>buildingfinal!C754</f>
        <v>1747.66</v>
      </c>
      <c r="E755" s="1235" t="str">
        <f>buildingfinal!D754</f>
        <v>Sqm</v>
      </c>
      <c r="F755" s="1235">
        <f t="shared" si="35"/>
        <v>66411.08</v>
      </c>
      <c r="G755" s="1240"/>
    </row>
    <row r="756" spans="1:8" s="1241" customFormat="1" ht="40.5" customHeight="1">
      <c r="A756" s="1233">
        <f>buildingfinal!A755</f>
        <v>0</v>
      </c>
      <c r="B756" s="1521">
        <f>buildingfinal!Q755</f>
        <v>12.6</v>
      </c>
      <c r="C756" s="1239" t="str">
        <f>buildingfinal!B755</f>
        <v>Providing wooden Melamine polish for new wood work</v>
      </c>
      <c r="D756" s="1235">
        <f>buildingfinal!C755</f>
        <v>1483.02</v>
      </c>
      <c r="E756" s="1235" t="str">
        <f>buildingfinal!D755</f>
        <v>Sqm</v>
      </c>
      <c r="F756" s="1235">
        <f t="shared" si="35"/>
        <v>18686.05</v>
      </c>
      <c r="G756" s="1240">
        <f>buildingfinal!R757</f>
        <v>0</v>
      </c>
      <c r="H756" s="1216">
        <f t="shared" ref="H756:H757" si="42">F756-G756</f>
        <v>18686.05</v>
      </c>
    </row>
    <row r="757" spans="1:8" s="1241" customFormat="1" ht="39.75" hidden="1" customHeight="1">
      <c r="A757" s="1233">
        <f>buildingfinal!A756</f>
        <v>0</v>
      </c>
      <c r="B757" s="1521">
        <f>buildingfinal!Q756</f>
        <v>0</v>
      </c>
      <c r="C757" s="1239" t="str">
        <f>buildingfinal!B756</f>
        <v>Supply and Laying of Granite tile of 10mm thk (wall Cladding ) in C.M 1:2 Incl. Cost of Materials, Labours etc., all Including (Ruby Red) for lift potion</v>
      </c>
      <c r="D757" s="1235">
        <f>buildingfinal!C756</f>
        <v>1747.66</v>
      </c>
      <c r="E757" s="1235" t="str">
        <f>buildingfinal!D756</f>
        <v>Sqm</v>
      </c>
      <c r="F757" s="1235">
        <f t="shared" si="35"/>
        <v>0</v>
      </c>
      <c r="G757" s="1240">
        <f>buildingfinal!R758</f>
        <v>1599314.91</v>
      </c>
      <c r="H757" s="1216">
        <f t="shared" si="42"/>
        <v>-1599314.91</v>
      </c>
    </row>
    <row r="758" spans="1:8" s="1241" customFormat="1" ht="30" hidden="1">
      <c r="A758" s="1233">
        <f>buildingfinal!A757</f>
        <v>0</v>
      </c>
      <c r="B758" s="1521">
        <f>buildingfinal!Q757</f>
        <v>0</v>
      </c>
      <c r="C758" s="1239" t="str">
        <f>buildingfinal!B757</f>
        <v>Providing Shahabad stone flooring, C.M 1:3, 20mm tk</v>
      </c>
      <c r="D758" s="1235">
        <f>buildingfinal!C757</f>
        <v>1520.05</v>
      </c>
      <c r="E758" s="1235" t="str">
        <f>buildingfinal!D757</f>
        <v>sqm</v>
      </c>
      <c r="F758" s="1235">
        <f t="shared" si="35"/>
        <v>0</v>
      </c>
      <c r="G758" s="1240"/>
    </row>
    <row r="759" spans="1:8" s="1241" customFormat="1" ht="40.5" customHeight="1">
      <c r="A759" s="1233">
        <f>buildingfinal!A758</f>
        <v>0</v>
      </c>
      <c r="B759" s="1521">
        <f>buildingfinal!Q758</f>
        <v>1247</v>
      </c>
      <c r="C759" s="1239" t="str">
        <f>buildingfinal!B758</f>
        <v xml:space="preserve"> Vitrified Tiles  ( Ivory ) 600 x 600 x 8mm  Flooring in  C.M 1:3 </v>
      </c>
      <c r="D759" s="1235">
        <f>buildingfinal!C758</f>
        <v>1282.53</v>
      </c>
      <c r="E759" s="1235" t="str">
        <f>buildingfinal!D758</f>
        <v>Sqm</v>
      </c>
      <c r="F759" s="1235">
        <f t="shared" si="35"/>
        <v>1599314.91</v>
      </c>
      <c r="G759" s="1240">
        <f>buildingfinal!R760</f>
        <v>425303.75</v>
      </c>
      <c r="H759" s="1216">
        <f>F759-G759</f>
        <v>1174011.1599999999</v>
      </c>
    </row>
    <row r="760" spans="1:8" s="1241" customFormat="1" ht="60" hidden="1">
      <c r="A760" s="1233">
        <f>buildingfinal!A759</f>
        <v>0</v>
      </c>
      <c r="B760" s="1521">
        <f>buildingfinal!Q759</f>
        <v>0</v>
      </c>
      <c r="C760" s="1239" t="str">
        <f>buildingfinal!B759</f>
        <v>Supply and Laying of Nano Polish Virtified tile Flooring with 1st Quality homogeneous tiles in C.M 1:3 20mm Thick incl. pointing with Latricrete or Equivalent make Epoxy Stain Free (SP-100) grout</v>
      </c>
      <c r="D760" s="1235">
        <f>buildingfinal!C759</f>
        <v>1282.53</v>
      </c>
      <c r="E760" s="1235" t="str">
        <f>buildingfinal!D759</f>
        <v>Sqm</v>
      </c>
      <c r="F760" s="1235">
        <f t="shared" si="35"/>
        <v>0</v>
      </c>
      <c r="G760" s="1240"/>
    </row>
    <row r="761" spans="1:8" s="1241" customFormat="1" ht="34.5" customHeight="1">
      <c r="A761" s="1233">
        <f>buildingfinal!A760</f>
        <v>0</v>
      </c>
      <c r="B761" s="1521">
        <f>buildingfinal!Q760</f>
        <v>281.2</v>
      </c>
      <c r="C761" s="1239" t="str">
        <f>buildingfinal!B760</f>
        <v>Concrete designer tiles flooring</v>
      </c>
      <c r="D761" s="1235">
        <f>buildingfinal!C760</f>
        <v>1512.46</v>
      </c>
      <c r="E761" s="1235" t="str">
        <f>buildingfinal!D760</f>
        <v>Sqm</v>
      </c>
      <c r="F761" s="1235">
        <f t="shared" si="35"/>
        <v>425303.75</v>
      </c>
      <c r="G761" s="1240">
        <f>'[2]Abstract '!D759</f>
        <v>353</v>
      </c>
      <c r="H761" s="1216">
        <f>'[2]Abstract '!F759</f>
        <v>1412</v>
      </c>
    </row>
    <row r="762" spans="1:8" s="1241" customFormat="1" ht="30" hidden="1">
      <c r="A762" s="1233">
        <f>buildingfinal!A761</f>
        <v>0</v>
      </c>
      <c r="B762" s="1521">
        <f>buildingfinal!Q761</f>
        <v>0</v>
      </c>
      <c r="C762" s="1239" t="str">
        <f>buildingfinal!B761</f>
        <v>Supply and fixing of Granite tiles Jet black C.M 1:2, 10mm tk for Staircase wall portion</v>
      </c>
      <c r="D762" s="1235">
        <f>buildingfinal!C761</f>
        <v>1654.23</v>
      </c>
      <c r="E762" s="1235" t="str">
        <f>buildingfinal!D761</f>
        <v>Sqm</v>
      </c>
      <c r="F762" s="1235">
        <f t="shared" si="35"/>
        <v>0</v>
      </c>
      <c r="G762" s="1240"/>
    </row>
    <row r="763" spans="1:8" s="1241" customFormat="1" ht="17.25" hidden="1">
      <c r="A763" s="1233">
        <f>buildingfinal!A762</f>
        <v>0</v>
      </c>
      <c r="B763" s="1521">
        <f>buildingfinal!Q762</f>
        <v>0</v>
      </c>
      <c r="C763" s="1239" t="str">
        <f>buildingfinal!B762</f>
        <v>Supplying and fixing of Aluminium sliding window</v>
      </c>
      <c r="D763" s="1235">
        <f>buildingfinal!C762</f>
        <v>0</v>
      </c>
      <c r="E763" s="1235">
        <f>buildingfinal!D762</f>
        <v>0</v>
      </c>
      <c r="F763" s="1235">
        <f t="shared" si="35"/>
        <v>0</v>
      </c>
      <c r="G763" s="1240"/>
    </row>
    <row r="764" spans="1:8" s="1241" customFormat="1" ht="17.25" hidden="1">
      <c r="A764" s="1233">
        <f>buildingfinal!A763</f>
        <v>0</v>
      </c>
      <c r="B764" s="1521">
        <f>buildingfinal!Q763</f>
        <v>0</v>
      </c>
      <c r="C764" s="1239" t="str">
        <f>buildingfinal!B763</f>
        <v>a. 1.20x1.35m (Two track )</v>
      </c>
      <c r="D764" s="1235">
        <f>buildingfinal!C763</f>
        <v>3353.03</v>
      </c>
      <c r="E764" s="1235" t="str">
        <f>buildingfinal!D763</f>
        <v>Sqm</v>
      </c>
      <c r="F764" s="1235">
        <f t="shared" si="35"/>
        <v>0</v>
      </c>
      <c r="G764" s="1240"/>
    </row>
    <row r="765" spans="1:8" s="1241" customFormat="1" ht="17.25" hidden="1">
      <c r="A765" s="1233">
        <f>buildingfinal!A764</f>
        <v>0</v>
      </c>
      <c r="B765" s="1521">
        <f>buildingfinal!Q764</f>
        <v>0</v>
      </c>
      <c r="C765" s="1239" t="str">
        <f>buildingfinal!B764</f>
        <v>b. 2.40x1.80m (Two track)</v>
      </c>
      <c r="D765" s="1235">
        <f>buildingfinal!C764</f>
        <v>3169.22</v>
      </c>
      <c r="E765" s="1235" t="str">
        <f>buildingfinal!D764</f>
        <v>Sqm</v>
      </c>
      <c r="F765" s="1235">
        <f t="shared" si="35"/>
        <v>0</v>
      </c>
      <c r="G765" s="1240"/>
    </row>
    <row r="766" spans="1:8" s="1241" customFormat="1" ht="17.25" hidden="1">
      <c r="A766" s="1233">
        <f>buildingfinal!A765</f>
        <v>0</v>
      </c>
      <c r="B766" s="1521">
        <f>buildingfinal!Q765</f>
        <v>0</v>
      </c>
      <c r="C766" s="1239" t="str">
        <f>buildingfinal!B765</f>
        <v>c. 2.40x1.05m (Two track)</v>
      </c>
      <c r="D766" s="1235">
        <f>buildingfinal!C765</f>
        <v>4048</v>
      </c>
      <c r="E766" s="1235" t="str">
        <f>buildingfinal!D765</f>
        <v>Sqm</v>
      </c>
      <c r="F766" s="1235">
        <f t="shared" si="35"/>
        <v>0</v>
      </c>
      <c r="G766" s="1240"/>
    </row>
    <row r="767" spans="1:8" s="1241" customFormat="1" ht="17.25" hidden="1">
      <c r="A767" s="1233">
        <f>buildingfinal!A766</f>
        <v>0</v>
      </c>
      <c r="B767" s="1521">
        <f>buildingfinal!Q766</f>
        <v>0</v>
      </c>
      <c r="C767" s="1239" t="str">
        <f>buildingfinal!B766</f>
        <v>d. 0.90x1.35m (Two track)</v>
      </c>
      <c r="D767" s="1235">
        <f>buildingfinal!C766</f>
        <v>3758.93</v>
      </c>
      <c r="E767" s="1235" t="str">
        <f>buildingfinal!D766</f>
        <v>Sqm</v>
      </c>
      <c r="F767" s="1235">
        <f t="shared" si="35"/>
        <v>0</v>
      </c>
      <c r="G767" s="1240"/>
    </row>
    <row r="768" spans="1:8" s="1241" customFormat="1" ht="30" hidden="1">
      <c r="A768" s="1233">
        <f>buildingfinal!A767</f>
        <v>0</v>
      </c>
      <c r="B768" s="1521">
        <f>buildingfinal!Q767</f>
        <v>0</v>
      </c>
      <c r="C768" s="1239" t="str">
        <f>buildingfinal!B767</f>
        <v>supplying and fixing of colour matt finish floor tiles of size 12"x12" ( for officers)</v>
      </c>
      <c r="D768" s="1235">
        <f>buildingfinal!C767</f>
        <v>1399.44</v>
      </c>
      <c r="E768" s="1235" t="str">
        <f>buildingfinal!D767</f>
        <v>Sqm.</v>
      </c>
      <c r="F768" s="1235">
        <f t="shared" si="35"/>
        <v>0</v>
      </c>
      <c r="G768" s="1240"/>
    </row>
    <row r="769" spans="1:8" s="1241" customFormat="1" ht="30" hidden="1">
      <c r="A769" s="1233">
        <f>buildingfinal!A768</f>
        <v>0</v>
      </c>
      <c r="B769" s="1521">
        <f>buildingfinal!Q768</f>
        <v>0</v>
      </c>
      <c r="C769" s="1239" t="str">
        <f>buildingfinal!B768</f>
        <v>supplying and fixing of colour matt finish floor tiles of size 12"x12" ( for wall tiles)</v>
      </c>
      <c r="D769" s="1235">
        <f>buildingfinal!C768</f>
        <v>2989.22</v>
      </c>
      <c r="E769" s="1235" t="str">
        <f>buildingfinal!D768</f>
        <v>Sqm.</v>
      </c>
      <c r="F769" s="1235">
        <f t="shared" si="35"/>
        <v>0</v>
      </c>
      <c r="G769" s="1240"/>
    </row>
    <row r="770" spans="1:8" s="1241" customFormat="1" ht="30" hidden="1">
      <c r="A770" s="1233" t="str">
        <f>buildingfinal!A769</f>
        <v>Spl. Data</v>
      </c>
      <c r="B770" s="1521">
        <f>buildingfinal!Q769</f>
        <v>0</v>
      </c>
      <c r="C770" s="1239" t="str">
        <f>buildingfinal!B769</f>
        <v>Providing wall panelling using 12mm BWR plywood over 2"x1" aluminium channel to be fixed on wall</v>
      </c>
      <c r="D770" s="1235">
        <f>buildingfinal!C769</f>
        <v>4656.42</v>
      </c>
      <c r="E770" s="1235" t="str">
        <f>buildingfinal!D769</f>
        <v>Sqm</v>
      </c>
      <c r="F770" s="1235">
        <f t="shared" si="35"/>
        <v>0</v>
      </c>
      <c r="G770" s="1240"/>
    </row>
    <row r="771" spans="1:8" s="1241" customFormat="1" ht="45">
      <c r="A771" s="1233">
        <f>buildingfinal!A770</f>
        <v>4.4000000000000004</v>
      </c>
      <c r="B771" s="1521">
        <f>buildingfinal!Q770</f>
        <v>56.7</v>
      </c>
      <c r="C771" s="1239" t="str">
        <f>buildingfinal!B770</f>
        <v>Supply of material and lab ourfor Mineralfbre 600mmx600mm Grid false ceiling work PWDSRP_54</v>
      </c>
      <c r="D771" s="1235">
        <f>buildingfinal!C770</f>
        <v>968</v>
      </c>
      <c r="E771" s="1235" t="str">
        <f>buildingfinal!D770</f>
        <v>Sqm</v>
      </c>
      <c r="F771" s="1235">
        <f t="shared" si="35"/>
        <v>54885.599999999999</v>
      </c>
      <c r="G771" s="1240"/>
    </row>
    <row r="772" spans="1:8" s="1241" customFormat="1" ht="30" hidden="1">
      <c r="A772" s="1233">
        <f>buildingfinal!A771</f>
        <v>0</v>
      </c>
      <c r="B772" s="1521">
        <f>buildingfinal!Q771</f>
        <v>0</v>
      </c>
      <c r="C772" s="1239" t="str">
        <f>buildingfinal!B771</f>
        <v>Supplying, fabricating, erecting and fixing  Gyp board false ceiling using perforated sheet 10mm thk</v>
      </c>
      <c r="D772" s="1235">
        <f>buildingfinal!C771</f>
        <v>990</v>
      </c>
      <c r="E772" s="1235" t="str">
        <f>buildingfinal!D771</f>
        <v>Sqm</v>
      </c>
      <c r="F772" s="1235">
        <f t="shared" si="35"/>
        <v>0</v>
      </c>
      <c r="G772" s="1240"/>
    </row>
    <row r="773" spans="1:8" s="1241" customFormat="1" ht="69.75" hidden="1" customHeight="1">
      <c r="A773" s="1233">
        <f>buildingfinal!A772</f>
        <v>0</v>
      </c>
      <c r="B773" s="1521">
        <f>buildingfinal!Q772</f>
        <v>0</v>
      </c>
      <c r="C773" s="1239" t="str">
        <f>buildingfinal!B772</f>
        <v>Supplying and fixing of 100mm dia GI pipe</v>
      </c>
      <c r="D773" s="1235">
        <f>buildingfinal!C772</f>
        <v>905</v>
      </c>
      <c r="E773" s="1235" t="str">
        <f>buildingfinal!D772</f>
        <v>Rmt</v>
      </c>
      <c r="F773" s="1235">
        <f t="shared" si="35"/>
        <v>0</v>
      </c>
      <c r="G773" s="1240">
        <f>buildingfinal!R774</f>
        <v>3409</v>
      </c>
      <c r="H773" s="1216">
        <f t="shared" ref="H773:H774" si="43">F773-G773</f>
        <v>-3409</v>
      </c>
    </row>
    <row r="774" spans="1:8" s="1241" customFormat="1" ht="40.5" customHeight="1">
      <c r="A774" s="1233">
        <f>buildingfinal!A773</f>
        <v>0</v>
      </c>
      <c r="B774" s="1521">
        <f>buildingfinal!Q773</f>
        <v>1</v>
      </c>
      <c r="C774" s="1239" t="str">
        <f>buildingfinal!B773</f>
        <v>Supplying and fixing of Geyser (Data -SD 103)</v>
      </c>
      <c r="D774" s="1235">
        <f>buildingfinal!C773</f>
        <v>7575</v>
      </c>
      <c r="E774" s="1235" t="str">
        <f>buildingfinal!D773</f>
        <v>Each</v>
      </c>
      <c r="F774" s="1235">
        <f t="shared" si="35"/>
        <v>7575</v>
      </c>
      <c r="G774" s="1240">
        <f>buildingfinal!R775</f>
        <v>0</v>
      </c>
      <c r="H774" s="1216">
        <f t="shared" si="43"/>
        <v>7575</v>
      </c>
    </row>
    <row r="775" spans="1:8" s="1241" customFormat="1" ht="73.5" customHeight="1">
      <c r="A775" s="1233">
        <f>buildingfinal!A774</f>
        <v>0</v>
      </c>
      <c r="B775" s="1521">
        <f>buildingfinal!Q774</f>
        <v>1</v>
      </c>
      <c r="C775" s="1239" t="str">
        <f>buildingfinal!B774</f>
        <v>Supplying and fixing of  CP wall mixer two in one (without telephone shower) including cost of all materials and all labour charges etc complete.
CER No.178/13-14</v>
      </c>
      <c r="D775" s="1235">
        <f>buildingfinal!C774</f>
        <v>3409</v>
      </c>
      <c r="E775" s="1235" t="str">
        <f>buildingfinal!D774</f>
        <v>Each</v>
      </c>
      <c r="F775" s="1235">
        <f t="shared" si="35"/>
        <v>3409</v>
      </c>
      <c r="G775" s="1240"/>
    </row>
    <row r="776" spans="1:8" s="1241" customFormat="1" ht="45" hidden="1">
      <c r="A776" s="1233">
        <f>buildingfinal!A775</f>
        <v>0</v>
      </c>
      <c r="B776" s="1521">
        <f>buildingfinal!Q775</f>
        <v>0</v>
      </c>
      <c r="C776" s="1239" t="str">
        <f>buildingfinal!B775</f>
        <v>Supplying and fixing of shower arm 9" long including cost of all materials and all labour charges etc. complete  PWD SR-2022-23,P-48</v>
      </c>
      <c r="D776" s="1235">
        <f>buildingfinal!C775</f>
        <v>1181</v>
      </c>
      <c r="E776" s="1235" t="str">
        <f>buildingfinal!D775</f>
        <v>Each</v>
      </c>
      <c r="F776" s="1235">
        <f t="shared" ref="F776:F839" si="44">D776*B776</f>
        <v>0</v>
      </c>
      <c r="G776" s="1240"/>
    </row>
    <row r="777" spans="1:8" s="1241" customFormat="1" ht="45" hidden="1">
      <c r="A777" s="1233">
        <f>buildingfinal!A776</f>
        <v>0</v>
      </c>
      <c r="B777" s="1521">
        <f>buildingfinal!Q776</f>
        <v>0</v>
      </c>
      <c r="C777" s="1239" t="str">
        <f>buildingfinal!B776</f>
        <v>Wiring with 1.5 sqmm PVC insulated single core multi strand fire retardant flexible copper cable with ISI mark confirming IS: 694:1990. (Modular)</v>
      </c>
      <c r="D777" s="1235">
        <f>buildingfinal!C776</f>
        <v>0</v>
      </c>
      <c r="E777" s="1235">
        <f>buildingfinal!D776</f>
        <v>0</v>
      </c>
      <c r="F777" s="1235">
        <f t="shared" si="44"/>
        <v>0</v>
      </c>
      <c r="G777" s="1240">
        <f>'[2]Abstract '!D775</f>
        <v>762</v>
      </c>
      <c r="H777" s="1216">
        <f>'[2]Abstract '!F775</f>
        <v>6096</v>
      </c>
    </row>
    <row r="778" spans="1:8" s="1241" customFormat="1" ht="17.25" hidden="1">
      <c r="A778" s="1233">
        <f>buildingfinal!A777</f>
        <v>0</v>
      </c>
      <c r="B778" s="1521">
        <f>buildingfinal!Q777</f>
        <v>0</v>
      </c>
      <c r="C778" s="1239" t="str">
        <f>buildingfinal!B777</f>
        <v>a. Light point with ceiling rose</v>
      </c>
      <c r="D778" s="1235">
        <f>buildingfinal!C777</f>
        <v>1000.51</v>
      </c>
      <c r="E778" s="1235" t="str">
        <f>buildingfinal!D777</f>
        <v>Each</v>
      </c>
      <c r="F778" s="1235">
        <f t="shared" si="44"/>
        <v>0</v>
      </c>
      <c r="G778" s="1240"/>
    </row>
    <row r="779" spans="1:8" s="1241" customFormat="1" ht="17.25" hidden="1">
      <c r="A779" s="1233">
        <f>buildingfinal!A778</f>
        <v>0</v>
      </c>
      <c r="B779" s="1521">
        <f>buildingfinal!Q778</f>
        <v>0</v>
      </c>
      <c r="C779" s="1239" t="str">
        <f>buildingfinal!B778</f>
        <v>b. Light point without ceiling rose</v>
      </c>
      <c r="D779" s="1235">
        <f>buildingfinal!C778</f>
        <v>1003.51</v>
      </c>
      <c r="E779" s="1235" t="str">
        <f>buildingfinal!D778</f>
        <v>Each</v>
      </c>
      <c r="F779" s="1235">
        <f t="shared" si="44"/>
        <v>0</v>
      </c>
      <c r="G779" s="1240"/>
    </row>
    <row r="780" spans="1:8" s="1241" customFormat="1" ht="60" hidden="1">
      <c r="A780" s="1233">
        <f>buildingfinal!A779</f>
        <v>0</v>
      </c>
      <c r="B780" s="1521">
        <f>buildingfinal!Q779</f>
        <v>0</v>
      </c>
      <c r="C780" s="1239" t="str">
        <f>buildingfinal!B779</f>
        <v>Wiring with 1.5 sqmm PVC insulated single core multi strand fire retardant flexible copper cable with ISI mark confirming IS: 694:1990 for 5 amps 5 pin Modular plug socket point @ Convenient Places.</v>
      </c>
      <c r="D780" s="1235">
        <f>buildingfinal!C779</f>
        <v>769.3</v>
      </c>
      <c r="E780" s="1235" t="str">
        <f>buildingfinal!D779</f>
        <v>Each</v>
      </c>
      <c r="F780" s="1235">
        <f t="shared" si="44"/>
        <v>0</v>
      </c>
      <c r="G780" s="1240"/>
    </row>
    <row r="781" spans="1:8" s="1241" customFormat="1" ht="60" hidden="1">
      <c r="A781" s="1233">
        <f>buildingfinal!A780</f>
        <v>0</v>
      </c>
      <c r="B781" s="1521">
        <f>buildingfinal!Q780</f>
        <v>0</v>
      </c>
      <c r="C781" s="1239" t="str">
        <f>buildingfinal!B780</f>
        <v>Wiring with 1.5 sqmm PVC insulated single core multi strand fire retardant flexible copper cable with ISI mark confirming IS: 694:1990 for 5 amps 5 pin Modular plug socket point @ Switch Board Itself.</v>
      </c>
      <c r="D781" s="1235">
        <f>buildingfinal!C780</f>
        <v>536.54999999999995</v>
      </c>
      <c r="E781" s="1235" t="str">
        <f>buildingfinal!D780</f>
        <v>Each</v>
      </c>
      <c r="F781" s="1235">
        <f t="shared" si="44"/>
        <v>0</v>
      </c>
      <c r="G781" s="1240"/>
    </row>
    <row r="782" spans="1:8" s="1241" customFormat="1" ht="30" hidden="1">
      <c r="A782" s="1233">
        <f>buildingfinal!A781</f>
        <v>0</v>
      </c>
      <c r="B782" s="1521">
        <f>buildingfinal!Q781</f>
        <v>0</v>
      </c>
      <c r="C782" s="1239" t="str">
        <f>buildingfinal!B781</f>
        <v>Supplying and laying of 3.5 core 70 sq.mm PVC armoured LTUG cable (below GL) SD-207</v>
      </c>
      <c r="D782" s="1235">
        <f>buildingfinal!C781</f>
        <v>675</v>
      </c>
      <c r="E782" s="1235" t="str">
        <f>buildingfinal!D781</f>
        <v>RMT</v>
      </c>
      <c r="F782" s="1235">
        <f t="shared" si="44"/>
        <v>0</v>
      </c>
      <c r="G782" s="1240"/>
    </row>
    <row r="783" spans="1:8" s="1241" customFormat="1" ht="17.25" hidden="1">
      <c r="A783" s="1233">
        <f>buildingfinal!A782</f>
        <v>0</v>
      </c>
      <c r="B783" s="1521">
        <f>buildingfinal!Q782</f>
        <v>0</v>
      </c>
      <c r="C783" s="1239" t="str">
        <f>buildingfinal!B782</f>
        <v>S&amp;F 3.5 X 70mm LTUG CABLE Above GL</v>
      </c>
      <c r="D783" s="1235">
        <f>buildingfinal!C782</f>
        <v>435</v>
      </c>
      <c r="E783" s="1235" t="str">
        <f>buildingfinal!D782</f>
        <v>RMT</v>
      </c>
      <c r="F783" s="1235">
        <f t="shared" si="44"/>
        <v>0</v>
      </c>
      <c r="G783" s="1240"/>
    </row>
    <row r="784" spans="1:8" s="1241" customFormat="1" ht="17.25" hidden="1">
      <c r="A784" s="1233">
        <f>buildingfinal!A783</f>
        <v>0</v>
      </c>
      <c r="B784" s="1521">
        <f>buildingfinal!Q783</f>
        <v>0</v>
      </c>
      <c r="C784" s="1239" t="str">
        <f>buildingfinal!B783</f>
        <v>S&amp;F 3.5 X 35mm LTUG CABLE Above GL</v>
      </c>
      <c r="D784" s="1235">
        <f>buildingfinal!C783</f>
        <v>356</v>
      </c>
      <c r="E784" s="1235" t="str">
        <f>buildingfinal!D783</f>
        <v>RMT</v>
      </c>
      <c r="F784" s="1235">
        <f t="shared" si="44"/>
        <v>0</v>
      </c>
      <c r="G784" s="1240"/>
    </row>
    <row r="785" spans="1:8" s="1241" customFormat="1" ht="17.25" hidden="1">
      <c r="A785" s="1233">
        <f>buildingfinal!A784</f>
        <v>0</v>
      </c>
      <c r="B785" s="1521">
        <f>buildingfinal!Q784</f>
        <v>0</v>
      </c>
      <c r="C785" s="1239" t="str">
        <f>buildingfinal!B784</f>
        <v>S&amp;F 3.5 X 25mm LTUG CABLE Above GL</v>
      </c>
      <c r="D785" s="1235">
        <f>buildingfinal!C784</f>
        <v>317</v>
      </c>
      <c r="E785" s="1235" t="str">
        <f>buildingfinal!D784</f>
        <v>RMT</v>
      </c>
      <c r="F785" s="1235">
        <f t="shared" si="44"/>
        <v>0</v>
      </c>
      <c r="G785" s="1240"/>
    </row>
    <row r="786" spans="1:8" s="1241" customFormat="1" ht="17.25" hidden="1">
      <c r="A786" s="1233">
        <f>buildingfinal!A785</f>
        <v>0</v>
      </c>
      <c r="B786" s="1521">
        <f>buildingfinal!Q785</f>
        <v>0</v>
      </c>
      <c r="C786" s="1239" t="str">
        <f>buildingfinal!B785</f>
        <v>S&amp;F 2X6 Sq.mm LTUG CABLE</v>
      </c>
      <c r="D786" s="1235">
        <f>buildingfinal!C785</f>
        <v>176.84</v>
      </c>
      <c r="E786" s="1235" t="str">
        <f>buildingfinal!D785</f>
        <v>Rmt</v>
      </c>
      <c r="F786" s="1235">
        <f t="shared" si="44"/>
        <v>0</v>
      </c>
      <c r="G786" s="1240"/>
    </row>
    <row r="787" spans="1:8" ht="45" hidden="1">
      <c r="A787" s="1233">
        <f>buildingfinal!A786</f>
        <v>0</v>
      </c>
      <c r="B787" s="1521">
        <f>buildingfinal!Q786</f>
        <v>0</v>
      </c>
      <c r="C787" s="1239" t="str">
        <f>buildingfinal!B786</f>
        <v>Supplying and fixing of brass cable gland suitable for 3.5 core 70 Sqmm PVC armoured LTUG cable  SD 189</v>
      </c>
      <c r="D787" s="1235">
        <f>buildingfinal!C786</f>
        <v>463</v>
      </c>
      <c r="E787" s="1235" t="str">
        <f>buildingfinal!D786</f>
        <v>Each</v>
      </c>
      <c r="F787" s="1235">
        <f t="shared" si="44"/>
        <v>0</v>
      </c>
      <c r="G787" s="1240"/>
      <c r="H787" s="1217"/>
    </row>
    <row r="788" spans="1:8" ht="30" hidden="1">
      <c r="A788" s="1233">
        <f>buildingfinal!A787</f>
        <v>0</v>
      </c>
      <c r="B788" s="1521">
        <f>buildingfinal!Q787</f>
        <v>0</v>
      </c>
      <c r="C788" s="1239" t="str">
        <f>buildingfinal!B787</f>
        <v xml:space="preserve">Supplying and fixing of end termination suitable for 3.5 core 70 Sqmm PVC armoured LTUG cable </v>
      </c>
      <c r="D788" s="1235">
        <f>buildingfinal!C787</f>
        <v>293</v>
      </c>
      <c r="E788" s="1235" t="str">
        <f>buildingfinal!D787</f>
        <v>Each</v>
      </c>
      <c r="F788" s="1235">
        <f t="shared" si="44"/>
        <v>0</v>
      </c>
      <c r="G788" s="1240"/>
      <c r="H788" s="1217"/>
    </row>
    <row r="789" spans="1:8" hidden="1">
      <c r="A789" s="1233">
        <f>buildingfinal!A788</f>
        <v>0</v>
      </c>
      <c r="B789" s="1521">
        <f>buildingfinal!Q788</f>
        <v>0</v>
      </c>
      <c r="C789" s="1239" t="str">
        <f>buildingfinal!B788</f>
        <v>FW 1.80 x 1.65 m ( Eight Leaves)</v>
      </c>
      <c r="D789" s="1235">
        <f>buildingfinal!C788</f>
        <v>6324.28</v>
      </c>
      <c r="E789" s="1235" t="str">
        <f>buildingfinal!D788</f>
        <v>Sqm</v>
      </c>
      <c r="F789" s="1235">
        <f t="shared" si="44"/>
        <v>0</v>
      </c>
      <c r="G789" s="1240"/>
      <c r="H789" s="1217"/>
    </row>
    <row r="790" spans="1:8" hidden="1">
      <c r="A790" s="1233">
        <f>buildingfinal!A789</f>
        <v>0</v>
      </c>
      <c r="B790" s="1521">
        <f>buildingfinal!Q789</f>
        <v>0</v>
      </c>
      <c r="C790" s="1239" t="str">
        <f>buildingfinal!B789</f>
        <v>1.80 x 1.35 mt.window (Three leaves)</v>
      </c>
      <c r="D790" s="1235">
        <f>buildingfinal!C789</f>
        <v>0</v>
      </c>
      <c r="E790" s="1235" t="str">
        <f>buildingfinal!D789</f>
        <v>Sqm</v>
      </c>
      <c r="F790" s="1235">
        <f t="shared" si="44"/>
        <v>0</v>
      </c>
      <c r="G790" s="1240"/>
      <c r="H790" s="1217"/>
    </row>
    <row r="791" spans="1:8" hidden="1">
      <c r="A791" s="1233">
        <f>buildingfinal!A790</f>
        <v>0</v>
      </c>
      <c r="B791" s="1521">
        <f>buildingfinal!Q790</f>
        <v>0</v>
      </c>
      <c r="C791" s="1239" t="str">
        <f>buildingfinal!B790</f>
        <v>KW 1.20 x 1.05 m (Two leaves)</v>
      </c>
      <c r="D791" s="1235">
        <f>buildingfinal!C790</f>
        <v>5668.5</v>
      </c>
      <c r="E791" s="1235" t="str">
        <f>buildingfinal!D790</f>
        <v>Sqm</v>
      </c>
      <c r="F791" s="1235">
        <f t="shared" si="44"/>
        <v>0</v>
      </c>
      <c r="G791" s="1240"/>
      <c r="H791" s="1217"/>
    </row>
    <row r="792" spans="1:8" s="1241" customFormat="1" ht="17.25" hidden="1">
      <c r="A792" s="1233">
        <f>buildingfinal!A791</f>
        <v>0</v>
      </c>
      <c r="B792" s="1521">
        <f>buildingfinal!Q791</f>
        <v>0</v>
      </c>
      <c r="C792" s="1239" t="str">
        <f>buildingfinal!B791</f>
        <v>1.50 x 1.35 mt.window  (three leaves)</v>
      </c>
      <c r="D792" s="1235">
        <f>buildingfinal!C791</f>
        <v>5660.6</v>
      </c>
      <c r="E792" s="1235" t="str">
        <f>buildingfinal!D791</f>
        <v>Sqm</v>
      </c>
      <c r="F792" s="1235">
        <f t="shared" si="44"/>
        <v>0</v>
      </c>
      <c r="G792" s="1240"/>
    </row>
    <row r="793" spans="1:8" s="1241" customFormat="1" ht="17.25" hidden="1">
      <c r="A793" s="1233">
        <f>buildingfinal!A792</f>
        <v>0</v>
      </c>
      <c r="B793" s="1521">
        <f>buildingfinal!Q792</f>
        <v>0</v>
      </c>
      <c r="C793" s="1239" t="str">
        <f>buildingfinal!B792</f>
        <v xml:space="preserve"> 0.75 x 1.35 mt.window  ( single leaf)</v>
      </c>
      <c r="D793" s="1235">
        <f>buildingfinal!C792</f>
        <v>4963.51</v>
      </c>
      <c r="E793" s="1235" t="str">
        <f>buildingfinal!D792</f>
        <v>Sqm</v>
      </c>
      <c r="F793" s="1235">
        <f t="shared" si="44"/>
        <v>0</v>
      </c>
      <c r="G793" s="1240"/>
    </row>
    <row r="794" spans="1:8" s="1241" customFormat="1" ht="30" hidden="1">
      <c r="A794" s="1233">
        <f>buildingfinal!A793</f>
        <v>0</v>
      </c>
      <c r="B794" s="1521">
        <f>buildingfinal!Q793</f>
        <v>0</v>
      </c>
      <c r="C794" s="1239" t="str">
        <f>buildingfinal!B793</f>
        <v xml:space="preserve">Aluminium window openable 1.35x1.35m (Two leaves)Cochin House </v>
      </c>
      <c r="D794" s="1235">
        <f>buildingfinal!C793</f>
        <v>0</v>
      </c>
      <c r="E794" s="1235" t="str">
        <f>buildingfinal!D793</f>
        <v>Sqm</v>
      </c>
      <c r="F794" s="1235">
        <f t="shared" si="44"/>
        <v>0</v>
      </c>
      <c r="G794" s="1240"/>
    </row>
    <row r="795" spans="1:8" s="1241" customFormat="1" ht="30" hidden="1">
      <c r="A795" s="1233">
        <f>buildingfinal!A794</f>
        <v>0</v>
      </c>
      <c r="B795" s="1521">
        <f>buildingfinal!Q794</f>
        <v>0</v>
      </c>
      <c r="C795" s="1239" t="str">
        <f>buildingfinal!B794</f>
        <v>Aluminium window openable 1.35x1.05m (Two leaves)</v>
      </c>
      <c r="D795" s="1235">
        <f>buildingfinal!C794</f>
        <v>0</v>
      </c>
      <c r="E795" s="1235" t="str">
        <f>buildingfinal!D794</f>
        <v>Sqm</v>
      </c>
      <c r="F795" s="1235">
        <f t="shared" si="44"/>
        <v>0</v>
      </c>
      <c r="G795" s="1240">
        <f>'[2]Abstract '!D793</f>
        <v>6893</v>
      </c>
      <c r="H795" s="1216">
        <f>'[2]Abstract '!F793</f>
        <v>35154.300000000003</v>
      </c>
    </row>
    <row r="796" spans="1:8" s="1241" customFormat="1" ht="30" hidden="1">
      <c r="A796" s="1233">
        <f>buildingfinal!A795</f>
        <v>0</v>
      </c>
      <c r="B796" s="1521">
        <f>buildingfinal!Q795</f>
        <v>0</v>
      </c>
      <c r="C796" s="1239" t="str">
        <f>buildingfinal!B795</f>
        <v>Aluminium window openable 1.2x1.35m (Two leaves)</v>
      </c>
      <c r="D796" s="1235">
        <f>buildingfinal!C795</f>
        <v>0</v>
      </c>
      <c r="E796" s="1235" t="str">
        <f>buildingfinal!D795</f>
        <v>Sqm</v>
      </c>
      <c r="F796" s="1235">
        <f t="shared" si="44"/>
        <v>0</v>
      </c>
      <c r="G796" s="1240">
        <f>'[2]Abstract '!D794</f>
        <v>6363</v>
      </c>
      <c r="H796" s="1216">
        <f>'[2]Abstract '!F794</f>
        <v>458136</v>
      </c>
    </row>
    <row r="797" spans="1:8" s="1241" customFormat="1" ht="45" hidden="1">
      <c r="A797" s="1233">
        <f>buildingfinal!A796</f>
        <v>0</v>
      </c>
      <c r="B797" s="1521">
        <f>buildingfinal!Q796</f>
        <v>0</v>
      </c>
      <c r="C797" s="1239" t="str">
        <f>buildingfinal!B796</f>
        <v>Aluminium window openable 1.80 x 1.65 m =2.97m2 FRENCH WINDOW (Reference Data Nagapattinam AR - Ph-xix</v>
      </c>
      <c r="D797" s="1235">
        <f>buildingfinal!C796</f>
        <v>5078.75</v>
      </c>
      <c r="E797" s="1235" t="str">
        <f>buildingfinal!D796</f>
        <v>Sqm</v>
      </c>
      <c r="F797" s="1235">
        <f t="shared" si="44"/>
        <v>0</v>
      </c>
      <c r="G797" s="1240"/>
    </row>
    <row r="798" spans="1:8" s="1241" customFormat="1" ht="60" hidden="1">
      <c r="A798" s="1233">
        <f>buildingfinal!A797</f>
        <v>0</v>
      </c>
      <c r="B798" s="1521">
        <f>buildingfinal!Q797</f>
        <v>0</v>
      </c>
      <c r="C798" s="1239" t="str">
        <f>buildingfinal!B797</f>
        <v>Supply and fixing of 100 amps TPN sheet double break switch with HRC fuse and neutral on suitable angle iron frame work with MS cable entry boxes and PWD earthing(SR-14-15(p-65)</v>
      </c>
      <c r="D798" s="1235">
        <f>buildingfinal!C797</f>
        <v>6950</v>
      </c>
      <c r="E798" s="1235" t="str">
        <f>buildingfinal!D797</f>
        <v>Each</v>
      </c>
      <c r="F798" s="1235">
        <f t="shared" si="44"/>
        <v>0</v>
      </c>
      <c r="G798" s="1240"/>
    </row>
    <row r="799" spans="1:8" s="1241" customFormat="1" ht="30" hidden="1">
      <c r="A799" s="1233">
        <f>buildingfinal!A798</f>
        <v>0</v>
      </c>
      <c r="B799" s="1521">
        <f>buildingfinal!Q798</f>
        <v>0</v>
      </c>
      <c r="C799" s="1239" t="str">
        <f>buildingfinal!B798</f>
        <v>Supply and fixing of 200 amps fuse unit 
SRP-66</v>
      </c>
      <c r="D799" s="1235">
        <f>buildingfinal!C798</f>
        <v>634</v>
      </c>
      <c r="E799" s="1235" t="str">
        <f>buildingfinal!D798</f>
        <v>Each</v>
      </c>
      <c r="F799" s="1235">
        <f t="shared" si="44"/>
        <v>0</v>
      </c>
      <c r="G799" s="1240">
        <f>'[2]Abstract '!D797</f>
        <v>0</v>
      </c>
      <c r="H799" s="1216">
        <f>'[2]Abstract '!F797</f>
        <v>0</v>
      </c>
    </row>
    <row r="800" spans="1:8" s="1241" customFormat="1" ht="45" hidden="1">
      <c r="A800" s="1233">
        <f>buildingfinal!A799</f>
        <v>0</v>
      </c>
      <c r="B800" s="1521">
        <f>buildingfinal!Q799</f>
        <v>0</v>
      </c>
      <c r="C800" s="1239" t="str">
        <f>buildingfinal!B799</f>
        <v>Supply and fixing of 200 amps TPN switch with HRC fuses sheet steel double break
SRP-65, 3 ©</v>
      </c>
      <c r="D800" s="1235">
        <f>buildingfinal!C799</f>
        <v>9470</v>
      </c>
      <c r="E800" s="1235" t="str">
        <f>buildingfinal!D799</f>
        <v>Each</v>
      </c>
      <c r="F800" s="1235">
        <f t="shared" si="44"/>
        <v>0</v>
      </c>
      <c r="G800" s="1240"/>
    </row>
    <row r="801" spans="1:8" s="1241" customFormat="1" ht="30" hidden="1">
      <c r="A801" s="1233">
        <f>buildingfinal!A800</f>
        <v>0</v>
      </c>
      <c r="B801" s="1521">
        <f>buildingfinal!Q800</f>
        <v>0</v>
      </c>
      <c r="C801" s="1239" t="str">
        <f>buildingfinal!B800</f>
        <v>Supply and fixing of 250 amps cubical type panel board</v>
      </c>
      <c r="D801" s="1235">
        <f>buildingfinal!C800</f>
        <v>293</v>
      </c>
      <c r="E801" s="1235" t="str">
        <f>buildingfinal!D800</f>
        <v>Each</v>
      </c>
      <c r="F801" s="1235">
        <f t="shared" si="44"/>
        <v>0</v>
      </c>
      <c r="G801" s="1240"/>
    </row>
    <row r="802" spans="1:8" s="1241" customFormat="1" ht="45" hidden="1">
      <c r="A802" s="1233">
        <f>buildingfinal!A801</f>
        <v>0</v>
      </c>
      <c r="B802" s="1521">
        <f>buildingfinal!Q801</f>
        <v>0</v>
      </c>
      <c r="C802" s="1239" t="str">
        <f>buildingfinal!B801</f>
        <v xml:space="preserve">Supplying and fixing of  SS Soap Tray  including cost of all materials and all labour charges etc complete </v>
      </c>
      <c r="D802" s="1235">
        <f>buildingfinal!C801</f>
        <v>704.75</v>
      </c>
      <c r="E802" s="1235" t="str">
        <f>buildingfinal!D801</f>
        <v>Each</v>
      </c>
      <c r="F802" s="1235">
        <f t="shared" si="44"/>
        <v>0</v>
      </c>
      <c r="G802" s="1240"/>
    </row>
    <row r="803" spans="1:8" s="1241" customFormat="1" ht="45" hidden="1">
      <c r="A803" s="1233">
        <f>buildingfinal!A802</f>
        <v>0</v>
      </c>
      <c r="B803" s="1521">
        <f>buildingfinal!Q802</f>
        <v>0</v>
      </c>
      <c r="C803" s="1239" t="str">
        <f>buildingfinal!B802</f>
        <v xml:space="preserve">Supplying and fixing of CP Angle valve Stop cock  including cost of all materials and all labour charges etc complete </v>
      </c>
      <c r="D803" s="1235">
        <f>buildingfinal!C802</f>
        <v>514.85</v>
      </c>
      <c r="E803" s="1235" t="str">
        <f>buildingfinal!D802</f>
        <v>Each</v>
      </c>
      <c r="F803" s="1235">
        <f t="shared" si="44"/>
        <v>0</v>
      </c>
      <c r="G803" s="1240"/>
    </row>
    <row r="804" spans="1:8" s="1241" customFormat="1" ht="17.25" hidden="1">
      <c r="A804" s="1233">
        <f>buildingfinal!A803</f>
        <v>0</v>
      </c>
      <c r="B804" s="1521">
        <f>buildingfinal!Q803</f>
        <v>0</v>
      </c>
      <c r="C804" s="1239" t="str">
        <f>buildingfinal!B803</f>
        <v>Supplying and fixing of 25x 3mm  Copper flat</v>
      </c>
      <c r="D804" s="1235">
        <f>buildingfinal!C803</f>
        <v>473.5</v>
      </c>
      <c r="E804" s="1235" t="str">
        <f>buildingfinal!D803</f>
        <v>Rmt</v>
      </c>
      <c r="F804" s="1235">
        <f t="shared" si="44"/>
        <v>0</v>
      </c>
      <c r="G804" s="1240"/>
    </row>
    <row r="805" spans="1:8" s="1241" customFormat="1" ht="30" hidden="1">
      <c r="A805" s="1233">
        <f>buildingfinal!A804</f>
        <v>0</v>
      </c>
      <c r="B805" s="1521">
        <f>buildingfinal!Q804</f>
        <v>0</v>
      </c>
      <c r="C805" s="1239" t="str">
        <f>buildingfinal!B804</f>
        <v xml:space="preserve">Supply and fixing of Health faucet approved quality with ISI mark </v>
      </c>
      <c r="D805" s="1235">
        <f>buildingfinal!C804</f>
        <v>1003</v>
      </c>
      <c r="E805" s="1235" t="str">
        <f>buildingfinal!D804</f>
        <v>Each</v>
      </c>
      <c r="F805" s="1235">
        <f t="shared" si="44"/>
        <v>0</v>
      </c>
      <c r="G805" s="1240"/>
    </row>
    <row r="806" spans="1:8" s="1241" customFormat="1" ht="17.25" hidden="1">
      <c r="A806" s="1233">
        <f>buildingfinal!A805</f>
        <v>0</v>
      </c>
      <c r="B806" s="1521">
        <f>buildingfinal!Q805</f>
        <v>0</v>
      </c>
      <c r="C806" s="1239" t="str">
        <f>buildingfinal!B805</f>
        <v>S&amp;F TPN 12 way DB encloser (SR-p-80)</v>
      </c>
      <c r="D806" s="1235">
        <f>buildingfinal!C805</f>
        <v>11481.8</v>
      </c>
      <c r="E806" s="1235" t="str">
        <f>buildingfinal!D805</f>
        <v>Each</v>
      </c>
      <c r="F806" s="1235">
        <f t="shared" si="44"/>
        <v>0</v>
      </c>
      <c r="G806" s="1240">
        <f>'[2]Abstract '!D804</f>
        <v>2881.36</v>
      </c>
      <c r="H806" s="1216">
        <f>'[2]Abstract '!F804</f>
        <v>47254.3</v>
      </c>
    </row>
    <row r="807" spans="1:8" s="1241" customFormat="1" ht="30" hidden="1">
      <c r="A807" s="1233">
        <f>buildingfinal!A806</f>
        <v>0</v>
      </c>
      <c r="B807" s="1521">
        <f>buildingfinal!Q806</f>
        <v>0</v>
      </c>
      <c r="C807" s="1239" t="str">
        <f>buildingfinal!B806</f>
        <v>S&amp;F TPN 8 way DB encloser 
CER No.178/2013-14</v>
      </c>
      <c r="D807" s="1235">
        <f>buildingfinal!C806</f>
        <v>5325.6</v>
      </c>
      <c r="E807" s="1235" t="str">
        <f>buildingfinal!D806</f>
        <v>Each</v>
      </c>
      <c r="F807" s="1235">
        <f t="shared" si="44"/>
        <v>0</v>
      </c>
      <c r="G807" s="1240"/>
    </row>
    <row r="808" spans="1:8" s="1241" customFormat="1" ht="30" hidden="1">
      <c r="A808" s="1233">
        <f>buildingfinal!A807</f>
        <v>0</v>
      </c>
      <c r="B808" s="1521">
        <f>buildingfinal!Q807</f>
        <v>0</v>
      </c>
      <c r="C808" s="1239" t="str">
        <f>buildingfinal!B807</f>
        <v>S&amp;F TPN 6 way DB encloser
CER No.178/2013-14</v>
      </c>
      <c r="D808" s="1235">
        <f>buildingfinal!C807</f>
        <v>8254.6</v>
      </c>
      <c r="E808" s="1235" t="str">
        <f>buildingfinal!D807</f>
        <v>Each</v>
      </c>
      <c r="F808" s="1235">
        <f t="shared" si="44"/>
        <v>0</v>
      </c>
      <c r="G808" s="1240"/>
    </row>
    <row r="809" spans="1:8" s="1241" customFormat="1" ht="30" hidden="1">
      <c r="A809" s="1233">
        <f>buildingfinal!A808</f>
        <v>0</v>
      </c>
      <c r="B809" s="1521">
        <f>buildingfinal!Q808</f>
        <v>0</v>
      </c>
      <c r="C809" s="1239" t="str">
        <f>buildingfinal!B808</f>
        <v>S&amp;F TPN 4 way DB encloser
CER No.178/2013-14</v>
      </c>
      <c r="D809" s="1235">
        <f>buildingfinal!C808</f>
        <v>6588</v>
      </c>
      <c r="E809" s="1235" t="str">
        <f>buildingfinal!D808</f>
        <v>Each</v>
      </c>
      <c r="F809" s="1235">
        <f t="shared" si="44"/>
        <v>0</v>
      </c>
      <c r="G809" s="1240"/>
    </row>
    <row r="810" spans="1:8" s="1241" customFormat="1" ht="30" hidden="1">
      <c r="A810" s="1233">
        <f>buildingfinal!A809</f>
        <v>0</v>
      </c>
      <c r="B810" s="1521">
        <f>buildingfinal!Q809</f>
        <v>0</v>
      </c>
      <c r="C810" s="1239" t="str">
        <f>buildingfinal!B809</f>
        <v>Supply and fixing of spot light of approved make and company with ISI CFL bulb  CER No.178/13-14</v>
      </c>
      <c r="D810" s="1235">
        <f>buildingfinal!C809</f>
        <v>593</v>
      </c>
      <c r="E810" s="1235" t="str">
        <f>buildingfinal!D809</f>
        <v>Each</v>
      </c>
      <c r="F810" s="1235">
        <f t="shared" si="44"/>
        <v>0</v>
      </c>
      <c r="G810" s="1240"/>
    </row>
    <row r="811" spans="1:8" s="1241" customFormat="1" ht="17.25" hidden="1">
      <c r="A811" s="1233">
        <f>buildingfinal!A810</f>
        <v>0</v>
      </c>
      <c r="B811" s="1521">
        <f>buildingfinal!Q810</f>
        <v>0</v>
      </c>
      <c r="C811" s="1239" t="str">
        <f>buildingfinal!B810</f>
        <v>S&amp;F OF UPVC  Windows ( Non  Schedule item )</v>
      </c>
      <c r="D811" s="1235">
        <f>buildingfinal!C810</f>
        <v>0</v>
      </c>
      <c r="E811" s="1235">
        <f>buildingfinal!D810</f>
        <v>0</v>
      </c>
      <c r="F811" s="1235">
        <f t="shared" si="44"/>
        <v>0</v>
      </c>
      <c r="G811" s="1240">
        <f>'[2]Abstract '!D809</f>
        <v>0</v>
      </c>
      <c r="H811" s="1216">
        <f>'[2]Abstract '!F809</f>
        <v>0</v>
      </c>
    </row>
    <row r="812" spans="1:8" s="1241" customFormat="1" ht="17.25" hidden="1">
      <c r="A812" s="1233">
        <f>buildingfinal!A811</f>
        <v>0</v>
      </c>
      <c r="B812" s="1521">
        <f>buildingfinal!Q811</f>
        <v>0</v>
      </c>
      <c r="C812" s="1239" t="str">
        <f>buildingfinal!B811</f>
        <v>a) FW 900 X 2100</v>
      </c>
      <c r="D812" s="1235">
        <f>buildingfinal!C811</f>
        <v>6300</v>
      </c>
      <c r="E812" s="1235" t="str">
        <f>buildingfinal!D811</f>
        <v>Sqm</v>
      </c>
      <c r="F812" s="1235">
        <f t="shared" si="44"/>
        <v>0</v>
      </c>
      <c r="G812" s="1240"/>
    </row>
    <row r="813" spans="1:8" s="1241" customFormat="1" ht="17.25" hidden="1">
      <c r="A813" s="1233">
        <f>buildingfinal!A812</f>
        <v>0</v>
      </c>
      <c r="B813" s="1521">
        <f>buildingfinal!Q812</f>
        <v>0</v>
      </c>
      <c r="C813" s="1239" t="str">
        <f>buildingfinal!B812</f>
        <v>b) W 1800 X 1650</v>
      </c>
      <c r="D813" s="1235">
        <f>buildingfinal!C812</f>
        <v>6300</v>
      </c>
      <c r="E813" s="1235" t="str">
        <f>buildingfinal!D812</f>
        <v>Sqm</v>
      </c>
      <c r="F813" s="1235">
        <f t="shared" si="44"/>
        <v>0</v>
      </c>
      <c r="G813" s="1240">
        <f>'[2]Abstract '!D811</f>
        <v>1896.48</v>
      </c>
      <c r="H813" s="1216">
        <f>'[2]Abstract '!F811</f>
        <v>6068.74</v>
      </c>
    </row>
    <row r="814" spans="1:8" s="1241" customFormat="1" ht="17.25" hidden="1">
      <c r="A814" s="1233">
        <f>buildingfinal!A813</f>
        <v>0</v>
      </c>
      <c r="B814" s="1521">
        <f>buildingfinal!Q813</f>
        <v>0</v>
      </c>
      <c r="C814" s="1239" t="str">
        <f>buildingfinal!B813</f>
        <v>c) W1 1500 X 1650</v>
      </c>
      <c r="D814" s="1235">
        <f>buildingfinal!C813</f>
        <v>6300</v>
      </c>
      <c r="E814" s="1235" t="str">
        <f>buildingfinal!D813</f>
        <v>Sqm</v>
      </c>
      <c r="F814" s="1235">
        <f t="shared" si="44"/>
        <v>0</v>
      </c>
      <c r="G814" s="1240">
        <f>'[2]Abstract '!D812</f>
        <v>1900.37</v>
      </c>
      <c r="H814" s="1216">
        <f>'[2]Abstract '!F812</f>
        <v>6081.18</v>
      </c>
    </row>
    <row r="815" spans="1:8" s="1241" customFormat="1" ht="17.25" hidden="1">
      <c r="A815" s="1233">
        <f>buildingfinal!A814</f>
        <v>0</v>
      </c>
      <c r="B815" s="1521">
        <f>buildingfinal!Q814</f>
        <v>0</v>
      </c>
      <c r="C815" s="1239" t="str">
        <f>buildingfinal!B814</f>
        <v>d) W0 2400 X 1650</v>
      </c>
      <c r="D815" s="1235">
        <f>buildingfinal!C814</f>
        <v>6300</v>
      </c>
      <c r="E815" s="1235" t="str">
        <f>buildingfinal!D814</f>
        <v>Sqm</v>
      </c>
      <c r="F815" s="1235">
        <f t="shared" si="44"/>
        <v>0</v>
      </c>
      <c r="G815" s="1240"/>
    </row>
    <row r="816" spans="1:8" s="1241" customFormat="1" ht="17.25" hidden="1">
      <c r="A816" s="1233">
        <f>buildingfinal!A815</f>
        <v>0</v>
      </c>
      <c r="B816" s="1521">
        <f>buildingfinal!Q815</f>
        <v>0</v>
      </c>
      <c r="C816" s="1239" t="str">
        <f>buildingfinal!B815</f>
        <v>e) W2 1200 X 1650</v>
      </c>
      <c r="D816" s="1235">
        <f>buildingfinal!C815</f>
        <v>6300</v>
      </c>
      <c r="E816" s="1235" t="str">
        <f>buildingfinal!D815</f>
        <v>Sqm</v>
      </c>
      <c r="F816" s="1235">
        <f t="shared" si="44"/>
        <v>0</v>
      </c>
      <c r="G816" s="1240"/>
    </row>
    <row r="817" spans="1:8" s="1241" customFormat="1" ht="17.25" hidden="1">
      <c r="A817" s="1233">
        <f>buildingfinal!A816</f>
        <v>0</v>
      </c>
      <c r="B817" s="1521">
        <f>buildingfinal!Q816</f>
        <v>0</v>
      </c>
      <c r="C817" s="1239">
        <f>buildingfinal!B816</f>
        <v>0</v>
      </c>
      <c r="D817" s="1235">
        <f>buildingfinal!C816</f>
        <v>6300</v>
      </c>
      <c r="E817" s="1235" t="str">
        <f>buildingfinal!D816</f>
        <v>Sqm</v>
      </c>
      <c r="F817" s="1235">
        <f t="shared" si="44"/>
        <v>0</v>
      </c>
      <c r="G817" s="1240"/>
    </row>
    <row r="818" spans="1:8" s="1241" customFormat="1" ht="17.25" hidden="1">
      <c r="A818" s="1233">
        <f>buildingfinal!A817</f>
        <v>0</v>
      </c>
      <c r="B818" s="1521">
        <f>buildingfinal!Q817</f>
        <v>0</v>
      </c>
      <c r="C818" s="1239" t="str">
        <f>buildingfinal!B817</f>
        <v>g) FW1 4800 X 2300</v>
      </c>
      <c r="D818" s="1235">
        <f>buildingfinal!C817</f>
        <v>6300</v>
      </c>
      <c r="E818" s="1235" t="str">
        <f>buildingfinal!D817</f>
        <v>Sqm</v>
      </c>
      <c r="F818" s="1235">
        <f t="shared" si="44"/>
        <v>0</v>
      </c>
      <c r="G818" s="1240"/>
    </row>
    <row r="819" spans="1:8" hidden="1">
      <c r="A819" s="1233">
        <f>buildingfinal!A818</f>
        <v>0</v>
      </c>
      <c r="B819" s="1521">
        <f>buildingfinal!Q818</f>
        <v>0</v>
      </c>
      <c r="C819" s="1239" t="str">
        <f>buildingfinal!B818</f>
        <v>h) FW2 4200 X 2300</v>
      </c>
      <c r="D819" s="1235">
        <f>buildingfinal!C818</f>
        <v>6300</v>
      </c>
      <c r="E819" s="1235" t="str">
        <f>buildingfinal!D818</f>
        <v>Sqm</v>
      </c>
      <c r="F819" s="1235">
        <f t="shared" si="44"/>
        <v>0</v>
      </c>
      <c r="G819" s="1240"/>
      <c r="H819" s="1217"/>
    </row>
    <row r="820" spans="1:8" s="1241" customFormat="1" ht="17.25" hidden="1">
      <c r="A820" s="1233">
        <f>buildingfinal!A819</f>
        <v>0</v>
      </c>
      <c r="B820" s="1521">
        <f>buildingfinal!Q819</f>
        <v>0</v>
      </c>
      <c r="C820" s="1239" t="str">
        <f>buildingfinal!B819</f>
        <v>S &amp; F of sodium vapour lamp with fitting 250watts</v>
      </c>
      <c r="D820" s="1235">
        <f>buildingfinal!C819</f>
        <v>5654</v>
      </c>
      <c r="E820" s="1235" t="str">
        <f>buildingfinal!D819</f>
        <v xml:space="preserve">Each </v>
      </c>
      <c r="F820" s="1235">
        <f t="shared" si="44"/>
        <v>0</v>
      </c>
      <c r="G820" s="1240"/>
    </row>
    <row r="821" spans="1:8" ht="60.75" customHeight="1">
      <c r="A821" s="1233">
        <f>buildingfinal!A820</f>
        <v>0</v>
      </c>
      <c r="B821" s="1521">
        <f>buildingfinal!Q820</f>
        <v>23.4</v>
      </c>
      <c r="C821" s="1239" t="str">
        <f>buildingfinal!B820</f>
        <v>Supplying and fixing in position of UPVC Ventilator louvered ventilator  type for all sizes 
 PWD SR 2022-2023 p-66</v>
      </c>
      <c r="D821" s="1235">
        <f>buildingfinal!C820</f>
        <v>8106</v>
      </c>
      <c r="E821" s="1235" t="str">
        <f>buildingfinal!D820</f>
        <v>Sqm</v>
      </c>
      <c r="F821" s="1235">
        <f t="shared" si="44"/>
        <v>189680.4</v>
      </c>
      <c r="G821" s="1240"/>
      <c r="H821" s="1217"/>
    </row>
    <row r="822" spans="1:8" ht="59.25" customHeight="1">
      <c r="A822" s="1233">
        <f>buildingfinal!A821</f>
        <v>0</v>
      </c>
      <c r="B822" s="1521">
        <f>buildingfinal!Q821</f>
        <v>201</v>
      </c>
      <c r="C822" s="1239" t="str">
        <f>buildingfinal!B821</f>
        <v>Supplying and fixing in position of UPVC window of casement type( open) for all sizes SR 2022-2023 p-65</v>
      </c>
      <c r="D822" s="1235">
        <f>buildingfinal!C821</f>
        <v>7482</v>
      </c>
      <c r="E822" s="1235" t="str">
        <f>buildingfinal!D821</f>
        <v>Sqm</v>
      </c>
      <c r="F822" s="1235">
        <f t="shared" si="44"/>
        <v>1503882</v>
      </c>
      <c r="G822" s="1240"/>
      <c r="H822" s="1217"/>
    </row>
    <row r="823" spans="1:8" ht="59.25" hidden="1" customHeight="1">
      <c r="A823" s="1233">
        <f>buildingfinal!A822</f>
        <v>0</v>
      </c>
      <c r="B823" s="1521">
        <f>buildingfinal!Q822</f>
        <v>0</v>
      </c>
      <c r="C823" s="1239" t="str">
        <f>buildingfinal!B822</f>
        <v>Supply and fixing of Stainless steel wash hand basin  size :3.75mx0.60m (Qtn)</v>
      </c>
      <c r="D823" s="1235">
        <f>buildingfinal!C822</f>
        <v>25000</v>
      </c>
      <c r="E823" s="1235" t="str">
        <f>buildingfinal!D822</f>
        <v>Set</v>
      </c>
      <c r="F823" s="1235">
        <f t="shared" si="44"/>
        <v>0</v>
      </c>
      <c r="G823" s="1240">
        <f>buildingfinal!R820</f>
        <v>189680.4</v>
      </c>
      <c r="H823" s="1216">
        <f t="shared" ref="H823:H824" si="45">F823-G823</f>
        <v>-189680.4</v>
      </c>
    </row>
    <row r="824" spans="1:8" ht="51.75" hidden="1" customHeight="1">
      <c r="A824" s="1233">
        <f>buildingfinal!A823</f>
        <v>0</v>
      </c>
      <c r="B824" s="1521">
        <f>buildingfinal!Q823</f>
        <v>0</v>
      </c>
      <c r="C824" s="1239" t="str">
        <f>buildingfinal!B823</f>
        <v>Supplying and Fixing of Rolling shutters of all sizes (Gear Operated)(  from 8m2  to 12m2 )Annex-Vi-P-45   PWD SR 2022-2023 p-44</v>
      </c>
      <c r="D824" s="1235">
        <f>buildingfinal!C823</f>
        <v>2419</v>
      </c>
      <c r="E824" s="1235" t="str">
        <f>buildingfinal!D823</f>
        <v>Sqm</v>
      </c>
      <c r="F824" s="1235">
        <f t="shared" si="44"/>
        <v>0</v>
      </c>
      <c r="G824" s="1240">
        <f>buildingfinal!R821</f>
        <v>1503882</v>
      </c>
      <c r="H824" s="1216">
        <f t="shared" si="45"/>
        <v>-1503882</v>
      </c>
    </row>
    <row r="825" spans="1:8" ht="120" hidden="1">
      <c r="A825" s="1233">
        <f>buildingfinal!A824</f>
        <v>0</v>
      </c>
      <c r="B825" s="1521">
        <f>buildingfinal!Q824</f>
        <v>0</v>
      </c>
      <c r="C825" s="1239" t="str">
        <f>buildingfinal!B824</f>
        <v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v>
      </c>
      <c r="D825" s="1235">
        <f>buildingfinal!C824</f>
        <v>0</v>
      </c>
      <c r="E825" s="1235">
        <f>buildingfinal!D824</f>
        <v>0</v>
      </c>
      <c r="F825" s="1235">
        <f t="shared" si="44"/>
        <v>0</v>
      </c>
      <c r="G825" s="1240"/>
      <c r="H825" s="1217"/>
    </row>
    <row r="826" spans="1:8" ht="39" customHeight="1">
      <c r="A826" s="1233">
        <f>buildingfinal!A825</f>
        <v>0</v>
      </c>
      <c r="B826" s="1260" t="str">
        <f>buildingfinal!Q825</f>
        <v>*</v>
      </c>
      <c r="C826" s="1234" t="str">
        <f>buildingfinal!B825</f>
        <v>Supplying and fixing of solid core flush door shutter of thickness 35mm</v>
      </c>
      <c r="D826" s="1235">
        <f>buildingfinal!C825</f>
        <v>0</v>
      </c>
      <c r="E826" s="1235">
        <f>buildingfinal!D825</f>
        <v>0</v>
      </c>
      <c r="F826" s="1235"/>
      <c r="G826" s="1240"/>
      <c r="H826" s="1217"/>
    </row>
    <row r="827" spans="1:8" hidden="1">
      <c r="A827" s="1233">
        <f>buildingfinal!A826</f>
        <v>0</v>
      </c>
      <c r="B827" s="1521">
        <f>buildingfinal!Q826</f>
        <v>0</v>
      </c>
      <c r="C827" s="1239" t="str">
        <f>buildingfinal!B826</f>
        <v>a) door size 1.80 m x 2.40 (Double leaf)</v>
      </c>
      <c r="D827" s="1235">
        <f>buildingfinal!C826</f>
        <v>3059.37</v>
      </c>
      <c r="E827" s="1235" t="str">
        <f>buildingfinal!D826</f>
        <v>Sqm</v>
      </c>
      <c r="F827" s="1235">
        <f t="shared" si="44"/>
        <v>0</v>
      </c>
      <c r="G827" s="1240"/>
      <c r="H827" s="1217"/>
    </row>
    <row r="828" spans="1:8" ht="43.5" hidden="1" customHeight="1">
      <c r="A828" s="1233">
        <f>buildingfinal!A827</f>
        <v>0</v>
      </c>
      <c r="B828" s="1521">
        <f>buildingfinal!Q827</f>
        <v>0</v>
      </c>
      <c r="C828" s="1239" t="str">
        <f>buildingfinal!B827</f>
        <v>b) door size 1.80 m x 2.10 (Double leaves)</v>
      </c>
      <c r="D828" s="1235">
        <f>buildingfinal!C827</f>
        <v>3075.49</v>
      </c>
      <c r="E828" s="1235" t="str">
        <f>buildingfinal!D827</f>
        <v>Sqm</v>
      </c>
      <c r="F828" s="1235">
        <f t="shared" si="44"/>
        <v>0</v>
      </c>
      <c r="G828" s="1240">
        <f>buildingfinal!R825</f>
        <v>0</v>
      </c>
      <c r="H828" s="1216">
        <f>F828-G828</f>
        <v>0</v>
      </c>
    </row>
    <row r="829" spans="1:8" hidden="1">
      <c r="A829" s="1233">
        <f>buildingfinal!A828</f>
        <v>0</v>
      </c>
      <c r="B829" s="1521">
        <f>buildingfinal!Q828</f>
        <v>0</v>
      </c>
      <c r="C829" s="1239" t="str">
        <f>buildingfinal!B828</f>
        <v>c) door size 1.50 m x 2.40 (Double leaf)</v>
      </c>
      <c r="D829" s="1235">
        <f>buildingfinal!C828</f>
        <v>3101.78</v>
      </c>
      <c r="E829" s="1235" t="str">
        <f>buildingfinal!D828</f>
        <v>Sqm</v>
      </c>
      <c r="F829" s="1235">
        <f t="shared" si="44"/>
        <v>0</v>
      </c>
      <c r="G829" s="1240"/>
      <c r="H829" s="1217"/>
    </row>
    <row r="830" spans="1:8" ht="32.25" customHeight="1">
      <c r="A830" s="1233">
        <f>buildingfinal!A829</f>
        <v>0</v>
      </c>
      <c r="B830" s="1521">
        <f>buildingfinal!Q829</f>
        <v>14.4</v>
      </c>
      <c r="C830" s="1239" t="str">
        <f>buildingfinal!B829</f>
        <v>d).  door size 1.50 m x 2.100 (Double leaves)</v>
      </c>
      <c r="D830" s="1235">
        <f>buildingfinal!C829</f>
        <v>3176.09</v>
      </c>
      <c r="E830" s="1235" t="str">
        <f>buildingfinal!D829</f>
        <v>Sqm</v>
      </c>
      <c r="F830" s="1235">
        <f t="shared" si="44"/>
        <v>45735.7</v>
      </c>
      <c r="G830" s="1240"/>
      <c r="H830" s="1217"/>
    </row>
    <row r="831" spans="1:8" hidden="1">
      <c r="A831" s="1233">
        <f>buildingfinal!A830</f>
        <v>0</v>
      </c>
      <c r="B831" s="1521">
        <f>buildingfinal!Q830</f>
        <v>0</v>
      </c>
      <c r="C831" s="1239" t="str">
        <f>buildingfinal!B830</f>
        <v>e). door size 1.200 m x 2.400 (double Leaf)</v>
      </c>
      <c r="D831" s="1235">
        <f>buildingfinal!C830</f>
        <v>3309.18</v>
      </c>
      <c r="E831" s="1235" t="str">
        <f>buildingfinal!D830</f>
        <v>Sqm</v>
      </c>
      <c r="F831" s="1235">
        <f t="shared" si="44"/>
        <v>0</v>
      </c>
      <c r="G831" s="1240"/>
      <c r="H831" s="1217"/>
    </row>
    <row r="832" spans="1:8" hidden="1">
      <c r="A832" s="1233">
        <f>buildingfinal!A831</f>
        <v>0</v>
      </c>
      <c r="B832" s="1521">
        <f>buildingfinal!Q831</f>
        <v>0</v>
      </c>
      <c r="C832" s="1239" t="str">
        <f>buildingfinal!B831</f>
        <v>f). door size 1.200m x 2.100 (single leaf)</v>
      </c>
      <c r="D832" s="1235">
        <f>buildingfinal!C831</f>
        <v>3333.87</v>
      </c>
      <c r="E832" s="1235" t="str">
        <f>buildingfinal!D831</f>
        <v>Sqm</v>
      </c>
      <c r="F832" s="1235">
        <f t="shared" si="44"/>
        <v>0</v>
      </c>
      <c r="G832" s="1240"/>
      <c r="H832" s="1217"/>
    </row>
    <row r="833" spans="1:8" s="1241" customFormat="1" ht="32.25" customHeight="1">
      <c r="A833" s="1233">
        <f>buildingfinal!A832</f>
        <v>0</v>
      </c>
      <c r="B833" s="1521">
        <f>buildingfinal!Q832</f>
        <v>38.799999999999997</v>
      </c>
      <c r="C833" s="1239" t="str">
        <f>buildingfinal!B832</f>
        <v>g).  door size 1.000 m x 2.100 (Single Leaf)</v>
      </c>
      <c r="D833" s="1235">
        <f>buildingfinal!C832</f>
        <v>3021.75</v>
      </c>
      <c r="E833" s="1235" t="str">
        <f>buildingfinal!D832</f>
        <v>Sqm</v>
      </c>
      <c r="F833" s="1235">
        <f t="shared" si="44"/>
        <v>117243.9</v>
      </c>
      <c r="G833" s="1240"/>
    </row>
    <row r="834" spans="1:8" s="1241" customFormat="1" ht="17.25" hidden="1">
      <c r="A834" s="1233">
        <f>buildingfinal!A833</f>
        <v>0</v>
      </c>
      <c r="B834" s="1521">
        <f>buildingfinal!Q833</f>
        <v>0</v>
      </c>
      <c r="C834" s="1239" t="str">
        <f>buildingfinal!B833</f>
        <v>h).  door size 1.00 m x 2.400 (Single Leaf)</v>
      </c>
      <c r="D834" s="1235">
        <f>buildingfinal!C833</f>
        <v>2994.41</v>
      </c>
      <c r="E834" s="1235" t="str">
        <f>buildingfinal!D833</f>
        <v>Sqm</v>
      </c>
      <c r="F834" s="1235">
        <f t="shared" si="44"/>
        <v>0</v>
      </c>
      <c r="G834" s="1240"/>
    </row>
    <row r="835" spans="1:8" s="1241" customFormat="1" ht="32.25" customHeight="1">
      <c r="A835" s="1233">
        <f>buildingfinal!A834</f>
        <v>0</v>
      </c>
      <c r="B835" s="1521">
        <f>buildingfinal!Q834</f>
        <v>18.100000000000001</v>
      </c>
      <c r="C835" s="1239" t="str">
        <f>buildingfinal!B834</f>
        <v>i.  door size 0.900 m x 2.100 (Single Leaf)</v>
      </c>
      <c r="D835" s="1235">
        <f>buildingfinal!C834</f>
        <v>3088.84</v>
      </c>
      <c r="E835" s="1235" t="str">
        <f>buildingfinal!D834</f>
        <v>Sqm</v>
      </c>
      <c r="F835" s="1235">
        <f t="shared" si="44"/>
        <v>55908</v>
      </c>
      <c r="G835" s="1240">
        <f>buildingfinal!R832</f>
        <v>117243.9</v>
      </c>
      <c r="H835" s="1216">
        <f>F835-G835</f>
        <v>-61335.9</v>
      </c>
    </row>
    <row r="836" spans="1:8" s="1241" customFormat="1" ht="17.25" hidden="1">
      <c r="A836" s="1233">
        <f>buildingfinal!A835</f>
        <v>0</v>
      </c>
      <c r="B836" s="1521">
        <f>buildingfinal!Q835</f>
        <v>0</v>
      </c>
      <c r="C836" s="1239" t="str">
        <f>buildingfinal!B835</f>
        <v>i.  door size 0.750 m x 2.100 (Single Leaf)</v>
      </c>
      <c r="D836" s="1235">
        <f>buildingfinal!C835</f>
        <v>2608.59</v>
      </c>
      <c r="E836" s="1235" t="str">
        <f>buildingfinal!D835</f>
        <v>Sqm</v>
      </c>
      <c r="F836" s="1235">
        <f t="shared" si="44"/>
        <v>0</v>
      </c>
      <c r="G836" s="1240"/>
    </row>
    <row r="837" spans="1:8" s="1241" customFormat="1" ht="28.5" hidden="1" customHeight="1">
      <c r="A837" s="1233">
        <f>buildingfinal!A836</f>
        <v>0</v>
      </c>
      <c r="B837" s="1521">
        <f>buildingfinal!Q836</f>
        <v>0</v>
      </c>
      <c r="C837" s="1239" t="str">
        <f>buildingfinal!B836</f>
        <v>Providing additional strutting to centering of plain surface.</v>
      </c>
      <c r="D837" s="1235">
        <f>buildingfinal!C836</f>
        <v>33.56</v>
      </c>
      <c r="E837" s="1235" t="str">
        <f>buildingfinal!D836</f>
        <v>Sqm</v>
      </c>
      <c r="F837" s="1235">
        <f t="shared" si="44"/>
        <v>0</v>
      </c>
      <c r="G837" s="1240">
        <f>buildingfinal!R834</f>
        <v>55908</v>
      </c>
      <c r="H837" s="1216">
        <f>F837-G837</f>
        <v>-55908</v>
      </c>
    </row>
    <row r="838" spans="1:8" s="1241" customFormat="1" ht="30" hidden="1">
      <c r="A838" s="1233">
        <f>buildingfinal!A837</f>
        <v>0</v>
      </c>
      <c r="B838" s="1521">
        <f>buildingfinal!Q837</f>
        <v>0</v>
      </c>
      <c r="C838" s="1239" t="str">
        <f>buildingfinal!B837</f>
        <v>S &amp; F of Granite slab of size 4'x2', 18 to 20mm Thick For plat form (Jet block) C.M 1:3, 20mm tk</v>
      </c>
      <c r="D838" s="1235">
        <f>buildingfinal!C837</f>
        <v>0</v>
      </c>
      <c r="E838" s="1235">
        <f>buildingfinal!D837</f>
        <v>0</v>
      </c>
      <c r="F838" s="1235">
        <f t="shared" si="44"/>
        <v>0</v>
      </c>
      <c r="G838" s="1240"/>
    </row>
    <row r="839" spans="1:8" s="1241" customFormat="1" ht="17.25" hidden="1">
      <c r="A839" s="1233">
        <f>buildingfinal!A838</f>
        <v>0</v>
      </c>
      <c r="B839" s="1521">
        <f>buildingfinal!Q838</f>
        <v>0</v>
      </c>
      <c r="C839" s="1239" t="str">
        <f>buildingfinal!B838</f>
        <v>a. In Ground floor</v>
      </c>
      <c r="D839" s="1235">
        <f>buildingfinal!C838</f>
        <v>1967.23</v>
      </c>
      <c r="E839" s="1235" t="str">
        <f>buildingfinal!D838</f>
        <v>Sqm</v>
      </c>
      <c r="F839" s="1235">
        <f t="shared" si="44"/>
        <v>0</v>
      </c>
      <c r="G839" s="1240"/>
    </row>
    <row r="840" spans="1:8" s="1241" customFormat="1" ht="39.75" hidden="1" customHeight="1">
      <c r="A840" s="1233">
        <f>buildingfinal!A839</f>
        <v>0</v>
      </c>
      <c r="B840" s="1521">
        <f>buildingfinal!Q839</f>
        <v>0</v>
      </c>
      <c r="C840" s="1239" t="str">
        <f>buildingfinal!B839</f>
        <v>b. In First floor</v>
      </c>
      <c r="D840" s="1235">
        <f>buildingfinal!C839</f>
        <v>1972.15</v>
      </c>
      <c r="E840" s="1235" t="str">
        <f>buildingfinal!D839</f>
        <v>Sqm</v>
      </c>
      <c r="F840" s="1235">
        <f t="shared" ref="F840:F903" si="46">D840*B840</f>
        <v>0</v>
      </c>
      <c r="G840" s="1240">
        <f>buildingfinal!R837</f>
        <v>0</v>
      </c>
      <c r="H840" s="1216">
        <f t="shared" ref="H840:H841" si="47">F840-G840</f>
        <v>0</v>
      </c>
    </row>
    <row r="841" spans="1:8" s="1241" customFormat="1" ht="25.5" hidden="1" customHeight="1">
      <c r="A841" s="1233">
        <f>buildingfinal!A840</f>
        <v>0</v>
      </c>
      <c r="B841" s="1521">
        <f>buildingfinal!Q840</f>
        <v>0</v>
      </c>
      <c r="C841" s="1239" t="str">
        <f>buildingfinal!B840</f>
        <v>c. In Second floor</v>
      </c>
      <c r="D841" s="1235">
        <f>buildingfinal!C840</f>
        <v>1977.07</v>
      </c>
      <c r="E841" s="1235" t="str">
        <f>buildingfinal!D840</f>
        <v>Sqm</v>
      </c>
      <c r="F841" s="1235">
        <f t="shared" si="46"/>
        <v>0</v>
      </c>
      <c r="G841" s="1240">
        <f>buildingfinal!R838</f>
        <v>0</v>
      </c>
      <c r="H841" s="1216">
        <f t="shared" si="47"/>
        <v>0</v>
      </c>
    </row>
    <row r="842" spans="1:8" s="1241" customFormat="1" ht="17.25" hidden="1">
      <c r="A842" s="1233">
        <f>buildingfinal!A841</f>
        <v>0</v>
      </c>
      <c r="B842" s="1521">
        <f>buildingfinal!Q841</f>
        <v>0</v>
      </c>
      <c r="C842" s="1239" t="str">
        <f>buildingfinal!B841</f>
        <v>d. In Third floor</v>
      </c>
      <c r="D842" s="1235">
        <f>buildingfinal!C841</f>
        <v>1981.99</v>
      </c>
      <c r="E842" s="1235" t="str">
        <f>buildingfinal!D841</f>
        <v>Sqm</v>
      </c>
      <c r="F842" s="1235">
        <f t="shared" si="46"/>
        <v>0</v>
      </c>
      <c r="G842" s="1240">
        <f>'[2]Abstract '!D840</f>
        <v>229</v>
      </c>
      <c r="H842" s="1216">
        <f>'[2]Abstract '!F840</f>
        <v>2977</v>
      </c>
    </row>
    <row r="843" spans="1:8" s="1241" customFormat="1" ht="45" hidden="1">
      <c r="A843" s="1233">
        <f>buildingfinal!A842</f>
        <v>0</v>
      </c>
      <c r="B843" s="1521">
        <f>buildingfinal!Q842</f>
        <v>0</v>
      </c>
      <c r="C843" s="1239" t="str">
        <f>buildingfinal!B842</f>
        <v>S &amp; F of Granite slab of size 4'x2', 18 to 20mm Thick  (jet black) C.M 1:3, 20mm tk for entrance steps</v>
      </c>
      <c r="D843" s="1235">
        <f>buildingfinal!C842</f>
        <v>0</v>
      </c>
      <c r="E843" s="1235">
        <f>buildingfinal!D842</f>
        <v>0</v>
      </c>
      <c r="F843" s="1235">
        <f t="shared" si="46"/>
        <v>0</v>
      </c>
      <c r="G843" s="1240">
        <f>'[2]Abstract '!D841</f>
        <v>218</v>
      </c>
      <c r="H843" s="1216">
        <f>'[2]Abstract '!F841</f>
        <v>2398</v>
      </c>
    </row>
    <row r="844" spans="1:8" s="1241" customFormat="1" ht="17.25" hidden="1">
      <c r="A844" s="1233">
        <f>buildingfinal!A843</f>
        <v>0</v>
      </c>
      <c r="B844" s="1521">
        <f>buildingfinal!Q843</f>
        <v>0</v>
      </c>
      <c r="C844" s="1239" t="str">
        <f>buildingfinal!B843</f>
        <v>a. In Ground floor</v>
      </c>
      <c r="D844" s="1235">
        <f>buildingfinal!C843</f>
        <v>2596.46</v>
      </c>
      <c r="E844" s="1235" t="str">
        <f>buildingfinal!D843</f>
        <v>Sqm</v>
      </c>
      <c r="F844" s="1235">
        <f t="shared" si="46"/>
        <v>0</v>
      </c>
      <c r="G844" s="1240"/>
    </row>
    <row r="845" spans="1:8" s="1241" customFormat="1" ht="17.25" hidden="1">
      <c r="A845" s="1233">
        <f>buildingfinal!A844</f>
        <v>0</v>
      </c>
      <c r="B845" s="1521">
        <f>buildingfinal!Q844</f>
        <v>0</v>
      </c>
      <c r="C845" s="1239" t="str">
        <f>buildingfinal!B844</f>
        <v>b. In First floor</v>
      </c>
      <c r="D845" s="1235">
        <f>buildingfinal!C844</f>
        <v>1968.44</v>
      </c>
      <c r="E845" s="1235" t="str">
        <f>buildingfinal!D844</f>
        <v>Sqm</v>
      </c>
      <c r="F845" s="1235">
        <f t="shared" si="46"/>
        <v>0</v>
      </c>
      <c r="G845" s="1240"/>
    </row>
    <row r="846" spans="1:8" s="1241" customFormat="1" ht="17.25" hidden="1">
      <c r="A846" s="1233">
        <f>buildingfinal!A845</f>
        <v>0</v>
      </c>
      <c r="B846" s="1521">
        <f>buildingfinal!Q845</f>
        <v>0</v>
      </c>
      <c r="C846" s="1239" t="str">
        <f>buildingfinal!B845</f>
        <v>c. In Second floor</v>
      </c>
      <c r="D846" s="1235">
        <f>buildingfinal!C845</f>
        <v>1970.9</v>
      </c>
      <c r="E846" s="1235" t="str">
        <f>buildingfinal!D845</f>
        <v>Sqm</v>
      </c>
      <c r="F846" s="1235">
        <f t="shared" si="46"/>
        <v>0</v>
      </c>
      <c r="G846" s="1240">
        <f>'[2]Abstract '!D844</f>
        <v>1267.8599999999999</v>
      </c>
      <c r="H846" s="1216">
        <f>'[2]Abstract '!F844</f>
        <v>420802.73</v>
      </c>
    </row>
    <row r="847" spans="1:8" s="1241" customFormat="1" ht="17.25" hidden="1">
      <c r="A847" s="1233">
        <f>buildingfinal!A846</f>
        <v>0</v>
      </c>
      <c r="B847" s="1521">
        <f>buildingfinal!Q846</f>
        <v>0</v>
      </c>
      <c r="C847" s="1239" t="str">
        <f>buildingfinal!B846</f>
        <v>c. In Third floor</v>
      </c>
      <c r="D847" s="1235">
        <f>buildingfinal!C846</f>
        <v>1972.85</v>
      </c>
      <c r="E847" s="1235" t="str">
        <f>buildingfinal!D846</f>
        <v>Sqm</v>
      </c>
      <c r="F847" s="1235">
        <f t="shared" si="46"/>
        <v>0</v>
      </c>
      <c r="G847" s="1240"/>
    </row>
    <row r="848" spans="1:8" hidden="1">
      <c r="A848" s="1233">
        <f>buildingfinal!A847</f>
        <v>0</v>
      </c>
      <c r="B848" s="1521">
        <f>buildingfinal!Q847</f>
        <v>0</v>
      </c>
      <c r="C848" s="1239" t="str">
        <f>buildingfinal!B847</f>
        <v>Aluminum Louvered ventilators</v>
      </c>
      <c r="D848" s="1235">
        <f>buildingfinal!C847</f>
        <v>0</v>
      </c>
      <c r="E848" s="1235">
        <f>buildingfinal!D847</f>
        <v>0</v>
      </c>
      <c r="F848" s="1235">
        <f t="shared" si="46"/>
        <v>0</v>
      </c>
      <c r="G848" s="1240">
        <f>'[2]Abstract '!D846</f>
        <v>0</v>
      </c>
      <c r="H848" s="1216">
        <f>'[2]Abstract '!F846</f>
        <v>0</v>
      </c>
    </row>
    <row r="849" spans="1:8" s="1241" customFormat="1" ht="17.25" hidden="1">
      <c r="A849" s="1233">
        <f>buildingfinal!A848</f>
        <v>0</v>
      </c>
      <c r="B849" s="1521">
        <f>buildingfinal!Q848</f>
        <v>0</v>
      </c>
      <c r="C849" s="1239" t="str">
        <f>buildingfinal!B848</f>
        <v>a. 1.35 x 0.60 mt ventilators</v>
      </c>
      <c r="D849" s="1235">
        <f>buildingfinal!C848</f>
        <v>5206</v>
      </c>
      <c r="E849" s="1235" t="str">
        <f>buildingfinal!D848</f>
        <v>Sqm</v>
      </c>
      <c r="F849" s="1235">
        <f t="shared" si="46"/>
        <v>0</v>
      </c>
      <c r="G849" s="1240">
        <f>'[2]Abstract '!D847</f>
        <v>359.93</v>
      </c>
      <c r="H849" s="1216">
        <f>'[2]Abstract '!F847</f>
        <v>36712.86</v>
      </c>
    </row>
    <row r="850" spans="1:8" s="1241" customFormat="1" ht="17.25" hidden="1">
      <c r="A850" s="1233">
        <f>buildingfinal!A849</f>
        <v>0</v>
      </c>
      <c r="B850" s="1521">
        <f>buildingfinal!Q849</f>
        <v>0</v>
      </c>
      <c r="C850" s="1239" t="str">
        <f>buildingfinal!B849</f>
        <v>d. 1.0 x 0.60 mt ventilators</v>
      </c>
      <c r="D850" s="1235">
        <f>buildingfinal!C849</f>
        <v>5203.1499999999996</v>
      </c>
      <c r="E850" s="1235" t="str">
        <f>buildingfinal!D849</f>
        <v>Sqm</v>
      </c>
      <c r="F850" s="1235">
        <f t="shared" si="46"/>
        <v>0</v>
      </c>
      <c r="G850" s="1240">
        <f>'[2]Abstract '!D848</f>
        <v>587.20000000000005</v>
      </c>
      <c r="H850" s="1216">
        <f>'[2]Abstract '!F848</f>
        <v>26424</v>
      </c>
    </row>
    <row r="851" spans="1:8" s="1241" customFormat="1" ht="17.25" hidden="1">
      <c r="A851" s="1233">
        <f>buildingfinal!A850</f>
        <v>0</v>
      </c>
      <c r="B851" s="1521">
        <f>buildingfinal!Q850</f>
        <v>0</v>
      </c>
      <c r="C851" s="1239" t="str">
        <f>buildingfinal!B850</f>
        <v>a. 0.90 x 0.60 mt ventilators</v>
      </c>
      <c r="D851" s="1235">
        <f>buildingfinal!C850</f>
        <v>5203.1499999999996</v>
      </c>
      <c r="E851" s="1235" t="str">
        <f>buildingfinal!D850</f>
        <v>Sqm</v>
      </c>
      <c r="F851" s="1235">
        <f t="shared" si="46"/>
        <v>0</v>
      </c>
      <c r="G851" s="1240">
        <f>'[2]Abstract '!D849</f>
        <v>0</v>
      </c>
      <c r="H851" s="1216">
        <f>'[2]Abstract '!F849</f>
        <v>0</v>
      </c>
    </row>
    <row r="852" spans="1:8" s="1241" customFormat="1" ht="17.25" hidden="1">
      <c r="A852" s="1233">
        <f>buildingfinal!A851</f>
        <v>0</v>
      </c>
      <c r="B852" s="1521">
        <f>buildingfinal!Q851</f>
        <v>0</v>
      </c>
      <c r="C852" s="1239" t="str">
        <f>buildingfinal!B851</f>
        <v>c. 0.75 x 0.60 mt ventilators</v>
      </c>
      <c r="D852" s="1235">
        <f>buildingfinal!C851</f>
        <v>5433.07</v>
      </c>
      <c r="E852" s="1235" t="str">
        <f>buildingfinal!D851</f>
        <v>Sqm</v>
      </c>
      <c r="F852" s="1235">
        <f t="shared" si="46"/>
        <v>0</v>
      </c>
      <c r="G852" s="1240">
        <f>'[2]Abstract '!D850</f>
        <v>156</v>
      </c>
      <c r="H852" s="1216">
        <f>'[2]Abstract '!F850</f>
        <v>312</v>
      </c>
    </row>
    <row r="853" spans="1:8" hidden="1">
      <c r="A853" s="1233">
        <f>buildingfinal!A852</f>
        <v>0</v>
      </c>
      <c r="B853" s="1521">
        <f>buildingfinal!Q852</f>
        <v>0</v>
      </c>
      <c r="C853" s="1239" t="str">
        <f>buildingfinal!B852</f>
        <v>b. 0.60 x 0.60 mt ventilators</v>
      </c>
      <c r="D853" s="1235">
        <f>buildingfinal!C852</f>
        <v>5768</v>
      </c>
      <c r="E853" s="1235" t="str">
        <f>buildingfinal!D852</f>
        <v>Sqm</v>
      </c>
      <c r="F853" s="1235">
        <f t="shared" si="46"/>
        <v>0</v>
      </c>
      <c r="G853" s="1240">
        <f>'[2]Abstract '!D851</f>
        <v>497</v>
      </c>
      <c r="H853" s="1216">
        <f>'[2]Abstract '!F851</f>
        <v>994</v>
      </c>
    </row>
    <row r="854" spans="1:8" s="1241" customFormat="1" ht="17.25" hidden="1">
      <c r="A854" s="1233">
        <f>buildingfinal!A853</f>
        <v>0</v>
      </c>
      <c r="B854" s="1521">
        <f>buildingfinal!Q853</f>
        <v>0</v>
      </c>
      <c r="C854" s="1239" t="str">
        <f>buildingfinal!B853</f>
        <v>Supply &amp; Fixing of MS door  (for lockup door )</v>
      </c>
      <c r="D854" s="1235">
        <f>buildingfinal!C853</f>
        <v>0</v>
      </c>
      <c r="E854" s="1235">
        <f>buildingfinal!D853</f>
        <v>0</v>
      </c>
      <c r="F854" s="1235">
        <f t="shared" si="46"/>
        <v>0</v>
      </c>
      <c r="G854" s="1240">
        <f>'[2]Abstract '!D852</f>
        <v>0</v>
      </c>
      <c r="H854" s="1216">
        <f>'[2]Abstract '!F852</f>
        <v>0</v>
      </c>
    </row>
    <row r="855" spans="1:8" hidden="1">
      <c r="A855" s="1233">
        <f>buildingfinal!A854</f>
        <v>0</v>
      </c>
      <c r="B855" s="1521">
        <f>buildingfinal!Q854</f>
        <v>0</v>
      </c>
      <c r="C855" s="1239" t="str">
        <f>buildingfinal!B854</f>
        <v>MS door of Size 1000 x 2100mm</v>
      </c>
      <c r="D855" s="1235">
        <f>buildingfinal!C854</f>
        <v>9385.85</v>
      </c>
      <c r="E855" s="1235" t="str">
        <f>buildingfinal!D854</f>
        <v>each</v>
      </c>
      <c r="F855" s="1235">
        <f t="shared" si="46"/>
        <v>0</v>
      </c>
      <c r="G855" s="1240">
        <f>'[2]Abstract '!D853</f>
        <v>186</v>
      </c>
      <c r="H855" s="1216">
        <f>'[2]Abstract '!F853</f>
        <v>372</v>
      </c>
    </row>
    <row r="856" spans="1:8" hidden="1">
      <c r="A856" s="1233">
        <f>buildingfinal!A855</f>
        <v>0</v>
      </c>
      <c r="B856" s="1521">
        <f>buildingfinal!Q855</f>
        <v>0</v>
      </c>
      <c r="C856" s="1239" t="str">
        <f>buildingfinal!B855</f>
        <v>MS door of Size 750 x 1350mm</v>
      </c>
      <c r="D856" s="1235">
        <f>buildingfinal!C855</f>
        <v>6112.29</v>
      </c>
      <c r="E856" s="1235" t="str">
        <f>buildingfinal!D855</f>
        <v>Each</v>
      </c>
      <c r="F856" s="1235">
        <f t="shared" si="46"/>
        <v>0</v>
      </c>
      <c r="G856" s="1240">
        <f>'[2]Abstract '!D854</f>
        <v>328</v>
      </c>
      <c r="H856" s="1216">
        <f>'[2]Abstract '!F854</f>
        <v>656</v>
      </c>
    </row>
    <row r="857" spans="1:8" s="1241" customFormat="1" ht="45" hidden="1">
      <c r="A857" s="1233">
        <f>buildingfinal!A856</f>
        <v>0</v>
      </c>
      <c r="B857" s="1521">
        <f>buildingfinal!Q856</f>
        <v>0</v>
      </c>
      <c r="C857" s="1239" t="str">
        <f>buildingfinal!B856</f>
        <v xml:space="preserve">Supply &amp; Fixing of MS ventilator of size 
( lockup)
</v>
      </c>
      <c r="D857" s="1235">
        <f>buildingfinal!C856</f>
        <v>0</v>
      </c>
      <c r="E857" s="1235">
        <f>buildingfinal!D856</f>
        <v>0</v>
      </c>
      <c r="F857" s="1235">
        <f t="shared" si="46"/>
        <v>0</v>
      </c>
      <c r="G857" s="1240"/>
    </row>
    <row r="858" spans="1:8" s="1241" customFormat="1" ht="17.25" hidden="1">
      <c r="A858" s="1233">
        <f>buildingfinal!A857</f>
        <v>0</v>
      </c>
      <c r="B858" s="1521">
        <f>buildingfinal!Q857</f>
        <v>0</v>
      </c>
      <c r="C858" s="1239" t="str">
        <f>buildingfinal!B857</f>
        <v>MS Ventilator of Size 1350 x 600mm</v>
      </c>
      <c r="D858" s="1235">
        <f>buildingfinal!C857</f>
        <v>4297.0600000000004</v>
      </c>
      <c r="E858" s="1235" t="str">
        <f>buildingfinal!D857</f>
        <v>Sqm</v>
      </c>
      <c r="F858" s="1235">
        <f t="shared" si="46"/>
        <v>0</v>
      </c>
      <c r="G858" s="1240">
        <f>'[2]Abstract '!D856</f>
        <v>4600.74</v>
      </c>
      <c r="H858" s="1216">
        <f>'[2]Abstract '!F856</f>
        <v>18402.96</v>
      </c>
    </row>
    <row r="859" spans="1:8" s="1241" customFormat="1" ht="30" hidden="1">
      <c r="A859" s="1233">
        <f>buildingfinal!A858</f>
        <v>0</v>
      </c>
      <c r="B859" s="1521">
        <f>buildingfinal!Q858</f>
        <v>0</v>
      </c>
      <c r="C859" s="1239" t="str">
        <f>buildingfinal!B858</f>
        <v xml:space="preserve"> MS ventilator of size  1200 x 800 mm
</v>
      </c>
      <c r="D859" s="1235">
        <f>buildingfinal!C858</f>
        <v>0</v>
      </c>
      <c r="E859" s="1235" t="str">
        <f>buildingfinal!D858</f>
        <v>Sqm</v>
      </c>
      <c r="F859" s="1235">
        <f t="shared" si="46"/>
        <v>0</v>
      </c>
      <c r="G859" s="1240">
        <f>'[2]Abstract '!D857</f>
        <v>6410.25</v>
      </c>
      <c r="H859" s="1216">
        <f>'[2]Abstract '!F857</f>
        <v>51282</v>
      </c>
    </row>
    <row r="860" spans="1:8" s="1241" customFormat="1" ht="30" hidden="1">
      <c r="A860" s="1233">
        <f>buildingfinal!A859</f>
        <v>0</v>
      </c>
      <c r="B860" s="1521">
        <f>buildingfinal!Q859</f>
        <v>0</v>
      </c>
      <c r="C860" s="1239" t="str">
        <f>buildingfinal!B859</f>
        <v xml:space="preserve"> MS ventilator of size  1200 x 600 mm
</v>
      </c>
      <c r="D860" s="1235">
        <f>buildingfinal!C859</f>
        <v>4348.82</v>
      </c>
      <c r="E860" s="1235" t="str">
        <f>buildingfinal!D859</f>
        <v>Sqm</v>
      </c>
      <c r="F860" s="1235">
        <f t="shared" si="46"/>
        <v>0</v>
      </c>
      <c r="G860" s="1240"/>
    </row>
    <row r="861" spans="1:8" s="1241" customFormat="1" ht="30" hidden="1">
      <c r="A861" s="1233">
        <f>buildingfinal!A860</f>
        <v>0</v>
      </c>
      <c r="B861" s="1521">
        <f>buildingfinal!Q860</f>
        <v>0</v>
      </c>
      <c r="C861" s="1239" t="str">
        <f>buildingfinal!B860</f>
        <v xml:space="preserve"> MS ventilator of size  1000 x 800 mm
</v>
      </c>
      <c r="D861" s="1235">
        <f>buildingfinal!C860</f>
        <v>0</v>
      </c>
      <c r="E861" s="1235" t="str">
        <f>buildingfinal!D860</f>
        <v>Sqm</v>
      </c>
      <c r="F861" s="1235">
        <f t="shared" si="46"/>
        <v>0</v>
      </c>
      <c r="G861" s="1240"/>
    </row>
    <row r="862" spans="1:8" s="1241" customFormat="1" ht="17.25" hidden="1">
      <c r="A862" s="1233">
        <f>buildingfinal!A861</f>
        <v>0</v>
      </c>
      <c r="B862" s="1521">
        <f>buildingfinal!Q861</f>
        <v>0</v>
      </c>
      <c r="C862" s="1239" t="str">
        <f>buildingfinal!B861</f>
        <v>MS Ventilator of Size 900 x 600mm</v>
      </c>
      <c r="D862" s="1235">
        <f>buildingfinal!C861</f>
        <v>4881.1899999999996</v>
      </c>
      <c r="E862" s="1235" t="str">
        <f>buildingfinal!D861</f>
        <v>Sqm</v>
      </c>
      <c r="F862" s="1235">
        <f t="shared" si="46"/>
        <v>0</v>
      </c>
      <c r="G862" s="1240"/>
    </row>
    <row r="863" spans="1:8" s="1241" customFormat="1" ht="17.25" hidden="1">
      <c r="A863" s="1233">
        <f>buildingfinal!A862</f>
        <v>0</v>
      </c>
      <c r="B863" s="1521">
        <f>buildingfinal!Q862</f>
        <v>0</v>
      </c>
      <c r="C863" s="1239" t="str">
        <f>buildingfinal!B862</f>
        <v>MS Ventilator of Size 600 x 600mm</v>
      </c>
      <c r="D863" s="1235">
        <f>buildingfinal!C862</f>
        <v>5175.3599999999997</v>
      </c>
      <c r="E863" s="1235" t="str">
        <f>buildingfinal!D862</f>
        <v>Sqm</v>
      </c>
      <c r="F863" s="1235">
        <f t="shared" si="46"/>
        <v>0</v>
      </c>
      <c r="G863" s="1240"/>
    </row>
    <row r="864" spans="1:8" s="1241" customFormat="1" ht="17.25" hidden="1">
      <c r="A864" s="1233">
        <f>buildingfinal!A863</f>
        <v>0</v>
      </c>
      <c r="B864" s="1521">
        <f>buildingfinal!Q863</f>
        <v>0</v>
      </c>
      <c r="C864" s="1239" t="str">
        <f>buildingfinal!B863</f>
        <v>MS Ventilator of Size 1285 x 600mm</v>
      </c>
      <c r="D864" s="1235">
        <f>buildingfinal!C863</f>
        <v>4457.7700000000004</v>
      </c>
      <c r="E864" s="1235" t="str">
        <f>buildingfinal!D863</f>
        <v>Sqm</v>
      </c>
      <c r="F864" s="1235">
        <f t="shared" si="46"/>
        <v>0</v>
      </c>
      <c r="G864" s="1240"/>
    </row>
    <row r="865" spans="1:8" s="1241" customFormat="1" ht="30" hidden="1">
      <c r="A865" s="1233">
        <f>buildingfinal!A864</f>
        <v>0</v>
      </c>
      <c r="B865" s="1521">
        <f>buildingfinal!Q864</f>
        <v>0</v>
      </c>
      <c r="C865" s="1239" t="str">
        <f>buildingfinal!B864</f>
        <v>Supply and fixing of 19mm dia steam pipe for down rod of fan (SD 106)</v>
      </c>
      <c r="D865" s="1235">
        <f>buildingfinal!C864</f>
        <v>61.8</v>
      </c>
      <c r="E865" s="1235" t="str">
        <f>buildingfinal!D864</f>
        <v>Each</v>
      </c>
      <c r="F865" s="1235">
        <f t="shared" si="46"/>
        <v>0</v>
      </c>
      <c r="G865" s="1240"/>
    </row>
    <row r="866" spans="1:8" s="1241" customFormat="1" ht="30" hidden="1">
      <c r="A866" s="1233">
        <f>buildingfinal!A865</f>
        <v>0</v>
      </c>
      <c r="B866" s="1521">
        <f>buildingfinal!Q865</f>
        <v>0</v>
      </c>
      <c r="C866" s="1239" t="str">
        <f>buildingfinal!B865</f>
        <v>Supply and fixing of  SS Towel rail (75cm length) CER No.178/13-14</v>
      </c>
      <c r="D866" s="1235">
        <f>buildingfinal!C865</f>
        <v>405</v>
      </c>
      <c r="E866" s="1235" t="str">
        <f>buildingfinal!D865</f>
        <v>Rmt</v>
      </c>
      <c r="F866" s="1235">
        <f t="shared" si="46"/>
        <v>0</v>
      </c>
      <c r="G866" s="1240"/>
    </row>
    <row r="867" spans="1:8" s="1241" customFormat="1" ht="30" hidden="1">
      <c r="A867" s="1233">
        <f>buildingfinal!A866</f>
        <v>0</v>
      </c>
      <c r="B867" s="1521">
        <f>buildingfinal!Q866</f>
        <v>0</v>
      </c>
      <c r="C867" s="1239" t="str">
        <f>buildingfinal!B866</f>
        <v>Supply and fixing of weld mesh of size 7.5x2.5cmx10gauge</v>
      </c>
      <c r="D867" s="1235">
        <f>buildingfinal!C866</f>
        <v>325</v>
      </c>
      <c r="E867" s="1235" t="str">
        <f>buildingfinal!D866</f>
        <v>Sqm</v>
      </c>
      <c r="F867" s="1235">
        <f t="shared" si="46"/>
        <v>0</v>
      </c>
      <c r="G867" s="1240"/>
    </row>
    <row r="868" spans="1:8" s="1241" customFormat="1" ht="17.25" hidden="1">
      <c r="A868" s="1233">
        <f>buildingfinal!A867</f>
        <v>0</v>
      </c>
      <c r="B868" s="1521">
        <f>buildingfinal!Q867</f>
        <v>0</v>
      </c>
      <c r="C868" s="1239" t="str">
        <f>buildingfinal!B867</f>
        <v>Supply and fixing of Chicken mesh</v>
      </c>
      <c r="D868" s="1235">
        <f>buildingfinal!C867</f>
        <v>35</v>
      </c>
      <c r="E868" s="1235" t="str">
        <f>buildingfinal!D867</f>
        <v>Sqm</v>
      </c>
      <c r="F868" s="1235">
        <f t="shared" si="46"/>
        <v>0</v>
      </c>
      <c r="G868" s="1240">
        <f>'[2]Abstract '!D866</f>
        <v>0</v>
      </c>
      <c r="H868" s="1216">
        <f>'[2]Abstract '!F866</f>
        <v>0</v>
      </c>
    </row>
    <row r="869" spans="1:8" s="1241" customFormat="1" ht="30" hidden="1">
      <c r="A869" s="1233">
        <f>buildingfinal!A868</f>
        <v>0</v>
      </c>
      <c r="B869" s="1521">
        <f>buildingfinal!Q868</f>
        <v>0</v>
      </c>
      <c r="C869" s="1239" t="str">
        <f>buildingfinal!B868</f>
        <v>S &amp; F of 15mm dia Engineering Polymer Tap (long body ) for coastal area only</v>
      </c>
      <c r="D869" s="1235">
        <f>buildingfinal!C868</f>
        <v>259</v>
      </c>
      <c r="E869" s="1235" t="str">
        <f>buildingfinal!D868</f>
        <v>Each</v>
      </c>
      <c r="F869" s="1235">
        <f t="shared" si="46"/>
        <v>0</v>
      </c>
      <c r="G869" s="1240">
        <f>'[2]Abstract '!D867</f>
        <v>1343</v>
      </c>
      <c r="H869" s="1216">
        <f>'[2]Abstract '!F867</f>
        <v>116841</v>
      </c>
    </row>
    <row r="870" spans="1:8" ht="30" hidden="1">
      <c r="A870" s="1233">
        <f>buildingfinal!A869</f>
        <v>0</v>
      </c>
      <c r="B870" s="1521">
        <f>buildingfinal!Q869</f>
        <v>0</v>
      </c>
      <c r="C870" s="1239" t="str">
        <f>buildingfinal!B869</f>
        <v>S &amp; F of 15mm dia Engineering Polymer Tap  short body tap for coastal area only</v>
      </c>
      <c r="D870" s="1235">
        <f>buildingfinal!C869</f>
        <v>248</v>
      </c>
      <c r="E870" s="1235" t="str">
        <f>buildingfinal!D869</f>
        <v>Each</v>
      </c>
      <c r="F870" s="1235">
        <f t="shared" si="46"/>
        <v>0</v>
      </c>
      <c r="G870" s="1240">
        <f>'[2]Abstract '!D868</f>
        <v>1346</v>
      </c>
      <c r="H870" s="1216">
        <f>'[2]Abstract '!F868</f>
        <v>60570</v>
      </c>
    </row>
    <row r="871" spans="1:8" s="1241" customFormat="1" ht="43.5" hidden="1" customHeight="1">
      <c r="A871" s="1233">
        <f>buildingfinal!A870</f>
        <v>0</v>
      </c>
      <c r="B871" s="1521">
        <f>buildingfinal!Q870</f>
        <v>0</v>
      </c>
      <c r="C871" s="1239" t="str">
        <f>buildingfinal!B870</f>
        <v xml:space="preserve">S &amp; F of CFL road way lighting luminaries suitable for fixing 36w CFL lamp </v>
      </c>
      <c r="D871" s="1235">
        <f>buildingfinal!C870</f>
        <v>3367</v>
      </c>
      <c r="E871" s="1235" t="str">
        <f>buildingfinal!D870</f>
        <v>Each</v>
      </c>
      <c r="F871" s="1235">
        <f t="shared" si="46"/>
        <v>0</v>
      </c>
      <c r="G871" s="1240">
        <f>buildingfinal!R868</f>
        <v>0</v>
      </c>
      <c r="H871" s="1216">
        <f t="shared" ref="H871:H872" si="48">F871-G871</f>
        <v>0</v>
      </c>
    </row>
    <row r="872" spans="1:8" s="1241" customFormat="1" ht="43.5" hidden="1" customHeight="1">
      <c r="A872" s="1233">
        <f>buildingfinal!A871</f>
        <v>0</v>
      </c>
      <c r="B872" s="1521">
        <f>buildingfinal!Q871</f>
        <v>0</v>
      </c>
      <c r="C872" s="1239" t="str">
        <f>buildingfinal!B871</f>
        <v>Prviding Augering  30 cm dia for compound wall (Standardized concrete grade M30)</v>
      </c>
      <c r="D872" s="1235">
        <f>buildingfinal!C871</f>
        <v>1017.6</v>
      </c>
      <c r="E872" s="1235" t="str">
        <f>buildingfinal!D871</f>
        <v>Rmt</v>
      </c>
      <c r="F872" s="1235">
        <f t="shared" si="46"/>
        <v>0</v>
      </c>
      <c r="G872" s="1240">
        <f>buildingfinal!R869</f>
        <v>0</v>
      </c>
      <c r="H872" s="1216">
        <f t="shared" si="48"/>
        <v>0</v>
      </c>
    </row>
    <row r="873" spans="1:8" s="1241" customFormat="1" ht="30" hidden="1">
      <c r="A873" s="1233">
        <f>buildingfinal!A872</f>
        <v>0</v>
      </c>
      <c r="B873" s="1521">
        <f>buildingfinal!Q872</f>
        <v>0</v>
      </c>
      <c r="C873" s="1239" t="str">
        <f>buildingfinal!B872</f>
        <v>Prviding Augering  30 cm dia for compound wall (M20)</v>
      </c>
      <c r="D873" s="1235">
        <f>buildingfinal!C872</f>
        <v>978.96</v>
      </c>
      <c r="E873" s="1235">
        <f>buildingfinal!D872</f>
        <v>0</v>
      </c>
      <c r="F873" s="1235">
        <f t="shared" si="46"/>
        <v>0</v>
      </c>
      <c r="G873" s="1240">
        <f>'[2]Abstract '!D871</f>
        <v>2509</v>
      </c>
      <c r="H873" s="1216">
        <f>'[2]Abstract '!F871</f>
        <v>30108</v>
      </c>
    </row>
    <row r="874" spans="1:8" s="1241" customFormat="1" ht="30" hidden="1">
      <c r="A874" s="1233">
        <f>buildingfinal!A873</f>
        <v>0</v>
      </c>
      <c r="B874" s="1521">
        <f>buildingfinal!Q873</f>
        <v>0</v>
      </c>
      <c r="C874" s="1239" t="str">
        <f>buildingfinal!B873</f>
        <v>Finshing the top of Terrace floor with one course of solar reflective Ceramic tiles with base concrete</v>
      </c>
      <c r="D874" s="1235">
        <f>buildingfinal!C873</f>
        <v>1724.71</v>
      </c>
      <c r="E874" s="1235" t="str">
        <f>buildingfinal!D873</f>
        <v>Sqm.</v>
      </c>
      <c r="F874" s="1235">
        <f t="shared" si="46"/>
        <v>0</v>
      </c>
      <c r="G874" s="1240">
        <f>'[2]Abstract '!D872</f>
        <v>688</v>
      </c>
      <c r="H874" s="1216">
        <f>'[2]Abstract '!F872</f>
        <v>27520</v>
      </c>
    </row>
    <row r="875" spans="1:8" s="1241" customFormat="1" ht="45" hidden="1">
      <c r="A875" s="1233">
        <f>buildingfinal!A874</f>
        <v>0</v>
      </c>
      <c r="B875" s="1521">
        <f>buildingfinal!Q874</f>
        <v>0</v>
      </c>
      <c r="C875" s="1239" t="str">
        <f>buildingfinal!B874</f>
        <v>Finshing the top of Terrace floor with one course of solar reflective Ceramic tiles with OUT base concrete</v>
      </c>
      <c r="D875" s="1235">
        <f>buildingfinal!C874</f>
        <v>1489.95</v>
      </c>
      <c r="E875" s="1235" t="str">
        <f>buildingfinal!D874</f>
        <v>Sqm.</v>
      </c>
      <c r="F875" s="1235">
        <f t="shared" si="46"/>
        <v>0</v>
      </c>
      <c r="G875" s="1240">
        <f>'[2]Abstract '!D873</f>
        <v>937</v>
      </c>
      <c r="H875" s="1216">
        <f>'[2]Abstract '!F873</f>
        <v>20614</v>
      </c>
    </row>
    <row r="876" spans="1:8" s="1241" customFormat="1" ht="30" hidden="1">
      <c r="A876" s="1233">
        <f>buildingfinal!A875</f>
        <v>0</v>
      </c>
      <c r="B876" s="1521">
        <f>buildingfinal!Q875</f>
        <v>0</v>
      </c>
      <c r="C876" s="1239" t="str">
        <f>buildingfinal!B875</f>
        <v>Providing Rajasthan kota stone flooring, C.M 1:3, 20mm tk</v>
      </c>
      <c r="D876" s="1235">
        <f>buildingfinal!C875</f>
        <v>1694.35</v>
      </c>
      <c r="E876" s="1235" t="str">
        <f>buildingfinal!D875</f>
        <v>Sqm.</v>
      </c>
      <c r="F876" s="1235">
        <f t="shared" si="46"/>
        <v>0</v>
      </c>
      <c r="G876" s="1240">
        <f>'[2]Abstract '!D874</f>
        <v>132</v>
      </c>
      <c r="H876" s="1216">
        <f>'[2]Abstract '!F874</f>
        <v>3168</v>
      </c>
    </row>
    <row r="877" spans="1:8" s="1241" customFormat="1" ht="17.25" hidden="1">
      <c r="A877" s="1233" t="str">
        <f>buildingfinal!A876</f>
        <v>51. 1</v>
      </c>
      <c r="B877" s="1521">
        <f>buildingfinal!Q876</f>
        <v>0</v>
      </c>
      <c r="C877" s="1239" t="str">
        <f>buildingfinal!B876</f>
        <v>HDPE water tank 200 lit capacity with ISI mark</v>
      </c>
      <c r="D877" s="1235">
        <f>buildingfinal!C876</f>
        <v>2010</v>
      </c>
      <c r="E877" s="1235" t="str">
        <f>buildingfinal!D876</f>
        <v>Each</v>
      </c>
      <c r="F877" s="1235">
        <f t="shared" si="46"/>
        <v>0</v>
      </c>
      <c r="G877" s="1240">
        <f>'[2]Abstract '!D875</f>
        <v>71393.8</v>
      </c>
      <c r="H877" s="1216">
        <f>'[2]Abstract '!F875</f>
        <v>3744747.6</v>
      </c>
    </row>
    <row r="878" spans="1:8" s="1241" customFormat="1" ht="42" customHeight="1">
      <c r="A878" s="1233">
        <f>buildingfinal!A877</f>
        <v>0</v>
      </c>
      <c r="B878" s="1260" t="str">
        <f>buildingfinal!Q877</f>
        <v>*</v>
      </c>
      <c r="C878" s="1234" t="str">
        <f>buildingfinal!B877</f>
        <v>UPVC Non Pressure  pipe of SN8 SDR 34
( S 16.5) as per IS 15328/2003</v>
      </c>
      <c r="D878" s="1235">
        <f>buildingfinal!C877</f>
        <v>0</v>
      </c>
      <c r="E878" s="1235">
        <f>buildingfinal!D877</f>
        <v>0</v>
      </c>
      <c r="F878" s="1235"/>
      <c r="G878" s="1240">
        <f>'[2]Abstract '!D876</f>
        <v>321.14</v>
      </c>
      <c r="H878" s="1216">
        <f>'[2]Abstract '!F876</f>
        <v>44092.52</v>
      </c>
    </row>
    <row r="879" spans="1:8" s="1241" customFormat="1" ht="32.25" customHeight="1">
      <c r="A879" s="1233">
        <f>buildingfinal!A878</f>
        <v>0</v>
      </c>
      <c r="B879" s="1521">
        <f>buildingfinal!Q878</f>
        <v>60</v>
      </c>
      <c r="C879" s="1239" t="str">
        <f>buildingfinal!B878</f>
        <v>a. 110 mm UPVC Non Pressure  pipe</v>
      </c>
      <c r="D879" s="1235">
        <f>buildingfinal!C878</f>
        <v>490.75</v>
      </c>
      <c r="E879" s="1235" t="str">
        <f>buildingfinal!D878</f>
        <v>Rmt</v>
      </c>
      <c r="F879" s="1235">
        <f t="shared" si="46"/>
        <v>29445</v>
      </c>
      <c r="G879" s="1240"/>
    </row>
    <row r="880" spans="1:8" s="1241" customFormat="1" ht="32.25" customHeight="1">
      <c r="A880" s="1233">
        <f>buildingfinal!A879</f>
        <v>0</v>
      </c>
      <c r="B880" s="1521">
        <f>buildingfinal!Q879</f>
        <v>50</v>
      </c>
      <c r="C880" s="1239" t="str">
        <f>buildingfinal!B879</f>
        <v>b. 160 mm UPVC Non Pressure  pipe</v>
      </c>
      <c r="D880" s="1235">
        <f>buildingfinal!C879</f>
        <v>815</v>
      </c>
      <c r="E880" s="1235" t="str">
        <f>buildingfinal!D879</f>
        <v>Rmt</v>
      </c>
      <c r="F880" s="1235">
        <f t="shared" si="46"/>
        <v>40750</v>
      </c>
      <c r="G880" s="1240">
        <f>buildingfinal!R877</f>
        <v>0</v>
      </c>
      <c r="H880" s="1216">
        <f t="shared" ref="H880:H881" si="49">F880-G880</f>
        <v>40750</v>
      </c>
    </row>
    <row r="881" spans="1:8" s="1241" customFormat="1" ht="32.25" customHeight="1">
      <c r="A881" s="1233">
        <f>buildingfinal!A880</f>
        <v>0</v>
      </c>
      <c r="B881" s="1260" t="str">
        <f>buildingfinal!Q880</f>
        <v>*</v>
      </c>
      <c r="C881" s="1234" t="str">
        <f>buildingfinal!B880</f>
        <v>PVC Specials  as per IS 10124/1982 Part II</v>
      </c>
      <c r="D881" s="1235">
        <f>buildingfinal!C880</f>
        <v>0</v>
      </c>
      <c r="E881" s="1235">
        <f>buildingfinal!D880</f>
        <v>0</v>
      </c>
      <c r="F881" s="1235"/>
      <c r="G881" s="1240">
        <f>buildingfinal!R878</f>
        <v>29445</v>
      </c>
      <c r="H881" s="1216">
        <f t="shared" si="49"/>
        <v>-29445</v>
      </c>
    </row>
    <row r="882" spans="1:8" s="1241" customFormat="1" ht="32.25" customHeight="1">
      <c r="A882" s="1233">
        <f>buildingfinal!A881</f>
        <v>0</v>
      </c>
      <c r="B882" s="1521">
        <f>buildingfinal!Q881</f>
        <v>2</v>
      </c>
      <c r="C882" s="1239" t="str">
        <f>buildingfinal!B881</f>
        <v>a. 110 mm dia PVC bend (TWAD SR 21-22 )</v>
      </c>
      <c r="D882" s="1235">
        <f>buildingfinal!C881</f>
        <v>175.2</v>
      </c>
      <c r="E882" s="1235" t="str">
        <f>buildingfinal!D881</f>
        <v>Each</v>
      </c>
      <c r="F882" s="1235">
        <f t="shared" si="46"/>
        <v>350.4</v>
      </c>
      <c r="G882" s="1240">
        <f>buildingfinal!R879</f>
        <v>40750</v>
      </c>
      <c r="H882" s="1216">
        <f t="shared" ref="H882" si="50">F882-G882</f>
        <v>-40399.599999999999</v>
      </c>
    </row>
    <row r="883" spans="1:8" s="1241" customFormat="1" ht="32.25" customHeight="1">
      <c r="A883" s="1233">
        <f>buildingfinal!A882</f>
        <v>0</v>
      </c>
      <c r="B883" s="1521">
        <f>buildingfinal!Q882</f>
        <v>2</v>
      </c>
      <c r="C883" s="1239" t="str">
        <f>buildingfinal!B882</f>
        <v>b. 160 mm dia PVC bend (TWAD SR 21-22 )</v>
      </c>
      <c r="D883" s="1235">
        <f>buildingfinal!C882</f>
        <v>560.20000000000005</v>
      </c>
      <c r="E883" s="1235" t="str">
        <f>buildingfinal!D882</f>
        <v>Each</v>
      </c>
      <c r="F883" s="1235">
        <f t="shared" si="46"/>
        <v>1120.4000000000001</v>
      </c>
      <c r="G883" s="1240">
        <f>'[2]Abstract '!D881</f>
        <v>202.75</v>
      </c>
      <c r="H883" s="1216">
        <f>'[2]Abstract '!F881</f>
        <v>19017.95</v>
      </c>
    </row>
    <row r="884" spans="1:8" s="1241" customFormat="1" ht="32.25" customHeight="1">
      <c r="A884" s="1233">
        <f>buildingfinal!A883</f>
        <v>0</v>
      </c>
      <c r="B884" s="1260" t="str">
        <f>buildingfinal!Q883</f>
        <v>*</v>
      </c>
      <c r="C884" s="1234" t="str">
        <f>buildingfinal!B883</f>
        <v xml:space="preserve">PVC Equal Tee  as per  BIS 7834/1975 </v>
      </c>
      <c r="D884" s="1235">
        <f>buildingfinal!C883</f>
        <v>0</v>
      </c>
      <c r="E884" s="1235">
        <f>buildingfinal!D883</f>
        <v>0</v>
      </c>
      <c r="F884" s="1235"/>
      <c r="G884" s="1240">
        <f>'[2]Abstract '!D882</f>
        <v>328.33</v>
      </c>
      <c r="H884" s="1216">
        <f>'[2]Abstract '!F882</f>
        <v>372030.71999999997</v>
      </c>
    </row>
    <row r="885" spans="1:8" s="1241" customFormat="1" ht="32.25" customHeight="1">
      <c r="A885" s="1233">
        <f>buildingfinal!A884</f>
        <v>0</v>
      </c>
      <c r="B885" s="1521">
        <f>buildingfinal!Q884</f>
        <v>2</v>
      </c>
      <c r="C885" s="1239" t="str">
        <f>buildingfinal!B884</f>
        <v>a. 110 mm dia PVC Equal tee (TWAD SR 21-22 )</v>
      </c>
      <c r="D885" s="1235">
        <f>buildingfinal!C884</f>
        <v>197.5</v>
      </c>
      <c r="E885" s="1235" t="str">
        <f>buildingfinal!D884</f>
        <v>Each</v>
      </c>
      <c r="F885" s="1235">
        <f t="shared" si="46"/>
        <v>395</v>
      </c>
      <c r="G885" s="1240"/>
    </row>
    <row r="886" spans="1:8" s="1241" customFormat="1" ht="32.25" customHeight="1">
      <c r="A886" s="1233">
        <f>buildingfinal!A885</f>
        <v>0</v>
      </c>
      <c r="B886" s="1521">
        <f>buildingfinal!Q885</f>
        <v>2</v>
      </c>
      <c r="C886" s="1239" t="str">
        <f>buildingfinal!B885</f>
        <v>b. 160 mm dia PVC Equal tee (TWAD SR 20-21 )</v>
      </c>
      <c r="D886" s="1235">
        <f>buildingfinal!C885</f>
        <v>371.8</v>
      </c>
      <c r="E886" s="1235" t="str">
        <f>buildingfinal!D885</f>
        <v>Each</v>
      </c>
      <c r="F886" s="1235">
        <f t="shared" si="46"/>
        <v>743.6</v>
      </c>
      <c r="G886" s="1240"/>
    </row>
    <row r="887" spans="1:8" ht="57.75" customHeight="1">
      <c r="A887" s="1233">
        <f>buildingfinal!A886</f>
        <v>0</v>
      </c>
      <c r="B887" s="1521">
        <f>buildingfinal!Q886</f>
        <v>1</v>
      </c>
      <c r="C887" s="1239" t="str">
        <f>buildingfinal!B886</f>
        <v xml:space="preserve">S &amp; F of Indian Water closet white glazed (Oriya type) of size 580 x 440mm with PVC SWR grade ' P' or "S' trap - in G.F.  </v>
      </c>
      <c r="D887" s="1235">
        <f>buildingfinal!C886</f>
        <v>3416.69</v>
      </c>
      <c r="E887" s="1235" t="str">
        <f>buildingfinal!D886</f>
        <v>Each</v>
      </c>
      <c r="F887" s="1235">
        <f t="shared" si="46"/>
        <v>3416.69</v>
      </c>
      <c r="G887" s="1240"/>
      <c r="H887" s="1217">
        <f>F870-'[3]Building+Dev( Coding)'!AD867</f>
        <v>-142895581.52000001</v>
      </c>
    </row>
    <row r="888" spans="1:8" ht="58.5" customHeight="1">
      <c r="A888" s="1233">
        <f>buildingfinal!A887</f>
        <v>0</v>
      </c>
      <c r="B888" s="1521">
        <f>buildingfinal!Q887</f>
        <v>6</v>
      </c>
      <c r="C888" s="1239" t="str">
        <f>buildingfinal!B887</f>
        <v xml:space="preserve">S &amp; F of Indian Water closet white glazed (Oriya type) of size 580 x 440mm  with PVC SWR grade ' P' or "S' trap- Other than  G.F.  </v>
      </c>
      <c r="D888" s="1235">
        <f>buildingfinal!C887</f>
        <v>5371.28</v>
      </c>
      <c r="E888" s="1235" t="str">
        <f>buildingfinal!D887</f>
        <v>Each</v>
      </c>
      <c r="F888" s="1235">
        <f t="shared" si="46"/>
        <v>32227.68</v>
      </c>
      <c r="G888" s="1240"/>
      <c r="H888" s="1217">
        <f>F870-'[3]Building+Dev( Coding)'!AD867</f>
        <v>-142895581.52000001</v>
      </c>
    </row>
    <row r="889" spans="1:8" ht="39" customHeight="1">
      <c r="A889" s="1233">
        <f>buildingfinal!A888</f>
        <v>0</v>
      </c>
      <c r="B889" s="1521">
        <f>buildingfinal!Q888</f>
        <v>17</v>
      </c>
      <c r="C889" s="1239" t="str">
        <f>buildingfinal!B888</f>
        <v xml:space="preserve">S &amp; F of E.W.C.(White) 500 mm with PVC SWR grade "P" or "S" TRAP </v>
      </c>
      <c r="D889" s="1235">
        <f>buildingfinal!C888</f>
        <v>7257.85</v>
      </c>
      <c r="E889" s="1235" t="str">
        <f>buildingfinal!D888</f>
        <v>Each</v>
      </c>
      <c r="F889" s="1235">
        <f t="shared" si="46"/>
        <v>123383.45</v>
      </c>
      <c r="G889" s="1240">
        <f>buildingfinal!R886</f>
        <v>3416.69</v>
      </c>
      <c r="H889" s="1216">
        <f t="shared" ref="H889:H891" si="51">F889-G889</f>
        <v>119966.76</v>
      </c>
    </row>
    <row r="890" spans="1:8" ht="59.25" hidden="1" customHeight="1">
      <c r="A890" s="1233">
        <f>buildingfinal!A889</f>
        <v>0</v>
      </c>
      <c r="B890" s="1521">
        <f>buildingfinal!Q889</f>
        <v>0</v>
      </c>
      <c r="C890" s="1239" t="str">
        <f>buildingfinal!B889</f>
        <v xml:space="preserve">S &amp; F of E.W.C.( Colour) 500 mm with PVC SWR grade "P" or "S" TRAP </v>
      </c>
      <c r="D890" s="1235">
        <f>buildingfinal!C889</f>
        <v>7651.85</v>
      </c>
      <c r="E890" s="1235" t="str">
        <f>buildingfinal!D889</f>
        <v>Each</v>
      </c>
      <c r="F890" s="1235">
        <f t="shared" si="46"/>
        <v>0</v>
      </c>
      <c r="G890" s="1240">
        <f>buildingfinal!R887</f>
        <v>32227.68</v>
      </c>
      <c r="H890" s="1216">
        <f t="shared" si="51"/>
        <v>-32227.68</v>
      </c>
    </row>
    <row r="891" spans="1:8" ht="37.5" hidden="1" customHeight="1">
      <c r="A891" s="1233">
        <f>buildingfinal!A890</f>
        <v>0</v>
      </c>
      <c r="B891" s="1521">
        <f>buildingfinal!Q890</f>
        <v>0</v>
      </c>
      <c r="C891" s="1239" t="str">
        <f>buildingfinal!B890</f>
        <v>French window  ( SP Perambalur)</v>
      </c>
      <c r="D891" s="1235">
        <f>buildingfinal!C890</f>
        <v>0</v>
      </c>
      <c r="E891" s="1235">
        <f>buildingfinal!D890</f>
        <v>0</v>
      </c>
      <c r="F891" s="1235">
        <f t="shared" si="46"/>
        <v>0</v>
      </c>
      <c r="G891" s="1240">
        <f>buildingfinal!R888</f>
        <v>123383.45</v>
      </c>
      <c r="H891" s="1216">
        <f t="shared" si="51"/>
        <v>-123383.45</v>
      </c>
    </row>
    <row r="892" spans="1:8" hidden="1">
      <c r="A892" s="1233">
        <f>buildingfinal!A891</f>
        <v>0</v>
      </c>
      <c r="B892" s="1521">
        <f>buildingfinal!Q891</f>
        <v>0</v>
      </c>
      <c r="C892" s="1239" t="str">
        <f>buildingfinal!B891</f>
        <v xml:space="preserve">a. FW  (2.1 x 2.0 m ) 3 bay openable </v>
      </c>
      <c r="D892" s="1235">
        <f>buildingfinal!C891</f>
        <v>2118.38</v>
      </c>
      <c r="E892" s="1235" t="str">
        <f>buildingfinal!D891</f>
        <v>Sqm</v>
      </c>
      <c r="F892" s="1235">
        <f t="shared" si="46"/>
        <v>0</v>
      </c>
      <c r="G892" s="1240"/>
      <c r="H892" s="1217"/>
    </row>
    <row r="893" spans="1:8" hidden="1">
      <c r="A893" s="1233">
        <f>buildingfinal!A892</f>
        <v>0</v>
      </c>
      <c r="B893" s="1521">
        <f>buildingfinal!Q892</f>
        <v>0</v>
      </c>
      <c r="C893" s="1239" t="str">
        <f>buildingfinal!B892</f>
        <v xml:space="preserve">b.FW 1 (1.80 x 2.0 m )3 bay openable </v>
      </c>
      <c r="D893" s="1235">
        <f>buildingfinal!C892</f>
        <v>2413.36</v>
      </c>
      <c r="E893" s="1235" t="str">
        <f>buildingfinal!D892</f>
        <v>Sqm</v>
      </c>
      <c r="F893" s="1235">
        <f t="shared" si="46"/>
        <v>0</v>
      </c>
      <c r="G893" s="1240"/>
      <c r="H893" s="1217"/>
    </row>
    <row r="894" spans="1:8" hidden="1">
      <c r="A894" s="1233">
        <f>buildingfinal!A893</f>
        <v>0</v>
      </c>
      <c r="B894" s="1521">
        <f>buildingfinal!Q893</f>
        <v>0</v>
      </c>
      <c r="C894" s="1239" t="str">
        <f>buildingfinal!B893</f>
        <v xml:space="preserve">c. FW 2  (1.20 x 2.0 m ) 2 bay openable </v>
      </c>
      <c r="D894" s="1235">
        <f>buildingfinal!C893</f>
        <v>2413.37</v>
      </c>
      <c r="E894" s="1235" t="str">
        <f>buildingfinal!D893</f>
        <v>Sqm</v>
      </c>
      <c r="F894" s="1235">
        <f t="shared" si="46"/>
        <v>0</v>
      </c>
      <c r="G894" s="1240"/>
      <c r="H894" s="1217"/>
    </row>
    <row r="895" spans="1:8" hidden="1">
      <c r="A895" s="1233">
        <f>buildingfinal!A894</f>
        <v>0</v>
      </c>
      <c r="B895" s="1521">
        <f>buildingfinal!Q894</f>
        <v>0</v>
      </c>
      <c r="C895" s="1239" t="str">
        <f>buildingfinal!B894</f>
        <v xml:space="preserve">d.FW 3 (0.75 x 2.0 m ) Single  bay openable </v>
      </c>
      <c r="D895" s="1235">
        <f>buildingfinal!C894</f>
        <v>2870.15</v>
      </c>
      <c r="E895" s="1235" t="str">
        <f>buildingfinal!D894</f>
        <v>Sqm</v>
      </c>
      <c r="F895" s="1235">
        <f t="shared" si="46"/>
        <v>0</v>
      </c>
      <c r="G895" s="1240"/>
      <c r="H895" s="1217"/>
    </row>
    <row r="896" spans="1:8" hidden="1">
      <c r="A896" s="1233">
        <f>buildingfinal!A895</f>
        <v>0</v>
      </c>
      <c r="B896" s="1521">
        <f>buildingfinal!Q895</f>
        <v>0</v>
      </c>
      <c r="C896" s="1239" t="str">
        <f>buildingfinal!B895</f>
        <v>e. FD/ FW  (0.57 x 2.0 m )Single  bay openable</v>
      </c>
      <c r="D896" s="1235">
        <f>buildingfinal!C895</f>
        <v>3714.01</v>
      </c>
      <c r="E896" s="1235" t="str">
        <f>buildingfinal!D895</f>
        <v>Sqm</v>
      </c>
      <c r="F896" s="1235">
        <f t="shared" si="46"/>
        <v>0</v>
      </c>
      <c r="G896" s="1240"/>
      <c r="H896" s="1217"/>
    </row>
    <row r="897" spans="1:8" hidden="1">
      <c r="A897" s="1233">
        <f>buildingfinal!A896</f>
        <v>0</v>
      </c>
      <c r="B897" s="1521">
        <f>buildingfinal!Q896</f>
        <v>0</v>
      </c>
      <c r="C897" s="1239" t="str">
        <f>buildingfinal!B896</f>
        <v xml:space="preserve">f. 1.50 x 2.00 mt.window  sankar nagar DSP </v>
      </c>
      <c r="D897" s="1235">
        <f>buildingfinal!C896</f>
        <v>3509.07</v>
      </c>
      <c r="E897" s="1235" t="str">
        <f>buildingfinal!D896</f>
        <v>Sqm</v>
      </c>
      <c r="F897" s="1235">
        <f t="shared" si="46"/>
        <v>0</v>
      </c>
      <c r="G897" s="1240"/>
      <c r="H897" s="1217"/>
    </row>
    <row r="898" spans="1:8" ht="60" hidden="1">
      <c r="A898" s="1233">
        <f>buildingfinal!A897</f>
        <v>0</v>
      </c>
      <c r="B898" s="1521">
        <f>buildingfinal!Q897</f>
        <v>0</v>
      </c>
      <c r="C898" s="1239" t="str">
        <f>buildingfinal!B897</f>
        <v>Wiring with 1.5 sqmm PVC insulated single core multi strand fire retardant flexible copper cable with ISI mark confirming IS: 694:1990.
( PVC Box , Fire Retarded Box) For Coastal only</v>
      </c>
      <c r="D898" s="1235">
        <f>buildingfinal!C897</f>
        <v>0</v>
      </c>
      <c r="E898" s="1235">
        <f>buildingfinal!D897</f>
        <v>0</v>
      </c>
      <c r="F898" s="1235">
        <f t="shared" si="46"/>
        <v>0</v>
      </c>
      <c r="G898" s="1240"/>
      <c r="H898" s="1217"/>
    </row>
    <row r="899" spans="1:8" hidden="1">
      <c r="A899" s="1233">
        <f>buildingfinal!A898</f>
        <v>0</v>
      </c>
      <c r="B899" s="1521">
        <f>buildingfinal!Q898</f>
        <v>0</v>
      </c>
      <c r="C899" s="1239" t="str">
        <f>buildingfinal!B898</f>
        <v>a. Light point with ceiling rose</v>
      </c>
      <c r="D899" s="1235">
        <f>buildingfinal!C898</f>
        <v>1617</v>
      </c>
      <c r="E899" s="1235" t="str">
        <f>buildingfinal!D898</f>
        <v>Each</v>
      </c>
      <c r="F899" s="1235">
        <f t="shared" si="46"/>
        <v>0</v>
      </c>
      <c r="G899" s="1240"/>
      <c r="H899" s="1217"/>
    </row>
    <row r="900" spans="1:8" ht="72" hidden="1" customHeight="1">
      <c r="A900" s="1233">
        <f>buildingfinal!A899</f>
        <v>0</v>
      </c>
      <c r="B900" s="1521">
        <f>buildingfinal!Q899</f>
        <v>0</v>
      </c>
      <c r="C900" s="1239" t="str">
        <f>buildingfinal!B899</f>
        <v>b. Light point without ceiling rose</v>
      </c>
      <c r="D900" s="1235">
        <f>buildingfinal!C899</f>
        <v>1620</v>
      </c>
      <c r="E900" s="1235" t="str">
        <f>buildingfinal!D899</f>
        <v>Each</v>
      </c>
      <c r="F900" s="1235">
        <f t="shared" si="46"/>
        <v>0</v>
      </c>
      <c r="G900" s="1240">
        <f>buildingfinal!R897</f>
        <v>0</v>
      </c>
      <c r="H900" s="1216">
        <f t="shared" ref="H900:H909" si="52">F900-G900</f>
        <v>0</v>
      </c>
    </row>
    <row r="901" spans="1:8" ht="27.75" hidden="1" customHeight="1">
      <c r="A901" s="1233">
        <f>buildingfinal!A900</f>
        <v>0</v>
      </c>
      <c r="B901" s="1521">
        <f>buildingfinal!Q900</f>
        <v>0</v>
      </c>
      <c r="C901" s="1239" t="str">
        <f>buildingfinal!B900</f>
        <v>c. Calling bell point with Buzzer/Calling bell</v>
      </c>
      <c r="D901" s="1235">
        <f>buildingfinal!C900</f>
        <v>1651</v>
      </c>
      <c r="E901" s="1235" t="str">
        <f>buildingfinal!D900</f>
        <v>Each</v>
      </c>
      <c r="F901" s="1235">
        <f t="shared" si="46"/>
        <v>0</v>
      </c>
      <c r="G901" s="1240">
        <f>buildingfinal!R898</f>
        <v>0</v>
      </c>
      <c r="H901" s="1216">
        <f t="shared" si="52"/>
        <v>0</v>
      </c>
    </row>
    <row r="902" spans="1:8" ht="27.75" hidden="1" customHeight="1">
      <c r="A902" s="1233">
        <f>buildingfinal!A901</f>
        <v>0</v>
      </c>
      <c r="B902" s="1521">
        <f>buildingfinal!Q901</f>
        <v>0</v>
      </c>
      <c r="C902" s="1239" t="str">
        <f>buildingfinal!B901</f>
        <v>Wiring with 1.5 sqmm PVC insulated single core multi strand fire retardant flexible copper cable with ISI mark confirming IS: 694:1990 for Fan point.(PVC Electrical Box )</v>
      </c>
      <c r="D902" s="1235">
        <f>buildingfinal!C901</f>
        <v>1672</v>
      </c>
      <c r="E902" s="1235" t="str">
        <f>buildingfinal!D901</f>
        <v>Each</v>
      </c>
      <c r="F902" s="1235">
        <f t="shared" si="46"/>
        <v>0</v>
      </c>
      <c r="G902" s="1240">
        <f>buildingfinal!R899</f>
        <v>0</v>
      </c>
      <c r="H902" s="1216">
        <f t="shared" si="52"/>
        <v>0</v>
      </c>
    </row>
    <row r="903" spans="1:8" ht="27.75" hidden="1" customHeight="1">
      <c r="A903" s="1233">
        <f>buildingfinal!A902</f>
        <v>0</v>
      </c>
      <c r="B903" s="1521">
        <f>buildingfinal!Q902</f>
        <v>0</v>
      </c>
      <c r="C903" s="1239" t="str">
        <f>buildingfinal!B902</f>
        <v>Wiring with 1.5 sqmm PVC insulated single core multi strand fire retardant flexible copper cable with ISI mark confirming IS: 694:1990 for Staircase Light Point.(PVC Electrical Box )</v>
      </c>
      <c r="D903" s="1235">
        <f>buildingfinal!C902</f>
        <v>3038</v>
      </c>
      <c r="E903" s="1235" t="str">
        <f>buildingfinal!D902</f>
        <v>Each</v>
      </c>
      <c r="F903" s="1235">
        <f t="shared" si="46"/>
        <v>0</v>
      </c>
      <c r="G903" s="1240">
        <f>buildingfinal!R900</f>
        <v>0</v>
      </c>
      <c r="H903" s="1216">
        <f t="shared" si="52"/>
        <v>0</v>
      </c>
    </row>
    <row r="904" spans="1:8" ht="65.25" hidden="1" customHeight="1">
      <c r="A904" s="1233">
        <f>buildingfinal!A903</f>
        <v>67.099999999999994</v>
      </c>
      <c r="B904" s="1521">
        <f>buildingfinal!Q903</f>
        <v>0</v>
      </c>
      <c r="C904" s="1239" t="str">
        <f>buildingfinal!B903</f>
        <v>Wiring with 1.5 sqmm PVC insulated single core multi strand fire retardant flexible copper cable with ISI mark confirming IS: 694:1990 for 5 amps 5 pin plug socket point @ Switch Board Itself.</v>
      </c>
      <c r="D904" s="1235">
        <f>buildingfinal!C903</f>
        <v>830</v>
      </c>
      <c r="E904" s="1235" t="str">
        <f>buildingfinal!D903</f>
        <v>Each</v>
      </c>
      <c r="F904" s="1235">
        <f t="shared" ref="F904:F967" si="53">D904*B904</f>
        <v>0</v>
      </c>
      <c r="G904" s="1240">
        <f>buildingfinal!R901</f>
        <v>0</v>
      </c>
      <c r="H904" s="1216">
        <f t="shared" si="52"/>
        <v>0</v>
      </c>
    </row>
    <row r="905" spans="1:8" ht="68.25" hidden="1" customHeight="1">
      <c r="A905" s="1233">
        <f>buildingfinal!A904</f>
        <v>0</v>
      </c>
      <c r="B905" s="1521">
        <f>buildingfinal!Q904</f>
        <v>0</v>
      </c>
      <c r="C905" s="1239" t="str">
        <f>buildingfinal!B904</f>
        <v>Wiring with 1.5 sqmm PVC insulated single core multi strand fire retardant flexible copper cable with ISI mark confirming IS: 694:1990 for 5 amps 5 pin plug socket point @ Convenient Places.(PVC Electrical Box )</v>
      </c>
      <c r="D905" s="1235">
        <f>buildingfinal!C904</f>
        <v>1120</v>
      </c>
      <c r="E905" s="1235" t="str">
        <f>buildingfinal!D904</f>
        <v>Each</v>
      </c>
      <c r="F905" s="1235">
        <f t="shared" si="53"/>
        <v>0</v>
      </c>
      <c r="G905" s="1240">
        <f>buildingfinal!R902</f>
        <v>0</v>
      </c>
      <c r="H905" s="1216">
        <f t="shared" si="52"/>
        <v>0</v>
      </c>
    </row>
    <row r="906" spans="1:8" ht="70.5" hidden="1" customHeight="1">
      <c r="A906" s="1233">
        <f>buildingfinal!A905</f>
        <v>0</v>
      </c>
      <c r="B906" s="1521">
        <f>buildingfinal!Q905</f>
        <v>0</v>
      </c>
      <c r="C906" s="1239" t="str">
        <f>buildingfinal!B905</f>
        <v>Supplying and fixing of 15 Amps 3 pin flush type plug using ( PVC Box , Fire Retarded Box)</v>
      </c>
      <c r="D906" s="1235">
        <f>buildingfinal!C905</f>
        <v>135</v>
      </c>
      <c r="E906" s="1235" t="str">
        <f>buildingfinal!D905</f>
        <v>Each</v>
      </c>
      <c r="F906" s="1235">
        <f t="shared" si="53"/>
        <v>0</v>
      </c>
      <c r="G906" s="1240">
        <f>buildingfinal!R903</f>
        <v>0</v>
      </c>
      <c r="H906" s="1216">
        <f t="shared" si="52"/>
        <v>0</v>
      </c>
    </row>
    <row r="907" spans="1:8" ht="83.25" hidden="1" customHeight="1">
      <c r="A907" s="1233">
        <f>buildingfinal!A906</f>
        <v>0</v>
      </c>
      <c r="B907" s="1521">
        <f>buildingfinal!Q906</f>
        <v>0</v>
      </c>
      <c r="C907" s="1239" t="str">
        <f>buildingfinal!B906</f>
        <v xml:space="preserve">Fabrication of Mild steel / RTS grills (without cement slurry) for all sizes of rods.(BINDING WIRE insulated with PVC)
</v>
      </c>
      <c r="D907" s="1235">
        <f>buildingfinal!C906</f>
        <v>90322.8</v>
      </c>
      <c r="E907" s="1235" t="str">
        <f>buildingfinal!D906</f>
        <v>MT</v>
      </c>
      <c r="F907" s="1235">
        <f t="shared" si="53"/>
        <v>0</v>
      </c>
      <c r="G907" s="1240">
        <f>buildingfinal!R904</f>
        <v>0</v>
      </c>
      <c r="H907" s="1216">
        <f t="shared" si="52"/>
        <v>0</v>
      </c>
    </row>
    <row r="908" spans="1:8" ht="43.5" hidden="1" customHeight="1">
      <c r="A908" s="1233">
        <f>buildingfinal!A907</f>
        <v>0</v>
      </c>
      <c r="B908" s="1521">
        <f>buildingfinal!Q907</f>
        <v>0</v>
      </c>
      <c r="C908" s="1239" t="str">
        <f>buildingfinal!B907</f>
        <v>PVC SWR 110 mm dia with ISI mark type- A for Rain water down fall pipe(UPVC SPECIAL CLAMP )</v>
      </c>
      <c r="D908" s="1235">
        <f>buildingfinal!C907</f>
        <v>353.71</v>
      </c>
      <c r="E908" s="1235" t="str">
        <f>buildingfinal!D907</f>
        <v>Rmt</v>
      </c>
      <c r="F908" s="1235">
        <f t="shared" si="53"/>
        <v>0</v>
      </c>
      <c r="G908" s="1240">
        <f>buildingfinal!R905</f>
        <v>0</v>
      </c>
      <c r="H908" s="1216">
        <f t="shared" si="52"/>
        <v>0</v>
      </c>
    </row>
    <row r="909" spans="1:8" ht="55.5" hidden="1" customHeight="1">
      <c r="A909" s="1233">
        <f>buildingfinal!A908</f>
        <v>0</v>
      </c>
      <c r="B909" s="1521">
        <f>buildingfinal!Q908</f>
        <v>0</v>
      </c>
      <c r="C909" s="1239" t="str">
        <f>buildingfinal!B908</f>
        <v>Supply and fixing in posistion of 2 ply and four pronged ( Galvanised) 10 guage (barbed wire)</v>
      </c>
      <c r="D909" s="1235">
        <f>buildingfinal!C908</f>
        <v>37.659999999999997</v>
      </c>
      <c r="E909" s="1235">
        <f>buildingfinal!D908</f>
        <v>0</v>
      </c>
      <c r="F909" s="1235">
        <f t="shared" si="53"/>
        <v>0</v>
      </c>
      <c r="G909" s="1240">
        <f>buildingfinal!R906</f>
        <v>0</v>
      </c>
      <c r="H909" s="1216">
        <f t="shared" si="52"/>
        <v>0</v>
      </c>
    </row>
    <row r="910" spans="1:8" ht="30" hidden="1">
      <c r="A910" s="1233">
        <f>buildingfinal!A909</f>
        <v>0</v>
      </c>
      <c r="B910" s="1521">
        <f>buildingfinal!Q909</f>
        <v>0</v>
      </c>
      <c r="C910" s="1239" t="str">
        <f>buildingfinal!B909</f>
        <v xml:space="preserve">Supply ,laying &amp; jointing the following pipes as per ASTM D 1785 of schedule 40 with  UPVC Specials </v>
      </c>
      <c r="D910" s="1235">
        <f>buildingfinal!C909</f>
        <v>0</v>
      </c>
      <c r="E910" s="1235">
        <f>buildingfinal!D909</f>
        <v>0</v>
      </c>
      <c r="F910" s="1235">
        <f t="shared" si="53"/>
        <v>0</v>
      </c>
      <c r="G910" s="1240"/>
      <c r="H910" s="1217"/>
    </row>
    <row r="911" spans="1:8" hidden="1">
      <c r="A911" s="1233">
        <f>buildingfinal!A910</f>
        <v>0</v>
      </c>
      <c r="B911" s="1521">
        <f>buildingfinal!Q910</f>
        <v>0</v>
      </c>
      <c r="C911" s="1239" t="str">
        <f>buildingfinal!B910</f>
        <v xml:space="preserve">a. 32 mm dia </v>
      </c>
      <c r="D911" s="1235">
        <f>buildingfinal!C910</f>
        <v>261.45999999999998</v>
      </c>
      <c r="E911" s="1235" t="str">
        <f>buildingfinal!D910</f>
        <v>Rmt</v>
      </c>
      <c r="F911" s="1235">
        <f t="shared" si="53"/>
        <v>0</v>
      </c>
      <c r="G911" s="1240"/>
      <c r="H911" s="1217"/>
    </row>
    <row r="912" spans="1:8" ht="53.25" hidden="1" customHeight="1">
      <c r="A912" s="1233">
        <f>buildingfinal!A911</f>
        <v>0</v>
      </c>
      <c r="B912" s="1521">
        <f>buildingfinal!Q911</f>
        <v>0</v>
      </c>
      <c r="C912" s="1239" t="str">
        <f>buildingfinal!B911</f>
        <v xml:space="preserve">b. 25 mm dia </v>
      </c>
      <c r="D912" s="1235">
        <f>buildingfinal!C911</f>
        <v>243.43</v>
      </c>
      <c r="E912" s="1235" t="str">
        <f>buildingfinal!D911</f>
        <v>Rmt</v>
      </c>
      <c r="F912" s="1235">
        <f t="shared" si="53"/>
        <v>0</v>
      </c>
      <c r="G912" s="1240">
        <f>buildingfinal!R909</f>
        <v>0</v>
      </c>
      <c r="H912" s="1216">
        <f t="shared" ref="H912:H914" si="54">F912-G912</f>
        <v>0</v>
      </c>
    </row>
    <row r="913" spans="1:8" ht="27" hidden="1" customHeight="1">
      <c r="A913" s="1233">
        <f>buildingfinal!A912</f>
        <v>0</v>
      </c>
      <c r="B913" s="1521">
        <f>buildingfinal!Q912</f>
        <v>0</v>
      </c>
      <c r="C913" s="1239" t="str">
        <f>buildingfinal!B912</f>
        <v>c. 20mm dia PVC water supply ASTM pipe (fully consealed in walls)</v>
      </c>
      <c r="D913" s="1235">
        <f>buildingfinal!C912</f>
        <v>240.64</v>
      </c>
      <c r="E913" s="1235" t="str">
        <f>buildingfinal!D912</f>
        <v>Rmt</v>
      </c>
      <c r="F913" s="1235">
        <f t="shared" si="53"/>
        <v>0</v>
      </c>
      <c r="G913" s="1240">
        <f>buildingfinal!R910</f>
        <v>0</v>
      </c>
      <c r="H913" s="1216">
        <f t="shared" si="54"/>
        <v>0</v>
      </c>
    </row>
    <row r="914" spans="1:8" ht="27" hidden="1" customHeight="1">
      <c r="A914" s="1233">
        <f>buildingfinal!A913</f>
        <v>0</v>
      </c>
      <c r="B914" s="1521">
        <f>buildingfinal!Q913</f>
        <v>0</v>
      </c>
      <c r="C914" s="1239" t="str">
        <f>buildingfinal!B913</f>
        <v xml:space="preserve">d. 50 mm dia </v>
      </c>
      <c r="D914" s="1235">
        <f>buildingfinal!C913</f>
        <v>297.45999999999998</v>
      </c>
      <c r="E914" s="1235" t="str">
        <f>buildingfinal!D913</f>
        <v>Rmt</v>
      </c>
      <c r="F914" s="1235">
        <f t="shared" si="53"/>
        <v>0</v>
      </c>
      <c r="G914" s="1240">
        <f>buildingfinal!R911</f>
        <v>0</v>
      </c>
      <c r="H914" s="1216">
        <f t="shared" si="54"/>
        <v>0</v>
      </c>
    </row>
    <row r="915" spans="1:8" ht="57.75" customHeight="1">
      <c r="A915" s="1233">
        <f>buildingfinal!A914</f>
        <v>0</v>
      </c>
      <c r="B915" s="1521">
        <f>buildingfinal!Q914</f>
        <v>5</v>
      </c>
      <c r="C915" s="1239" t="str">
        <f>buildingfinal!B914</f>
        <v>Supply and fixing of 2 x 2' square type recessed / surface mounted fitting with 36 W LED bulbs  and with necessary connection (higher end))</v>
      </c>
      <c r="D915" s="1235">
        <f>buildingfinal!C914</f>
        <v>2708</v>
      </c>
      <c r="E915" s="1235" t="str">
        <f>buildingfinal!D914</f>
        <v>Each</v>
      </c>
      <c r="F915" s="1235">
        <f t="shared" si="53"/>
        <v>13540</v>
      </c>
      <c r="G915" s="1240"/>
      <c r="H915" s="1217"/>
    </row>
    <row r="916" spans="1:8" ht="27" hidden="1" customHeight="1">
      <c r="A916" s="1233">
        <f>buildingfinal!A915</f>
        <v>0</v>
      </c>
      <c r="B916" s="1521">
        <f>buildingfinal!Q915</f>
        <v>0</v>
      </c>
      <c r="C916" s="1239" t="str">
        <f>buildingfinal!B915</f>
        <v>Providing Colour Marble chips of size 10mm and below using 70.20Kgs of cement and 15 cum of Colour Marble chips for every 10 sqm over the existing plastered surface  ( For coastal area)</v>
      </c>
      <c r="D916" s="1235">
        <f>buildingfinal!C915</f>
        <v>380.95</v>
      </c>
      <c r="E916" s="1235" t="str">
        <f>buildingfinal!D915</f>
        <v>Sqm</v>
      </c>
      <c r="F916" s="1235">
        <f t="shared" si="53"/>
        <v>0</v>
      </c>
      <c r="G916" s="1240">
        <f>buildingfinal!R913</f>
        <v>0</v>
      </c>
      <c r="H916" s="1216">
        <f>F916-G916</f>
        <v>0</v>
      </c>
    </row>
    <row r="917" spans="1:8" ht="31.5" customHeight="1">
      <c r="A917" s="1233">
        <f>buildingfinal!A916</f>
        <v>0</v>
      </c>
      <c r="B917" s="1521">
        <f>buildingfinal!Q916</f>
        <v>30</v>
      </c>
      <c r="C917" s="1239" t="str">
        <f>buildingfinal!B916</f>
        <v>S &amp; F of 15mm dia half turn CP long body tap</v>
      </c>
      <c r="D917" s="1235">
        <f>buildingfinal!C916</f>
        <v>494</v>
      </c>
      <c r="E917" s="1235" t="str">
        <f>buildingfinal!D916</f>
        <v>Each</v>
      </c>
      <c r="F917" s="1235">
        <f t="shared" si="53"/>
        <v>14820</v>
      </c>
      <c r="G917" s="1240"/>
      <c r="H917" s="1217"/>
    </row>
    <row r="918" spans="1:8" ht="31.5" customHeight="1">
      <c r="A918" s="1233">
        <f>buildingfinal!A917</f>
        <v>0</v>
      </c>
      <c r="B918" s="1521">
        <f>buildingfinal!Q917</f>
        <v>24</v>
      </c>
      <c r="C918" s="1239" t="str">
        <f>buildingfinal!B917</f>
        <v>S &amp; F of 15mm dia half turn CP short body tap</v>
      </c>
      <c r="D918" s="1235">
        <f>buildingfinal!C917</f>
        <v>446</v>
      </c>
      <c r="E918" s="1235" t="str">
        <f>buildingfinal!D917</f>
        <v>Each</v>
      </c>
      <c r="F918" s="1235">
        <f t="shared" si="53"/>
        <v>10704</v>
      </c>
      <c r="G918" s="1240">
        <f>'[2]Abstract '!D915</f>
        <v>8460</v>
      </c>
      <c r="H918" s="1216">
        <f>'[2]Abstract '!F915</f>
        <v>16920</v>
      </c>
    </row>
    <row r="919" spans="1:8" ht="30" hidden="1" customHeight="1">
      <c r="A919" s="1233">
        <f>buildingfinal!A918</f>
        <v>0</v>
      </c>
      <c r="B919" s="1521">
        <f>buildingfinal!Q918</f>
        <v>0</v>
      </c>
      <c r="C919" s="1239" t="str">
        <f>buildingfinal!B918</f>
        <v xml:space="preserve">S &amp; F of MS angle of size 50x 50x 5mm </v>
      </c>
      <c r="D919" s="1235">
        <f>buildingfinal!C918</f>
        <v>51.4</v>
      </c>
      <c r="E919" s="1235" t="str">
        <f>buildingfinal!D918</f>
        <v>Kg</v>
      </c>
      <c r="F919" s="1235">
        <f t="shared" si="53"/>
        <v>0</v>
      </c>
      <c r="G919" s="1240">
        <f>buildingfinal!R916</f>
        <v>14820</v>
      </c>
      <c r="H919" s="1216">
        <f t="shared" ref="H919:H920" si="55">F919-G919</f>
        <v>-14820</v>
      </c>
    </row>
    <row r="920" spans="1:8" ht="30" hidden="1" customHeight="1">
      <c r="A920" s="1233">
        <f>buildingfinal!A919</f>
        <v>0</v>
      </c>
      <c r="B920" s="1521">
        <f>buildingfinal!Q919</f>
        <v>0</v>
      </c>
      <c r="C920" s="1239" t="str">
        <f>buildingfinal!B919</f>
        <v>Supplying and laying Granite slab flooring in 
cm 1:3,20mm tk using (Ruby Red ) for Staircase steps</v>
      </c>
      <c r="D920" s="1235">
        <f>buildingfinal!C919</f>
        <v>2487.23</v>
      </c>
      <c r="E920" s="1235" t="str">
        <f>buildingfinal!D919</f>
        <v>Sqm</v>
      </c>
      <c r="F920" s="1235">
        <f t="shared" si="53"/>
        <v>0</v>
      </c>
      <c r="G920" s="1240">
        <f>buildingfinal!R917</f>
        <v>10704</v>
      </c>
      <c r="H920" s="1216">
        <f t="shared" si="55"/>
        <v>-10704</v>
      </c>
    </row>
    <row r="921" spans="1:8" ht="60" hidden="1">
      <c r="A921" s="1233" t="str">
        <f>buildingfinal!A920</f>
        <v>1.9.3.1</v>
      </c>
      <c r="B921" s="1521">
        <f>buildingfinal!Q920</f>
        <v>0</v>
      </c>
      <c r="C921" s="1239" t="str">
        <f>buildingfinal!B920</f>
        <v>Bored cast sit piles installation of vertical cast in Situ Bored piles of following dia using Standardised concrete  mix M30 Grade) as per nagapattinam data For Coastal area</v>
      </c>
      <c r="D921" s="1235">
        <f>buildingfinal!C920</f>
        <v>0</v>
      </c>
      <c r="E921" s="1235">
        <f>buildingfinal!D920</f>
        <v>0</v>
      </c>
      <c r="F921" s="1235">
        <f t="shared" si="53"/>
        <v>0</v>
      </c>
      <c r="G921" s="1240"/>
      <c r="H921" s="1217"/>
    </row>
    <row r="922" spans="1:8" ht="56.25" hidden="1" customHeight="1">
      <c r="A922" s="1233">
        <f>buildingfinal!A921</f>
        <v>0</v>
      </c>
      <c r="B922" s="1521">
        <f>buildingfinal!Q921</f>
        <v>0</v>
      </c>
      <c r="C922" s="1239" t="str">
        <f>buildingfinal!B921</f>
        <v>a.500mm dia pile</v>
      </c>
      <c r="D922" s="1235">
        <f>buildingfinal!C921</f>
        <v>5090.3999999999996</v>
      </c>
      <c r="E922" s="1235" t="str">
        <f>buildingfinal!D921</f>
        <v>Rmt</v>
      </c>
      <c r="F922" s="1235">
        <f t="shared" si="53"/>
        <v>0</v>
      </c>
      <c r="G922" s="1240">
        <f>buildingfinal!R919</f>
        <v>0</v>
      </c>
      <c r="H922" s="1216">
        <f>F922-G922</f>
        <v>0</v>
      </c>
    </row>
    <row r="923" spans="1:8" hidden="1">
      <c r="A923" s="1233">
        <f>buildingfinal!A922</f>
        <v>0</v>
      </c>
      <c r="B923" s="1521">
        <f>buildingfinal!Q922</f>
        <v>0</v>
      </c>
      <c r="C923" s="1239" t="str">
        <f>buildingfinal!B922</f>
        <v>b.450mm dia pile</v>
      </c>
      <c r="D923" s="1235">
        <f>buildingfinal!C922</f>
        <v>2543.31</v>
      </c>
      <c r="E923" s="1235" t="str">
        <f>buildingfinal!D922</f>
        <v>Rmt</v>
      </c>
      <c r="F923" s="1235">
        <f t="shared" si="53"/>
        <v>0</v>
      </c>
      <c r="G923" s="1240"/>
      <c r="H923" s="1217">
        <f>F923-52053409.15</f>
        <v>-52053409.149999999</v>
      </c>
    </row>
    <row r="924" spans="1:8" hidden="1">
      <c r="A924" s="1233">
        <f>buildingfinal!A923</f>
        <v>0</v>
      </c>
      <c r="B924" s="1521">
        <f>buildingfinal!Q923</f>
        <v>0</v>
      </c>
      <c r="C924" s="1239" t="str">
        <f>buildingfinal!B923</f>
        <v>c.400mm dia pile</v>
      </c>
      <c r="D924" s="1235">
        <f>buildingfinal!C923</f>
        <v>2495.96</v>
      </c>
      <c r="E924" s="1235" t="str">
        <f>buildingfinal!D923</f>
        <v>Rmt</v>
      </c>
      <c r="F924" s="1235">
        <f t="shared" si="53"/>
        <v>0</v>
      </c>
      <c r="G924" s="1240">
        <f>'[2]Abstract '!D921</f>
        <v>81</v>
      </c>
      <c r="H924" s="1216">
        <f>'[2]Abstract '!F921</f>
        <v>3402</v>
      </c>
    </row>
    <row r="925" spans="1:8" ht="45" hidden="1">
      <c r="A925" s="1233">
        <f>buildingfinal!A924</f>
        <v>0</v>
      </c>
      <c r="B925" s="1521">
        <f>buildingfinal!Q924</f>
        <v>0</v>
      </c>
      <c r="C925" s="1239" t="str">
        <f>buildingfinal!B924</f>
        <v>Removing of clay from pile inlucing  conveyance charges, loading and unloading charges etc.,all complete</v>
      </c>
      <c r="D925" s="1235">
        <f>buildingfinal!C924</f>
        <v>0</v>
      </c>
      <c r="E925" s="1235">
        <f>buildingfinal!D924</f>
        <v>0</v>
      </c>
      <c r="F925" s="1235">
        <f t="shared" si="53"/>
        <v>0</v>
      </c>
      <c r="G925" s="1240">
        <f>'[2]Abstract '!D922</f>
        <v>635</v>
      </c>
      <c r="H925" s="1216">
        <f>'[2]Abstract '!F922</f>
        <v>40005</v>
      </c>
    </row>
    <row r="926" spans="1:8" ht="45" hidden="1">
      <c r="A926" s="1233">
        <f>buildingfinal!A925</f>
        <v>0</v>
      </c>
      <c r="B926" s="1521">
        <f>buildingfinal!Q925</f>
        <v>0</v>
      </c>
      <c r="C926" s="1239" t="str">
        <f>buildingfinal!B925</f>
        <v>Chipping of RCC pile head of 500mm Dia of pile to the required cut off level and clearing away the debris from site with an average lead of 5 km  etc.</v>
      </c>
      <c r="D926" s="1235">
        <f>buildingfinal!C925</f>
        <v>0</v>
      </c>
      <c r="E926" s="1235">
        <f>buildingfinal!D925</f>
        <v>0</v>
      </c>
      <c r="F926" s="1235">
        <f t="shared" si="53"/>
        <v>0</v>
      </c>
      <c r="G926" s="1240">
        <f>'[2]Abstract '!D923</f>
        <v>462</v>
      </c>
      <c r="H926" s="1216">
        <f>'[2]Abstract '!F923</f>
        <v>13398</v>
      </c>
    </row>
    <row r="927" spans="1:8" hidden="1">
      <c r="A927" s="1233">
        <f>buildingfinal!A926</f>
        <v>0</v>
      </c>
      <c r="B927" s="1521">
        <f>buildingfinal!Q926</f>
        <v>0</v>
      </c>
      <c r="C927" s="1239" t="str">
        <f>buildingfinal!B926</f>
        <v>a.500mm dia pile</v>
      </c>
      <c r="D927" s="1235">
        <f>buildingfinal!C926</f>
        <v>1392.48</v>
      </c>
      <c r="E927" s="1235" t="str">
        <f>buildingfinal!D926</f>
        <v>Rmt</v>
      </c>
      <c r="F927" s="1235">
        <f t="shared" si="53"/>
        <v>0</v>
      </c>
      <c r="G927" s="1240">
        <f>'[2]Abstract '!D924</f>
        <v>2991</v>
      </c>
      <c r="H927" s="1216">
        <f>'[2]Abstract '!F924</f>
        <v>29910</v>
      </c>
    </row>
    <row r="928" spans="1:8" s="1226" customFormat="1" hidden="1">
      <c r="A928" s="1233">
        <f>buildingfinal!A927</f>
        <v>0</v>
      </c>
      <c r="B928" s="1521">
        <f>buildingfinal!Q927</f>
        <v>0</v>
      </c>
      <c r="C928" s="1239" t="str">
        <f>buildingfinal!B927</f>
        <v>b.450mm dia pile</v>
      </c>
      <c r="D928" s="1235">
        <f>buildingfinal!C927</f>
        <v>1126.6600000000001</v>
      </c>
      <c r="E928" s="1235" t="str">
        <f>buildingfinal!D927</f>
        <v>Rmt</v>
      </c>
      <c r="F928" s="1235">
        <f t="shared" si="53"/>
        <v>0</v>
      </c>
      <c r="G928" s="1240">
        <f>'[2]Abstract '!D925</f>
        <v>170</v>
      </c>
      <c r="H928" s="1216">
        <f>'[2]Abstract '!F925</f>
        <v>1700</v>
      </c>
    </row>
    <row r="929" spans="1:8" s="1226" customFormat="1" hidden="1">
      <c r="A929" s="1233">
        <f>buildingfinal!A928</f>
        <v>0</v>
      </c>
      <c r="B929" s="1521">
        <f>buildingfinal!Q928</f>
        <v>0</v>
      </c>
      <c r="C929" s="1239" t="str">
        <f>buildingfinal!B928</f>
        <v>c.400mm dia pile</v>
      </c>
      <c r="D929" s="1235">
        <f>buildingfinal!C928</f>
        <v>892.82</v>
      </c>
      <c r="E929" s="1235" t="str">
        <f>buildingfinal!D928</f>
        <v>Rmt</v>
      </c>
      <c r="F929" s="1235">
        <f t="shared" si="53"/>
        <v>0</v>
      </c>
      <c r="G929" s="1240"/>
    </row>
    <row r="930" spans="1:8" s="1226" customFormat="1" ht="45" hidden="1">
      <c r="A930" s="1233">
        <f>buildingfinal!A929</f>
        <v>0</v>
      </c>
      <c r="B930" s="1521">
        <f>buildingfinal!Q929</f>
        <v>0</v>
      </c>
      <c r="C930" s="1239" t="str">
        <f>buildingfinal!B929</f>
        <v>Mobilization Charges inclusive of Transportation to site assembling and Dismantling the rotary pile equipment employed for the works etc.(Qtn)</v>
      </c>
      <c r="D930" s="1235">
        <f>buildingfinal!C929</f>
        <v>50000</v>
      </c>
      <c r="E930" s="1235" t="str">
        <f>buildingfinal!D929</f>
        <v>No</v>
      </c>
      <c r="F930" s="1235">
        <f t="shared" si="53"/>
        <v>0</v>
      </c>
      <c r="G930" s="1240"/>
    </row>
    <row r="931" spans="1:8" ht="90" hidden="1">
      <c r="A931" s="1233">
        <f>buildingfinal!A930</f>
        <v>0</v>
      </c>
      <c r="B931" s="1521">
        <f>buildingfinal!Q930</f>
        <v>0</v>
      </c>
      <c r="C931" s="1239" t="str">
        <f>buildingfinal!B930</f>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
      <c r="D931" s="1235">
        <f>buildingfinal!C930</f>
        <v>70000</v>
      </c>
      <c r="E931" s="1235" t="str">
        <f>buildingfinal!D930</f>
        <v>No</v>
      </c>
      <c r="F931" s="1235">
        <f t="shared" si="53"/>
        <v>0</v>
      </c>
      <c r="G931" s="1240"/>
      <c r="H931" s="1217"/>
    </row>
    <row r="932" spans="1:8" ht="30" hidden="1">
      <c r="A932" s="1233">
        <f>buildingfinal!A931</f>
        <v>0</v>
      </c>
      <c r="B932" s="1521">
        <f>buildingfinal!Q931</f>
        <v>0</v>
      </c>
      <c r="C932" s="1239" t="str">
        <f>buildingfinal!B931</f>
        <v>False ceiling with plain gybsum board (as per PWD SR. rate 2017-18, Anx- VI -It- 154 -a)</v>
      </c>
      <c r="D932" s="1235">
        <f>buildingfinal!C931</f>
        <v>713.54</v>
      </c>
      <c r="E932" s="1235" t="str">
        <f>buildingfinal!D931</f>
        <v>Sqm</v>
      </c>
      <c r="F932" s="1235">
        <f t="shared" si="53"/>
        <v>0</v>
      </c>
      <c r="G932" s="1240">
        <f>'[2]Abstract '!D929</f>
        <v>34607</v>
      </c>
      <c r="H932" s="1216">
        <f>'[2]Abstract '!F929</f>
        <v>103821</v>
      </c>
    </row>
    <row r="933" spans="1:8" ht="45" hidden="1">
      <c r="A933" s="1233">
        <f>buildingfinal!A932</f>
        <v>0</v>
      </c>
      <c r="B933" s="1521">
        <f>buildingfinal!Q932</f>
        <v>0</v>
      </c>
      <c r="C933" s="1239" t="str">
        <f>buildingfinal!B932</f>
        <v>Wiring with 1.5 sqmm PVC insulated single core multi strand fire retardant flexible copper cable with ISI mark confirming IS: 694:1990. (Open wiring)</v>
      </c>
      <c r="D933" s="1235">
        <f>buildingfinal!C932</f>
        <v>0</v>
      </c>
      <c r="E933" s="1235">
        <f>buildingfinal!D932</f>
        <v>0</v>
      </c>
      <c r="F933" s="1235">
        <f t="shared" si="53"/>
        <v>0</v>
      </c>
      <c r="G933" s="1240">
        <f>'[2]Abstract '!D930</f>
        <v>410</v>
      </c>
      <c r="H933" s="1216">
        <f>'[2]Abstract '!F930</f>
        <v>23575</v>
      </c>
    </row>
    <row r="934" spans="1:8" hidden="1">
      <c r="A934" s="1233">
        <f>buildingfinal!A933</f>
        <v>0</v>
      </c>
      <c r="B934" s="1521">
        <f>buildingfinal!Q933</f>
        <v>0</v>
      </c>
      <c r="C934" s="1239" t="str">
        <f>buildingfinal!B933</f>
        <v>a. Light point with ceiling rose</v>
      </c>
      <c r="D934" s="1235">
        <f>buildingfinal!C933</f>
        <v>895</v>
      </c>
      <c r="E934" s="1235" t="str">
        <f>buildingfinal!D933</f>
        <v>Each</v>
      </c>
      <c r="F934" s="1235">
        <f t="shared" si="53"/>
        <v>0</v>
      </c>
      <c r="G934" s="1240">
        <f>'[2]Abstract '!D931</f>
        <v>301</v>
      </c>
      <c r="H934" s="1216">
        <f>'[2]Abstract '!F931</f>
        <v>3010</v>
      </c>
    </row>
    <row r="935" spans="1:8" hidden="1">
      <c r="A935" s="1233">
        <f>buildingfinal!A934</f>
        <v>0</v>
      </c>
      <c r="B935" s="1521">
        <f>buildingfinal!Q934</f>
        <v>0</v>
      </c>
      <c r="C935" s="1239" t="str">
        <f>buildingfinal!B934</f>
        <v>b. Light point without ceiling rose</v>
      </c>
      <c r="D935" s="1235">
        <f>buildingfinal!C934</f>
        <v>897</v>
      </c>
      <c r="E935" s="1235" t="str">
        <f>buildingfinal!D934</f>
        <v>Each</v>
      </c>
      <c r="F935" s="1235">
        <f t="shared" si="53"/>
        <v>0</v>
      </c>
      <c r="G935" s="1240"/>
      <c r="H935" s="1217"/>
    </row>
    <row r="936" spans="1:8" hidden="1">
      <c r="A936" s="1233">
        <f>buildingfinal!A935</f>
        <v>0</v>
      </c>
      <c r="B936" s="1521">
        <f>buildingfinal!Q935</f>
        <v>0</v>
      </c>
      <c r="C936" s="1239" t="str">
        <f>buildingfinal!B935</f>
        <v>calling bell</v>
      </c>
      <c r="D936" s="1235">
        <f>buildingfinal!C935</f>
        <v>935</v>
      </c>
      <c r="E936" s="1235">
        <f>buildingfinal!D935</f>
        <v>0</v>
      </c>
      <c r="F936" s="1235">
        <f t="shared" si="53"/>
        <v>0</v>
      </c>
      <c r="G936" s="1240"/>
      <c r="H936" s="1217" t="e">
        <f>'[4]Building (2)'!#REF!</f>
        <v>#REF!</v>
      </c>
    </row>
    <row r="937" spans="1:8" ht="75" hidden="1">
      <c r="A937" s="1233">
        <f>buildingfinal!A936</f>
        <v>0</v>
      </c>
      <c r="B937" s="1521">
        <f>buildingfinal!Q936</f>
        <v>0</v>
      </c>
      <c r="C937" s="1239" t="str">
        <f>buildingfinal!B936</f>
        <v>Wiring with 1.5 sqmm PVC insulated single core multi strand fire retardant flexible copper cable with ISI mark confirming IS: 694:1990 for 5 amps 5 pin  plug socket point @ Convenient Places.(Open wiring)</v>
      </c>
      <c r="D937" s="1235">
        <f>buildingfinal!C936</f>
        <v>690</v>
      </c>
      <c r="E937" s="1235" t="str">
        <f>buildingfinal!D936</f>
        <v>Each</v>
      </c>
      <c r="F937" s="1235">
        <f t="shared" si="53"/>
        <v>0</v>
      </c>
      <c r="G937" s="1240"/>
      <c r="H937" s="1217"/>
    </row>
    <row r="938" spans="1:8" ht="75" hidden="1">
      <c r="A938" s="1233">
        <f>buildingfinal!A937</f>
        <v>0</v>
      </c>
      <c r="B938" s="1521">
        <f>buildingfinal!Q937</f>
        <v>0</v>
      </c>
      <c r="C938" s="1239" t="str">
        <f>buildingfinal!B937</f>
        <v>Wiring with 1.5 sqmm PVC insulated single core multi strand fire retardant flexible copper cable with ISI mark confirming IS: 694:1990 for 5 amps 5 pin  plug socket point @ Switch Board Itself.(Open wiring)</v>
      </c>
      <c r="D938" s="1235">
        <f>buildingfinal!C937</f>
        <v>835</v>
      </c>
      <c r="E938" s="1235" t="str">
        <f>buildingfinal!D937</f>
        <v>Each</v>
      </c>
      <c r="F938" s="1235">
        <f t="shared" si="53"/>
        <v>0</v>
      </c>
      <c r="G938" s="1240"/>
      <c r="H938" s="1217"/>
    </row>
    <row r="939" spans="1:8" ht="60" hidden="1">
      <c r="A939" s="1233">
        <f>buildingfinal!A938</f>
        <v>0</v>
      </c>
      <c r="B939" s="1521">
        <f>buildingfinal!Q938</f>
        <v>0</v>
      </c>
      <c r="C939" s="1239" t="str">
        <f>buildingfinal!B938</f>
        <v>Wiring with 1.5 sqmm PVC insulated single core multi strand fire retardant flexible copper cable with ISI mark confirming IS: 694:1990 for Fan point .(Open wiring)</v>
      </c>
      <c r="D939" s="1235">
        <f>buildingfinal!C938</f>
        <v>982</v>
      </c>
      <c r="E939" s="1235" t="str">
        <f>buildingfinal!D938</f>
        <v>RMT</v>
      </c>
      <c r="F939" s="1235">
        <f t="shared" si="53"/>
        <v>0</v>
      </c>
      <c r="G939" s="1240"/>
      <c r="H939" s="1217"/>
    </row>
    <row r="940" spans="1:8" ht="60" hidden="1">
      <c r="A940" s="1233">
        <f>buildingfinal!A939</f>
        <v>0</v>
      </c>
      <c r="B940" s="1521">
        <f>buildingfinal!Q939</f>
        <v>0</v>
      </c>
      <c r="C940" s="1239" t="str">
        <f>buildingfinal!B939</f>
        <v xml:space="preserve">Providing Aluminium Partition wall using aluminium extruded section with powder coating of any colours (1/3  plain glass 5.5mm on top &amp; 2/3 Novapan sheet 12mm thick) Incl. labour charges </v>
      </c>
      <c r="D940" s="1235">
        <f>buildingfinal!C939</f>
        <v>4012.48</v>
      </c>
      <c r="E940" s="1235" t="str">
        <f>buildingfinal!D939</f>
        <v>Sqm</v>
      </c>
      <c r="F940" s="1235">
        <f t="shared" si="53"/>
        <v>0</v>
      </c>
      <c r="G940" s="1240"/>
      <c r="H940" s="1217"/>
    </row>
    <row r="941" spans="1:8" ht="45" hidden="1">
      <c r="A941" s="1233">
        <f>buildingfinal!A940</f>
        <v>0</v>
      </c>
      <c r="B941" s="1521">
        <f>buildingfinal!Q940</f>
        <v>0</v>
      </c>
      <c r="C941" s="1239" t="str">
        <f>buildingfinal!B940</f>
        <v>S &amp; F of Aluminium powder coated door with using 12mm thick novopan sheet,  5.5mm thk plain glass  
size 1000 x 1200mm</v>
      </c>
      <c r="D941" s="1235">
        <f>buildingfinal!C940</f>
        <v>8304.8700000000008</v>
      </c>
      <c r="E941" s="1235" t="str">
        <f>buildingfinal!D940</f>
        <v>Sqm</v>
      </c>
      <c r="F941" s="1235">
        <f t="shared" si="53"/>
        <v>0</v>
      </c>
      <c r="G941" s="1240"/>
      <c r="H941" s="1217"/>
    </row>
    <row r="942" spans="1:8" hidden="1">
      <c r="A942" s="1233">
        <f>buildingfinal!A941</f>
        <v>0</v>
      </c>
      <c r="B942" s="1521">
        <f>buildingfinal!Q941</f>
        <v>0</v>
      </c>
      <c r="C942" s="1239" t="str">
        <f>buildingfinal!B941</f>
        <v>S &amp; F of two way bib cock with health faucet</v>
      </c>
      <c r="D942" s="1235">
        <f>buildingfinal!C941</f>
        <v>2240</v>
      </c>
      <c r="E942" s="1235" t="str">
        <f>buildingfinal!D941</f>
        <v>Each</v>
      </c>
      <c r="F942" s="1235">
        <f t="shared" si="53"/>
        <v>0</v>
      </c>
      <c r="G942" s="1240"/>
      <c r="H942" s="1217"/>
    </row>
    <row r="943" spans="1:8" hidden="1">
      <c r="A943" s="1233">
        <f>buildingfinal!A942</f>
        <v>0</v>
      </c>
      <c r="B943" s="1521">
        <f>buildingfinal!Q942</f>
        <v>0</v>
      </c>
      <c r="C943" s="1239" t="str">
        <f>buildingfinal!B942</f>
        <v>S &amp; F of SFRC manhole cover 600x600mm</v>
      </c>
      <c r="D943" s="1235">
        <f>buildingfinal!C942</f>
        <v>2701</v>
      </c>
      <c r="E943" s="1235" t="str">
        <f>buildingfinal!D942</f>
        <v>Each</v>
      </c>
      <c r="F943" s="1235">
        <f t="shared" si="53"/>
        <v>0</v>
      </c>
      <c r="G943" s="1240"/>
      <c r="H943" s="1217"/>
    </row>
    <row r="944" spans="1:8" ht="30" hidden="1">
      <c r="A944" s="1233">
        <f>buildingfinal!A943</f>
        <v>0</v>
      </c>
      <c r="B944" s="1521">
        <f>buildingfinal!Q943</f>
        <v>0</v>
      </c>
      <c r="C944" s="1239" t="str">
        <f>buildingfinal!B943</f>
        <v>Supply and fixing of colour matt finish door 15 microns double leaf door ( 1500 x 2100 mm)</v>
      </c>
      <c r="D944" s="1235">
        <f>buildingfinal!C943</f>
        <v>6413.13</v>
      </c>
      <c r="E944" s="1235" t="str">
        <f>buildingfinal!D943</f>
        <v>Sqm</v>
      </c>
      <c r="F944" s="1235">
        <f t="shared" si="53"/>
        <v>0</v>
      </c>
      <c r="G944" s="1240">
        <f>'[2]Abstract '!D941</f>
        <v>13283</v>
      </c>
      <c r="H944" s="1216">
        <f>'[2]Abstract '!F941</f>
        <v>26566</v>
      </c>
    </row>
    <row r="945" spans="1:8" ht="30" hidden="1">
      <c r="A945" s="1233">
        <f>buildingfinal!A944</f>
        <v>0</v>
      </c>
      <c r="B945" s="1521">
        <f>buildingfinal!Q944</f>
        <v>0</v>
      </c>
      <c r="C945" s="1239" t="str">
        <f>buildingfinal!B944</f>
        <v>Supply and fixing of colour matt finish door 15 microns double leaf door ( 1000 x 2100 mm)</v>
      </c>
      <c r="D945" s="1235">
        <f>buildingfinal!C944</f>
        <v>8304.8700000000008</v>
      </c>
      <c r="E945" s="1235" t="str">
        <f>buildingfinal!D944</f>
        <v>Sqm</v>
      </c>
      <c r="F945" s="1235">
        <f t="shared" si="53"/>
        <v>0</v>
      </c>
      <c r="G945" s="1240"/>
      <c r="H945" s="1217"/>
    </row>
    <row r="946" spans="1:8" ht="30" hidden="1">
      <c r="A946" s="1233">
        <f>buildingfinal!A945</f>
        <v>0</v>
      </c>
      <c r="B946" s="1521">
        <f>buildingfinal!Q945</f>
        <v>0</v>
      </c>
      <c r="C946" s="1239" t="str">
        <f>buildingfinal!B945</f>
        <v>supplying and fixing of colour matt finish floor tiles of size 12"x12" floor tiles</v>
      </c>
      <c r="D946" s="1235">
        <f>buildingfinal!C945</f>
        <v>1399.44</v>
      </c>
      <c r="E946" s="1235" t="str">
        <f>buildingfinal!D945</f>
        <v>Sqm</v>
      </c>
      <c r="F946" s="1235">
        <f t="shared" si="53"/>
        <v>0</v>
      </c>
      <c r="G946" s="1240"/>
      <c r="H946" s="1217"/>
    </row>
    <row r="947" spans="1:8" ht="30" hidden="1">
      <c r="A947" s="1233">
        <f>buildingfinal!A946</f>
        <v>0</v>
      </c>
      <c r="B947" s="1521">
        <f>buildingfinal!Q946</f>
        <v>0</v>
      </c>
      <c r="C947" s="1239" t="str">
        <f>buildingfinal!B946</f>
        <v>supplying and fixing of colour matt finish floor tiles of size 12"x18" for wall tiles</v>
      </c>
      <c r="D947" s="1235">
        <f>buildingfinal!C946</f>
        <v>1698.06</v>
      </c>
      <c r="E947" s="1235" t="str">
        <f>buildingfinal!D946</f>
        <v>Sqm</v>
      </c>
      <c r="F947" s="1235">
        <f t="shared" si="53"/>
        <v>0</v>
      </c>
      <c r="G947" s="1240"/>
      <c r="H947" s="1217"/>
    </row>
    <row r="948" spans="1:8" ht="90.75" customHeight="1">
      <c r="A948" s="1233">
        <f>buildingfinal!A947</f>
        <v>0</v>
      </c>
      <c r="B948" s="1521">
        <f>buildingfinal!Q947</f>
        <v>9</v>
      </c>
      <c r="C948" s="1239" t="str">
        <f>buildingfinal!B947</f>
        <v>Supply and fixing of 20 Amps DP plug and socket in sheet enclosure with 32 A DP MCB  in Flush with wall with earth connection ( For AC Plug ) Legrand ( MDS) / Hager( L&amp; T) Equivalent/ Superior variety  
Ele SD -140 /2021-2022</v>
      </c>
      <c r="D948" s="1235">
        <f>buildingfinal!C947</f>
        <v>1839</v>
      </c>
      <c r="E948" s="1235" t="str">
        <f>buildingfinal!D947</f>
        <v>Each</v>
      </c>
      <c r="F948" s="1235">
        <f t="shared" si="53"/>
        <v>16551</v>
      </c>
      <c r="G948" s="1240">
        <f>'[2]Abstract '!D945</f>
        <v>166</v>
      </c>
      <c r="H948" s="1216">
        <f>'[2]Abstract '!F945</f>
        <v>24900</v>
      </c>
    </row>
    <row r="949" spans="1:8" ht="60" hidden="1">
      <c r="A949" s="1233">
        <f>buildingfinal!A948</f>
        <v>0</v>
      </c>
      <c r="B949" s="1521">
        <f>buildingfinal!Q948</f>
        <v>0</v>
      </c>
      <c r="C949" s="1239" t="str">
        <f>buildingfinal!B948</f>
        <v>Supplying nd laying of 1000 x 1000 x 300mm size ms 16 swg powder coated cable terminal box with two compartment with necessary bus bar connected with TNEB etc.,</v>
      </c>
      <c r="D949" s="1235">
        <f>buildingfinal!C948</f>
        <v>0</v>
      </c>
      <c r="E949" s="1235" t="str">
        <f>buildingfinal!D948</f>
        <v>Each</v>
      </c>
      <c r="F949" s="1235">
        <f t="shared" si="53"/>
        <v>0</v>
      </c>
      <c r="G949" s="1240"/>
      <c r="H949" s="1217"/>
    </row>
    <row r="950" spans="1:8" ht="98.25" hidden="1" customHeight="1">
      <c r="A950" s="1233">
        <f>buildingfinal!A949</f>
        <v>0</v>
      </c>
      <c r="B950" s="1521">
        <f>buildingfinal!Q949</f>
        <v>0</v>
      </c>
      <c r="C950" s="1239" t="str">
        <f>buildingfinal!B949</f>
        <v>Supplying and fixing of 200 Amps metal clad switch with rewirable fuse units, (Revised PWD SR 18-19Pg.no.80 it-J Part c)</v>
      </c>
      <c r="D950" s="1235">
        <f>buildingfinal!C949</f>
        <v>8100</v>
      </c>
      <c r="E950" s="1235" t="str">
        <f>buildingfinal!D949</f>
        <v>Each</v>
      </c>
      <c r="F950" s="1235">
        <f t="shared" si="53"/>
        <v>0</v>
      </c>
      <c r="G950" s="1240">
        <f>buildingfinal!R947</f>
        <v>16551</v>
      </c>
      <c r="H950" s="1216">
        <f>F950-G950</f>
        <v>-16551</v>
      </c>
    </row>
    <row r="951" spans="1:8" ht="64.5" customHeight="1">
      <c r="A951" s="1233">
        <f>buildingfinal!A950</f>
        <v>0</v>
      </c>
      <c r="B951" s="1521">
        <f>buildingfinal!Q950</f>
        <v>47.3</v>
      </c>
      <c r="C951" s="1239" t="str">
        <f>buildingfinal!B950</f>
        <v>Supply and Laying Rubber Moulded Hyraulic Pressed Paver Block 83 mm thick including labour charges for laying etc ( as per DB/1469/2018)</v>
      </c>
      <c r="D951" s="1235">
        <f>buildingfinal!C950</f>
        <v>724.15</v>
      </c>
      <c r="E951" s="1235" t="str">
        <f>buildingfinal!D950</f>
        <v>Each</v>
      </c>
      <c r="F951" s="1235">
        <f t="shared" si="53"/>
        <v>34252.300000000003</v>
      </c>
      <c r="G951" s="1240"/>
      <c r="H951" s="1217"/>
    </row>
    <row r="952" spans="1:8" ht="45.75" customHeight="1">
      <c r="A952" s="1233">
        <f>buildingfinal!A951</f>
        <v>0</v>
      </c>
      <c r="B952" s="1521">
        <f>buildingfinal!Q951</f>
        <v>1</v>
      </c>
      <c r="C952" s="1239" t="str">
        <f>buildingfinal!B951</f>
        <v>Supplying and fixing of 250 Watts Metal halide Flood light etc.,</v>
      </c>
      <c r="D952" s="1235">
        <f>buildingfinal!C951</f>
        <v>8777</v>
      </c>
      <c r="E952" s="1235" t="str">
        <f>buildingfinal!D951</f>
        <v>Each</v>
      </c>
      <c r="F952" s="1235">
        <f t="shared" si="53"/>
        <v>8777</v>
      </c>
      <c r="G952" s="1240"/>
      <c r="H952" s="1217"/>
    </row>
    <row r="953" spans="1:8" ht="62.25" hidden="1" customHeight="1">
      <c r="A953" s="1233">
        <f>buildingfinal!A952</f>
        <v>21.6</v>
      </c>
      <c r="B953" s="1521">
        <f>buildingfinal!Q952</f>
        <v>0</v>
      </c>
      <c r="C953" s="1239" t="str">
        <f>buildingfinal!B952</f>
        <v>R.C.C.Door frames of size 100 x 75mm with one edge grooves size 't' x 20 mm  ( with out  M20 or M30 grade old  data )</v>
      </c>
      <c r="D953" s="1235">
        <f>buildingfinal!C952</f>
        <v>0</v>
      </c>
      <c r="E953" s="1235">
        <f>buildingfinal!D952</f>
        <v>0</v>
      </c>
      <c r="F953" s="1235">
        <f t="shared" si="53"/>
        <v>0</v>
      </c>
      <c r="G953" s="1240">
        <f>buildingfinal!R950</f>
        <v>34252.300000000003</v>
      </c>
      <c r="H953" s="1216">
        <f t="shared" ref="H953:H954" si="56">F953-G953</f>
        <v>-34252.300000000003</v>
      </c>
    </row>
    <row r="954" spans="1:8" ht="39.75" hidden="1" customHeight="1">
      <c r="A954" s="1233">
        <f>buildingfinal!A953</f>
        <v>0</v>
      </c>
      <c r="B954" s="1521">
        <f>buildingfinal!Q953</f>
        <v>0</v>
      </c>
      <c r="C954" s="1239" t="str">
        <f>buildingfinal!B953</f>
        <v>a. 900 x 2100 mm</v>
      </c>
      <c r="D954" s="1235">
        <f>buildingfinal!C953</f>
        <v>2891.85</v>
      </c>
      <c r="E954" s="1235" t="str">
        <f>buildingfinal!D953</f>
        <v>Each</v>
      </c>
      <c r="F954" s="1235">
        <f t="shared" si="53"/>
        <v>0</v>
      </c>
      <c r="G954" s="1240">
        <f>buildingfinal!R951</f>
        <v>8777</v>
      </c>
      <c r="H954" s="1216">
        <f t="shared" si="56"/>
        <v>-8777</v>
      </c>
    </row>
    <row r="955" spans="1:8" hidden="1">
      <c r="A955" s="1233">
        <f>buildingfinal!A954</f>
        <v>0</v>
      </c>
      <c r="B955" s="1521">
        <f>buildingfinal!Q954</f>
        <v>0</v>
      </c>
      <c r="C955" s="1239" t="str">
        <f>buildingfinal!B954</f>
        <v>c. 1200 x 2100 mm</v>
      </c>
      <c r="D955" s="1235">
        <f>buildingfinal!C954</f>
        <v>3460.37</v>
      </c>
      <c r="E955" s="1235" t="str">
        <f>buildingfinal!D954</f>
        <v>Each</v>
      </c>
      <c r="F955" s="1235">
        <f t="shared" si="53"/>
        <v>0</v>
      </c>
      <c r="G955" s="1240"/>
      <c r="H955" s="1217"/>
    </row>
    <row r="956" spans="1:8" hidden="1">
      <c r="A956" s="1233">
        <f>buildingfinal!A955</f>
        <v>0</v>
      </c>
      <c r="B956" s="1521">
        <f>buildingfinal!Q955</f>
        <v>0</v>
      </c>
      <c r="C956" s="1239" t="str">
        <f>buildingfinal!B955</f>
        <v>d. 750 x 2100 mm</v>
      </c>
      <c r="D956" s="1235">
        <f>buildingfinal!C955</f>
        <v>2852.95</v>
      </c>
      <c r="E956" s="1235">
        <f>buildingfinal!D955</f>
        <v>0</v>
      </c>
      <c r="F956" s="1235">
        <f t="shared" si="53"/>
        <v>0</v>
      </c>
      <c r="G956" s="1240">
        <f>'[2]Abstract '!D953</f>
        <v>0</v>
      </c>
      <c r="H956" s="1216">
        <f>'[2]Abstract '!F953</f>
        <v>0</v>
      </c>
    </row>
    <row r="957" spans="1:8" hidden="1">
      <c r="A957" s="1233">
        <f>buildingfinal!A956</f>
        <v>0</v>
      </c>
      <c r="B957" s="1521">
        <f>buildingfinal!Q956</f>
        <v>0</v>
      </c>
      <c r="C957" s="1239" t="str">
        <f>buildingfinal!B956</f>
        <v>c. 1000 x 2100 mm</v>
      </c>
      <c r="D957" s="1235">
        <f>buildingfinal!C956</f>
        <v>2914.94</v>
      </c>
      <c r="E957" s="1235" t="str">
        <f>buildingfinal!D956</f>
        <v>Each</v>
      </c>
      <c r="F957" s="1235">
        <f t="shared" si="53"/>
        <v>0</v>
      </c>
      <c r="G957" s="1240"/>
      <c r="H957" s="1217"/>
    </row>
    <row r="958" spans="1:8" ht="45.75" customHeight="1">
      <c r="A958" s="1233">
        <f>buildingfinal!A957</f>
        <v>0</v>
      </c>
      <c r="B958" s="1521">
        <f>buildingfinal!Q957</f>
        <v>84</v>
      </c>
      <c r="C958" s="1239" t="str">
        <f>buildingfinal!B957</f>
        <v>Supply and fixing of 9 watts  LED bulb  (PWD SR-2022-23/p-115)</v>
      </c>
      <c r="D958" s="1235">
        <f>buildingfinal!C957</f>
        <v>135</v>
      </c>
      <c r="E958" s="1235" t="str">
        <f>buildingfinal!D957</f>
        <v>Each</v>
      </c>
      <c r="F958" s="1235">
        <f t="shared" si="53"/>
        <v>11340</v>
      </c>
      <c r="G958" s="1240">
        <f>'[2]Abstract '!D955</f>
        <v>584</v>
      </c>
      <c r="H958" s="1216">
        <f>'[2]Abstract '!F955</f>
        <v>91688</v>
      </c>
    </row>
    <row r="959" spans="1:8" ht="30.75" customHeight="1">
      <c r="A959" s="1233">
        <f>buildingfinal!A958</f>
        <v>0</v>
      </c>
      <c r="B959" s="1521">
        <f>buildingfinal!Q958</f>
        <v>111</v>
      </c>
      <c r="C959" s="1239" t="str">
        <f>buildingfinal!B958</f>
        <v>Supply and fixing of 4' 18 watts  LED  Tube Light</v>
      </c>
      <c r="D959" s="1235">
        <f>buildingfinal!C958</f>
        <v>690</v>
      </c>
      <c r="E959" s="1235" t="str">
        <f>buildingfinal!D958</f>
        <v>Each</v>
      </c>
      <c r="F959" s="1235">
        <f t="shared" si="53"/>
        <v>76590</v>
      </c>
      <c r="G959" s="1240"/>
      <c r="H959" s="1217"/>
    </row>
    <row r="960" spans="1:8" ht="38.25" customHeight="1">
      <c r="A960" s="1233">
        <f>buildingfinal!A959</f>
        <v>0</v>
      </c>
      <c r="B960" s="1521">
        <f>buildingfinal!Q959</f>
        <v>7</v>
      </c>
      <c r="C960" s="1239" t="str">
        <f>buildingfinal!B959</f>
        <v>Supply and fixing of  Bulk Head fitting suitable for  12W LED Bulb</v>
      </c>
      <c r="D960" s="1235">
        <f>buildingfinal!C959</f>
        <v>517</v>
      </c>
      <c r="E960" s="1235" t="str">
        <f>buildingfinal!D959</f>
        <v>Each</v>
      </c>
      <c r="F960" s="1235">
        <f t="shared" si="53"/>
        <v>3619</v>
      </c>
      <c r="G960" s="1240">
        <f>buildingfinal!R957</f>
        <v>11340</v>
      </c>
      <c r="H960" s="1216">
        <f t="shared" ref="H960:H963" si="57">F960-G960</f>
        <v>-7721</v>
      </c>
    </row>
    <row r="961" spans="1:8" ht="34.5" hidden="1" customHeight="1">
      <c r="A961" s="1233">
        <f>buildingfinal!A960</f>
        <v>0</v>
      </c>
      <c r="B961" s="1521">
        <f>buildingfinal!Q960</f>
        <v>0</v>
      </c>
      <c r="C961" s="1239" t="str">
        <f>buildingfinal!B960</f>
        <v>Supply, fiing of 25W LED street light etc.,</v>
      </c>
      <c r="D961" s="1235">
        <f>buildingfinal!C960</f>
        <v>3367</v>
      </c>
      <c r="E961" s="1235" t="str">
        <f>buildingfinal!D960</f>
        <v>Each</v>
      </c>
      <c r="F961" s="1235">
        <f t="shared" si="53"/>
        <v>0</v>
      </c>
      <c r="G961" s="1240">
        <f>buildingfinal!R958</f>
        <v>76590</v>
      </c>
      <c r="H961" s="1216">
        <f t="shared" si="57"/>
        <v>-76590</v>
      </c>
    </row>
    <row r="962" spans="1:8" ht="24" customHeight="1">
      <c r="A962" s="1233">
        <f>buildingfinal!A961</f>
        <v>0</v>
      </c>
      <c r="B962" s="1521">
        <f>buildingfinal!Q961</f>
        <v>12</v>
      </c>
      <c r="C962" s="1239" t="str">
        <f>buildingfinal!B961</f>
        <v>Supply, fiing of 30W LED street light etc.,</v>
      </c>
      <c r="D962" s="1235">
        <f>buildingfinal!C961</f>
        <v>4030</v>
      </c>
      <c r="E962" s="1235" t="str">
        <f>buildingfinal!D961</f>
        <v>Each</v>
      </c>
      <c r="F962" s="1235">
        <f t="shared" si="53"/>
        <v>48360</v>
      </c>
      <c r="G962" s="1240">
        <f>buildingfinal!R959</f>
        <v>3619</v>
      </c>
      <c r="H962" s="1216">
        <f t="shared" si="57"/>
        <v>44741</v>
      </c>
    </row>
    <row r="963" spans="1:8" ht="27" customHeight="1">
      <c r="A963" s="1233">
        <f>buildingfinal!A962</f>
        <v>0</v>
      </c>
      <c r="B963" s="1521">
        <f>buildingfinal!Q962</f>
        <v>7</v>
      </c>
      <c r="C963" s="1239" t="str">
        <f>buildingfinal!B962</f>
        <v>Supply and fixing of 12 watts  LED bulb  (qtn)</v>
      </c>
      <c r="D963" s="1235">
        <f>buildingfinal!C962</f>
        <v>170</v>
      </c>
      <c r="E963" s="1235" t="str">
        <f>buildingfinal!D962</f>
        <v>Each</v>
      </c>
      <c r="F963" s="1235">
        <f t="shared" si="53"/>
        <v>1190</v>
      </c>
      <c r="G963" s="1240">
        <f>buildingfinal!R960</f>
        <v>0</v>
      </c>
      <c r="H963" s="1216">
        <f t="shared" si="57"/>
        <v>1190</v>
      </c>
    </row>
    <row r="964" spans="1:8" ht="30" hidden="1">
      <c r="A964" s="1233">
        <f>buildingfinal!A963</f>
        <v>0</v>
      </c>
      <c r="B964" s="1521">
        <f>buildingfinal!Q963</f>
        <v>0</v>
      </c>
      <c r="C964" s="1239" t="str">
        <f>buildingfinal!B963</f>
        <v>Supply and fixing of Prepainting G.I. Window/ Ventilator  with Grill( PWDSR-22-23)P-59</v>
      </c>
      <c r="D964" s="1235">
        <f>buildingfinal!C963</f>
        <v>5508</v>
      </c>
      <c r="E964" s="1235" t="str">
        <f>buildingfinal!D963</f>
        <v>Sqm</v>
      </c>
      <c r="F964" s="1235">
        <f t="shared" si="53"/>
        <v>0</v>
      </c>
      <c r="G964" s="1240"/>
      <c r="H964" s="1217"/>
    </row>
    <row r="965" spans="1:8" ht="45.75" customHeight="1">
      <c r="A965" s="1233">
        <f>buildingfinal!A964</f>
        <v>0</v>
      </c>
      <c r="B965" s="1521">
        <f>buildingfinal!Q964</f>
        <v>3624.4</v>
      </c>
      <c r="C965" s="1239" t="str">
        <f>buildingfinal!B964</f>
        <v xml:space="preserve">Providing one coat of Wallputty for new plastered surface </v>
      </c>
      <c r="D965" s="1235">
        <f>buildingfinal!C964</f>
        <v>98.65</v>
      </c>
      <c r="E965" s="1235" t="str">
        <f>buildingfinal!D964</f>
        <v>Sqm</v>
      </c>
      <c r="F965" s="1235">
        <f t="shared" si="53"/>
        <v>357547.06</v>
      </c>
      <c r="G965" s="1240">
        <f>buildingfinal!R962</f>
        <v>1190</v>
      </c>
      <c r="H965" s="1216">
        <f>F965-G965</f>
        <v>356357.06</v>
      </c>
    </row>
    <row r="966" spans="1:8" ht="30" hidden="1">
      <c r="A966" s="1233">
        <f>buildingfinal!A965</f>
        <v>0</v>
      </c>
      <c r="B966" s="1521">
        <f>buildingfinal!Q965</f>
        <v>0</v>
      </c>
      <c r="C966" s="1239" t="str">
        <f>buildingfinal!B965</f>
        <v>Providing rain water harvesting well ring of circular shape of 90cm dia m 60cm depth</v>
      </c>
      <c r="D966" s="1235">
        <f>buildingfinal!C965</f>
        <v>0</v>
      </c>
      <c r="E966" s="1235" t="str">
        <f>buildingfinal!D965</f>
        <v>each</v>
      </c>
      <c r="F966" s="1235">
        <f t="shared" si="53"/>
        <v>0</v>
      </c>
      <c r="G966" s="1240"/>
      <c r="H966" s="1217"/>
    </row>
    <row r="967" spans="1:8" ht="45.75" customHeight="1">
      <c r="A967" s="1233">
        <f>buildingfinal!A966</f>
        <v>0</v>
      </c>
      <c r="B967" s="1521">
        <f>buildingfinal!Q966</f>
        <v>2</v>
      </c>
      <c r="C967" s="1239" t="str">
        <f>buildingfinal!B966</f>
        <v>Supply and erection of 125 Amps capacity floor mounting / wall mounting panel board</v>
      </c>
      <c r="D967" s="1235">
        <f>buildingfinal!C966</f>
        <v>77200</v>
      </c>
      <c r="E967" s="1235" t="str">
        <f>buildingfinal!D966</f>
        <v>Set</v>
      </c>
      <c r="F967" s="1235">
        <f t="shared" si="53"/>
        <v>154400</v>
      </c>
      <c r="G967" s="1240"/>
      <c r="H967" s="1217"/>
    </row>
    <row r="968" spans="1:8" ht="45.75" customHeight="1">
      <c r="A968" s="1233">
        <f>buildingfinal!A967</f>
        <v>0</v>
      </c>
      <c r="B968" s="1521">
        <f>buildingfinal!Q967</f>
        <v>50</v>
      </c>
      <c r="C968" s="1239" t="str">
        <f>buildingfinal!B967</f>
        <v>Supplying and laying of 3.5 core 120 sq.mm PVC armoured LTUG cable (below GL) SD-209</v>
      </c>
      <c r="D968" s="1235">
        <f>buildingfinal!C967</f>
        <v>1044</v>
      </c>
      <c r="E968" s="1235" t="str">
        <f>buildingfinal!D967</f>
        <v>RMT</v>
      </c>
      <c r="F968" s="1235">
        <f t="shared" ref="F968:F1031" si="58">D968*B968</f>
        <v>52200</v>
      </c>
      <c r="G968" s="1240"/>
      <c r="H968" s="1217"/>
    </row>
    <row r="969" spans="1:8" ht="45.75" customHeight="1">
      <c r="A969" s="1233">
        <f>buildingfinal!A968</f>
        <v>0</v>
      </c>
      <c r="B969" s="1521">
        <f>buildingfinal!Q968</f>
        <v>10</v>
      </c>
      <c r="C969" s="1239" t="str">
        <f>buildingfinal!B968</f>
        <v>Supplying and laying of 3.5 core 120 sq.mm PVC armoured LTUG cable (Above. GL) SD-227</v>
      </c>
      <c r="D969" s="1235">
        <f>buildingfinal!C968</f>
        <v>941</v>
      </c>
      <c r="E969" s="1235" t="str">
        <f>buildingfinal!D968</f>
        <v>RMT</v>
      </c>
      <c r="F969" s="1235">
        <f t="shared" si="58"/>
        <v>9410</v>
      </c>
      <c r="G969" s="1240"/>
      <c r="H969" s="1217"/>
    </row>
    <row r="970" spans="1:8" ht="42" customHeight="1">
      <c r="A970" s="1233">
        <f>buildingfinal!A969</f>
        <v>0</v>
      </c>
      <c r="B970" s="1521">
        <f>buildingfinal!Q969</f>
        <v>35</v>
      </c>
      <c r="C970" s="1239" t="str">
        <f>buildingfinal!B969</f>
        <v>S&amp;F 3.5 X70mm LTUG CABLE Above GL</v>
      </c>
      <c r="D970" s="1235">
        <f>buildingfinal!C969</f>
        <v>646</v>
      </c>
      <c r="E970" s="1235" t="str">
        <f>buildingfinal!D969</f>
        <v>RMT</v>
      </c>
      <c r="F970" s="1235">
        <f t="shared" si="58"/>
        <v>22610</v>
      </c>
      <c r="G970" s="1240">
        <f>buildingfinal!R967</f>
        <v>52200</v>
      </c>
      <c r="H970" s="1216">
        <f t="shared" ref="H970:H973" si="59">F970-G970</f>
        <v>-29590</v>
      </c>
    </row>
    <row r="971" spans="1:8" ht="38.25" customHeight="1">
      <c r="A971" s="1233">
        <f>buildingfinal!A970</f>
        <v>0</v>
      </c>
      <c r="B971" s="1521">
        <f>buildingfinal!Q970</f>
        <v>10</v>
      </c>
      <c r="C971" s="1239" t="str">
        <f>buildingfinal!B970</f>
        <v>S&amp;F 3.5 X 70mm LTUG CABLE below GL SD207</v>
      </c>
      <c r="D971" s="1235">
        <f>buildingfinal!C970</f>
        <v>791</v>
      </c>
      <c r="E971" s="1235" t="str">
        <f>buildingfinal!D970</f>
        <v>RMT</v>
      </c>
      <c r="F971" s="1235">
        <f t="shared" si="58"/>
        <v>7910</v>
      </c>
      <c r="G971" s="1240">
        <f>buildingfinal!R968</f>
        <v>9410</v>
      </c>
      <c r="H971" s="1216">
        <f t="shared" si="59"/>
        <v>-1500</v>
      </c>
    </row>
    <row r="972" spans="1:8" ht="54.75" customHeight="1">
      <c r="A972" s="1233">
        <f>buildingfinal!A971</f>
        <v>0</v>
      </c>
      <c r="B972" s="1521">
        <f>buildingfinal!Q971</f>
        <v>2</v>
      </c>
      <c r="C972" s="1239" t="str">
        <f>buildingfinal!B971</f>
        <v>Supplying and fixing of brass cable gland suitable for 3.5 core 120 Sqmm PVC armoured LTUG cable  SD 191</v>
      </c>
      <c r="D972" s="1235">
        <f>buildingfinal!C971</f>
        <v>595</v>
      </c>
      <c r="E972" s="1235" t="str">
        <f>buildingfinal!D971</f>
        <v>Each</v>
      </c>
      <c r="F972" s="1235">
        <f t="shared" si="58"/>
        <v>1190</v>
      </c>
      <c r="G972" s="1240">
        <f>buildingfinal!R976</f>
        <v>5905</v>
      </c>
      <c r="H972" s="1216">
        <f t="shared" si="59"/>
        <v>-4715</v>
      </c>
    </row>
    <row r="973" spans="1:8" ht="58.5" customHeight="1">
      <c r="A973" s="1233">
        <f>buildingfinal!A972</f>
        <v>0</v>
      </c>
      <c r="B973" s="1521">
        <f>buildingfinal!Q972</f>
        <v>2</v>
      </c>
      <c r="C973" s="1239" t="str">
        <f>buildingfinal!B972</f>
        <v xml:space="preserve">Supplying and fixing of end termination suitable for 3.5 core 120 Sqmm PVC armoured LTUG cable SD 240 </v>
      </c>
      <c r="D973" s="1235">
        <f>buildingfinal!C972</f>
        <v>509</v>
      </c>
      <c r="E973" s="1235" t="str">
        <f>buildingfinal!D972</f>
        <v>Each</v>
      </c>
      <c r="F973" s="1235">
        <f t="shared" si="58"/>
        <v>1018</v>
      </c>
      <c r="G973" s="1240">
        <f>buildingfinal!R977</f>
        <v>13968</v>
      </c>
      <c r="H973" s="1216">
        <f t="shared" si="59"/>
        <v>-12950</v>
      </c>
    </row>
    <row r="974" spans="1:8" ht="45">
      <c r="A974" s="1233">
        <f>buildingfinal!A973</f>
        <v>0</v>
      </c>
      <c r="B974" s="1521">
        <f>buildingfinal!Q973</f>
        <v>5</v>
      </c>
      <c r="C974" s="1239" t="str">
        <f>buildingfinal!B973</f>
        <v xml:space="preserve">Supplying and fixing of CP Angle valve Stop cock  including cost of all materials and all labour charges etc complete </v>
      </c>
      <c r="D974" s="1235">
        <f>buildingfinal!C973</f>
        <v>151.30000000000001</v>
      </c>
      <c r="E974" s="1235" t="str">
        <f>buildingfinal!D973</f>
        <v>Each</v>
      </c>
      <c r="F974" s="1235">
        <f t="shared" si="58"/>
        <v>756.5</v>
      </c>
      <c r="G974" s="1240"/>
      <c r="H974" s="1217"/>
    </row>
    <row r="975" spans="1:8" ht="42" customHeight="1">
      <c r="A975" s="1233">
        <f>buildingfinal!A974</f>
        <v>0</v>
      </c>
      <c r="B975" s="1521">
        <f>buildingfinal!Q974</f>
        <v>17</v>
      </c>
      <c r="C975" s="1239" t="str">
        <f>buildingfinal!B974</f>
        <v xml:space="preserve">Supply and fixing of Health faucet approved quality with ISI mark </v>
      </c>
      <c r="D975" s="1235">
        <f>buildingfinal!C974</f>
        <v>1013</v>
      </c>
      <c r="E975" s="1235" t="str">
        <f>buildingfinal!D974</f>
        <v>Each</v>
      </c>
      <c r="F975" s="1235">
        <f t="shared" si="58"/>
        <v>17221</v>
      </c>
      <c r="G975" s="1240">
        <f>buildingfinal!R979</f>
        <v>0</v>
      </c>
      <c r="H975" s="1216">
        <f>F975-G975</f>
        <v>17221</v>
      </c>
    </row>
    <row r="976" spans="1:8" ht="26.25" customHeight="1">
      <c r="A976" s="1233">
        <f>buildingfinal!A975</f>
        <v>0</v>
      </c>
      <c r="B976" s="1521">
        <f>buildingfinal!Q975</f>
        <v>1</v>
      </c>
      <c r="C976" s="1239" t="str">
        <f>buildingfinal!B975</f>
        <v>S &amp; F TPN 4 way DB encloser</v>
      </c>
      <c r="D976" s="1235">
        <f>buildingfinal!C975</f>
        <v>6588</v>
      </c>
      <c r="E976" s="1235" t="str">
        <f>buildingfinal!D975</f>
        <v>Each</v>
      </c>
      <c r="F976" s="1235">
        <f t="shared" si="58"/>
        <v>6588</v>
      </c>
      <c r="G976" s="1240"/>
      <c r="H976" s="1217"/>
    </row>
    <row r="977" spans="1:8" ht="40.5" customHeight="1">
      <c r="A977" s="1233">
        <f>buildingfinal!A976</f>
        <v>0</v>
      </c>
      <c r="B977" s="1521">
        <f>buildingfinal!Q976</f>
        <v>5</v>
      </c>
      <c r="C977" s="1239" t="str">
        <f>buildingfinal!B976</f>
        <v>Supplying and fixing of CP shower arm with overhead shower rose</v>
      </c>
      <c r="D977" s="1235">
        <f>buildingfinal!C976</f>
        <v>1181</v>
      </c>
      <c r="E977" s="1235" t="str">
        <f>buildingfinal!D976</f>
        <v>Each</v>
      </c>
      <c r="F977" s="1235">
        <f t="shared" si="58"/>
        <v>5905</v>
      </c>
      <c r="G977" s="1240">
        <f>buildingfinal!R981</f>
        <v>0</v>
      </c>
      <c r="H977" s="1216">
        <f t="shared" ref="H977:H979" si="60">F977-G977</f>
        <v>5905</v>
      </c>
    </row>
    <row r="978" spans="1:8" ht="36" customHeight="1">
      <c r="A978" s="1233">
        <f>buildingfinal!A977</f>
        <v>0</v>
      </c>
      <c r="B978" s="1521">
        <f>buildingfinal!Q977</f>
        <v>18</v>
      </c>
      <c r="C978" s="1239" t="str">
        <f>buildingfinal!B977</f>
        <v>Supplying and fixing of angle cock</v>
      </c>
      <c r="D978" s="1235">
        <f>buildingfinal!C977</f>
        <v>776</v>
      </c>
      <c r="E978" s="1235" t="str">
        <f>buildingfinal!D977</f>
        <v>Each</v>
      </c>
      <c r="F978" s="1235">
        <f t="shared" si="58"/>
        <v>13968</v>
      </c>
      <c r="G978" s="1240" t="e">
        <f>buildingfinal!#REF!</f>
        <v>#REF!</v>
      </c>
      <c r="H978" s="1216" t="e">
        <f t="shared" si="60"/>
        <v>#REF!</v>
      </c>
    </row>
    <row r="979" spans="1:8" ht="131.25" hidden="1" customHeight="1">
      <c r="A979" s="1233">
        <f>buildingfinal!A978</f>
        <v>0</v>
      </c>
      <c r="B979" s="1521">
        <f>buildingfinal!Q978</f>
        <v>0</v>
      </c>
      <c r="C979" s="1239" t="str">
        <f>buildingfinal!B978</f>
        <v xml:space="preserve">Supplying and fixing of  Brass Chromium Plated Soap Tray of size 150mm x 100mm including cost of all materials and all labour charges etc complete </v>
      </c>
      <c r="D979" s="1235">
        <f>buildingfinal!C978</f>
        <v>165.1</v>
      </c>
      <c r="E979" s="1235" t="str">
        <f>buildingfinal!D978</f>
        <v>Each</v>
      </c>
      <c r="F979" s="1235">
        <f t="shared" si="58"/>
        <v>0</v>
      </c>
      <c r="G979" s="1240" t="e">
        <f>buildingfinal!#REF!</f>
        <v>#REF!</v>
      </c>
      <c r="H979" s="1216" t="e">
        <f t="shared" si="60"/>
        <v>#REF!</v>
      </c>
    </row>
    <row r="980" spans="1:8" ht="45" hidden="1">
      <c r="A980" s="1233">
        <f>buildingfinal!A979</f>
        <v>0</v>
      </c>
      <c r="B980" s="1521">
        <f>buildingfinal!Q979</f>
        <v>0</v>
      </c>
      <c r="C980" s="1239" t="str">
        <f>buildingfinal!B979</f>
        <v xml:space="preserve">Supplying and fixing of CP Angle valve Stop cock  including cost of all materials and all labour charges etc complete </v>
      </c>
      <c r="D980" s="1235">
        <f>buildingfinal!C979</f>
        <v>776</v>
      </c>
      <c r="E980" s="1235" t="str">
        <f>buildingfinal!D979</f>
        <v>Each</v>
      </c>
      <c r="F980" s="1235">
        <f t="shared" si="58"/>
        <v>0</v>
      </c>
      <c r="G980" s="1240"/>
    </row>
    <row r="981" spans="1:8" ht="30" hidden="1">
      <c r="A981" s="1233">
        <f>buildingfinal!A980</f>
        <v>0</v>
      </c>
      <c r="B981" s="1521">
        <f>buildingfinal!Q980</f>
        <v>0</v>
      </c>
      <c r="C981" s="1239" t="str">
        <f>buildingfinal!B980</f>
        <v>Supply and fixing of Health faucet approved quality with ISI mark  (SR 2022-23 P-57)</v>
      </c>
      <c r="D981" s="1235">
        <f>buildingfinal!C980</f>
        <v>1013</v>
      </c>
      <c r="E981" s="1235" t="str">
        <f>buildingfinal!D980</f>
        <v>Each</v>
      </c>
      <c r="F981" s="1235">
        <f t="shared" si="58"/>
        <v>0</v>
      </c>
      <c r="G981" s="1240">
        <f>'[2]Abstract '!D978</f>
        <v>150</v>
      </c>
      <c r="H981" s="1216">
        <f>'[2]Abstract '!F978</f>
        <v>300</v>
      </c>
    </row>
    <row r="982" spans="1:8" ht="47.25" hidden="1" customHeight="1">
      <c r="A982" s="1233">
        <f>buildingfinal!A981</f>
        <v>0</v>
      </c>
      <c r="B982" s="1521">
        <f>buildingfinal!Q981</f>
        <v>0</v>
      </c>
      <c r="C982" s="1239" t="str">
        <f>buildingfinal!B981</f>
        <v>Supply and Bib cock with health facet including cost of labour charge and etc.,</v>
      </c>
      <c r="D982" s="1235">
        <f>buildingfinal!C981</f>
        <v>2020</v>
      </c>
      <c r="E982" s="1235" t="str">
        <f>buildingfinal!D981</f>
        <v>each</v>
      </c>
      <c r="F982" s="1235">
        <f t="shared" si="58"/>
        <v>0</v>
      </c>
      <c r="G982" s="1240">
        <f>buildingfinal!R982</f>
        <v>0</v>
      </c>
      <c r="H982" s="1216">
        <f>F982-G982</f>
        <v>0</v>
      </c>
    </row>
    <row r="983" spans="1:8" ht="30" hidden="1">
      <c r="A983" s="1233">
        <f>buildingfinal!A982</f>
        <v>0</v>
      </c>
      <c r="B983" s="1521">
        <f>buildingfinal!Q982</f>
        <v>0</v>
      </c>
      <c r="C983" s="1239" t="str">
        <f>buildingfinal!B982</f>
        <v>Suplly and erection of 125  Amps Capacity floor mounting panel board (Cubical type)</v>
      </c>
      <c r="D983" s="1235">
        <f>buildingfinal!C982</f>
        <v>77200</v>
      </c>
      <c r="E983" s="1235" t="str">
        <f>buildingfinal!D982</f>
        <v>Each</v>
      </c>
      <c r="F983" s="1235">
        <f t="shared" si="58"/>
        <v>0</v>
      </c>
      <c r="G983" s="1240">
        <f>[5]building!Y1074</f>
        <v>0</v>
      </c>
    </row>
    <row r="984" spans="1:8" ht="67.5" customHeight="1">
      <c r="A984" s="1233">
        <f>buildingfinal!A983</f>
        <v>0</v>
      </c>
      <c r="B984" s="1260" t="str">
        <f>buildingfinal!Q983</f>
        <v>*</v>
      </c>
      <c r="C984" s="1234" t="str">
        <f>buildingfinal!B983</f>
        <v>Supply &amp; Installtion of 3 star rated Air- Conditioner with copper coil including cost of 3m copper tube and fixing charge etc (PWD SR 2020-21 , P-141)</v>
      </c>
      <c r="D984" s="1235">
        <f>buildingfinal!C983</f>
        <v>0</v>
      </c>
      <c r="E984" s="1235">
        <f>buildingfinal!D983</f>
        <v>0</v>
      </c>
      <c r="F984" s="1235"/>
      <c r="G984" s="1240">
        <f>'[2]Abstract '!D981</f>
        <v>0</v>
      </c>
      <c r="H984" s="1216">
        <f>'[2]Abstract '!F981</f>
        <v>0</v>
      </c>
    </row>
    <row r="985" spans="1:8" ht="30.75" customHeight="1">
      <c r="A985" s="1233">
        <f>buildingfinal!A984</f>
        <v>0</v>
      </c>
      <c r="B985" s="1521">
        <f>buildingfinal!Q984</f>
        <v>2</v>
      </c>
      <c r="C985" s="1239" t="str">
        <f>buildingfinal!B984</f>
        <v>a. 1.5 TR Split Type AC unit</v>
      </c>
      <c r="D985" s="1235">
        <f>buildingfinal!C984</f>
        <v>33170</v>
      </c>
      <c r="E985" s="1235" t="str">
        <f>buildingfinal!D984</f>
        <v>Each</v>
      </c>
      <c r="F985" s="1235">
        <f t="shared" si="58"/>
        <v>66340</v>
      </c>
      <c r="G985" s="1240">
        <f>'[2]Abstract '!D982</f>
        <v>2650</v>
      </c>
      <c r="H985" s="1216">
        <f>'[2]Abstract '!F982</f>
        <v>39750</v>
      </c>
    </row>
    <row r="986" spans="1:8" ht="19.5" hidden="1" customHeight="1">
      <c r="A986" s="1233">
        <f>buildingfinal!A985</f>
        <v>0</v>
      </c>
      <c r="B986" s="1521">
        <f>buildingfinal!Q985</f>
        <v>0</v>
      </c>
      <c r="C986" s="1239" t="str">
        <f>buildingfinal!B985</f>
        <v>b..2 TR Split Type AC unit</v>
      </c>
      <c r="D986" s="1235">
        <f>buildingfinal!C985</f>
        <v>44160</v>
      </c>
      <c r="E986" s="1235" t="str">
        <f>buildingfinal!D985</f>
        <v>Each</v>
      </c>
      <c r="F986" s="1235">
        <f t="shared" si="58"/>
        <v>0</v>
      </c>
      <c r="G986" s="1240"/>
      <c r="H986" s="1217"/>
    </row>
    <row r="987" spans="1:8" ht="60" customHeight="1">
      <c r="A987" s="1233">
        <f>buildingfinal!A986</f>
        <v>0</v>
      </c>
      <c r="B987" s="1521">
        <f>buildingfinal!Q986</f>
        <v>2</v>
      </c>
      <c r="C987" s="1239" t="str">
        <f>buildingfinal!B986</f>
        <v xml:space="preserve"> Supply and Installation of 4 KVA CpapacityAutomatic Voltage stablizer with time delay relay (V- Guard/ Equivalent)</v>
      </c>
      <c r="D987" s="1235">
        <f>buildingfinal!C986</f>
        <v>4441</v>
      </c>
      <c r="E987" s="1235" t="str">
        <f>buildingfinal!D986</f>
        <v>Each</v>
      </c>
      <c r="F987" s="1235">
        <f t="shared" si="58"/>
        <v>8882</v>
      </c>
      <c r="G987" s="1240">
        <f>'[2]Abstract '!D984</f>
        <v>90</v>
      </c>
      <c r="H987" s="1216">
        <f>'[2]Abstract '!F984</f>
        <v>7128</v>
      </c>
    </row>
    <row r="988" spans="1:8" ht="45" hidden="1">
      <c r="A988" s="1233">
        <f>buildingfinal!A987</f>
        <v>0</v>
      </c>
      <c r="B988" s="1521">
        <f>buildingfinal!Q987</f>
        <v>0</v>
      </c>
      <c r="C988" s="1239" t="str">
        <f>buildingfinal!B987</f>
        <v>Supply and Installation of 5 KVA CpapacityAutomatic Voltage stablizer with time delay relay (V- Guard/ Equivalent)</v>
      </c>
      <c r="D988" s="1235">
        <f>buildingfinal!C987</f>
        <v>4940</v>
      </c>
      <c r="E988" s="1235" t="str">
        <f>buildingfinal!D987</f>
        <v>Each</v>
      </c>
      <c r="F988" s="1235">
        <f t="shared" si="58"/>
        <v>0</v>
      </c>
      <c r="G988" s="1240">
        <f>'[2]Abstract '!D985</f>
        <v>364.41</v>
      </c>
      <c r="H988" s="1216">
        <f>'[2]Abstract '!F985</f>
        <v>2915.28</v>
      </c>
    </row>
    <row r="989" spans="1:8" ht="56.25" customHeight="1">
      <c r="A989" s="1233">
        <f>buildingfinal!A988</f>
        <v>0</v>
      </c>
      <c r="B989" s="1521">
        <f>buildingfinal!Q988</f>
        <v>6</v>
      </c>
      <c r="C989" s="1239" t="str">
        <f>buildingfinal!B988</f>
        <v>Supply and laying of 5/8" and 3/8" copper pipe (Extra beyond 3 metrs supplied with AC unit)</v>
      </c>
      <c r="D989" s="1235">
        <f>buildingfinal!C988</f>
        <v>940</v>
      </c>
      <c r="E989" s="1235" t="str">
        <f>buildingfinal!D988</f>
        <v>Rmt</v>
      </c>
      <c r="F989" s="1235">
        <f t="shared" si="58"/>
        <v>5640</v>
      </c>
      <c r="G989" s="1240">
        <f>'[2]Abstract '!D986</f>
        <v>6250</v>
      </c>
      <c r="H989" s="1216">
        <f>'[2]Abstract '!F986</f>
        <v>6250</v>
      </c>
    </row>
    <row r="990" spans="1:8" ht="27" customHeight="1">
      <c r="A990" s="1233">
        <f>buildingfinal!A989</f>
        <v>0</v>
      </c>
      <c r="B990" s="1521">
        <f>buildingfinal!Q989</f>
        <v>5</v>
      </c>
      <c r="C990" s="1239" t="str">
        <f>buildingfinal!B989</f>
        <v xml:space="preserve">Supply and fixing of AC drain pipe </v>
      </c>
      <c r="D990" s="1235">
        <f>buildingfinal!C989</f>
        <v>64.099999999999994</v>
      </c>
      <c r="E990" s="1235" t="str">
        <f>buildingfinal!D989</f>
        <v>Rmt</v>
      </c>
      <c r="F990" s="1235">
        <f t="shared" si="58"/>
        <v>320.5</v>
      </c>
      <c r="G990" s="1240">
        <f>buildingfinal!R990</f>
        <v>0</v>
      </c>
      <c r="H990" s="1216">
        <f t="shared" ref="H990:H1001" si="61">F990-G990</f>
        <v>320.5</v>
      </c>
    </row>
    <row r="991" spans="1:8" ht="44.25" customHeight="1">
      <c r="A991" s="1233">
        <f>buildingfinal!A990</f>
        <v>0</v>
      </c>
      <c r="B991" s="1260" t="str">
        <f>buildingfinal!Q990</f>
        <v>*</v>
      </c>
      <c r="C991" s="1234" t="str">
        <f>buildingfinal!B990</f>
        <v>Numbering &amp; lettering arrangements [CER.NO.530 / 2019-2020]</v>
      </c>
      <c r="D991" s="1235">
        <f>buildingfinal!C990</f>
        <v>0</v>
      </c>
      <c r="E991" s="1235">
        <f>buildingfinal!D990</f>
        <v>0</v>
      </c>
      <c r="F991" s="1235"/>
      <c r="G991" s="1240">
        <f>buildingfinal!R991</f>
        <v>4200</v>
      </c>
      <c r="H991" s="1216">
        <f t="shared" si="61"/>
        <v>-4200</v>
      </c>
    </row>
    <row r="992" spans="1:8" ht="33.75" customHeight="1">
      <c r="A992" s="1233">
        <f>buildingfinal!A991</f>
        <v>0</v>
      </c>
      <c r="B992" s="1521">
        <f>buildingfinal!Q991</f>
        <v>1</v>
      </c>
      <c r="C992" s="1239" t="str">
        <f>buildingfinal!B991</f>
        <v>Supply and fixing of Aluminium TNPHC Emblem of 18" height</v>
      </c>
      <c r="D992" s="1235">
        <f>buildingfinal!C991</f>
        <v>4200</v>
      </c>
      <c r="E992" s="1235" t="str">
        <f>buildingfinal!D991</f>
        <v>Nos</v>
      </c>
      <c r="F992" s="1235">
        <f t="shared" si="58"/>
        <v>4200</v>
      </c>
      <c r="G992" s="1240">
        <f>buildingfinal!R992</f>
        <v>35280</v>
      </c>
      <c r="H992" s="1216">
        <f t="shared" si="61"/>
        <v>-31080</v>
      </c>
    </row>
    <row r="993" spans="1:8" ht="32.25" customHeight="1">
      <c r="A993" s="1233">
        <f>buildingfinal!A992</f>
        <v>0</v>
      </c>
      <c r="B993" s="1521">
        <f>buildingfinal!Q992</f>
        <v>42</v>
      </c>
      <c r="C993" s="1239" t="str">
        <f>buildingfinal!B992</f>
        <v>Supply and Fixing of 12" Height Aluminium letter s</v>
      </c>
      <c r="D993" s="1235">
        <f>buildingfinal!C992</f>
        <v>840</v>
      </c>
      <c r="E993" s="1235" t="str">
        <f>buildingfinal!D992</f>
        <v>Nos</v>
      </c>
      <c r="F993" s="1235">
        <f t="shared" si="58"/>
        <v>35280</v>
      </c>
      <c r="G993" s="1240">
        <f>buildingfinal!R993</f>
        <v>8640</v>
      </c>
      <c r="H993" s="1216">
        <f t="shared" si="61"/>
        <v>26640</v>
      </c>
    </row>
    <row r="994" spans="1:8" ht="32.25" customHeight="1">
      <c r="A994" s="1233">
        <f>buildingfinal!A993</f>
        <v>0</v>
      </c>
      <c r="B994" s="1521">
        <f>buildingfinal!Q993</f>
        <v>12</v>
      </c>
      <c r="C994" s="1239" t="str">
        <f>buildingfinal!B993</f>
        <v>Supply and fixing of 9" Height Aluminium letters</v>
      </c>
      <c r="D994" s="1235">
        <f>buildingfinal!C993</f>
        <v>720</v>
      </c>
      <c r="E994" s="1235" t="str">
        <f>buildingfinal!D993</f>
        <v>Nos</v>
      </c>
      <c r="F994" s="1235">
        <f t="shared" si="58"/>
        <v>8640</v>
      </c>
      <c r="G994" s="1240">
        <f>buildingfinal!R994</f>
        <v>4800</v>
      </c>
      <c r="H994" s="1216">
        <f t="shared" si="61"/>
        <v>3840</v>
      </c>
    </row>
    <row r="995" spans="1:8" ht="41.25" customHeight="1">
      <c r="A995" s="1233">
        <f>buildingfinal!A994</f>
        <v>0</v>
      </c>
      <c r="B995" s="1521">
        <f>buildingfinal!Q994</f>
        <v>15</v>
      </c>
      <c r="C995" s="1239" t="str">
        <f>buildingfinal!B994</f>
        <v>Supply and fixing of 20"x5" size plastic foam name plate</v>
      </c>
      <c r="D995" s="1235">
        <f>buildingfinal!C994</f>
        <v>320</v>
      </c>
      <c r="E995" s="1235" t="str">
        <f>buildingfinal!D994</f>
        <v>Nos</v>
      </c>
      <c r="F995" s="1235">
        <f t="shared" si="58"/>
        <v>4800</v>
      </c>
      <c r="G995" s="1240">
        <f>buildingfinal!R995</f>
        <v>450</v>
      </c>
      <c r="H995" s="1216">
        <f t="shared" si="61"/>
        <v>4350</v>
      </c>
    </row>
    <row r="996" spans="1:8" ht="41.25" customHeight="1">
      <c r="A996" s="1233">
        <f>buildingfinal!A995</f>
        <v>0</v>
      </c>
      <c r="B996" s="1521">
        <f>buildingfinal!Q995</f>
        <v>1</v>
      </c>
      <c r="C996" s="1239" t="str">
        <f>buildingfinal!B995</f>
        <v>Supply and fixing of 24"x8" plastic foam name plate with vinyl cutting letter RWH Board</v>
      </c>
      <c r="D996" s="1235">
        <f>buildingfinal!C995</f>
        <v>450</v>
      </c>
      <c r="E996" s="1235" t="str">
        <f>buildingfinal!D995</f>
        <v>Nos</v>
      </c>
      <c r="F996" s="1235">
        <f t="shared" si="58"/>
        <v>450</v>
      </c>
      <c r="G996" s="1240" t="e">
        <f>buildingfinal!#REF!</f>
        <v>#REF!</v>
      </c>
      <c r="H996" s="1216" t="e">
        <f t="shared" si="61"/>
        <v>#REF!</v>
      </c>
    </row>
    <row r="997" spans="1:8" ht="49.5" customHeight="1">
      <c r="A997" s="1233">
        <f>buildingfinal!A996</f>
        <v>0</v>
      </c>
      <c r="B997" s="1521">
        <f>buildingfinal!Q996</f>
        <v>12</v>
      </c>
      <c r="C997" s="1239" t="str">
        <f>buildingfinal!B996</f>
        <v>Supply and delivery at site and fixing of SFRC manhole cover with frame with locking arrangement
a. 600mm x 600mm (SR 2022-23 P-72)</v>
      </c>
      <c r="D997" s="1235">
        <f>buildingfinal!C996</f>
        <v>2701</v>
      </c>
      <c r="E997" s="1235" t="str">
        <f>buildingfinal!D996</f>
        <v>Nos</v>
      </c>
      <c r="F997" s="1235">
        <f t="shared" si="58"/>
        <v>32412</v>
      </c>
      <c r="G997" s="1240" t="e">
        <f>buildingfinal!#REF!</f>
        <v>#REF!</v>
      </c>
      <c r="H997" s="1216" t="e">
        <f t="shared" si="61"/>
        <v>#REF!</v>
      </c>
    </row>
    <row r="998" spans="1:8" ht="72.75" customHeight="1">
      <c r="A998" s="1233">
        <f>buildingfinal!A997</f>
        <v>0</v>
      </c>
      <c r="B998" s="1521">
        <f>buildingfinal!Q997</f>
        <v>8</v>
      </c>
      <c r="C998" s="1239" t="str">
        <f>buildingfinal!B997</f>
        <v>Providing Rain Water Harvesting well ring circular shape of 90cm dia, 60cm depth,50mm thick using m20 grade concrete including steel fabrication.
A.Ring</v>
      </c>
      <c r="D998" s="1235">
        <f>buildingfinal!C997</f>
        <v>1481.4</v>
      </c>
      <c r="E998" s="1235" t="str">
        <f>buildingfinal!D997</f>
        <v>No</v>
      </c>
      <c r="F998" s="1235">
        <f t="shared" si="58"/>
        <v>11851.2</v>
      </c>
      <c r="G998" s="1240" t="e">
        <f>buildingfinal!#REF!</f>
        <v>#REF!</v>
      </c>
      <c r="H998" s="1216" t="e">
        <f t="shared" si="61"/>
        <v>#REF!</v>
      </c>
    </row>
    <row r="999" spans="1:8" ht="123.75" customHeight="1">
      <c r="A999" s="1233">
        <f>buildingfinal!A998</f>
        <v>0</v>
      </c>
      <c r="B999" s="1521">
        <f>buildingfinal!Q998</f>
        <v>8</v>
      </c>
      <c r="C999" s="1239" t="str">
        <f>buildingfinal!B998</f>
        <v xml:space="preserve">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v>
      </c>
      <c r="D999" s="1235">
        <f>buildingfinal!C998</f>
        <v>17095</v>
      </c>
      <c r="E999" s="1235" t="str">
        <f>buildingfinal!D998</f>
        <v>each</v>
      </c>
      <c r="F999" s="1235">
        <f t="shared" si="58"/>
        <v>136760</v>
      </c>
      <c r="G999" s="1240">
        <f>buildingfinal!R996</f>
        <v>32412</v>
      </c>
      <c r="H999" s="1216">
        <f t="shared" si="61"/>
        <v>104348</v>
      </c>
    </row>
    <row r="1000" spans="1:8" ht="48" customHeight="1">
      <c r="A1000" s="1233">
        <f>buildingfinal!A999</f>
        <v>0</v>
      </c>
      <c r="B1000" s="1521">
        <f>buildingfinal!Q999</f>
        <v>304.39999999999998</v>
      </c>
      <c r="C1000" s="1239" t="str">
        <f>buildingfinal!B999</f>
        <v>Supplying and laying of Granite tiles Flooring  1:3, 10mm tk Ruby red</v>
      </c>
      <c r="D1000" s="1235">
        <f>buildingfinal!C999</f>
        <v>1654.26</v>
      </c>
      <c r="E1000" s="1235" t="str">
        <f>buildingfinal!D999</f>
        <v>Sqm</v>
      </c>
      <c r="F1000" s="1235">
        <f t="shared" si="58"/>
        <v>503556.74</v>
      </c>
      <c r="G1000" s="1240" t="e">
        <f>buildingfinal!#REF!</f>
        <v>#REF!</v>
      </c>
      <c r="H1000" s="1216" t="e">
        <f t="shared" si="61"/>
        <v>#REF!</v>
      </c>
    </row>
    <row r="1001" spans="1:8" ht="30.75" hidden="1" customHeight="1">
      <c r="A1001" s="1233">
        <f>buildingfinal!A1000</f>
        <v>0</v>
      </c>
      <c r="B1001" s="1521">
        <f>buildingfinal!Q1000</f>
        <v>0</v>
      </c>
      <c r="C1001" s="1239" t="str">
        <f>buildingfinal!B1000</f>
        <v xml:space="preserve">Supply and fixing of 2 x 2' square type recessed / surface mounted fitting with 36 W LED bulbs  and with necessary connection Data S </v>
      </c>
      <c r="D1001" s="1235">
        <f>buildingfinal!C1000</f>
        <v>2805.5</v>
      </c>
      <c r="E1001" s="1235" t="str">
        <f>buildingfinal!D1000</f>
        <v>Each</v>
      </c>
      <c r="F1001" s="1235">
        <f t="shared" si="58"/>
        <v>0</v>
      </c>
      <c r="G1001" s="1240" t="e">
        <f>buildingfinal!#REF!</f>
        <v>#REF!</v>
      </c>
      <c r="H1001" s="1216" t="e">
        <f t="shared" si="61"/>
        <v>#REF!</v>
      </c>
    </row>
    <row r="1002" spans="1:8" ht="32.25" customHeight="1">
      <c r="A1002" s="1233">
        <f>buildingfinal!A1001</f>
        <v>0</v>
      </c>
      <c r="B1002" s="1521">
        <f>buildingfinal!Q1001</f>
        <v>100.5</v>
      </c>
      <c r="C1002" s="1239" t="str">
        <f>buildingfinal!B1001</f>
        <v>Supply and Fixing of PVC Trimes (beeding) P36/SOR-2022-2023</v>
      </c>
      <c r="D1002" s="1235">
        <f>buildingfinal!C1001</f>
        <v>95.4</v>
      </c>
      <c r="E1002" s="1235" t="str">
        <f>buildingfinal!D1001</f>
        <v>Rmt</v>
      </c>
      <c r="F1002" s="1235">
        <f t="shared" si="58"/>
        <v>9587.7000000000007</v>
      </c>
      <c r="G1002" s="1240">
        <f>'[2]Abstract '!D999</f>
        <v>325.89999999999998</v>
      </c>
      <c r="H1002" s="1216">
        <f>'[2]Abstract '!F999</f>
        <v>35849</v>
      </c>
    </row>
    <row r="1003" spans="1:8" ht="32.25" customHeight="1">
      <c r="A1003" s="1233">
        <f>buildingfinal!A1002</f>
        <v>0</v>
      </c>
      <c r="B1003" s="1260" t="str">
        <f>buildingfinal!Q1002</f>
        <v>*</v>
      </c>
      <c r="C1003" s="1234" t="str">
        <f>buildingfinal!B1002</f>
        <v>Providing 13 Persons Passenger Lift Car Size (1300 x 1350)</v>
      </c>
      <c r="D1003" s="1235">
        <f>buildingfinal!C1002</f>
        <v>0</v>
      </c>
      <c r="E1003" s="1235">
        <f>buildingfinal!D1002</f>
        <v>0</v>
      </c>
      <c r="F1003" s="1235"/>
      <c r="G1003" s="1240">
        <f>buildingfinal!R997</f>
        <v>11851.2</v>
      </c>
      <c r="H1003" s="1216">
        <f>F1003-G1003</f>
        <v>-11851.2</v>
      </c>
    </row>
    <row r="1004" spans="1:8" ht="33" customHeight="1">
      <c r="A1004" s="1233">
        <f>buildingfinal!A1003</f>
        <v>0</v>
      </c>
      <c r="B1004" s="1521">
        <f>buildingfinal!Q1003</f>
        <v>1</v>
      </c>
      <c r="C1004" s="1239" t="str">
        <f>buildingfinal!B1003</f>
        <v>Gearless Lift without Machine Room</v>
      </c>
      <c r="D1004" s="1235">
        <f>buildingfinal!C1003</f>
        <v>1671900</v>
      </c>
      <c r="E1004" s="1235" t="str">
        <f>buildingfinal!D1003</f>
        <v>No</v>
      </c>
      <c r="F1004" s="1235">
        <f t="shared" si="58"/>
        <v>1671900</v>
      </c>
      <c r="G1004" s="1240">
        <f>'[2]Abstract '!D1001</f>
        <v>1709.45</v>
      </c>
      <c r="H1004" s="1216">
        <f>'[2]Abstract '!F1001</f>
        <v>13675.6</v>
      </c>
    </row>
    <row r="1005" spans="1:8" ht="155.25" customHeight="1">
      <c r="A1005" s="1233">
        <f>buildingfinal!A1004</f>
        <v>0</v>
      </c>
      <c r="B1005" s="1521">
        <f>buildingfinal!Q1004</f>
        <v>10</v>
      </c>
      <c r="C1005" s="1239" t="str">
        <f>buildingfinal!B1004</f>
        <v>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(Data AQ</v>
      </c>
      <c r="D1005" s="1235">
        <f>buildingfinal!C1004</f>
        <v>1340</v>
      </c>
      <c r="E1005" s="1235" t="str">
        <f>buildingfinal!D1004</f>
        <v>each</v>
      </c>
      <c r="F1005" s="1235">
        <f t="shared" si="58"/>
        <v>13400</v>
      </c>
      <c r="G1005" s="1240">
        <f>buildingfinal!R999</f>
        <v>503556.74</v>
      </c>
      <c r="H1005" s="1216">
        <f>F1005-G1005</f>
        <v>-490156.74</v>
      </c>
    </row>
    <row r="1006" spans="1:8" ht="72.75" customHeight="1">
      <c r="A1006" s="1233">
        <f>buildingfinal!A1005</f>
        <v>0</v>
      </c>
      <c r="B1006" s="1521">
        <f>buildingfinal!Q1005</f>
        <v>10</v>
      </c>
      <c r="C1006" s="1239" t="str">
        <f>buildingfinal!B1005</f>
        <v>Supply and fixing of 75 W mid bay LED luminaire on the main portico with necessary internal connections.  (The type of luminaire shall be got approved by the Executive Engineer) -  Data X</v>
      </c>
      <c r="D1006" s="1235">
        <f>buildingfinal!C1005</f>
        <v>6271</v>
      </c>
      <c r="E1006" s="1235" t="str">
        <f>buildingfinal!D1005</f>
        <v>Each</v>
      </c>
      <c r="F1006" s="1235">
        <f t="shared" si="58"/>
        <v>62710</v>
      </c>
      <c r="G1006" s="1240"/>
      <c r="H1006" s="1217"/>
    </row>
    <row r="1007" spans="1:8" ht="45" hidden="1" customHeight="1">
      <c r="A1007" s="1233">
        <f>buildingfinal!A1006</f>
        <v>0</v>
      </c>
      <c r="B1007" s="1521">
        <f>buildingfinal!Q1006</f>
        <v>0</v>
      </c>
      <c r="C1007" s="1239">
        <f>buildingfinal!B1006</f>
        <v>0</v>
      </c>
      <c r="D1007" s="1235">
        <f>buildingfinal!C1006</f>
        <v>0</v>
      </c>
      <c r="E1007" s="1235">
        <f>buildingfinal!D1006</f>
        <v>0</v>
      </c>
      <c r="F1007" s="1235">
        <f t="shared" si="58"/>
        <v>0</v>
      </c>
      <c r="G1007" s="1240">
        <f>buildingfinal!R1001</f>
        <v>9587.7000000000007</v>
      </c>
      <c r="H1007" s="1216">
        <f t="shared" ref="H1007:H1029" si="62">F1007-G1007</f>
        <v>-9587.7000000000007</v>
      </c>
    </row>
    <row r="1008" spans="1:8" ht="29.25" customHeight="1">
      <c r="A1008" s="1233">
        <f>buildingfinal!A1007</f>
        <v>0</v>
      </c>
      <c r="B1008" s="1260" t="str">
        <f>buildingfinal!Q1007</f>
        <v>*</v>
      </c>
      <c r="C1008" s="1234" t="str">
        <f>buildingfinal!B1007</f>
        <v>Genset arrangement</v>
      </c>
      <c r="D1008" s="1235">
        <f>buildingfinal!C1007</f>
        <v>0</v>
      </c>
      <c r="E1008" s="1235">
        <f>buildingfinal!D1007</f>
        <v>0</v>
      </c>
      <c r="F1008" s="1235"/>
      <c r="G1008" s="1240">
        <f>buildingfinal!R1002</f>
        <v>0</v>
      </c>
      <c r="H1008" s="1216">
        <f t="shared" si="62"/>
        <v>0</v>
      </c>
    </row>
    <row r="1009" spans="1:8" ht="194.25" customHeight="1">
      <c r="A1009" s="1233">
        <f>buildingfinal!A1008</f>
        <v>0</v>
      </c>
      <c r="B1009" s="1260" t="str">
        <f>buildingfinal!Q1008</f>
        <v>*</v>
      </c>
      <c r="C1009" s="1234" t="str">
        <f>buildingfinal!B1008</f>
        <v>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v>
      </c>
      <c r="D1009" s="1235">
        <f>buildingfinal!C1008</f>
        <v>0</v>
      </c>
      <c r="E1009" s="1235">
        <f>buildingfinal!D1008</f>
        <v>0</v>
      </c>
      <c r="F1009" s="1235"/>
      <c r="G1009" s="1240">
        <f>buildingfinal!R1003</f>
        <v>1671900</v>
      </c>
      <c r="H1009" s="1216">
        <f t="shared" si="62"/>
        <v>-1671900</v>
      </c>
    </row>
    <row r="1010" spans="1:8" ht="45.75" customHeight="1">
      <c r="A1010" s="1233">
        <f>buildingfinal!A1009</f>
        <v>0</v>
      </c>
      <c r="B1010" s="1521">
        <f>buildingfinal!Q1009</f>
        <v>1</v>
      </c>
      <c r="C1010" s="1239" t="str">
        <f>buildingfinal!B1009</f>
        <v>Erection, Testing and commissioning of 62.5KVA Diesel generator set. PWD SR 2020-2021</v>
      </c>
      <c r="D1010" s="1235">
        <f>buildingfinal!C1009</f>
        <v>671200</v>
      </c>
      <c r="E1010" s="1235" t="str">
        <f>buildingfinal!D1009</f>
        <v>Each</v>
      </c>
      <c r="F1010" s="1235">
        <f t="shared" si="58"/>
        <v>671200</v>
      </c>
      <c r="G1010" s="1240">
        <f>buildingfinal!R1004</f>
        <v>13400</v>
      </c>
      <c r="H1010" s="1216">
        <f t="shared" si="62"/>
        <v>657800</v>
      </c>
    </row>
    <row r="1011" spans="1:8" ht="44.25" customHeight="1">
      <c r="A1011" s="1233">
        <f>buildingfinal!A1010</f>
        <v>0</v>
      </c>
      <c r="B1011" s="1521">
        <f>buildingfinal!Q1010</f>
        <v>1</v>
      </c>
      <c r="C1011" s="1239" t="str">
        <f>buildingfinal!B1010</f>
        <v>Providing suitable foundation for accomodating the 62.5 KVA DG set.</v>
      </c>
      <c r="D1011" s="1235">
        <f>buildingfinal!C1010</f>
        <v>60000</v>
      </c>
      <c r="E1011" s="1235" t="str">
        <f>buildingfinal!D1010</f>
        <v>Job</v>
      </c>
      <c r="F1011" s="1235">
        <f t="shared" si="58"/>
        <v>60000</v>
      </c>
      <c r="G1011" s="1240">
        <f>buildingfinal!R1006</f>
        <v>0</v>
      </c>
      <c r="H1011" s="1216">
        <f t="shared" si="62"/>
        <v>60000</v>
      </c>
    </row>
    <row r="1012" spans="1:8" ht="63" customHeight="1">
      <c r="A1012" s="1233">
        <f>buildingfinal!A1011</f>
        <v>0</v>
      </c>
      <c r="B1012" s="1521">
        <f>buildingfinal!Q1011</f>
        <v>1</v>
      </c>
      <c r="C1012" s="1239" t="str">
        <f>buildingfinal!B1011</f>
        <v xml:space="preserve">Insulation for the residential silencer (supply of residential silencer to be included under item for DG Sets)  </v>
      </c>
      <c r="D1012" s="1235">
        <f>buildingfinal!C1011</f>
        <v>7000</v>
      </c>
      <c r="E1012" s="1235" t="str">
        <f>buildingfinal!D1011</f>
        <v>Each</v>
      </c>
      <c r="F1012" s="1235">
        <f t="shared" si="58"/>
        <v>7000</v>
      </c>
      <c r="G1012" s="1240">
        <f>buildingfinal!R1007</f>
        <v>0</v>
      </c>
      <c r="H1012" s="1216">
        <f t="shared" si="62"/>
        <v>7000</v>
      </c>
    </row>
    <row r="1013" spans="1:8" ht="141" customHeight="1">
      <c r="A1013" s="1233">
        <f>buildingfinal!A1012</f>
        <v>0</v>
      </c>
      <c r="B1013" s="1521">
        <f>buildingfinal!Q1012</f>
        <v>1</v>
      </c>
      <c r="C1013" s="1239" t="str">
        <f>buildingfinal!B1012</f>
        <v>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v>
      </c>
      <c r="D1013" s="1235">
        <f>buildingfinal!C1012</f>
        <v>27646</v>
      </c>
      <c r="E1013" s="1235" t="str">
        <f>buildingfinal!D1012</f>
        <v>No</v>
      </c>
      <c r="F1013" s="1235">
        <f t="shared" si="58"/>
        <v>27646</v>
      </c>
      <c r="G1013" s="1240">
        <f>buildingfinal!R1008</f>
        <v>0</v>
      </c>
      <c r="H1013" s="1216">
        <f t="shared" si="62"/>
        <v>27646</v>
      </c>
    </row>
    <row r="1014" spans="1:8" ht="29.25" customHeight="1">
      <c r="A1014" s="1233">
        <f>buildingfinal!A1013</f>
        <v>0</v>
      </c>
      <c r="B1014" s="1260" t="str">
        <f>buildingfinal!Q1013</f>
        <v>*</v>
      </c>
      <c r="C1014" s="1234" t="str">
        <f>buildingfinal!B1013</f>
        <v>Exhaust pipe</v>
      </c>
      <c r="D1014" s="1235">
        <f>buildingfinal!C1013</f>
        <v>0</v>
      </c>
      <c r="E1014" s="1235">
        <f>buildingfinal!D1013</f>
        <v>0</v>
      </c>
      <c r="F1014" s="1235"/>
      <c r="G1014" s="1240" t="e">
        <f>buildingfinal!#REF!</f>
        <v>#REF!</v>
      </c>
      <c r="H1014" s="1216" t="e">
        <f t="shared" si="62"/>
        <v>#REF!</v>
      </c>
    </row>
    <row r="1015" spans="1:8" ht="81.75" customHeight="1">
      <c r="A1015" s="1233">
        <f>buildingfinal!A1014</f>
        <v>0</v>
      </c>
      <c r="B1015" s="1521">
        <f>buildingfinal!Q1014</f>
        <v>5</v>
      </c>
      <c r="C1015" s="1239" t="str">
        <f>buildingfinal!B1014</f>
        <v>Supply and installation of MS exhaust pipe of suitable thickness with 100mm dia upto 5m from the silencer complete with necessary supports, brackets etc. The supports shall have at intervals of not more than 2.5m.</v>
      </c>
      <c r="D1015" s="1235">
        <f>buildingfinal!C1014</f>
        <v>339.3</v>
      </c>
      <c r="E1015" s="1235" t="str">
        <f>buildingfinal!D1014</f>
        <v>m</v>
      </c>
      <c r="F1015" s="1235">
        <f t="shared" si="58"/>
        <v>1696.5</v>
      </c>
      <c r="G1015" s="1240" t="e">
        <f>buildingfinal!#REF!</f>
        <v>#REF!</v>
      </c>
      <c r="H1015" s="1216" t="e">
        <f t="shared" si="62"/>
        <v>#REF!</v>
      </c>
    </row>
    <row r="1016" spans="1:8" ht="54" customHeight="1">
      <c r="A1016" s="1233">
        <f>buildingfinal!A1015</f>
        <v>0</v>
      </c>
      <c r="B1016" s="1521">
        <f>buildingfinal!Q1015</f>
        <v>5</v>
      </c>
      <c r="C1016" s="1239" t="str">
        <f>buildingfinal!B1015</f>
        <v>Supply and installation of MS exhaust pipe of suitable thickness with 125 mm dia complete with MS wall / ceiling support, etc.</v>
      </c>
      <c r="D1016" s="1235">
        <f>buildingfinal!C1015</f>
        <v>2756</v>
      </c>
      <c r="E1016" s="1235" t="str">
        <f>buildingfinal!D1015</f>
        <v>m</v>
      </c>
      <c r="F1016" s="1235">
        <f t="shared" si="58"/>
        <v>13780</v>
      </c>
      <c r="G1016" s="1240">
        <f>buildingfinal!R1033</f>
        <v>0</v>
      </c>
      <c r="H1016" s="1216">
        <f t="shared" si="62"/>
        <v>13780</v>
      </c>
    </row>
    <row r="1017" spans="1:8" ht="87" customHeight="1">
      <c r="A1017" s="1233">
        <f>buildingfinal!A1016</f>
        <v>0</v>
      </c>
      <c r="B1017" s="1521">
        <f>buildingfinal!Q1016</f>
        <v>8</v>
      </c>
      <c r="C1017" s="1239" t="str">
        <f>buildingfinal!B1016</f>
        <v>Supply and insulation of exhaust pipe thermal insulation lagging with mineral wool as per IS 3677 / 1973 reinforced with chicken mesh and cladded with aluminium sheet of 26 SWG and 50mm thick with 64 Kg/Cu. Mtr. Density.</v>
      </c>
      <c r="D1017" s="1235">
        <f>buildingfinal!C1016</f>
        <v>197</v>
      </c>
      <c r="E1017" s="1235" t="str">
        <f>buildingfinal!D1016</f>
        <v>m</v>
      </c>
      <c r="F1017" s="1235">
        <f t="shared" si="58"/>
        <v>1576</v>
      </c>
      <c r="G1017" s="1240">
        <f>buildingfinal!R1034</f>
        <v>0</v>
      </c>
      <c r="H1017" s="1216">
        <f t="shared" si="62"/>
        <v>1576</v>
      </c>
    </row>
    <row r="1018" spans="1:8" ht="68.25" customHeight="1">
      <c r="A1018" s="1233">
        <f>buildingfinal!A1017</f>
        <v>0</v>
      </c>
      <c r="B1018" s="1521">
        <f>buildingfinal!Q1017</f>
        <v>1</v>
      </c>
      <c r="C1018" s="1239" t="str">
        <f>buildingfinal!B1017</f>
        <v>Supply and installation of stainless steel rain hood / rain cap / bend at top of the exhaust pipe to prevent rain water entry to exhaust pipe with provision of drain plug in the system.</v>
      </c>
      <c r="D1018" s="1235">
        <f>buildingfinal!C1017</f>
        <v>4245</v>
      </c>
      <c r="E1018" s="1235" t="str">
        <f>buildingfinal!D1017</f>
        <v>Set</v>
      </c>
      <c r="F1018" s="1235">
        <f t="shared" si="58"/>
        <v>4245</v>
      </c>
      <c r="G1018" s="1240">
        <f>buildingfinal!R1035</f>
        <v>16531.2</v>
      </c>
      <c r="H1018" s="1216">
        <f t="shared" si="62"/>
        <v>-12286.2</v>
      </c>
    </row>
    <row r="1019" spans="1:8" ht="101.25" customHeight="1">
      <c r="A1019" s="1233">
        <f>buildingfinal!A1018</f>
        <v>0</v>
      </c>
      <c r="B1019" s="1521">
        <f>buildingfinal!Q1018</f>
        <v>1</v>
      </c>
      <c r="C1019" s="1239" t="str">
        <f>buildingfinal!B1018</f>
        <v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v>
      </c>
      <c r="D1019" s="1235">
        <f>buildingfinal!C1018</f>
        <v>30000</v>
      </c>
      <c r="E1019" s="1235" t="str">
        <f>buildingfinal!D1018</f>
        <v>job</v>
      </c>
      <c r="F1019" s="1235">
        <f t="shared" si="58"/>
        <v>30000</v>
      </c>
      <c r="G1019" s="1240">
        <f>buildingfinal!R1036</f>
        <v>0</v>
      </c>
      <c r="H1019" s="1216">
        <f t="shared" si="62"/>
        <v>30000</v>
      </c>
    </row>
    <row r="1020" spans="1:8" ht="89.25" customHeight="1">
      <c r="A1020" s="1233">
        <f>buildingfinal!A1019</f>
        <v>0</v>
      </c>
      <c r="B1020" s="1260" t="str">
        <f>buildingfinal!Q1019</f>
        <v>*</v>
      </c>
      <c r="C1020" s="1234" t="str">
        <f>buildingfinal!B1019</f>
        <v>Supply and laying of  XLPE, aluminium conductor 1.1KV grade armoured ,MV cable of the following sizes in the existing cable trays / trenches as required generally confirming to IS: 1554/Part - I / 1970</v>
      </c>
      <c r="D1020" s="1235">
        <f>buildingfinal!C1019</f>
        <v>0</v>
      </c>
      <c r="E1020" s="1235">
        <f>buildingfinal!D1019</f>
        <v>0</v>
      </c>
      <c r="F1020" s="1235"/>
      <c r="G1020" s="1240">
        <f>buildingfinal!R1037</f>
        <v>0</v>
      </c>
      <c r="H1020" s="1216">
        <f t="shared" si="62"/>
        <v>0</v>
      </c>
    </row>
    <row r="1021" spans="1:8" ht="62.25" customHeight="1">
      <c r="A1021" s="1233">
        <f>buildingfinal!A1020</f>
        <v>0</v>
      </c>
      <c r="B1021" s="1521">
        <f>buildingfinal!Q1020</f>
        <v>30</v>
      </c>
      <c r="C1021" s="1239" t="str">
        <f>buildingfinal!B1020</f>
        <v>a) 3 1/2 x 70 sqmm aluminium cable (Data-A) SD - 207
From DG panel to the common panel</v>
      </c>
      <c r="D1021" s="1235">
        <f>buildingfinal!C1020</f>
        <v>791</v>
      </c>
      <c r="E1021" s="1235" t="str">
        <f>buildingfinal!D1020</f>
        <v>m</v>
      </c>
      <c r="F1021" s="1235">
        <f t="shared" si="58"/>
        <v>23730</v>
      </c>
      <c r="G1021" s="1240">
        <f>buildingfinal!R1038</f>
        <v>27000</v>
      </c>
      <c r="H1021" s="1216">
        <f t="shared" si="62"/>
        <v>-3270</v>
      </c>
    </row>
    <row r="1022" spans="1:8" ht="63" customHeight="1">
      <c r="A1022" s="1233">
        <f>buildingfinal!A1021</f>
        <v>0</v>
      </c>
      <c r="B1022" s="1260" t="str">
        <f>buildingfinal!Q1021</f>
        <v>*</v>
      </c>
      <c r="C1022" s="1234" t="str">
        <f>buildingfinal!B1021</f>
        <v>Supply and fixing of brass cable gland for XLPE armoured LTUG cable for following sizes with earth connection.</v>
      </c>
      <c r="D1022" s="1235">
        <f>buildingfinal!C1021</f>
        <v>0</v>
      </c>
      <c r="E1022" s="1235">
        <f>buildingfinal!D1021</f>
        <v>0</v>
      </c>
      <c r="F1022" s="1235"/>
      <c r="G1022" s="1240">
        <f>buildingfinal!R1039</f>
        <v>12738</v>
      </c>
      <c r="H1022" s="1216">
        <f t="shared" si="62"/>
        <v>-12738</v>
      </c>
    </row>
    <row r="1023" spans="1:8" ht="31.5" customHeight="1">
      <c r="A1023" s="1233">
        <f>buildingfinal!A1022</f>
        <v>0</v>
      </c>
      <c r="B1023" s="1521">
        <f>buildingfinal!Q1022</f>
        <v>4</v>
      </c>
      <c r="C1023" s="1239" t="str">
        <f>buildingfinal!B1022</f>
        <v>3 1/2 x 70 sqmm aluminium cable  SD - 193</v>
      </c>
      <c r="D1023" s="1235">
        <f>buildingfinal!C1022</f>
        <v>646</v>
      </c>
      <c r="E1023" s="1235" t="str">
        <f>buildingfinal!D1022</f>
        <v>Nos</v>
      </c>
      <c r="F1023" s="1235">
        <f t="shared" si="58"/>
        <v>2584</v>
      </c>
      <c r="G1023" s="1240">
        <f>buildingfinal!R1040</f>
        <v>25780</v>
      </c>
      <c r="H1023" s="1216">
        <f t="shared" si="62"/>
        <v>-23196</v>
      </c>
    </row>
    <row r="1024" spans="1:8" ht="90" customHeight="1">
      <c r="A1024" s="1233">
        <f>buildingfinal!A1023</f>
        <v>0</v>
      </c>
      <c r="B1024" s="1260" t="str">
        <f>buildingfinal!Q1023</f>
        <v>*</v>
      </c>
      <c r="C1024" s="1234" t="str">
        <f>buildingfinal!B1023</f>
        <v>Supply and providing cable end termination of following sizes of XLPE armoured LTUG Aluminium cable with necessary aluminium cable sockets by crimping etc. with electrical connection complete.</v>
      </c>
      <c r="D1024" s="1235">
        <f>buildingfinal!C1023</f>
        <v>0</v>
      </c>
      <c r="E1024" s="1235">
        <f>buildingfinal!D1023</f>
        <v>0</v>
      </c>
      <c r="F1024" s="1235"/>
      <c r="G1024" s="1240">
        <f>buildingfinal!R1041</f>
        <v>50225</v>
      </c>
      <c r="H1024" s="1216">
        <f t="shared" si="62"/>
        <v>-50225</v>
      </c>
    </row>
    <row r="1025" spans="1:8" ht="36" customHeight="1">
      <c r="A1025" s="1233">
        <f>buildingfinal!A1024</f>
        <v>0</v>
      </c>
      <c r="B1025" s="1521">
        <f>buildingfinal!Q1024</f>
        <v>4</v>
      </c>
      <c r="C1025" s="1239" t="str">
        <f>buildingfinal!B1024</f>
        <v xml:space="preserve"> 3 1/2 x 75 sqmm aluminium cable (Data-C) SD- 242</v>
      </c>
      <c r="D1025" s="1235">
        <f>buildingfinal!C1024</f>
        <v>337</v>
      </c>
      <c r="E1025" s="1235" t="str">
        <f>buildingfinal!D1024</f>
        <v>Nos</v>
      </c>
      <c r="F1025" s="1235">
        <f t="shared" si="58"/>
        <v>1348</v>
      </c>
      <c r="G1025" s="1240">
        <f>buildingfinal!R1042</f>
        <v>0</v>
      </c>
      <c r="H1025" s="1216">
        <f t="shared" si="62"/>
        <v>1348</v>
      </c>
    </row>
    <row r="1026" spans="1:8" ht="59.25" customHeight="1">
      <c r="A1026" s="1233">
        <f>buildingfinal!A1025</f>
        <v>0</v>
      </c>
      <c r="B1026" s="1521">
        <f>buildingfinal!Q1025</f>
        <v>1</v>
      </c>
      <c r="C1026" s="1239" t="str">
        <f>buildingfinal!B1025</f>
        <v>Providing safety equipments: CO2 fire extinguisher : 1 No.; 9 ltrs capacity fire buckets:  3 Nos., &amp; rubber mat : 1 No. CER NO.124/22-23</v>
      </c>
      <c r="D1026" s="1235">
        <f>buildingfinal!C1025</f>
        <v>16750</v>
      </c>
      <c r="E1026" s="1235" t="str">
        <f>buildingfinal!D1025</f>
        <v>Set</v>
      </c>
      <c r="F1026" s="1235">
        <f t="shared" si="58"/>
        <v>16750</v>
      </c>
      <c r="G1026" s="1240">
        <f>buildingfinal!R1043</f>
        <v>33264</v>
      </c>
      <c r="H1026" s="1216">
        <f t="shared" si="62"/>
        <v>-16514</v>
      </c>
    </row>
    <row r="1027" spans="1:8" ht="116.25" customHeight="1">
      <c r="A1027" s="1233">
        <f>buildingfinal!A1026</f>
        <v>0</v>
      </c>
      <c r="B1027" s="1521">
        <f>buildingfinal!Q1026</f>
        <v>3</v>
      </c>
      <c r="C1027" s="1239" t="str">
        <f>buildingfinal!B1026</f>
        <v>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 Data K(SD 223)  CER NO.124/22-23</v>
      </c>
      <c r="D1027" s="1235">
        <f>buildingfinal!C1026</f>
        <v>2703</v>
      </c>
      <c r="E1027" s="1235" t="str">
        <f>buildingfinal!D1026</f>
        <v>each</v>
      </c>
      <c r="F1027" s="1235">
        <f t="shared" si="58"/>
        <v>8109</v>
      </c>
      <c r="G1027" s="1240">
        <f>buildingfinal!R1044</f>
        <v>0</v>
      </c>
      <c r="H1027" s="1216">
        <f t="shared" si="62"/>
        <v>8109</v>
      </c>
    </row>
    <row r="1028" spans="1:8" ht="108.75" customHeight="1">
      <c r="A1028" s="1233">
        <f>buildingfinal!A1027</f>
        <v>0</v>
      </c>
      <c r="B1028" s="1521">
        <f>buildingfinal!Q1027</f>
        <v>2</v>
      </c>
      <c r="C1028" s="1239" t="str">
        <f>buildingfinal!B1027</f>
        <v>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masonry.DATA A</v>
      </c>
      <c r="D1028" s="1235">
        <f>buildingfinal!C1027</f>
        <v>9304</v>
      </c>
      <c r="E1028" s="1235" t="str">
        <f>buildingfinal!D1027</f>
        <v>each</v>
      </c>
      <c r="F1028" s="1235">
        <f t="shared" si="58"/>
        <v>18608</v>
      </c>
      <c r="G1028" s="1240">
        <f>buildingfinal!R1045</f>
        <v>104.5</v>
      </c>
      <c r="H1028" s="1216">
        <f t="shared" si="62"/>
        <v>18503.5</v>
      </c>
    </row>
    <row r="1029" spans="1:8" ht="43.5" customHeight="1">
      <c r="A1029" s="1233">
        <f>buildingfinal!A1028</f>
        <v>0</v>
      </c>
      <c r="B1029" s="1521">
        <f>buildingfinal!Q1028</f>
        <v>100</v>
      </c>
      <c r="C1029" s="1239" t="str">
        <f>buildingfinal!B1028</f>
        <v>Supply and run of 2 of No.8 copper wire for earth connections - Data B (CER.No.110/2020-21)</v>
      </c>
      <c r="D1029" s="1235">
        <f>buildingfinal!C1028</f>
        <v>151.69999999999999</v>
      </c>
      <c r="E1029" s="1235" t="str">
        <f>buildingfinal!D1028</f>
        <v>Mts.</v>
      </c>
      <c r="F1029" s="1235">
        <f t="shared" si="58"/>
        <v>15170</v>
      </c>
      <c r="G1029" s="1240">
        <f>buildingfinal!R1046</f>
        <v>15496.8</v>
      </c>
      <c r="H1029" s="1216">
        <f t="shared" si="62"/>
        <v>-326.8</v>
      </c>
    </row>
    <row r="1030" spans="1:8" ht="56.25" customHeight="1">
      <c r="A1030" s="1233">
        <f>buildingfinal!A1029</f>
        <v>0</v>
      </c>
      <c r="B1030" s="1521">
        <f>buildingfinal!Q1029</f>
        <v>40</v>
      </c>
      <c r="C1030" s="1239" t="str">
        <f>buildingfinal!B1029</f>
        <v>Providing and fixing 25mm x 3mm copper strip on surface or in recess for connections as required - Data N  SD -76</v>
      </c>
      <c r="D1030" s="1235">
        <f>buildingfinal!C1029</f>
        <v>467</v>
      </c>
      <c r="E1030" s="1235" t="str">
        <f>buildingfinal!D1029</f>
        <v>each</v>
      </c>
      <c r="F1030" s="1235">
        <f t="shared" si="58"/>
        <v>18680</v>
      </c>
      <c r="G1030" s="1240"/>
      <c r="H1030" s="1217"/>
    </row>
    <row r="1031" spans="1:8" ht="56.25" customHeight="1">
      <c r="A1031" s="1233">
        <f>buildingfinal!A1030</f>
        <v>0</v>
      </c>
      <c r="B1031" s="1521">
        <f>buildingfinal!Q1030</f>
        <v>30</v>
      </c>
      <c r="C1031" s="1239" t="str">
        <f>buildingfinal!B1030</f>
        <v>Providing and fixing 25mm x 6mm copper strip on surface or in recess for connections as required for alternator neutral - Data H (SD - 77)</v>
      </c>
      <c r="D1031" s="1235">
        <f>buildingfinal!C1030</f>
        <v>880</v>
      </c>
      <c r="E1031" s="1235" t="str">
        <f>buildingfinal!D1030</f>
        <v>m</v>
      </c>
      <c r="F1031" s="1235">
        <f t="shared" si="58"/>
        <v>26400</v>
      </c>
      <c r="G1031" s="1240"/>
      <c r="H1031" s="1217"/>
    </row>
    <row r="1032" spans="1:8" ht="30" hidden="1">
      <c r="A1032" s="1233">
        <f>buildingfinal!A1031</f>
        <v>0</v>
      </c>
      <c r="B1032" s="1521">
        <f>buildingfinal!Q1031</f>
        <v>0</v>
      </c>
      <c r="C1032" s="1239" t="str">
        <f>buildingfinal!B1031</f>
        <v>Supplying &amp; fixing 125A 4 Pole Change Over Switch PWD SRP-121</v>
      </c>
      <c r="D1032" s="1235">
        <f>buildingfinal!C1031</f>
        <v>8938</v>
      </c>
      <c r="E1032" s="1235" t="str">
        <f>buildingfinal!D1031</f>
        <v>Each</v>
      </c>
      <c r="F1032" s="1235">
        <f t="shared" ref="F1032:F1095" si="63">D1032*B1032</f>
        <v>0</v>
      </c>
      <c r="G1032" s="1240"/>
      <c r="H1032" s="1217"/>
    </row>
    <row r="1033" spans="1:8" ht="35.25" customHeight="1">
      <c r="A1033" s="1233">
        <f>buildingfinal!A1032</f>
        <v>0</v>
      </c>
      <c r="B1033" s="1521">
        <f>buildingfinal!Q1032</f>
        <v>50</v>
      </c>
      <c r="C1033" s="1239" t="str">
        <f>buildingfinal!B1032</f>
        <v xml:space="preserve">Supply and clamping of 4 core 2.5sqm PVC sheathed and armoured copper cable </v>
      </c>
      <c r="D1033" s="1235">
        <f>buildingfinal!C1032</f>
        <v>595</v>
      </c>
      <c r="E1033" s="1235" t="str">
        <f>buildingfinal!D1032</f>
        <v>mtr</v>
      </c>
      <c r="F1033" s="1235">
        <f t="shared" si="63"/>
        <v>29750</v>
      </c>
      <c r="G1033" s="1240">
        <f>buildingfinal!R1075</f>
        <v>52807992.780000001</v>
      </c>
      <c r="H1033" s="1217"/>
    </row>
    <row r="1034" spans="1:8" ht="33" customHeight="1">
      <c r="A1034" s="1233">
        <f>buildingfinal!A1033</f>
        <v>0</v>
      </c>
      <c r="B1034" s="1260" t="str">
        <f>buildingfinal!Q1033</f>
        <v>*</v>
      </c>
      <c r="C1034" s="1234" t="str">
        <f>buildingfinal!B1033</f>
        <v xml:space="preserve">Providing Borewell and Pump Set arrangements </v>
      </c>
      <c r="D1034" s="1235">
        <f>buildingfinal!C1033</f>
        <v>0</v>
      </c>
      <c r="E1034" s="1235">
        <f>buildingfinal!D1033</f>
        <v>0</v>
      </c>
      <c r="F1034" s="1235"/>
      <c r="G1034" s="1240">
        <f>buildingfinal!R1051</f>
        <v>0</v>
      </c>
      <c r="H1034" s="1216">
        <f>F1034-G1034</f>
        <v>0</v>
      </c>
    </row>
    <row r="1035" spans="1:8" ht="151.5" customHeight="1">
      <c r="A1035" s="1233">
        <f>buildingfinal!A1034</f>
        <v>0</v>
      </c>
      <c r="B1035" s="1260" t="str">
        <f>buildingfinal!Q1034</f>
        <v>*</v>
      </c>
      <c r="C1035" s="1522" t="str">
        <f>buildingfinal!B1034</f>
        <v>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v>
      </c>
      <c r="D1035" s="1235">
        <f>buildingfinal!C1034</f>
        <v>0</v>
      </c>
      <c r="E1035" s="1235">
        <f>buildingfinal!D1034</f>
        <v>0</v>
      </c>
      <c r="F1035" s="1235"/>
      <c r="G1035" s="1240"/>
      <c r="H1035" s="1217"/>
    </row>
    <row r="1036" spans="1:8" ht="42" customHeight="1">
      <c r="A1036" s="1233">
        <f>buildingfinal!A1035</f>
        <v>0</v>
      </c>
      <c r="B1036" s="1521">
        <f>buildingfinal!Q1035</f>
        <v>30</v>
      </c>
      <c r="C1036" s="1239" t="str">
        <f>buildingfinal!B1035</f>
        <v>a) Drilline of borewell in upto 60m
page.No.279 TWAD SR 20-21</v>
      </c>
      <c r="D1036" s="1235">
        <f>buildingfinal!C1035</f>
        <v>551.04</v>
      </c>
      <c r="E1036" s="1235" t="str">
        <f>buildingfinal!D1035</f>
        <v>m</v>
      </c>
      <c r="F1036" s="1235">
        <f t="shared" si="63"/>
        <v>16531.2</v>
      </c>
      <c r="G1036" s="1240">
        <f>buildingfinal!R1054</f>
        <v>9824</v>
      </c>
      <c r="H1036" s="1216">
        <f t="shared" ref="H1036:H1049" si="64">F1036-G1036</f>
        <v>6707.2</v>
      </c>
    </row>
    <row r="1037" spans="1:8" ht="174" customHeight="1">
      <c r="A1037" s="1233">
        <f>buildingfinal!A1036</f>
        <v>0</v>
      </c>
      <c r="B1037" s="1260" t="str">
        <f>buildingfinal!Q1036</f>
        <v>*</v>
      </c>
      <c r="C1037" s="1522" t="str">
        <f>buildingfinal!B1036</f>
        <v>Drilling of 150mm dia vertical bores in hardrock formation 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v>
      </c>
      <c r="D1037" s="1235">
        <f>buildingfinal!C1036</f>
        <v>0</v>
      </c>
      <c r="E1037" s="1235">
        <f>buildingfinal!D1036</f>
        <v>0</v>
      </c>
      <c r="F1037" s="1235"/>
      <c r="G1037" s="1240">
        <f>buildingfinal!R1055</f>
        <v>7107</v>
      </c>
      <c r="H1037" s="1216">
        <f t="shared" si="64"/>
        <v>-7107</v>
      </c>
    </row>
    <row r="1038" spans="1:8" ht="73.5" hidden="1" customHeight="1">
      <c r="A1038" s="1233">
        <f>buildingfinal!A1037</f>
        <v>0</v>
      </c>
      <c r="B1038" s="1521">
        <f>buildingfinal!Q1037</f>
        <v>0</v>
      </c>
      <c r="C1038" s="1239" t="str">
        <f>buildingfinal!B1037</f>
        <v>(a) Drilling of borewell in rock area</v>
      </c>
      <c r="D1038" s="1235">
        <f>buildingfinal!C1037</f>
        <v>295</v>
      </c>
      <c r="E1038" s="1235" t="str">
        <f>buildingfinal!D1037</f>
        <v>m</v>
      </c>
      <c r="F1038" s="1235">
        <f t="shared" si="63"/>
        <v>0</v>
      </c>
      <c r="G1038" s="1240">
        <f>buildingfinal!R1056</f>
        <v>0</v>
      </c>
      <c r="H1038" s="1216">
        <f t="shared" si="64"/>
        <v>0</v>
      </c>
    </row>
    <row r="1039" spans="1:8" ht="42" customHeight="1">
      <c r="A1039" s="1233">
        <f>buildingfinal!A1038</f>
        <v>0</v>
      </c>
      <c r="B1039" s="1521">
        <f>buildingfinal!Q1038</f>
        <v>60</v>
      </c>
      <c r="C1039" s="1239" t="str">
        <f>buildingfinal!B1038</f>
        <v>a) Drilline of borewell in upto 60m</v>
      </c>
      <c r="D1039" s="1235">
        <f>buildingfinal!C1038</f>
        <v>450</v>
      </c>
      <c r="E1039" s="1235" t="str">
        <f>buildingfinal!D1038</f>
        <v>m</v>
      </c>
      <c r="F1039" s="1235">
        <f t="shared" si="63"/>
        <v>27000</v>
      </c>
      <c r="G1039" s="1240">
        <f>buildingfinal!R1057</f>
        <v>0</v>
      </c>
      <c r="H1039" s="1216">
        <f t="shared" si="64"/>
        <v>27000</v>
      </c>
    </row>
    <row r="1040" spans="1:8" ht="61.5" customHeight="1">
      <c r="A1040" s="1233">
        <f>buildingfinal!A1039</f>
        <v>0</v>
      </c>
      <c r="B1040" s="1521">
        <f>buildingfinal!Q1039</f>
        <v>30</v>
      </c>
      <c r="C1040" s="1239" t="str">
        <f>buildingfinal!B1039</f>
        <v>Reaming from 150mm dia pilot bore to 300mm dia bore as directed by the departmental officer’s up to 60m depth ending from ground level.</v>
      </c>
      <c r="D1040" s="1235">
        <f>buildingfinal!C1039</f>
        <v>424.6</v>
      </c>
      <c r="E1040" s="1235" t="str">
        <f>buildingfinal!D1039</f>
        <v>m</v>
      </c>
      <c r="F1040" s="1235">
        <f t="shared" si="63"/>
        <v>12738</v>
      </c>
      <c r="G1040" s="1240">
        <f>buildingfinal!R1058</f>
        <v>0</v>
      </c>
      <c r="H1040" s="1216">
        <f t="shared" si="64"/>
        <v>12738</v>
      </c>
    </row>
    <row r="1041" spans="1:8" ht="128.25" customHeight="1">
      <c r="A1041" s="1233">
        <f>buildingfinal!A1040</f>
        <v>0</v>
      </c>
      <c r="B1041" s="1521">
        <f>buildingfinal!Q1040</f>
        <v>40</v>
      </c>
      <c r="C1041" s="1239" t="str">
        <f>buildingfinal!B1040</f>
        <v>Supply and delivery of 150mm OD of PVC casing pipes (6kglcm2) as per IS 12818 11992 of approved quality for borewells with average wall thickness of  Klmm and inner/outer threaded ends in standard length of 3m including transporting charges to site of work and all other taxes etc., all complete as directed by the departmental ofhcers. (The PVC casing pipe should be got approved.P22 -TWAD2022-2023</v>
      </c>
      <c r="D1041" s="1235">
        <f>buildingfinal!C1040</f>
        <v>644.5</v>
      </c>
      <c r="E1041" s="1235" t="str">
        <f>buildingfinal!D1040</f>
        <v>m</v>
      </c>
      <c r="F1041" s="1235">
        <f t="shared" si="63"/>
        <v>25780</v>
      </c>
      <c r="G1041" s="1240">
        <f>buildingfinal!R1059</f>
        <v>0</v>
      </c>
      <c r="H1041" s="1216">
        <f t="shared" si="64"/>
        <v>25780</v>
      </c>
    </row>
    <row r="1042" spans="1:8" ht="105" customHeight="1">
      <c r="A1042" s="1233">
        <f>buildingfinal!A1041</f>
        <v>0</v>
      </c>
      <c r="B1042" s="1521">
        <f>buildingfinal!Q1041</f>
        <v>50</v>
      </c>
      <c r="C1042" s="1239" t="str">
        <f>buildingfinal!B1041</f>
        <v>Supply and delivery of 150mm OD of  PVC casing pipes (6kglcm2) as per IS 12818 11992 of approved quality for borewells with average wall thickness of lmm and inner/outer threaded ends in standard length of 3m including transporting charges to site of work and all other taxes etc.P22 -SR.20-21</v>
      </c>
      <c r="D1042" s="1235">
        <f>buildingfinal!C1041</f>
        <v>1004.5</v>
      </c>
      <c r="E1042" s="1235" t="str">
        <f>buildingfinal!D1041</f>
        <v>m</v>
      </c>
      <c r="F1042" s="1235">
        <f t="shared" si="63"/>
        <v>50225</v>
      </c>
      <c r="G1042" s="1240">
        <f>buildingfinal!R1060</f>
        <v>0</v>
      </c>
      <c r="H1042" s="1216">
        <f t="shared" si="64"/>
        <v>50225</v>
      </c>
    </row>
    <row r="1043" spans="1:8" ht="33" hidden="1" customHeight="1">
      <c r="A1043" s="1233">
        <f>buildingfinal!A1042</f>
        <v>0</v>
      </c>
      <c r="B1043" s="1521">
        <f>buildingfinal!Q1042</f>
        <v>0</v>
      </c>
      <c r="C1043" s="1239" t="str">
        <f>buildingfinal!B1042</f>
        <v>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P22 -TWAD2022-2023</v>
      </c>
      <c r="D1043" s="1235">
        <f>buildingfinal!C1042</f>
        <v>1004.5</v>
      </c>
      <c r="E1043" s="1235" t="str">
        <f>buildingfinal!D1042</f>
        <v>m</v>
      </c>
      <c r="F1043" s="1235">
        <f t="shared" si="63"/>
        <v>0</v>
      </c>
      <c r="G1043" s="1240">
        <f>buildingfinal!R1061</f>
        <v>205</v>
      </c>
      <c r="H1043" s="1216">
        <f t="shared" si="64"/>
        <v>-205</v>
      </c>
    </row>
    <row r="1044" spans="1:8" ht="119.25" customHeight="1">
      <c r="A1044" s="1233">
        <f>buildingfinal!A1043</f>
        <v>0</v>
      </c>
      <c r="B1044" s="1521">
        <f>buildingfinal!Q1043</f>
        <v>90</v>
      </c>
      <c r="C1044" s="1239" t="str">
        <f>buildingfinal!B1043</f>
        <v>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officialsP304 -TWAD2022-2023</v>
      </c>
      <c r="D1044" s="1235">
        <f>buildingfinal!C1043</f>
        <v>369.6</v>
      </c>
      <c r="E1044" s="1235">
        <f>buildingfinal!D1043</f>
        <v>0</v>
      </c>
      <c r="F1044" s="1235">
        <f t="shared" si="63"/>
        <v>33264</v>
      </c>
      <c r="G1044" s="1240">
        <f>buildingfinal!R1062</f>
        <v>46579</v>
      </c>
      <c r="H1044" s="1216">
        <f t="shared" si="64"/>
        <v>-13315</v>
      </c>
    </row>
    <row r="1045" spans="1:8" ht="0.75" hidden="1" customHeight="1">
      <c r="A1045" s="1233">
        <f>buildingfinal!A1044</f>
        <v>0</v>
      </c>
      <c r="B1045" s="1521">
        <f>buildingfinal!Q1044</f>
        <v>0</v>
      </c>
      <c r="C1045" s="1239" t="str">
        <f>buildingfinal!B1044</f>
        <v>i) l50mm dia casing pipes assembly</v>
      </c>
      <c r="D1045" s="1235">
        <f>buildingfinal!C1044</f>
        <v>312.39999999999998</v>
      </c>
      <c r="E1045" s="1235" t="str">
        <f>buildingfinal!D1044</f>
        <v>Rmt</v>
      </c>
      <c r="F1045" s="1235">
        <f t="shared" si="63"/>
        <v>0</v>
      </c>
      <c r="G1045" s="1240">
        <f>buildingfinal!R1063</f>
        <v>33017</v>
      </c>
      <c r="H1045" s="1216">
        <f t="shared" si="64"/>
        <v>-33017</v>
      </c>
    </row>
    <row r="1046" spans="1:8" ht="87.75" customHeight="1">
      <c r="A1046" s="1233">
        <f>buildingfinal!A1045</f>
        <v>0</v>
      </c>
      <c r="B1046" s="1521">
        <f>buildingfinal!Q1045</f>
        <v>1</v>
      </c>
      <c r="C1046" s="1239" t="str">
        <f>buildingfinal!B1045</f>
        <v>Supplying and fixing of 160mm dia PVC end cap for borewell of best approved quality with ISI mark confirming to IS specifications including cost of materials conveyance to site and labour charges for fixing in position etc. all complete.</v>
      </c>
      <c r="D1046" s="1235">
        <f>buildingfinal!C1045</f>
        <v>104.5</v>
      </c>
      <c r="E1046" s="1235" t="str">
        <f>buildingfinal!D1045</f>
        <v>Nos</v>
      </c>
      <c r="F1046" s="1235">
        <f t="shared" si="63"/>
        <v>104.5</v>
      </c>
      <c r="G1046" s="1240">
        <f>buildingfinal!R1064</f>
        <v>22112.2</v>
      </c>
      <c r="H1046" s="1216">
        <f t="shared" si="64"/>
        <v>-22007.7</v>
      </c>
    </row>
    <row r="1047" spans="1:8" ht="108.75" customHeight="1">
      <c r="A1047" s="1233">
        <f>buildingfinal!A1046</f>
        <v>0</v>
      </c>
      <c r="B1047" s="1521">
        <f>buildingfinal!Q1046</f>
        <v>8</v>
      </c>
      <c r="C1047" s="1239" t="str">
        <f>buildingfinal!B1046</f>
        <v>Charges for developing the borewell for the entire depth with air compressor of 300cfm capacity [Minimum 8 hours] including transportation, labour and fuel harges for compressor and conducting  yield tests by V-notch method etc., all complete as directed by the departmental officers.  P309/TWAD2022-23</v>
      </c>
      <c r="D1047" s="1235">
        <f>buildingfinal!C1046</f>
        <v>1937.1</v>
      </c>
      <c r="E1047" s="1235" t="str">
        <f>buildingfinal!D1046</f>
        <v>Hour</v>
      </c>
      <c r="F1047" s="1235">
        <f t="shared" si="63"/>
        <v>15496.8</v>
      </c>
      <c r="G1047" s="1240">
        <f>buildingfinal!R1065</f>
        <v>6586</v>
      </c>
      <c r="H1047" s="1216">
        <f t="shared" si="64"/>
        <v>8910.7999999999993</v>
      </c>
    </row>
    <row r="1048" spans="1:8" ht="67.5" hidden="1" customHeight="1">
      <c r="A1048" s="1233">
        <f>buildingfinal!A1047</f>
        <v>0</v>
      </c>
      <c r="B1048" s="1521">
        <f>buildingfinal!Q1047</f>
        <v>0</v>
      </c>
      <c r="C1048" s="1239" t="str">
        <f>buildingfinal!B1047</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48" s="1235">
        <f>buildingfinal!C1047</f>
        <v>0</v>
      </c>
      <c r="E1048" s="1235">
        <f>buildingfinal!D1047</f>
        <v>0</v>
      </c>
      <c r="F1048" s="1235">
        <f t="shared" si="63"/>
        <v>0</v>
      </c>
      <c r="G1048" s="1240">
        <f>buildingfinal!R1066</f>
        <v>15147</v>
      </c>
      <c r="H1048" s="1216">
        <f t="shared" si="64"/>
        <v>-15147</v>
      </c>
    </row>
    <row r="1049" spans="1:8" ht="63" hidden="1" customHeight="1">
      <c r="A1049" s="1233">
        <f>buildingfinal!A1048</f>
        <v>0</v>
      </c>
      <c r="B1049" s="1521">
        <f>buildingfinal!Q1048</f>
        <v>0</v>
      </c>
      <c r="C1049" s="1239" t="str">
        <f>buildingfinal!B1048</f>
        <v>a) 50  mm dia UPVC pipes</v>
      </c>
      <c r="D1049" s="1235">
        <f>buildingfinal!C1048</f>
        <v>274.68</v>
      </c>
      <c r="E1049" s="1235" t="str">
        <f>buildingfinal!D1048</f>
        <v>rmt</v>
      </c>
      <c r="F1049" s="1235">
        <f t="shared" si="63"/>
        <v>0</v>
      </c>
      <c r="G1049" s="1240">
        <f>buildingfinal!R1067</f>
        <v>23280</v>
      </c>
      <c r="H1049" s="1216">
        <f t="shared" si="64"/>
        <v>-23280</v>
      </c>
    </row>
    <row r="1050" spans="1:8" ht="33" hidden="1" customHeight="1">
      <c r="A1050" s="1233">
        <f>buildingfinal!A1049</f>
        <v>0</v>
      </c>
      <c r="B1050" s="1521">
        <f>buildingfinal!Q1049</f>
        <v>0</v>
      </c>
      <c r="C1050" s="1239" t="str">
        <f>buildingfinal!B1049</f>
        <v>b) 40 mm dia UPVC pipes</v>
      </c>
      <c r="D1050" s="1235">
        <f>buildingfinal!C1049</f>
        <v>215</v>
      </c>
      <c r="E1050" s="1235" t="str">
        <f>buildingfinal!D1049</f>
        <v>rmt</v>
      </c>
      <c r="F1050" s="1235">
        <f t="shared" si="63"/>
        <v>0</v>
      </c>
      <c r="G1050" s="1240"/>
      <c r="H1050" s="1217"/>
    </row>
    <row r="1051" spans="1:8" ht="36" hidden="1" customHeight="1">
      <c r="A1051" s="1233">
        <f>buildingfinal!A1050</f>
        <v>0</v>
      </c>
      <c r="B1051" s="1521">
        <f>buildingfinal!Q1050</f>
        <v>0</v>
      </c>
      <c r="C1051" s="1239" t="str">
        <f>buildingfinal!B1050</f>
        <v>c) 32 mm dia UPVC pipes</v>
      </c>
      <c r="D1051" s="1235">
        <f>buildingfinal!C1050</f>
        <v>199.01</v>
      </c>
      <c r="E1051" s="1235" t="str">
        <f>buildingfinal!D1050</f>
        <v>rmt</v>
      </c>
      <c r="F1051" s="1235">
        <f t="shared" si="63"/>
        <v>0</v>
      </c>
      <c r="G1051" s="1240"/>
      <c r="H1051" s="1217"/>
    </row>
    <row r="1052" spans="1:8" ht="225.75" customHeight="1">
      <c r="A1052" s="1233">
        <f>buildingfinal!A1051</f>
        <v>0</v>
      </c>
      <c r="B1052" s="1260" t="str">
        <f>buildingfinal!Q1051</f>
        <v>*</v>
      </c>
      <c r="C1052" s="1522" t="str">
        <f>buildingfinal!B1051</f>
        <v>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v>
      </c>
      <c r="D1052" s="1235">
        <f>buildingfinal!C1051</f>
        <v>0</v>
      </c>
      <c r="E1052" s="1235">
        <f>buildingfinal!D1051</f>
        <v>0</v>
      </c>
      <c r="F1052" s="1235"/>
      <c r="G1052" s="1240"/>
      <c r="H1052" s="1217"/>
    </row>
    <row r="1053" spans="1:8" ht="40.5" customHeight="1">
      <c r="A1053" s="1233">
        <f>buildingfinal!A1052</f>
        <v>0</v>
      </c>
      <c r="B1053" s="1521">
        <f>buildingfinal!Q1052</f>
        <v>25</v>
      </c>
      <c r="C1053" s="1239" t="str">
        <f>buildingfinal!B1052</f>
        <v>b).40 mm dia UPVC pipes (above GL)</v>
      </c>
      <c r="D1053" s="1235">
        <f>buildingfinal!C1052</f>
        <v>298.88</v>
      </c>
      <c r="E1053" s="1235" t="str">
        <f>buildingfinal!D1052</f>
        <v>rmt</v>
      </c>
      <c r="F1053" s="1235">
        <f t="shared" si="63"/>
        <v>7472</v>
      </c>
      <c r="G1053" s="1240" t="e">
        <f>buildingfinal!#REF!</f>
        <v>#REF!</v>
      </c>
      <c r="H1053" s="1216" t="e">
        <f t="shared" ref="H1053:H1056" si="65">F1053-G1053</f>
        <v>#REF!</v>
      </c>
    </row>
    <row r="1054" spans="1:8" ht="36.75" customHeight="1">
      <c r="A1054" s="1233">
        <f>buildingfinal!A1053</f>
        <v>0</v>
      </c>
      <c r="B1054" s="1521">
        <f>buildingfinal!Q1053</f>
        <v>30</v>
      </c>
      <c r="C1054" s="1239" t="str">
        <f>buildingfinal!B1053</f>
        <v>b).40 mm dia UPVC pipes (below GL)</v>
      </c>
      <c r="D1054" s="1235">
        <f>buildingfinal!C1053</f>
        <v>361.56</v>
      </c>
      <c r="E1054" s="1235" t="str">
        <f>buildingfinal!D1053</f>
        <v>rmt</v>
      </c>
      <c r="F1054" s="1235">
        <f t="shared" si="63"/>
        <v>10846.8</v>
      </c>
      <c r="G1054" s="1240" t="e">
        <f>buildingfinal!#REF!</f>
        <v>#REF!</v>
      </c>
      <c r="H1054" s="1216" t="e">
        <f t="shared" si="65"/>
        <v>#REF!</v>
      </c>
    </row>
    <row r="1055" spans="1:8" ht="48" customHeight="1">
      <c r="A1055" s="1233">
        <f>buildingfinal!A1054</f>
        <v>0</v>
      </c>
      <c r="B1055" s="1521">
        <f>buildingfinal!Q1054</f>
        <v>80</v>
      </c>
      <c r="C1055" s="1239" t="str">
        <f>buildingfinal!B1054</f>
        <v>Supply and laying 40MM Dia  HDPE PIPES (PWD SR 2022-2023, Pg No. 104)</v>
      </c>
      <c r="D1055" s="1235">
        <f>buildingfinal!C1054</f>
        <v>122.8</v>
      </c>
      <c r="E1055" s="1235" t="str">
        <f>buildingfinal!D1054</f>
        <v>Rmt.</v>
      </c>
      <c r="F1055" s="1235">
        <f t="shared" si="63"/>
        <v>9824</v>
      </c>
      <c r="G1055" s="1240" t="e">
        <f>buildingfinal!#REF!</f>
        <v>#REF!</v>
      </c>
      <c r="H1055" s="1216" t="e">
        <f t="shared" si="65"/>
        <v>#REF!</v>
      </c>
    </row>
    <row r="1056" spans="1:8" s="1238" customFormat="1" ht="32.25" customHeight="1">
      <c r="A1056" s="1233">
        <f>buildingfinal!A1055</f>
        <v>0</v>
      </c>
      <c r="B1056" s="1521">
        <f>buildingfinal!Q1055</f>
        <v>115</v>
      </c>
      <c r="C1056" s="1239" t="str">
        <f>buildingfinal!B1055</f>
        <v>Supplying of Nylon rope for  Bore well</v>
      </c>
      <c r="D1056" s="1235">
        <f>buildingfinal!C1055</f>
        <v>61.8</v>
      </c>
      <c r="E1056" s="1235" t="str">
        <f>buildingfinal!D1055</f>
        <v>rmt</v>
      </c>
      <c r="F1056" s="1235">
        <f t="shared" si="63"/>
        <v>7107</v>
      </c>
      <c r="G1056" s="1330">
        <f>buildingfinal!R1075</f>
        <v>52807992.780000001</v>
      </c>
      <c r="H1056" s="1238">
        <f t="shared" si="65"/>
        <v>-52800885.780000001</v>
      </c>
    </row>
    <row r="1057" spans="1:8" ht="60" hidden="1">
      <c r="A1057" s="1233">
        <f>buildingfinal!A1056</f>
        <v>0</v>
      </c>
      <c r="B1057" s="1521">
        <f>buildingfinal!Q1056</f>
        <v>0</v>
      </c>
      <c r="C1057" s="1239" t="str">
        <f>buildingfinal!B1056</f>
        <v>Supplying and delivery of following materials of best approved quality for erection of  submersible pumpset etc.. all complete and as directed by the departmental officers.</v>
      </c>
      <c r="D1057" s="1235">
        <f>buildingfinal!C1056</f>
        <v>0</v>
      </c>
      <c r="E1057" s="1235">
        <f>buildingfinal!D1056</f>
        <v>0</v>
      </c>
      <c r="F1057" s="1235">
        <f t="shared" si="63"/>
        <v>0</v>
      </c>
      <c r="G1057" s="1240"/>
      <c r="H1057" s="1217"/>
    </row>
    <row r="1058" spans="1:8" hidden="1">
      <c r="A1058" s="1233">
        <f>buildingfinal!A1057</f>
        <v>0</v>
      </c>
      <c r="B1058" s="1521">
        <f>buildingfinal!Q1057</f>
        <v>0</v>
      </c>
      <c r="C1058" s="1239" t="str">
        <f>buildingfinal!B1057</f>
        <v>a. 32mm Gate valve P48/2022-23</v>
      </c>
      <c r="D1058" s="1235">
        <f>buildingfinal!C1057</f>
        <v>760</v>
      </c>
      <c r="E1058" s="1235" t="str">
        <f>buildingfinal!D1057</f>
        <v>Nos</v>
      </c>
      <c r="F1058" s="1235">
        <f t="shared" si="63"/>
        <v>0</v>
      </c>
      <c r="G1058" s="1240"/>
      <c r="H1058" s="1217"/>
    </row>
    <row r="1059" spans="1:8" hidden="1">
      <c r="A1059" s="1233">
        <f>buildingfinal!A1058</f>
        <v>0</v>
      </c>
      <c r="B1059" s="1521">
        <f>buildingfinal!Q1058</f>
        <v>0</v>
      </c>
      <c r="C1059" s="1239" t="str">
        <f>buildingfinal!B1058</f>
        <v>b. 50mm Gate valve</v>
      </c>
      <c r="D1059" s="1235">
        <f>buildingfinal!C1058</f>
        <v>1241</v>
      </c>
      <c r="E1059" s="1235" t="str">
        <f>buildingfinal!D1058</f>
        <v>Nos</v>
      </c>
      <c r="F1059" s="1235">
        <f t="shared" si="63"/>
        <v>0</v>
      </c>
      <c r="G1059" s="1240"/>
      <c r="H1059" s="1217"/>
    </row>
    <row r="1060" spans="1:8" hidden="1">
      <c r="A1060" s="1233">
        <f>buildingfinal!A1059</f>
        <v>0</v>
      </c>
      <c r="B1060" s="1521">
        <f>buildingfinal!Q1059</f>
        <v>0</v>
      </c>
      <c r="C1060" s="1239" t="str">
        <f>buildingfinal!B1059</f>
        <v>c. 32mm Union</v>
      </c>
      <c r="D1060" s="1235">
        <f>buildingfinal!C1059</f>
        <v>127.5</v>
      </c>
      <c r="E1060" s="1235" t="str">
        <f>buildingfinal!D1059</f>
        <v>Nos</v>
      </c>
      <c r="F1060" s="1235">
        <f t="shared" si="63"/>
        <v>0</v>
      </c>
      <c r="G1060" s="1240"/>
      <c r="H1060" s="1217"/>
    </row>
    <row r="1061" spans="1:8" hidden="1">
      <c r="A1061" s="1233">
        <f>buildingfinal!A1060</f>
        <v>0</v>
      </c>
      <c r="B1061" s="1521">
        <f>buildingfinal!Q1060</f>
        <v>0</v>
      </c>
      <c r="C1061" s="1239" t="str">
        <f>buildingfinal!B1060</f>
        <v>d. 50mm Union</v>
      </c>
      <c r="D1061" s="1235">
        <f>buildingfinal!C1060</f>
        <v>266.3</v>
      </c>
      <c r="E1061" s="1235" t="str">
        <f>buildingfinal!D1060</f>
        <v>Nos</v>
      </c>
      <c r="F1061" s="1235">
        <f t="shared" si="63"/>
        <v>0</v>
      </c>
      <c r="G1061" s="1240"/>
      <c r="H1061" s="1217"/>
    </row>
    <row r="1062" spans="1:8" ht="32.25" customHeight="1">
      <c r="A1062" s="1233">
        <f>buildingfinal!A1061</f>
        <v>0</v>
      </c>
      <c r="B1062" s="1521">
        <f>buildingfinal!Q1061</f>
        <v>1</v>
      </c>
      <c r="C1062" s="1239" t="str">
        <f>buildingfinal!B1061</f>
        <v>e. M.S clamp set TWAD 40 mm</v>
      </c>
      <c r="D1062" s="1235">
        <f>buildingfinal!C1061</f>
        <v>205</v>
      </c>
      <c r="E1062" s="1235" t="str">
        <f>buildingfinal!D1061</f>
        <v>Nos</v>
      </c>
      <c r="F1062" s="1235">
        <f t="shared" si="63"/>
        <v>205</v>
      </c>
      <c r="G1062" s="1240"/>
      <c r="H1062" s="1217"/>
    </row>
    <row r="1063" spans="1:8" ht="59.25" customHeight="1">
      <c r="A1063" s="1233">
        <f>buildingfinal!A1062</f>
        <v>0</v>
      </c>
      <c r="B1063" s="1521">
        <f>buildingfinal!Q1062</f>
        <v>1</v>
      </c>
      <c r="C1063" s="1239" t="str">
        <f>buildingfinal!B1062</f>
        <v>Supply and Delivery of  Submersible motor Pumpset with ISI mark IS 8034 without Panel Board of capacity 50LPM X 100m head</v>
      </c>
      <c r="D1063" s="1235">
        <f>buildingfinal!C1062</f>
        <v>46579</v>
      </c>
      <c r="E1063" s="1235" t="str">
        <f>buildingfinal!D1062</f>
        <v>each</v>
      </c>
      <c r="F1063" s="1235">
        <f t="shared" si="63"/>
        <v>46579</v>
      </c>
      <c r="G1063" s="1240"/>
      <c r="H1063" s="1217"/>
    </row>
    <row r="1064" spans="1:8" ht="42.75" customHeight="1">
      <c r="A1064" s="1233">
        <f>buildingfinal!A1063</f>
        <v>0</v>
      </c>
      <c r="B1064" s="1521">
        <f>buildingfinal!Q1063</f>
        <v>1</v>
      </c>
      <c r="C1064" s="1239" t="str">
        <f>buildingfinal!B1063</f>
        <v>Supply and Delivery of  Three phase Openwell Submersible motor Pumpset 50LPM X 40m</v>
      </c>
      <c r="D1064" s="1235">
        <f>buildingfinal!C1063</f>
        <v>33017</v>
      </c>
      <c r="E1064" s="1235" t="str">
        <f>buildingfinal!D1063</f>
        <v>each</v>
      </c>
      <c r="F1064" s="1235">
        <f t="shared" si="63"/>
        <v>33017</v>
      </c>
      <c r="G1064" s="1240"/>
      <c r="H1064" s="1217"/>
    </row>
    <row r="1065" spans="1:8" ht="195">
      <c r="A1065" s="1233">
        <f>buildingfinal!A1064</f>
        <v>0</v>
      </c>
      <c r="B1065" s="1521">
        <f>buildingfinal!Q1064</f>
        <v>2</v>
      </c>
      <c r="C1065" s="1239" t="str">
        <f>buildingfinal!B1064</f>
        <v>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v>
      </c>
      <c r="D1065" s="1235">
        <f>buildingfinal!C1064</f>
        <v>11056.1</v>
      </c>
      <c r="E1065" s="1235" t="str">
        <f>buildingfinal!D1064</f>
        <v>each</v>
      </c>
      <c r="F1065" s="1235">
        <f t="shared" si="63"/>
        <v>22112.2</v>
      </c>
      <c r="G1065" s="1240"/>
      <c r="H1065" s="1217"/>
    </row>
    <row r="1066" spans="1:8" ht="90">
      <c r="A1066" s="1233">
        <f>buildingfinal!A1065</f>
        <v>0</v>
      </c>
      <c r="B1066" s="1521">
        <f>buildingfinal!Q1065</f>
        <v>1</v>
      </c>
      <c r="C1066" s="1239" t="str">
        <f>buildingfinal!B1065</f>
        <v>Supply and delivery of 1.5 HPMS Fabricated DOL panel control board with ISI Mark for single phase wall moulded type Ammeter, voltmeter ON/OFF Switch etc. complete and as directed by the departmental officers. TWAD SR 2020-2021, item.11.3</v>
      </c>
      <c r="D1066" s="1235">
        <f>buildingfinal!C1065</f>
        <v>6586</v>
      </c>
      <c r="E1066" s="1235" t="str">
        <f>buildingfinal!D1065</f>
        <v>each</v>
      </c>
      <c r="F1066" s="1235">
        <f t="shared" si="63"/>
        <v>6586</v>
      </c>
      <c r="G1066" s="1240"/>
      <c r="H1066" s="1217"/>
    </row>
    <row r="1067" spans="1:8" ht="45">
      <c r="A1067" s="1233">
        <f>buildingfinal!A1066</f>
        <v>0</v>
      </c>
      <c r="B1067" s="1521">
        <f>buildingfinal!Q1066</f>
        <v>1</v>
      </c>
      <c r="C1067" s="1239" t="str">
        <f>buildingfinal!B1066</f>
        <v>Supplying and delivery of  MS fabricated DOL panel control board 4HP with ISI mark for three phase (TWAD SR 2019-2020)</v>
      </c>
      <c r="D1067" s="1235">
        <f>buildingfinal!C1066</f>
        <v>15147</v>
      </c>
      <c r="E1067" s="1235" t="str">
        <f>buildingfinal!D1066</f>
        <v>No</v>
      </c>
      <c r="F1067" s="1235">
        <f t="shared" si="63"/>
        <v>15147</v>
      </c>
      <c r="G1067" s="1240"/>
      <c r="H1067" s="1217"/>
    </row>
    <row r="1068" spans="1:8" ht="54.75" customHeight="1">
      <c r="A1068" s="1233">
        <f>buildingfinal!A1067</f>
        <v>0</v>
      </c>
      <c r="B1068" s="1521">
        <f>buildingfinal!Q1067</f>
        <v>120</v>
      </c>
      <c r="C1068" s="1239" t="str">
        <f>buildingfinal!B1067</f>
        <v>Supplying and laying 3 core 4 sqmm FLAT COPPER CABLE with ISI mark including cost of all materials specials etc. all complete.</v>
      </c>
      <c r="D1068" s="1235">
        <f>buildingfinal!C1067</f>
        <v>194</v>
      </c>
      <c r="E1068" s="1235" t="str">
        <f>buildingfinal!D1067</f>
        <v>rmt</v>
      </c>
      <c r="F1068" s="1235">
        <f t="shared" si="63"/>
        <v>23280</v>
      </c>
      <c r="G1068" s="1240"/>
      <c r="H1068" s="1217"/>
    </row>
    <row r="1069" spans="1:8" ht="26.25" customHeight="1">
      <c r="A1069" s="1233">
        <f>buildingfinal!A1068</f>
        <v>0</v>
      </c>
      <c r="B1069" s="1260" t="str">
        <f>buildingfinal!Q1068</f>
        <v>*</v>
      </c>
      <c r="C1069" s="1234" t="str">
        <f>buildingfinal!B1068</f>
        <v>Supplying and fixing the following Specials.</v>
      </c>
      <c r="D1069" s="1235">
        <f>buildingfinal!C1068</f>
        <v>0</v>
      </c>
      <c r="E1069" s="1235">
        <f>buildingfinal!D1068</f>
        <v>0</v>
      </c>
      <c r="F1069" s="1235"/>
      <c r="G1069" s="1240"/>
      <c r="H1069" s="1217"/>
    </row>
    <row r="1070" spans="1:8" ht="26.25" customHeight="1">
      <c r="A1070" s="1233">
        <f>buildingfinal!A1069</f>
        <v>0</v>
      </c>
      <c r="B1070" s="1521">
        <f>buildingfinal!Q1069</f>
        <v>1</v>
      </c>
      <c r="C1070" s="1239" t="str">
        <f>buildingfinal!B1069</f>
        <v>a. 50 mm non return valve</v>
      </c>
      <c r="D1070" s="1235">
        <f>buildingfinal!C1069</f>
        <v>2498</v>
      </c>
      <c r="E1070" s="1235" t="str">
        <f>buildingfinal!D1069</f>
        <v>Nos</v>
      </c>
      <c r="F1070" s="1235">
        <f t="shared" si="63"/>
        <v>2498</v>
      </c>
      <c r="G1070" s="1240"/>
      <c r="H1070" s="1217"/>
    </row>
    <row r="1071" spans="1:8" ht="26.25" customHeight="1">
      <c r="A1071" s="1233">
        <f>buildingfinal!A1070</f>
        <v>0</v>
      </c>
      <c r="B1071" s="1521">
        <f>buildingfinal!Q1070</f>
        <v>3</v>
      </c>
      <c r="C1071" s="1239" t="str">
        <f>buildingfinal!B1070</f>
        <v>b. 50 mm Gate valve</v>
      </c>
      <c r="D1071" s="1235">
        <f>buildingfinal!C1070</f>
        <v>1241</v>
      </c>
      <c r="E1071" s="1235" t="str">
        <f>buildingfinal!D1070</f>
        <v>Nos</v>
      </c>
      <c r="F1071" s="1235">
        <f t="shared" si="63"/>
        <v>3723</v>
      </c>
      <c r="G1071" s="1240"/>
      <c r="H1071" s="1217"/>
    </row>
    <row r="1072" spans="1:8" ht="26.25" customHeight="1">
      <c r="A1072" s="1233">
        <f>buildingfinal!A1071</f>
        <v>0</v>
      </c>
      <c r="B1072" s="1521">
        <f>buildingfinal!Q1071</f>
        <v>2</v>
      </c>
      <c r="C1072" s="1239" t="str">
        <f>buildingfinal!B1071</f>
        <v>c.50mm union</v>
      </c>
      <c r="D1072" s="1235">
        <f>buildingfinal!C1071</f>
        <v>266.3</v>
      </c>
      <c r="E1072" s="1235" t="str">
        <f>buildingfinal!D1071</f>
        <v>Nos</v>
      </c>
      <c r="F1072" s="1235">
        <f t="shared" si="63"/>
        <v>532.6</v>
      </c>
      <c r="G1072" s="1240"/>
      <c r="H1072" s="1217"/>
    </row>
    <row r="1073" spans="1:8" ht="26.25" customHeight="1">
      <c r="A1073" s="1233">
        <f>buildingfinal!A1072</f>
        <v>0</v>
      </c>
      <c r="B1073" s="1521">
        <f>buildingfinal!Q1072</f>
        <v>6</v>
      </c>
      <c r="C1073" s="1239" t="str">
        <f>buildingfinal!B1072</f>
        <v>d.50mm G.I.pipe</v>
      </c>
      <c r="D1073" s="1235">
        <f>buildingfinal!C1072</f>
        <v>209</v>
      </c>
      <c r="E1073" s="1235" t="str">
        <f>buildingfinal!D1072</f>
        <v>Nos</v>
      </c>
      <c r="F1073" s="1235">
        <f t="shared" si="63"/>
        <v>1254</v>
      </c>
      <c r="G1073" s="1240"/>
      <c r="H1073" s="1217"/>
    </row>
    <row r="1074" spans="1:8" ht="26.25" customHeight="1">
      <c r="A1074" s="1233">
        <f>buildingfinal!A1073</f>
        <v>0</v>
      </c>
      <c r="B1074" s="1521">
        <f>buildingfinal!Q1073</f>
        <v>2</v>
      </c>
      <c r="C1074" s="1239" t="str">
        <f>buildingfinal!B1073</f>
        <v>e.50mm G.I.bend</v>
      </c>
      <c r="D1074" s="1235">
        <f>buildingfinal!C1073</f>
        <v>116.3</v>
      </c>
      <c r="E1074" s="1235" t="str">
        <f>buildingfinal!D1073</f>
        <v>Nos</v>
      </c>
      <c r="F1074" s="1235">
        <f t="shared" si="63"/>
        <v>232.6</v>
      </c>
      <c r="G1074" s="1240"/>
      <c r="H1074" s="1217"/>
    </row>
    <row r="1075" spans="1:8" ht="26.25" customHeight="1">
      <c r="A1075" s="1233">
        <f>buildingfinal!A1074</f>
        <v>0</v>
      </c>
      <c r="B1075" s="1521">
        <f>buildingfinal!Q1074</f>
        <v>4</v>
      </c>
      <c r="C1075" s="1239" t="str">
        <f>buildingfinal!B1074</f>
        <v>f.50mm G.I.coupling</v>
      </c>
      <c r="D1075" s="1235">
        <f>buildingfinal!C1074</f>
        <v>69.8</v>
      </c>
      <c r="E1075" s="1235" t="str">
        <f>buildingfinal!D1074</f>
        <v>Nos</v>
      </c>
      <c r="F1075" s="1235">
        <f t="shared" si="63"/>
        <v>279.2</v>
      </c>
      <c r="G1075" s="1240"/>
      <c r="H1075" s="1217"/>
    </row>
    <row r="1076" spans="1:8" ht="26.25" customHeight="1">
      <c r="A1076" s="1233">
        <f>buildingfinal!A1075</f>
        <v>0</v>
      </c>
      <c r="B1076" s="1260" t="str">
        <f>buildingfinal!Q1075</f>
        <v>*</v>
      </c>
      <c r="C1076" s="1234" t="str">
        <f>buildingfinal!B1075</f>
        <v>Total</v>
      </c>
      <c r="D1076" s="1235">
        <f>buildingfinal!C1075</f>
        <v>0</v>
      </c>
      <c r="E1076" s="1235">
        <f>buildingfinal!D1075</f>
        <v>0</v>
      </c>
      <c r="F1076" s="1242">
        <f>SUM(F6:F1075)+0.01</f>
        <v>52807992.780000001</v>
      </c>
      <c r="G1076" s="1240">
        <f>buildingfinal!R1075</f>
        <v>52807992.780000001</v>
      </c>
      <c r="H1076" s="1217">
        <f>F1076-G1076</f>
        <v>0</v>
      </c>
    </row>
    <row r="1077" spans="1:8" hidden="1">
      <c r="A1077" s="1233">
        <f>buildingfinal!A1076</f>
        <v>0</v>
      </c>
      <c r="B1077" s="1521">
        <f>buildingfinal!Q1076</f>
        <v>0</v>
      </c>
      <c r="C1077" s="1239">
        <f>buildingfinal!B1076</f>
        <v>0</v>
      </c>
      <c r="D1077" s="1235">
        <f>buildingfinal!C1076</f>
        <v>0</v>
      </c>
      <c r="E1077" s="1235">
        <f>buildingfinal!D1076</f>
        <v>0</v>
      </c>
      <c r="F1077" s="1235">
        <f t="shared" si="63"/>
        <v>0</v>
      </c>
      <c r="G1077" s="1240"/>
      <c r="H1077" s="1217"/>
    </row>
    <row r="1078" spans="1:8">
      <c r="A1078" s="1233">
        <f>buildingfinal!A1077</f>
        <v>0</v>
      </c>
      <c r="B1078" s="1521" t="e">
        <f>buildingfinal!Q1077</f>
        <v>#REF!</v>
      </c>
      <c r="C1078" s="1239" t="str">
        <f>buildingfinal!B1077</f>
        <v>MS door of Size 1000 x 2100mm</v>
      </c>
      <c r="D1078" s="1235">
        <f>buildingfinal!C1077</f>
        <v>0</v>
      </c>
      <c r="E1078" s="1235" t="str">
        <f>buildingfinal!D1077</f>
        <v>Each</v>
      </c>
      <c r="F1078" s="1235" t="e">
        <f t="shared" si="63"/>
        <v>#REF!</v>
      </c>
      <c r="G1078" s="1240"/>
      <c r="H1078" s="1217"/>
    </row>
    <row r="1079" spans="1:8">
      <c r="A1079" s="1233">
        <f>buildingfinal!A1078</f>
        <v>0</v>
      </c>
      <c r="B1079" s="1521" t="e">
        <f>buildingfinal!Q1078</f>
        <v>#REF!</v>
      </c>
      <c r="C1079" s="1239" t="str">
        <f>buildingfinal!B1078</f>
        <v>MS door of Size 750 x 1350mm</v>
      </c>
      <c r="D1079" s="1235">
        <f>buildingfinal!C1078</f>
        <v>0</v>
      </c>
      <c r="E1079" s="1235" t="str">
        <f>buildingfinal!D1078</f>
        <v>Each</v>
      </c>
      <c r="F1079" s="1235" t="e">
        <f t="shared" si="63"/>
        <v>#REF!</v>
      </c>
      <c r="G1079" s="1240"/>
      <c r="H1079" s="1217"/>
    </row>
    <row r="1080" spans="1:8">
      <c r="A1080" s="1233">
        <f>buildingfinal!A1079</f>
        <v>0</v>
      </c>
      <c r="B1080" s="1521" t="e">
        <f>buildingfinal!Q1079</f>
        <v>#REF!</v>
      </c>
      <c r="C1080" s="1239" t="str">
        <f>buildingfinal!B1079</f>
        <v>MS Ventilator of Size 900 x 600mm</v>
      </c>
      <c r="D1080" s="1235">
        <f>buildingfinal!C1079</f>
        <v>4881.1899999999996</v>
      </c>
      <c r="E1080" s="1235" t="str">
        <f>buildingfinal!D1079</f>
        <v>Sqm</v>
      </c>
      <c r="F1080" s="1235" t="e">
        <f t="shared" si="63"/>
        <v>#REF!</v>
      </c>
      <c r="G1080" s="1240"/>
      <c r="H1080" s="1217"/>
    </row>
    <row r="1081" spans="1:8">
      <c r="A1081" s="1233">
        <f>buildingfinal!A1080</f>
        <v>0</v>
      </c>
      <c r="B1081" s="1521" t="e">
        <f>buildingfinal!Q1080</f>
        <v>#REF!</v>
      </c>
      <c r="C1081" s="1239" t="str">
        <f>buildingfinal!B1080</f>
        <v>MS Ventilator of Size 600 x 600mm</v>
      </c>
      <c r="D1081" s="1235">
        <f>buildingfinal!C1080</f>
        <v>5175.3599999999997</v>
      </c>
      <c r="E1081" s="1235" t="str">
        <f>buildingfinal!D1080</f>
        <v>Sqm</v>
      </c>
      <c r="F1081" s="1235" t="e">
        <f t="shared" si="63"/>
        <v>#REF!</v>
      </c>
      <c r="G1081" s="1240"/>
      <c r="H1081" s="1217"/>
    </row>
    <row r="1082" spans="1:8">
      <c r="A1082" s="1233">
        <f>buildingfinal!A1081</f>
        <v>0</v>
      </c>
      <c r="B1082" s="1521" t="e">
        <f>buildingfinal!Q1081</f>
        <v>#REF!</v>
      </c>
      <c r="C1082" s="1239" t="str">
        <f>buildingfinal!B1081</f>
        <v>MS Ventilator of Size 1285 x 600mm</v>
      </c>
      <c r="D1082" s="1235">
        <f>buildingfinal!C1081</f>
        <v>4457.7700000000004</v>
      </c>
      <c r="E1082" s="1235" t="str">
        <f>buildingfinal!D1081</f>
        <v>Sqm</v>
      </c>
      <c r="F1082" s="1235" t="e">
        <f t="shared" si="63"/>
        <v>#REF!</v>
      </c>
      <c r="G1082" s="1240"/>
      <c r="H1082" s="1217"/>
    </row>
    <row r="1083" spans="1:8">
      <c r="A1083" s="1233">
        <f>buildingfinal!A1082</f>
        <v>0</v>
      </c>
      <c r="B1083" s="1521" t="e">
        <f>buildingfinal!Q1082</f>
        <v>#REF!</v>
      </c>
      <c r="C1083" s="1239" t="str">
        <f>buildingfinal!B1082</f>
        <v>MS Ventilator of Size 1350 x 600mm</v>
      </c>
      <c r="D1083" s="1235">
        <f>buildingfinal!C1082</f>
        <v>0</v>
      </c>
      <c r="E1083" s="1235" t="str">
        <f>buildingfinal!D1082</f>
        <v>Sqm</v>
      </c>
      <c r="F1083" s="1235" t="e">
        <f t="shared" si="63"/>
        <v>#REF!</v>
      </c>
      <c r="G1083" s="1240"/>
      <c r="H1083" s="1217"/>
    </row>
    <row r="1084" spans="1:8">
      <c r="A1084" s="1233">
        <f>buildingfinal!A1083</f>
        <v>0</v>
      </c>
      <c r="B1084" s="1521" t="e">
        <f>buildingfinal!Q1083</f>
        <v>#REF!</v>
      </c>
      <c r="C1084" s="1239" t="str">
        <f>buildingfinal!B1083</f>
        <v>TW double leaves shutter of size 1800 x 2100mm</v>
      </c>
      <c r="D1084" s="1235">
        <f>buildingfinal!C1083</f>
        <v>0</v>
      </c>
      <c r="E1084" s="1235" t="str">
        <f>buildingfinal!D1083</f>
        <v>Sqm</v>
      </c>
      <c r="F1084" s="1235" t="e">
        <f t="shared" si="63"/>
        <v>#REF!</v>
      </c>
      <c r="G1084" s="1240"/>
      <c r="H1084" s="1217"/>
    </row>
    <row r="1085" spans="1:8" ht="30">
      <c r="A1085" s="1233">
        <f>buildingfinal!A1084</f>
        <v>0</v>
      </c>
      <c r="B1085" s="1521" t="e">
        <f>buildingfinal!Q1084</f>
        <v>#REF!</v>
      </c>
      <c r="C1085" s="1239" t="str">
        <f>buildingfinal!B1084</f>
        <v>Ornamental TW double leaves panelled shutter of size 1800 x 2100mm</v>
      </c>
      <c r="D1085" s="1235">
        <f>buildingfinal!C1084</f>
        <v>0</v>
      </c>
      <c r="E1085" s="1235" t="str">
        <f>buildingfinal!D1084</f>
        <v>Sqm</v>
      </c>
      <c r="F1085" s="1235" t="e">
        <f t="shared" si="63"/>
        <v>#REF!</v>
      </c>
      <c r="G1085" s="1240"/>
      <c r="H1085" s="1217"/>
    </row>
    <row r="1086" spans="1:8" ht="30">
      <c r="A1086" s="1233">
        <f>buildingfinal!A1085</f>
        <v>0</v>
      </c>
      <c r="B1086" s="1521" t="e">
        <f>buildingfinal!Q1085</f>
        <v>#REF!</v>
      </c>
      <c r="C1086" s="1239" t="str">
        <f>buildingfinal!B1085</f>
        <v>Ornamental TW double leaves panelled shutter of size 1800 x 2400mm</v>
      </c>
      <c r="D1086" s="1235">
        <f>buildingfinal!C1085</f>
        <v>0</v>
      </c>
      <c r="E1086" s="1235" t="str">
        <f>buildingfinal!D1085</f>
        <v>Sqm</v>
      </c>
      <c r="F1086" s="1235" t="e">
        <f t="shared" si="63"/>
        <v>#REF!</v>
      </c>
      <c r="G1086" s="1240"/>
      <c r="H1086" s="1217"/>
    </row>
    <row r="1087" spans="1:8">
      <c r="A1087" s="1233">
        <f>buildingfinal!A1086</f>
        <v>0</v>
      </c>
      <c r="B1087" s="1521" t="e">
        <f>buildingfinal!Q1086</f>
        <v>#REF!</v>
      </c>
      <c r="C1087" s="1239" t="str">
        <f>buildingfinal!B1086</f>
        <v>1500 liters capacity of HDPE Water Tank</v>
      </c>
      <c r="D1087" s="1235">
        <f>buildingfinal!C1086</f>
        <v>0</v>
      </c>
      <c r="E1087" s="1235" t="str">
        <f>buildingfinal!D1086</f>
        <v>Each</v>
      </c>
      <c r="F1087" s="1235" t="e">
        <f t="shared" si="63"/>
        <v>#REF!</v>
      </c>
      <c r="G1087" s="1240"/>
      <c r="H1087" s="1217"/>
    </row>
    <row r="1088" spans="1:8">
      <c r="A1088" s="1233">
        <f>buildingfinal!A1087</f>
        <v>0</v>
      </c>
      <c r="B1088" s="1521" t="e">
        <f>buildingfinal!Q1087</f>
        <v>#REF!</v>
      </c>
      <c r="C1088" s="1239" t="str">
        <f>buildingfinal!B1087</f>
        <v>Providing shahabad stone flooring</v>
      </c>
      <c r="D1088" s="1235">
        <f>buildingfinal!C1087</f>
        <v>1520.05</v>
      </c>
      <c r="E1088" s="1235" t="str">
        <f>buildingfinal!D1087</f>
        <v>Sqm</v>
      </c>
      <c r="F1088" s="1235" t="e">
        <f t="shared" si="63"/>
        <v>#REF!</v>
      </c>
      <c r="G1088" s="1240"/>
      <c r="H1088" s="1217"/>
    </row>
    <row r="1089" spans="1:8">
      <c r="A1089" s="1233">
        <f>buildingfinal!A1088</f>
        <v>0</v>
      </c>
      <c r="B1089" s="1521" t="e">
        <f>buildingfinal!Q1088</f>
        <v>#REF!</v>
      </c>
      <c r="C1089" s="1239" t="str">
        <f>buildingfinal!B1088</f>
        <v xml:space="preserve">Eurocon Tiles flooring </v>
      </c>
      <c r="D1089" s="1235">
        <f>buildingfinal!C1088</f>
        <v>1512.46</v>
      </c>
      <c r="E1089" s="1235" t="str">
        <f>buildingfinal!D1088</f>
        <v>Sqm</v>
      </c>
      <c r="F1089" s="1235" t="e">
        <f t="shared" si="63"/>
        <v>#REF!</v>
      </c>
      <c r="G1089" s="1240"/>
      <c r="H1089" s="1217"/>
    </row>
    <row r="1090" spans="1:8">
      <c r="A1090" s="1233">
        <f>buildingfinal!A1089</f>
        <v>0</v>
      </c>
      <c r="B1090" s="1521" t="e">
        <f>buildingfinal!Q1089</f>
        <v>#REF!</v>
      </c>
      <c r="C1090" s="1239" t="str">
        <f>buildingfinal!B1089</f>
        <v>Vetrified Tiles flooring (Ivory)</v>
      </c>
      <c r="D1090" s="1235">
        <f>buildingfinal!C1089</f>
        <v>1282.53</v>
      </c>
      <c r="E1090" s="1235" t="str">
        <f>buildingfinal!D1089</f>
        <v>Sqm</v>
      </c>
      <c r="F1090" s="1235" t="e">
        <f t="shared" si="63"/>
        <v>#REF!</v>
      </c>
      <c r="G1090" s="1240"/>
      <c r="H1090" s="1217"/>
    </row>
    <row r="1091" spans="1:8">
      <c r="A1091" s="1233">
        <f>buildingfinal!A1090</f>
        <v>0</v>
      </c>
      <c r="B1091" s="1521" t="e">
        <f>buildingfinal!Q1090</f>
        <v>#REF!</v>
      </c>
      <c r="C1091" s="1239" t="str">
        <f>buildingfinal!B1090</f>
        <v xml:space="preserve">kota stone  flooring </v>
      </c>
      <c r="D1091" s="1235">
        <f>buildingfinal!C1090</f>
        <v>1694.35</v>
      </c>
      <c r="E1091" s="1235" t="str">
        <f>buildingfinal!D1090</f>
        <v>Sqm</v>
      </c>
      <c r="F1091" s="1235" t="e">
        <f t="shared" si="63"/>
        <v>#REF!</v>
      </c>
      <c r="G1091" s="1240"/>
      <c r="H1091" s="1217"/>
    </row>
    <row r="1092" spans="1:8">
      <c r="A1092" s="1233">
        <f>buildingfinal!A1091</f>
        <v>0</v>
      </c>
      <c r="B1092" s="1521" t="e">
        <f>buildingfinal!Q1091</f>
        <v>#REF!</v>
      </c>
      <c r="C1092" s="1239" t="str">
        <f>buildingfinal!B1091</f>
        <v xml:space="preserve">Granite Tiles flooring </v>
      </c>
      <c r="D1092" s="1235">
        <f>buildingfinal!C1091</f>
        <v>1654.23</v>
      </c>
      <c r="E1092" s="1235" t="str">
        <f>buildingfinal!D1091</f>
        <v>Sqm</v>
      </c>
      <c r="F1092" s="1235" t="e">
        <f t="shared" si="63"/>
        <v>#REF!</v>
      </c>
      <c r="G1092" s="1240"/>
      <c r="H1092" s="1217"/>
    </row>
    <row r="1093" spans="1:8">
      <c r="A1093" s="1233">
        <f>buildingfinal!A1092</f>
        <v>0</v>
      </c>
      <c r="B1093" s="1521" t="e">
        <f>buildingfinal!Q1092</f>
        <v>#REF!</v>
      </c>
      <c r="C1093" s="1239" t="str">
        <f>buildingfinal!B1092</f>
        <v>Plastering with ccccm 1:3, 12mm mixed with WPC</v>
      </c>
      <c r="D1093" s="1235">
        <f>buildingfinal!C1092</f>
        <v>283.77</v>
      </c>
      <c r="E1093" s="1235" t="str">
        <f>buildingfinal!D1092</f>
        <v>Sqm</v>
      </c>
      <c r="F1093" s="1235" t="e">
        <f t="shared" si="63"/>
        <v>#REF!</v>
      </c>
      <c r="G1093" s="1240"/>
      <c r="H1093" s="1217"/>
    </row>
    <row r="1094" spans="1:8">
      <c r="A1094" s="1233">
        <f>buildingfinal!A1093</f>
        <v>0</v>
      </c>
      <c r="B1094" s="1521" t="e">
        <f>buildingfinal!Q1093</f>
        <v>#REF!</v>
      </c>
      <c r="C1094" s="1239" t="str">
        <f>buildingfinal!B1093</f>
        <v>HDPE water tank 5000 lit capacity</v>
      </c>
      <c r="D1094" s="1235">
        <f>buildingfinal!C1093</f>
        <v>41000</v>
      </c>
      <c r="E1094" s="1235" t="str">
        <f>buildingfinal!D1093</f>
        <v>Each</v>
      </c>
      <c r="F1094" s="1235" t="e">
        <f t="shared" si="63"/>
        <v>#REF!</v>
      </c>
      <c r="G1094" s="1240"/>
      <c r="H1094" s="1217"/>
    </row>
    <row r="1095" spans="1:8" ht="30">
      <c r="A1095" s="1233">
        <f>buildingfinal!A1094</f>
        <v>0</v>
      </c>
      <c r="B1095" s="1521" t="e">
        <f>buildingfinal!Q1094</f>
        <v>#REF!</v>
      </c>
      <c r="C1095" s="1239" t="str">
        <f>buildingfinal!B1094</f>
        <v>T.W DOOR SHUTTER TWO LEAVES(1200 X 2100 mm ) with Brass Fittings</v>
      </c>
      <c r="D1095" s="1235">
        <f>buildingfinal!C1094</f>
        <v>7218.85</v>
      </c>
      <c r="E1095" s="1235" t="str">
        <f>buildingfinal!D1094</f>
        <v>Sqm</v>
      </c>
      <c r="F1095" s="1235" t="e">
        <f t="shared" si="63"/>
        <v>#REF!</v>
      </c>
      <c r="G1095" s="1240"/>
      <c r="H1095" s="1217"/>
    </row>
    <row r="1096" spans="1:8" ht="30">
      <c r="A1096" s="1233">
        <f>buildingfinal!A1095</f>
        <v>0</v>
      </c>
      <c r="B1096" s="1521" t="e">
        <f>buildingfinal!Q1095</f>
        <v>#REF!</v>
      </c>
      <c r="C1096" s="1239" t="str">
        <f>buildingfinal!B1095</f>
        <v>TW Panelled Door 1500 X 2100MM (Double leaves)</v>
      </c>
      <c r="D1096" s="1235">
        <f>buildingfinal!C1095</f>
        <v>5349.76</v>
      </c>
      <c r="E1096" s="1235" t="str">
        <f>buildingfinal!D1095</f>
        <v>Sqm</v>
      </c>
      <c r="F1096" s="1235" t="e">
        <f t="shared" ref="F1096:F1159" si="66">D1096*B1096</f>
        <v>#REF!</v>
      </c>
      <c r="G1096" s="1240"/>
      <c r="H1096" s="1217"/>
    </row>
    <row r="1097" spans="1:8" ht="30">
      <c r="A1097" s="1233">
        <f>buildingfinal!A1096</f>
        <v>0</v>
      </c>
      <c r="B1097" s="1521" t="e">
        <f>buildingfinal!Q1096</f>
        <v>#REF!</v>
      </c>
      <c r="C1097" s="1239" t="str">
        <f>buildingfinal!B1096</f>
        <v>TW Panelled Door 1500 X 2400MM (Double leaves)</v>
      </c>
      <c r="D1097" s="1235">
        <f>buildingfinal!C1096</f>
        <v>0</v>
      </c>
      <c r="E1097" s="1235" t="str">
        <f>buildingfinal!D1096</f>
        <v>Sqm</v>
      </c>
      <c r="F1097" s="1235" t="e">
        <f t="shared" si="66"/>
        <v>#REF!</v>
      </c>
      <c r="G1097" s="1240"/>
      <c r="H1097" s="1217"/>
    </row>
    <row r="1098" spans="1:8" ht="30">
      <c r="A1098" s="1233">
        <f>buildingfinal!A1097</f>
        <v>0</v>
      </c>
      <c r="B1098" s="1521" t="e">
        <f>buildingfinal!Q1097</f>
        <v>#REF!</v>
      </c>
      <c r="C1098" s="1239" t="str">
        <f>buildingfinal!B1097</f>
        <v>TW Panelled Door 1200 X 2400MM (Double leaves)</v>
      </c>
      <c r="D1098" s="1235">
        <f>buildingfinal!C1097</f>
        <v>6493.04</v>
      </c>
      <c r="E1098" s="1235" t="str">
        <f>buildingfinal!D1097</f>
        <v>Sqm</v>
      </c>
      <c r="F1098" s="1235" t="e">
        <f t="shared" si="66"/>
        <v>#REF!</v>
      </c>
      <c r="G1098" s="1240"/>
      <c r="H1098" s="1217"/>
    </row>
    <row r="1099" spans="1:8" ht="30">
      <c r="A1099" s="1233">
        <f>buildingfinal!A1098</f>
        <v>0</v>
      </c>
      <c r="B1099" s="1521" t="e">
        <f>buildingfinal!Q1098</f>
        <v>#REF!</v>
      </c>
      <c r="C1099" s="1239" t="str">
        <f>buildingfinal!B1098</f>
        <v>TW Panelled Door 1800 X 2400MM (Double leaves)</v>
      </c>
      <c r="D1099" s="1235" t="str">
        <f>buildingfinal!C1098</f>
        <v>============</v>
      </c>
      <c r="E1099" s="1235" t="str">
        <f>buildingfinal!D1098</f>
        <v>Sqm</v>
      </c>
      <c r="F1099" s="1235" t="e">
        <f t="shared" si="66"/>
        <v>#VALUE!</v>
      </c>
      <c r="G1099" s="1240"/>
      <c r="H1099" s="1217"/>
    </row>
    <row r="1100" spans="1:8" ht="45">
      <c r="A1100" s="1233">
        <f>buildingfinal!A1099</f>
        <v>0</v>
      </c>
      <c r="B1100" s="1521" t="e">
        <f>buildingfinal!Q1099</f>
        <v>#REF!</v>
      </c>
      <c r="C1100" s="1239" t="str">
        <f>buildingfinal!B1099</f>
        <v>Partly glazed and partly BWR panelled door shutter (Double leaves) with brass screws.
a. 1500x2400mm</v>
      </c>
      <c r="D1100" s="1235">
        <f>buildingfinal!C1099</f>
        <v>5302.8</v>
      </c>
      <c r="E1100" s="1235" t="str">
        <f>buildingfinal!D1099</f>
        <v>Sqm</v>
      </c>
      <c r="F1100" s="1235" t="e">
        <f t="shared" si="66"/>
        <v>#REF!</v>
      </c>
      <c r="G1100" s="1240"/>
      <c r="H1100" s="1217"/>
    </row>
    <row r="1101" spans="1:8" ht="45">
      <c r="A1101" s="1233">
        <f>buildingfinal!A1100</f>
        <v>0</v>
      </c>
      <c r="B1101" s="1521" t="e">
        <f>buildingfinal!Q1100</f>
        <v>#REF!</v>
      </c>
      <c r="C1101" s="1239" t="str">
        <f>buildingfinal!B1100</f>
        <v>Partly glazed and partly TW panelled door shutter (Double leaves) with brass screws.
a. 1200x2400mm</v>
      </c>
      <c r="D1101" s="1235">
        <f>buildingfinal!C1100</f>
        <v>6163.48</v>
      </c>
      <c r="E1101" s="1235" t="str">
        <f>buildingfinal!D1100</f>
        <v>Sqm</v>
      </c>
      <c r="F1101" s="1235" t="e">
        <f t="shared" si="66"/>
        <v>#REF!</v>
      </c>
      <c r="G1101" s="1240"/>
      <c r="H1101" s="1217"/>
    </row>
    <row r="1102" spans="1:8" ht="30">
      <c r="A1102" s="1233">
        <f>buildingfinal!A1101</f>
        <v>0</v>
      </c>
      <c r="B1102" s="1521" t="e">
        <f>buildingfinal!Q1101</f>
        <v>#REF!</v>
      </c>
      <c r="C1102" s="1239" t="str">
        <f>buildingfinal!B1101</f>
        <v>T.W DOOR SHUTTER TWO LEAVES(2000 X 2400 mm) WITH BRASS FITINGS</v>
      </c>
      <c r="D1102" s="1235">
        <f>buildingfinal!C1101</f>
        <v>5325.2</v>
      </c>
      <c r="E1102" s="1235" t="str">
        <f>buildingfinal!D1101</f>
        <v>Sqm</v>
      </c>
      <c r="F1102" s="1235" t="e">
        <f t="shared" si="66"/>
        <v>#REF!</v>
      </c>
      <c r="G1102" s="1240"/>
      <c r="H1102" s="1217"/>
    </row>
    <row r="1103" spans="1:8">
      <c r="A1103" s="1233">
        <f>buildingfinal!A1102</f>
        <v>0</v>
      </c>
      <c r="B1103" s="1521" t="e">
        <f>buildingfinal!Q1102</f>
        <v>#REF!</v>
      </c>
      <c r="C1103" s="1239" t="str">
        <f>buildingfinal!B1102</f>
        <v>BWR door 900 x 2400   single leaf</v>
      </c>
      <c r="D1103" s="1235">
        <f>buildingfinal!C1102</f>
        <v>5822.18</v>
      </c>
      <c r="E1103" s="1235" t="str">
        <f>buildingfinal!D1102</f>
        <v>Sqm</v>
      </c>
      <c r="F1103" s="1235" t="e">
        <f t="shared" si="66"/>
        <v>#REF!</v>
      </c>
      <c r="G1103" s="1240"/>
      <c r="H1103" s="1217"/>
    </row>
    <row r="1104" spans="1:8">
      <c r="A1104" s="1233">
        <f>buildingfinal!A1103</f>
        <v>0</v>
      </c>
      <c r="B1104" s="1521" t="e">
        <f>buildingfinal!Q1103</f>
        <v>#REF!</v>
      </c>
      <c r="C1104" s="1239" t="str">
        <f>buildingfinal!B1103</f>
        <v>BWR door 1050 x 2400   single leaf</v>
      </c>
      <c r="D1104" s="1235" t="str">
        <f>buildingfinal!C1103</f>
        <v>=</v>
      </c>
      <c r="E1104" s="1235" t="str">
        <f>buildingfinal!D1103</f>
        <v>Sqm</v>
      </c>
      <c r="F1104" s="1235" t="e">
        <f t="shared" si="66"/>
        <v>#VALUE!</v>
      </c>
      <c r="G1104" s="1240"/>
      <c r="H1104" s="1217"/>
    </row>
    <row r="1105" spans="1:8">
      <c r="A1105" s="1233">
        <f>buildingfinal!A1104</f>
        <v>0</v>
      </c>
      <c r="B1105" s="1521" t="e">
        <f>buildingfinal!Q1104</f>
        <v>#REF!</v>
      </c>
      <c r="C1105" s="1239" t="str">
        <f>buildingfinal!B1104</f>
        <v>BWR door 1200 x 2400   double leaves</v>
      </c>
      <c r="D1105" s="1235">
        <f>buildingfinal!C1104</f>
        <v>0</v>
      </c>
      <c r="E1105" s="1235" t="str">
        <f>buildingfinal!D1104</f>
        <v>Sqm</v>
      </c>
      <c r="F1105" s="1235" t="e">
        <f t="shared" si="66"/>
        <v>#REF!</v>
      </c>
      <c r="G1105" s="1240"/>
      <c r="H1105" s="1217"/>
    </row>
    <row r="1106" spans="1:8">
      <c r="A1106" s="1233">
        <f>buildingfinal!A1105</f>
        <v>0</v>
      </c>
      <c r="B1106" s="1521" t="e">
        <f>buildingfinal!Q1105</f>
        <v>#REF!</v>
      </c>
      <c r="C1106" s="1239" t="str">
        <f>buildingfinal!B1105</f>
        <v>BWR door 1500 x 2400   double leaves</v>
      </c>
      <c r="D1106" s="1235">
        <f>buildingfinal!C1105</f>
        <v>0</v>
      </c>
      <c r="E1106" s="1235" t="str">
        <f>buildingfinal!D1105</f>
        <v>Sqm</v>
      </c>
      <c r="F1106" s="1235" t="e">
        <f t="shared" si="66"/>
        <v>#REF!</v>
      </c>
      <c r="G1106" s="1240"/>
      <c r="H1106" s="1217"/>
    </row>
    <row r="1107" spans="1:8">
      <c r="A1107" s="1233">
        <f>buildingfinal!A1106</f>
        <v>0</v>
      </c>
      <c r="B1107" s="1521" t="e">
        <f>buildingfinal!Q1106</f>
        <v>#REF!</v>
      </c>
      <c r="C1107" s="1239" t="str">
        <f>buildingfinal!B1106</f>
        <v>450 x 375 x 20 m   thick TW plank</v>
      </c>
      <c r="D1107" s="1235">
        <f>buildingfinal!C1106</f>
        <v>1309</v>
      </c>
      <c r="E1107" s="1235" t="str">
        <f>buildingfinal!D1106</f>
        <v>Each</v>
      </c>
      <c r="F1107" s="1235" t="e">
        <f t="shared" si="66"/>
        <v>#REF!</v>
      </c>
      <c r="G1107" s="1240"/>
      <c r="H1107" s="1217"/>
    </row>
    <row r="1108" spans="1:8">
      <c r="A1108" s="1233">
        <f>buildingfinal!A1107</f>
        <v>0</v>
      </c>
      <c r="B1108" s="1521" t="e">
        <f>buildingfinal!Q1107</f>
        <v>#REF!</v>
      </c>
      <c r="C1108" s="1239" t="str">
        <f>buildingfinal!B1107</f>
        <v>40 mm dia GI pipe "B"class</v>
      </c>
      <c r="D1108" s="1235">
        <f>buildingfinal!C1107</f>
        <v>165</v>
      </c>
      <c r="E1108" s="1235" t="str">
        <f>buildingfinal!D1107</f>
        <v>Rmt</v>
      </c>
      <c r="F1108" s="1235" t="e">
        <f t="shared" si="66"/>
        <v>#REF!</v>
      </c>
      <c r="G1108" s="1240"/>
      <c r="H1108" s="1217"/>
    </row>
    <row r="1109" spans="1:8">
      <c r="A1109" s="1233">
        <f>buildingfinal!A1108</f>
        <v>0</v>
      </c>
      <c r="B1109" s="1521" t="e">
        <f>buildingfinal!Q1108</f>
        <v>#REF!</v>
      </c>
      <c r="C1109" s="1239" t="str">
        <f>buildingfinal!B1108</f>
        <v>Supplying and fixing of Three phase ELCB</v>
      </c>
      <c r="D1109" s="1235">
        <f>buildingfinal!C1108</f>
        <v>3068.5</v>
      </c>
      <c r="E1109" s="1235" t="str">
        <f>buildingfinal!D1108</f>
        <v>Each</v>
      </c>
      <c r="F1109" s="1235" t="e">
        <f t="shared" si="66"/>
        <v>#REF!</v>
      </c>
      <c r="G1109" s="1240"/>
      <c r="H1109" s="1217"/>
    </row>
    <row r="1110" spans="1:8">
      <c r="A1110" s="1233">
        <f>buildingfinal!A1109</f>
        <v>0</v>
      </c>
      <c r="B1110" s="1521" t="e">
        <f>buildingfinal!Q1109</f>
        <v>#REF!</v>
      </c>
      <c r="C1110" s="1239" t="str">
        <f>buildingfinal!B1109</f>
        <v>MDF 900 x 2100 single</v>
      </c>
      <c r="D1110" s="1235">
        <f>buildingfinal!C1109</f>
        <v>0</v>
      </c>
      <c r="E1110" s="1235" t="str">
        <f>buildingfinal!D1109</f>
        <v>Sqm</v>
      </c>
      <c r="F1110" s="1235" t="e">
        <f t="shared" si="66"/>
        <v>#REF!</v>
      </c>
      <c r="G1110" s="1240"/>
      <c r="H1110" s="1217"/>
    </row>
    <row r="1111" spans="1:8">
      <c r="A1111" s="1233">
        <f>buildingfinal!A1110</f>
        <v>0</v>
      </c>
      <c r="B1111" s="1521" t="e">
        <f>buildingfinal!Q1110</f>
        <v>#REF!</v>
      </c>
      <c r="C1111" s="1239" t="str">
        <f>buildingfinal!B1110</f>
        <v>MDF 1000 x 2100</v>
      </c>
      <c r="D1111" s="1235">
        <f>buildingfinal!C1110</f>
        <v>2816.03</v>
      </c>
      <c r="E1111" s="1235" t="str">
        <f>buildingfinal!D1110</f>
        <v>Sqm</v>
      </c>
      <c r="F1111" s="1235" t="e">
        <f t="shared" si="66"/>
        <v>#REF!</v>
      </c>
      <c r="G1111" s="1240"/>
      <c r="H1111" s="1217"/>
    </row>
    <row r="1112" spans="1:8">
      <c r="A1112" s="1233">
        <f>buildingfinal!A1111</f>
        <v>0</v>
      </c>
      <c r="B1112" s="1521" t="e">
        <f>buildingfinal!Q1111</f>
        <v>#REF!</v>
      </c>
      <c r="C1112" s="1239" t="str">
        <f>buildingfinal!B1111</f>
        <v>MDF 1200 x 2100</v>
      </c>
      <c r="D1112" s="1235">
        <f>buildingfinal!C1111</f>
        <v>2736.66</v>
      </c>
      <c r="E1112" s="1235" t="str">
        <f>buildingfinal!D1111</f>
        <v>Sqm</v>
      </c>
      <c r="F1112" s="1235" t="e">
        <f t="shared" si="66"/>
        <v>#REF!</v>
      </c>
      <c r="G1112" s="1240"/>
      <c r="H1112" s="1217"/>
    </row>
    <row r="1113" spans="1:8">
      <c r="A1113" s="1233">
        <f>buildingfinal!A1112</f>
        <v>0</v>
      </c>
      <c r="B1113" s="1521" t="e">
        <f>buildingfinal!Q1112</f>
        <v>#REF!</v>
      </c>
      <c r="C1113" s="1239" t="str">
        <f>buildingfinal!B1112</f>
        <v>MDF 1500 X 2100MM (Double Leaf)</v>
      </c>
      <c r="D1113" s="1235">
        <f>buildingfinal!C1112</f>
        <v>2985.43</v>
      </c>
      <c r="E1113" s="1235" t="str">
        <f>buildingfinal!D1112</f>
        <v>Sqm</v>
      </c>
      <c r="F1113" s="1235" t="e">
        <f t="shared" si="66"/>
        <v>#REF!</v>
      </c>
      <c r="G1113" s="1240"/>
      <c r="H1113" s="1217"/>
    </row>
    <row r="1114" spans="1:8">
      <c r="A1114" s="1233">
        <f>buildingfinal!A1113</f>
        <v>0</v>
      </c>
      <c r="B1114" s="1521" t="e">
        <f>buildingfinal!Q1113</f>
        <v>#REF!</v>
      </c>
      <c r="C1114" s="1239" t="str">
        <f>buildingfinal!B1113</f>
        <v>MDF 1200 X 2100MM (Double Leaf)</v>
      </c>
      <c r="D1114" s="1235">
        <f>buildingfinal!C1113</f>
        <v>3117.93</v>
      </c>
      <c r="E1114" s="1235" t="str">
        <f>buildingfinal!D1113</f>
        <v>Sqm</v>
      </c>
      <c r="F1114" s="1235" t="e">
        <f t="shared" si="66"/>
        <v>#REF!</v>
      </c>
      <c r="G1114" s="1240"/>
      <c r="H1114" s="1217"/>
    </row>
    <row r="1115" spans="1:8">
      <c r="A1115" s="1233">
        <f>buildingfinal!A1114</f>
        <v>0</v>
      </c>
      <c r="B1115" s="1521" t="e">
        <f>buildingfinal!Q1114</f>
        <v>#REF!</v>
      </c>
      <c r="C1115" s="1239" t="str">
        <f>buildingfinal!B1114</f>
        <v>MDF 1500 X 2400MM (Double Leaf)</v>
      </c>
      <c r="D1115" s="1235">
        <f>buildingfinal!C1114</f>
        <v>2926.31</v>
      </c>
      <c r="E1115" s="1235" t="str">
        <f>buildingfinal!D1114</f>
        <v>Sqm</v>
      </c>
      <c r="F1115" s="1235" t="e">
        <f t="shared" si="66"/>
        <v>#REF!</v>
      </c>
      <c r="G1115" s="1240"/>
      <c r="H1115" s="1217"/>
    </row>
    <row r="1116" spans="1:8" ht="30">
      <c r="A1116" s="1233">
        <f>buildingfinal!A1115</f>
        <v>0</v>
      </c>
      <c r="B1116" s="1521" t="e">
        <f>buildingfinal!Q1115</f>
        <v>#REF!</v>
      </c>
      <c r="C1116" s="1239" t="str">
        <f>buildingfinal!B1115</f>
        <v>MDF  double leaf shutter with TW alround frame for ward robe / cup board</v>
      </c>
      <c r="D1116" s="1235">
        <f>buildingfinal!C1115</f>
        <v>2208.35</v>
      </c>
      <c r="E1116" s="1235" t="str">
        <f>buildingfinal!D1115</f>
        <v>Sqm</v>
      </c>
      <c r="F1116" s="1235" t="e">
        <f t="shared" si="66"/>
        <v>#REF!</v>
      </c>
      <c r="G1116" s="1240"/>
      <c r="H1116" s="1217"/>
    </row>
    <row r="1117" spans="1:8">
      <c r="A1117" s="1233">
        <f>buildingfinal!A1116</f>
        <v>0</v>
      </c>
      <c r="B1117" s="1521" t="e">
        <f>buildingfinal!Q1116</f>
        <v>#REF!</v>
      </c>
      <c r="C1117" s="1239" t="str">
        <f>buildingfinal!B1116</f>
        <v>Varnishing one coat</v>
      </c>
      <c r="D1117" s="1235">
        <f>buildingfinal!C1116</f>
        <v>128.36000000000001</v>
      </c>
      <c r="E1117" s="1235">
        <f>buildingfinal!D1116</f>
        <v>0</v>
      </c>
      <c r="F1117" s="1235" t="e">
        <f t="shared" si="66"/>
        <v>#REF!</v>
      </c>
      <c r="G1117" s="1240"/>
      <c r="H1117" s="1217"/>
    </row>
    <row r="1118" spans="1:8">
      <c r="A1118" s="1233">
        <f>buildingfinal!A1117</f>
        <v>0</v>
      </c>
      <c r="B1118" s="1521" t="e">
        <f>buildingfinal!Q1117</f>
        <v>#REF!</v>
      </c>
      <c r="C1118" s="1239" t="str">
        <f>buildingfinal!B1117</f>
        <v>Varnishing two coat</v>
      </c>
      <c r="D1118" s="1235">
        <f>buildingfinal!C1117</f>
        <v>201.2</v>
      </c>
      <c r="E1118" s="1235">
        <f>buildingfinal!D1117</f>
        <v>0</v>
      </c>
      <c r="F1118" s="1235" t="e">
        <f t="shared" si="66"/>
        <v>#REF!</v>
      </c>
      <c r="G1118" s="1240"/>
      <c r="H1118" s="1217"/>
    </row>
    <row r="1119" spans="1:8">
      <c r="A1119" s="1233">
        <f>buildingfinal!A1118</f>
        <v>0</v>
      </c>
      <c r="B1119" s="1521" t="e">
        <f>buildingfinal!Q1118</f>
        <v>#REF!</v>
      </c>
      <c r="C1119" s="1239" t="str">
        <f>buildingfinal!B1118</f>
        <v>Red oxide plastering in CM 1:4</v>
      </c>
      <c r="D1119" s="1235">
        <f>buildingfinal!C1118</f>
        <v>784.92</v>
      </c>
      <c r="E1119" s="1235">
        <f>buildingfinal!D1118</f>
        <v>0</v>
      </c>
      <c r="F1119" s="1235" t="e">
        <f t="shared" si="66"/>
        <v>#REF!</v>
      </c>
      <c r="G1119" s="1240"/>
      <c r="H1119" s="1217"/>
    </row>
    <row r="1120" spans="1:8">
      <c r="A1120" s="1233">
        <f>buildingfinal!A1119</f>
        <v>0</v>
      </c>
      <c r="B1120" s="1521" t="e">
        <f>buildingfinal!Q1119</f>
        <v>#REF!</v>
      </c>
      <c r="C1120" s="1239" t="str">
        <f>buildingfinal!B1119</f>
        <v>Under reamed pile (Single)</v>
      </c>
      <c r="D1120" s="1235">
        <f>buildingfinal!C1119</f>
        <v>1730.28</v>
      </c>
      <c r="E1120" s="1235">
        <f>buildingfinal!D1119</f>
        <v>0</v>
      </c>
      <c r="F1120" s="1235" t="e">
        <f t="shared" si="66"/>
        <v>#REF!</v>
      </c>
      <c r="G1120" s="1240"/>
      <c r="H1120" s="1217"/>
    </row>
    <row r="1121" spans="1:8" ht="45">
      <c r="A1121" s="1233">
        <f>buildingfinal!A1120</f>
        <v>0</v>
      </c>
      <c r="B1121" s="1521" t="e">
        <f>buildingfinal!Q1120</f>
        <v>#REF!</v>
      </c>
      <c r="C1121" s="1239" t="str">
        <f>buildingfinal!B1120</f>
        <v>LIGHT POINT WITH CEILING ROSE FOR ADMINISTRATIVE BLOCKS AND COMMUNITY CENTRE</v>
      </c>
      <c r="D1121" s="1235">
        <f>buildingfinal!C1120</f>
        <v>2640</v>
      </c>
      <c r="E1121" s="1235">
        <f>buildingfinal!D1120</f>
        <v>0</v>
      </c>
      <c r="F1121" s="1235" t="e">
        <f t="shared" si="66"/>
        <v>#REF!</v>
      </c>
      <c r="G1121" s="1240"/>
      <c r="H1121" s="1217"/>
    </row>
    <row r="1122" spans="1:8" ht="45">
      <c r="A1122" s="1233">
        <f>buildingfinal!A1121</f>
        <v>0</v>
      </c>
      <c r="B1122" s="1521" t="e">
        <f>buildingfinal!Q1121</f>
        <v>#REF!</v>
      </c>
      <c r="C1122" s="1239" t="str">
        <f>buildingfinal!B1121</f>
        <v>LIGHT POINT WITH BAKELITE BATTERN TYPE HOLDER FOR ADMINISTRATIVE BLOCKS AND COMMUNITY CENTRE</v>
      </c>
      <c r="D1122" s="1235">
        <f>buildingfinal!C1121</f>
        <v>2640</v>
      </c>
      <c r="E1122" s="1235">
        <f>buildingfinal!D1121</f>
        <v>0</v>
      </c>
      <c r="F1122" s="1235" t="e">
        <f t="shared" si="66"/>
        <v>#REF!</v>
      </c>
      <c r="G1122" s="1240"/>
      <c r="H1122" s="1217"/>
    </row>
    <row r="1123" spans="1:8" ht="30">
      <c r="A1123" s="1233">
        <f>buildingfinal!A1122</f>
        <v>0</v>
      </c>
      <c r="B1123" s="1521" t="e">
        <f>buildingfinal!Q1122</f>
        <v>#REF!</v>
      </c>
      <c r="C1123" s="1239" t="str">
        <f>buildingfinal!B1122</f>
        <v>FAN POINT FOR ADMINISTRATIVE BLOCKS AND COMMUNITY CENTRE</v>
      </c>
      <c r="D1123" s="1235">
        <f>buildingfinal!C1122</f>
        <v>2712</v>
      </c>
      <c r="E1123" s="1235">
        <f>buildingfinal!D1122</f>
        <v>0</v>
      </c>
      <c r="F1123" s="1235" t="e">
        <f t="shared" si="66"/>
        <v>#REF!</v>
      </c>
      <c r="G1123" s="1240"/>
      <c r="H1123" s="1217"/>
    </row>
    <row r="1124" spans="1:8" ht="30">
      <c r="A1124" s="1233">
        <f>buildingfinal!A1123</f>
        <v>0</v>
      </c>
      <c r="B1124" s="1521" t="e">
        <f>buildingfinal!Q1123</f>
        <v>#REF!</v>
      </c>
      <c r="C1124" s="1239" t="str">
        <f>buildingfinal!B1123</f>
        <v>STAIRCASE LIGHT POINT FOR ADMINISTRATIVE BLOCKS AND COMMUNITY CENTRE</v>
      </c>
      <c r="D1124" s="1235">
        <f>buildingfinal!C1123</f>
        <v>4960</v>
      </c>
      <c r="E1124" s="1235">
        <f>buildingfinal!D1123</f>
        <v>0</v>
      </c>
      <c r="F1124" s="1235" t="e">
        <f t="shared" si="66"/>
        <v>#REF!</v>
      </c>
      <c r="G1124" s="1240">
        <f>buildingfinal!R1075</f>
        <v>52807992.780000001</v>
      </c>
      <c r="H1124" s="1217"/>
    </row>
    <row r="1125" spans="1:8">
      <c r="A1125" s="1233">
        <f>buildingfinal!A1124</f>
        <v>0</v>
      </c>
      <c r="B1125" s="1521" t="e">
        <f>buildingfinal!Q1124</f>
        <v>#REF!</v>
      </c>
      <c r="C1125" s="1239" t="str">
        <f>buildingfinal!B1124</f>
        <v>2 X 2.5 Sq mm in fully concealed PVC conduit</v>
      </c>
      <c r="D1125" s="1235">
        <f>buildingfinal!C1124</f>
        <v>226</v>
      </c>
      <c r="E1125" s="1235">
        <f>buildingfinal!D1124</f>
        <v>0</v>
      </c>
      <c r="F1125" s="1235" t="e">
        <f t="shared" si="66"/>
        <v>#REF!</v>
      </c>
      <c r="G1125" s="1240"/>
      <c r="H1125" s="1217"/>
    </row>
    <row r="1126" spans="1:8">
      <c r="A1126" s="1233">
        <f>buildingfinal!A1125</f>
        <v>0</v>
      </c>
      <c r="B1126" s="1521" t="e">
        <f>buildingfinal!Q1125</f>
        <v>#REF!</v>
      </c>
      <c r="C1126" s="1239" t="str">
        <f>buildingfinal!B1125</f>
        <v>2 X 4 Sq mm in fully concealed PVC conduit</v>
      </c>
      <c r="D1126" s="1235">
        <f>buildingfinal!C1125</f>
        <v>266</v>
      </c>
      <c r="E1126" s="1235">
        <f>buildingfinal!D1125</f>
        <v>0</v>
      </c>
      <c r="F1126" s="1235" t="e">
        <f t="shared" si="66"/>
        <v>#REF!</v>
      </c>
      <c r="G1126" s="1240"/>
      <c r="H1126" s="1217"/>
    </row>
    <row r="1127" spans="1:8">
      <c r="A1127" s="1233">
        <f>buildingfinal!A1126</f>
        <v>0</v>
      </c>
      <c r="B1127" s="1521" t="e">
        <f>buildingfinal!Q1126</f>
        <v>#REF!</v>
      </c>
      <c r="C1127" s="1239" t="str">
        <f>buildingfinal!B1126</f>
        <v>4 X 4 Sq mm in fully concealed PVC conduit</v>
      </c>
      <c r="D1127" s="1235">
        <f>buildingfinal!C1126</f>
        <v>398</v>
      </c>
      <c r="E1127" s="1235">
        <f>buildingfinal!D1126</f>
        <v>0</v>
      </c>
      <c r="F1127" s="1235" t="e">
        <f t="shared" si="66"/>
        <v>#REF!</v>
      </c>
      <c r="G1127" s="1240"/>
      <c r="H1127" s="1217"/>
    </row>
    <row r="1128" spans="1:8" ht="60">
      <c r="A1128" s="1233">
        <f>buildingfinal!A1127</f>
        <v>0</v>
      </c>
      <c r="B1128" s="1521" t="e">
        <f>buildingfinal!Q1127</f>
        <v>#REF!</v>
      </c>
      <c r="C1128" s="1239" t="str">
        <f>buildingfinal!B1127</f>
        <v>32 AMPS DOUBLE POLE MAIN SWITCH ON TEAK WOOD BOARD TOP MES SERVICE CONNECTION / MOTOR PUMP( SINGLE PHASE ) SET</v>
      </c>
      <c r="D1128" s="1235">
        <f>buildingfinal!C1127</f>
        <v>1345.6</v>
      </c>
      <c r="E1128" s="1235">
        <f>buildingfinal!D1127</f>
        <v>0</v>
      </c>
      <c r="F1128" s="1235" t="e">
        <f t="shared" si="66"/>
        <v>#REF!</v>
      </c>
      <c r="G1128" s="1240"/>
      <c r="H1128" s="1217"/>
    </row>
    <row r="1129" spans="1:8" ht="60">
      <c r="A1129" s="1233">
        <f>buildingfinal!A1128</f>
        <v>0</v>
      </c>
      <c r="B1129" s="1521" t="e">
        <f>buildingfinal!Q1128</f>
        <v>#REF!</v>
      </c>
      <c r="C1129" s="1239" t="str">
        <f>buildingfinal!B1128</f>
        <v>Supply and fixing 4 way 250 volt single phase with neutral link metalic distribution board on suitable Teak wood board etc., all complete including connections.</v>
      </c>
      <c r="D1129" s="1235">
        <f>buildingfinal!C1128</f>
        <v>1035.5999999999999</v>
      </c>
      <c r="E1129" s="1235">
        <f>buildingfinal!D1128</f>
        <v>0</v>
      </c>
      <c r="F1129" s="1235" t="e">
        <f t="shared" si="66"/>
        <v>#REF!</v>
      </c>
      <c r="G1129" s="1240"/>
      <c r="H1129" s="1217"/>
    </row>
    <row r="1130" spans="1:8" ht="45">
      <c r="A1130" s="1233">
        <f>buildingfinal!A1129</f>
        <v>0</v>
      </c>
      <c r="B1130" s="1521" t="e">
        <f>buildingfinal!Q1129</f>
        <v>#REF!</v>
      </c>
      <c r="C1130" s="1239" t="str">
        <f>buildingfinal!B1129</f>
        <v>16 AMPS TPIC ON TEAK WOOD BOARD FOR 3 PHASE MES SERVICE CONNECTION AND 3 PHASE MOTOR PUMPSETS</v>
      </c>
      <c r="D1130" s="1235">
        <f>buildingfinal!C1129</f>
        <v>1732.6</v>
      </c>
      <c r="E1130" s="1235">
        <f>buildingfinal!D1129</f>
        <v>0</v>
      </c>
      <c r="F1130" s="1235" t="e">
        <f t="shared" si="66"/>
        <v>#REF!</v>
      </c>
      <c r="G1130" s="1240"/>
      <c r="H1130" s="1217"/>
    </row>
    <row r="1131" spans="1:8" ht="45">
      <c r="A1131" s="1233">
        <f>buildingfinal!A1130</f>
        <v>0</v>
      </c>
      <c r="B1131" s="1521" t="e">
        <f>buildingfinal!Q1130</f>
        <v>#REF!</v>
      </c>
      <c r="C1131" s="1239" t="str">
        <f>buildingfinal!B1130</f>
        <v>Supplying and fixing of 32 amps triple pole main switch with fuse and neutral link on a suitable well varnished teak wood board</v>
      </c>
      <c r="D1131" s="1235">
        <f>buildingfinal!C1130</f>
        <v>2159</v>
      </c>
      <c r="E1131" s="1235">
        <f>buildingfinal!D1130</f>
        <v>0</v>
      </c>
      <c r="F1131" s="1235" t="e">
        <f t="shared" si="66"/>
        <v>#REF!</v>
      </c>
      <c r="G1131" s="1240"/>
      <c r="H1131" s="1217"/>
    </row>
    <row r="1132" spans="1:8" ht="75">
      <c r="A1132" s="1233">
        <f>buildingfinal!A1131</f>
        <v>0</v>
      </c>
      <c r="B1132" s="1521" t="e">
        <f>buildingfinal!Q1131</f>
        <v>#REF!</v>
      </c>
      <c r="C1132" s="1239" t="str">
        <f>buildingfinal!B1131</f>
        <v>THREE PHASE DISTRIBUTION BOARD WITH 6 WAY PHASE AND 30 AMPS / WAY WITH FUSE AND NEUTRAL LINK ON SUITABLE TW PLANK TOP MES CONNECTION BOARD (FOR 12 IN 1 BLOCKS)</v>
      </c>
      <c r="D1132" s="1235">
        <f>buildingfinal!C1131</f>
        <v>4212</v>
      </c>
      <c r="E1132" s="1235">
        <f>buildingfinal!D1131</f>
        <v>0</v>
      </c>
      <c r="F1132" s="1235" t="e">
        <f t="shared" si="66"/>
        <v>#REF!</v>
      </c>
      <c r="G1132" s="1240"/>
      <c r="H1132" s="1217"/>
    </row>
    <row r="1133" spans="1:8" ht="60">
      <c r="A1133" s="1233">
        <f>buildingfinal!A1132</f>
        <v>0</v>
      </c>
      <c r="B1133" s="1521" t="e">
        <f>buildingfinal!Q1132</f>
        <v>#REF!</v>
      </c>
      <c r="C1133" s="1239" t="str">
        <f>buildingfinal!B1132</f>
        <v>THREE PHASE DISTRIBUTION BOARD WITH 4 WAY PHASE AND 3 AMPS/WAY FUSE AND NEUTRAL LINK FOR MES SERVICE CONNECTION ( 6 IN 1  BLOCKS )</v>
      </c>
      <c r="D1133" s="1235">
        <f>buildingfinal!C1132</f>
        <v>3430</v>
      </c>
      <c r="E1133" s="1235">
        <f>buildingfinal!D1132</f>
        <v>0</v>
      </c>
      <c r="F1133" s="1235" t="e">
        <f t="shared" si="66"/>
        <v>#REF!</v>
      </c>
      <c r="G1133" s="1240"/>
      <c r="H1133" s="1217"/>
    </row>
    <row r="1134" spans="1:8" ht="30">
      <c r="A1134" s="1233">
        <f>buildingfinal!A1133</f>
        <v>0</v>
      </c>
      <c r="B1134" s="1521" t="e">
        <f>buildingfinal!Q1133</f>
        <v>#REF!</v>
      </c>
      <c r="C1134" s="1239" t="str">
        <f>buildingfinal!B1133</f>
        <v>FIXING OF TUBE LIGHT FITTINGS ON WALL / CEILING</v>
      </c>
      <c r="D1134" s="1235">
        <f>buildingfinal!C1133</f>
        <v>0</v>
      </c>
      <c r="E1134" s="1235">
        <f>buildingfinal!D1133</f>
        <v>0</v>
      </c>
      <c r="F1134" s="1235" t="e">
        <f t="shared" si="66"/>
        <v>#REF!</v>
      </c>
      <c r="G1134" s="1240"/>
      <c r="H1134" s="1217"/>
    </row>
    <row r="1135" spans="1:8" ht="30">
      <c r="A1135" s="1233">
        <f>buildingfinal!A1134</f>
        <v>0</v>
      </c>
      <c r="B1135" s="1521" t="e">
        <f>buildingfinal!Q1134</f>
        <v>#REF!</v>
      </c>
      <c r="C1135" s="1239" t="str">
        <f>buildingfinal!B1134</f>
        <v>FIXING OF TUBE FITTINGS SUSPENDED FROM CEILING</v>
      </c>
      <c r="D1135" s="1235">
        <f>buildingfinal!C1134</f>
        <v>0</v>
      </c>
      <c r="E1135" s="1235">
        <f>buildingfinal!D1134</f>
        <v>0</v>
      </c>
      <c r="F1135" s="1235" t="e">
        <f t="shared" si="66"/>
        <v>#REF!</v>
      </c>
      <c r="G1135" s="1240"/>
      <c r="H1135" s="1217"/>
    </row>
    <row r="1136" spans="1:8" ht="30">
      <c r="A1136" s="1233">
        <f>buildingfinal!A1135</f>
        <v>0</v>
      </c>
      <c r="B1136" s="1521" t="e">
        <f>buildingfinal!Q1135</f>
        <v>#REF!</v>
      </c>
      <c r="C1136" s="1239" t="str">
        <f>buildingfinal!B1135</f>
        <v xml:space="preserve">( to be supplied by the department free of cost ) on suitable well varnished teak wood plank </v>
      </c>
      <c r="D1136" s="1235">
        <f>buildingfinal!C1135</f>
        <v>0</v>
      </c>
      <c r="E1136" s="1235">
        <f>buildingfinal!D1135</f>
        <v>0</v>
      </c>
      <c r="F1136" s="1235" t="e">
        <f t="shared" si="66"/>
        <v>#REF!</v>
      </c>
      <c r="G1136" s="1240"/>
      <c r="H1136" s="1217"/>
    </row>
    <row r="1137" spans="1:8" ht="30">
      <c r="A1137" s="1233">
        <f>buildingfinal!A1136</f>
        <v>0</v>
      </c>
      <c r="B1137" s="1521" t="e">
        <f>buildingfinal!Q1136</f>
        <v>#REF!</v>
      </c>
      <c r="C1137" s="1239" t="str">
        <f>buildingfinal!B1136</f>
        <v xml:space="preserve">Charges for fixing single phase RCCB/ELCB on fully concealed suitable MS BOX </v>
      </c>
      <c r="D1137" s="1235">
        <f>buildingfinal!C1136</f>
        <v>0</v>
      </c>
      <c r="E1137" s="1235">
        <f>buildingfinal!D1136</f>
        <v>0</v>
      </c>
      <c r="F1137" s="1235" t="e">
        <f t="shared" si="66"/>
        <v>#REF!</v>
      </c>
      <c r="G1137" s="1240"/>
      <c r="H1137" s="1217"/>
    </row>
    <row r="1138" spans="1:8" ht="30">
      <c r="A1138" s="1233">
        <f>buildingfinal!A1137</f>
        <v>0</v>
      </c>
      <c r="B1138" s="1521" t="e">
        <f>buildingfinal!Q1137</f>
        <v>#REF!</v>
      </c>
      <c r="C1138" s="1239" t="str">
        <f>buildingfinal!B1137</f>
        <v xml:space="preserve">Charges for fixing three phase RCCB/ ELCB  on suitable well varnished teak wood plank </v>
      </c>
      <c r="D1138" s="1235">
        <f>buildingfinal!C1137</f>
        <v>0</v>
      </c>
      <c r="E1138" s="1235">
        <f>buildingfinal!D1137</f>
        <v>0</v>
      </c>
      <c r="F1138" s="1235" t="e">
        <f t="shared" si="66"/>
        <v>#REF!</v>
      </c>
      <c r="G1138" s="1240"/>
      <c r="H1138" s="1217"/>
    </row>
    <row r="1139" spans="1:8" ht="30">
      <c r="A1139" s="1233">
        <f>buildingfinal!A1138</f>
        <v>0</v>
      </c>
      <c r="B1139" s="1521" t="e">
        <f>buildingfinal!Q1138</f>
        <v>#REF!</v>
      </c>
      <c r="C1139" s="1239" t="str">
        <f>buildingfinal!B1138</f>
        <v xml:space="preserve">Charges for fixing Three  phase RCCB/ELCB  on fully concealed suitable MS BOX </v>
      </c>
      <c r="D1139" s="1235">
        <f>buildingfinal!C1138</f>
        <v>0</v>
      </c>
      <c r="E1139" s="1235">
        <f>buildingfinal!D1138</f>
        <v>0</v>
      </c>
      <c r="F1139" s="1235" t="e">
        <f t="shared" si="66"/>
        <v>#REF!</v>
      </c>
      <c r="G1139" s="1240"/>
      <c r="H1139" s="1217"/>
    </row>
    <row r="1140" spans="1:8" ht="30">
      <c r="A1140" s="1233">
        <f>buildingfinal!A1139</f>
        <v>0</v>
      </c>
      <c r="B1140" s="1521" t="e">
        <f>buildingfinal!Q1139</f>
        <v>#REF!</v>
      </c>
      <c r="C1140" s="1239" t="str">
        <f>buildingfinal!B1139</f>
        <v>Supplying and delivery of Single phase ELCB/RCCB</v>
      </c>
      <c r="D1140" s="1235">
        <f>buildingfinal!C1139</f>
        <v>0</v>
      </c>
      <c r="E1140" s="1235">
        <f>buildingfinal!D1139</f>
        <v>0</v>
      </c>
      <c r="F1140" s="1235" t="e">
        <f t="shared" si="66"/>
        <v>#REF!</v>
      </c>
      <c r="G1140" s="1240"/>
      <c r="H1140" s="1217"/>
    </row>
    <row r="1141" spans="1:8" ht="30">
      <c r="A1141" s="1233">
        <f>buildingfinal!A1140</f>
        <v>0</v>
      </c>
      <c r="B1141" s="1521" t="e">
        <f>buildingfinal!Q1140</f>
        <v>#REF!</v>
      </c>
      <c r="C1141" s="1239" t="str">
        <f>buildingfinal!B1140</f>
        <v>Supplying and delivery of Three phase ELCB/RCCB</v>
      </c>
      <c r="D1141" s="1235">
        <f>buildingfinal!C1140</f>
        <v>0</v>
      </c>
      <c r="E1141" s="1235">
        <f>buildingfinal!D1140</f>
        <v>0</v>
      </c>
      <c r="F1141" s="1235" t="e">
        <f t="shared" si="66"/>
        <v>#REF!</v>
      </c>
      <c r="G1141" s="1240"/>
      <c r="H1141" s="1217"/>
    </row>
    <row r="1142" spans="1:8" ht="45">
      <c r="A1142" s="1233">
        <f>buildingfinal!A1141</f>
        <v>0</v>
      </c>
      <c r="B1142" s="1521" t="e">
        <f>buildingfinal!Q1141</f>
        <v>#REF!</v>
      </c>
      <c r="C1142" s="1239" t="str">
        <f>buildingfinal!B1141</f>
        <v>2 x 4 Sqmm Copper PVC insulated unsheathed single core 1 KV grade cable for EB service single phase.</v>
      </c>
      <c r="D1142" s="1235">
        <f>buildingfinal!C1141</f>
        <v>0</v>
      </c>
      <c r="E1142" s="1235">
        <f>buildingfinal!D1141</f>
        <v>0</v>
      </c>
      <c r="F1142" s="1235" t="e">
        <f t="shared" si="66"/>
        <v>#REF!</v>
      </c>
      <c r="G1142" s="1240"/>
      <c r="H1142" s="1217"/>
    </row>
    <row r="1143" spans="1:8" ht="30">
      <c r="A1143" s="1233">
        <f>buildingfinal!A1142</f>
        <v>0</v>
      </c>
      <c r="B1143" s="1521" t="e">
        <f>buildingfinal!Q1142</f>
        <v>#REF!</v>
      </c>
      <c r="C1143" s="1239" t="str">
        <f>buildingfinal!B1142</f>
        <v>4 x 4  Sq mm copper PVC insulated unsheathed single core cable for 3 phase EB service connection</v>
      </c>
      <c r="D1143" s="1235">
        <f>buildingfinal!C1142</f>
        <v>0</v>
      </c>
      <c r="E1143" s="1235">
        <f>buildingfinal!D1142</f>
        <v>0</v>
      </c>
      <c r="F1143" s="1235" t="e">
        <f t="shared" si="66"/>
        <v>#REF!</v>
      </c>
      <c r="G1143" s="1240"/>
      <c r="H1143" s="1217"/>
    </row>
    <row r="1144" spans="1:8">
      <c r="A1144" s="1233">
        <f>buildingfinal!A1143</f>
        <v>0</v>
      </c>
      <c r="B1144" s="1521" t="e">
        <f>buildingfinal!Q1143</f>
        <v>#REF!</v>
      </c>
      <c r="C1144" s="1239" t="str">
        <f>buildingfinal!B1143</f>
        <v xml:space="preserve">Supply of 40 mm dia GI pipe "B"class </v>
      </c>
      <c r="D1144" s="1235">
        <f>buildingfinal!C1143</f>
        <v>165</v>
      </c>
      <c r="E1144" s="1235">
        <f>buildingfinal!D1143</f>
        <v>0</v>
      </c>
      <c r="F1144" s="1235" t="e">
        <f t="shared" si="66"/>
        <v>#REF!</v>
      </c>
      <c r="G1144" s="1240"/>
      <c r="H1144" s="1217"/>
    </row>
    <row r="1145" spans="1:8">
      <c r="A1145" s="1233">
        <f>buildingfinal!A1144</f>
        <v>0</v>
      </c>
      <c r="B1145" s="1521" t="e">
        <f>buildingfinal!Q1144</f>
        <v>#REF!</v>
      </c>
      <c r="C1145" s="1239" t="str">
        <f>buildingfinal!B1144</f>
        <v>Laying of U.G. Cable below Ground Level</v>
      </c>
      <c r="D1145" s="1235">
        <f>buildingfinal!C1144</f>
        <v>0</v>
      </c>
      <c r="E1145" s="1235">
        <f>buildingfinal!D1144</f>
        <v>0</v>
      </c>
      <c r="F1145" s="1235" t="e">
        <f t="shared" si="66"/>
        <v>#REF!</v>
      </c>
      <c r="G1145" s="1240"/>
      <c r="H1145" s="1217"/>
    </row>
    <row r="1146" spans="1:8">
      <c r="A1146" s="1233">
        <f>buildingfinal!A1145</f>
        <v>0</v>
      </c>
      <c r="B1146" s="1521" t="e">
        <f>buildingfinal!Q1145</f>
        <v>#REF!</v>
      </c>
      <c r="C1146" s="1239" t="str">
        <f>buildingfinal!B1145</f>
        <v>Fixing of UG cables on Walls / Ceiling</v>
      </c>
      <c r="D1146" s="1235">
        <f>buildingfinal!C1145</f>
        <v>0</v>
      </c>
      <c r="E1146" s="1235">
        <f>buildingfinal!D1145</f>
        <v>0</v>
      </c>
      <c r="F1146" s="1235" t="e">
        <f t="shared" si="66"/>
        <v>#REF!</v>
      </c>
      <c r="G1146" s="1240"/>
      <c r="H1146" s="1217"/>
    </row>
    <row r="1147" spans="1:8">
      <c r="A1147" s="1233">
        <f>buildingfinal!A1146</f>
        <v>0</v>
      </c>
      <c r="B1147" s="1521" t="e">
        <f>buildingfinal!Q1146</f>
        <v>#REF!</v>
      </c>
      <c r="C1147" s="1239" t="str">
        <f>buildingfinal!B1146</f>
        <v>Fixing of Tube light street light fitting</v>
      </c>
      <c r="D1147" s="1235">
        <f>buildingfinal!C1146</f>
        <v>0</v>
      </c>
      <c r="E1147" s="1235">
        <f>buildingfinal!D1146</f>
        <v>0</v>
      </c>
      <c r="F1147" s="1235" t="e">
        <f t="shared" si="66"/>
        <v>#REF!</v>
      </c>
      <c r="G1147" s="1240"/>
      <c r="H1147" s="1217"/>
    </row>
    <row r="1148" spans="1:8" ht="75">
      <c r="A1148" s="1233">
        <f>buildingfinal!A1147</f>
        <v>0</v>
      </c>
      <c r="B1148" s="1521" t="e">
        <f>buildingfinal!Q1147</f>
        <v>#REF!</v>
      </c>
      <c r="C1148" s="1239" t="str">
        <f>buildingfinal!B1147</f>
        <v>Charges for fixing Mercury, Sodium Vapour lamp street light fittings ( all types ) in the existing pole with required GI pipes 'B' class and accessories ( Street light fittings alone will be supplied departmentally at free of cost ).</v>
      </c>
      <c r="D1148" s="1235">
        <f>buildingfinal!C1147</f>
        <v>0</v>
      </c>
      <c r="E1148" s="1235">
        <f>buildingfinal!D1147</f>
        <v>0</v>
      </c>
      <c r="F1148" s="1235" t="e">
        <f t="shared" si="66"/>
        <v>#REF!</v>
      </c>
      <c r="G1148" s="1240"/>
      <c r="H1148" s="1217"/>
    </row>
    <row r="1149" spans="1:8" ht="30">
      <c r="A1149" s="1233">
        <f>buildingfinal!A1148</f>
        <v>0</v>
      </c>
      <c r="B1149" s="1521" t="e">
        <f>buildingfinal!Q1148</f>
        <v>#REF!</v>
      </c>
      <c r="C1149" s="1239" t="str">
        <f>buildingfinal!B1148</f>
        <v>S &amp; F TNEB Meter Board made up of MS box 600 x 225 mm with door and lock and key arrangements</v>
      </c>
      <c r="D1149" s="1235">
        <f>buildingfinal!C1148</f>
        <v>281.56</v>
      </c>
      <c r="E1149" s="1235">
        <f>buildingfinal!D1148</f>
        <v>0</v>
      </c>
      <c r="F1149" s="1235" t="e">
        <f t="shared" si="66"/>
        <v>#REF!</v>
      </c>
      <c r="G1149" s="1240"/>
      <c r="H1149" s="1217"/>
    </row>
    <row r="1150" spans="1:8" ht="30" hidden="1">
      <c r="A1150" s="1233">
        <f>buildingfinal!A1149</f>
        <v>0</v>
      </c>
      <c r="B1150" s="1521">
        <f>buildingfinal!Q1149</f>
        <v>0</v>
      </c>
      <c r="C1150" s="1239" t="str">
        <f>buildingfinal!B1149</f>
        <v>25 mm dia PVC pipe Heavy duty with ISI mark for TV/ Telephone line</v>
      </c>
      <c r="D1150" s="1235">
        <f>buildingfinal!C1149</f>
        <v>96.54</v>
      </c>
      <c r="E1150" s="1235">
        <f>buildingfinal!D1149</f>
        <v>0</v>
      </c>
      <c r="F1150" s="1235">
        <f t="shared" si="66"/>
        <v>0</v>
      </c>
      <c r="G1150" s="1240"/>
      <c r="H1150" s="1217"/>
    </row>
    <row r="1151" spans="1:8" hidden="1">
      <c r="A1151" s="1233">
        <f>buildingfinal!A1150</f>
        <v>0</v>
      </c>
      <c r="B1151" s="1521">
        <f>buildingfinal!Q1150</f>
        <v>0</v>
      </c>
      <c r="C1151" s="1239" t="str">
        <f>buildingfinal!B1150</f>
        <v xml:space="preserve">TV/Telephone line junction </v>
      </c>
      <c r="D1151" s="1235">
        <f>buildingfinal!C1150</f>
        <v>54.47</v>
      </c>
      <c r="E1151" s="1235">
        <f>buildingfinal!D1150</f>
        <v>0</v>
      </c>
      <c r="F1151" s="1235">
        <f t="shared" si="66"/>
        <v>0</v>
      </c>
      <c r="G1151" s="1240">
        <f>[5]building!Y1175</f>
        <v>28992907.280000001</v>
      </c>
      <c r="H1151" s="1217"/>
    </row>
    <row r="1152" spans="1:8" ht="45" hidden="1">
      <c r="A1152" s="1233">
        <f>buildingfinal!A1151</f>
        <v>0</v>
      </c>
      <c r="B1152" s="1521">
        <f>buildingfinal!Q1151</f>
        <v>0</v>
      </c>
      <c r="C1152" s="1239" t="str">
        <f>buildingfinal!B1151</f>
        <v xml:space="preserve">Supply and erection of Tubular lamp, using 65 mm dia GI pipe 'B' class pipe with ISI mark of 6 mt length and 20 mm dia GI pipe 'B' class upto 2 mt with. </v>
      </c>
      <c r="D1152" s="1235">
        <f>buildingfinal!C1151</f>
        <v>7178</v>
      </c>
      <c r="E1152" s="1235">
        <f>buildingfinal!D1151</f>
        <v>0</v>
      </c>
      <c r="F1152" s="1235">
        <f t="shared" si="66"/>
        <v>0</v>
      </c>
      <c r="G1152" s="1240"/>
      <c r="H1152" s="1217"/>
    </row>
    <row r="1153" spans="1:8" hidden="1">
      <c r="A1153" s="1233">
        <f>buildingfinal!A1152</f>
        <v>0</v>
      </c>
      <c r="B1153" s="1521">
        <f>buildingfinal!Q1152</f>
        <v>0</v>
      </c>
      <c r="C1153" s="1239" t="str">
        <f>buildingfinal!B1152</f>
        <v>Tube light -  Box type</v>
      </c>
      <c r="D1153" s="1235">
        <f>buildingfinal!C1152</f>
        <v>609.29999999999995</v>
      </c>
      <c r="E1153" s="1235">
        <f>buildingfinal!D1152</f>
        <v>0</v>
      </c>
      <c r="F1153" s="1235">
        <f t="shared" si="66"/>
        <v>0</v>
      </c>
      <c r="G1153" s="1240"/>
      <c r="H1153" s="1217"/>
    </row>
    <row r="1154" spans="1:8" ht="30" hidden="1">
      <c r="A1154" s="1233">
        <f>buildingfinal!A1153</f>
        <v>0</v>
      </c>
      <c r="B1154" s="1521">
        <f>buildingfinal!Q1153</f>
        <v>0</v>
      </c>
      <c r="C1154" s="1239" t="str">
        <f>buildingfinal!B1153</f>
        <v>Open wiring for Light point with ceiling rose for flats/ houses</v>
      </c>
      <c r="D1154" s="1235">
        <f>buildingfinal!C1153</f>
        <v>895</v>
      </c>
      <c r="E1154" s="1235">
        <f>buildingfinal!D1153</f>
        <v>0</v>
      </c>
      <c r="F1154" s="1235">
        <f t="shared" si="66"/>
        <v>0</v>
      </c>
      <c r="G1154" s="1240"/>
      <c r="H1154" s="1217"/>
    </row>
    <row r="1155" spans="1:8" ht="30" hidden="1">
      <c r="A1155" s="1233">
        <f>buildingfinal!A1154</f>
        <v>0</v>
      </c>
      <c r="B1155" s="1521">
        <f>buildingfinal!Q1154</f>
        <v>0</v>
      </c>
      <c r="C1155" s="1239" t="str">
        <f>buildingfinal!B1154</f>
        <v>Open wiring Light point with bakelite batern type holder for flats/ houses(Open wiring)</v>
      </c>
      <c r="D1155" s="1235">
        <f>buildingfinal!C1154</f>
        <v>897</v>
      </c>
      <c r="E1155" s="1235">
        <f>buildingfinal!D1154</f>
        <v>0</v>
      </c>
      <c r="F1155" s="1235">
        <f t="shared" si="66"/>
        <v>0</v>
      </c>
      <c r="G1155" s="1240"/>
      <c r="H1155" s="1217"/>
    </row>
    <row r="1156" spans="1:8" ht="45" hidden="1">
      <c r="A1156" s="1233">
        <f>buildingfinal!A1155</f>
        <v>0</v>
      </c>
      <c r="B1156" s="1521">
        <f>buildingfinal!Q1155</f>
        <v>0</v>
      </c>
      <c r="C1156" s="1239" t="str">
        <f>buildingfinal!B1155</f>
        <v>Open wiring POINT WIRING FOR CALLING BELL / BUZZER WITH PUSH SWITCH FOR ALL TYPE OF BUILDING (OPEN WIRING)</v>
      </c>
      <c r="D1156" s="1235">
        <f>buildingfinal!C1155</f>
        <v>935</v>
      </c>
      <c r="E1156" s="1235">
        <f>buildingfinal!D1155</f>
        <v>0</v>
      </c>
      <c r="F1156" s="1235">
        <f t="shared" si="66"/>
        <v>0</v>
      </c>
      <c r="G1156" s="1240"/>
      <c r="H1156" s="1217"/>
    </row>
    <row r="1157" spans="1:8" ht="30" hidden="1">
      <c r="A1157" s="1233">
        <f>buildingfinal!A1156</f>
        <v>0</v>
      </c>
      <c r="B1157" s="1521">
        <f>buildingfinal!Q1156</f>
        <v>0</v>
      </c>
      <c r="C1157" s="1239" t="str">
        <f>buildingfinal!B1156</f>
        <v>Open wiring FAN POINT FOR ADMINISTRATIVE BLOCKS AND COMMUNITY CENTRE</v>
      </c>
      <c r="D1157" s="1235">
        <f>buildingfinal!C1156</f>
        <v>982</v>
      </c>
      <c r="E1157" s="1235">
        <f>buildingfinal!D1156</f>
        <v>0</v>
      </c>
      <c r="F1157" s="1235">
        <f t="shared" si="66"/>
        <v>0</v>
      </c>
      <c r="G1157" s="1240"/>
      <c r="H1157" s="1217"/>
    </row>
    <row r="1158" spans="1:8" ht="45" hidden="1">
      <c r="A1158" s="1233">
        <f>buildingfinal!A1157</f>
        <v>0</v>
      </c>
      <c r="B1158" s="1521">
        <f>buildingfinal!Q1157</f>
        <v>0</v>
      </c>
      <c r="C1158" s="1239" t="str">
        <f>buildingfinal!B1157</f>
        <v>Open wiring STAIRCASE LIGHT POINT FOR ADMINISTRATIVE BLOCKS AND COMMUNITY CENTRE (Open wiring)</v>
      </c>
      <c r="D1158" s="1235">
        <f>buildingfinal!C1157</f>
        <v>2127.5</v>
      </c>
      <c r="E1158" s="1235">
        <f>buildingfinal!D1157</f>
        <v>0</v>
      </c>
      <c r="F1158" s="1235">
        <f t="shared" si="66"/>
        <v>0</v>
      </c>
      <c r="G1158" s="1240"/>
      <c r="H1158" s="1217"/>
    </row>
    <row r="1159" spans="1:8" ht="30" hidden="1">
      <c r="A1159" s="1233">
        <f>buildingfinal!A1158</f>
        <v>0</v>
      </c>
      <c r="B1159" s="1521">
        <f>buildingfinal!Q1158</f>
        <v>0</v>
      </c>
      <c r="C1159" s="1239" t="str">
        <f>buildingfinal!B1158</f>
        <v>Open wiring 5 AMPS 5 PIN PLUG SOCKET POINT AT CONVENIENT PLACES (OPEN WIRING)</v>
      </c>
      <c r="D1159" s="1235">
        <f>buildingfinal!C1158</f>
        <v>690</v>
      </c>
      <c r="E1159" s="1235">
        <f>buildingfinal!D1158</f>
        <v>0</v>
      </c>
      <c r="F1159" s="1235">
        <f t="shared" si="66"/>
        <v>0</v>
      </c>
      <c r="G1159" s="1240"/>
      <c r="H1159" s="1217"/>
    </row>
    <row r="1160" spans="1:8" ht="30" hidden="1">
      <c r="A1160" s="1233">
        <f>buildingfinal!A1159</f>
        <v>0</v>
      </c>
      <c r="B1160" s="1521">
        <f>buildingfinal!Q1159</f>
        <v>0</v>
      </c>
      <c r="C1160" s="1239" t="str">
        <f>buildingfinal!B1159</f>
        <v>Open wiring 2 X1.5 Sqmm in fully concealed PVC conduit</v>
      </c>
      <c r="D1160" s="1235">
        <f>buildingfinal!C1159</f>
        <v>128.19999999999999</v>
      </c>
      <c r="E1160" s="1235">
        <f>buildingfinal!D1159</f>
        <v>0</v>
      </c>
      <c r="F1160" s="1235">
        <f t="shared" ref="F1160:F1223" si="67">D1160*B1160</f>
        <v>0</v>
      </c>
      <c r="G1160" s="1240"/>
      <c r="H1160" s="1217"/>
    </row>
    <row r="1161" spans="1:8" ht="30" hidden="1">
      <c r="A1161" s="1233">
        <f>buildingfinal!A1160</f>
        <v>0</v>
      </c>
      <c r="B1161" s="1521">
        <f>buildingfinal!Q1160</f>
        <v>0</v>
      </c>
      <c r="C1161" s="1239" t="str">
        <f>buildingfinal!B1160</f>
        <v xml:space="preserve"> Open wiring 2 X 2.5 Sq mm in fully concealed PVC conduit (open wiring)</v>
      </c>
      <c r="D1161" s="1235">
        <f>buildingfinal!C1160</f>
        <v>146.6</v>
      </c>
      <c r="E1161" s="1235">
        <f>buildingfinal!D1160</f>
        <v>0</v>
      </c>
      <c r="F1161" s="1235">
        <f t="shared" si="67"/>
        <v>0</v>
      </c>
      <c r="G1161" s="1240"/>
      <c r="H1161" s="1217"/>
    </row>
    <row r="1162" spans="1:8" hidden="1">
      <c r="A1162" s="1233">
        <f>buildingfinal!A1161</f>
        <v>0</v>
      </c>
      <c r="B1162" s="1521">
        <f>buildingfinal!Q1161</f>
        <v>0</v>
      </c>
      <c r="C1162" s="1239" t="str">
        <f>buildingfinal!B1161</f>
        <v>whitewashing one coat</v>
      </c>
      <c r="D1162" s="1235">
        <f>buildingfinal!C1161</f>
        <v>24.02</v>
      </c>
      <c r="E1162" s="1235">
        <f>buildingfinal!D1161</f>
        <v>0</v>
      </c>
      <c r="F1162" s="1235">
        <f t="shared" si="67"/>
        <v>0</v>
      </c>
      <c r="G1162" s="1240"/>
      <c r="H1162" s="1217"/>
    </row>
    <row r="1163" spans="1:8" hidden="1">
      <c r="A1163" s="1233">
        <f>buildingfinal!A1162</f>
        <v>0</v>
      </c>
      <c r="B1163" s="1521">
        <f>buildingfinal!Q1162</f>
        <v>0</v>
      </c>
      <c r="C1163" s="1239" t="str">
        <f>buildingfinal!B1162</f>
        <v>whitewashing one coat for old wall</v>
      </c>
      <c r="D1163" s="1235">
        <f>buildingfinal!C1162</f>
        <v>28.42</v>
      </c>
      <c r="E1163" s="1235">
        <f>buildingfinal!D1162</f>
        <v>0</v>
      </c>
      <c r="F1163" s="1235">
        <f t="shared" si="67"/>
        <v>0</v>
      </c>
      <c r="G1163" s="1240"/>
      <c r="H1163" s="1217"/>
    </row>
    <row r="1164" spans="1:8" hidden="1">
      <c r="A1164" s="1233">
        <f>buildingfinal!A1163</f>
        <v>0</v>
      </c>
      <c r="B1164" s="1521">
        <f>buildingfinal!Q1163</f>
        <v>0</v>
      </c>
      <c r="C1164" s="1239" t="str">
        <f>buildingfinal!B1163</f>
        <v>whitewashing two coat for old wall</v>
      </c>
      <c r="D1164" s="1235">
        <f>buildingfinal!C1163</f>
        <v>34.979999999999997</v>
      </c>
      <c r="E1164" s="1235">
        <f>buildingfinal!D1163</f>
        <v>0</v>
      </c>
      <c r="F1164" s="1235">
        <f t="shared" si="67"/>
        <v>0</v>
      </c>
      <c r="G1164" s="1240"/>
      <c r="H1164" s="1217"/>
    </row>
    <row r="1165" spans="1:8" hidden="1">
      <c r="A1165" s="1233">
        <f>buildingfinal!A1164</f>
        <v>0</v>
      </c>
      <c r="B1165" s="1521">
        <f>buildingfinal!Q1164</f>
        <v>0</v>
      </c>
      <c r="C1165" s="1239" t="str">
        <f>buildingfinal!B1164</f>
        <v>Thorough scrapping the old wall</v>
      </c>
      <c r="D1165" s="1235">
        <f>buildingfinal!C1164</f>
        <v>4.4000000000000004</v>
      </c>
      <c r="E1165" s="1235">
        <f>buildingfinal!D1164</f>
        <v>0</v>
      </c>
      <c r="F1165" s="1235">
        <f t="shared" si="67"/>
        <v>0</v>
      </c>
      <c r="G1165" s="1240"/>
      <c r="H1165" s="1217"/>
    </row>
    <row r="1166" spans="1:8" hidden="1">
      <c r="A1166" s="1233">
        <f>buildingfinal!A1165</f>
        <v>0</v>
      </c>
      <c r="B1166" s="1521">
        <f>buildingfinal!Q1165</f>
        <v>0</v>
      </c>
      <c r="C1166" s="1239" t="str">
        <f>buildingfinal!B1165</f>
        <v>Thorough scrapping the old iron work</v>
      </c>
      <c r="D1166" s="1235">
        <f>buildingfinal!C1165</f>
        <v>9.52</v>
      </c>
      <c r="E1166" s="1235">
        <f>buildingfinal!D1165</f>
        <v>0</v>
      </c>
      <c r="F1166" s="1235">
        <f t="shared" si="67"/>
        <v>0</v>
      </c>
      <c r="G1166" s="1240"/>
      <c r="H1166" s="1217"/>
    </row>
    <row r="1167" spans="1:8" hidden="1">
      <c r="A1167" s="1233">
        <f>buildingfinal!A1166</f>
        <v>0</v>
      </c>
      <c r="B1167" s="1521">
        <f>buildingfinal!Q1166</f>
        <v>0</v>
      </c>
      <c r="C1167" s="1239" t="str">
        <f>buildingfinal!B1166</f>
        <v>Thorough scrapping the old wood work</v>
      </c>
      <c r="D1167" s="1235">
        <f>buildingfinal!C1166</f>
        <v>10.29</v>
      </c>
      <c r="E1167" s="1235">
        <f>buildingfinal!D1166</f>
        <v>0</v>
      </c>
      <c r="F1167" s="1235">
        <f t="shared" si="67"/>
        <v>0</v>
      </c>
      <c r="G1167" s="1240"/>
      <c r="H1167" s="1217"/>
    </row>
    <row r="1168" spans="1:8" hidden="1">
      <c r="A1168" s="1233">
        <f>buildingfinal!A1167</f>
        <v>0</v>
      </c>
      <c r="B1168" s="1521">
        <f>buildingfinal!Q1167</f>
        <v>0</v>
      </c>
      <c r="C1168" s="1239" t="str">
        <f>buildingfinal!B1167</f>
        <v>Cement paint one coat for old wall</v>
      </c>
      <c r="D1168" s="1235">
        <f>buildingfinal!C1167</f>
        <v>73.63</v>
      </c>
      <c r="E1168" s="1235">
        <f>buildingfinal!D1167</f>
        <v>0</v>
      </c>
      <c r="F1168" s="1235">
        <f t="shared" si="67"/>
        <v>0</v>
      </c>
      <c r="G1168" s="1240"/>
      <c r="H1168" s="1217"/>
    </row>
    <row r="1169" spans="1:8" hidden="1">
      <c r="A1169" s="1233">
        <f>buildingfinal!A1168</f>
        <v>0</v>
      </c>
      <c r="B1169" s="1521">
        <f>buildingfinal!Q1168</f>
        <v>0</v>
      </c>
      <c r="C1169" s="1239" t="str">
        <f>buildingfinal!B1168</f>
        <v>Cement paint two coat for old wall</v>
      </c>
      <c r="D1169" s="1235">
        <f>buildingfinal!C1168</f>
        <v>140.86000000000001</v>
      </c>
      <c r="E1169" s="1235">
        <f>buildingfinal!D1168</f>
        <v>0</v>
      </c>
      <c r="F1169" s="1235">
        <f t="shared" si="67"/>
        <v>0</v>
      </c>
      <c r="G1169" s="1240"/>
      <c r="H1169" s="1217"/>
    </row>
    <row r="1170" spans="1:8" hidden="1">
      <c r="A1170" s="1233">
        <f>buildingfinal!A1169</f>
        <v>0</v>
      </c>
      <c r="B1170" s="1521">
        <f>buildingfinal!Q1169</f>
        <v>0</v>
      </c>
      <c r="C1170" s="1239" t="str">
        <f>buildingfinal!B1169</f>
        <v>painting one coat for old iron work</v>
      </c>
      <c r="D1170" s="1235">
        <f>buildingfinal!C1169</f>
        <v>93.28</v>
      </c>
      <c r="E1170" s="1235">
        <f>buildingfinal!D1169</f>
        <v>0</v>
      </c>
      <c r="F1170" s="1235">
        <f t="shared" si="67"/>
        <v>0</v>
      </c>
      <c r="G1170" s="1240"/>
      <c r="H1170" s="1217"/>
    </row>
    <row r="1171" spans="1:8" hidden="1">
      <c r="A1171" s="1233">
        <f>buildingfinal!A1170</f>
        <v>0</v>
      </c>
      <c r="B1171" s="1521">
        <f>buildingfinal!Q1170</f>
        <v>0</v>
      </c>
      <c r="C1171" s="1239" t="str">
        <f>buildingfinal!B1170</f>
        <v>painting two coat for old iron work</v>
      </c>
      <c r="D1171" s="1235">
        <f>buildingfinal!C1170</f>
        <v>144.19999999999999</v>
      </c>
      <c r="E1171" s="1235">
        <f>buildingfinal!D1170</f>
        <v>0</v>
      </c>
      <c r="F1171" s="1235">
        <f t="shared" si="67"/>
        <v>0</v>
      </c>
      <c r="G1171" s="1240"/>
      <c r="H1171" s="1217"/>
    </row>
    <row r="1172" spans="1:8" hidden="1">
      <c r="A1172" s="1233">
        <f>buildingfinal!A1171</f>
        <v>0</v>
      </c>
      <c r="B1172" s="1521">
        <f>buildingfinal!Q1171</f>
        <v>0</v>
      </c>
      <c r="C1172" s="1239" t="str">
        <f>buildingfinal!B1171</f>
        <v>painting one coat for old wood work</v>
      </c>
      <c r="D1172" s="1235">
        <f>buildingfinal!C1171</f>
        <v>100.62</v>
      </c>
      <c r="E1172" s="1235">
        <f>buildingfinal!D1171</f>
        <v>0</v>
      </c>
      <c r="F1172" s="1235">
        <f t="shared" si="67"/>
        <v>0</v>
      </c>
      <c r="G1172" s="1240"/>
      <c r="H1172" s="1217"/>
    </row>
    <row r="1173" spans="1:8" hidden="1">
      <c r="A1173" s="1233">
        <f>buildingfinal!A1172</f>
        <v>0</v>
      </c>
      <c r="B1173" s="1521">
        <f>buildingfinal!Q1172</f>
        <v>0</v>
      </c>
      <c r="C1173" s="1239" t="str">
        <f>buildingfinal!B1172</f>
        <v>painting two coat for old wood work</v>
      </c>
      <c r="D1173" s="1235">
        <f>buildingfinal!C1172</f>
        <v>163.78</v>
      </c>
      <c r="E1173" s="1235">
        <f>buildingfinal!D1172</f>
        <v>0</v>
      </c>
      <c r="F1173" s="1235">
        <f t="shared" si="67"/>
        <v>0</v>
      </c>
      <c r="G1173" s="1240"/>
      <c r="H1173" s="1217"/>
    </row>
    <row r="1174" spans="1:8" hidden="1">
      <c r="A1174" s="1233">
        <f>buildingfinal!A1173</f>
        <v>0</v>
      </c>
      <c r="B1174" s="1521">
        <f>buildingfinal!Q1173</f>
        <v>0</v>
      </c>
      <c r="C1174" s="1239" t="str">
        <f>buildingfinal!B1173</f>
        <v>Matt paint one coat for old wall</v>
      </c>
      <c r="D1174" s="1235">
        <f>buildingfinal!C1173</f>
        <v>93.1</v>
      </c>
      <c r="E1174" s="1235">
        <f>buildingfinal!D1173</f>
        <v>0</v>
      </c>
      <c r="F1174" s="1235">
        <f t="shared" si="67"/>
        <v>0</v>
      </c>
      <c r="G1174" s="1240"/>
      <c r="H1174" s="1217"/>
    </row>
    <row r="1175" spans="1:8" hidden="1">
      <c r="A1175" s="1233">
        <f>buildingfinal!A1174</f>
        <v>0</v>
      </c>
      <c r="B1175" s="1521">
        <f>buildingfinal!Q1174</f>
        <v>0</v>
      </c>
      <c r="C1175" s="1239" t="str">
        <f>buildingfinal!B1174</f>
        <v>Plastic emulsion paint one coat old wall</v>
      </c>
      <c r="D1175" s="1235">
        <f>buildingfinal!C1174</f>
        <v>170.96</v>
      </c>
      <c r="E1175" s="1235">
        <f>buildingfinal!D1174</f>
        <v>0</v>
      </c>
      <c r="F1175" s="1235">
        <f t="shared" si="67"/>
        <v>0</v>
      </c>
      <c r="G1175" s="1240"/>
      <c r="H1175" s="1217"/>
    </row>
    <row r="1176" spans="1:8" hidden="1">
      <c r="A1176" s="1233">
        <f>buildingfinal!A1175</f>
        <v>0</v>
      </c>
      <c r="B1176" s="1521">
        <f>buildingfinal!Q1175</f>
        <v>0</v>
      </c>
      <c r="C1176" s="1239" t="str">
        <f>buildingfinal!B1175</f>
        <v>Plastic emulsion paint one coat old wall</v>
      </c>
      <c r="D1176" s="1235">
        <f>buildingfinal!C1175</f>
        <v>86.42</v>
      </c>
      <c r="E1176" s="1235">
        <f>buildingfinal!D1175</f>
        <v>0</v>
      </c>
      <c r="F1176" s="1235">
        <f t="shared" si="67"/>
        <v>0</v>
      </c>
      <c r="G1176" s="1240"/>
      <c r="H1176" s="1217"/>
    </row>
    <row r="1177" spans="1:8" hidden="1">
      <c r="A1177" s="1233">
        <f>buildingfinal!A1176</f>
        <v>0</v>
      </c>
      <c r="B1177" s="1521">
        <f>buildingfinal!Q1176</f>
        <v>0</v>
      </c>
      <c r="C1177" s="1239">
        <f>buildingfinal!B1176</f>
        <v>0</v>
      </c>
      <c r="D1177" s="1235">
        <f>buildingfinal!C1176</f>
        <v>0</v>
      </c>
      <c r="E1177" s="1235">
        <f>buildingfinal!D1176</f>
        <v>0</v>
      </c>
      <c r="F1177" s="1235">
        <f t="shared" si="67"/>
        <v>0</v>
      </c>
      <c r="G1177" s="1240">
        <f>[5]building!Y1175</f>
        <v>28992907.280000001</v>
      </c>
      <c r="H1177" s="1217"/>
    </row>
    <row r="1178" spans="1:8" hidden="1">
      <c r="A1178" s="1233">
        <f>buildingfinal!A1177</f>
        <v>0</v>
      </c>
      <c r="B1178" s="1521">
        <f>buildingfinal!Q1177</f>
        <v>0</v>
      </c>
      <c r="C1178" s="1239">
        <f>buildingfinal!B1177</f>
        <v>0</v>
      </c>
      <c r="D1178" s="1235">
        <f>buildingfinal!C1177</f>
        <v>0</v>
      </c>
      <c r="E1178" s="1235">
        <f>buildingfinal!D1177</f>
        <v>0</v>
      </c>
      <c r="F1178" s="1235">
        <f t="shared" si="67"/>
        <v>0</v>
      </c>
      <c r="G1178" s="1240"/>
      <c r="H1178" s="1217"/>
    </row>
    <row r="1179" spans="1:8" hidden="1">
      <c r="A1179" s="1233">
        <f>buildingfinal!A1178</f>
        <v>0</v>
      </c>
      <c r="B1179" s="1521">
        <f>buildingfinal!Q1178</f>
        <v>0</v>
      </c>
      <c r="C1179" s="1239" t="str">
        <f>buildingfinal!B1178</f>
        <v xml:space="preserve">Removing &amp; refixing of door </v>
      </c>
      <c r="D1179" s="1235">
        <f>buildingfinal!C1178</f>
        <v>0</v>
      </c>
      <c r="E1179" s="1235">
        <f>buildingfinal!D1178</f>
        <v>0</v>
      </c>
      <c r="F1179" s="1235">
        <f t="shared" si="67"/>
        <v>0</v>
      </c>
      <c r="G1179" s="1240"/>
      <c r="H1179" s="1217"/>
    </row>
    <row r="1180" spans="1:8" hidden="1">
      <c r="A1180" s="1233">
        <f>buildingfinal!A1179</f>
        <v>0</v>
      </c>
      <c r="B1180" s="1521">
        <f>buildingfinal!Q1179</f>
        <v>0</v>
      </c>
      <c r="C1180" s="1239">
        <f>buildingfinal!B1179</f>
        <v>0</v>
      </c>
      <c r="D1180" s="1235">
        <f>buildingfinal!C1179</f>
        <v>0</v>
      </c>
      <c r="E1180" s="1235">
        <f>buildingfinal!D1179</f>
        <v>0</v>
      </c>
      <c r="F1180" s="1235">
        <f t="shared" si="67"/>
        <v>0</v>
      </c>
      <c r="G1180" s="1240"/>
      <c r="H1180" s="1217"/>
    </row>
    <row r="1181" spans="1:8" hidden="1">
      <c r="A1181" s="1233">
        <f>buildingfinal!A1180</f>
        <v>0</v>
      </c>
      <c r="B1181" s="1521">
        <f>buildingfinal!Q1180</f>
        <v>0</v>
      </c>
      <c r="C1181" s="1239">
        <f>buildingfinal!B1180</f>
        <v>0</v>
      </c>
      <c r="D1181" s="1235">
        <f>buildingfinal!C1180</f>
        <v>0</v>
      </c>
      <c r="E1181" s="1235">
        <f>buildingfinal!D1180</f>
        <v>0</v>
      </c>
      <c r="F1181" s="1235">
        <f t="shared" si="67"/>
        <v>0</v>
      </c>
      <c r="G1181" s="1240"/>
      <c r="H1181" s="1217"/>
    </row>
    <row r="1182" spans="1:8" hidden="1">
      <c r="A1182" s="1233">
        <f>buildingfinal!A1181</f>
        <v>0</v>
      </c>
      <c r="B1182" s="1521">
        <f>buildingfinal!Q1181</f>
        <v>0</v>
      </c>
      <c r="C1182" s="1239">
        <f>buildingfinal!B1181</f>
        <v>0</v>
      </c>
      <c r="D1182" s="1235">
        <f>buildingfinal!C1181</f>
        <v>0</v>
      </c>
      <c r="E1182" s="1235">
        <f>buildingfinal!D1181</f>
        <v>0</v>
      </c>
      <c r="F1182" s="1235">
        <f t="shared" si="67"/>
        <v>0</v>
      </c>
      <c r="G1182" s="1240"/>
      <c r="H1182" s="1217"/>
    </row>
    <row r="1183" spans="1:8" hidden="1">
      <c r="A1183" s="1233">
        <f>buildingfinal!A1182</f>
        <v>0</v>
      </c>
      <c r="B1183" s="1521">
        <f>buildingfinal!Q1182</f>
        <v>0</v>
      </c>
      <c r="C1183" s="1239">
        <f>buildingfinal!B1182</f>
        <v>0</v>
      </c>
      <c r="D1183" s="1235">
        <f>buildingfinal!C1182</f>
        <v>0</v>
      </c>
      <c r="E1183" s="1235">
        <f>buildingfinal!D1182</f>
        <v>0</v>
      </c>
      <c r="F1183" s="1235">
        <f t="shared" si="67"/>
        <v>0</v>
      </c>
      <c r="G1183" s="1240"/>
      <c r="H1183" s="1217"/>
    </row>
    <row r="1184" spans="1:8" hidden="1">
      <c r="A1184" s="1233">
        <f>buildingfinal!A1183</f>
        <v>0</v>
      </c>
      <c r="B1184" s="1521">
        <f>buildingfinal!Q1183</f>
        <v>0</v>
      </c>
      <c r="C1184" s="1239">
        <f>buildingfinal!B1183</f>
        <v>0</v>
      </c>
      <c r="D1184" s="1235">
        <f>buildingfinal!C1183</f>
        <v>0</v>
      </c>
      <c r="E1184" s="1235">
        <f>buildingfinal!D1183</f>
        <v>0</v>
      </c>
      <c r="F1184" s="1235">
        <f t="shared" si="67"/>
        <v>0</v>
      </c>
      <c r="G1184" s="1240"/>
      <c r="H1184" s="1217"/>
    </row>
    <row r="1185" spans="1:8" hidden="1">
      <c r="A1185" s="1233">
        <f>buildingfinal!A1184</f>
        <v>0</v>
      </c>
      <c r="B1185" s="1521">
        <f>buildingfinal!Q1184</f>
        <v>0</v>
      </c>
      <c r="C1185" s="1239">
        <f>buildingfinal!B1184</f>
        <v>0</v>
      </c>
      <c r="D1185" s="1235">
        <f>buildingfinal!C1184</f>
        <v>0</v>
      </c>
      <c r="E1185" s="1235">
        <f>buildingfinal!D1184</f>
        <v>0</v>
      </c>
      <c r="F1185" s="1235">
        <f t="shared" si="67"/>
        <v>0</v>
      </c>
      <c r="G1185" s="1240"/>
      <c r="H1185" s="1217"/>
    </row>
    <row r="1186" spans="1:8" hidden="1">
      <c r="A1186" s="1233">
        <f>buildingfinal!A1185</f>
        <v>0</v>
      </c>
      <c r="B1186" s="1521">
        <f>buildingfinal!Q1185</f>
        <v>0</v>
      </c>
      <c r="C1186" s="1239">
        <f>buildingfinal!B1185</f>
        <v>0</v>
      </c>
      <c r="D1186" s="1235">
        <f>buildingfinal!C1185</f>
        <v>0</v>
      </c>
      <c r="E1186" s="1235">
        <f>buildingfinal!D1185</f>
        <v>0</v>
      </c>
      <c r="F1186" s="1235">
        <f t="shared" si="67"/>
        <v>0</v>
      </c>
      <c r="G1186" s="1240"/>
      <c r="H1186" s="1217"/>
    </row>
    <row r="1187" spans="1:8" hidden="1">
      <c r="A1187" s="1233">
        <f>buildingfinal!A1186</f>
        <v>0</v>
      </c>
      <c r="B1187" s="1521">
        <f>buildingfinal!Q1186</f>
        <v>0</v>
      </c>
      <c r="C1187" s="1239">
        <f>buildingfinal!B1186</f>
        <v>0</v>
      </c>
      <c r="D1187" s="1235">
        <f>buildingfinal!C1186</f>
        <v>0</v>
      </c>
      <c r="E1187" s="1235">
        <f>buildingfinal!D1186</f>
        <v>0</v>
      </c>
      <c r="F1187" s="1235">
        <f t="shared" si="67"/>
        <v>0</v>
      </c>
      <c r="G1187" s="1240"/>
      <c r="H1187" s="1217"/>
    </row>
    <row r="1188" spans="1:8" hidden="1">
      <c r="A1188" s="1233">
        <f>buildingfinal!A1187</f>
        <v>0</v>
      </c>
      <c r="B1188" s="1521">
        <f>buildingfinal!Q1187</f>
        <v>0</v>
      </c>
      <c r="C1188" s="1239">
        <f>buildingfinal!B1187</f>
        <v>0</v>
      </c>
      <c r="D1188" s="1235">
        <f>buildingfinal!C1187</f>
        <v>0</v>
      </c>
      <c r="E1188" s="1235">
        <f>buildingfinal!D1187</f>
        <v>0</v>
      </c>
      <c r="F1188" s="1235">
        <f t="shared" si="67"/>
        <v>0</v>
      </c>
      <c r="G1188" s="1240"/>
      <c r="H1188" s="1217"/>
    </row>
    <row r="1189" spans="1:8" hidden="1">
      <c r="A1189" s="1233">
        <f>buildingfinal!A1188</f>
        <v>0</v>
      </c>
      <c r="B1189" s="1521">
        <f>buildingfinal!Q1188</f>
        <v>0</v>
      </c>
      <c r="C1189" s="1239">
        <f>buildingfinal!B1188</f>
        <v>0</v>
      </c>
      <c r="D1189" s="1235">
        <f>buildingfinal!C1188</f>
        <v>0</v>
      </c>
      <c r="E1189" s="1235">
        <f>buildingfinal!D1188</f>
        <v>0</v>
      </c>
      <c r="F1189" s="1235">
        <f t="shared" si="67"/>
        <v>0</v>
      </c>
      <c r="G1189" s="1240"/>
      <c r="H1189" s="1217"/>
    </row>
    <row r="1190" spans="1:8" hidden="1">
      <c r="A1190" s="1233">
        <f>buildingfinal!A1189</f>
        <v>0</v>
      </c>
      <c r="B1190" s="1521">
        <f>buildingfinal!Q1189</f>
        <v>0</v>
      </c>
      <c r="C1190" s="1239">
        <f>buildingfinal!B1189</f>
        <v>0</v>
      </c>
      <c r="D1190" s="1235">
        <f>buildingfinal!C1189</f>
        <v>0</v>
      </c>
      <c r="E1190" s="1235">
        <f>buildingfinal!D1189</f>
        <v>0</v>
      </c>
      <c r="F1190" s="1235">
        <f t="shared" si="67"/>
        <v>0</v>
      </c>
      <c r="G1190" s="1240"/>
      <c r="H1190" s="1217"/>
    </row>
    <row r="1191" spans="1:8" hidden="1">
      <c r="A1191" s="1233">
        <f>buildingfinal!A1190</f>
        <v>0</v>
      </c>
      <c r="B1191" s="1521">
        <f>buildingfinal!Q1190</f>
        <v>0</v>
      </c>
      <c r="C1191" s="1239">
        <f>buildingfinal!B1190</f>
        <v>0</v>
      </c>
      <c r="D1191" s="1235">
        <f>buildingfinal!C1190</f>
        <v>0</v>
      </c>
      <c r="E1191" s="1235">
        <f>buildingfinal!D1190</f>
        <v>0</v>
      </c>
      <c r="F1191" s="1235">
        <f t="shared" si="67"/>
        <v>0</v>
      </c>
      <c r="G1191" s="1240"/>
      <c r="H1191" s="1217"/>
    </row>
    <row r="1192" spans="1:8" hidden="1">
      <c r="A1192" s="1233">
        <f>buildingfinal!A1191</f>
        <v>0</v>
      </c>
      <c r="B1192" s="1521">
        <f>buildingfinal!Q1191</f>
        <v>0</v>
      </c>
      <c r="C1192" s="1239">
        <f>buildingfinal!B1191</f>
        <v>0</v>
      </c>
      <c r="D1192" s="1235">
        <f>buildingfinal!C1191</f>
        <v>0</v>
      </c>
      <c r="E1192" s="1235">
        <f>buildingfinal!D1191</f>
        <v>0</v>
      </c>
      <c r="F1192" s="1235">
        <f t="shared" si="67"/>
        <v>0</v>
      </c>
      <c r="G1192" s="1240"/>
      <c r="H1192" s="1217"/>
    </row>
    <row r="1193" spans="1:8" hidden="1">
      <c r="A1193" s="1233">
        <f>buildingfinal!A1192</f>
        <v>0</v>
      </c>
      <c r="B1193" s="1521">
        <f>buildingfinal!Q1192</f>
        <v>0</v>
      </c>
      <c r="C1193" s="1239">
        <f>buildingfinal!B1192</f>
        <v>0</v>
      </c>
      <c r="D1193" s="1235">
        <f>buildingfinal!C1192</f>
        <v>0</v>
      </c>
      <c r="E1193" s="1235">
        <f>buildingfinal!D1192</f>
        <v>0</v>
      </c>
      <c r="F1193" s="1235">
        <f t="shared" si="67"/>
        <v>0</v>
      </c>
      <c r="G1193" s="1240"/>
      <c r="H1193" s="1217"/>
    </row>
    <row r="1194" spans="1:8" hidden="1">
      <c r="A1194" s="1233">
        <f>buildingfinal!A1193</f>
        <v>0</v>
      </c>
      <c r="B1194" s="1521">
        <f>buildingfinal!Q1193</f>
        <v>0</v>
      </c>
      <c r="C1194" s="1239">
        <f>buildingfinal!B1193</f>
        <v>0</v>
      </c>
      <c r="D1194" s="1235">
        <f>buildingfinal!C1193</f>
        <v>0</v>
      </c>
      <c r="E1194" s="1235">
        <f>buildingfinal!D1193</f>
        <v>0</v>
      </c>
      <c r="F1194" s="1235">
        <f t="shared" si="67"/>
        <v>0</v>
      </c>
      <c r="G1194" s="1240"/>
      <c r="H1194" s="1217"/>
    </row>
    <row r="1195" spans="1:8" hidden="1">
      <c r="A1195" s="1233">
        <f>buildingfinal!A1194</f>
        <v>0</v>
      </c>
      <c r="B1195" s="1521">
        <f>buildingfinal!Q1194</f>
        <v>0</v>
      </c>
      <c r="C1195" s="1239">
        <f>buildingfinal!B1194</f>
        <v>0</v>
      </c>
      <c r="D1195" s="1235">
        <f>buildingfinal!C1194</f>
        <v>0</v>
      </c>
      <c r="E1195" s="1235">
        <f>buildingfinal!D1194</f>
        <v>0</v>
      </c>
      <c r="F1195" s="1235">
        <f t="shared" si="67"/>
        <v>0</v>
      </c>
      <c r="G1195" s="1240"/>
      <c r="H1195" s="1217"/>
    </row>
    <row r="1196" spans="1:8" hidden="1">
      <c r="A1196" s="1233">
        <f>buildingfinal!A1195</f>
        <v>0</v>
      </c>
      <c r="B1196" s="1521">
        <f>buildingfinal!Q1195</f>
        <v>0</v>
      </c>
      <c r="C1196" s="1239">
        <f>buildingfinal!B1195</f>
        <v>0</v>
      </c>
      <c r="D1196" s="1235">
        <f>buildingfinal!C1195</f>
        <v>0</v>
      </c>
      <c r="E1196" s="1235">
        <f>buildingfinal!D1195</f>
        <v>0</v>
      </c>
      <c r="F1196" s="1235">
        <f t="shared" si="67"/>
        <v>0</v>
      </c>
      <c r="G1196" s="1240"/>
      <c r="H1196" s="1217"/>
    </row>
    <row r="1197" spans="1:8" hidden="1">
      <c r="A1197" s="1233">
        <f>buildingfinal!A1196</f>
        <v>0</v>
      </c>
      <c r="B1197" s="1521">
        <f>buildingfinal!Q1196</f>
        <v>0</v>
      </c>
      <c r="C1197" s="1239">
        <f>buildingfinal!B1196</f>
        <v>0</v>
      </c>
      <c r="D1197" s="1235">
        <f>buildingfinal!C1196</f>
        <v>0</v>
      </c>
      <c r="E1197" s="1235">
        <f>buildingfinal!D1196</f>
        <v>0</v>
      </c>
      <c r="F1197" s="1235">
        <f t="shared" si="67"/>
        <v>0</v>
      </c>
      <c r="G1197" s="1240"/>
      <c r="H1197" s="1217"/>
    </row>
    <row r="1198" spans="1:8" hidden="1">
      <c r="A1198" s="1233">
        <f>buildingfinal!A1197</f>
        <v>0</v>
      </c>
      <c r="B1198" s="1521">
        <f>buildingfinal!Q1197</f>
        <v>0</v>
      </c>
      <c r="C1198" s="1239">
        <f>buildingfinal!B1197</f>
        <v>0</v>
      </c>
      <c r="D1198" s="1235">
        <f>buildingfinal!C1197</f>
        <v>0</v>
      </c>
      <c r="E1198" s="1235">
        <f>buildingfinal!D1197</f>
        <v>0</v>
      </c>
      <c r="F1198" s="1235">
        <f t="shared" si="67"/>
        <v>0</v>
      </c>
      <c r="G1198" s="1240"/>
      <c r="H1198" s="1217"/>
    </row>
    <row r="1199" spans="1:8" hidden="1">
      <c r="A1199" s="1233">
        <f>buildingfinal!A1198</f>
        <v>0</v>
      </c>
      <c r="B1199" s="1521">
        <f>buildingfinal!Q1198</f>
        <v>0</v>
      </c>
      <c r="C1199" s="1239">
        <f>buildingfinal!B1198</f>
        <v>0</v>
      </c>
      <c r="D1199" s="1235">
        <f>buildingfinal!C1198</f>
        <v>0</v>
      </c>
      <c r="E1199" s="1235">
        <f>buildingfinal!D1198</f>
        <v>0</v>
      </c>
      <c r="F1199" s="1235">
        <f t="shared" si="67"/>
        <v>0</v>
      </c>
      <c r="G1199" s="1240"/>
      <c r="H1199" s="1217"/>
    </row>
    <row r="1200" spans="1:8" hidden="1">
      <c r="A1200" s="1233">
        <f>buildingfinal!A1199</f>
        <v>0</v>
      </c>
      <c r="B1200" s="1521">
        <f>buildingfinal!Q1199</f>
        <v>0</v>
      </c>
      <c r="C1200" s="1239">
        <f>buildingfinal!B1199</f>
        <v>0</v>
      </c>
      <c r="D1200" s="1235">
        <f>buildingfinal!C1199</f>
        <v>0</v>
      </c>
      <c r="E1200" s="1235">
        <f>buildingfinal!D1199</f>
        <v>0</v>
      </c>
      <c r="F1200" s="1235">
        <f t="shared" si="67"/>
        <v>0</v>
      </c>
      <c r="G1200" s="1240"/>
      <c r="H1200" s="1217"/>
    </row>
    <row r="1201" spans="1:8" hidden="1">
      <c r="A1201" s="1233">
        <f>buildingfinal!A1200</f>
        <v>0</v>
      </c>
      <c r="B1201" s="1521">
        <f>buildingfinal!Q1200</f>
        <v>0</v>
      </c>
      <c r="C1201" s="1239">
        <f>buildingfinal!B1200</f>
        <v>0</v>
      </c>
      <c r="D1201" s="1235">
        <f>buildingfinal!C1200</f>
        <v>0</v>
      </c>
      <c r="E1201" s="1235">
        <f>buildingfinal!D1200</f>
        <v>0</v>
      </c>
      <c r="F1201" s="1235">
        <f t="shared" si="67"/>
        <v>0</v>
      </c>
      <c r="G1201" s="1240"/>
      <c r="H1201" s="1217"/>
    </row>
    <row r="1202" spans="1:8" hidden="1">
      <c r="A1202" s="1233">
        <f>buildingfinal!A1201</f>
        <v>0</v>
      </c>
      <c r="B1202" s="1521">
        <f>buildingfinal!Q1201</f>
        <v>0</v>
      </c>
      <c r="C1202" s="1239">
        <f>buildingfinal!B1201</f>
        <v>0</v>
      </c>
      <c r="D1202" s="1235">
        <f>buildingfinal!C1201</f>
        <v>0</v>
      </c>
      <c r="E1202" s="1235">
        <f>buildingfinal!D1201</f>
        <v>0</v>
      </c>
      <c r="F1202" s="1235">
        <f t="shared" si="67"/>
        <v>0</v>
      </c>
      <c r="G1202" s="1240"/>
      <c r="H1202" s="1217"/>
    </row>
    <row r="1203" spans="1:8" hidden="1">
      <c r="A1203" s="1233">
        <f>buildingfinal!A1202</f>
        <v>0</v>
      </c>
      <c r="B1203" s="1521">
        <f>buildingfinal!Q1202</f>
        <v>0</v>
      </c>
      <c r="C1203" s="1239">
        <f>buildingfinal!B1202</f>
        <v>0</v>
      </c>
      <c r="D1203" s="1235">
        <f>buildingfinal!C1202</f>
        <v>0</v>
      </c>
      <c r="E1203" s="1235">
        <f>buildingfinal!D1202</f>
        <v>0</v>
      </c>
      <c r="F1203" s="1235">
        <f t="shared" si="67"/>
        <v>0</v>
      </c>
      <c r="G1203" s="1240"/>
      <c r="H1203" s="1217"/>
    </row>
    <row r="1204" spans="1:8" hidden="1">
      <c r="A1204" s="1233">
        <f>buildingfinal!A1203</f>
        <v>0</v>
      </c>
      <c r="B1204" s="1521">
        <f>buildingfinal!Q1203</f>
        <v>0</v>
      </c>
      <c r="C1204" s="1239">
        <f>buildingfinal!B1203</f>
        <v>0</v>
      </c>
      <c r="D1204" s="1235">
        <f>buildingfinal!C1203</f>
        <v>0</v>
      </c>
      <c r="E1204" s="1235">
        <f>buildingfinal!D1203</f>
        <v>0</v>
      </c>
      <c r="F1204" s="1235">
        <f t="shared" si="67"/>
        <v>0</v>
      </c>
      <c r="G1204" s="1240"/>
      <c r="H1204" s="1217"/>
    </row>
    <row r="1205" spans="1:8" hidden="1">
      <c r="A1205" s="1233">
        <f>buildingfinal!A1204</f>
        <v>0</v>
      </c>
      <c r="B1205" s="1521">
        <f>buildingfinal!Q1204</f>
        <v>0</v>
      </c>
      <c r="C1205" s="1239">
        <f>buildingfinal!B1204</f>
        <v>0</v>
      </c>
      <c r="D1205" s="1235">
        <f>buildingfinal!C1204</f>
        <v>0</v>
      </c>
      <c r="E1205" s="1235">
        <f>buildingfinal!D1204</f>
        <v>0</v>
      </c>
      <c r="F1205" s="1235">
        <f t="shared" si="67"/>
        <v>0</v>
      </c>
      <c r="G1205" s="1240"/>
      <c r="H1205" s="1217"/>
    </row>
    <row r="1206" spans="1:8" hidden="1">
      <c r="A1206" s="1233">
        <f>buildingfinal!A1205</f>
        <v>0</v>
      </c>
      <c r="B1206" s="1521">
        <f>buildingfinal!Q1205</f>
        <v>0</v>
      </c>
      <c r="C1206" s="1239">
        <f>buildingfinal!B1205</f>
        <v>0</v>
      </c>
      <c r="D1206" s="1235">
        <f>buildingfinal!C1205</f>
        <v>0</v>
      </c>
      <c r="E1206" s="1235">
        <f>buildingfinal!D1205</f>
        <v>0</v>
      </c>
      <c r="F1206" s="1235">
        <f t="shared" si="67"/>
        <v>0</v>
      </c>
      <c r="G1206" s="1240"/>
      <c r="H1206" s="1217"/>
    </row>
    <row r="1207" spans="1:8" hidden="1">
      <c r="A1207" s="1233">
        <f>buildingfinal!A1206</f>
        <v>0</v>
      </c>
      <c r="B1207" s="1521">
        <f>buildingfinal!Q1206</f>
        <v>0</v>
      </c>
      <c r="C1207" s="1239">
        <f>buildingfinal!B1206</f>
        <v>0</v>
      </c>
      <c r="D1207" s="1235">
        <f>buildingfinal!C1206</f>
        <v>0</v>
      </c>
      <c r="E1207" s="1235">
        <f>buildingfinal!D1206</f>
        <v>0</v>
      </c>
      <c r="F1207" s="1235">
        <f t="shared" si="67"/>
        <v>0</v>
      </c>
      <c r="G1207" s="1240"/>
      <c r="H1207" s="1217"/>
    </row>
    <row r="1208" spans="1:8" hidden="1">
      <c r="A1208" s="1233">
        <f>buildingfinal!A1207</f>
        <v>0</v>
      </c>
      <c r="B1208" s="1521">
        <f>buildingfinal!Q1207</f>
        <v>0</v>
      </c>
      <c r="C1208" s="1239">
        <f>buildingfinal!B1207</f>
        <v>0</v>
      </c>
      <c r="D1208" s="1235">
        <f>buildingfinal!C1207</f>
        <v>0</v>
      </c>
      <c r="E1208" s="1235">
        <f>buildingfinal!D1207</f>
        <v>0</v>
      </c>
      <c r="F1208" s="1235">
        <f t="shared" si="67"/>
        <v>0</v>
      </c>
      <c r="G1208" s="1240"/>
      <c r="H1208" s="1217"/>
    </row>
    <row r="1209" spans="1:8" hidden="1">
      <c r="A1209" s="1233">
        <f>buildingfinal!A1208</f>
        <v>0</v>
      </c>
      <c r="B1209" s="1521">
        <f>buildingfinal!Q1208</f>
        <v>0</v>
      </c>
      <c r="C1209" s="1239">
        <f>buildingfinal!B1208</f>
        <v>0</v>
      </c>
      <c r="D1209" s="1235">
        <f>buildingfinal!C1208</f>
        <v>0</v>
      </c>
      <c r="E1209" s="1235">
        <f>buildingfinal!D1208</f>
        <v>0</v>
      </c>
      <c r="F1209" s="1235">
        <f t="shared" si="67"/>
        <v>0</v>
      </c>
      <c r="G1209" s="1240"/>
      <c r="H1209" s="1217"/>
    </row>
    <row r="1210" spans="1:8" hidden="1">
      <c r="A1210" s="1233">
        <f>buildingfinal!A1209</f>
        <v>0</v>
      </c>
      <c r="B1210" s="1521">
        <f>buildingfinal!Q1209</f>
        <v>0</v>
      </c>
      <c r="C1210" s="1239">
        <f>buildingfinal!B1209</f>
        <v>0</v>
      </c>
      <c r="D1210" s="1235">
        <f>buildingfinal!C1209</f>
        <v>0</v>
      </c>
      <c r="E1210" s="1235">
        <f>buildingfinal!D1209</f>
        <v>0</v>
      </c>
      <c r="F1210" s="1235">
        <f t="shared" si="67"/>
        <v>0</v>
      </c>
      <c r="G1210" s="1240"/>
      <c r="H1210" s="1217"/>
    </row>
    <row r="1211" spans="1:8" hidden="1">
      <c r="A1211" s="1233">
        <f>buildingfinal!A1210</f>
        <v>0</v>
      </c>
      <c r="B1211" s="1521">
        <f>buildingfinal!Q1210</f>
        <v>0</v>
      </c>
      <c r="C1211" s="1239">
        <f>buildingfinal!B1210</f>
        <v>0</v>
      </c>
      <c r="D1211" s="1235">
        <f>buildingfinal!C1210</f>
        <v>0</v>
      </c>
      <c r="E1211" s="1235">
        <f>buildingfinal!D1210</f>
        <v>0</v>
      </c>
      <c r="F1211" s="1235">
        <f t="shared" si="67"/>
        <v>0</v>
      </c>
      <c r="G1211" s="1240"/>
      <c r="H1211" s="1217"/>
    </row>
    <row r="1212" spans="1:8" hidden="1">
      <c r="A1212" s="1233">
        <f>buildingfinal!A1211</f>
        <v>0</v>
      </c>
      <c r="B1212" s="1521">
        <f>buildingfinal!Q1211</f>
        <v>0</v>
      </c>
      <c r="C1212" s="1239">
        <f>buildingfinal!B1211</f>
        <v>0</v>
      </c>
      <c r="D1212" s="1235">
        <f>buildingfinal!C1211</f>
        <v>0</v>
      </c>
      <c r="E1212" s="1235">
        <f>buildingfinal!D1211</f>
        <v>0</v>
      </c>
      <c r="F1212" s="1235">
        <f t="shared" si="67"/>
        <v>0</v>
      </c>
      <c r="G1212" s="1240"/>
      <c r="H1212" s="1217"/>
    </row>
    <row r="1213" spans="1:8" hidden="1">
      <c r="A1213" s="1233">
        <f>buildingfinal!A1212</f>
        <v>0</v>
      </c>
      <c r="B1213" s="1521">
        <f>buildingfinal!Q1212</f>
        <v>0</v>
      </c>
      <c r="C1213" s="1239">
        <f>buildingfinal!B1212</f>
        <v>0</v>
      </c>
      <c r="D1213" s="1235">
        <f>buildingfinal!C1212</f>
        <v>0</v>
      </c>
      <c r="E1213" s="1235">
        <f>buildingfinal!D1212</f>
        <v>0</v>
      </c>
      <c r="F1213" s="1235">
        <f t="shared" si="67"/>
        <v>0</v>
      </c>
      <c r="G1213" s="1240"/>
      <c r="H1213" s="1217"/>
    </row>
    <row r="1214" spans="1:8" hidden="1">
      <c r="A1214" s="1233">
        <f>buildingfinal!A1213</f>
        <v>0</v>
      </c>
      <c r="B1214" s="1521">
        <f>buildingfinal!Q1213</f>
        <v>0</v>
      </c>
      <c r="C1214" s="1239">
        <f>buildingfinal!B1213</f>
        <v>0</v>
      </c>
      <c r="D1214" s="1235">
        <f>buildingfinal!C1213</f>
        <v>0</v>
      </c>
      <c r="E1214" s="1235">
        <f>buildingfinal!D1213</f>
        <v>0</v>
      </c>
      <c r="F1214" s="1235">
        <f t="shared" si="67"/>
        <v>0</v>
      </c>
      <c r="G1214" s="1240"/>
      <c r="H1214" s="1217"/>
    </row>
    <row r="1215" spans="1:8" hidden="1">
      <c r="A1215" s="1233">
        <f>buildingfinal!A1214</f>
        <v>0</v>
      </c>
      <c r="B1215" s="1521">
        <f>buildingfinal!Q1214</f>
        <v>0</v>
      </c>
      <c r="C1215" s="1239">
        <f>buildingfinal!B1214</f>
        <v>0</v>
      </c>
      <c r="D1215" s="1235">
        <f>buildingfinal!C1214</f>
        <v>0</v>
      </c>
      <c r="E1215" s="1235">
        <f>buildingfinal!D1214</f>
        <v>0</v>
      </c>
      <c r="F1215" s="1235">
        <f t="shared" si="67"/>
        <v>0</v>
      </c>
      <c r="G1215" s="1240"/>
      <c r="H1215" s="1217"/>
    </row>
    <row r="1216" spans="1:8" hidden="1">
      <c r="A1216" s="1233">
        <f>buildingfinal!A1215</f>
        <v>0</v>
      </c>
      <c r="B1216" s="1521">
        <f>buildingfinal!Q1215</f>
        <v>0</v>
      </c>
      <c r="C1216" s="1239">
        <f>buildingfinal!B1215</f>
        <v>0</v>
      </c>
      <c r="D1216" s="1235">
        <f>buildingfinal!C1215</f>
        <v>0</v>
      </c>
      <c r="E1216" s="1235">
        <f>buildingfinal!D1215</f>
        <v>0</v>
      </c>
      <c r="F1216" s="1235">
        <f t="shared" si="67"/>
        <v>0</v>
      </c>
      <c r="G1216" s="1240"/>
      <c r="H1216" s="1217"/>
    </row>
    <row r="1217" spans="1:8" hidden="1">
      <c r="A1217" s="1233">
        <f>buildingfinal!A1216</f>
        <v>0</v>
      </c>
      <c r="B1217" s="1521">
        <f>buildingfinal!Q1216</f>
        <v>0</v>
      </c>
      <c r="C1217" s="1239">
        <f>buildingfinal!B1216</f>
        <v>0</v>
      </c>
      <c r="D1217" s="1235">
        <f>buildingfinal!C1216</f>
        <v>0</v>
      </c>
      <c r="E1217" s="1235">
        <f>buildingfinal!D1216</f>
        <v>0</v>
      </c>
      <c r="F1217" s="1235">
        <f t="shared" si="67"/>
        <v>0</v>
      </c>
      <c r="G1217" s="1240"/>
      <c r="H1217" s="1217"/>
    </row>
    <row r="1218" spans="1:8" hidden="1">
      <c r="A1218" s="1233">
        <f>buildingfinal!A1217</f>
        <v>0</v>
      </c>
      <c r="B1218" s="1521">
        <f>buildingfinal!Q1217</f>
        <v>0</v>
      </c>
      <c r="C1218" s="1239">
        <f>buildingfinal!B1217</f>
        <v>0</v>
      </c>
      <c r="D1218" s="1235">
        <f>buildingfinal!C1217</f>
        <v>0</v>
      </c>
      <c r="E1218" s="1235">
        <f>buildingfinal!D1217</f>
        <v>0</v>
      </c>
      <c r="F1218" s="1235">
        <f t="shared" si="67"/>
        <v>0</v>
      </c>
      <c r="H1218" s="1217">
        <f>H972-F972</f>
        <v>-5905</v>
      </c>
    </row>
    <row r="1219" spans="1:8" hidden="1">
      <c r="A1219" s="1233">
        <f>buildingfinal!A1218</f>
        <v>0</v>
      </c>
      <c r="B1219" s="1521">
        <f>buildingfinal!Q1218</f>
        <v>0</v>
      </c>
      <c r="C1219" s="1239">
        <f>buildingfinal!B1218</f>
        <v>0</v>
      </c>
      <c r="D1219" s="1235">
        <f>buildingfinal!C1218</f>
        <v>0</v>
      </c>
      <c r="E1219" s="1235">
        <f>buildingfinal!D1218</f>
        <v>0</v>
      </c>
      <c r="F1219" s="1235">
        <f t="shared" si="67"/>
        <v>0</v>
      </c>
      <c r="H1219" s="1217"/>
    </row>
    <row r="1220" spans="1:8" hidden="1">
      <c r="A1220" s="1233">
        <f>buildingfinal!A1219</f>
        <v>0</v>
      </c>
      <c r="B1220" s="1521">
        <f>buildingfinal!Q1219</f>
        <v>0</v>
      </c>
      <c r="C1220" s="1239">
        <f>buildingfinal!B1219</f>
        <v>0</v>
      </c>
      <c r="D1220" s="1235">
        <f>buildingfinal!C1219</f>
        <v>0</v>
      </c>
      <c r="E1220" s="1235">
        <f>buildingfinal!D1219</f>
        <v>0</v>
      </c>
      <c r="F1220" s="1235">
        <f t="shared" si="67"/>
        <v>0</v>
      </c>
    </row>
    <row r="1221" spans="1:8" hidden="1">
      <c r="A1221" s="1233">
        <f>buildingfinal!A1220</f>
        <v>0</v>
      </c>
      <c r="B1221" s="1521">
        <f>buildingfinal!Q1220</f>
        <v>0</v>
      </c>
      <c r="C1221" s="1239">
        <f>buildingfinal!B1220</f>
        <v>0</v>
      </c>
      <c r="D1221" s="1235">
        <f>buildingfinal!C1220</f>
        <v>0</v>
      </c>
      <c r="E1221" s="1235">
        <f>buildingfinal!D1220</f>
        <v>0</v>
      </c>
      <c r="F1221" s="1235">
        <f t="shared" si="67"/>
        <v>0</v>
      </c>
    </row>
    <row r="1222" spans="1:8" hidden="1">
      <c r="A1222" s="1233">
        <f>buildingfinal!A1221</f>
        <v>0</v>
      </c>
      <c r="B1222" s="1521">
        <f>buildingfinal!Q1221</f>
        <v>0</v>
      </c>
      <c r="C1222" s="1239">
        <f>buildingfinal!B1221</f>
        <v>0</v>
      </c>
      <c r="D1222" s="1235">
        <f>buildingfinal!C1221</f>
        <v>0</v>
      </c>
      <c r="E1222" s="1235">
        <f>buildingfinal!D1221</f>
        <v>0</v>
      </c>
      <c r="F1222" s="1235">
        <f t="shared" si="67"/>
        <v>0</v>
      </c>
    </row>
    <row r="1223" spans="1:8" hidden="1">
      <c r="A1223" s="1233">
        <f>buildingfinal!A1222</f>
        <v>0</v>
      </c>
      <c r="B1223" s="1521">
        <f>buildingfinal!Q1222</f>
        <v>0</v>
      </c>
      <c r="C1223" s="1239">
        <f>buildingfinal!B1222</f>
        <v>0</v>
      </c>
      <c r="D1223" s="1235">
        <f>buildingfinal!C1222</f>
        <v>0</v>
      </c>
      <c r="E1223" s="1235">
        <f>buildingfinal!D1222</f>
        <v>0</v>
      </c>
      <c r="F1223" s="1235">
        <f t="shared" si="67"/>
        <v>0</v>
      </c>
    </row>
    <row r="1224" spans="1:8" hidden="1">
      <c r="A1224" s="1233">
        <f>buildingfinal!A1223</f>
        <v>0</v>
      </c>
      <c r="B1224" s="1521">
        <f>buildingfinal!Q1223</f>
        <v>0</v>
      </c>
      <c r="C1224" s="1239">
        <f>buildingfinal!B1223</f>
        <v>0</v>
      </c>
      <c r="D1224" s="1235">
        <f>buildingfinal!C1223</f>
        <v>0</v>
      </c>
      <c r="E1224" s="1235">
        <f>buildingfinal!D1223</f>
        <v>0</v>
      </c>
      <c r="F1224" s="1235">
        <f t="shared" ref="F1224:F1287" si="68">D1224*B1224</f>
        <v>0</v>
      </c>
    </row>
    <row r="1225" spans="1:8" hidden="1">
      <c r="A1225" s="1233">
        <f>buildingfinal!A1224</f>
        <v>0</v>
      </c>
      <c r="B1225" s="1521">
        <f>buildingfinal!Q1224</f>
        <v>0</v>
      </c>
      <c r="C1225" s="1239">
        <f>buildingfinal!B1224</f>
        <v>0</v>
      </c>
      <c r="D1225" s="1235">
        <f>buildingfinal!C1224</f>
        <v>0</v>
      </c>
      <c r="E1225" s="1235">
        <f>buildingfinal!D1224</f>
        <v>0</v>
      </c>
      <c r="F1225" s="1235">
        <f t="shared" si="68"/>
        <v>0</v>
      </c>
    </row>
    <row r="1226" spans="1:8" hidden="1">
      <c r="A1226" s="1233">
        <f>buildingfinal!A1225</f>
        <v>0</v>
      </c>
      <c r="B1226" s="1521">
        <f>buildingfinal!Q1225</f>
        <v>0</v>
      </c>
      <c r="C1226" s="1239">
        <f>buildingfinal!B1225</f>
        <v>0</v>
      </c>
      <c r="D1226" s="1235">
        <f>buildingfinal!C1225</f>
        <v>0</v>
      </c>
      <c r="E1226" s="1235">
        <f>buildingfinal!D1225</f>
        <v>0</v>
      </c>
      <c r="F1226" s="1235">
        <f t="shared" si="68"/>
        <v>0</v>
      </c>
    </row>
    <row r="1227" spans="1:8" hidden="1">
      <c r="A1227" s="1233">
        <f>buildingfinal!A1226</f>
        <v>0</v>
      </c>
      <c r="B1227" s="1521">
        <f>buildingfinal!Q1226</f>
        <v>0</v>
      </c>
      <c r="C1227" s="1239">
        <f>buildingfinal!B1226</f>
        <v>0</v>
      </c>
      <c r="D1227" s="1235">
        <f>buildingfinal!C1226</f>
        <v>0</v>
      </c>
      <c r="E1227" s="1235">
        <f>buildingfinal!D1226</f>
        <v>0</v>
      </c>
      <c r="F1227" s="1235">
        <f t="shared" si="68"/>
        <v>0</v>
      </c>
    </row>
    <row r="1228" spans="1:8" hidden="1">
      <c r="A1228" s="1233">
        <f>buildingfinal!A1227</f>
        <v>0</v>
      </c>
      <c r="B1228" s="1521">
        <f>buildingfinal!Q1227</f>
        <v>0</v>
      </c>
      <c r="C1228" s="1239">
        <f>buildingfinal!B1227</f>
        <v>0</v>
      </c>
      <c r="D1228" s="1235">
        <f>buildingfinal!C1227</f>
        <v>0</v>
      </c>
      <c r="E1228" s="1235">
        <f>buildingfinal!D1227</f>
        <v>0</v>
      </c>
      <c r="F1228" s="1235">
        <f t="shared" si="68"/>
        <v>0</v>
      </c>
    </row>
    <row r="1229" spans="1:8" hidden="1">
      <c r="A1229" s="1233">
        <f>buildingfinal!A1228</f>
        <v>0</v>
      </c>
      <c r="B1229" s="1521">
        <f>buildingfinal!Q1228</f>
        <v>0</v>
      </c>
      <c r="C1229" s="1239">
        <f>buildingfinal!B1228</f>
        <v>0</v>
      </c>
      <c r="D1229" s="1235">
        <f>buildingfinal!C1228</f>
        <v>0</v>
      </c>
      <c r="E1229" s="1235">
        <f>buildingfinal!D1228</f>
        <v>0</v>
      </c>
      <c r="F1229" s="1235">
        <f t="shared" si="68"/>
        <v>0</v>
      </c>
    </row>
    <row r="1230" spans="1:8" hidden="1">
      <c r="A1230" s="1233">
        <f>buildingfinal!A1229</f>
        <v>0</v>
      </c>
      <c r="B1230" s="1521">
        <f>buildingfinal!Q1229</f>
        <v>0</v>
      </c>
      <c r="C1230" s="1239">
        <f>buildingfinal!B1229</f>
        <v>0</v>
      </c>
      <c r="D1230" s="1235">
        <f>buildingfinal!C1229</f>
        <v>0</v>
      </c>
      <c r="E1230" s="1235">
        <f>buildingfinal!D1229</f>
        <v>0</v>
      </c>
      <c r="F1230" s="1235">
        <f t="shared" si="68"/>
        <v>0</v>
      </c>
    </row>
    <row r="1231" spans="1:8" hidden="1">
      <c r="A1231" s="1233">
        <f>buildingfinal!A1230</f>
        <v>0</v>
      </c>
      <c r="B1231" s="1521">
        <f>buildingfinal!Q1230</f>
        <v>0</v>
      </c>
      <c r="C1231" s="1239">
        <f>buildingfinal!B1230</f>
        <v>0</v>
      </c>
      <c r="D1231" s="1235">
        <f>buildingfinal!C1230</f>
        <v>0</v>
      </c>
      <c r="E1231" s="1235">
        <f>buildingfinal!D1230</f>
        <v>0</v>
      </c>
      <c r="F1231" s="1235">
        <f t="shared" si="68"/>
        <v>0</v>
      </c>
    </row>
    <row r="1232" spans="1:8" hidden="1">
      <c r="A1232" s="1233">
        <f>buildingfinal!A1231</f>
        <v>0</v>
      </c>
      <c r="B1232" s="1521">
        <f>buildingfinal!Q1231</f>
        <v>0</v>
      </c>
      <c r="C1232" s="1239">
        <f>buildingfinal!B1231</f>
        <v>0</v>
      </c>
      <c r="D1232" s="1235">
        <f>buildingfinal!C1231</f>
        <v>0</v>
      </c>
      <c r="E1232" s="1235">
        <f>buildingfinal!D1231</f>
        <v>0</v>
      </c>
      <c r="F1232" s="1235">
        <f t="shared" si="68"/>
        <v>0</v>
      </c>
    </row>
    <row r="1233" spans="1:6" hidden="1">
      <c r="A1233" s="1233">
        <f>buildingfinal!A1232</f>
        <v>0</v>
      </c>
      <c r="B1233" s="1521">
        <f>buildingfinal!Q1232</f>
        <v>0</v>
      </c>
      <c r="C1233" s="1239">
        <f>buildingfinal!B1232</f>
        <v>0</v>
      </c>
      <c r="D1233" s="1235">
        <f>buildingfinal!C1232</f>
        <v>0</v>
      </c>
      <c r="E1233" s="1235">
        <f>buildingfinal!D1232</f>
        <v>0</v>
      </c>
      <c r="F1233" s="1235">
        <f t="shared" si="68"/>
        <v>0</v>
      </c>
    </row>
    <row r="1234" spans="1:6" hidden="1">
      <c r="A1234" s="1233">
        <f>buildingfinal!A1233</f>
        <v>0</v>
      </c>
      <c r="B1234" s="1521">
        <f>buildingfinal!Q1233</f>
        <v>0</v>
      </c>
      <c r="C1234" s="1239">
        <f>buildingfinal!B1233</f>
        <v>0</v>
      </c>
      <c r="D1234" s="1235">
        <f>buildingfinal!C1233</f>
        <v>0</v>
      </c>
      <c r="E1234" s="1235">
        <f>buildingfinal!D1233</f>
        <v>0</v>
      </c>
      <c r="F1234" s="1235">
        <f t="shared" si="68"/>
        <v>0</v>
      </c>
    </row>
    <row r="1235" spans="1:6" hidden="1">
      <c r="A1235" s="1233">
        <f>buildingfinal!A1234</f>
        <v>0</v>
      </c>
      <c r="B1235" s="1521">
        <f>buildingfinal!Q1234</f>
        <v>0</v>
      </c>
      <c r="C1235" s="1239">
        <f>buildingfinal!B1234</f>
        <v>0</v>
      </c>
      <c r="D1235" s="1235">
        <f>buildingfinal!C1234</f>
        <v>0</v>
      </c>
      <c r="E1235" s="1235">
        <f>buildingfinal!D1234</f>
        <v>0</v>
      </c>
      <c r="F1235" s="1235">
        <f t="shared" si="68"/>
        <v>0</v>
      </c>
    </row>
    <row r="1236" spans="1:6" hidden="1">
      <c r="A1236" s="1233">
        <f>buildingfinal!A1235</f>
        <v>0</v>
      </c>
      <c r="B1236" s="1521">
        <f>buildingfinal!Q1235</f>
        <v>0</v>
      </c>
      <c r="C1236" s="1239">
        <f>buildingfinal!B1235</f>
        <v>0</v>
      </c>
      <c r="D1236" s="1235">
        <f>buildingfinal!C1235</f>
        <v>0</v>
      </c>
      <c r="E1236" s="1235">
        <f>buildingfinal!D1235</f>
        <v>0</v>
      </c>
      <c r="F1236" s="1235">
        <f t="shared" si="68"/>
        <v>0</v>
      </c>
    </row>
    <row r="1237" spans="1:6" hidden="1">
      <c r="A1237" s="1233">
        <f>buildingfinal!A1236</f>
        <v>0</v>
      </c>
      <c r="B1237" s="1521">
        <f>buildingfinal!Q1236</f>
        <v>0</v>
      </c>
      <c r="C1237" s="1239">
        <f>buildingfinal!B1236</f>
        <v>0</v>
      </c>
      <c r="D1237" s="1235">
        <f>buildingfinal!C1236</f>
        <v>0</v>
      </c>
      <c r="E1237" s="1235">
        <f>buildingfinal!D1236</f>
        <v>0</v>
      </c>
      <c r="F1237" s="1235">
        <f t="shared" si="68"/>
        <v>0</v>
      </c>
    </row>
    <row r="1238" spans="1:6" hidden="1">
      <c r="A1238" s="1233">
        <f>buildingfinal!A1237</f>
        <v>0</v>
      </c>
      <c r="B1238" s="1521">
        <f>buildingfinal!Q1237</f>
        <v>0</v>
      </c>
      <c r="C1238" s="1239">
        <f>buildingfinal!B1237</f>
        <v>0</v>
      </c>
      <c r="D1238" s="1235">
        <f>buildingfinal!C1237</f>
        <v>0</v>
      </c>
      <c r="E1238" s="1235">
        <f>buildingfinal!D1237</f>
        <v>0</v>
      </c>
      <c r="F1238" s="1235">
        <f t="shared" si="68"/>
        <v>0</v>
      </c>
    </row>
    <row r="1239" spans="1:6" hidden="1">
      <c r="A1239" s="1233">
        <f>buildingfinal!A1238</f>
        <v>0</v>
      </c>
      <c r="B1239" s="1521">
        <f>buildingfinal!Q1238</f>
        <v>0</v>
      </c>
      <c r="C1239" s="1239">
        <f>buildingfinal!B1238</f>
        <v>0</v>
      </c>
      <c r="D1239" s="1235">
        <f>buildingfinal!C1238</f>
        <v>0</v>
      </c>
      <c r="E1239" s="1235">
        <f>buildingfinal!D1238</f>
        <v>0</v>
      </c>
      <c r="F1239" s="1235">
        <f t="shared" si="68"/>
        <v>0</v>
      </c>
    </row>
    <row r="1240" spans="1:6" hidden="1">
      <c r="A1240" s="1233">
        <f>buildingfinal!A1239</f>
        <v>0</v>
      </c>
      <c r="B1240" s="1521">
        <f>buildingfinal!Q1239</f>
        <v>0</v>
      </c>
      <c r="C1240" s="1239">
        <f>buildingfinal!B1239</f>
        <v>0</v>
      </c>
      <c r="D1240" s="1235">
        <f>buildingfinal!C1239</f>
        <v>0</v>
      </c>
      <c r="E1240" s="1235">
        <f>buildingfinal!D1239</f>
        <v>0</v>
      </c>
      <c r="F1240" s="1235">
        <f t="shared" si="68"/>
        <v>0</v>
      </c>
    </row>
    <row r="1241" spans="1:6" hidden="1">
      <c r="A1241" s="1233">
        <f>buildingfinal!A1240</f>
        <v>0</v>
      </c>
      <c r="B1241" s="1521">
        <f>buildingfinal!Q1240</f>
        <v>0</v>
      </c>
      <c r="C1241" s="1239">
        <f>buildingfinal!B1240</f>
        <v>0</v>
      </c>
      <c r="D1241" s="1235">
        <f>buildingfinal!C1240</f>
        <v>0</v>
      </c>
      <c r="E1241" s="1235">
        <f>buildingfinal!D1240</f>
        <v>0</v>
      </c>
      <c r="F1241" s="1235">
        <f t="shared" si="68"/>
        <v>0</v>
      </c>
    </row>
    <row r="1242" spans="1:6" hidden="1">
      <c r="A1242" s="1233">
        <f>buildingfinal!A1241</f>
        <v>0</v>
      </c>
      <c r="B1242" s="1521">
        <f>buildingfinal!Q1241</f>
        <v>0</v>
      </c>
      <c r="C1242" s="1239">
        <f>buildingfinal!B1241</f>
        <v>0</v>
      </c>
      <c r="D1242" s="1235">
        <f>buildingfinal!C1241</f>
        <v>0</v>
      </c>
      <c r="E1242" s="1235">
        <f>buildingfinal!D1241</f>
        <v>0</v>
      </c>
      <c r="F1242" s="1235">
        <f t="shared" si="68"/>
        <v>0</v>
      </c>
    </row>
    <row r="1243" spans="1:6" hidden="1">
      <c r="A1243" s="1233">
        <f>buildingfinal!A1242</f>
        <v>0</v>
      </c>
      <c r="B1243" s="1521">
        <f>buildingfinal!Q1242</f>
        <v>0</v>
      </c>
      <c r="C1243" s="1239">
        <f>buildingfinal!B1242</f>
        <v>0</v>
      </c>
      <c r="D1243" s="1235">
        <f>buildingfinal!C1242</f>
        <v>0</v>
      </c>
      <c r="E1243" s="1235">
        <f>buildingfinal!D1242</f>
        <v>0</v>
      </c>
      <c r="F1243" s="1235">
        <f t="shared" si="68"/>
        <v>0</v>
      </c>
    </row>
    <row r="1244" spans="1:6" hidden="1">
      <c r="A1244" s="1233">
        <f>buildingfinal!A1243</f>
        <v>0</v>
      </c>
      <c r="B1244" s="1521">
        <f>buildingfinal!Q1243</f>
        <v>0</v>
      </c>
      <c r="C1244" s="1239">
        <f>buildingfinal!B1243</f>
        <v>0</v>
      </c>
      <c r="D1244" s="1235">
        <f>buildingfinal!C1243</f>
        <v>0</v>
      </c>
      <c r="E1244" s="1235">
        <f>buildingfinal!D1243</f>
        <v>0</v>
      </c>
      <c r="F1244" s="1235">
        <f t="shared" si="68"/>
        <v>0</v>
      </c>
    </row>
    <row r="1245" spans="1:6" hidden="1">
      <c r="A1245" s="1233">
        <f>buildingfinal!A1244</f>
        <v>0</v>
      </c>
      <c r="B1245" s="1521">
        <f>buildingfinal!Q1244</f>
        <v>0</v>
      </c>
      <c r="C1245" s="1239">
        <f>buildingfinal!B1244</f>
        <v>0</v>
      </c>
      <c r="D1245" s="1235">
        <f>buildingfinal!C1244</f>
        <v>0</v>
      </c>
      <c r="E1245" s="1235">
        <f>buildingfinal!D1244</f>
        <v>0</v>
      </c>
      <c r="F1245" s="1235">
        <f t="shared" si="68"/>
        <v>0</v>
      </c>
    </row>
    <row r="1246" spans="1:6" hidden="1">
      <c r="A1246" s="1233">
        <f>buildingfinal!A1245</f>
        <v>0</v>
      </c>
      <c r="B1246" s="1521">
        <f>buildingfinal!Q1245</f>
        <v>0</v>
      </c>
      <c r="C1246" s="1239">
        <f>buildingfinal!B1245</f>
        <v>0</v>
      </c>
      <c r="D1246" s="1235">
        <f>buildingfinal!C1245</f>
        <v>0</v>
      </c>
      <c r="E1246" s="1235">
        <f>buildingfinal!D1245</f>
        <v>0</v>
      </c>
      <c r="F1246" s="1235">
        <f t="shared" si="68"/>
        <v>0</v>
      </c>
    </row>
    <row r="1247" spans="1:6" hidden="1">
      <c r="A1247" s="1233">
        <f>buildingfinal!A1246</f>
        <v>0</v>
      </c>
      <c r="B1247" s="1521">
        <f>buildingfinal!Q1246</f>
        <v>0</v>
      </c>
      <c r="C1247" s="1239">
        <f>buildingfinal!B1246</f>
        <v>0</v>
      </c>
      <c r="D1247" s="1235">
        <f>buildingfinal!C1246</f>
        <v>0</v>
      </c>
      <c r="E1247" s="1235">
        <f>buildingfinal!D1246</f>
        <v>0</v>
      </c>
      <c r="F1247" s="1235">
        <f t="shared" si="68"/>
        <v>0</v>
      </c>
    </row>
    <row r="1248" spans="1:6" hidden="1">
      <c r="A1248" s="1233">
        <f>buildingfinal!A1247</f>
        <v>0</v>
      </c>
      <c r="B1248" s="1521">
        <f>buildingfinal!Q1247</f>
        <v>0</v>
      </c>
      <c r="C1248" s="1239">
        <f>buildingfinal!B1247</f>
        <v>0</v>
      </c>
      <c r="D1248" s="1235">
        <f>buildingfinal!C1247</f>
        <v>0</v>
      </c>
      <c r="E1248" s="1235">
        <f>buildingfinal!D1247</f>
        <v>0</v>
      </c>
      <c r="F1248" s="1235">
        <f t="shared" si="68"/>
        <v>0</v>
      </c>
    </row>
    <row r="1249" spans="1:6" hidden="1">
      <c r="A1249" s="1233">
        <f>buildingfinal!A1248</f>
        <v>0</v>
      </c>
      <c r="B1249" s="1521">
        <f>buildingfinal!Q1248</f>
        <v>0</v>
      </c>
      <c r="C1249" s="1239">
        <f>buildingfinal!B1248</f>
        <v>0</v>
      </c>
      <c r="D1249" s="1235">
        <f>buildingfinal!C1248</f>
        <v>0</v>
      </c>
      <c r="E1249" s="1235">
        <f>buildingfinal!D1248</f>
        <v>0</v>
      </c>
      <c r="F1249" s="1235">
        <f t="shared" si="68"/>
        <v>0</v>
      </c>
    </row>
    <row r="1250" spans="1:6" hidden="1">
      <c r="A1250" s="1233">
        <f>buildingfinal!A1249</f>
        <v>0</v>
      </c>
      <c r="B1250" s="1521">
        <f>buildingfinal!Q1249</f>
        <v>0</v>
      </c>
      <c r="C1250" s="1239">
        <f>buildingfinal!B1249</f>
        <v>0</v>
      </c>
      <c r="D1250" s="1235">
        <f>buildingfinal!C1249</f>
        <v>0</v>
      </c>
      <c r="E1250" s="1235">
        <f>buildingfinal!D1249</f>
        <v>0</v>
      </c>
      <c r="F1250" s="1235">
        <f t="shared" si="68"/>
        <v>0</v>
      </c>
    </row>
    <row r="1251" spans="1:6" hidden="1">
      <c r="A1251" s="1233">
        <f>buildingfinal!A1250</f>
        <v>0</v>
      </c>
      <c r="B1251" s="1521">
        <f>buildingfinal!Q1250</f>
        <v>0</v>
      </c>
      <c r="C1251" s="1239">
        <f>buildingfinal!B1250</f>
        <v>0</v>
      </c>
      <c r="D1251" s="1235">
        <f>buildingfinal!C1250</f>
        <v>0</v>
      </c>
      <c r="E1251" s="1235">
        <f>buildingfinal!D1250</f>
        <v>0</v>
      </c>
      <c r="F1251" s="1235">
        <f t="shared" si="68"/>
        <v>0</v>
      </c>
    </row>
    <row r="1252" spans="1:6" hidden="1">
      <c r="A1252" s="1233">
        <f>buildingfinal!A1251</f>
        <v>0</v>
      </c>
      <c r="B1252" s="1521">
        <f>buildingfinal!Q1251</f>
        <v>0</v>
      </c>
      <c r="C1252" s="1239">
        <f>buildingfinal!B1251</f>
        <v>0</v>
      </c>
      <c r="D1252" s="1235">
        <f>buildingfinal!C1251</f>
        <v>0</v>
      </c>
      <c r="E1252" s="1235">
        <f>buildingfinal!D1251</f>
        <v>0</v>
      </c>
      <c r="F1252" s="1235">
        <f t="shared" si="68"/>
        <v>0</v>
      </c>
    </row>
    <row r="1253" spans="1:6" hidden="1">
      <c r="A1253" s="1233">
        <f>buildingfinal!A1252</f>
        <v>0</v>
      </c>
      <c r="B1253" s="1521">
        <f>buildingfinal!Q1252</f>
        <v>0</v>
      </c>
      <c r="C1253" s="1239">
        <f>buildingfinal!B1252</f>
        <v>0</v>
      </c>
      <c r="D1253" s="1235">
        <f>buildingfinal!C1252</f>
        <v>0</v>
      </c>
      <c r="E1253" s="1235">
        <f>buildingfinal!D1252</f>
        <v>0</v>
      </c>
      <c r="F1253" s="1235">
        <f t="shared" si="68"/>
        <v>0</v>
      </c>
    </row>
    <row r="1254" spans="1:6" hidden="1">
      <c r="A1254" s="1233">
        <f>buildingfinal!A1253</f>
        <v>0</v>
      </c>
      <c r="B1254" s="1521">
        <f>buildingfinal!Q1253</f>
        <v>0</v>
      </c>
      <c r="C1254" s="1239">
        <f>buildingfinal!B1253</f>
        <v>0</v>
      </c>
      <c r="D1254" s="1235">
        <f>buildingfinal!C1253</f>
        <v>0</v>
      </c>
      <c r="E1254" s="1235">
        <f>buildingfinal!D1253</f>
        <v>0</v>
      </c>
      <c r="F1254" s="1235">
        <f t="shared" si="68"/>
        <v>0</v>
      </c>
    </row>
    <row r="1255" spans="1:6" hidden="1">
      <c r="A1255" s="1233">
        <f>buildingfinal!A1254</f>
        <v>0</v>
      </c>
      <c r="B1255" s="1521">
        <f>buildingfinal!Q1254</f>
        <v>0</v>
      </c>
      <c r="C1255" s="1239">
        <f>buildingfinal!B1254</f>
        <v>0</v>
      </c>
      <c r="D1255" s="1235">
        <f>buildingfinal!C1254</f>
        <v>0</v>
      </c>
      <c r="E1255" s="1235">
        <f>buildingfinal!D1254</f>
        <v>0</v>
      </c>
      <c r="F1255" s="1235">
        <f t="shared" si="68"/>
        <v>0</v>
      </c>
    </row>
    <row r="1256" spans="1:6" hidden="1">
      <c r="A1256" s="1233">
        <f>buildingfinal!A1255</f>
        <v>0</v>
      </c>
      <c r="B1256" s="1521">
        <f>buildingfinal!Q1255</f>
        <v>0</v>
      </c>
      <c r="C1256" s="1239">
        <f>buildingfinal!B1255</f>
        <v>0</v>
      </c>
      <c r="D1256" s="1235">
        <f>buildingfinal!C1255</f>
        <v>0</v>
      </c>
      <c r="E1256" s="1235">
        <f>buildingfinal!D1255</f>
        <v>0</v>
      </c>
      <c r="F1256" s="1235">
        <f t="shared" si="68"/>
        <v>0</v>
      </c>
    </row>
    <row r="1257" spans="1:6" hidden="1">
      <c r="A1257" s="1233">
        <f>buildingfinal!A1256</f>
        <v>0</v>
      </c>
      <c r="B1257" s="1521">
        <f>buildingfinal!Q1256</f>
        <v>0</v>
      </c>
      <c r="C1257" s="1239">
        <f>buildingfinal!B1256</f>
        <v>0</v>
      </c>
      <c r="D1257" s="1235">
        <f>buildingfinal!C1256</f>
        <v>0</v>
      </c>
      <c r="E1257" s="1235">
        <f>buildingfinal!D1256</f>
        <v>0</v>
      </c>
      <c r="F1257" s="1235">
        <f t="shared" si="68"/>
        <v>0</v>
      </c>
    </row>
    <row r="1258" spans="1:6" hidden="1">
      <c r="A1258" s="1233">
        <f>buildingfinal!A1257</f>
        <v>0</v>
      </c>
      <c r="B1258" s="1521">
        <f>buildingfinal!Q1257</f>
        <v>0</v>
      </c>
      <c r="C1258" s="1239">
        <f>buildingfinal!B1257</f>
        <v>0</v>
      </c>
      <c r="D1258" s="1235">
        <f>buildingfinal!C1257</f>
        <v>0</v>
      </c>
      <c r="E1258" s="1235">
        <f>buildingfinal!D1257</f>
        <v>0</v>
      </c>
      <c r="F1258" s="1235">
        <f t="shared" si="68"/>
        <v>0</v>
      </c>
    </row>
    <row r="1259" spans="1:6" hidden="1">
      <c r="A1259" s="1233">
        <f>buildingfinal!A1258</f>
        <v>0</v>
      </c>
      <c r="B1259" s="1521">
        <f>buildingfinal!Q1258</f>
        <v>0</v>
      </c>
      <c r="C1259" s="1239">
        <f>buildingfinal!B1258</f>
        <v>0</v>
      </c>
      <c r="D1259" s="1235">
        <f>buildingfinal!C1258</f>
        <v>0</v>
      </c>
      <c r="E1259" s="1235">
        <f>buildingfinal!D1258</f>
        <v>0</v>
      </c>
      <c r="F1259" s="1235">
        <f t="shared" si="68"/>
        <v>0</v>
      </c>
    </row>
    <row r="1260" spans="1:6" hidden="1">
      <c r="A1260" s="1233">
        <f>buildingfinal!A1259</f>
        <v>0</v>
      </c>
      <c r="B1260" s="1521">
        <f>buildingfinal!Q1259</f>
        <v>0</v>
      </c>
      <c r="C1260" s="1239">
        <f>buildingfinal!B1259</f>
        <v>0</v>
      </c>
      <c r="D1260" s="1235">
        <f>buildingfinal!C1259</f>
        <v>0</v>
      </c>
      <c r="E1260" s="1235">
        <f>buildingfinal!D1259</f>
        <v>0</v>
      </c>
      <c r="F1260" s="1235">
        <f t="shared" si="68"/>
        <v>0</v>
      </c>
    </row>
    <row r="1261" spans="1:6" hidden="1">
      <c r="A1261" s="1233">
        <f>buildingfinal!A1260</f>
        <v>0</v>
      </c>
      <c r="B1261" s="1521">
        <f>buildingfinal!Q1260</f>
        <v>0</v>
      </c>
      <c r="C1261" s="1239">
        <f>buildingfinal!B1260</f>
        <v>0</v>
      </c>
      <c r="D1261" s="1235">
        <f>buildingfinal!C1260</f>
        <v>0</v>
      </c>
      <c r="E1261" s="1235">
        <f>buildingfinal!D1260</f>
        <v>0</v>
      </c>
      <c r="F1261" s="1235">
        <f t="shared" si="68"/>
        <v>0</v>
      </c>
    </row>
    <row r="1262" spans="1:6" hidden="1">
      <c r="A1262" s="1233">
        <f>buildingfinal!A1261</f>
        <v>0</v>
      </c>
      <c r="B1262" s="1521">
        <f>buildingfinal!Q1261</f>
        <v>0</v>
      </c>
      <c r="C1262" s="1239">
        <f>buildingfinal!B1261</f>
        <v>0</v>
      </c>
      <c r="D1262" s="1235">
        <f>buildingfinal!C1261</f>
        <v>0</v>
      </c>
      <c r="E1262" s="1235">
        <f>buildingfinal!D1261</f>
        <v>0</v>
      </c>
      <c r="F1262" s="1235">
        <f t="shared" si="68"/>
        <v>0</v>
      </c>
    </row>
    <row r="1263" spans="1:6" hidden="1">
      <c r="A1263" s="1233">
        <f>buildingfinal!A1262</f>
        <v>0</v>
      </c>
      <c r="B1263" s="1521">
        <f>buildingfinal!Q1262</f>
        <v>0</v>
      </c>
      <c r="C1263" s="1239">
        <f>buildingfinal!B1262</f>
        <v>0</v>
      </c>
      <c r="D1263" s="1235">
        <f>buildingfinal!C1262</f>
        <v>0</v>
      </c>
      <c r="E1263" s="1235">
        <f>buildingfinal!D1262</f>
        <v>0</v>
      </c>
      <c r="F1263" s="1235">
        <f t="shared" si="68"/>
        <v>0</v>
      </c>
    </row>
    <row r="1264" spans="1:6" hidden="1">
      <c r="A1264" s="1233">
        <f>buildingfinal!A1263</f>
        <v>0</v>
      </c>
      <c r="B1264" s="1521">
        <f>buildingfinal!Q1263</f>
        <v>0</v>
      </c>
      <c r="C1264" s="1239">
        <f>buildingfinal!B1263</f>
        <v>0</v>
      </c>
      <c r="D1264" s="1235">
        <f>buildingfinal!C1263</f>
        <v>0</v>
      </c>
      <c r="E1264" s="1235">
        <f>buildingfinal!D1263</f>
        <v>0</v>
      </c>
      <c r="F1264" s="1235">
        <f t="shared" si="68"/>
        <v>0</v>
      </c>
    </row>
    <row r="1265" spans="1:6" hidden="1">
      <c r="A1265" s="1233">
        <f>buildingfinal!A1264</f>
        <v>0</v>
      </c>
      <c r="B1265" s="1521">
        <f>buildingfinal!Q1264</f>
        <v>0</v>
      </c>
      <c r="C1265" s="1239">
        <f>buildingfinal!B1264</f>
        <v>0</v>
      </c>
      <c r="D1265" s="1235">
        <f>buildingfinal!C1264</f>
        <v>0</v>
      </c>
      <c r="E1265" s="1235">
        <f>buildingfinal!D1264</f>
        <v>0</v>
      </c>
      <c r="F1265" s="1235">
        <f t="shared" si="68"/>
        <v>0</v>
      </c>
    </row>
    <row r="1266" spans="1:6" hidden="1">
      <c r="A1266" s="1233">
        <f>buildingfinal!A1265</f>
        <v>0</v>
      </c>
      <c r="B1266" s="1521">
        <f>buildingfinal!Q1265</f>
        <v>0</v>
      </c>
      <c r="C1266" s="1239">
        <f>buildingfinal!B1265</f>
        <v>0</v>
      </c>
      <c r="D1266" s="1235">
        <f>buildingfinal!C1265</f>
        <v>0</v>
      </c>
      <c r="E1266" s="1235">
        <f>buildingfinal!D1265</f>
        <v>0</v>
      </c>
      <c r="F1266" s="1235">
        <f t="shared" si="68"/>
        <v>0</v>
      </c>
    </row>
    <row r="1267" spans="1:6" hidden="1">
      <c r="A1267" s="1233">
        <f>buildingfinal!A1266</f>
        <v>0</v>
      </c>
      <c r="B1267" s="1521">
        <f>buildingfinal!Q1266</f>
        <v>0</v>
      </c>
      <c r="C1267" s="1239">
        <f>buildingfinal!B1266</f>
        <v>0</v>
      </c>
      <c r="D1267" s="1235">
        <f>buildingfinal!C1266</f>
        <v>0</v>
      </c>
      <c r="E1267" s="1235">
        <f>buildingfinal!D1266</f>
        <v>0</v>
      </c>
      <c r="F1267" s="1235">
        <f t="shared" si="68"/>
        <v>0</v>
      </c>
    </row>
    <row r="1268" spans="1:6" hidden="1">
      <c r="A1268" s="1233">
        <f>buildingfinal!A1267</f>
        <v>0</v>
      </c>
      <c r="B1268" s="1521">
        <f>buildingfinal!Q1267</f>
        <v>0</v>
      </c>
      <c r="C1268" s="1239">
        <f>buildingfinal!B1267</f>
        <v>0</v>
      </c>
      <c r="D1268" s="1235">
        <f>buildingfinal!C1267</f>
        <v>0</v>
      </c>
      <c r="E1268" s="1235">
        <f>buildingfinal!D1267</f>
        <v>0</v>
      </c>
      <c r="F1268" s="1235">
        <f t="shared" si="68"/>
        <v>0</v>
      </c>
    </row>
    <row r="1269" spans="1:6" hidden="1">
      <c r="A1269" s="1233">
        <f>buildingfinal!A1268</f>
        <v>0</v>
      </c>
      <c r="B1269" s="1521">
        <f>buildingfinal!Q1268</f>
        <v>0</v>
      </c>
      <c r="C1269" s="1239">
        <f>buildingfinal!B1268</f>
        <v>0</v>
      </c>
      <c r="D1269" s="1235">
        <f>buildingfinal!C1268</f>
        <v>0</v>
      </c>
      <c r="E1269" s="1235">
        <f>buildingfinal!D1268</f>
        <v>0</v>
      </c>
      <c r="F1269" s="1235">
        <f t="shared" si="68"/>
        <v>0</v>
      </c>
    </row>
    <row r="1270" spans="1:6" hidden="1">
      <c r="A1270" s="1233">
        <f>buildingfinal!A1269</f>
        <v>0</v>
      </c>
      <c r="B1270" s="1521">
        <f>buildingfinal!Q1269</f>
        <v>0</v>
      </c>
      <c r="C1270" s="1239">
        <f>buildingfinal!B1269</f>
        <v>0</v>
      </c>
      <c r="D1270" s="1235">
        <f>buildingfinal!C1269</f>
        <v>0</v>
      </c>
      <c r="E1270" s="1235">
        <f>buildingfinal!D1269</f>
        <v>0</v>
      </c>
      <c r="F1270" s="1235">
        <f t="shared" si="68"/>
        <v>0</v>
      </c>
    </row>
    <row r="1271" spans="1:6" hidden="1">
      <c r="A1271" s="1233">
        <f>buildingfinal!A1270</f>
        <v>0</v>
      </c>
      <c r="B1271" s="1521">
        <f>buildingfinal!Q1270</f>
        <v>0</v>
      </c>
      <c r="C1271" s="1239">
        <f>buildingfinal!B1270</f>
        <v>0</v>
      </c>
      <c r="D1271" s="1235">
        <f>buildingfinal!C1270</f>
        <v>0</v>
      </c>
      <c r="E1271" s="1235">
        <f>buildingfinal!D1270</f>
        <v>0</v>
      </c>
      <c r="F1271" s="1235">
        <f t="shared" si="68"/>
        <v>0</v>
      </c>
    </row>
    <row r="1272" spans="1:6" hidden="1">
      <c r="A1272" s="1233">
        <f>buildingfinal!A1271</f>
        <v>0</v>
      </c>
      <c r="B1272" s="1521">
        <f>buildingfinal!Q1271</f>
        <v>0</v>
      </c>
      <c r="C1272" s="1239">
        <f>buildingfinal!B1271</f>
        <v>0</v>
      </c>
      <c r="D1272" s="1235">
        <f>buildingfinal!C1271</f>
        <v>0</v>
      </c>
      <c r="E1272" s="1235">
        <f>buildingfinal!D1271</f>
        <v>0</v>
      </c>
      <c r="F1272" s="1235">
        <f t="shared" si="68"/>
        <v>0</v>
      </c>
    </row>
    <row r="1273" spans="1:6" hidden="1">
      <c r="A1273" s="1233">
        <f>buildingfinal!A1272</f>
        <v>0</v>
      </c>
      <c r="B1273" s="1521">
        <f>buildingfinal!Q1272</f>
        <v>0</v>
      </c>
      <c r="C1273" s="1239">
        <f>buildingfinal!B1272</f>
        <v>0</v>
      </c>
      <c r="D1273" s="1235">
        <f>buildingfinal!C1272</f>
        <v>0</v>
      </c>
      <c r="E1273" s="1235">
        <f>buildingfinal!D1272</f>
        <v>0</v>
      </c>
      <c r="F1273" s="1235">
        <f t="shared" si="68"/>
        <v>0</v>
      </c>
    </row>
    <row r="1274" spans="1:6" hidden="1">
      <c r="A1274" s="1233">
        <f>buildingfinal!A1273</f>
        <v>0</v>
      </c>
      <c r="B1274" s="1521">
        <f>buildingfinal!Q1273</f>
        <v>0</v>
      </c>
      <c r="C1274" s="1239">
        <f>buildingfinal!B1273</f>
        <v>0</v>
      </c>
      <c r="D1274" s="1235">
        <f>buildingfinal!C1273</f>
        <v>0</v>
      </c>
      <c r="E1274" s="1235">
        <f>buildingfinal!D1273</f>
        <v>0</v>
      </c>
      <c r="F1274" s="1235">
        <f t="shared" si="68"/>
        <v>0</v>
      </c>
    </row>
    <row r="1275" spans="1:6" hidden="1">
      <c r="A1275" s="1233">
        <f>buildingfinal!A1274</f>
        <v>0</v>
      </c>
      <c r="B1275" s="1521">
        <f>buildingfinal!Q1274</f>
        <v>0</v>
      </c>
      <c r="C1275" s="1239">
        <f>buildingfinal!B1274</f>
        <v>0</v>
      </c>
      <c r="D1275" s="1235">
        <f>buildingfinal!C1274</f>
        <v>0</v>
      </c>
      <c r="E1275" s="1235">
        <f>buildingfinal!D1274</f>
        <v>0</v>
      </c>
      <c r="F1275" s="1235">
        <f t="shared" si="68"/>
        <v>0</v>
      </c>
    </row>
    <row r="1276" spans="1:6" hidden="1">
      <c r="A1276" s="1233">
        <f>buildingfinal!A1275</f>
        <v>0</v>
      </c>
      <c r="B1276" s="1521">
        <f>buildingfinal!Q1275</f>
        <v>0</v>
      </c>
      <c r="C1276" s="1239">
        <f>buildingfinal!B1275</f>
        <v>0</v>
      </c>
      <c r="D1276" s="1235">
        <f>buildingfinal!C1275</f>
        <v>0</v>
      </c>
      <c r="E1276" s="1235">
        <f>buildingfinal!D1275</f>
        <v>0</v>
      </c>
      <c r="F1276" s="1235">
        <f t="shared" si="68"/>
        <v>0</v>
      </c>
    </row>
    <row r="1277" spans="1:6" hidden="1">
      <c r="A1277" s="1233">
        <f>buildingfinal!A1276</f>
        <v>0</v>
      </c>
      <c r="B1277" s="1521">
        <f>buildingfinal!Q1276</f>
        <v>0</v>
      </c>
      <c r="C1277" s="1239">
        <f>buildingfinal!B1276</f>
        <v>0</v>
      </c>
      <c r="D1277" s="1235">
        <f>buildingfinal!C1276</f>
        <v>0</v>
      </c>
      <c r="E1277" s="1235">
        <f>buildingfinal!D1276</f>
        <v>0</v>
      </c>
      <c r="F1277" s="1235">
        <f t="shared" si="68"/>
        <v>0</v>
      </c>
    </row>
    <row r="1278" spans="1:6" hidden="1">
      <c r="A1278" s="1233">
        <f>buildingfinal!A1277</f>
        <v>0</v>
      </c>
      <c r="B1278" s="1521">
        <f>buildingfinal!Q1277</f>
        <v>0</v>
      </c>
      <c r="C1278" s="1239">
        <f>buildingfinal!B1277</f>
        <v>0</v>
      </c>
      <c r="D1278" s="1235">
        <f>buildingfinal!C1277</f>
        <v>0</v>
      </c>
      <c r="E1278" s="1235">
        <f>buildingfinal!D1277</f>
        <v>0</v>
      </c>
      <c r="F1278" s="1235">
        <f t="shared" si="68"/>
        <v>0</v>
      </c>
    </row>
    <row r="1279" spans="1:6" hidden="1">
      <c r="A1279" s="1233">
        <f>buildingfinal!A1278</f>
        <v>0</v>
      </c>
      <c r="B1279" s="1521">
        <f>buildingfinal!Q1278</f>
        <v>0</v>
      </c>
      <c r="C1279" s="1239">
        <f>buildingfinal!B1278</f>
        <v>0</v>
      </c>
      <c r="D1279" s="1235">
        <f>buildingfinal!C1278</f>
        <v>0</v>
      </c>
      <c r="E1279" s="1235">
        <f>buildingfinal!D1278</f>
        <v>0</v>
      </c>
      <c r="F1279" s="1235">
        <f t="shared" si="68"/>
        <v>0</v>
      </c>
    </row>
    <row r="1280" spans="1:6" hidden="1">
      <c r="A1280" s="1233">
        <f>buildingfinal!A1279</f>
        <v>0</v>
      </c>
      <c r="B1280" s="1521">
        <f>buildingfinal!Q1279</f>
        <v>0</v>
      </c>
      <c r="C1280" s="1239">
        <f>buildingfinal!B1279</f>
        <v>0</v>
      </c>
      <c r="D1280" s="1235">
        <f>buildingfinal!C1279</f>
        <v>0</v>
      </c>
      <c r="E1280" s="1235">
        <f>buildingfinal!D1279</f>
        <v>0</v>
      </c>
      <c r="F1280" s="1235">
        <f t="shared" si="68"/>
        <v>0</v>
      </c>
    </row>
    <row r="1281" spans="1:6" hidden="1">
      <c r="A1281" s="1233">
        <f>buildingfinal!A1280</f>
        <v>0</v>
      </c>
      <c r="B1281" s="1521">
        <f>buildingfinal!Q1280</f>
        <v>0</v>
      </c>
      <c r="C1281" s="1239">
        <f>buildingfinal!B1280</f>
        <v>0</v>
      </c>
      <c r="D1281" s="1235">
        <f>buildingfinal!C1280</f>
        <v>0</v>
      </c>
      <c r="E1281" s="1235">
        <f>buildingfinal!D1280</f>
        <v>0</v>
      </c>
      <c r="F1281" s="1235">
        <f t="shared" si="68"/>
        <v>0</v>
      </c>
    </row>
    <row r="1282" spans="1:6" hidden="1">
      <c r="A1282" s="1233">
        <f>buildingfinal!A1281</f>
        <v>0</v>
      </c>
      <c r="B1282" s="1521">
        <f>buildingfinal!Q1281</f>
        <v>0</v>
      </c>
      <c r="C1282" s="1239">
        <f>buildingfinal!B1281</f>
        <v>0</v>
      </c>
      <c r="D1282" s="1235">
        <f>buildingfinal!C1281</f>
        <v>0</v>
      </c>
      <c r="E1282" s="1235">
        <f>buildingfinal!D1281</f>
        <v>0</v>
      </c>
      <c r="F1282" s="1235">
        <f t="shared" si="68"/>
        <v>0</v>
      </c>
    </row>
    <row r="1283" spans="1:6" hidden="1">
      <c r="A1283" s="1233">
        <f>buildingfinal!A1282</f>
        <v>0</v>
      </c>
      <c r="B1283" s="1521">
        <f>buildingfinal!Q1282</f>
        <v>0</v>
      </c>
      <c r="C1283" s="1239">
        <f>buildingfinal!B1282</f>
        <v>0</v>
      </c>
      <c r="D1283" s="1235">
        <f>buildingfinal!C1282</f>
        <v>0</v>
      </c>
      <c r="E1283" s="1235">
        <f>buildingfinal!D1282</f>
        <v>0</v>
      </c>
      <c r="F1283" s="1235">
        <f t="shared" si="68"/>
        <v>0</v>
      </c>
    </row>
    <row r="1284" spans="1:6" hidden="1">
      <c r="A1284" s="1233">
        <f>buildingfinal!A1283</f>
        <v>0</v>
      </c>
      <c r="B1284" s="1521">
        <f>buildingfinal!Q1283</f>
        <v>0</v>
      </c>
      <c r="C1284" s="1239">
        <f>buildingfinal!B1283</f>
        <v>0</v>
      </c>
      <c r="D1284" s="1235">
        <f>buildingfinal!C1283</f>
        <v>0</v>
      </c>
      <c r="E1284" s="1235">
        <f>buildingfinal!D1283</f>
        <v>0</v>
      </c>
      <c r="F1284" s="1235">
        <f t="shared" si="68"/>
        <v>0</v>
      </c>
    </row>
    <row r="1285" spans="1:6" hidden="1">
      <c r="A1285" s="1233">
        <f>buildingfinal!A1284</f>
        <v>0</v>
      </c>
      <c r="B1285" s="1521">
        <f>buildingfinal!Q1284</f>
        <v>0</v>
      </c>
      <c r="C1285" s="1239">
        <f>buildingfinal!B1284</f>
        <v>0</v>
      </c>
      <c r="D1285" s="1235">
        <f>buildingfinal!C1284</f>
        <v>0</v>
      </c>
      <c r="E1285" s="1235">
        <f>buildingfinal!D1284</f>
        <v>0</v>
      </c>
      <c r="F1285" s="1235">
        <f t="shared" si="68"/>
        <v>0</v>
      </c>
    </row>
    <row r="1286" spans="1:6" hidden="1">
      <c r="A1286" s="1233">
        <f>buildingfinal!A1285</f>
        <v>0</v>
      </c>
      <c r="B1286" s="1521">
        <f>buildingfinal!Q1285</f>
        <v>0</v>
      </c>
      <c r="C1286" s="1239">
        <f>buildingfinal!B1285</f>
        <v>0</v>
      </c>
      <c r="D1286" s="1235">
        <f>buildingfinal!C1285</f>
        <v>0</v>
      </c>
      <c r="E1286" s="1235">
        <f>buildingfinal!D1285</f>
        <v>0</v>
      </c>
      <c r="F1286" s="1235">
        <f t="shared" si="68"/>
        <v>0</v>
      </c>
    </row>
    <row r="1287" spans="1:6" hidden="1">
      <c r="A1287" s="1233">
        <f>buildingfinal!A1286</f>
        <v>0</v>
      </c>
      <c r="B1287" s="1521">
        <f>buildingfinal!Q1286</f>
        <v>0</v>
      </c>
      <c r="C1287" s="1239">
        <f>buildingfinal!B1286</f>
        <v>0</v>
      </c>
      <c r="D1287" s="1235">
        <f>buildingfinal!C1286</f>
        <v>0</v>
      </c>
      <c r="E1287" s="1235">
        <f>buildingfinal!D1286</f>
        <v>0</v>
      </c>
      <c r="F1287" s="1235">
        <f t="shared" si="68"/>
        <v>0</v>
      </c>
    </row>
    <row r="1288" spans="1:6" hidden="1">
      <c r="A1288" s="1233">
        <f>buildingfinal!A1287</f>
        <v>0</v>
      </c>
      <c r="B1288" s="1521">
        <f>buildingfinal!Q1287</f>
        <v>0</v>
      </c>
      <c r="C1288" s="1239">
        <f>buildingfinal!B1287</f>
        <v>0</v>
      </c>
      <c r="D1288" s="1235">
        <f>buildingfinal!C1287</f>
        <v>0</v>
      </c>
      <c r="E1288" s="1235">
        <f>buildingfinal!D1287</f>
        <v>0</v>
      </c>
      <c r="F1288" s="1235">
        <f t="shared" ref="F1288:F1351" si="69">D1288*B1288</f>
        <v>0</v>
      </c>
    </row>
    <row r="1289" spans="1:6" hidden="1">
      <c r="A1289" s="1233">
        <f>buildingfinal!A1288</f>
        <v>0</v>
      </c>
      <c r="B1289" s="1521">
        <f>buildingfinal!Q1288</f>
        <v>0</v>
      </c>
      <c r="C1289" s="1239">
        <f>buildingfinal!B1288</f>
        <v>0</v>
      </c>
      <c r="D1289" s="1235">
        <f>buildingfinal!C1288</f>
        <v>0</v>
      </c>
      <c r="E1289" s="1235">
        <f>buildingfinal!D1288</f>
        <v>0</v>
      </c>
      <c r="F1289" s="1235">
        <f t="shared" si="69"/>
        <v>0</v>
      </c>
    </row>
    <row r="1290" spans="1:6" hidden="1">
      <c r="A1290" s="1233">
        <f>buildingfinal!A1289</f>
        <v>0</v>
      </c>
      <c r="B1290" s="1521">
        <f>buildingfinal!Q1289</f>
        <v>0</v>
      </c>
      <c r="C1290" s="1239">
        <f>buildingfinal!B1289</f>
        <v>0</v>
      </c>
      <c r="D1290" s="1235">
        <f>buildingfinal!C1289</f>
        <v>0</v>
      </c>
      <c r="E1290" s="1235">
        <f>buildingfinal!D1289</f>
        <v>0</v>
      </c>
      <c r="F1290" s="1235">
        <f t="shared" si="69"/>
        <v>0</v>
      </c>
    </row>
    <row r="1291" spans="1:6" hidden="1">
      <c r="A1291" s="1233">
        <f>buildingfinal!A1290</f>
        <v>0</v>
      </c>
      <c r="B1291" s="1521">
        <f>buildingfinal!Q1290</f>
        <v>0</v>
      </c>
      <c r="C1291" s="1239">
        <f>buildingfinal!B1290</f>
        <v>0</v>
      </c>
      <c r="D1291" s="1235">
        <f>buildingfinal!C1290</f>
        <v>0</v>
      </c>
      <c r="E1291" s="1235">
        <f>buildingfinal!D1290</f>
        <v>0</v>
      </c>
      <c r="F1291" s="1235">
        <f t="shared" si="69"/>
        <v>0</v>
      </c>
    </row>
    <row r="1292" spans="1:6" hidden="1">
      <c r="A1292" s="1233">
        <f>buildingfinal!A1291</f>
        <v>0</v>
      </c>
      <c r="B1292" s="1521">
        <f>buildingfinal!Q1291</f>
        <v>0</v>
      </c>
      <c r="C1292" s="1239">
        <f>buildingfinal!B1291</f>
        <v>0</v>
      </c>
      <c r="D1292" s="1235">
        <f>buildingfinal!C1291</f>
        <v>0</v>
      </c>
      <c r="E1292" s="1235">
        <f>buildingfinal!D1291</f>
        <v>0</v>
      </c>
      <c r="F1292" s="1235">
        <f t="shared" si="69"/>
        <v>0</v>
      </c>
    </row>
    <row r="1293" spans="1:6" hidden="1">
      <c r="A1293" s="1233">
        <f>buildingfinal!A1292</f>
        <v>0</v>
      </c>
      <c r="B1293" s="1521">
        <f>buildingfinal!Q1292</f>
        <v>0</v>
      </c>
      <c r="C1293" s="1239">
        <f>buildingfinal!B1292</f>
        <v>0</v>
      </c>
      <c r="D1293" s="1235">
        <f>buildingfinal!C1292</f>
        <v>0</v>
      </c>
      <c r="E1293" s="1235">
        <f>buildingfinal!D1292</f>
        <v>0</v>
      </c>
      <c r="F1293" s="1235">
        <f t="shared" si="69"/>
        <v>0</v>
      </c>
    </row>
    <row r="1294" spans="1:6" hidden="1">
      <c r="A1294" s="1233">
        <f>buildingfinal!A1293</f>
        <v>0</v>
      </c>
      <c r="B1294" s="1521">
        <f>buildingfinal!Q1293</f>
        <v>0</v>
      </c>
      <c r="C1294" s="1239">
        <f>buildingfinal!B1293</f>
        <v>0</v>
      </c>
      <c r="D1294" s="1235">
        <f>buildingfinal!C1293</f>
        <v>0</v>
      </c>
      <c r="E1294" s="1235">
        <f>buildingfinal!D1293</f>
        <v>0</v>
      </c>
      <c r="F1294" s="1235">
        <f t="shared" si="69"/>
        <v>0</v>
      </c>
    </row>
    <row r="1295" spans="1:6" hidden="1">
      <c r="A1295" s="1233">
        <f>buildingfinal!A1294</f>
        <v>0</v>
      </c>
      <c r="B1295" s="1521">
        <f>buildingfinal!Q1294</f>
        <v>0</v>
      </c>
      <c r="C1295" s="1239">
        <f>buildingfinal!B1294</f>
        <v>0</v>
      </c>
      <c r="D1295" s="1235">
        <f>buildingfinal!C1294</f>
        <v>0</v>
      </c>
      <c r="E1295" s="1235">
        <f>buildingfinal!D1294</f>
        <v>0</v>
      </c>
      <c r="F1295" s="1235">
        <f t="shared" si="69"/>
        <v>0</v>
      </c>
    </row>
    <row r="1296" spans="1:6" hidden="1">
      <c r="A1296" s="1233">
        <f>buildingfinal!A1295</f>
        <v>0</v>
      </c>
      <c r="B1296" s="1521">
        <f>buildingfinal!Q1295</f>
        <v>0</v>
      </c>
      <c r="C1296" s="1239">
        <f>buildingfinal!B1295</f>
        <v>0</v>
      </c>
      <c r="D1296" s="1235">
        <f>buildingfinal!C1295</f>
        <v>0</v>
      </c>
      <c r="E1296" s="1235">
        <f>buildingfinal!D1295</f>
        <v>0</v>
      </c>
      <c r="F1296" s="1235">
        <f t="shared" si="69"/>
        <v>0</v>
      </c>
    </row>
    <row r="1297" spans="1:6" hidden="1">
      <c r="A1297" s="1233">
        <f>buildingfinal!A1296</f>
        <v>0</v>
      </c>
      <c r="B1297" s="1521">
        <f>buildingfinal!Q1296</f>
        <v>0</v>
      </c>
      <c r="C1297" s="1239">
        <f>buildingfinal!B1296</f>
        <v>0</v>
      </c>
      <c r="D1297" s="1235">
        <f>buildingfinal!C1296</f>
        <v>0</v>
      </c>
      <c r="E1297" s="1235">
        <f>buildingfinal!D1296</f>
        <v>0</v>
      </c>
      <c r="F1297" s="1235">
        <f t="shared" si="69"/>
        <v>0</v>
      </c>
    </row>
    <row r="1298" spans="1:6" hidden="1">
      <c r="A1298" s="1233">
        <f>buildingfinal!A1297</f>
        <v>0</v>
      </c>
      <c r="B1298" s="1521">
        <f>buildingfinal!Q1297</f>
        <v>0</v>
      </c>
      <c r="C1298" s="1239">
        <f>buildingfinal!B1297</f>
        <v>0</v>
      </c>
      <c r="D1298" s="1235">
        <f>buildingfinal!C1297</f>
        <v>0</v>
      </c>
      <c r="E1298" s="1235">
        <f>buildingfinal!D1297</f>
        <v>0</v>
      </c>
      <c r="F1298" s="1235">
        <f t="shared" si="69"/>
        <v>0</v>
      </c>
    </row>
    <row r="1299" spans="1:6" hidden="1">
      <c r="A1299" s="1233">
        <f>buildingfinal!A1298</f>
        <v>0</v>
      </c>
      <c r="B1299" s="1521">
        <f>buildingfinal!Q1298</f>
        <v>0</v>
      </c>
      <c r="C1299" s="1239">
        <f>buildingfinal!B1298</f>
        <v>0</v>
      </c>
      <c r="D1299" s="1235">
        <f>buildingfinal!C1298</f>
        <v>0</v>
      </c>
      <c r="E1299" s="1235">
        <f>buildingfinal!D1298</f>
        <v>0</v>
      </c>
      <c r="F1299" s="1235">
        <f t="shared" si="69"/>
        <v>0</v>
      </c>
    </row>
    <row r="1300" spans="1:6" hidden="1">
      <c r="F1300" s="1235">
        <f t="shared" si="69"/>
        <v>0</v>
      </c>
    </row>
    <row r="1301" spans="1:6" hidden="1">
      <c r="F1301" s="1235">
        <f t="shared" si="69"/>
        <v>0</v>
      </c>
    </row>
    <row r="1302" spans="1:6" hidden="1">
      <c r="F1302" s="1235">
        <f t="shared" si="69"/>
        <v>0</v>
      </c>
    </row>
    <row r="1303" spans="1:6" hidden="1">
      <c r="F1303" s="1235">
        <f t="shared" si="69"/>
        <v>0</v>
      </c>
    </row>
    <row r="1304" spans="1:6" hidden="1">
      <c r="F1304" s="1235">
        <f t="shared" si="69"/>
        <v>0</v>
      </c>
    </row>
    <row r="1305" spans="1:6" hidden="1">
      <c r="F1305" s="1235">
        <f t="shared" si="69"/>
        <v>0</v>
      </c>
    </row>
    <row r="1306" spans="1:6" hidden="1">
      <c r="F1306" s="1235">
        <f t="shared" si="69"/>
        <v>0</v>
      </c>
    </row>
    <row r="1307" spans="1:6" hidden="1">
      <c r="F1307" s="1235">
        <f t="shared" si="69"/>
        <v>0</v>
      </c>
    </row>
    <row r="1308" spans="1:6" hidden="1">
      <c r="F1308" s="1235">
        <f t="shared" si="69"/>
        <v>0</v>
      </c>
    </row>
    <row r="1309" spans="1:6" hidden="1">
      <c r="F1309" s="1235">
        <f t="shared" si="69"/>
        <v>0</v>
      </c>
    </row>
    <row r="1310" spans="1:6" hidden="1">
      <c r="F1310" s="1235">
        <f t="shared" si="69"/>
        <v>0</v>
      </c>
    </row>
    <row r="1311" spans="1:6" hidden="1">
      <c r="F1311" s="1235">
        <f t="shared" si="69"/>
        <v>0</v>
      </c>
    </row>
    <row r="1312" spans="1:6" hidden="1">
      <c r="F1312" s="1235">
        <f t="shared" si="69"/>
        <v>0</v>
      </c>
    </row>
    <row r="1313" spans="6:6" hidden="1">
      <c r="F1313" s="1235">
        <f t="shared" si="69"/>
        <v>0</v>
      </c>
    </row>
    <row r="1314" spans="6:6" hidden="1">
      <c r="F1314" s="1235">
        <f t="shared" si="69"/>
        <v>0</v>
      </c>
    </row>
    <row r="1315" spans="6:6" hidden="1">
      <c r="F1315" s="1235">
        <f t="shared" si="69"/>
        <v>0</v>
      </c>
    </row>
    <row r="1316" spans="6:6" hidden="1">
      <c r="F1316" s="1235">
        <f t="shared" si="69"/>
        <v>0</v>
      </c>
    </row>
    <row r="1317" spans="6:6" hidden="1">
      <c r="F1317" s="1235">
        <f t="shared" si="69"/>
        <v>0</v>
      </c>
    </row>
    <row r="1318" spans="6:6" hidden="1">
      <c r="F1318" s="1235">
        <f t="shared" si="69"/>
        <v>0</v>
      </c>
    </row>
    <row r="1319" spans="6:6" hidden="1">
      <c r="F1319" s="1235">
        <f t="shared" si="69"/>
        <v>0</v>
      </c>
    </row>
    <row r="1320" spans="6:6" hidden="1">
      <c r="F1320" s="1235">
        <f t="shared" si="69"/>
        <v>0</v>
      </c>
    </row>
    <row r="1321" spans="6:6" hidden="1">
      <c r="F1321" s="1235">
        <f t="shared" si="69"/>
        <v>0</v>
      </c>
    </row>
    <row r="1322" spans="6:6" hidden="1">
      <c r="F1322" s="1235">
        <f t="shared" si="69"/>
        <v>0</v>
      </c>
    </row>
    <row r="1323" spans="6:6" hidden="1">
      <c r="F1323" s="1235">
        <f t="shared" si="69"/>
        <v>0</v>
      </c>
    </row>
    <row r="1324" spans="6:6" hidden="1">
      <c r="F1324" s="1235">
        <f t="shared" si="69"/>
        <v>0</v>
      </c>
    </row>
    <row r="1325" spans="6:6" hidden="1">
      <c r="F1325" s="1235">
        <f t="shared" si="69"/>
        <v>0</v>
      </c>
    </row>
    <row r="1326" spans="6:6" hidden="1">
      <c r="F1326" s="1235">
        <f t="shared" si="69"/>
        <v>0</v>
      </c>
    </row>
    <row r="1327" spans="6:6" hidden="1">
      <c r="F1327" s="1235">
        <f t="shared" si="69"/>
        <v>0</v>
      </c>
    </row>
    <row r="1328" spans="6:6" hidden="1">
      <c r="F1328" s="1235">
        <f t="shared" si="69"/>
        <v>0</v>
      </c>
    </row>
    <row r="1329" spans="6:6" hidden="1">
      <c r="F1329" s="1235">
        <f t="shared" si="69"/>
        <v>0</v>
      </c>
    </row>
    <row r="1330" spans="6:6" hidden="1">
      <c r="F1330" s="1235">
        <f t="shared" si="69"/>
        <v>0</v>
      </c>
    </row>
    <row r="1331" spans="6:6" hidden="1">
      <c r="F1331" s="1235">
        <f t="shared" si="69"/>
        <v>0</v>
      </c>
    </row>
    <row r="1332" spans="6:6" hidden="1">
      <c r="F1332" s="1235">
        <f t="shared" si="69"/>
        <v>0</v>
      </c>
    </row>
    <row r="1333" spans="6:6" hidden="1">
      <c r="F1333" s="1235">
        <f t="shared" si="69"/>
        <v>0</v>
      </c>
    </row>
    <row r="1334" spans="6:6" hidden="1">
      <c r="F1334" s="1235">
        <f t="shared" si="69"/>
        <v>0</v>
      </c>
    </row>
    <row r="1335" spans="6:6" hidden="1">
      <c r="F1335" s="1235">
        <f t="shared" si="69"/>
        <v>0</v>
      </c>
    </row>
    <row r="1336" spans="6:6" hidden="1">
      <c r="F1336" s="1235">
        <f t="shared" si="69"/>
        <v>0</v>
      </c>
    </row>
    <row r="1337" spans="6:6" hidden="1">
      <c r="F1337" s="1235">
        <f t="shared" si="69"/>
        <v>0</v>
      </c>
    </row>
    <row r="1338" spans="6:6" hidden="1">
      <c r="F1338" s="1235">
        <f t="shared" si="69"/>
        <v>0</v>
      </c>
    </row>
    <row r="1339" spans="6:6" hidden="1">
      <c r="F1339" s="1235">
        <f t="shared" si="69"/>
        <v>0</v>
      </c>
    </row>
    <row r="1340" spans="6:6" hidden="1">
      <c r="F1340" s="1235">
        <f t="shared" si="69"/>
        <v>0</v>
      </c>
    </row>
    <row r="1341" spans="6:6" hidden="1">
      <c r="F1341" s="1235">
        <f t="shared" si="69"/>
        <v>0</v>
      </c>
    </row>
    <row r="1342" spans="6:6" hidden="1">
      <c r="F1342" s="1235">
        <f t="shared" si="69"/>
        <v>0</v>
      </c>
    </row>
    <row r="1343" spans="6:6" hidden="1">
      <c r="F1343" s="1235">
        <f t="shared" si="69"/>
        <v>0</v>
      </c>
    </row>
    <row r="1344" spans="6:6" hidden="1">
      <c r="F1344" s="1235">
        <f t="shared" si="69"/>
        <v>0</v>
      </c>
    </row>
    <row r="1345" spans="6:6" hidden="1">
      <c r="F1345" s="1235">
        <f t="shared" si="69"/>
        <v>0</v>
      </c>
    </row>
    <row r="1346" spans="6:6" hidden="1">
      <c r="F1346" s="1235">
        <f t="shared" si="69"/>
        <v>0</v>
      </c>
    </row>
    <row r="1347" spans="6:6" hidden="1">
      <c r="F1347" s="1235">
        <f t="shared" si="69"/>
        <v>0</v>
      </c>
    </row>
    <row r="1348" spans="6:6" hidden="1">
      <c r="F1348" s="1235">
        <f t="shared" si="69"/>
        <v>0</v>
      </c>
    </row>
    <row r="1349" spans="6:6" hidden="1">
      <c r="F1349" s="1235">
        <f t="shared" si="69"/>
        <v>0</v>
      </c>
    </row>
    <row r="1350" spans="6:6" hidden="1">
      <c r="F1350" s="1235">
        <f t="shared" si="69"/>
        <v>0</v>
      </c>
    </row>
    <row r="1351" spans="6:6" hidden="1">
      <c r="F1351" s="1235">
        <f t="shared" si="69"/>
        <v>0</v>
      </c>
    </row>
    <row r="1352" spans="6:6" hidden="1">
      <c r="F1352" s="1235">
        <f t="shared" ref="F1352:F1415" si="70">D1352*B1352</f>
        <v>0</v>
      </c>
    </row>
    <row r="1353" spans="6:6" hidden="1">
      <c r="F1353" s="1235">
        <f t="shared" si="70"/>
        <v>0</v>
      </c>
    </row>
    <row r="1354" spans="6:6" hidden="1">
      <c r="F1354" s="1235">
        <f t="shared" si="70"/>
        <v>0</v>
      </c>
    </row>
    <row r="1355" spans="6:6" hidden="1">
      <c r="F1355" s="1235">
        <f t="shared" si="70"/>
        <v>0</v>
      </c>
    </row>
    <row r="1356" spans="6:6" hidden="1">
      <c r="F1356" s="1235">
        <f t="shared" si="70"/>
        <v>0</v>
      </c>
    </row>
    <row r="1357" spans="6:6" hidden="1">
      <c r="F1357" s="1235">
        <f t="shared" si="70"/>
        <v>0</v>
      </c>
    </row>
    <row r="1358" spans="6:6" hidden="1">
      <c r="F1358" s="1235">
        <f t="shared" si="70"/>
        <v>0</v>
      </c>
    </row>
    <row r="1359" spans="6:6" hidden="1">
      <c r="F1359" s="1235">
        <f t="shared" si="70"/>
        <v>0</v>
      </c>
    </row>
    <row r="1360" spans="6:6" hidden="1">
      <c r="F1360" s="1235">
        <f t="shared" si="70"/>
        <v>0</v>
      </c>
    </row>
    <row r="1361" spans="6:6" hidden="1">
      <c r="F1361" s="1235">
        <f t="shared" si="70"/>
        <v>0</v>
      </c>
    </row>
    <row r="1362" spans="6:6" hidden="1">
      <c r="F1362" s="1235">
        <f t="shared" si="70"/>
        <v>0</v>
      </c>
    </row>
    <row r="1363" spans="6:6" hidden="1">
      <c r="F1363" s="1235">
        <f t="shared" si="70"/>
        <v>0</v>
      </c>
    </row>
    <row r="1364" spans="6:6" hidden="1">
      <c r="F1364" s="1235">
        <f t="shared" si="70"/>
        <v>0</v>
      </c>
    </row>
    <row r="1365" spans="6:6" hidden="1">
      <c r="F1365" s="1235">
        <f t="shared" si="70"/>
        <v>0</v>
      </c>
    </row>
    <row r="1366" spans="6:6" hidden="1">
      <c r="F1366" s="1235">
        <f t="shared" si="70"/>
        <v>0</v>
      </c>
    </row>
    <row r="1367" spans="6:6" hidden="1">
      <c r="F1367" s="1235">
        <f t="shared" si="70"/>
        <v>0</v>
      </c>
    </row>
    <row r="1368" spans="6:6" hidden="1">
      <c r="F1368" s="1235">
        <f t="shared" si="70"/>
        <v>0</v>
      </c>
    </row>
    <row r="1369" spans="6:6" hidden="1">
      <c r="F1369" s="1235">
        <f t="shared" si="70"/>
        <v>0</v>
      </c>
    </row>
    <row r="1370" spans="6:6" hidden="1">
      <c r="F1370" s="1235">
        <f t="shared" si="70"/>
        <v>0</v>
      </c>
    </row>
    <row r="1371" spans="6:6" hidden="1">
      <c r="F1371" s="1235">
        <f t="shared" si="70"/>
        <v>0</v>
      </c>
    </row>
    <row r="1372" spans="6:6" hidden="1">
      <c r="F1372" s="1235">
        <f t="shared" si="70"/>
        <v>0</v>
      </c>
    </row>
    <row r="1373" spans="6:6" hidden="1">
      <c r="F1373" s="1235">
        <f t="shared" si="70"/>
        <v>0</v>
      </c>
    </row>
    <row r="1374" spans="6:6" hidden="1">
      <c r="F1374" s="1235">
        <f t="shared" si="70"/>
        <v>0</v>
      </c>
    </row>
    <row r="1375" spans="6:6" hidden="1">
      <c r="F1375" s="1235">
        <f t="shared" si="70"/>
        <v>0</v>
      </c>
    </row>
    <row r="1376" spans="6:6" hidden="1">
      <c r="F1376" s="1235">
        <f t="shared" si="70"/>
        <v>0</v>
      </c>
    </row>
    <row r="1377" spans="6:6" hidden="1">
      <c r="F1377" s="1235">
        <f t="shared" si="70"/>
        <v>0</v>
      </c>
    </row>
    <row r="1378" spans="6:6" hidden="1">
      <c r="F1378" s="1235">
        <f t="shared" si="70"/>
        <v>0</v>
      </c>
    </row>
    <row r="1379" spans="6:6" hidden="1">
      <c r="F1379" s="1235">
        <f t="shared" si="70"/>
        <v>0</v>
      </c>
    </row>
    <row r="1380" spans="6:6" hidden="1">
      <c r="F1380" s="1235">
        <f t="shared" si="70"/>
        <v>0</v>
      </c>
    </row>
    <row r="1381" spans="6:6" hidden="1">
      <c r="F1381" s="1235">
        <f t="shared" si="70"/>
        <v>0</v>
      </c>
    </row>
    <row r="1382" spans="6:6" hidden="1">
      <c r="F1382" s="1235">
        <f t="shared" si="70"/>
        <v>0</v>
      </c>
    </row>
    <row r="1383" spans="6:6" hidden="1">
      <c r="F1383" s="1235">
        <f t="shared" si="70"/>
        <v>0</v>
      </c>
    </row>
    <row r="1384" spans="6:6" hidden="1">
      <c r="F1384" s="1235">
        <f t="shared" si="70"/>
        <v>0</v>
      </c>
    </row>
    <row r="1385" spans="6:6" hidden="1">
      <c r="F1385" s="1235">
        <f t="shared" si="70"/>
        <v>0</v>
      </c>
    </row>
    <row r="1386" spans="6:6" hidden="1">
      <c r="F1386" s="1235">
        <f t="shared" si="70"/>
        <v>0</v>
      </c>
    </row>
    <row r="1387" spans="6:6" hidden="1">
      <c r="F1387" s="1235">
        <f t="shared" si="70"/>
        <v>0</v>
      </c>
    </row>
    <row r="1388" spans="6:6" hidden="1">
      <c r="F1388" s="1235">
        <f t="shared" si="70"/>
        <v>0</v>
      </c>
    </row>
    <row r="1389" spans="6:6" hidden="1">
      <c r="F1389" s="1235">
        <f t="shared" si="70"/>
        <v>0</v>
      </c>
    </row>
    <row r="1390" spans="6:6" hidden="1">
      <c r="F1390" s="1235">
        <f t="shared" si="70"/>
        <v>0</v>
      </c>
    </row>
    <row r="1391" spans="6:6" hidden="1">
      <c r="F1391" s="1235">
        <f t="shared" si="70"/>
        <v>0</v>
      </c>
    </row>
    <row r="1392" spans="6:6" hidden="1">
      <c r="F1392" s="1235">
        <f t="shared" si="70"/>
        <v>0</v>
      </c>
    </row>
    <row r="1393" spans="6:6" hidden="1">
      <c r="F1393" s="1235">
        <f t="shared" si="70"/>
        <v>0</v>
      </c>
    </row>
    <row r="1394" spans="6:6" hidden="1">
      <c r="F1394" s="1235">
        <f t="shared" si="70"/>
        <v>0</v>
      </c>
    </row>
    <row r="1395" spans="6:6" hidden="1">
      <c r="F1395" s="1235">
        <f t="shared" si="70"/>
        <v>0</v>
      </c>
    </row>
    <row r="1396" spans="6:6" hidden="1">
      <c r="F1396" s="1235">
        <f t="shared" si="70"/>
        <v>0</v>
      </c>
    </row>
    <row r="1397" spans="6:6" hidden="1">
      <c r="F1397" s="1235">
        <f t="shared" si="70"/>
        <v>0</v>
      </c>
    </row>
    <row r="1398" spans="6:6" hidden="1">
      <c r="F1398" s="1235">
        <f t="shared" si="70"/>
        <v>0</v>
      </c>
    </row>
    <row r="1399" spans="6:6" hidden="1">
      <c r="F1399" s="1235">
        <f t="shared" si="70"/>
        <v>0</v>
      </c>
    </row>
    <row r="1400" spans="6:6" hidden="1">
      <c r="F1400" s="1235">
        <f t="shared" si="70"/>
        <v>0</v>
      </c>
    </row>
    <row r="1401" spans="6:6" hidden="1">
      <c r="F1401" s="1235">
        <f t="shared" si="70"/>
        <v>0</v>
      </c>
    </row>
    <row r="1402" spans="6:6" hidden="1">
      <c r="F1402" s="1235">
        <f t="shared" si="70"/>
        <v>0</v>
      </c>
    </row>
    <row r="1403" spans="6:6" hidden="1">
      <c r="F1403" s="1235">
        <f t="shared" si="70"/>
        <v>0</v>
      </c>
    </row>
    <row r="1404" spans="6:6" hidden="1">
      <c r="F1404" s="1235">
        <f t="shared" si="70"/>
        <v>0</v>
      </c>
    </row>
    <row r="1405" spans="6:6" hidden="1">
      <c r="F1405" s="1235">
        <f t="shared" si="70"/>
        <v>0</v>
      </c>
    </row>
    <row r="1406" spans="6:6" hidden="1">
      <c r="F1406" s="1235">
        <f t="shared" si="70"/>
        <v>0</v>
      </c>
    </row>
    <row r="1407" spans="6:6" hidden="1">
      <c r="F1407" s="1235">
        <f t="shared" si="70"/>
        <v>0</v>
      </c>
    </row>
    <row r="1408" spans="6:6" hidden="1">
      <c r="F1408" s="1235">
        <f t="shared" si="70"/>
        <v>0</v>
      </c>
    </row>
    <row r="1409" spans="6:6" hidden="1">
      <c r="F1409" s="1235">
        <f t="shared" si="70"/>
        <v>0</v>
      </c>
    </row>
    <row r="1410" spans="6:6" hidden="1">
      <c r="F1410" s="1235">
        <f t="shared" si="70"/>
        <v>0</v>
      </c>
    </row>
    <row r="1411" spans="6:6" hidden="1">
      <c r="F1411" s="1235">
        <f t="shared" si="70"/>
        <v>0</v>
      </c>
    </row>
    <row r="1412" spans="6:6" hidden="1">
      <c r="F1412" s="1235">
        <f t="shared" si="70"/>
        <v>0</v>
      </c>
    </row>
    <row r="1413" spans="6:6" hidden="1">
      <c r="F1413" s="1235">
        <f t="shared" si="70"/>
        <v>0</v>
      </c>
    </row>
    <row r="1414" spans="6:6" hidden="1">
      <c r="F1414" s="1235">
        <f t="shared" si="70"/>
        <v>0</v>
      </c>
    </row>
    <row r="1415" spans="6:6" hidden="1">
      <c r="F1415" s="1235">
        <f t="shared" si="70"/>
        <v>0</v>
      </c>
    </row>
    <row r="1416" spans="6:6" hidden="1">
      <c r="F1416" s="1235">
        <f t="shared" ref="F1416:F1440" si="71">D1416*B1416</f>
        <v>0</v>
      </c>
    </row>
    <row r="1417" spans="6:6" hidden="1">
      <c r="F1417" s="1235">
        <f t="shared" si="71"/>
        <v>0</v>
      </c>
    </row>
    <row r="1418" spans="6:6" hidden="1">
      <c r="F1418" s="1235">
        <f t="shared" si="71"/>
        <v>0</v>
      </c>
    </row>
    <row r="1419" spans="6:6" hidden="1">
      <c r="F1419" s="1235">
        <f t="shared" si="71"/>
        <v>0</v>
      </c>
    </row>
    <row r="1420" spans="6:6" hidden="1">
      <c r="F1420" s="1235">
        <f t="shared" si="71"/>
        <v>0</v>
      </c>
    </row>
    <row r="1421" spans="6:6" hidden="1">
      <c r="F1421" s="1235">
        <f t="shared" si="71"/>
        <v>0</v>
      </c>
    </row>
    <row r="1422" spans="6:6" hidden="1">
      <c r="F1422" s="1235">
        <f t="shared" si="71"/>
        <v>0</v>
      </c>
    </row>
    <row r="1423" spans="6:6" hidden="1">
      <c r="F1423" s="1235">
        <f t="shared" si="71"/>
        <v>0</v>
      </c>
    </row>
    <row r="1424" spans="6:6" hidden="1">
      <c r="F1424" s="1235">
        <f t="shared" si="71"/>
        <v>0</v>
      </c>
    </row>
    <row r="1425" spans="6:6" hidden="1">
      <c r="F1425" s="1235">
        <f t="shared" si="71"/>
        <v>0</v>
      </c>
    </row>
    <row r="1426" spans="6:6" hidden="1">
      <c r="F1426" s="1235">
        <f t="shared" si="71"/>
        <v>0</v>
      </c>
    </row>
    <row r="1427" spans="6:6" hidden="1">
      <c r="F1427" s="1235">
        <f t="shared" si="71"/>
        <v>0</v>
      </c>
    </row>
    <row r="1428" spans="6:6" hidden="1">
      <c r="F1428" s="1235">
        <f t="shared" si="71"/>
        <v>0</v>
      </c>
    </row>
    <row r="1429" spans="6:6" hidden="1">
      <c r="F1429" s="1235">
        <f t="shared" si="71"/>
        <v>0</v>
      </c>
    </row>
    <row r="1430" spans="6:6" hidden="1">
      <c r="F1430" s="1235">
        <f t="shared" si="71"/>
        <v>0</v>
      </c>
    </row>
    <row r="1431" spans="6:6" hidden="1">
      <c r="F1431" s="1235">
        <f t="shared" si="71"/>
        <v>0</v>
      </c>
    </row>
    <row r="1432" spans="6:6" hidden="1">
      <c r="F1432" s="1235">
        <f t="shared" si="71"/>
        <v>0</v>
      </c>
    </row>
    <row r="1433" spans="6:6" hidden="1">
      <c r="F1433" s="1235">
        <f t="shared" si="71"/>
        <v>0</v>
      </c>
    </row>
    <row r="1434" spans="6:6" hidden="1">
      <c r="F1434" s="1235">
        <f t="shared" si="71"/>
        <v>0</v>
      </c>
    </row>
    <row r="1435" spans="6:6" hidden="1">
      <c r="F1435" s="1235">
        <f t="shared" si="71"/>
        <v>0</v>
      </c>
    </row>
    <row r="1436" spans="6:6" hidden="1">
      <c r="F1436" s="1235">
        <f t="shared" si="71"/>
        <v>0</v>
      </c>
    </row>
    <row r="1437" spans="6:6" hidden="1">
      <c r="F1437" s="1235">
        <f t="shared" si="71"/>
        <v>0</v>
      </c>
    </row>
    <row r="1438" spans="6:6" hidden="1">
      <c r="F1438" s="1235">
        <f t="shared" si="71"/>
        <v>0</v>
      </c>
    </row>
    <row r="1439" spans="6:6" hidden="1">
      <c r="F1439" s="1235">
        <f t="shared" si="71"/>
        <v>0</v>
      </c>
    </row>
    <row r="1440" spans="6:6" hidden="1">
      <c r="F1440" s="1235">
        <f t="shared" si="71"/>
        <v>0</v>
      </c>
    </row>
  </sheetData>
  <autoFilter ref="A5:F1440">
    <filterColumn colId="1">
      <customFilters>
        <customFilter operator="notEqual" val=" "/>
      </customFilters>
    </filterColumn>
  </autoFilter>
  <mergeCells count="8">
    <mergeCell ref="O4:P4"/>
    <mergeCell ref="Q4:R4"/>
    <mergeCell ref="A1:F1"/>
    <mergeCell ref="A2:F2"/>
    <mergeCell ref="A3:F3"/>
    <mergeCell ref="I4:J4"/>
    <mergeCell ref="K4:L4"/>
    <mergeCell ref="M4:N4"/>
  </mergeCells>
  <printOptions horizontalCentered="1"/>
  <pageMargins left="0.5" right="0.5" top="0.75" bottom="0.5" header="0.3" footer="0.3"/>
  <pageSetup paperSize="9" scale="84" orientation="portrait" r:id="rId1"/>
  <headerFooter>
    <oddHeader>&amp;C&amp;"-,Regular"&amp;8 &amp;R&amp;P</oddHeader>
  </headerFooter>
</worksheet>
</file>

<file path=xl/worksheets/sheet4.xml><?xml version="1.0" encoding="utf-8"?>
<worksheet xmlns="http://schemas.openxmlformats.org/spreadsheetml/2006/main" xmlns:r="http://schemas.openxmlformats.org/officeDocument/2006/relationships">
  <sheetPr>
    <tabColor rgb="FF00B050"/>
  </sheetPr>
  <dimension ref="A1:J29"/>
  <sheetViews>
    <sheetView tabSelected="1" view="pageBreakPreview" zoomScaleNormal="75" zoomScaleSheetLayoutView="100" workbookViewId="0">
      <selection activeCell="C7" sqref="C7"/>
    </sheetView>
  </sheetViews>
  <sheetFormatPr defaultRowHeight="35.1" customHeight="1"/>
  <cols>
    <col min="1" max="1" width="8" customWidth="1"/>
    <col min="2" max="2" width="6.6640625" customWidth="1"/>
    <col min="3" max="3" width="43" customWidth="1"/>
    <col min="4" max="4" width="13.88671875" bestFit="1" customWidth="1"/>
    <col min="5" max="5" width="7.77734375" customWidth="1"/>
    <col min="6" max="6" width="18.5546875" customWidth="1"/>
    <col min="7" max="7" width="19.109375" customWidth="1"/>
    <col min="8" max="8" width="19" customWidth="1"/>
    <col min="9" max="9" width="14.88671875" customWidth="1"/>
    <col min="10" max="10" width="34.109375" customWidth="1"/>
    <col min="257" max="257" width="8" customWidth="1"/>
    <col min="258" max="258" width="6.6640625" customWidth="1"/>
    <col min="259" max="259" width="43" customWidth="1"/>
    <col min="260" max="260" width="15.6640625" customWidth="1"/>
    <col min="261" max="261" width="6.44140625" customWidth="1"/>
    <col min="262" max="262" width="18.5546875" customWidth="1"/>
    <col min="263" max="263" width="19.109375" customWidth="1"/>
    <col min="264" max="264" width="19" customWidth="1"/>
    <col min="265" max="265" width="11" bestFit="1" customWidth="1"/>
    <col min="266" max="266" width="34.109375" customWidth="1"/>
    <col min="513" max="513" width="8" customWidth="1"/>
    <col min="514" max="514" width="6.6640625" customWidth="1"/>
    <col min="515" max="515" width="43" customWidth="1"/>
    <col min="516" max="516" width="15.6640625" customWidth="1"/>
    <col min="517" max="517" width="6.44140625" customWidth="1"/>
    <col min="518" max="518" width="18.5546875" customWidth="1"/>
    <col min="519" max="519" width="19.109375" customWidth="1"/>
    <col min="520" max="520" width="19" customWidth="1"/>
    <col min="521" max="521" width="11" bestFit="1" customWidth="1"/>
    <col min="522" max="522" width="34.109375" customWidth="1"/>
    <col min="769" max="769" width="8" customWidth="1"/>
    <col min="770" max="770" width="6.6640625" customWidth="1"/>
    <col min="771" max="771" width="43" customWidth="1"/>
    <col min="772" max="772" width="15.6640625" customWidth="1"/>
    <col min="773" max="773" width="6.44140625" customWidth="1"/>
    <col min="774" max="774" width="18.5546875" customWidth="1"/>
    <col min="775" max="775" width="19.109375" customWidth="1"/>
    <col min="776" max="776" width="19" customWidth="1"/>
    <col min="777" max="777" width="11" bestFit="1" customWidth="1"/>
    <col min="778" max="778" width="34.109375" customWidth="1"/>
    <col min="1025" max="1025" width="8" customWidth="1"/>
    <col min="1026" max="1026" width="6.6640625" customWidth="1"/>
    <col min="1027" max="1027" width="43" customWidth="1"/>
    <col min="1028" max="1028" width="15.6640625" customWidth="1"/>
    <col min="1029" max="1029" width="6.44140625" customWidth="1"/>
    <col min="1030" max="1030" width="18.5546875" customWidth="1"/>
    <col min="1031" max="1031" width="19.109375" customWidth="1"/>
    <col min="1032" max="1032" width="19" customWidth="1"/>
    <col min="1033" max="1033" width="11" bestFit="1" customWidth="1"/>
    <col min="1034" max="1034" width="34.109375" customWidth="1"/>
    <col min="1281" max="1281" width="8" customWidth="1"/>
    <col min="1282" max="1282" width="6.6640625" customWidth="1"/>
    <col min="1283" max="1283" width="43" customWidth="1"/>
    <col min="1284" max="1284" width="15.6640625" customWidth="1"/>
    <col min="1285" max="1285" width="6.44140625" customWidth="1"/>
    <col min="1286" max="1286" width="18.5546875" customWidth="1"/>
    <col min="1287" max="1287" width="19.109375" customWidth="1"/>
    <col min="1288" max="1288" width="19" customWidth="1"/>
    <col min="1289" max="1289" width="11" bestFit="1" customWidth="1"/>
    <col min="1290" max="1290" width="34.109375" customWidth="1"/>
    <col min="1537" max="1537" width="8" customWidth="1"/>
    <col min="1538" max="1538" width="6.6640625" customWidth="1"/>
    <col min="1539" max="1539" width="43" customWidth="1"/>
    <col min="1540" max="1540" width="15.6640625" customWidth="1"/>
    <col min="1541" max="1541" width="6.44140625" customWidth="1"/>
    <col min="1542" max="1542" width="18.5546875" customWidth="1"/>
    <col min="1543" max="1543" width="19.109375" customWidth="1"/>
    <col min="1544" max="1544" width="19" customWidth="1"/>
    <col min="1545" max="1545" width="11" bestFit="1" customWidth="1"/>
    <col min="1546" max="1546" width="34.109375" customWidth="1"/>
    <col min="1793" max="1793" width="8" customWidth="1"/>
    <col min="1794" max="1794" width="6.6640625" customWidth="1"/>
    <col min="1795" max="1795" width="43" customWidth="1"/>
    <col min="1796" max="1796" width="15.6640625" customWidth="1"/>
    <col min="1797" max="1797" width="6.44140625" customWidth="1"/>
    <col min="1798" max="1798" width="18.5546875" customWidth="1"/>
    <col min="1799" max="1799" width="19.109375" customWidth="1"/>
    <col min="1800" max="1800" width="19" customWidth="1"/>
    <col min="1801" max="1801" width="11" bestFit="1" customWidth="1"/>
    <col min="1802" max="1802" width="34.109375" customWidth="1"/>
    <col min="2049" max="2049" width="8" customWidth="1"/>
    <col min="2050" max="2050" width="6.6640625" customWidth="1"/>
    <col min="2051" max="2051" width="43" customWidth="1"/>
    <col min="2052" max="2052" width="15.6640625" customWidth="1"/>
    <col min="2053" max="2053" width="6.44140625" customWidth="1"/>
    <col min="2054" max="2054" width="18.5546875" customWidth="1"/>
    <col min="2055" max="2055" width="19.109375" customWidth="1"/>
    <col min="2056" max="2056" width="19" customWidth="1"/>
    <col min="2057" max="2057" width="11" bestFit="1" customWidth="1"/>
    <col min="2058" max="2058" width="34.109375" customWidth="1"/>
    <col min="2305" max="2305" width="8" customWidth="1"/>
    <col min="2306" max="2306" width="6.6640625" customWidth="1"/>
    <col min="2307" max="2307" width="43" customWidth="1"/>
    <col min="2308" max="2308" width="15.6640625" customWidth="1"/>
    <col min="2309" max="2309" width="6.44140625" customWidth="1"/>
    <col min="2310" max="2310" width="18.5546875" customWidth="1"/>
    <col min="2311" max="2311" width="19.109375" customWidth="1"/>
    <col min="2312" max="2312" width="19" customWidth="1"/>
    <col min="2313" max="2313" width="11" bestFit="1" customWidth="1"/>
    <col min="2314" max="2314" width="34.109375" customWidth="1"/>
    <col min="2561" max="2561" width="8" customWidth="1"/>
    <col min="2562" max="2562" width="6.6640625" customWidth="1"/>
    <col min="2563" max="2563" width="43" customWidth="1"/>
    <col min="2564" max="2564" width="15.6640625" customWidth="1"/>
    <col min="2565" max="2565" width="6.44140625" customWidth="1"/>
    <col min="2566" max="2566" width="18.5546875" customWidth="1"/>
    <col min="2567" max="2567" width="19.109375" customWidth="1"/>
    <col min="2568" max="2568" width="19" customWidth="1"/>
    <col min="2569" max="2569" width="11" bestFit="1" customWidth="1"/>
    <col min="2570" max="2570" width="34.109375" customWidth="1"/>
    <col min="2817" max="2817" width="8" customWidth="1"/>
    <col min="2818" max="2818" width="6.6640625" customWidth="1"/>
    <col min="2819" max="2819" width="43" customWidth="1"/>
    <col min="2820" max="2820" width="15.6640625" customWidth="1"/>
    <col min="2821" max="2821" width="6.44140625" customWidth="1"/>
    <col min="2822" max="2822" width="18.5546875" customWidth="1"/>
    <col min="2823" max="2823" width="19.109375" customWidth="1"/>
    <col min="2824" max="2824" width="19" customWidth="1"/>
    <col min="2825" max="2825" width="11" bestFit="1" customWidth="1"/>
    <col min="2826" max="2826" width="34.109375" customWidth="1"/>
    <col min="3073" max="3073" width="8" customWidth="1"/>
    <col min="3074" max="3074" width="6.6640625" customWidth="1"/>
    <col min="3075" max="3075" width="43" customWidth="1"/>
    <col min="3076" max="3076" width="15.6640625" customWidth="1"/>
    <col min="3077" max="3077" width="6.44140625" customWidth="1"/>
    <col min="3078" max="3078" width="18.5546875" customWidth="1"/>
    <col min="3079" max="3079" width="19.109375" customWidth="1"/>
    <col min="3080" max="3080" width="19" customWidth="1"/>
    <col min="3081" max="3081" width="11" bestFit="1" customWidth="1"/>
    <col min="3082" max="3082" width="34.109375" customWidth="1"/>
    <col min="3329" max="3329" width="8" customWidth="1"/>
    <col min="3330" max="3330" width="6.6640625" customWidth="1"/>
    <col min="3331" max="3331" width="43" customWidth="1"/>
    <col min="3332" max="3332" width="15.6640625" customWidth="1"/>
    <col min="3333" max="3333" width="6.44140625" customWidth="1"/>
    <col min="3334" max="3334" width="18.5546875" customWidth="1"/>
    <col min="3335" max="3335" width="19.109375" customWidth="1"/>
    <col min="3336" max="3336" width="19" customWidth="1"/>
    <col min="3337" max="3337" width="11" bestFit="1" customWidth="1"/>
    <col min="3338" max="3338" width="34.109375" customWidth="1"/>
    <col min="3585" max="3585" width="8" customWidth="1"/>
    <col min="3586" max="3586" width="6.6640625" customWidth="1"/>
    <col min="3587" max="3587" width="43" customWidth="1"/>
    <col min="3588" max="3588" width="15.6640625" customWidth="1"/>
    <col min="3589" max="3589" width="6.44140625" customWidth="1"/>
    <col min="3590" max="3590" width="18.5546875" customWidth="1"/>
    <col min="3591" max="3591" width="19.109375" customWidth="1"/>
    <col min="3592" max="3592" width="19" customWidth="1"/>
    <col min="3593" max="3593" width="11" bestFit="1" customWidth="1"/>
    <col min="3594" max="3594" width="34.109375" customWidth="1"/>
    <col min="3841" max="3841" width="8" customWidth="1"/>
    <col min="3842" max="3842" width="6.6640625" customWidth="1"/>
    <col min="3843" max="3843" width="43" customWidth="1"/>
    <col min="3844" max="3844" width="15.6640625" customWidth="1"/>
    <col min="3845" max="3845" width="6.44140625" customWidth="1"/>
    <col min="3846" max="3846" width="18.5546875" customWidth="1"/>
    <col min="3847" max="3847" width="19.109375" customWidth="1"/>
    <col min="3848" max="3848" width="19" customWidth="1"/>
    <col min="3849" max="3849" width="11" bestFit="1" customWidth="1"/>
    <col min="3850" max="3850" width="34.109375" customWidth="1"/>
    <col min="4097" max="4097" width="8" customWidth="1"/>
    <col min="4098" max="4098" width="6.6640625" customWidth="1"/>
    <col min="4099" max="4099" width="43" customWidth="1"/>
    <col min="4100" max="4100" width="15.6640625" customWidth="1"/>
    <col min="4101" max="4101" width="6.44140625" customWidth="1"/>
    <col min="4102" max="4102" width="18.5546875" customWidth="1"/>
    <col min="4103" max="4103" width="19.109375" customWidth="1"/>
    <col min="4104" max="4104" width="19" customWidth="1"/>
    <col min="4105" max="4105" width="11" bestFit="1" customWidth="1"/>
    <col min="4106" max="4106" width="34.109375" customWidth="1"/>
    <col min="4353" max="4353" width="8" customWidth="1"/>
    <col min="4354" max="4354" width="6.6640625" customWidth="1"/>
    <col min="4355" max="4355" width="43" customWidth="1"/>
    <col min="4356" max="4356" width="15.6640625" customWidth="1"/>
    <col min="4357" max="4357" width="6.44140625" customWidth="1"/>
    <col min="4358" max="4358" width="18.5546875" customWidth="1"/>
    <col min="4359" max="4359" width="19.109375" customWidth="1"/>
    <col min="4360" max="4360" width="19" customWidth="1"/>
    <col min="4361" max="4361" width="11" bestFit="1" customWidth="1"/>
    <col min="4362" max="4362" width="34.109375" customWidth="1"/>
    <col min="4609" max="4609" width="8" customWidth="1"/>
    <col min="4610" max="4610" width="6.6640625" customWidth="1"/>
    <col min="4611" max="4611" width="43" customWidth="1"/>
    <col min="4612" max="4612" width="15.6640625" customWidth="1"/>
    <col min="4613" max="4613" width="6.44140625" customWidth="1"/>
    <col min="4614" max="4614" width="18.5546875" customWidth="1"/>
    <col min="4615" max="4615" width="19.109375" customWidth="1"/>
    <col min="4616" max="4616" width="19" customWidth="1"/>
    <col min="4617" max="4617" width="11" bestFit="1" customWidth="1"/>
    <col min="4618" max="4618" width="34.109375" customWidth="1"/>
    <col min="4865" max="4865" width="8" customWidth="1"/>
    <col min="4866" max="4866" width="6.6640625" customWidth="1"/>
    <col min="4867" max="4867" width="43" customWidth="1"/>
    <col min="4868" max="4868" width="15.6640625" customWidth="1"/>
    <col min="4869" max="4869" width="6.44140625" customWidth="1"/>
    <col min="4870" max="4870" width="18.5546875" customWidth="1"/>
    <col min="4871" max="4871" width="19.109375" customWidth="1"/>
    <col min="4872" max="4872" width="19" customWidth="1"/>
    <col min="4873" max="4873" width="11" bestFit="1" customWidth="1"/>
    <col min="4874" max="4874" width="34.109375" customWidth="1"/>
    <col min="5121" max="5121" width="8" customWidth="1"/>
    <col min="5122" max="5122" width="6.6640625" customWidth="1"/>
    <col min="5123" max="5123" width="43" customWidth="1"/>
    <col min="5124" max="5124" width="15.6640625" customWidth="1"/>
    <col min="5125" max="5125" width="6.44140625" customWidth="1"/>
    <col min="5126" max="5126" width="18.5546875" customWidth="1"/>
    <col min="5127" max="5127" width="19.109375" customWidth="1"/>
    <col min="5128" max="5128" width="19" customWidth="1"/>
    <col min="5129" max="5129" width="11" bestFit="1" customWidth="1"/>
    <col min="5130" max="5130" width="34.109375" customWidth="1"/>
    <col min="5377" max="5377" width="8" customWidth="1"/>
    <col min="5378" max="5378" width="6.6640625" customWidth="1"/>
    <col min="5379" max="5379" width="43" customWidth="1"/>
    <col min="5380" max="5380" width="15.6640625" customWidth="1"/>
    <col min="5381" max="5381" width="6.44140625" customWidth="1"/>
    <col min="5382" max="5382" width="18.5546875" customWidth="1"/>
    <col min="5383" max="5383" width="19.109375" customWidth="1"/>
    <col min="5384" max="5384" width="19" customWidth="1"/>
    <col min="5385" max="5385" width="11" bestFit="1" customWidth="1"/>
    <col min="5386" max="5386" width="34.109375" customWidth="1"/>
    <col min="5633" max="5633" width="8" customWidth="1"/>
    <col min="5634" max="5634" width="6.6640625" customWidth="1"/>
    <col min="5635" max="5635" width="43" customWidth="1"/>
    <col min="5636" max="5636" width="15.6640625" customWidth="1"/>
    <col min="5637" max="5637" width="6.44140625" customWidth="1"/>
    <col min="5638" max="5638" width="18.5546875" customWidth="1"/>
    <col min="5639" max="5639" width="19.109375" customWidth="1"/>
    <col min="5640" max="5640" width="19" customWidth="1"/>
    <col min="5641" max="5641" width="11" bestFit="1" customWidth="1"/>
    <col min="5642" max="5642" width="34.109375" customWidth="1"/>
    <col min="5889" max="5889" width="8" customWidth="1"/>
    <col min="5890" max="5890" width="6.6640625" customWidth="1"/>
    <col min="5891" max="5891" width="43" customWidth="1"/>
    <col min="5892" max="5892" width="15.6640625" customWidth="1"/>
    <col min="5893" max="5893" width="6.44140625" customWidth="1"/>
    <col min="5894" max="5894" width="18.5546875" customWidth="1"/>
    <col min="5895" max="5895" width="19.109375" customWidth="1"/>
    <col min="5896" max="5896" width="19" customWidth="1"/>
    <col min="5897" max="5897" width="11" bestFit="1" customWidth="1"/>
    <col min="5898" max="5898" width="34.109375" customWidth="1"/>
    <col min="6145" max="6145" width="8" customWidth="1"/>
    <col min="6146" max="6146" width="6.6640625" customWidth="1"/>
    <col min="6147" max="6147" width="43" customWidth="1"/>
    <col min="6148" max="6148" width="15.6640625" customWidth="1"/>
    <col min="6149" max="6149" width="6.44140625" customWidth="1"/>
    <col min="6150" max="6150" width="18.5546875" customWidth="1"/>
    <col min="6151" max="6151" width="19.109375" customWidth="1"/>
    <col min="6152" max="6152" width="19" customWidth="1"/>
    <col min="6153" max="6153" width="11" bestFit="1" customWidth="1"/>
    <col min="6154" max="6154" width="34.109375" customWidth="1"/>
    <col min="6401" max="6401" width="8" customWidth="1"/>
    <col min="6402" max="6402" width="6.6640625" customWidth="1"/>
    <col min="6403" max="6403" width="43" customWidth="1"/>
    <col min="6404" max="6404" width="15.6640625" customWidth="1"/>
    <col min="6405" max="6405" width="6.44140625" customWidth="1"/>
    <col min="6406" max="6406" width="18.5546875" customWidth="1"/>
    <col min="6407" max="6407" width="19.109375" customWidth="1"/>
    <col min="6408" max="6408" width="19" customWidth="1"/>
    <col min="6409" max="6409" width="11" bestFit="1" customWidth="1"/>
    <col min="6410" max="6410" width="34.109375" customWidth="1"/>
    <col min="6657" max="6657" width="8" customWidth="1"/>
    <col min="6658" max="6658" width="6.6640625" customWidth="1"/>
    <col min="6659" max="6659" width="43" customWidth="1"/>
    <col min="6660" max="6660" width="15.6640625" customWidth="1"/>
    <col min="6661" max="6661" width="6.44140625" customWidth="1"/>
    <col min="6662" max="6662" width="18.5546875" customWidth="1"/>
    <col min="6663" max="6663" width="19.109375" customWidth="1"/>
    <col min="6664" max="6664" width="19" customWidth="1"/>
    <col min="6665" max="6665" width="11" bestFit="1" customWidth="1"/>
    <col min="6666" max="6666" width="34.109375" customWidth="1"/>
    <col min="6913" max="6913" width="8" customWidth="1"/>
    <col min="6914" max="6914" width="6.6640625" customWidth="1"/>
    <col min="6915" max="6915" width="43" customWidth="1"/>
    <col min="6916" max="6916" width="15.6640625" customWidth="1"/>
    <col min="6917" max="6917" width="6.44140625" customWidth="1"/>
    <col min="6918" max="6918" width="18.5546875" customWidth="1"/>
    <col min="6919" max="6919" width="19.109375" customWidth="1"/>
    <col min="6920" max="6920" width="19" customWidth="1"/>
    <col min="6921" max="6921" width="11" bestFit="1" customWidth="1"/>
    <col min="6922" max="6922" width="34.109375" customWidth="1"/>
    <col min="7169" max="7169" width="8" customWidth="1"/>
    <col min="7170" max="7170" width="6.6640625" customWidth="1"/>
    <col min="7171" max="7171" width="43" customWidth="1"/>
    <col min="7172" max="7172" width="15.6640625" customWidth="1"/>
    <col min="7173" max="7173" width="6.44140625" customWidth="1"/>
    <col min="7174" max="7174" width="18.5546875" customWidth="1"/>
    <col min="7175" max="7175" width="19.109375" customWidth="1"/>
    <col min="7176" max="7176" width="19" customWidth="1"/>
    <col min="7177" max="7177" width="11" bestFit="1" customWidth="1"/>
    <col min="7178" max="7178" width="34.109375" customWidth="1"/>
    <col min="7425" max="7425" width="8" customWidth="1"/>
    <col min="7426" max="7426" width="6.6640625" customWidth="1"/>
    <col min="7427" max="7427" width="43" customWidth="1"/>
    <col min="7428" max="7428" width="15.6640625" customWidth="1"/>
    <col min="7429" max="7429" width="6.44140625" customWidth="1"/>
    <col min="7430" max="7430" width="18.5546875" customWidth="1"/>
    <col min="7431" max="7431" width="19.109375" customWidth="1"/>
    <col min="7432" max="7432" width="19" customWidth="1"/>
    <col min="7433" max="7433" width="11" bestFit="1" customWidth="1"/>
    <col min="7434" max="7434" width="34.109375" customWidth="1"/>
    <col min="7681" max="7681" width="8" customWidth="1"/>
    <col min="7682" max="7682" width="6.6640625" customWidth="1"/>
    <col min="7683" max="7683" width="43" customWidth="1"/>
    <col min="7684" max="7684" width="15.6640625" customWidth="1"/>
    <col min="7685" max="7685" width="6.44140625" customWidth="1"/>
    <col min="7686" max="7686" width="18.5546875" customWidth="1"/>
    <col min="7687" max="7687" width="19.109375" customWidth="1"/>
    <col min="7688" max="7688" width="19" customWidth="1"/>
    <col min="7689" max="7689" width="11" bestFit="1" customWidth="1"/>
    <col min="7690" max="7690" width="34.109375" customWidth="1"/>
    <col min="7937" max="7937" width="8" customWidth="1"/>
    <col min="7938" max="7938" width="6.6640625" customWidth="1"/>
    <col min="7939" max="7939" width="43" customWidth="1"/>
    <col min="7940" max="7940" width="15.6640625" customWidth="1"/>
    <col min="7941" max="7941" width="6.44140625" customWidth="1"/>
    <col min="7942" max="7942" width="18.5546875" customWidth="1"/>
    <col min="7943" max="7943" width="19.109375" customWidth="1"/>
    <col min="7944" max="7944" width="19" customWidth="1"/>
    <col min="7945" max="7945" width="11" bestFit="1" customWidth="1"/>
    <col min="7946" max="7946" width="34.109375" customWidth="1"/>
    <col min="8193" max="8193" width="8" customWidth="1"/>
    <col min="8194" max="8194" width="6.6640625" customWidth="1"/>
    <col min="8195" max="8195" width="43" customWidth="1"/>
    <col min="8196" max="8196" width="15.6640625" customWidth="1"/>
    <col min="8197" max="8197" width="6.44140625" customWidth="1"/>
    <col min="8198" max="8198" width="18.5546875" customWidth="1"/>
    <col min="8199" max="8199" width="19.109375" customWidth="1"/>
    <col min="8200" max="8200" width="19" customWidth="1"/>
    <col min="8201" max="8201" width="11" bestFit="1" customWidth="1"/>
    <col min="8202" max="8202" width="34.109375" customWidth="1"/>
    <col min="8449" max="8449" width="8" customWidth="1"/>
    <col min="8450" max="8450" width="6.6640625" customWidth="1"/>
    <col min="8451" max="8451" width="43" customWidth="1"/>
    <col min="8452" max="8452" width="15.6640625" customWidth="1"/>
    <col min="8453" max="8453" width="6.44140625" customWidth="1"/>
    <col min="8454" max="8454" width="18.5546875" customWidth="1"/>
    <col min="8455" max="8455" width="19.109375" customWidth="1"/>
    <col min="8456" max="8456" width="19" customWidth="1"/>
    <col min="8457" max="8457" width="11" bestFit="1" customWidth="1"/>
    <col min="8458" max="8458" width="34.109375" customWidth="1"/>
    <col min="8705" max="8705" width="8" customWidth="1"/>
    <col min="8706" max="8706" width="6.6640625" customWidth="1"/>
    <col min="8707" max="8707" width="43" customWidth="1"/>
    <col min="8708" max="8708" width="15.6640625" customWidth="1"/>
    <col min="8709" max="8709" width="6.44140625" customWidth="1"/>
    <col min="8710" max="8710" width="18.5546875" customWidth="1"/>
    <col min="8711" max="8711" width="19.109375" customWidth="1"/>
    <col min="8712" max="8712" width="19" customWidth="1"/>
    <col min="8713" max="8713" width="11" bestFit="1" customWidth="1"/>
    <col min="8714" max="8714" width="34.109375" customWidth="1"/>
    <col min="8961" max="8961" width="8" customWidth="1"/>
    <col min="8962" max="8962" width="6.6640625" customWidth="1"/>
    <col min="8963" max="8963" width="43" customWidth="1"/>
    <col min="8964" max="8964" width="15.6640625" customWidth="1"/>
    <col min="8965" max="8965" width="6.44140625" customWidth="1"/>
    <col min="8966" max="8966" width="18.5546875" customWidth="1"/>
    <col min="8967" max="8967" width="19.109375" customWidth="1"/>
    <col min="8968" max="8968" width="19" customWidth="1"/>
    <col min="8969" max="8969" width="11" bestFit="1" customWidth="1"/>
    <col min="8970" max="8970" width="34.109375" customWidth="1"/>
    <col min="9217" max="9217" width="8" customWidth="1"/>
    <col min="9218" max="9218" width="6.6640625" customWidth="1"/>
    <col min="9219" max="9219" width="43" customWidth="1"/>
    <col min="9220" max="9220" width="15.6640625" customWidth="1"/>
    <col min="9221" max="9221" width="6.44140625" customWidth="1"/>
    <col min="9222" max="9222" width="18.5546875" customWidth="1"/>
    <col min="9223" max="9223" width="19.109375" customWidth="1"/>
    <col min="9224" max="9224" width="19" customWidth="1"/>
    <col min="9225" max="9225" width="11" bestFit="1" customWidth="1"/>
    <col min="9226" max="9226" width="34.109375" customWidth="1"/>
    <col min="9473" max="9473" width="8" customWidth="1"/>
    <col min="9474" max="9474" width="6.6640625" customWidth="1"/>
    <col min="9475" max="9475" width="43" customWidth="1"/>
    <col min="9476" max="9476" width="15.6640625" customWidth="1"/>
    <col min="9477" max="9477" width="6.44140625" customWidth="1"/>
    <col min="9478" max="9478" width="18.5546875" customWidth="1"/>
    <col min="9479" max="9479" width="19.109375" customWidth="1"/>
    <col min="9480" max="9480" width="19" customWidth="1"/>
    <col min="9481" max="9481" width="11" bestFit="1" customWidth="1"/>
    <col min="9482" max="9482" width="34.109375" customWidth="1"/>
    <col min="9729" max="9729" width="8" customWidth="1"/>
    <col min="9730" max="9730" width="6.6640625" customWidth="1"/>
    <col min="9731" max="9731" width="43" customWidth="1"/>
    <col min="9732" max="9732" width="15.6640625" customWidth="1"/>
    <col min="9733" max="9733" width="6.44140625" customWidth="1"/>
    <col min="9734" max="9734" width="18.5546875" customWidth="1"/>
    <col min="9735" max="9735" width="19.109375" customWidth="1"/>
    <col min="9736" max="9736" width="19" customWidth="1"/>
    <col min="9737" max="9737" width="11" bestFit="1" customWidth="1"/>
    <col min="9738" max="9738" width="34.109375" customWidth="1"/>
    <col min="9985" max="9985" width="8" customWidth="1"/>
    <col min="9986" max="9986" width="6.6640625" customWidth="1"/>
    <col min="9987" max="9987" width="43" customWidth="1"/>
    <col min="9988" max="9988" width="15.6640625" customWidth="1"/>
    <col min="9989" max="9989" width="6.44140625" customWidth="1"/>
    <col min="9990" max="9990" width="18.5546875" customWidth="1"/>
    <col min="9991" max="9991" width="19.109375" customWidth="1"/>
    <col min="9992" max="9992" width="19" customWidth="1"/>
    <col min="9993" max="9993" width="11" bestFit="1" customWidth="1"/>
    <col min="9994" max="9994" width="34.109375" customWidth="1"/>
    <col min="10241" max="10241" width="8" customWidth="1"/>
    <col min="10242" max="10242" width="6.6640625" customWidth="1"/>
    <col min="10243" max="10243" width="43" customWidth="1"/>
    <col min="10244" max="10244" width="15.6640625" customWidth="1"/>
    <col min="10245" max="10245" width="6.44140625" customWidth="1"/>
    <col min="10246" max="10246" width="18.5546875" customWidth="1"/>
    <col min="10247" max="10247" width="19.109375" customWidth="1"/>
    <col min="10248" max="10248" width="19" customWidth="1"/>
    <col min="10249" max="10249" width="11" bestFit="1" customWidth="1"/>
    <col min="10250" max="10250" width="34.109375" customWidth="1"/>
    <col min="10497" max="10497" width="8" customWidth="1"/>
    <col min="10498" max="10498" width="6.6640625" customWidth="1"/>
    <col min="10499" max="10499" width="43" customWidth="1"/>
    <col min="10500" max="10500" width="15.6640625" customWidth="1"/>
    <col min="10501" max="10501" width="6.44140625" customWidth="1"/>
    <col min="10502" max="10502" width="18.5546875" customWidth="1"/>
    <col min="10503" max="10503" width="19.109375" customWidth="1"/>
    <col min="10504" max="10504" width="19" customWidth="1"/>
    <col min="10505" max="10505" width="11" bestFit="1" customWidth="1"/>
    <col min="10506" max="10506" width="34.109375" customWidth="1"/>
    <col min="10753" max="10753" width="8" customWidth="1"/>
    <col min="10754" max="10754" width="6.6640625" customWidth="1"/>
    <col min="10755" max="10755" width="43" customWidth="1"/>
    <col min="10756" max="10756" width="15.6640625" customWidth="1"/>
    <col min="10757" max="10757" width="6.44140625" customWidth="1"/>
    <col min="10758" max="10758" width="18.5546875" customWidth="1"/>
    <col min="10759" max="10759" width="19.109375" customWidth="1"/>
    <col min="10760" max="10760" width="19" customWidth="1"/>
    <col min="10761" max="10761" width="11" bestFit="1" customWidth="1"/>
    <col min="10762" max="10762" width="34.109375" customWidth="1"/>
    <col min="11009" max="11009" width="8" customWidth="1"/>
    <col min="11010" max="11010" width="6.6640625" customWidth="1"/>
    <col min="11011" max="11011" width="43" customWidth="1"/>
    <col min="11012" max="11012" width="15.6640625" customWidth="1"/>
    <col min="11013" max="11013" width="6.44140625" customWidth="1"/>
    <col min="11014" max="11014" width="18.5546875" customWidth="1"/>
    <col min="11015" max="11015" width="19.109375" customWidth="1"/>
    <col min="11016" max="11016" width="19" customWidth="1"/>
    <col min="11017" max="11017" width="11" bestFit="1" customWidth="1"/>
    <col min="11018" max="11018" width="34.109375" customWidth="1"/>
    <col min="11265" max="11265" width="8" customWidth="1"/>
    <col min="11266" max="11266" width="6.6640625" customWidth="1"/>
    <col min="11267" max="11267" width="43" customWidth="1"/>
    <col min="11268" max="11268" width="15.6640625" customWidth="1"/>
    <col min="11269" max="11269" width="6.44140625" customWidth="1"/>
    <col min="11270" max="11270" width="18.5546875" customWidth="1"/>
    <col min="11271" max="11271" width="19.109375" customWidth="1"/>
    <col min="11272" max="11272" width="19" customWidth="1"/>
    <col min="11273" max="11273" width="11" bestFit="1" customWidth="1"/>
    <col min="11274" max="11274" width="34.109375" customWidth="1"/>
    <col min="11521" max="11521" width="8" customWidth="1"/>
    <col min="11522" max="11522" width="6.6640625" customWidth="1"/>
    <col min="11523" max="11523" width="43" customWidth="1"/>
    <col min="11524" max="11524" width="15.6640625" customWidth="1"/>
    <col min="11525" max="11525" width="6.44140625" customWidth="1"/>
    <col min="11526" max="11526" width="18.5546875" customWidth="1"/>
    <col min="11527" max="11527" width="19.109375" customWidth="1"/>
    <col min="11528" max="11528" width="19" customWidth="1"/>
    <col min="11529" max="11529" width="11" bestFit="1" customWidth="1"/>
    <col min="11530" max="11530" width="34.109375" customWidth="1"/>
    <col min="11777" max="11777" width="8" customWidth="1"/>
    <col min="11778" max="11778" width="6.6640625" customWidth="1"/>
    <col min="11779" max="11779" width="43" customWidth="1"/>
    <col min="11780" max="11780" width="15.6640625" customWidth="1"/>
    <col min="11781" max="11781" width="6.44140625" customWidth="1"/>
    <col min="11782" max="11782" width="18.5546875" customWidth="1"/>
    <col min="11783" max="11783" width="19.109375" customWidth="1"/>
    <col min="11784" max="11784" width="19" customWidth="1"/>
    <col min="11785" max="11785" width="11" bestFit="1" customWidth="1"/>
    <col min="11786" max="11786" width="34.109375" customWidth="1"/>
    <col min="12033" max="12033" width="8" customWidth="1"/>
    <col min="12034" max="12034" width="6.6640625" customWidth="1"/>
    <col min="12035" max="12035" width="43" customWidth="1"/>
    <col min="12036" max="12036" width="15.6640625" customWidth="1"/>
    <col min="12037" max="12037" width="6.44140625" customWidth="1"/>
    <col min="12038" max="12038" width="18.5546875" customWidth="1"/>
    <col min="12039" max="12039" width="19.109375" customWidth="1"/>
    <col min="12040" max="12040" width="19" customWidth="1"/>
    <col min="12041" max="12041" width="11" bestFit="1" customWidth="1"/>
    <col min="12042" max="12042" width="34.109375" customWidth="1"/>
    <col min="12289" max="12289" width="8" customWidth="1"/>
    <col min="12290" max="12290" width="6.6640625" customWidth="1"/>
    <col min="12291" max="12291" width="43" customWidth="1"/>
    <col min="12292" max="12292" width="15.6640625" customWidth="1"/>
    <col min="12293" max="12293" width="6.44140625" customWidth="1"/>
    <col min="12294" max="12294" width="18.5546875" customWidth="1"/>
    <col min="12295" max="12295" width="19.109375" customWidth="1"/>
    <col min="12296" max="12296" width="19" customWidth="1"/>
    <col min="12297" max="12297" width="11" bestFit="1" customWidth="1"/>
    <col min="12298" max="12298" width="34.109375" customWidth="1"/>
    <col min="12545" max="12545" width="8" customWidth="1"/>
    <col min="12546" max="12546" width="6.6640625" customWidth="1"/>
    <col min="12547" max="12547" width="43" customWidth="1"/>
    <col min="12548" max="12548" width="15.6640625" customWidth="1"/>
    <col min="12549" max="12549" width="6.44140625" customWidth="1"/>
    <col min="12550" max="12550" width="18.5546875" customWidth="1"/>
    <col min="12551" max="12551" width="19.109375" customWidth="1"/>
    <col min="12552" max="12552" width="19" customWidth="1"/>
    <col min="12553" max="12553" width="11" bestFit="1" customWidth="1"/>
    <col min="12554" max="12554" width="34.109375" customWidth="1"/>
    <col min="12801" max="12801" width="8" customWidth="1"/>
    <col min="12802" max="12802" width="6.6640625" customWidth="1"/>
    <col min="12803" max="12803" width="43" customWidth="1"/>
    <col min="12804" max="12804" width="15.6640625" customWidth="1"/>
    <col min="12805" max="12805" width="6.44140625" customWidth="1"/>
    <col min="12806" max="12806" width="18.5546875" customWidth="1"/>
    <col min="12807" max="12807" width="19.109375" customWidth="1"/>
    <col min="12808" max="12808" width="19" customWidth="1"/>
    <col min="12809" max="12809" width="11" bestFit="1" customWidth="1"/>
    <col min="12810" max="12810" width="34.109375" customWidth="1"/>
    <col min="13057" max="13057" width="8" customWidth="1"/>
    <col min="13058" max="13058" width="6.6640625" customWidth="1"/>
    <col min="13059" max="13059" width="43" customWidth="1"/>
    <col min="13060" max="13060" width="15.6640625" customWidth="1"/>
    <col min="13061" max="13061" width="6.44140625" customWidth="1"/>
    <col min="13062" max="13062" width="18.5546875" customWidth="1"/>
    <col min="13063" max="13063" width="19.109375" customWidth="1"/>
    <col min="13064" max="13064" width="19" customWidth="1"/>
    <col min="13065" max="13065" width="11" bestFit="1" customWidth="1"/>
    <col min="13066" max="13066" width="34.109375" customWidth="1"/>
    <col min="13313" max="13313" width="8" customWidth="1"/>
    <col min="13314" max="13314" width="6.6640625" customWidth="1"/>
    <col min="13315" max="13315" width="43" customWidth="1"/>
    <col min="13316" max="13316" width="15.6640625" customWidth="1"/>
    <col min="13317" max="13317" width="6.44140625" customWidth="1"/>
    <col min="13318" max="13318" width="18.5546875" customWidth="1"/>
    <col min="13319" max="13319" width="19.109375" customWidth="1"/>
    <col min="13320" max="13320" width="19" customWidth="1"/>
    <col min="13321" max="13321" width="11" bestFit="1" customWidth="1"/>
    <col min="13322" max="13322" width="34.109375" customWidth="1"/>
    <col min="13569" max="13569" width="8" customWidth="1"/>
    <col min="13570" max="13570" width="6.6640625" customWidth="1"/>
    <col min="13571" max="13571" width="43" customWidth="1"/>
    <col min="13572" max="13572" width="15.6640625" customWidth="1"/>
    <col min="13573" max="13573" width="6.44140625" customWidth="1"/>
    <col min="13574" max="13574" width="18.5546875" customWidth="1"/>
    <col min="13575" max="13575" width="19.109375" customWidth="1"/>
    <col min="13576" max="13576" width="19" customWidth="1"/>
    <col min="13577" max="13577" width="11" bestFit="1" customWidth="1"/>
    <col min="13578" max="13578" width="34.109375" customWidth="1"/>
    <col min="13825" max="13825" width="8" customWidth="1"/>
    <col min="13826" max="13826" width="6.6640625" customWidth="1"/>
    <col min="13827" max="13827" width="43" customWidth="1"/>
    <col min="13828" max="13828" width="15.6640625" customWidth="1"/>
    <col min="13829" max="13829" width="6.44140625" customWidth="1"/>
    <col min="13830" max="13830" width="18.5546875" customWidth="1"/>
    <col min="13831" max="13831" width="19.109375" customWidth="1"/>
    <col min="13832" max="13832" width="19" customWidth="1"/>
    <col min="13833" max="13833" width="11" bestFit="1" customWidth="1"/>
    <col min="13834" max="13834" width="34.109375" customWidth="1"/>
    <col min="14081" max="14081" width="8" customWidth="1"/>
    <col min="14082" max="14082" width="6.6640625" customWidth="1"/>
    <col min="14083" max="14083" width="43" customWidth="1"/>
    <col min="14084" max="14084" width="15.6640625" customWidth="1"/>
    <col min="14085" max="14085" width="6.44140625" customWidth="1"/>
    <col min="14086" max="14086" width="18.5546875" customWidth="1"/>
    <col min="14087" max="14087" width="19.109375" customWidth="1"/>
    <col min="14088" max="14088" width="19" customWidth="1"/>
    <col min="14089" max="14089" width="11" bestFit="1" customWidth="1"/>
    <col min="14090" max="14090" width="34.109375" customWidth="1"/>
    <col min="14337" max="14337" width="8" customWidth="1"/>
    <col min="14338" max="14338" width="6.6640625" customWidth="1"/>
    <col min="14339" max="14339" width="43" customWidth="1"/>
    <col min="14340" max="14340" width="15.6640625" customWidth="1"/>
    <col min="14341" max="14341" width="6.44140625" customWidth="1"/>
    <col min="14342" max="14342" width="18.5546875" customWidth="1"/>
    <col min="14343" max="14343" width="19.109375" customWidth="1"/>
    <col min="14344" max="14344" width="19" customWidth="1"/>
    <col min="14345" max="14345" width="11" bestFit="1" customWidth="1"/>
    <col min="14346" max="14346" width="34.109375" customWidth="1"/>
    <col min="14593" max="14593" width="8" customWidth="1"/>
    <col min="14594" max="14594" width="6.6640625" customWidth="1"/>
    <col min="14595" max="14595" width="43" customWidth="1"/>
    <col min="14596" max="14596" width="15.6640625" customWidth="1"/>
    <col min="14597" max="14597" width="6.44140625" customWidth="1"/>
    <col min="14598" max="14598" width="18.5546875" customWidth="1"/>
    <col min="14599" max="14599" width="19.109375" customWidth="1"/>
    <col min="14600" max="14600" width="19" customWidth="1"/>
    <col min="14601" max="14601" width="11" bestFit="1" customWidth="1"/>
    <col min="14602" max="14602" width="34.109375" customWidth="1"/>
    <col min="14849" max="14849" width="8" customWidth="1"/>
    <col min="14850" max="14850" width="6.6640625" customWidth="1"/>
    <col min="14851" max="14851" width="43" customWidth="1"/>
    <col min="14852" max="14852" width="15.6640625" customWidth="1"/>
    <col min="14853" max="14853" width="6.44140625" customWidth="1"/>
    <col min="14854" max="14854" width="18.5546875" customWidth="1"/>
    <col min="14855" max="14855" width="19.109375" customWidth="1"/>
    <col min="14856" max="14856" width="19" customWidth="1"/>
    <col min="14857" max="14857" width="11" bestFit="1" customWidth="1"/>
    <col min="14858" max="14858" width="34.109375" customWidth="1"/>
    <col min="15105" max="15105" width="8" customWidth="1"/>
    <col min="15106" max="15106" width="6.6640625" customWidth="1"/>
    <col min="15107" max="15107" width="43" customWidth="1"/>
    <col min="15108" max="15108" width="15.6640625" customWidth="1"/>
    <col min="15109" max="15109" width="6.44140625" customWidth="1"/>
    <col min="15110" max="15110" width="18.5546875" customWidth="1"/>
    <col min="15111" max="15111" width="19.109375" customWidth="1"/>
    <col min="15112" max="15112" width="19" customWidth="1"/>
    <col min="15113" max="15113" width="11" bestFit="1" customWidth="1"/>
    <col min="15114" max="15114" width="34.109375" customWidth="1"/>
    <col min="15361" max="15361" width="8" customWidth="1"/>
    <col min="15362" max="15362" width="6.6640625" customWidth="1"/>
    <col min="15363" max="15363" width="43" customWidth="1"/>
    <col min="15364" max="15364" width="15.6640625" customWidth="1"/>
    <col min="15365" max="15365" width="6.44140625" customWidth="1"/>
    <col min="15366" max="15366" width="18.5546875" customWidth="1"/>
    <col min="15367" max="15367" width="19.109375" customWidth="1"/>
    <col min="15368" max="15368" width="19" customWidth="1"/>
    <col min="15369" max="15369" width="11" bestFit="1" customWidth="1"/>
    <col min="15370" max="15370" width="34.109375" customWidth="1"/>
    <col min="15617" max="15617" width="8" customWidth="1"/>
    <col min="15618" max="15618" width="6.6640625" customWidth="1"/>
    <col min="15619" max="15619" width="43" customWidth="1"/>
    <col min="15620" max="15620" width="15.6640625" customWidth="1"/>
    <col min="15621" max="15621" width="6.44140625" customWidth="1"/>
    <col min="15622" max="15622" width="18.5546875" customWidth="1"/>
    <col min="15623" max="15623" width="19.109375" customWidth="1"/>
    <col min="15624" max="15624" width="19" customWidth="1"/>
    <col min="15625" max="15625" width="11" bestFit="1" customWidth="1"/>
    <col min="15626" max="15626" width="34.109375" customWidth="1"/>
    <col min="15873" max="15873" width="8" customWidth="1"/>
    <col min="15874" max="15874" width="6.6640625" customWidth="1"/>
    <col min="15875" max="15875" width="43" customWidth="1"/>
    <col min="15876" max="15876" width="15.6640625" customWidth="1"/>
    <col min="15877" max="15877" width="6.44140625" customWidth="1"/>
    <col min="15878" max="15878" width="18.5546875" customWidth="1"/>
    <col min="15879" max="15879" width="19.109375" customWidth="1"/>
    <col min="15880" max="15880" width="19" customWidth="1"/>
    <col min="15881" max="15881" width="11" bestFit="1" customWidth="1"/>
    <col min="15882" max="15882" width="34.109375" customWidth="1"/>
    <col min="16129" max="16129" width="8" customWidth="1"/>
    <col min="16130" max="16130" width="6.6640625" customWidth="1"/>
    <col min="16131" max="16131" width="43" customWidth="1"/>
    <col min="16132" max="16132" width="15.6640625" customWidth="1"/>
    <col min="16133" max="16133" width="6.44140625" customWidth="1"/>
    <col min="16134" max="16134" width="18.5546875" customWidth="1"/>
    <col min="16135" max="16135" width="19.109375" customWidth="1"/>
    <col min="16136" max="16136" width="19" customWidth="1"/>
    <col min="16137" max="16137" width="11" bestFit="1" customWidth="1"/>
    <col min="16138" max="16138" width="34.109375" customWidth="1"/>
  </cols>
  <sheetData>
    <row r="1" spans="1:10" ht="35.25" customHeight="1">
      <c r="A1" s="1547" t="s">
        <v>5888</v>
      </c>
      <c r="B1" s="1547"/>
      <c r="C1" s="1547"/>
      <c r="D1" s="1547"/>
      <c r="E1" s="1547"/>
      <c r="F1" s="1547"/>
    </row>
    <row r="2" spans="1:10" ht="75" customHeight="1">
      <c r="A2" s="1548" t="str">
        <f>buildingfinal!A1</f>
        <v xml:space="preserve">Name of work:- Construction of building for Ambattur Fire and Rescue Services Station and Ambattur District office in Chennai Suburban District under CM’s Announcement scheme for the year 2021 - 2022 </v>
      </c>
      <c r="B2" s="1548"/>
      <c r="C2" s="1548"/>
      <c r="D2" s="1548"/>
      <c r="E2" s="1548"/>
      <c r="F2" s="1548"/>
    </row>
    <row r="3" spans="1:10" s="1209" customFormat="1" ht="35.1" customHeight="1">
      <c r="A3" s="1248" t="s">
        <v>5889</v>
      </c>
      <c r="B3" s="1248" t="s">
        <v>1059</v>
      </c>
      <c r="C3" s="1248" t="s">
        <v>1811</v>
      </c>
      <c r="D3" s="1248" t="s">
        <v>99</v>
      </c>
      <c r="E3" s="1248" t="s">
        <v>225</v>
      </c>
      <c r="F3" s="1248" t="s">
        <v>991</v>
      </c>
    </row>
    <row r="4" spans="1:10" s="1209" customFormat="1" ht="35.1" customHeight="1">
      <c r="A4" s="1248"/>
      <c r="B4" s="1248"/>
      <c r="C4" s="1248" t="s">
        <v>5890</v>
      </c>
      <c r="D4" s="1544" t="s">
        <v>5900</v>
      </c>
      <c r="E4" s="1544"/>
      <c r="F4" s="1544"/>
    </row>
    <row r="5" spans="1:10" s="1209" customFormat="1" ht="47.25" customHeight="1">
      <c r="A5" s="1210">
        <v>1</v>
      </c>
      <c r="B5" s="1263">
        <v>1</v>
      </c>
      <c r="C5" s="1264" t="s">
        <v>6057</v>
      </c>
      <c r="D5" s="1263">
        <f>buildingfinal!F1075</f>
        <v>51068656.170000002</v>
      </c>
      <c r="E5" s="1263"/>
      <c r="F5" s="1263">
        <f>D5*B5</f>
        <v>51068656.170000002</v>
      </c>
      <c r="H5" s="1209">
        <v>39953804.560000002</v>
      </c>
      <c r="I5" s="1209">
        <f>F5-H5</f>
        <v>11114851.609999999</v>
      </c>
    </row>
    <row r="6" spans="1:10" s="1209" customFormat="1" ht="30.75" customHeight="1">
      <c r="A6" s="1210"/>
      <c r="B6" s="1263"/>
      <c r="C6" s="1544" t="s">
        <v>5891</v>
      </c>
      <c r="D6" s="1544"/>
      <c r="E6" s="1544"/>
      <c r="F6" s="1264">
        <f>SUM(F5:F5)</f>
        <v>51068656.170000002</v>
      </c>
      <c r="G6" s="1209">
        <f>buildingfinal!R1075</f>
        <v>52807992.780000001</v>
      </c>
    </row>
    <row r="7" spans="1:10" s="1209" customFormat="1" ht="36" customHeight="1">
      <c r="A7" s="1210"/>
      <c r="B7" s="1263"/>
      <c r="C7" s="1248" t="s">
        <v>5949</v>
      </c>
      <c r="D7" s="1248"/>
      <c r="E7" s="1248"/>
      <c r="F7" s="1264"/>
      <c r="I7" s="1209">
        <f t="shared" ref="I7:I11" si="0">F7-H7</f>
        <v>0</v>
      </c>
    </row>
    <row r="8" spans="1:10" s="1209" customFormat="1" ht="32.25" customHeight="1">
      <c r="A8" s="1210">
        <v>2</v>
      </c>
      <c r="B8" s="1263">
        <v>1</v>
      </c>
      <c r="C8" s="1261" t="s">
        <v>5995</v>
      </c>
      <c r="D8" s="1262">
        <f>buildingfinal!H1075</f>
        <v>312029.21000000002</v>
      </c>
      <c r="E8" s="1248"/>
      <c r="F8" s="1263">
        <f t="shared" ref="F8:F11" si="1">D8*B8</f>
        <v>312029.21000000002</v>
      </c>
      <c r="H8" s="1209">
        <v>402813.39</v>
      </c>
      <c r="I8" s="1209">
        <f t="shared" si="0"/>
        <v>-90784.18</v>
      </c>
    </row>
    <row r="9" spans="1:10" s="1209" customFormat="1" ht="32.25" hidden="1" customHeight="1">
      <c r="A9" s="1210">
        <v>3</v>
      </c>
      <c r="B9" s="1263">
        <v>1</v>
      </c>
      <c r="C9" s="1261" t="s">
        <v>5996</v>
      </c>
      <c r="D9" s="1262">
        <f>buildingfinal!J1075</f>
        <v>0</v>
      </c>
      <c r="E9" s="1248"/>
      <c r="F9" s="1263">
        <f t="shared" si="1"/>
        <v>0</v>
      </c>
      <c r="H9" s="1209">
        <v>821530.2</v>
      </c>
      <c r="I9" s="1209">
        <f t="shared" si="0"/>
        <v>-821530.2</v>
      </c>
    </row>
    <row r="10" spans="1:10" s="1209" customFormat="1" ht="36.75" customHeight="1">
      <c r="A10" s="1210">
        <v>3</v>
      </c>
      <c r="B10" s="1263">
        <v>1</v>
      </c>
      <c r="C10" s="1261" t="s">
        <v>6143</v>
      </c>
      <c r="D10" s="1262">
        <f>buildingfinal!L1075</f>
        <v>1055472.5</v>
      </c>
      <c r="E10" s="1248"/>
      <c r="F10" s="1263">
        <f t="shared" si="1"/>
        <v>1055472.5</v>
      </c>
      <c r="H10" s="1209">
        <v>632590.02</v>
      </c>
      <c r="I10" s="1209">
        <f t="shared" si="0"/>
        <v>422882.48</v>
      </c>
    </row>
    <row r="11" spans="1:10" s="1209" customFormat="1" ht="40.5" customHeight="1">
      <c r="A11" s="1210">
        <v>4</v>
      </c>
      <c r="B11" s="1263">
        <v>1</v>
      </c>
      <c r="C11" s="1261" t="s">
        <v>5945</v>
      </c>
      <c r="D11" s="1262">
        <f>buildingfinal!N1075</f>
        <v>371834.9</v>
      </c>
      <c r="E11" s="1248"/>
      <c r="F11" s="1263">
        <f t="shared" si="1"/>
        <v>371834.9</v>
      </c>
      <c r="H11" s="1209">
        <v>309749.68</v>
      </c>
      <c r="I11" s="1209">
        <f t="shared" si="0"/>
        <v>62085.22</v>
      </c>
    </row>
    <row r="12" spans="1:10" s="1209" customFormat="1" ht="39.75" customHeight="1">
      <c r="A12" s="1210"/>
      <c r="B12" s="1263"/>
      <c r="C12" s="1544" t="s">
        <v>6145</v>
      </c>
      <c r="D12" s="1544"/>
      <c r="E12" s="1544"/>
      <c r="F12" s="1264">
        <f>SUM(F6:F11)</f>
        <v>52807992.780000001</v>
      </c>
      <c r="G12" s="1209">
        <f>buildingfinal!R1075</f>
        <v>52807992.780000001</v>
      </c>
      <c r="H12" s="1321">
        <f>SUM(H5:H11)</f>
        <v>42120487.850000001</v>
      </c>
      <c r="I12" s="1321">
        <f>SUM(I5:I11)</f>
        <v>10687504.93</v>
      </c>
    </row>
    <row r="13" spans="1:10" s="1209" customFormat="1" ht="36" customHeight="1">
      <c r="A13" s="1210">
        <v>5</v>
      </c>
      <c r="B13" s="1249"/>
      <c r="C13" s="1213" t="s">
        <v>5892</v>
      </c>
      <c r="D13" s="1544"/>
      <c r="E13" s="1544"/>
      <c r="F13" s="1263">
        <f>F12*18%</f>
        <v>9505438.6999999993</v>
      </c>
      <c r="G13" s="1209" t="e">
        <f>#REF!-#REF!</f>
        <v>#REF!</v>
      </c>
      <c r="H13" s="1209">
        <v>50000</v>
      </c>
      <c r="I13" s="1209" t="e">
        <f>#REF!*6%</f>
        <v>#REF!</v>
      </c>
      <c r="J13" s="1214"/>
    </row>
    <row r="14" spans="1:10" s="1209" customFormat="1" ht="34.5" customHeight="1">
      <c r="A14" s="1210"/>
      <c r="B14" s="1249"/>
      <c r="C14" s="1544" t="s">
        <v>5893</v>
      </c>
      <c r="D14" s="1544"/>
      <c r="E14" s="1544"/>
      <c r="F14" s="1264">
        <f>SUM(F12:F13)</f>
        <v>62313431.479999997</v>
      </c>
      <c r="G14" s="1209">
        <f>F14-10964595</f>
        <v>51348836.479999997</v>
      </c>
      <c r="J14" s="1214"/>
    </row>
    <row r="15" spans="1:10" s="1209" customFormat="1" ht="39" customHeight="1">
      <c r="A15" s="1210">
        <v>6</v>
      </c>
      <c r="B15" s="1249"/>
      <c r="C15" s="1261" t="s">
        <v>6058</v>
      </c>
      <c r="D15" s="1545" t="s">
        <v>669</v>
      </c>
      <c r="E15" s="1546"/>
      <c r="F15" s="1263">
        <v>100000</v>
      </c>
      <c r="J15" s="1214"/>
    </row>
    <row r="16" spans="1:10" s="1209" customFormat="1" ht="30" customHeight="1">
      <c r="A16" s="1210"/>
      <c r="B16" s="1249"/>
      <c r="C16" s="1544" t="s">
        <v>6146</v>
      </c>
      <c r="D16" s="1544"/>
      <c r="E16" s="1544"/>
      <c r="F16" s="1264">
        <f>SUM(F14:F15)</f>
        <v>62413431.479999997</v>
      </c>
      <c r="J16" s="1214"/>
    </row>
    <row r="17" spans="1:8" s="1209" customFormat="1" ht="30" customHeight="1">
      <c r="A17" s="1210">
        <v>7</v>
      </c>
      <c r="B17" s="1249"/>
      <c r="C17" s="1265" t="s">
        <v>5894</v>
      </c>
      <c r="D17" s="1549" t="s">
        <v>5895</v>
      </c>
      <c r="E17" s="1549"/>
      <c r="F17" s="1263">
        <f>F12*1%</f>
        <v>528079.93000000005</v>
      </c>
      <c r="G17" s="1211"/>
    </row>
    <row r="18" spans="1:8" s="1209" customFormat="1" ht="44.25" customHeight="1">
      <c r="A18" s="1210">
        <v>8</v>
      </c>
      <c r="B18" s="1249"/>
      <c r="C18" s="1265" t="s">
        <v>6059</v>
      </c>
      <c r="D18" s="1549" t="s">
        <v>5895</v>
      </c>
      <c r="E18" s="1549"/>
      <c r="F18" s="1263">
        <f>F12*1%+9.02</f>
        <v>528088.94999999995</v>
      </c>
      <c r="G18" s="1211"/>
    </row>
    <row r="19" spans="1:8" s="1209" customFormat="1" ht="35.1" customHeight="1">
      <c r="A19" s="1210">
        <v>9</v>
      </c>
      <c r="B19" s="1249"/>
      <c r="C19" s="1265" t="s">
        <v>6060</v>
      </c>
      <c r="D19" s="1549" t="s">
        <v>1615</v>
      </c>
      <c r="E19" s="1549"/>
      <c r="F19" s="1263">
        <f>F12*5%</f>
        <v>2640399.64</v>
      </c>
      <c r="G19" s="1211"/>
    </row>
    <row r="20" spans="1:8" s="1209" customFormat="1" ht="37.5" customHeight="1">
      <c r="A20" s="1266"/>
      <c r="B20" s="1249"/>
      <c r="C20" s="1544" t="s">
        <v>5896</v>
      </c>
      <c r="D20" s="1544"/>
      <c r="E20" s="1544"/>
      <c r="F20" s="1264">
        <f>SUM(F16:F19)</f>
        <v>66110000</v>
      </c>
      <c r="G20" s="1211"/>
    </row>
    <row r="21" spans="1:8" s="1209" customFormat="1" ht="31.5" customHeight="1">
      <c r="A21" s="1210">
        <v>10</v>
      </c>
      <c r="B21" s="1249"/>
      <c r="C21" s="1265" t="s">
        <v>5897</v>
      </c>
      <c r="D21" s="1550" t="s">
        <v>669</v>
      </c>
      <c r="E21" s="1550"/>
      <c r="F21" s="1263">
        <v>130000</v>
      </c>
      <c r="G21" s="1212"/>
    </row>
    <row r="22" spans="1:8" s="1209" customFormat="1" ht="44.25" customHeight="1">
      <c r="A22" s="1210">
        <v>11</v>
      </c>
      <c r="B22" s="1249"/>
      <c r="C22" s="1265" t="s">
        <v>6144</v>
      </c>
      <c r="D22" s="1551" t="s">
        <v>669</v>
      </c>
      <c r="E22" s="1551"/>
      <c r="F22" s="1263">
        <v>800000</v>
      </c>
    </row>
    <row r="23" spans="1:8" s="1209" customFormat="1" ht="49.5" customHeight="1">
      <c r="A23" s="1210">
        <v>12</v>
      </c>
      <c r="B23" s="1249"/>
      <c r="C23" s="1265" t="s">
        <v>5950</v>
      </c>
      <c r="D23" s="1551" t="s">
        <v>669</v>
      </c>
      <c r="E23" s="1551"/>
      <c r="F23" s="1263">
        <v>600000</v>
      </c>
    </row>
    <row r="24" spans="1:8" s="1209" customFormat="1" ht="49.5" customHeight="1">
      <c r="A24" s="1210">
        <v>13</v>
      </c>
      <c r="B24" s="1290"/>
      <c r="C24" s="1265" t="s">
        <v>6134</v>
      </c>
      <c r="D24" s="1551" t="s">
        <v>669</v>
      </c>
      <c r="E24" s="1551"/>
      <c r="F24" s="1263">
        <v>600000</v>
      </c>
    </row>
    <row r="25" spans="1:8" s="1209" customFormat="1" ht="34.5" customHeight="1">
      <c r="A25" s="1210">
        <v>14</v>
      </c>
      <c r="B25" s="1249"/>
      <c r="C25" s="1265" t="s">
        <v>5898</v>
      </c>
      <c r="D25" s="1551" t="s">
        <v>669</v>
      </c>
      <c r="E25" s="1551"/>
      <c r="F25" s="1263">
        <v>100000</v>
      </c>
      <c r="G25" s="1209">
        <f>623.88+62.39</f>
        <v>686.27</v>
      </c>
    </row>
    <row r="26" spans="1:8" s="1209" customFormat="1" ht="38.25" customHeight="1">
      <c r="A26" s="1266"/>
      <c r="B26" s="1249"/>
      <c r="C26" s="1544" t="s">
        <v>5899</v>
      </c>
      <c r="D26" s="1544"/>
      <c r="E26" s="1544"/>
      <c r="F26" s="1264">
        <f>SUM(F20:F25)</f>
        <v>68340000</v>
      </c>
      <c r="G26" s="1209">
        <f>68340000-F26</f>
        <v>0</v>
      </c>
      <c r="H26" s="1209">
        <f>19734000-2</f>
        <v>19733998</v>
      </c>
    </row>
    <row r="27" spans="1:8" s="1209" customFormat="1" ht="38.25" customHeight="1">
      <c r="A27"/>
      <c r="B27"/>
      <c r="C27"/>
      <c r="D27">
        <f>53165000-F26</f>
        <v>-15175000</v>
      </c>
      <c r="E27"/>
      <c r="F27">
        <f>F26/100000</f>
        <v>683.4</v>
      </c>
      <c r="G27" s="1209">
        <f>G26-F26</f>
        <v>-68340000</v>
      </c>
      <c r="H27" s="1209">
        <f>F26/100000</f>
        <v>683.4</v>
      </c>
    </row>
    <row r="28" spans="1:8" ht="35.1" customHeight="1">
      <c r="F28" s="1307">
        <v>531.65</v>
      </c>
    </row>
    <row r="29" spans="1:8" ht="35.1" customHeight="1">
      <c r="F29">
        <f>F28-F27</f>
        <v>-151.75</v>
      </c>
    </row>
  </sheetData>
  <mergeCells count="19">
    <mergeCell ref="C26:E26"/>
    <mergeCell ref="C16:E16"/>
    <mergeCell ref="D17:E17"/>
    <mergeCell ref="D18:E18"/>
    <mergeCell ref="D19:E19"/>
    <mergeCell ref="C20:E20"/>
    <mergeCell ref="D21:E21"/>
    <mergeCell ref="D23:E23"/>
    <mergeCell ref="D22:E22"/>
    <mergeCell ref="D25:E25"/>
    <mergeCell ref="D24:E24"/>
    <mergeCell ref="C12:E12"/>
    <mergeCell ref="D15:E15"/>
    <mergeCell ref="C14:E14"/>
    <mergeCell ref="A1:F1"/>
    <mergeCell ref="A2:F2"/>
    <mergeCell ref="D4:F4"/>
    <mergeCell ref="C6:E6"/>
    <mergeCell ref="D13:E13"/>
  </mergeCells>
  <printOptions horizontalCentered="1"/>
  <pageMargins left="0.5" right="0.5" top="0.92" bottom="0.5" header="0.3" footer="0.3"/>
  <pageSetup paperSize="9" scale="76" orientation="portrait" r:id="rId1"/>
  <headerFooter alignWithMargins="0">
    <oddHeader>&amp;R&amp;P</oddHeader>
  </headerFooter>
</worksheet>
</file>

<file path=xl/worksheets/sheet5.xml><?xml version="1.0" encoding="utf-8"?>
<worksheet xmlns="http://schemas.openxmlformats.org/spreadsheetml/2006/main" xmlns:r="http://schemas.openxmlformats.org/officeDocument/2006/relationships">
  <dimension ref="A1:AT907"/>
  <sheetViews>
    <sheetView showZeros="0" view="pageBreakPreview" topLeftCell="A232" zoomScale="110" zoomScaleSheetLayoutView="110" workbookViewId="0">
      <selection activeCell="K40" sqref="K40"/>
    </sheetView>
  </sheetViews>
  <sheetFormatPr defaultRowHeight="20.25" customHeight="1"/>
  <cols>
    <col min="1" max="1" width="7.21875" style="937" bestFit="1" customWidth="1"/>
    <col min="2" max="2" width="4.5546875" style="937" customWidth="1"/>
    <col min="3" max="3" width="35.88671875" style="937" customWidth="1"/>
    <col min="4" max="4" width="7.77734375" style="938" bestFit="1" customWidth="1"/>
    <col min="5" max="5" width="7.77734375" style="937" customWidth="1"/>
    <col min="6" max="6" width="8.77734375" style="937" bestFit="1" customWidth="1"/>
    <col min="7" max="9" width="8.88671875" style="937"/>
    <col min="10" max="10" width="9.33203125" style="937" customWidth="1"/>
    <col min="11" max="12" width="8.88671875" style="937"/>
    <col min="13" max="13" width="34" style="937" customWidth="1"/>
    <col min="14" max="15" width="8.88671875" style="937"/>
    <col min="16" max="16" width="8.88671875" style="938"/>
    <col min="17" max="19" width="8.88671875" style="937"/>
    <col min="20" max="20" width="29.44140625" style="937" customWidth="1"/>
    <col min="21" max="27" width="8.88671875" style="937"/>
    <col min="28" max="28" width="5.77734375" style="937" customWidth="1"/>
    <col min="29" max="29" width="38.109375" style="937" customWidth="1"/>
    <col min="30" max="30" width="8.88671875" style="938"/>
    <col min="31" max="31" width="4.77734375" style="937" customWidth="1"/>
    <col min="32" max="38" width="8.88671875" style="937"/>
    <col min="39" max="39" width="6.77734375" style="937" customWidth="1"/>
    <col min="40" max="40" width="42.88671875" style="937" customWidth="1"/>
    <col min="41" max="41" width="5.6640625" style="937" customWidth="1"/>
    <col min="42" max="16384" width="8.88671875" style="937"/>
  </cols>
  <sheetData>
    <row r="1" spans="1:46" ht="20.25" customHeight="1">
      <c r="A1" s="1556" t="s">
        <v>2149</v>
      </c>
      <c r="B1" s="1556"/>
      <c r="C1" s="892" t="s">
        <v>1811</v>
      </c>
      <c r="D1" s="969" t="s">
        <v>99</v>
      </c>
      <c r="E1" s="970" t="s">
        <v>225</v>
      </c>
      <c r="F1" s="971" t="s">
        <v>991</v>
      </c>
      <c r="W1" s="938"/>
      <c r="AL1" s="930"/>
      <c r="AM1" s="929"/>
      <c r="AN1" s="881"/>
      <c r="AO1" s="930"/>
      <c r="AP1" s="928"/>
      <c r="AQ1" s="930"/>
    </row>
    <row r="2" spans="1:46" ht="20.25" customHeight="1">
      <c r="A2" s="893"/>
      <c r="B2" s="972"/>
      <c r="C2" s="892"/>
      <c r="D2" s="893"/>
      <c r="E2" s="950"/>
      <c r="F2" s="893"/>
      <c r="W2" s="938"/>
    </row>
    <row r="3" spans="1:46" ht="20.25" customHeight="1">
      <c r="A3" s="890"/>
      <c r="B3" s="891"/>
      <c r="C3" s="892" t="s">
        <v>5043</v>
      </c>
      <c r="D3" s="893"/>
      <c r="E3" s="894"/>
      <c r="F3" s="895"/>
      <c r="K3" s="882"/>
      <c r="L3" s="885"/>
      <c r="M3" s="881" t="s">
        <v>5463</v>
      </c>
      <c r="N3" s="879"/>
      <c r="O3" s="882"/>
      <c r="P3" s="879"/>
      <c r="R3" s="882"/>
      <c r="S3" s="885"/>
      <c r="T3" s="881" t="s">
        <v>5464</v>
      </c>
      <c r="U3" s="879"/>
      <c r="V3" s="882"/>
      <c r="W3" s="879"/>
      <c r="AC3" s="973" t="s">
        <v>5544</v>
      </c>
      <c r="AL3" s="974"/>
      <c r="AM3" s="974"/>
      <c r="AN3" s="975" t="s">
        <v>5556</v>
      </c>
      <c r="AO3" s="976"/>
      <c r="AP3" s="974"/>
      <c r="AQ3" s="995" t="s">
        <v>4957</v>
      </c>
      <c r="AR3" s="974"/>
    </row>
    <row r="4" spans="1:46" ht="72.75" customHeight="1">
      <c r="A4" s="890"/>
      <c r="B4" s="891"/>
      <c r="C4" s="896" t="s">
        <v>5026</v>
      </c>
      <c r="D4" s="893"/>
      <c r="E4" s="894"/>
      <c r="F4" s="890"/>
      <c r="K4" s="882">
        <v>1</v>
      </c>
      <c r="L4" s="885" t="s">
        <v>570</v>
      </c>
      <c r="M4" s="939" t="s">
        <v>5444</v>
      </c>
      <c r="N4" s="879">
        <v>4440</v>
      </c>
      <c r="O4" s="882" t="s">
        <v>1746</v>
      </c>
      <c r="P4" s="879">
        <f>SUM(K4*N4)</f>
        <v>4440</v>
      </c>
      <c r="R4" s="882">
        <v>1</v>
      </c>
      <c r="S4" s="885" t="s">
        <v>570</v>
      </c>
      <c r="T4" s="939" t="s">
        <v>5444</v>
      </c>
      <c r="U4" s="879">
        <v>5404</v>
      </c>
      <c r="V4" s="882" t="s">
        <v>1746</v>
      </c>
      <c r="W4" s="879">
        <f>SUM(R4*U4)</f>
        <v>5404</v>
      </c>
      <c r="AA4" s="1553" t="s">
        <v>5526</v>
      </c>
      <c r="AB4" s="1553"/>
      <c r="AC4" s="1553"/>
      <c r="AD4" s="1553"/>
      <c r="AE4" s="1553"/>
      <c r="AF4" s="1553"/>
      <c r="AG4" s="1553"/>
      <c r="AL4" s="974"/>
      <c r="AM4" s="974"/>
      <c r="AN4" s="977" t="s">
        <v>5557</v>
      </c>
      <c r="AO4" s="977"/>
      <c r="AP4" s="974"/>
      <c r="AQ4" s="978"/>
      <c r="AR4" s="974"/>
      <c r="AT4" s="937">
        <f>5/12</f>
        <v>0.41666666666666702</v>
      </c>
    </row>
    <row r="5" spans="1:46" ht="15.75" customHeight="1">
      <c r="A5" s="890"/>
      <c r="B5" s="891"/>
      <c r="C5" s="897" t="s">
        <v>4326</v>
      </c>
      <c r="D5" s="893"/>
      <c r="E5" s="894"/>
      <c r="F5" s="890"/>
      <c r="K5" s="882">
        <v>1</v>
      </c>
      <c r="L5" s="885" t="s">
        <v>570</v>
      </c>
      <c r="M5" s="884" t="s">
        <v>5445</v>
      </c>
      <c r="N5" s="879">
        <v>1287</v>
      </c>
      <c r="O5" s="882" t="s">
        <v>1746</v>
      </c>
      <c r="P5" s="879">
        <f>SUM(K5*N5)</f>
        <v>1287</v>
      </c>
      <c r="R5" s="882">
        <v>1</v>
      </c>
      <c r="S5" s="885" t="s">
        <v>570</v>
      </c>
      <c r="T5" s="884" t="s">
        <v>5445</v>
      </c>
      <c r="U5" s="879">
        <v>1617</v>
      </c>
      <c r="V5" s="882" t="s">
        <v>1746</v>
      </c>
      <c r="W5" s="879">
        <f>SUM(R5*U5)</f>
        <v>1617</v>
      </c>
      <c r="AA5" s="937" t="s">
        <v>5527</v>
      </c>
      <c r="AL5" s="974"/>
      <c r="AM5" s="974"/>
      <c r="AN5" s="974" t="s">
        <v>5558</v>
      </c>
      <c r="AO5" s="974"/>
      <c r="AP5" s="974"/>
      <c r="AQ5" s="978"/>
      <c r="AR5" s="974"/>
      <c r="AT5" s="937">
        <f>8/12</f>
        <v>0.66666666666666696</v>
      </c>
    </row>
    <row r="6" spans="1:46" ht="15.75" customHeight="1">
      <c r="A6" s="890"/>
      <c r="B6" s="891"/>
      <c r="C6" s="974" t="s">
        <v>5558</v>
      </c>
      <c r="D6" s="974"/>
      <c r="E6" s="974"/>
      <c r="F6" s="974">
        <f>3.42*6.42*2</f>
        <v>43.912799999999997</v>
      </c>
      <c r="G6" s="954"/>
      <c r="K6" s="882">
        <v>1</v>
      </c>
      <c r="L6" s="885" t="s">
        <v>570</v>
      </c>
      <c r="M6" s="884" t="s">
        <v>5446</v>
      </c>
      <c r="N6" s="879">
        <v>2157</v>
      </c>
      <c r="O6" s="882" t="s">
        <v>1746</v>
      </c>
      <c r="P6" s="879">
        <f>SUM(K6*N6)</f>
        <v>2157</v>
      </c>
      <c r="R6" s="882">
        <v>1</v>
      </c>
      <c r="S6" s="885" t="s">
        <v>570</v>
      </c>
      <c r="T6" s="884" t="s">
        <v>5446</v>
      </c>
      <c r="U6" s="879">
        <v>3173</v>
      </c>
      <c r="V6" s="882" t="s">
        <v>1746</v>
      </c>
      <c r="W6" s="879">
        <f>SUM(R6*U6)</f>
        <v>3173</v>
      </c>
      <c r="AA6" s="937" t="s">
        <v>5528</v>
      </c>
      <c r="AL6" s="974"/>
      <c r="AM6" s="974"/>
      <c r="AN6" s="974" t="s">
        <v>5559</v>
      </c>
      <c r="AO6" s="974"/>
      <c r="AP6" s="974" t="s">
        <v>5560</v>
      </c>
      <c r="AQ6" s="978"/>
      <c r="AR6" s="995">
        <f>4.5*6.42*2</f>
        <v>57.78</v>
      </c>
      <c r="AT6" s="974">
        <f>(4.5+6.42)*2</f>
        <v>21.84</v>
      </c>
    </row>
    <row r="7" spans="1:46" ht="16.5" customHeight="1">
      <c r="A7" s="890"/>
      <c r="B7" s="891"/>
      <c r="C7" s="974" t="s">
        <v>5611</v>
      </c>
      <c r="D7" s="974"/>
      <c r="E7" s="974" t="s">
        <v>5605</v>
      </c>
      <c r="F7" s="979">
        <f>6.42*2</f>
        <v>12.84</v>
      </c>
      <c r="G7" s="954"/>
      <c r="K7" s="882">
        <v>12</v>
      </c>
      <c r="L7" s="885" t="s">
        <v>1051</v>
      </c>
      <c r="M7" s="884" t="s">
        <v>5447</v>
      </c>
      <c r="N7" s="879">
        <v>127</v>
      </c>
      <c r="O7" s="882" t="s">
        <v>1746</v>
      </c>
      <c r="P7" s="879">
        <f>SUM(K7*N7)</f>
        <v>1524</v>
      </c>
      <c r="R7" s="882">
        <v>12</v>
      </c>
      <c r="S7" s="885" t="s">
        <v>1051</v>
      </c>
      <c r="T7" s="884" t="s">
        <v>5447</v>
      </c>
      <c r="U7" s="879">
        <v>173</v>
      </c>
      <c r="V7" s="882" t="s">
        <v>1746</v>
      </c>
      <c r="W7" s="879">
        <f>SUM(R7*U7)</f>
        <v>2076</v>
      </c>
      <c r="AA7" s="937" t="s">
        <v>5529</v>
      </c>
      <c r="AL7" s="974"/>
      <c r="AM7" s="974"/>
      <c r="AN7" s="974" t="s">
        <v>5561</v>
      </c>
      <c r="AO7" s="974"/>
      <c r="AP7" s="974" t="s">
        <v>5562</v>
      </c>
      <c r="AQ7" s="978"/>
      <c r="AR7" s="996">
        <f>6.42*2</f>
        <v>12.84</v>
      </c>
      <c r="AT7" s="937">
        <f>AT6/3</f>
        <v>7.28</v>
      </c>
    </row>
    <row r="8" spans="1:46" ht="16.5" customHeight="1">
      <c r="A8" s="890"/>
      <c r="B8" s="891"/>
      <c r="C8" s="974" t="s">
        <v>5561</v>
      </c>
      <c r="D8" s="974"/>
      <c r="E8" s="974" t="s">
        <v>5562</v>
      </c>
      <c r="F8" s="974">
        <f>3.42*2</f>
        <v>6.84</v>
      </c>
      <c r="G8" s="954"/>
      <c r="K8" s="882"/>
      <c r="L8" s="928" t="s">
        <v>669</v>
      </c>
      <c r="M8" s="929" t="s">
        <v>5448</v>
      </c>
      <c r="N8" s="930"/>
      <c r="O8" s="928" t="s">
        <v>669</v>
      </c>
      <c r="P8" s="930">
        <v>55.3</v>
      </c>
      <c r="R8" s="882"/>
      <c r="S8" s="928" t="s">
        <v>669</v>
      </c>
      <c r="T8" s="929" t="s">
        <v>5448</v>
      </c>
      <c r="U8" s="930"/>
      <c r="V8" s="928" t="s">
        <v>669</v>
      </c>
      <c r="W8" s="930">
        <v>55.3</v>
      </c>
      <c r="AA8" s="937" t="s">
        <v>5530</v>
      </c>
      <c r="AL8" s="974"/>
      <c r="AM8" s="974"/>
      <c r="AN8" s="974" t="s">
        <v>5563</v>
      </c>
      <c r="AO8" s="974"/>
      <c r="AP8" s="974" t="s">
        <v>5564</v>
      </c>
      <c r="AQ8" s="978"/>
      <c r="AR8" s="995">
        <f>4.5*2</f>
        <v>9</v>
      </c>
      <c r="AT8" s="937">
        <f>AT7*0.6</f>
        <v>4.3680000000000003</v>
      </c>
    </row>
    <row r="9" spans="1:46" ht="19.5" customHeight="1">
      <c r="A9" s="890"/>
      <c r="B9" s="891"/>
      <c r="C9" s="974" t="s">
        <v>5612</v>
      </c>
      <c r="D9" s="974"/>
      <c r="E9" s="974" t="s">
        <v>5606</v>
      </c>
      <c r="F9" s="974">
        <f>4*3.42</f>
        <v>13.68</v>
      </c>
      <c r="G9" s="954"/>
      <c r="K9" s="882"/>
      <c r="L9" s="928" t="s">
        <v>669</v>
      </c>
      <c r="M9" s="929" t="s">
        <v>5435</v>
      </c>
      <c r="N9" s="930"/>
      <c r="O9" s="928" t="s">
        <v>669</v>
      </c>
      <c r="P9" s="930">
        <v>24</v>
      </c>
      <c r="R9" s="882"/>
      <c r="S9" s="928" t="s">
        <v>669</v>
      </c>
      <c r="T9" s="929" t="s">
        <v>5435</v>
      </c>
      <c r="U9" s="930"/>
      <c r="V9" s="928" t="s">
        <v>669</v>
      </c>
      <c r="W9" s="930">
        <v>24</v>
      </c>
      <c r="AL9" s="974"/>
      <c r="AM9" s="974"/>
      <c r="AN9" s="974" t="s">
        <v>5565</v>
      </c>
      <c r="AO9" s="974"/>
      <c r="AP9" s="974" t="s">
        <v>5566</v>
      </c>
      <c r="AQ9" s="978"/>
      <c r="AR9" s="995">
        <f>4*4.5</f>
        <v>18</v>
      </c>
    </row>
    <row r="10" spans="1:46" ht="20.25" customHeight="1">
      <c r="A10" s="890"/>
      <c r="B10" s="891"/>
      <c r="C10" s="974" t="s">
        <v>5613</v>
      </c>
      <c r="D10" s="974"/>
      <c r="E10" s="974" t="s">
        <v>5607</v>
      </c>
      <c r="F10" s="974">
        <f>2*3*2.67</f>
        <v>16.02</v>
      </c>
      <c r="G10" s="954"/>
      <c r="K10" s="882"/>
      <c r="L10" s="885"/>
      <c r="M10" s="884"/>
      <c r="N10" s="879"/>
      <c r="O10" s="882"/>
      <c r="P10" s="886">
        <f>SUM(P4:P9)</f>
        <v>9487.2999999999993</v>
      </c>
      <c r="R10" s="882"/>
      <c r="S10" s="885"/>
      <c r="T10" s="884"/>
      <c r="U10" s="879"/>
      <c r="V10" s="882"/>
      <c r="W10" s="886">
        <f>SUM(W4:W9)</f>
        <v>12349.3</v>
      </c>
      <c r="AA10" s="938">
        <v>9.75</v>
      </c>
      <c r="AB10" s="937" t="s">
        <v>5531</v>
      </c>
      <c r="AC10" s="940" t="s">
        <v>5532</v>
      </c>
      <c r="AD10" s="938">
        <v>51.4</v>
      </c>
      <c r="AE10" s="937" t="s">
        <v>5531</v>
      </c>
      <c r="AF10" s="938">
        <f t="shared" ref="AF10:AF15" si="0">AA10*AD10</f>
        <v>501.15</v>
      </c>
      <c r="AL10" s="974"/>
      <c r="AM10" s="974"/>
      <c r="AN10" s="974" t="s">
        <v>5567</v>
      </c>
      <c r="AO10" s="974"/>
      <c r="AP10" s="974" t="s">
        <v>5568</v>
      </c>
      <c r="AQ10" s="978"/>
      <c r="AR10" s="995">
        <f>2*3*2.67</f>
        <v>16.02</v>
      </c>
    </row>
    <row r="11" spans="1:46" ht="15.75" customHeight="1">
      <c r="A11" s="890"/>
      <c r="B11" s="891"/>
      <c r="C11" s="974" t="s">
        <v>5567</v>
      </c>
      <c r="D11" s="974"/>
      <c r="E11" s="974" t="s">
        <v>5568</v>
      </c>
      <c r="F11" s="974">
        <f>SUM(F6:F10)</f>
        <v>93.2928</v>
      </c>
      <c r="G11" s="954"/>
      <c r="K11" s="882"/>
      <c r="L11" s="885"/>
      <c r="M11" s="884" t="s">
        <v>5436</v>
      </c>
      <c r="N11" s="879"/>
      <c r="O11" s="882"/>
      <c r="P11" s="879">
        <f>P10*1%</f>
        <v>94.87</v>
      </c>
      <c r="R11" s="882"/>
      <c r="S11" s="885"/>
      <c r="T11" s="884" t="s">
        <v>5436</v>
      </c>
      <c r="U11" s="879"/>
      <c r="V11" s="882"/>
      <c r="W11" s="879">
        <f>W10*1%</f>
        <v>123.49</v>
      </c>
      <c r="AA11" s="938">
        <v>0.28000000000000003</v>
      </c>
      <c r="AB11" s="937" t="s">
        <v>5533</v>
      </c>
      <c r="AC11" s="937" t="s">
        <v>5534</v>
      </c>
      <c r="AD11" s="938">
        <v>1260</v>
      </c>
      <c r="AE11" s="937" t="s">
        <v>5533</v>
      </c>
      <c r="AF11" s="938">
        <f t="shared" si="0"/>
        <v>352.8</v>
      </c>
      <c r="AL11" s="974"/>
      <c r="AM11" s="974"/>
      <c r="AN11" s="974" t="s">
        <v>2284</v>
      </c>
      <c r="AO11" s="974"/>
      <c r="AP11" s="974" t="s">
        <v>5569</v>
      </c>
      <c r="AQ11" s="978"/>
      <c r="AR11" s="995">
        <f>SUM(AR6:AR10)</f>
        <v>113.64</v>
      </c>
    </row>
    <row r="12" spans="1:46" ht="16.5" customHeight="1">
      <c r="A12" s="890"/>
      <c r="B12" s="891"/>
      <c r="C12" s="974" t="s">
        <v>2284</v>
      </c>
      <c r="D12" s="974"/>
      <c r="E12" s="974" t="s">
        <v>5608</v>
      </c>
      <c r="F12" s="974">
        <f>F11*10%</f>
        <v>9.3292800000000007</v>
      </c>
      <c r="G12" s="954"/>
      <c r="K12" s="882"/>
      <c r="L12" s="885"/>
      <c r="M12" s="884" t="s">
        <v>5437</v>
      </c>
      <c r="N12" s="879"/>
      <c r="O12" s="882"/>
      <c r="P12" s="879">
        <v>1898</v>
      </c>
      <c r="R12" s="882"/>
      <c r="S12" s="885"/>
      <c r="T12" s="884" t="s">
        <v>5437</v>
      </c>
      <c r="U12" s="879"/>
      <c r="V12" s="882"/>
      <c r="W12" s="879">
        <v>1898</v>
      </c>
      <c r="AA12" s="938">
        <v>3</v>
      </c>
      <c r="AB12" s="937" t="s">
        <v>1051</v>
      </c>
      <c r="AC12" s="937" t="s">
        <v>5535</v>
      </c>
      <c r="AD12" s="938">
        <v>188.4</v>
      </c>
      <c r="AE12" s="937" t="s">
        <v>1051</v>
      </c>
      <c r="AF12" s="938">
        <f t="shared" si="0"/>
        <v>565.20000000000005</v>
      </c>
      <c r="AL12" s="974"/>
      <c r="AM12" s="974"/>
      <c r="AN12" s="980" t="s">
        <v>5570</v>
      </c>
      <c r="AO12" s="974"/>
      <c r="AP12" s="974" t="s">
        <v>5571</v>
      </c>
      <c r="AQ12" s="978"/>
      <c r="AR12" s="995">
        <f>AR11*10%</f>
        <v>11.364000000000001</v>
      </c>
    </row>
    <row r="13" spans="1:46" ht="15.75" customHeight="1">
      <c r="A13" s="901"/>
      <c r="B13" s="891"/>
      <c r="C13" s="980" t="s">
        <v>5570</v>
      </c>
      <c r="D13" s="974"/>
      <c r="E13" s="974" t="s">
        <v>5609</v>
      </c>
      <c r="F13" s="974">
        <f>SUM(F11:F12)</f>
        <v>102.62208</v>
      </c>
      <c r="G13" s="954">
        <f>F13*1.17</f>
        <v>120.0678336</v>
      </c>
      <c r="K13" s="882"/>
      <c r="L13" s="885"/>
      <c r="M13" s="884"/>
      <c r="N13" s="879"/>
      <c r="O13" s="882"/>
      <c r="P13" s="886">
        <f>SUM(P10:P12)</f>
        <v>11480.17</v>
      </c>
      <c r="R13" s="882"/>
      <c r="S13" s="885"/>
      <c r="T13" s="884"/>
      <c r="U13" s="879"/>
      <c r="V13" s="882"/>
      <c r="W13" s="886">
        <f>SUM(W10:W12)</f>
        <v>14370.79</v>
      </c>
      <c r="AA13" s="938">
        <v>1</v>
      </c>
      <c r="AB13" s="937" t="s">
        <v>5536</v>
      </c>
      <c r="AC13" s="937" t="s">
        <v>5537</v>
      </c>
      <c r="AD13" s="938">
        <v>67.150000000000006</v>
      </c>
      <c r="AE13" s="937" t="s">
        <v>5536</v>
      </c>
      <c r="AF13" s="938">
        <f t="shared" si="0"/>
        <v>67.150000000000006</v>
      </c>
      <c r="AL13" s="974"/>
      <c r="AM13" s="974"/>
      <c r="AN13" s="980"/>
      <c r="AO13" s="976"/>
      <c r="AP13" s="974" t="s">
        <v>5572</v>
      </c>
      <c r="AQ13" s="978"/>
      <c r="AR13" s="995">
        <f>SUM(AR11:AR12)</f>
        <v>125.004</v>
      </c>
      <c r="AS13" s="937">
        <f>AR13*1.17</f>
        <v>146.25468000000001</v>
      </c>
    </row>
    <row r="14" spans="1:46" ht="15" customHeight="1">
      <c r="A14" s="890"/>
      <c r="B14" s="891"/>
      <c r="C14" s="980"/>
      <c r="D14" s="976"/>
      <c r="E14" s="974" t="s">
        <v>5615</v>
      </c>
      <c r="F14" s="974"/>
      <c r="G14" s="954"/>
      <c r="K14" s="882"/>
      <c r="L14" s="885"/>
      <c r="M14" s="884"/>
      <c r="N14" s="879"/>
      <c r="O14" s="882"/>
      <c r="P14" s="886"/>
      <c r="R14" s="882"/>
      <c r="S14" s="885"/>
      <c r="T14" s="884"/>
      <c r="U14" s="879"/>
      <c r="V14" s="882"/>
      <c r="W14" s="886"/>
      <c r="AA14" s="938">
        <v>0.22</v>
      </c>
      <c r="AB14" s="937" t="s">
        <v>5538</v>
      </c>
      <c r="AC14" s="937" t="s">
        <v>5539</v>
      </c>
      <c r="AD14" s="938">
        <v>526</v>
      </c>
      <c r="AE14" s="937" t="s">
        <v>5538</v>
      </c>
      <c r="AF14" s="938">
        <f t="shared" si="0"/>
        <v>115.72</v>
      </c>
      <c r="AL14" s="974"/>
      <c r="AM14" s="974"/>
      <c r="AN14" s="974" t="s">
        <v>5573</v>
      </c>
      <c r="AO14" s="974"/>
      <c r="AP14" s="974" t="s">
        <v>5574</v>
      </c>
      <c r="AQ14" s="978"/>
      <c r="AR14" s="974"/>
    </row>
    <row r="15" spans="1:46" ht="20.25" customHeight="1">
      <c r="A15" s="890"/>
      <c r="B15" s="891"/>
      <c r="C15" s="974" t="s">
        <v>5614</v>
      </c>
      <c r="D15" s="974"/>
      <c r="E15" s="974" t="s">
        <v>5610</v>
      </c>
      <c r="F15" s="890"/>
      <c r="K15" s="1552" t="s">
        <v>5438</v>
      </c>
      <c r="L15" s="1552"/>
      <c r="M15" s="1552"/>
      <c r="N15" s="1552"/>
      <c r="O15" s="1552"/>
      <c r="P15" s="1552"/>
      <c r="AA15" s="938">
        <v>6</v>
      </c>
      <c r="AB15" s="937" t="s">
        <v>5540</v>
      </c>
      <c r="AC15" s="937" t="s">
        <v>5542</v>
      </c>
      <c r="AD15" s="938">
        <v>56.7</v>
      </c>
      <c r="AE15" s="937" t="s">
        <v>5540</v>
      </c>
      <c r="AF15" s="938">
        <f t="shared" si="0"/>
        <v>340.2</v>
      </c>
      <c r="AL15" s="981">
        <v>146.25</v>
      </c>
      <c r="AM15" s="982" t="s">
        <v>1676</v>
      </c>
      <c r="AN15" s="896" t="s">
        <v>5298</v>
      </c>
      <c r="AO15" s="983"/>
      <c r="AP15" s="984">
        <f>D16</f>
        <v>57.6</v>
      </c>
      <c r="AQ15" s="982" t="s">
        <v>1676</v>
      </c>
      <c r="AR15" s="979">
        <f>AL15*AP15</f>
        <v>8424</v>
      </c>
    </row>
    <row r="16" spans="1:46" ht="20.25" customHeight="1">
      <c r="A16" s="890">
        <v>120.07</v>
      </c>
      <c r="B16" s="891" t="s">
        <v>929</v>
      </c>
      <c r="C16" s="896" t="s">
        <v>5298</v>
      </c>
      <c r="D16" s="1043">
        <v>57.6</v>
      </c>
      <c r="E16" s="894" t="s">
        <v>929</v>
      </c>
      <c r="F16" s="890">
        <f>D16*A16</f>
        <v>6916.03</v>
      </c>
      <c r="H16" s="937">
        <f>125*1.17</f>
        <v>146.25</v>
      </c>
      <c r="K16" s="882">
        <v>3</v>
      </c>
      <c r="L16" s="928" t="s">
        <v>1051</v>
      </c>
      <c r="M16" s="929" t="s">
        <v>5439</v>
      </c>
      <c r="N16" s="930">
        <v>750</v>
      </c>
      <c r="O16" s="928" t="s">
        <v>1746</v>
      </c>
      <c r="P16" s="930">
        <f>N16*K16</f>
        <v>2250</v>
      </c>
      <c r="T16" s="881" t="s">
        <v>5464</v>
      </c>
      <c r="AA16" s="941"/>
      <c r="AF16" s="942">
        <f>SUM(AF10:AF15)</f>
        <v>1942.22</v>
      </c>
      <c r="AL16" s="981">
        <v>6.2</v>
      </c>
      <c r="AM16" s="981" t="s">
        <v>1676</v>
      </c>
      <c r="AN16" s="983" t="s">
        <v>5299</v>
      </c>
      <c r="AO16" s="983"/>
      <c r="AP16" s="984">
        <f>D41</f>
        <v>562</v>
      </c>
      <c r="AQ16" s="982" t="s">
        <v>1676</v>
      </c>
      <c r="AR16" s="979">
        <f t="shared" ref="AR16:AR43" si="1">AL16*AP16</f>
        <v>3484.4</v>
      </c>
    </row>
    <row r="17" spans="1:44" ht="71.25" customHeight="1">
      <c r="A17" s="901"/>
      <c r="B17" s="891"/>
      <c r="C17" s="897" t="s">
        <v>4335</v>
      </c>
      <c r="D17" s="893"/>
      <c r="E17" s="894"/>
      <c r="F17" s="890"/>
      <c r="K17" s="882">
        <v>3</v>
      </c>
      <c r="L17" s="928" t="s">
        <v>1051</v>
      </c>
      <c r="M17" s="929" t="s">
        <v>5440</v>
      </c>
      <c r="N17" s="930">
        <v>15</v>
      </c>
      <c r="O17" s="928" t="s">
        <v>1746</v>
      </c>
      <c r="P17" s="930">
        <f>N17*K17</f>
        <v>45</v>
      </c>
      <c r="R17" s="1554" t="s">
        <v>5616</v>
      </c>
      <c r="S17" s="1554"/>
      <c r="T17" s="1554"/>
      <c r="U17" s="1554"/>
      <c r="V17" s="1554"/>
      <c r="W17" s="1554"/>
      <c r="AA17" s="941"/>
      <c r="AC17" s="937" t="s">
        <v>5263</v>
      </c>
      <c r="AF17" s="938">
        <f>AF16*2%</f>
        <v>38.840000000000003</v>
      </c>
      <c r="AL17" s="981">
        <v>6.2</v>
      </c>
      <c r="AM17" s="981" t="s">
        <v>1676</v>
      </c>
      <c r="AN17" s="983" t="s">
        <v>5300</v>
      </c>
      <c r="AO17" s="983"/>
      <c r="AP17" s="984">
        <f>D42</f>
        <v>10</v>
      </c>
      <c r="AQ17" s="982" t="s">
        <v>1676</v>
      </c>
      <c r="AR17" s="979">
        <f t="shared" si="1"/>
        <v>62</v>
      </c>
    </row>
    <row r="18" spans="1:44" ht="63">
      <c r="A18" s="890"/>
      <c r="B18" s="891"/>
      <c r="C18" s="896" t="s">
        <v>4336</v>
      </c>
      <c r="D18" s="893"/>
      <c r="E18" s="894"/>
      <c r="F18" s="890"/>
      <c r="K18" s="882">
        <v>6</v>
      </c>
      <c r="L18" s="928" t="s">
        <v>1051</v>
      </c>
      <c r="M18" s="929" t="s">
        <v>5441</v>
      </c>
      <c r="N18" s="930">
        <v>3</v>
      </c>
      <c r="O18" s="928" t="s">
        <v>1746</v>
      </c>
      <c r="P18" s="930">
        <f>N18*K18</f>
        <v>18</v>
      </c>
      <c r="R18" s="882">
        <v>1</v>
      </c>
      <c r="S18" s="885" t="s">
        <v>570</v>
      </c>
      <c r="T18" s="998" t="s">
        <v>5618</v>
      </c>
      <c r="U18" s="879">
        <v>2262</v>
      </c>
      <c r="V18" s="882" t="s">
        <v>1746</v>
      </c>
      <c r="W18" s="879">
        <f>SUM(R18*U18)</f>
        <v>2262</v>
      </c>
      <c r="AA18" s="943"/>
      <c r="AC18" s="937" t="s">
        <v>931</v>
      </c>
      <c r="AF18" s="938">
        <f>AF24</f>
        <v>1824</v>
      </c>
      <c r="AL18" s="974"/>
      <c r="AM18" s="982"/>
      <c r="AN18" s="983" t="s">
        <v>5575</v>
      </c>
      <c r="AO18" s="983"/>
      <c r="AP18" s="984"/>
      <c r="AQ18" s="982"/>
      <c r="AR18" s="979">
        <f t="shared" si="1"/>
        <v>0</v>
      </c>
    </row>
    <row r="19" spans="1:44" ht="31.5">
      <c r="A19" s="890"/>
      <c r="B19" s="891"/>
      <c r="C19" s="896" t="s">
        <v>5038</v>
      </c>
      <c r="D19" s="893"/>
      <c r="E19" s="894"/>
      <c r="F19" s="890"/>
      <c r="K19" s="882">
        <v>1</v>
      </c>
      <c r="L19" s="928" t="s">
        <v>570</v>
      </c>
      <c r="M19" s="929" t="s">
        <v>5442</v>
      </c>
      <c r="N19" s="930">
        <v>850</v>
      </c>
      <c r="O19" s="928" t="s">
        <v>1746</v>
      </c>
      <c r="P19" s="930">
        <f>N19*K19</f>
        <v>850</v>
      </c>
      <c r="R19" s="882">
        <v>1</v>
      </c>
      <c r="S19" s="885" t="s">
        <v>570</v>
      </c>
      <c r="T19" s="884" t="s">
        <v>5446</v>
      </c>
      <c r="U19" s="879">
        <v>3173</v>
      </c>
      <c r="V19" s="882" t="s">
        <v>1746</v>
      </c>
      <c r="W19" s="879">
        <f>SUM(R19*U19)</f>
        <v>3173</v>
      </c>
      <c r="AA19" s="941"/>
      <c r="AC19" s="937" t="s">
        <v>2284</v>
      </c>
      <c r="AF19" s="942">
        <f>SUM(AF16:AF18)</f>
        <v>3805.06</v>
      </c>
      <c r="AL19" s="974"/>
      <c r="AM19" s="982"/>
      <c r="AN19" s="983" t="s">
        <v>5576</v>
      </c>
      <c r="AO19" s="983"/>
      <c r="AP19" s="984"/>
      <c r="AQ19" s="982"/>
      <c r="AR19" s="979">
        <f t="shared" si="1"/>
        <v>0</v>
      </c>
    </row>
    <row r="20" spans="1:44" ht="31.5">
      <c r="A20" s="890"/>
      <c r="B20" s="891"/>
      <c r="C20" s="896"/>
      <c r="D20" s="893"/>
      <c r="E20" s="894"/>
      <c r="F20" s="890"/>
      <c r="K20" s="882"/>
      <c r="L20" s="928"/>
      <c r="M20" s="929"/>
      <c r="N20" s="930"/>
      <c r="O20" s="928"/>
      <c r="P20" s="930"/>
      <c r="R20" s="882">
        <v>3</v>
      </c>
      <c r="S20" s="885" t="s">
        <v>570</v>
      </c>
      <c r="T20" s="884" t="s">
        <v>5617</v>
      </c>
      <c r="U20" s="879">
        <v>829</v>
      </c>
      <c r="V20" s="882" t="s">
        <v>1746</v>
      </c>
      <c r="W20" s="879">
        <f>SUM(R20*U20)</f>
        <v>2487</v>
      </c>
      <c r="AA20" s="941"/>
      <c r="AC20" s="944" t="s">
        <v>5543</v>
      </c>
      <c r="AD20" s="942">
        <v>3805</v>
      </c>
      <c r="AF20" s="942"/>
      <c r="AL20" s="974"/>
      <c r="AM20" s="982"/>
      <c r="AN20" s="983" t="s">
        <v>5577</v>
      </c>
      <c r="AO20" s="983"/>
      <c r="AP20" s="984"/>
      <c r="AQ20" s="982"/>
      <c r="AR20" s="979">
        <f t="shared" si="1"/>
        <v>0</v>
      </c>
    </row>
    <row r="21" spans="1:44" ht="31.5">
      <c r="A21" s="890"/>
      <c r="B21" s="891"/>
      <c r="C21" s="896" t="s">
        <v>4338</v>
      </c>
      <c r="D21" s="893"/>
      <c r="E21" s="894"/>
      <c r="F21" s="890"/>
      <c r="K21" s="882"/>
      <c r="L21" s="928"/>
      <c r="M21" s="929"/>
      <c r="N21" s="930"/>
      <c r="O21" s="928"/>
      <c r="P21" s="931">
        <f>SUM(P16:P19)</f>
        <v>3163</v>
      </c>
      <c r="R21" s="882">
        <v>6</v>
      </c>
      <c r="S21" s="885" t="s">
        <v>1051</v>
      </c>
      <c r="T21" s="884" t="s">
        <v>5447</v>
      </c>
      <c r="U21" s="879">
        <v>173</v>
      </c>
      <c r="V21" s="882" t="s">
        <v>1746</v>
      </c>
      <c r="W21" s="879">
        <f>SUM(R21*U21)</f>
        <v>1038</v>
      </c>
      <c r="AA21" s="943" t="s">
        <v>5262</v>
      </c>
      <c r="AL21" s="974"/>
      <c r="AM21" s="982"/>
      <c r="AN21" s="983" t="s">
        <v>5578</v>
      </c>
      <c r="AO21" s="983"/>
      <c r="AP21" s="984"/>
      <c r="AQ21" s="982"/>
      <c r="AR21" s="979">
        <f t="shared" si="1"/>
        <v>0</v>
      </c>
    </row>
    <row r="22" spans="1:44" ht="31.5">
      <c r="A22" s="890"/>
      <c r="B22" s="891"/>
      <c r="C22" s="896" t="s">
        <v>5037</v>
      </c>
      <c r="D22" s="893"/>
      <c r="E22" s="894"/>
      <c r="F22" s="890"/>
      <c r="K22" s="882"/>
      <c r="L22" s="928"/>
      <c r="M22" s="929" t="s">
        <v>5443</v>
      </c>
      <c r="N22" s="930"/>
      <c r="O22" s="928"/>
      <c r="P22" s="930">
        <f>P21*2/100</f>
        <v>63.26</v>
      </c>
      <c r="R22" s="882"/>
      <c r="S22" s="928" t="s">
        <v>669</v>
      </c>
      <c r="T22" s="824" t="s">
        <v>5448</v>
      </c>
      <c r="U22" s="930"/>
      <c r="V22" s="928" t="s">
        <v>669</v>
      </c>
      <c r="W22" s="930">
        <v>55.3</v>
      </c>
      <c r="AA22" s="945">
        <v>1</v>
      </c>
      <c r="AB22" s="937" t="s">
        <v>5455</v>
      </c>
      <c r="AC22" s="937" t="s">
        <v>5264</v>
      </c>
      <c r="AD22" s="938">
        <v>712</v>
      </c>
      <c r="AE22" s="937" t="s">
        <v>3695</v>
      </c>
      <c r="AF22" s="938">
        <f>AA22*AD22</f>
        <v>712</v>
      </c>
      <c r="AL22" s="981">
        <v>8</v>
      </c>
      <c r="AM22" s="982" t="s">
        <v>842</v>
      </c>
      <c r="AN22" s="983" t="s">
        <v>5602</v>
      </c>
      <c r="AO22" s="983"/>
      <c r="AP22" s="997">
        <f>D48</f>
        <v>115</v>
      </c>
      <c r="AQ22" s="982" t="s">
        <v>842</v>
      </c>
      <c r="AR22" s="979">
        <f t="shared" si="1"/>
        <v>920</v>
      </c>
    </row>
    <row r="23" spans="1:44" ht="19.5" customHeight="1">
      <c r="A23" s="890"/>
      <c r="B23" s="891"/>
      <c r="C23" s="896" t="s">
        <v>5036</v>
      </c>
      <c r="D23" s="893"/>
      <c r="E23" s="894"/>
      <c r="F23" s="890"/>
      <c r="K23" s="882"/>
      <c r="L23" s="928"/>
      <c r="M23" s="929" t="s">
        <v>931</v>
      </c>
      <c r="N23" s="930"/>
      <c r="O23" s="928"/>
      <c r="P23" s="930">
        <f>P31</f>
        <v>501.25</v>
      </c>
      <c r="R23" s="882"/>
      <c r="S23" s="928" t="s">
        <v>669</v>
      </c>
      <c r="T23" s="824" t="s">
        <v>5435</v>
      </c>
      <c r="U23" s="930"/>
      <c r="V23" s="928" t="s">
        <v>669</v>
      </c>
      <c r="W23" s="930">
        <v>24</v>
      </c>
      <c r="AA23" s="938">
        <v>2</v>
      </c>
      <c r="AB23" s="937" t="s">
        <v>1457</v>
      </c>
      <c r="AC23" s="937" t="s">
        <v>5541</v>
      </c>
      <c r="AD23" s="938">
        <v>556</v>
      </c>
      <c r="AE23" s="937" t="s">
        <v>3695</v>
      </c>
      <c r="AF23" s="938">
        <f>AA23*AD23</f>
        <v>1112</v>
      </c>
      <c r="AL23" s="981">
        <v>15.4</v>
      </c>
      <c r="AM23" s="982" t="s">
        <v>929</v>
      </c>
      <c r="AN23" s="983" t="s">
        <v>5591</v>
      </c>
      <c r="AO23" s="983"/>
      <c r="AP23" s="984">
        <f>AP15</f>
        <v>57.6</v>
      </c>
      <c r="AQ23" s="982" t="s">
        <v>929</v>
      </c>
      <c r="AR23" s="979">
        <f t="shared" si="1"/>
        <v>887.04</v>
      </c>
    </row>
    <row r="24" spans="1:44" ht="15.75">
      <c r="A24" s="890"/>
      <c r="B24" s="891"/>
      <c r="C24" s="896" t="s">
        <v>5035</v>
      </c>
      <c r="D24" s="893"/>
      <c r="E24" s="894"/>
      <c r="F24" s="890"/>
      <c r="K24" s="882"/>
      <c r="L24" s="928"/>
      <c r="M24" s="929"/>
      <c r="N24" s="930"/>
      <c r="O24" s="928"/>
      <c r="P24" s="930">
        <f>SUM(P21:P23)</f>
        <v>3727.51</v>
      </c>
      <c r="R24" s="882"/>
      <c r="S24" s="885"/>
      <c r="T24" s="884"/>
      <c r="U24" s="879"/>
      <c r="V24" s="882"/>
      <c r="W24" s="886">
        <f>SUM(W18:W23)</f>
        <v>9039.2999999999993</v>
      </c>
      <c r="AA24" s="941"/>
      <c r="AF24" s="942">
        <f>SUM(AF22:AF23)</f>
        <v>1824</v>
      </c>
      <c r="AL24" s="974"/>
      <c r="AM24" s="982"/>
      <c r="AN24" s="983" t="s">
        <v>5579</v>
      </c>
      <c r="AO24" s="983"/>
      <c r="AP24" s="984"/>
      <c r="AQ24" s="982"/>
      <c r="AR24" s="979">
        <f t="shared" si="1"/>
        <v>0</v>
      </c>
    </row>
    <row r="25" spans="1:44" ht="15.75">
      <c r="A25" s="890"/>
      <c r="B25" s="891"/>
      <c r="C25" s="896" t="s">
        <v>5034</v>
      </c>
      <c r="D25" s="893"/>
      <c r="E25" s="894"/>
      <c r="F25" s="890"/>
      <c r="K25" s="882"/>
      <c r="L25" s="928"/>
      <c r="M25" s="929"/>
      <c r="N25" s="930"/>
      <c r="O25" s="881" t="s">
        <v>5265</v>
      </c>
      <c r="P25" s="931">
        <v>3639</v>
      </c>
      <c r="R25" s="882"/>
      <c r="S25" s="885"/>
      <c r="T25" s="884" t="s">
        <v>5436</v>
      </c>
      <c r="U25" s="879"/>
      <c r="V25" s="882"/>
      <c r="W25" s="879">
        <f>W24*1%</f>
        <v>90.39</v>
      </c>
      <c r="AA25" s="941"/>
      <c r="AL25" s="985">
        <v>3</v>
      </c>
      <c r="AM25" s="982" t="s">
        <v>1457</v>
      </c>
      <c r="AN25" s="983" t="s">
        <v>5028</v>
      </c>
      <c r="AO25" s="986"/>
      <c r="AP25" s="984">
        <f>D51</f>
        <v>555</v>
      </c>
      <c r="AQ25" s="982" t="s">
        <v>1423</v>
      </c>
      <c r="AR25" s="979">
        <f t="shared" si="1"/>
        <v>1665</v>
      </c>
    </row>
    <row r="26" spans="1:44" ht="15.75">
      <c r="A26" s="890">
        <v>15.4</v>
      </c>
      <c r="B26" s="891" t="s">
        <v>929</v>
      </c>
      <c r="C26" s="896" t="str">
        <f>'[6]8 in 1  '!C25</f>
        <v xml:space="preserve">Cost of angle iron </v>
      </c>
      <c r="D26" s="893">
        <f>D16</f>
        <v>57.6</v>
      </c>
      <c r="E26" s="894" t="s">
        <v>929</v>
      </c>
      <c r="F26" s="890">
        <f>SUM(A26*D26)</f>
        <v>887.04</v>
      </c>
      <c r="K26" s="940"/>
      <c r="L26" s="940"/>
      <c r="M26" s="940"/>
      <c r="N26" s="940"/>
      <c r="O26" s="940"/>
      <c r="P26" s="946"/>
      <c r="R26" s="882"/>
      <c r="S26" s="885"/>
      <c r="T26" s="884" t="s">
        <v>5437</v>
      </c>
      <c r="U26" s="879"/>
      <c r="V26" s="882"/>
      <c r="W26" s="879">
        <v>1898</v>
      </c>
      <c r="AA26" s="943"/>
      <c r="AL26" s="985">
        <v>1</v>
      </c>
      <c r="AM26" s="982" t="s">
        <v>1419</v>
      </c>
      <c r="AN26" s="983" t="s">
        <v>5550</v>
      </c>
      <c r="AO26" s="983"/>
      <c r="AP26" s="984">
        <f t="shared" ref="AP26:AP31" si="2">D52</f>
        <v>77.599999999999994</v>
      </c>
      <c r="AQ26" s="982" t="s">
        <v>1423</v>
      </c>
      <c r="AR26" s="979">
        <f t="shared" si="1"/>
        <v>77.599999999999994</v>
      </c>
    </row>
    <row r="27" spans="1:44" ht="15.75">
      <c r="A27" s="890"/>
      <c r="B27" s="891"/>
      <c r="C27" s="897" t="s">
        <v>4344</v>
      </c>
      <c r="D27" s="893"/>
      <c r="E27" s="894"/>
      <c r="F27" s="890"/>
      <c r="K27" s="879"/>
      <c r="L27" s="929"/>
      <c r="M27" s="929" t="s">
        <v>2691</v>
      </c>
      <c r="N27" s="930"/>
      <c r="O27" s="928"/>
      <c r="P27" s="930"/>
      <c r="R27" s="882"/>
      <c r="S27" s="885"/>
      <c r="T27" s="884"/>
      <c r="U27" s="879"/>
      <c r="V27" s="882"/>
      <c r="W27" s="886">
        <f>SUM(W24:W26)</f>
        <v>11027.69</v>
      </c>
      <c r="AA27" s="943" t="s">
        <v>5524</v>
      </c>
      <c r="AL27" s="985">
        <v>12</v>
      </c>
      <c r="AM27" s="982" t="s">
        <v>1457</v>
      </c>
      <c r="AN27" s="983" t="s">
        <v>5305</v>
      </c>
      <c r="AO27" s="983"/>
      <c r="AP27" s="984">
        <f t="shared" si="2"/>
        <v>190.2</v>
      </c>
      <c r="AQ27" s="982" t="s">
        <v>1423</v>
      </c>
      <c r="AR27" s="979">
        <f t="shared" si="1"/>
        <v>2282.4</v>
      </c>
    </row>
    <row r="28" spans="1:44" ht="18" customHeight="1">
      <c r="A28" s="890"/>
      <c r="B28" s="891"/>
      <c r="C28" s="896" t="s">
        <v>4345</v>
      </c>
      <c r="D28" s="893"/>
      <c r="E28" s="894"/>
      <c r="F28" s="890"/>
      <c r="K28" s="879"/>
      <c r="L28" s="930">
        <v>1</v>
      </c>
      <c r="M28" s="929" t="s">
        <v>5449</v>
      </c>
      <c r="N28" s="947">
        <f>Elec.Data!I36</f>
        <v>783</v>
      </c>
      <c r="O28" s="928"/>
      <c r="P28" s="930">
        <f>L28*N28</f>
        <v>783</v>
      </c>
      <c r="R28" s="882"/>
      <c r="S28" s="885"/>
      <c r="T28" s="884"/>
      <c r="U28" s="879"/>
      <c r="V28" s="882"/>
      <c r="W28" s="886">
        <v>11028</v>
      </c>
      <c r="X28" s="937">
        <f>W28*5</f>
        <v>55140</v>
      </c>
      <c r="AA28" s="943" t="s">
        <v>5525</v>
      </c>
      <c r="AL28" s="985">
        <v>1</v>
      </c>
      <c r="AM28" s="982" t="s">
        <v>1419</v>
      </c>
      <c r="AN28" s="983" t="s">
        <v>5553</v>
      </c>
      <c r="AO28" s="983"/>
      <c r="AP28" s="984">
        <f t="shared" si="2"/>
        <v>85.2</v>
      </c>
      <c r="AQ28" s="982" t="s">
        <v>1423</v>
      </c>
      <c r="AR28" s="979">
        <f t="shared" si="1"/>
        <v>85.2</v>
      </c>
    </row>
    <row r="29" spans="1:44" ht="20.25" customHeight="1">
      <c r="A29" s="890"/>
      <c r="B29" s="891"/>
      <c r="C29" s="896" t="s">
        <v>4346</v>
      </c>
      <c r="D29" s="893"/>
      <c r="E29" s="894"/>
      <c r="F29" s="890"/>
      <c r="K29" s="879"/>
      <c r="L29" s="930">
        <v>2</v>
      </c>
      <c r="M29" s="929" t="s">
        <v>2634</v>
      </c>
      <c r="N29" s="947">
        <f>Elec.Data!I38</f>
        <v>611</v>
      </c>
      <c r="O29" s="928"/>
      <c r="P29" s="930">
        <f>L29*N29</f>
        <v>1222</v>
      </c>
      <c r="AL29" s="985">
        <v>4</v>
      </c>
      <c r="AM29" s="982" t="s">
        <v>1457</v>
      </c>
      <c r="AN29" s="983" t="s">
        <v>5306</v>
      </c>
      <c r="AO29" s="983"/>
      <c r="AP29" s="984">
        <f t="shared" si="2"/>
        <v>67.8</v>
      </c>
      <c r="AQ29" s="982" t="s">
        <v>1423</v>
      </c>
      <c r="AR29" s="979">
        <f t="shared" si="1"/>
        <v>271.2</v>
      </c>
    </row>
    <row r="30" spans="1:44" ht="15.75">
      <c r="A30" s="890"/>
      <c r="B30" s="891"/>
      <c r="C30" s="896" t="s">
        <v>5033</v>
      </c>
      <c r="D30" s="893"/>
      <c r="E30" s="894"/>
      <c r="F30" s="890"/>
      <c r="K30" s="879"/>
      <c r="L30" s="930"/>
      <c r="M30" s="929"/>
      <c r="N30" s="947"/>
      <c r="O30" s="928"/>
      <c r="P30" s="930">
        <f>SUM(P28:P29)</f>
        <v>2005</v>
      </c>
      <c r="R30" s="1554" t="s">
        <v>5619</v>
      </c>
      <c r="S30" s="1554"/>
      <c r="T30" s="1554"/>
      <c r="U30" s="1554"/>
      <c r="V30" s="1554"/>
      <c r="W30" s="1554"/>
      <c r="AL30" s="985">
        <v>1</v>
      </c>
      <c r="AM30" s="982" t="s">
        <v>1419</v>
      </c>
      <c r="AN30" s="983" t="s">
        <v>5307</v>
      </c>
      <c r="AO30" s="983"/>
      <c r="AP30" s="984">
        <f t="shared" si="2"/>
        <v>38</v>
      </c>
      <c r="AQ30" s="982" t="s">
        <v>1423</v>
      </c>
      <c r="AR30" s="979">
        <f t="shared" si="1"/>
        <v>38</v>
      </c>
    </row>
    <row r="31" spans="1:44" ht="33" customHeight="1">
      <c r="A31" s="890"/>
      <c r="B31" s="891"/>
      <c r="C31" s="896" t="s">
        <v>4348</v>
      </c>
      <c r="D31" s="893"/>
      <c r="E31" s="894"/>
      <c r="F31" s="890"/>
      <c r="K31" s="879"/>
      <c r="L31" s="930"/>
      <c r="M31" s="929"/>
      <c r="N31" s="947"/>
      <c r="O31" s="928"/>
      <c r="P31" s="931">
        <f>P30/4</f>
        <v>501.25</v>
      </c>
      <c r="R31" s="882">
        <v>1</v>
      </c>
      <c r="S31" s="885" t="s">
        <v>570</v>
      </c>
      <c r="T31" s="998" t="s">
        <v>5620</v>
      </c>
      <c r="U31" s="879">
        <v>6850</v>
      </c>
      <c r="V31" s="882" t="s">
        <v>1746</v>
      </c>
      <c r="W31" s="879">
        <f>SUM(R31*U31)</f>
        <v>6850</v>
      </c>
      <c r="AL31" s="985">
        <v>4</v>
      </c>
      <c r="AM31" s="982" t="s">
        <v>1457</v>
      </c>
      <c r="AN31" s="983" t="s">
        <v>5554</v>
      </c>
      <c r="AO31" s="983"/>
      <c r="AP31" s="984">
        <f t="shared" si="2"/>
        <v>580</v>
      </c>
      <c r="AQ31" s="982" t="s">
        <v>1423</v>
      </c>
      <c r="AR31" s="979">
        <f t="shared" si="1"/>
        <v>2320</v>
      </c>
    </row>
    <row r="32" spans="1:44" ht="31.5">
      <c r="A32" s="890"/>
      <c r="B32" s="891"/>
      <c r="C32" s="896" t="s">
        <v>4349</v>
      </c>
      <c r="D32" s="893"/>
      <c r="E32" s="894"/>
      <c r="F32" s="890"/>
      <c r="R32" s="882">
        <v>1</v>
      </c>
      <c r="S32" s="885" t="s">
        <v>570</v>
      </c>
      <c r="T32" s="884" t="s">
        <v>5621</v>
      </c>
      <c r="U32" s="879">
        <v>8830</v>
      </c>
      <c r="V32" s="882" t="s">
        <v>1746</v>
      </c>
      <c r="W32" s="879">
        <f>SUM(R32*U32)</f>
        <v>8830</v>
      </c>
      <c r="AL32" s="985">
        <v>1</v>
      </c>
      <c r="AM32" s="982" t="s">
        <v>1419</v>
      </c>
      <c r="AN32" s="983" t="s">
        <v>5555</v>
      </c>
      <c r="AO32" s="983"/>
      <c r="AP32" s="984">
        <f>D59</f>
        <v>258</v>
      </c>
      <c r="AQ32" s="982" t="s">
        <v>1423</v>
      </c>
      <c r="AR32" s="979">
        <f t="shared" si="1"/>
        <v>258</v>
      </c>
    </row>
    <row r="33" spans="1:44" ht="31.5">
      <c r="A33" s="890"/>
      <c r="B33" s="891"/>
      <c r="C33" s="896" t="s">
        <v>4350</v>
      </c>
      <c r="D33" s="893"/>
      <c r="E33" s="894"/>
      <c r="F33" s="890"/>
      <c r="K33" s="938">
        <v>1</v>
      </c>
      <c r="L33" s="937" t="s">
        <v>5451</v>
      </c>
      <c r="M33" s="940" t="s">
        <v>5452</v>
      </c>
      <c r="N33" s="938">
        <v>5800</v>
      </c>
      <c r="O33" s="938" t="s">
        <v>5453</v>
      </c>
      <c r="P33" s="938">
        <f>N33*K33</f>
        <v>5800</v>
      </c>
      <c r="R33" s="882">
        <v>5</v>
      </c>
      <c r="S33" s="885" t="s">
        <v>570</v>
      </c>
      <c r="T33" s="884" t="s">
        <v>5622</v>
      </c>
      <c r="U33" s="879">
        <v>903</v>
      </c>
      <c r="V33" s="882" t="s">
        <v>1746</v>
      </c>
      <c r="W33" s="879">
        <f>SUM(R33*U33)</f>
        <v>4515</v>
      </c>
      <c r="AL33" s="981">
        <v>484</v>
      </c>
      <c r="AM33" s="982" t="s">
        <v>5580</v>
      </c>
      <c r="AN33" s="983" t="s">
        <v>5592</v>
      </c>
      <c r="AO33" s="983"/>
      <c r="AP33" s="984">
        <f>D60</f>
        <v>1</v>
      </c>
      <c r="AQ33" s="982" t="s">
        <v>4363</v>
      </c>
      <c r="AR33" s="979">
        <f t="shared" si="1"/>
        <v>484</v>
      </c>
    </row>
    <row r="34" spans="1:44" ht="31.5">
      <c r="A34" s="890"/>
      <c r="B34" s="891"/>
      <c r="C34" s="896" t="s">
        <v>5032</v>
      </c>
      <c r="D34" s="893"/>
      <c r="E34" s="894"/>
      <c r="F34" s="890"/>
      <c r="K34" s="938"/>
      <c r="M34" s="940" t="s">
        <v>5454</v>
      </c>
      <c r="N34" s="938"/>
      <c r="O34" s="938"/>
      <c r="P34" s="938">
        <f>P33*12%</f>
        <v>696</v>
      </c>
      <c r="R34" s="882">
        <v>8</v>
      </c>
      <c r="S34" s="885" t="s">
        <v>1051</v>
      </c>
      <c r="T34" s="884" t="s">
        <v>5447</v>
      </c>
      <c r="U34" s="879">
        <v>173</v>
      </c>
      <c r="V34" s="882" t="s">
        <v>1746</v>
      </c>
      <c r="W34" s="879">
        <f>SUM(R34*U34)</f>
        <v>1384</v>
      </c>
      <c r="AL34" s="982"/>
      <c r="AM34" s="982"/>
      <c r="AN34" s="983" t="s">
        <v>5581</v>
      </c>
      <c r="AO34" s="983"/>
      <c r="AP34" s="984">
        <f>D61</f>
        <v>0</v>
      </c>
      <c r="AQ34" s="982"/>
      <c r="AR34" s="979">
        <f t="shared" si="1"/>
        <v>0</v>
      </c>
    </row>
    <row r="35" spans="1:44" ht="15.75">
      <c r="A35" s="890"/>
      <c r="B35" s="891"/>
      <c r="C35" s="896" t="s">
        <v>4352</v>
      </c>
      <c r="D35" s="893"/>
      <c r="E35" s="894"/>
      <c r="F35" s="890"/>
      <c r="K35" s="938"/>
      <c r="M35" s="940"/>
      <c r="N35" s="938"/>
      <c r="O35" s="938"/>
      <c r="P35" s="938">
        <v>6496</v>
      </c>
      <c r="R35" s="882"/>
      <c r="S35" s="928" t="s">
        <v>669</v>
      </c>
      <c r="T35" s="824" t="s">
        <v>5448</v>
      </c>
      <c r="U35" s="930"/>
      <c r="V35" s="928" t="s">
        <v>669</v>
      </c>
      <c r="W35" s="930">
        <v>55.3</v>
      </c>
      <c r="AL35" s="981">
        <v>18.3</v>
      </c>
      <c r="AM35" s="982" t="s">
        <v>5582</v>
      </c>
      <c r="AN35" s="983" t="s">
        <v>5310</v>
      </c>
      <c r="AO35" s="986"/>
      <c r="AP35" s="984">
        <f t="shared" ref="AP35:AP43" si="3">D63</f>
        <v>20</v>
      </c>
      <c r="AQ35" s="982" t="s">
        <v>5583</v>
      </c>
      <c r="AR35" s="979">
        <f t="shared" si="1"/>
        <v>366</v>
      </c>
    </row>
    <row r="36" spans="1:44" ht="18.75" customHeight="1">
      <c r="A36" s="890"/>
      <c r="B36" s="891"/>
      <c r="C36" s="896" t="s">
        <v>4353</v>
      </c>
      <c r="D36" s="893"/>
      <c r="E36" s="894"/>
      <c r="F36" s="890"/>
      <c r="K36" s="938">
        <v>2</v>
      </c>
      <c r="L36" s="937" t="s">
        <v>5455</v>
      </c>
      <c r="M36" s="940" t="s">
        <v>5459</v>
      </c>
      <c r="N36" s="938">
        <v>5.58</v>
      </c>
      <c r="O36" s="938" t="s">
        <v>5456</v>
      </c>
      <c r="P36" s="938">
        <f>N36*K36</f>
        <v>11.16</v>
      </c>
      <c r="R36" s="882"/>
      <c r="S36" s="928" t="s">
        <v>669</v>
      </c>
      <c r="T36" s="824" t="s">
        <v>5435</v>
      </c>
      <c r="U36" s="930"/>
      <c r="V36" s="928" t="s">
        <v>669</v>
      </c>
      <c r="W36" s="930">
        <v>24</v>
      </c>
      <c r="AL36" s="981">
        <v>0.7</v>
      </c>
      <c r="AM36" s="982" t="s">
        <v>5593</v>
      </c>
      <c r="AN36" s="983" t="s">
        <v>5311</v>
      </c>
      <c r="AO36" s="983"/>
      <c r="AP36" s="984">
        <f t="shared" si="3"/>
        <v>1322</v>
      </c>
      <c r="AQ36" s="982" t="s">
        <v>5593</v>
      </c>
      <c r="AR36" s="979">
        <f t="shared" si="1"/>
        <v>925.4</v>
      </c>
    </row>
    <row r="37" spans="1:44" ht="22.5" customHeight="1">
      <c r="A37" s="890"/>
      <c r="B37" s="891"/>
      <c r="C37" s="896" t="s">
        <v>4354</v>
      </c>
      <c r="D37" s="893"/>
      <c r="E37" s="894"/>
      <c r="F37" s="890"/>
      <c r="K37" s="938">
        <v>1</v>
      </c>
      <c r="L37" s="937" t="s">
        <v>5457</v>
      </c>
      <c r="M37" s="940" t="s">
        <v>5460</v>
      </c>
      <c r="N37" s="938">
        <v>9.8000000000000007</v>
      </c>
      <c r="O37" s="938" t="s">
        <v>4375</v>
      </c>
      <c r="P37" s="938">
        <f>N37*K37</f>
        <v>9.8000000000000007</v>
      </c>
      <c r="R37" s="882"/>
      <c r="S37" s="885"/>
      <c r="T37" s="884"/>
      <c r="U37" s="879"/>
      <c r="V37" s="882"/>
      <c r="W37" s="886">
        <f>SUM(W31:W36)</f>
        <v>21658.3</v>
      </c>
      <c r="AL37" s="981">
        <v>5</v>
      </c>
      <c r="AM37" s="982" t="s">
        <v>1457</v>
      </c>
      <c r="AN37" s="983" t="s">
        <v>5594</v>
      </c>
      <c r="AO37" s="986"/>
      <c r="AP37" s="984">
        <f t="shared" si="3"/>
        <v>20</v>
      </c>
      <c r="AQ37" s="982" t="s">
        <v>1423</v>
      </c>
      <c r="AR37" s="979">
        <f t="shared" si="1"/>
        <v>100</v>
      </c>
    </row>
    <row r="38" spans="1:44" ht="15.75">
      <c r="A38" s="890"/>
      <c r="B38" s="891"/>
      <c r="C38" s="896"/>
      <c r="D38" s="893"/>
      <c r="E38" s="894"/>
      <c r="F38" s="890"/>
      <c r="N38" s="938"/>
      <c r="O38" s="938"/>
      <c r="P38" s="938">
        <f>SUM(P35:P37)</f>
        <v>6516.96</v>
      </c>
      <c r="R38" s="882"/>
      <c r="S38" s="885"/>
      <c r="T38" s="884" t="s">
        <v>5436</v>
      </c>
      <c r="U38" s="879"/>
      <c r="V38" s="882"/>
      <c r="W38" s="879">
        <f>W37*1%</f>
        <v>216.58</v>
      </c>
      <c r="AL38" s="981">
        <v>1</v>
      </c>
      <c r="AM38" s="982" t="s">
        <v>4388</v>
      </c>
      <c r="AN38" s="983" t="s">
        <v>5595</v>
      </c>
      <c r="AO38" s="986"/>
      <c r="AP38" s="984">
        <f t="shared" si="3"/>
        <v>280</v>
      </c>
      <c r="AQ38" s="982" t="s">
        <v>147</v>
      </c>
      <c r="AR38" s="979">
        <f t="shared" si="1"/>
        <v>280</v>
      </c>
    </row>
    <row r="39" spans="1:44" ht="20.25" customHeight="1">
      <c r="A39" s="890"/>
      <c r="B39" s="891"/>
      <c r="C39" s="896" t="s">
        <v>5031</v>
      </c>
      <c r="D39" s="893"/>
      <c r="E39" s="894"/>
      <c r="F39" s="890"/>
      <c r="K39" s="937">
        <v>6515.56</v>
      </c>
      <c r="N39" s="938"/>
      <c r="O39" s="938"/>
      <c r="R39" s="882"/>
      <c r="S39" s="885"/>
      <c r="T39" s="884" t="s">
        <v>5437</v>
      </c>
      <c r="U39" s="879"/>
      <c r="V39" s="882"/>
      <c r="W39" s="879">
        <v>1898</v>
      </c>
      <c r="AL39" s="981">
        <v>5</v>
      </c>
      <c r="AM39" s="982" t="s">
        <v>5582</v>
      </c>
      <c r="AN39" s="983" t="s">
        <v>5596</v>
      </c>
      <c r="AO39" s="983"/>
      <c r="AP39" s="984">
        <f t="shared" si="3"/>
        <v>10.45</v>
      </c>
      <c r="AQ39" s="982" t="s">
        <v>5583</v>
      </c>
      <c r="AR39" s="979">
        <f t="shared" si="1"/>
        <v>52.25</v>
      </c>
    </row>
    <row r="40" spans="1:44" ht="31.5">
      <c r="A40" s="890"/>
      <c r="B40" s="891"/>
      <c r="C40" s="896"/>
      <c r="D40" s="893"/>
      <c r="E40" s="894"/>
      <c r="F40" s="890"/>
      <c r="M40" s="937" t="s">
        <v>5458</v>
      </c>
      <c r="N40" s="938"/>
      <c r="O40" s="938"/>
      <c r="P40" s="938">
        <f>P38*1%</f>
        <v>65.17</v>
      </c>
      <c r="R40" s="882"/>
      <c r="S40" s="885"/>
      <c r="T40" s="884"/>
      <c r="U40" s="879"/>
      <c r="V40" s="882"/>
      <c r="W40" s="886">
        <f>SUM(W37:W39)</f>
        <v>23772.880000000001</v>
      </c>
      <c r="AL40" s="981">
        <v>130.54</v>
      </c>
      <c r="AM40" s="982" t="s">
        <v>1676</v>
      </c>
      <c r="AN40" s="983" t="s">
        <v>5603</v>
      </c>
      <c r="AO40" s="983"/>
      <c r="AP40" s="984">
        <f t="shared" si="3"/>
        <v>52.5</v>
      </c>
      <c r="AQ40" s="982" t="s">
        <v>1676</v>
      </c>
      <c r="AR40" s="979">
        <f t="shared" si="1"/>
        <v>6853.35</v>
      </c>
    </row>
    <row r="41" spans="1:44" ht="32.25" customHeight="1">
      <c r="A41" s="890">
        <v>6.2</v>
      </c>
      <c r="B41" s="891" t="s">
        <v>929</v>
      </c>
      <c r="C41" s="896" t="s">
        <v>5299</v>
      </c>
      <c r="D41" s="1043">
        <v>562</v>
      </c>
      <c r="E41" s="894" t="s">
        <v>929</v>
      </c>
      <c r="F41" s="890">
        <f>SUM(A41*D41)</f>
        <v>3484.4</v>
      </c>
      <c r="K41" s="937" t="s">
        <v>5450</v>
      </c>
      <c r="M41" s="937" t="s">
        <v>5458</v>
      </c>
      <c r="P41" s="938">
        <v>65.16</v>
      </c>
      <c r="W41" s="937">
        <v>23773</v>
      </c>
      <c r="X41" s="937">
        <f>W41*2</f>
        <v>47546</v>
      </c>
      <c r="AL41" s="981">
        <v>5</v>
      </c>
      <c r="AM41" s="982" t="s">
        <v>1457</v>
      </c>
      <c r="AN41" s="983" t="s">
        <v>5604</v>
      </c>
      <c r="AO41" s="983"/>
      <c r="AP41" s="984">
        <f t="shared" si="3"/>
        <v>1086</v>
      </c>
      <c r="AQ41" s="982" t="s">
        <v>1746</v>
      </c>
      <c r="AR41" s="979">
        <f t="shared" si="1"/>
        <v>5430</v>
      </c>
    </row>
    <row r="42" spans="1:44" ht="21" customHeight="1">
      <c r="A42" s="890">
        <v>6.2</v>
      </c>
      <c r="B42" s="891" t="s">
        <v>929</v>
      </c>
      <c r="C42" s="896" t="str">
        <f>'[6]8 in 1  '!C41</f>
        <v>Tin coating of copper ( qtn vide CER.NO.189/19-20)</v>
      </c>
      <c r="D42" s="893">
        <v>10</v>
      </c>
      <c r="E42" s="894" t="s">
        <v>929</v>
      </c>
      <c r="F42" s="890">
        <f>SUM(A42*D42)</f>
        <v>62</v>
      </c>
      <c r="M42" s="940" t="s">
        <v>5461</v>
      </c>
      <c r="P42" s="938">
        <f>237.25*1.5</f>
        <v>355.88</v>
      </c>
      <c r="AL42" s="981">
        <v>178.92</v>
      </c>
      <c r="AM42" s="982" t="s">
        <v>5584</v>
      </c>
      <c r="AN42" s="983" t="s">
        <v>4372</v>
      </c>
      <c r="AO42" s="983"/>
      <c r="AP42" s="984">
        <f t="shared" si="3"/>
        <v>10</v>
      </c>
      <c r="AQ42" s="982" t="s">
        <v>4373</v>
      </c>
      <c r="AR42" s="979">
        <f t="shared" si="1"/>
        <v>1789.2</v>
      </c>
    </row>
    <row r="43" spans="1:44" ht="21.75" customHeight="1">
      <c r="A43" s="890"/>
      <c r="B43" s="891"/>
      <c r="C43" s="896"/>
      <c r="D43" s="893"/>
      <c r="E43" s="894"/>
      <c r="F43" s="890"/>
      <c r="P43" s="942">
        <f>SUM(P38:P42)</f>
        <v>7003.17</v>
      </c>
      <c r="AL43" s="981">
        <v>36</v>
      </c>
      <c r="AM43" s="981" t="s">
        <v>5582</v>
      </c>
      <c r="AN43" s="983" t="s">
        <v>5585</v>
      </c>
      <c r="AO43" s="983"/>
      <c r="AP43" s="984">
        <f t="shared" si="3"/>
        <v>60.65</v>
      </c>
      <c r="AQ43" s="982" t="s">
        <v>5583</v>
      </c>
      <c r="AR43" s="979">
        <f t="shared" si="1"/>
        <v>2183.4</v>
      </c>
    </row>
    <row r="44" spans="1:44" ht="20.25" customHeight="1">
      <c r="A44" s="890"/>
      <c r="B44" s="891"/>
      <c r="C44" s="897" t="s">
        <v>4357</v>
      </c>
      <c r="D44" s="893"/>
      <c r="E44" s="894"/>
      <c r="F44" s="890"/>
      <c r="P44" s="938">
        <v>7004</v>
      </c>
      <c r="AL44" s="979"/>
      <c r="AM44" s="974"/>
      <c r="AN44" s="983" t="s">
        <v>5586</v>
      </c>
      <c r="AO44" s="983"/>
      <c r="AP44" s="987"/>
      <c r="AQ44" s="974"/>
      <c r="AR44" s="979"/>
    </row>
    <row r="45" spans="1:44" ht="20.25" customHeight="1">
      <c r="A45" s="890"/>
      <c r="B45" s="891"/>
      <c r="C45" s="896" t="s">
        <v>4358</v>
      </c>
      <c r="D45" s="893"/>
      <c r="E45" s="894"/>
      <c r="F45" s="890"/>
      <c r="AL45" s="979"/>
      <c r="AM45" s="974"/>
      <c r="AN45" s="983" t="s">
        <v>5597</v>
      </c>
      <c r="AO45" s="983"/>
      <c r="AP45" s="987"/>
      <c r="AQ45" s="974"/>
      <c r="AR45" s="979"/>
    </row>
    <row r="46" spans="1:44" ht="20.25" customHeight="1">
      <c r="A46" s="890"/>
      <c r="B46" s="891"/>
      <c r="C46" s="896" t="s">
        <v>5030</v>
      </c>
      <c r="D46" s="893"/>
      <c r="E46" s="894"/>
      <c r="F46" s="890"/>
      <c r="AL46" s="979"/>
      <c r="AM46" s="974"/>
      <c r="AN46" s="983" t="s">
        <v>5598</v>
      </c>
      <c r="AO46" s="983"/>
      <c r="AP46" s="984">
        <v>200</v>
      </c>
      <c r="AQ46" s="974"/>
      <c r="AR46" s="979">
        <v>200</v>
      </c>
    </row>
    <row r="47" spans="1:44" ht="20.25" customHeight="1">
      <c r="A47" s="890"/>
      <c r="B47" s="891"/>
      <c r="C47" s="896" t="s">
        <v>5029</v>
      </c>
      <c r="D47" s="893"/>
      <c r="E47" s="894"/>
      <c r="F47" s="890"/>
      <c r="AL47" s="979"/>
      <c r="AM47" s="974"/>
      <c r="AN47" s="983"/>
      <c r="AO47" s="983"/>
      <c r="AP47" s="986" t="s">
        <v>2284</v>
      </c>
      <c r="AQ47" s="974"/>
      <c r="AR47" s="994">
        <f>SUM(AR15:AR46)</f>
        <v>39438.44</v>
      </c>
    </row>
    <row r="48" spans="1:44" ht="20.25" customHeight="1">
      <c r="A48" s="890">
        <v>6.1</v>
      </c>
      <c r="B48" s="891" t="s">
        <v>842</v>
      </c>
      <c r="C48" s="896" t="s">
        <v>5774</v>
      </c>
      <c r="D48" s="1043">
        <v>115</v>
      </c>
      <c r="E48" s="894" t="s">
        <v>842</v>
      </c>
      <c r="F48" s="890">
        <f>D48*A48</f>
        <v>701.5</v>
      </c>
      <c r="AL48" s="974"/>
      <c r="AM48" s="974"/>
      <c r="AN48" s="983" t="s">
        <v>5587</v>
      </c>
      <c r="AO48" s="983"/>
      <c r="AP48" s="983"/>
      <c r="AQ48" s="974"/>
      <c r="AR48" s="979">
        <f>AR47*2%</f>
        <v>788.77</v>
      </c>
    </row>
    <row r="49" spans="1:44" ht="20.25" customHeight="1">
      <c r="A49" s="890"/>
      <c r="B49" s="891"/>
      <c r="C49" s="896"/>
      <c r="D49" s="893"/>
      <c r="E49" s="894"/>
      <c r="F49" s="890"/>
      <c r="AL49" s="974"/>
      <c r="AM49" s="974"/>
      <c r="AN49" s="983" t="s">
        <v>5588</v>
      </c>
      <c r="AO49" s="983"/>
      <c r="AP49" s="983"/>
      <c r="AQ49" s="974"/>
      <c r="AR49" s="994">
        <f>SUM(AR47:AR48)</f>
        <v>40227.21</v>
      </c>
    </row>
    <row r="50" spans="1:44" ht="20.25" customHeight="1">
      <c r="A50" s="890"/>
      <c r="B50" s="891"/>
      <c r="C50" s="897" t="s">
        <v>4361</v>
      </c>
      <c r="D50" s="893"/>
      <c r="E50" s="894"/>
      <c r="F50" s="890"/>
      <c r="AL50" s="974"/>
      <c r="AM50" s="974"/>
      <c r="AN50" s="983" t="s">
        <v>5589</v>
      </c>
      <c r="AO50" s="983"/>
      <c r="AP50" s="983"/>
      <c r="AQ50" s="974"/>
      <c r="AR50" s="979">
        <v>1000</v>
      </c>
    </row>
    <row r="51" spans="1:44" ht="20.25" customHeight="1">
      <c r="A51" s="890">
        <v>3</v>
      </c>
      <c r="B51" s="891" t="s">
        <v>1051</v>
      </c>
      <c r="C51" s="896" t="s">
        <v>5775</v>
      </c>
      <c r="D51" s="1043">
        <v>555</v>
      </c>
      <c r="E51" s="894" t="s">
        <v>1423</v>
      </c>
      <c r="F51" s="890">
        <f>D51*A51</f>
        <v>1665</v>
      </c>
      <c r="AL51" s="974"/>
      <c r="AM51" s="974"/>
      <c r="AN51" s="983" t="s">
        <v>5590</v>
      </c>
      <c r="AO51" s="983"/>
      <c r="AP51" s="983"/>
      <c r="AQ51" s="974"/>
      <c r="AR51" s="979">
        <v>1000</v>
      </c>
    </row>
    <row r="52" spans="1:44" ht="20.25" customHeight="1">
      <c r="A52" s="890">
        <v>1</v>
      </c>
      <c r="B52" s="891" t="s">
        <v>1051</v>
      </c>
      <c r="C52" s="896" t="s">
        <v>5550</v>
      </c>
      <c r="D52" s="1044">
        <v>77.599999999999994</v>
      </c>
      <c r="E52" s="894" t="s">
        <v>1423</v>
      </c>
      <c r="F52" s="890">
        <f t="shared" ref="F52:F60" si="4">SUM(A52*D52)</f>
        <v>77.599999999999994</v>
      </c>
      <c r="AL52" s="974"/>
      <c r="AM52" s="974"/>
      <c r="AN52" s="988"/>
      <c r="AO52" s="974"/>
      <c r="AP52" s="974"/>
      <c r="AQ52" s="974"/>
      <c r="AR52" s="979">
        <f>SUM(AR49:AR51)</f>
        <v>42227.21</v>
      </c>
    </row>
    <row r="53" spans="1:44" ht="20.25" customHeight="1">
      <c r="A53" s="890">
        <v>12</v>
      </c>
      <c r="B53" s="891" t="s">
        <v>1051</v>
      </c>
      <c r="C53" s="896" t="s">
        <v>5777</v>
      </c>
      <c r="D53" s="1043">
        <v>190.2</v>
      </c>
      <c r="E53" s="894" t="s">
        <v>1423</v>
      </c>
      <c r="F53" s="890">
        <f t="shared" si="4"/>
        <v>2282.4</v>
      </c>
      <c r="AL53" s="974"/>
      <c r="AM53" s="974"/>
      <c r="AN53" s="988"/>
      <c r="AO53" s="974"/>
      <c r="AP53" s="989" t="s">
        <v>2284</v>
      </c>
      <c r="AQ53" s="974"/>
      <c r="AR53" s="990">
        <f>ROUNDUP(AR52,-2)</f>
        <v>42300</v>
      </c>
    </row>
    <row r="54" spans="1:44" ht="20.25" customHeight="1">
      <c r="A54" s="890">
        <v>1</v>
      </c>
      <c r="B54" s="891" t="s">
        <v>570</v>
      </c>
      <c r="C54" s="896" t="s">
        <v>5778</v>
      </c>
      <c r="D54" s="1043">
        <v>85.2</v>
      </c>
      <c r="E54" s="894" t="s">
        <v>1423</v>
      </c>
      <c r="F54" s="890">
        <f t="shared" si="4"/>
        <v>85.2</v>
      </c>
      <c r="AL54" s="974"/>
      <c r="AM54" s="974"/>
      <c r="AN54" s="988"/>
      <c r="AO54" s="974"/>
      <c r="AP54" s="974"/>
      <c r="AQ54" s="974"/>
      <c r="AR54" s="974"/>
    </row>
    <row r="55" spans="1:44" ht="20.25" customHeight="1">
      <c r="A55" s="890">
        <v>4</v>
      </c>
      <c r="B55" s="891" t="s">
        <v>1051</v>
      </c>
      <c r="C55" s="896" t="s">
        <v>5306</v>
      </c>
      <c r="D55" s="1044">
        <v>67.8</v>
      </c>
      <c r="E55" s="894" t="s">
        <v>1423</v>
      </c>
      <c r="F55" s="890">
        <f t="shared" si="4"/>
        <v>271.2</v>
      </c>
      <c r="AL55" s="974"/>
      <c r="AM55" s="974"/>
      <c r="AN55" s="896"/>
      <c r="AO55" s="893"/>
      <c r="AP55" s="894"/>
      <c r="AQ55" s="890"/>
    </row>
    <row r="56" spans="1:44" ht="20.25" customHeight="1">
      <c r="A56" s="890">
        <v>1</v>
      </c>
      <c r="B56" s="891" t="s">
        <v>1051</v>
      </c>
      <c r="C56" s="896" t="s">
        <v>5779</v>
      </c>
      <c r="D56" s="893">
        <v>38</v>
      </c>
      <c r="E56" s="894" t="s">
        <v>1423</v>
      </c>
      <c r="F56" s="890">
        <f t="shared" si="4"/>
        <v>38</v>
      </c>
      <c r="AL56" s="890"/>
      <c r="AM56" s="891"/>
      <c r="AN56" s="896"/>
      <c r="AO56" s="893"/>
      <c r="AP56" s="894"/>
      <c r="AQ56" s="890"/>
    </row>
    <row r="57" spans="1:44" ht="20.25" customHeight="1">
      <c r="A57" s="890">
        <v>4</v>
      </c>
      <c r="B57" s="891" t="s">
        <v>570</v>
      </c>
      <c r="C57" s="896" t="s">
        <v>5780</v>
      </c>
      <c r="D57" s="1043">
        <v>580</v>
      </c>
      <c r="E57" s="894" t="s">
        <v>1423</v>
      </c>
      <c r="F57" s="890">
        <f t="shared" si="4"/>
        <v>2320</v>
      </c>
      <c r="AL57" s="890"/>
      <c r="AM57" s="891"/>
      <c r="AN57" s="896"/>
      <c r="AO57" s="893"/>
      <c r="AP57" s="894"/>
      <c r="AQ57" s="890"/>
    </row>
    <row r="58" spans="1:44" ht="20.25" customHeight="1">
      <c r="A58" s="890"/>
      <c r="B58" s="891" t="s">
        <v>570</v>
      </c>
      <c r="C58" s="896" t="s">
        <v>5776</v>
      </c>
      <c r="D58" s="893"/>
      <c r="E58" s="894" t="s">
        <v>1423</v>
      </c>
      <c r="F58" s="890">
        <f t="shared" si="4"/>
        <v>0</v>
      </c>
      <c r="AL58" s="890"/>
      <c r="AM58" s="891"/>
      <c r="AN58" s="896"/>
      <c r="AO58" s="893"/>
      <c r="AP58" s="894"/>
      <c r="AQ58" s="890"/>
    </row>
    <row r="59" spans="1:44" ht="20.25" customHeight="1">
      <c r="A59" s="890">
        <v>1</v>
      </c>
      <c r="B59" s="891" t="s">
        <v>570</v>
      </c>
      <c r="C59" s="896" t="s">
        <v>5781</v>
      </c>
      <c r="D59" s="1043">
        <v>258</v>
      </c>
      <c r="E59" s="894" t="s">
        <v>1423</v>
      </c>
      <c r="F59" s="890">
        <f t="shared" si="4"/>
        <v>258</v>
      </c>
      <c r="AL59" s="890"/>
      <c r="AM59" s="891"/>
      <c r="AN59" s="896"/>
      <c r="AO59" s="893"/>
      <c r="AP59" s="894"/>
      <c r="AQ59" s="890"/>
    </row>
    <row r="60" spans="1:44" ht="20.25" customHeight="1">
      <c r="A60" s="948">
        <v>484</v>
      </c>
      <c r="B60" s="894" t="s">
        <v>4363</v>
      </c>
      <c r="C60" s="896" t="s">
        <v>5308</v>
      </c>
      <c r="D60" s="893">
        <v>1</v>
      </c>
      <c r="E60" s="894" t="s">
        <v>4363</v>
      </c>
      <c r="F60" s="890">
        <f t="shared" si="4"/>
        <v>484</v>
      </c>
      <c r="AL60" s="948"/>
      <c r="AM60" s="894"/>
      <c r="AN60" s="896"/>
      <c r="AO60" s="893"/>
      <c r="AP60" s="894"/>
      <c r="AQ60" s="890"/>
    </row>
    <row r="61" spans="1:44" ht="20.25" customHeight="1">
      <c r="A61" s="890"/>
      <c r="B61" s="891"/>
      <c r="C61" s="896" t="s">
        <v>4365</v>
      </c>
      <c r="D61" s="893"/>
      <c r="E61" s="894"/>
      <c r="F61" s="890"/>
      <c r="AL61" s="890"/>
      <c r="AM61" s="891"/>
      <c r="AN61" s="896"/>
      <c r="AO61" s="893"/>
      <c r="AP61" s="894"/>
      <c r="AQ61" s="890"/>
    </row>
    <row r="62" spans="1:44" ht="20.25" customHeight="1">
      <c r="A62" s="890"/>
      <c r="B62" s="891"/>
      <c r="C62" s="896"/>
      <c r="D62" s="893"/>
      <c r="E62" s="894"/>
      <c r="F62" s="890"/>
      <c r="AL62" s="890"/>
      <c r="AM62" s="891"/>
      <c r="AN62" s="896"/>
      <c r="AO62" s="893"/>
      <c r="AP62" s="894"/>
      <c r="AQ62" s="890"/>
    </row>
    <row r="63" spans="1:44" ht="20.25" customHeight="1">
      <c r="A63" s="890">
        <v>18.3</v>
      </c>
      <c r="B63" s="891" t="s">
        <v>842</v>
      </c>
      <c r="C63" s="896" t="s">
        <v>5310</v>
      </c>
      <c r="D63" s="893">
        <v>20</v>
      </c>
      <c r="E63" s="894" t="s">
        <v>842</v>
      </c>
      <c r="F63" s="890">
        <f t="shared" ref="F63:F71" si="5">SUM(A63*D63)</f>
        <v>366</v>
      </c>
      <c r="AL63" s="890"/>
      <c r="AM63" s="891"/>
      <c r="AN63" s="896"/>
      <c r="AO63" s="893"/>
      <c r="AP63" s="949"/>
      <c r="AQ63" s="890"/>
    </row>
    <row r="64" spans="1:44" ht="20.25" customHeight="1">
      <c r="A64" s="890">
        <v>0.7</v>
      </c>
      <c r="B64" s="891" t="s">
        <v>5365</v>
      </c>
      <c r="C64" s="896" t="s">
        <v>5782</v>
      </c>
      <c r="D64" s="893">
        <f>661*2</f>
        <v>1322</v>
      </c>
      <c r="E64" s="949" t="s">
        <v>5365</v>
      </c>
      <c r="F64" s="890">
        <f t="shared" si="5"/>
        <v>925.4</v>
      </c>
      <c r="AL64" s="890"/>
      <c r="AM64" s="891"/>
      <c r="AN64" s="896"/>
      <c r="AO64" s="893"/>
      <c r="AP64" s="894"/>
      <c r="AQ64" s="890"/>
    </row>
    <row r="65" spans="1:43" ht="20.25" customHeight="1">
      <c r="A65" s="890">
        <v>5</v>
      </c>
      <c r="B65" s="891" t="s">
        <v>1457</v>
      </c>
      <c r="C65" s="896" t="s">
        <v>5312</v>
      </c>
      <c r="D65" s="893">
        <v>20</v>
      </c>
      <c r="E65" s="894" t="s">
        <v>1746</v>
      </c>
      <c r="F65" s="890">
        <f t="shared" si="5"/>
        <v>100</v>
      </c>
      <c r="AL65" s="890"/>
      <c r="AM65" s="891"/>
      <c r="AN65" s="896"/>
      <c r="AO65" s="893"/>
      <c r="AP65" s="894"/>
      <c r="AQ65" s="890"/>
    </row>
    <row r="66" spans="1:43" ht="20.25" customHeight="1">
      <c r="A66" s="890">
        <v>1</v>
      </c>
      <c r="B66" s="891" t="s">
        <v>147</v>
      </c>
      <c r="C66" s="896" t="s">
        <v>5313</v>
      </c>
      <c r="D66" s="893">
        <v>280</v>
      </c>
      <c r="E66" s="894" t="s">
        <v>147</v>
      </c>
      <c r="F66" s="890">
        <f t="shared" si="5"/>
        <v>280</v>
      </c>
      <c r="AL66" s="890"/>
      <c r="AM66" s="891"/>
      <c r="AN66" s="896"/>
      <c r="AO66" s="893"/>
      <c r="AP66" s="949"/>
      <c r="AQ66" s="890"/>
    </row>
    <row r="67" spans="1:43" ht="20.25" customHeight="1">
      <c r="A67" s="890">
        <v>5</v>
      </c>
      <c r="B67" s="891" t="s">
        <v>3516</v>
      </c>
      <c r="C67" s="896" t="s">
        <v>5783</v>
      </c>
      <c r="D67" s="1043">
        <v>10.45</v>
      </c>
      <c r="E67" s="949" t="s">
        <v>3516</v>
      </c>
      <c r="F67" s="890">
        <f t="shared" si="5"/>
        <v>52.25</v>
      </c>
      <c r="AL67" s="890"/>
      <c r="AM67" s="891"/>
      <c r="AN67" s="896"/>
      <c r="AO67" s="893"/>
      <c r="AP67" s="949"/>
      <c r="AQ67" s="890"/>
    </row>
    <row r="68" spans="1:43" ht="30.75" customHeight="1">
      <c r="A68" s="890">
        <v>130.54</v>
      </c>
      <c r="B68" s="891" t="s">
        <v>929</v>
      </c>
      <c r="C68" s="896" t="s">
        <v>5784</v>
      </c>
      <c r="D68" s="1043">
        <v>52.5</v>
      </c>
      <c r="E68" s="949" t="s">
        <v>929</v>
      </c>
      <c r="F68" s="890">
        <f t="shared" si="5"/>
        <v>6853.35</v>
      </c>
      <c r="AL68" s="890"/>
      <c r="AM68" s="891"/>
      <c r="AN68" s="896"/>
      <c r="AO68" s="893"/>
      <c r="AP68" s="949"/>
      <c r="AQ68" s="890"/>
    </row>
    <row r="69" spans="1:43" ht="20.25" customHeight="1">
      <c r="A69" s="890">
        <v>5</v>
      </c>
      <c r="B69" s="891" t="s">
        <v>1457</v>
      </c>
      <c r="C69" s="896" t="s">
        <v>5316</v>
      </c>
      <c r="D69" s="1044">
        <v>1086</v>
      </c>
      <c r="E69" s="949" t="s">
        <v>1746</v>
      </c>
      <c r="F69" s="890">
        <f t="shared" si="5"/>
        <v>5430</v>
      </c>
      <c r="AL69" s="890"/>
      <c r="AM69" s="891"/>
      <c r="AN69" s="896"/>
      <c r="AO69" s="893"/>
      <c r="AP69" s="949"/>
      <c r="AQ69" s="890"/>
    </row>
    <row r="70" spans="1:43" ht="20.25" customHeight="1">
      <c r="A70" s="890">
        <v>178.92</v>
      </c>
      <c r="B70" s="891" t="s">
        <v>4371</v>
      </c>
      <c r="C70" s="896" t="s">
        <v>5317</v>
      </c>
      <c r="D70" s="893">
        <v>10</v>
      </c>
      <c r="E70" s="949" t="s">
        <v>4373</v>
      </c>
      <c r="F70" s="890">
        <f t="shared" si="5"/>
        <v>1789.2</v>
      </c>
      <c r="AL70" s="890"/>
      <c r="AM70" s="891"/>
      <c r="AN70" s="896"/>
      <c r="AO70" s="893"/>
      <c r="AP70" s="950"/>
      <c r="AQ70" s="890"/>
    </row>
    <row r="71" spans="1:43" ht="20.25" customHeight="1">
      <c r="A71" s="901">
        <v>36</v>
      </c>
      <c r="B71" s="891" t="s">
        <v>4374</v>
      </c>
      <c r="C71" s="896" t="s">
        <v>5785</v>
      </c>
      <c r="D71" s="1043">
        <v>60.65</v>
      </c>
      <c r="E71" s="950" t="s">
        <v>4375</v>
      </c>
      <c r="F71" s="890">
        <f t="shared" si="5"/>
        <v>2183.4</v>
      </c>
      <c r="AL71" s="901"/>
      <c r="AM71" s="891"/>
      <c r="AN71" s="896"/>
      <c r="AO71" s="893"/>
      <c r="AP71" s="894"/>
      <c r="AQ71" s="890"/>
    </row>
    <row r="72" spans="1:43" ht="20.25" customHeight="1">
      <c r="A72" s="890"/>
      <c r="B72" s="891"/>
      <c r="C72" s="896" t="s">
        <v>4376</v>
      </c>
      <c r="D72" s="893"/>
      <c r="E72" s="894"/>
      <c r="F72" s="890">
        <v>200</v>
      </c>
      <c r="AL72" s="890"/>
      <c r="AM72" s="891"/>
      <c r="AN72" s="896"/>
      <c r="AO72" s="893"/>
      <c r="AP72" s="894"/>
      <c r="AQ72" s="895"/>
    </row>
    <row r="73" spans="1:43" ht="20.25" customHeight="1">
      <c r="A73" s="890"/>
      <c r="B73" s="891"/>
      <c r="C73" s="896"/>
      <c r="D73" s="893" t="s">
        <v>2284</v>
      </c>
      <c r="E73" s="894"/>
      <c r="F73" s="895">
        <f>SUM(F16:F72)</f>
        <v>37711.97</v>
      </c>
      <c r="AL73" s="890"/>
      <c r="AM73" s="891"/>
      <c r="AN73" s="896"/>
      <c r="AO73" s="893"/>
      <c r="AP73" s="894"/>
      <c r="AQ73" s="890"/>
    </row>
    <row r="74" spans="1:43" ht="33.75" customHeight="1">
      <c r="A74" s="890"/>
      <c r="B74" s="891"/>
      <c r="C74" s="896" t="s">
        <v>4377</v>
      </c>
      <c r="D74" s="893"/>
      <c r="E74" s="894"/>
      <c r="F74" s="890">
        <f>F73*2/100</f>
        <v>754.24</v>
      </c>
      <c r="AL74" s="890"/>
      <c r="AM74" s="891"/>
      <c r="AN74" s="896"/>
      <c r="AO74" s="893"/>
      <c r="AP74" s="894"/>
      <c r="AQ74" s="895"/>
    </row>
    <row r="75" spans="1:43" ht="20.25" customHeight="1">
      <c r="A75" s="890"/>
      <c r="B75" s="891"/>
      <c r="C75" s="896"/>
      <c r="D75" s="893"/>
      <c r="E75" s="894"/>
      <c r="F75" s="895">
        <f>SUM(F73:F74)</f>
        <v>38466.21</v>
      </c>
      <c r="AL75" s="890"/>
      <c r="AM75" s="891"/>
      <c r="AN75" s="897"/>
      <c r="AO75" s="893"/>
      <c r="AP75" s="894"/>
      <c r="AQ75" s="890"/>
    </row>
    <row r="76" spans="1:43" ht="20.25" customHeight="1">
      <c r="A76" s="890"/>
      <c r="B76" s="891"/>
      <c r="C76" s="897"/>
      <c r="D76" s="893"/>
      <c r="E76" s="894"/>
      <c r="F76" s="890"/>
      <c r="AL76" s="890"/>
      <c r="AM76" s="891"/>
      <c r="AN76" s="896"/>
      <c r="AO76" s="893"/>
      <c r="AP76" s="894"/>
      <c r="AQ76" s="890"/>
    </row>
    <row r="77" spans="1:43" ht="20.25" customHeight="1">
      <c r="A77" s="890"/>
      <c r="B77" s="891"/>
      <c r="C77" s="896" t="s">
        <v>4379</v>
      </c>
      <c r="D77" s="893"/>
      <c r="E77" s="894"/>
      <c r="F77" s="890">
        <v>1000</v>
      </c>
      <c r="AL77" s="890"/>
      <c r="AM77" s="891"/>
      <c r="AN77" s="896"/>
      <c r="AO77" s="893"/>
      <c r="AP77" s="894"/>
      <c r="AQ77" s="890"/>
    </row>
    <row r="78" spans="1:43" ht="20.25" customHeight="1">
      <c r="A78" s="890"/>
      <c r="B78" s="891"/>
      <c r="C78" s="896" t="s">
        <v>4380</v>
      </c>
      <c r="D78" s="893"/>
      <c r="E78" s="894"/>
      <c r="F78" s="890">
        <v>1000</v>
      </c>
      <c r="AL78" s="890"/>
      <c r="AM78" s="891"/>
      <c r="AN78" s="896"/>
      <c r="AO78" s="893"/>
      <c r="AP78" s="894"/>
      <c r="AQ78" s="895"/>
    </row>
    <row r="79" spans="1:43" ht="20.25" customHeight="1">
      <c r="A79" s="890"/>
      <c r="B79" s="891"/>
      <c r="C79" s="896"/>
      <c r="D79" s="893"/>
      <c r="E79" s="894"/>
      <c r="F79" s="895">
        <f>SUM(F75:F78)</f>
        <v>40466.21</v>
      </c>
      <c r="AL79" s="890"/>
      <c r="AM79" s="891"/>
      <c r="AN79" s="896"/>
      <c r="AO79" s="893"/>
      <c r="AP79" s="894"/>
      <c r="AQ79" s="890"/>
    </row>
    <row r="80" spans="1:43" ht="20.25" customHeight="1">
      <c r="A80" s="890"/>
      <c r="B80" s="891"/>
      <c r="C80" s="896"/>
      <c r="D80" s="893"/>
      <c r="E80" s="894"/>
      <c r="F80" s="890" t="s">
        <v>4381</v>
      </c>
      <c r="AL80" s="890"/>
      <c r="AM80" s="891"/>
      <c r="AN80" s="896"/>
      <c r="AO80" s="893"/>
      <c r="AP80" s="894"/>
      <c r="AQ80" s="895"/>
    </row>
    <row r="81" spans="1:39" ht="20.25" customHeight="1">
      <c r="A81" s="890"/>
      <c r="B81" s="891"/>
      <c r="C81" s="896"/>
      <c r="D81" s="893"/>
      <c r="E81" s="894"/>
      <c r="F81" s="895">
        <f>ROUND(F79,-2)</f>
        <v>40500</v>
      </c>
      <c r="G81" s="938">
        <f>F79-30000</f>
        <v>10466.209999999999</v>
      </c>
      <c r="AL81" s="890"/>
      <c r="AM81" s="891"/>
    </row>
    <row r="82" spans="1:39" ht="20.25" customHeight="1">
      <c r="D82" s="1557"/>
      <c r="E82" s="1557"/>
      <c r="F82" s="1557"/>
    </row>
    <row r="84" spans="1:39" ht="20.25" customHeight="1">
      <c r="A84" s="930"/>
      <c r="B84" s="929"/>
      <c r="C84" s="881" t="s">
        <v>5287</v>
      </c>
      <c r="D84" s="930"/>
      <c r="E84" s="928"/>
      <c r="F84" s="930"/>
    </row>
    <row r="85" spans="1:39" ht="20.25" customHeight="1">
      <c r="A85" s="879"/>
      <c r="B85" s="880"/>
      <c r="C85" s="881" t="s">
        <v>5288</v>
      </c>
      <c r="D85" s="930"/>
      <c r="E85" s="882"/>
      <c r="F85" s="886"/>
    </row>
    <row r="86" spans="1:39" ht="20.25" customHeight="1">
      <c r="A86" s="879"/>
      <c r="B86" s="880"/>
      <c r="C86" s="884" t="s">
        <v>5289</v>
      </c>
      <c r="D86" s="930"/>
      <c r="E86" s="882"/>
      <c r="F86" s="879"/>
    </row>
    <row r="87" spans="1:39" ht="20.25" customHeight="1">
      <c r="A87" s="879"/>
      <c r="B87" s="880"/>
      <c r="C87" s="883" t="s">
        <v>4326</v>
      </c>
      <c r="D87" s="930"/>
      <c r="E87" s="882"/>
      <c r="F87" s="879"/>
    </row>
    <row r="88" spans="1:39" ht="20.25" customHeight="1">
      <c r="A88" s="879"/>
      <c r="B88" s="880"/>
      <c r="C88" s="884" t="s">
        <v>5290</v>
      </c>
      <c r="D88" s="930"/>
      <c r="E88" s="882"/>
      <c r="F88" s="879"/>
    </row>
    <row r="89" spans="1:39" ht="20.25" customHeight="1">
      <c r="A89" s="879"/>
      <c r="B89" s="880"/>
      <c r="C89" s="884" t="s">
        <v>5291</v>
      </c>
      <c r="D89" s="930"/>
      <c r="E89" s="882"/>
      <c r="F89" s="879"/>
    </row>
    <row r="90" spans="1:39" ht="20.25" customHeight="1">
      <c r="A90" s="879"/>
      <c r="B90" s="880"/>
      <c r="C90" s="884" t="s">
        <v>5292</v>
      </c>
      <c r="D90" s="930"/>
      <c r="E90" s="882"/>
      <c r="F90" s="879"/>
    </row>
    <row r="91" spans="1:39" ht="20.25" customHeight="1">
      <c r="A91" s="879"/>
      <c r="B91" s="880"/>
      <c r="C91" s="884" t="s">
        <v>5293</v>
      </c>
      <c r="D91" s="930"/>
      <c r="E91" s="882"/>
      <c r="F91" s="879"/>
    </row>
    <row r="92" spans="1:39" ht="20.25" customHeight="1">
      <c r="A92" s="879"/>
      <c r="B92" s="880"/>
      <c r="C92" s="884" t="s">
        <v>5294</v>
      </c>
      <c r="D92" s="930"/>
      <c r="E92" s="882"/>
      <c r="F92" s="879"/>
    </row>
    <row r="93" spans="1:39" ht="20.25" customHeight="1">
      <c r="A93" s="879"/>
      <c r="B93" s="880"/>
      <c r="C93" s="884" t="s">
        <v>5295</v>
      </c>
      <c r="D93" s="930"/>
      <c r="E93" s="882"/>
      <c r="F93" s="879"/>
    </row>
    <row r="94" spans="1:39" ht="20.25" customHeight="1">
      <c r="A94" s="879"/>
      <c r="B94" s="880"/>
      <c r="C94" s="883"/>
      <c r="D94" s="930"/>
      <c r="E94" s="882"/>
      <c r="F94" s="879"/>
    </row>
    <row r="95" spans="1:39" ht="20.25" customHeight="1">
      <c r="A95" s="879"/>
      <c r="B95" s="880"/>
      <c r="C95" s="884" t="s">
        <v>5296</v>
      </c>
      <c r="D95" s="930"/>
      <c r="E95" s="882"/>
      <c r="F95" s="879"/>
    </row>
    <row r="96" spans="1:39" ht="20.25" customHeight="1">
      <c r="A96" s="951"/>
      <c r="B96" s="880"/>
      <c r="C96" s="883" t="s">
        <v>5297</v>
      </c>
      <c r="D96" s="930"/>
      <c r="E96" s="882"/>
      <c r="F96" s="879"/>
    </row>
    <row r="97" spans="1:6" ht="20.25" customHeight="1">
      <c r="A97" s="879"/>
      <c r="B97" s="880"/>
      <c r="C97" s="884" t="s">
        <v>5599</v>
      </c>
      <c r="D97" s="930"/>
      <c r="E97" s="882"/>
      <c r="F97" s="879"/>
    </row>
    <row r="98" spans="1:6" ht="20.25" customHeight="1">
      <c r="A98" s="888">
        <v>177.37200000000001</v>
      </c>
      <c r="B98" s="880" t="s">
        <v>929</v>
      </c>
      <c r="C98" s="884" t="s">
        <v>5298</v>
      </c>
      <c r="D98" s="930">
        <f>D16</f>
        <v>57.6</v>
      </c>
      <c r="E98" s="882" t="s">
        <v>929</v>
      </c>
      <c r="F98" s="879">
        <f>D98*A98</f>
        <v>10216.629999999999</v>
      </c>
    </row>
    <row r="99" spans="1:6" ht="20.25" customHeight="1">
      <c r="A99" s="951"/>
      <c r="B99" s="880"/>
      <c r="C99" s="883" t="s">
        <v>4335</v>
      </c>
      <c r="D99" s="930">
        <f>D17</f>
        <v>0</v>
      </c>
      <c r="E99" s="882"/>
      <c r="F99" s="879"/>
    </row>
    <row r="100" spans="1:6" ht="20.25" customHeight="1">
      <c r="A100" s="879"/>
      <c r="B100" s="880"/>
      <c r="C100" s="884" t="s">
        <v>4336</v>
      </c>
      <c r="D100" s="930">
        <f>D18</f>
        <v>0</v>
      </c>
      <c r="E100" s="882"/>
      <c r="F100" s="879"/>
    </row>
    <row r="101" spans="1:6" ht="20.25" customHeight="1">
      <c r="A101" s="879"/>
      <c r="B101" s="880"/>
      <c r="C101" s="884" t="s">
        <v>5038</v>
      </c>
      <c r="D101" s="930">
        <f>D19</f>
        <v>0</v>
      </c>
      <c r="E101" s="882"/>
      <c r="F101" s="879"/>
    </row>
    <row r="102" spans="1:6" ht="20.25" customHeight="1">
      <c r="A102" s="879"/>
      <c r="B102" s="880"/>
      <c r="C102" s="884" t="s">
        <v>4338</v>
      </c>
      <c r="D102" s="930">
        <f t="shared" ref="D102:D138" si="6">D21</f>
        <v>0</v>
      </c>
      <c r="E102" s="882"/>
      <c r="F102" s="879"/>
    </row>
    <row r="103" spans="1:6" ht="20.25" customHeight="1">
      <c r="A103" s="879"/>
      <c r="B103" s="880"/>
      <c r="C103" s="884" t="s">
        <v>5037</v>
      </c>
      <c r="D103" s="930">
        <f t="shared" si="6"/>
        <v>0</v>
      </c>
      <c r="E103" s="882"/>
      <c r="F103" s="879"/>
    </row>
    <row r="104" spans="1:6" ht="20.25" customHeight="1">
      <c r="A104" s="879"/>
      <c r="B104" s="880"/>
      <c r="C104" s="884" t="s">
        <v>5036</v>
      </c>
      <c r="D104" s="930">
        <f t="shared" si="6"/>
        <v>0</v>
      </c>
      <c r="E104" s="882"/>
      <c r="F104" s="879"/>
    </row>
    <row r="105" spans="1:6" ht="20.25" customHeight="1">
      <c r="A105" s="879"/>
      <c r="B105" s="880"/>
      <c r="C105" s="884" t="s">
        <v>5035</v>
      </c>
      <c r="D105" s="930">
        <f t="shared" si="6"/>
        <v>0</v>
      </c>
      <c r="E105" s="882"/>
      <c r="F105" s="879"/>
    </row>
    <row r="106" spans="1:6" ht="20.25" customHeight="1">
      <c r="A106" s="879"/>
      <c r="B106" s="880"/>
      <c r="C106" s="884" t="s">
        <v>5034</v>
      </c>
      <c r="D106" s="930">
        <f t="shared" si="6"/>
        <v>0</v>
      </c>
      <c r="E106" s="882"/>
      <c r="F106" s="879"/>
    </row>
    <row r="107" spans="1:6" ht="20.25" customHeight="1">
      <c r="A107" s="879">
        <v>22.2</v>
      </c>
      <c r="B107" s="880" t="s">
        <v>929</v>
      </c>
      <c r="C107" s="884" t="s">
        <v>4343</v>
      </c>
      <c r="D107" s="930">
        <f t="shared" si="6"/>
        <v>57.6</v>
      </c>
      <c r="E107" s="882" t="s">
        <v>929</v>
      </c>
      <c r="F107" s="879">
        <f>SUM(A107*D107)</f>
        <v>1278.72</v>
      </c>
    </row>
    <row r="108" spans="1:6" ht="20.25" customHeight="1">
      <c r="A108" s="879"/>
      <c r="B108" s="880"/>
      <c r="C108" s="883" t="s">
        <v>4344</v>
      </c>
      <c r="D108" s="930">
        <f t="shared" si="6"/>
        <v>0</v>
      </c>
      <c r="E108" s="882"/>
      <c r="F108" s="879"/>
    </row>
    <row r="109" spans="1:6" ht="20.25" customHeight="1">
      <c r="A109" s="879"/>
      <c r="B109" s="880"/>
      <c r="C109" s="884" t="s">
        <v>4345</v>
      </c>
      <c r="D109" s="930">
        <f t="shared" si="6"/>
        <v>0</v>
      </c>
      <c r="E109" s="882"/>
      <c r="F109" s="879"/>
    </row>
    <row r="110" spans="1:6" ht="20.25" customHeight="1">
      <c r="A110" s="879"/>
      <c r="B110" s="880"/>
      <c r="C110" s="884" t="s">
        <v>4346</v>
      </c>
      <c r="D110" s="930">
        <f t="shared" si="6"/>
        <v>0</v>
      </c>
      <c r="E110" s="882"/>
      <c r="F110" s="879"/>
    </row>
    <row r="111" spans="1:6" ht="20.25" customHeight="1">
      <c r="A111" s="879"/>
      <c r="B111" s="880"/>
      <c r="C111" s="884" t="s">
        <v>5033</v>
      </c>
      <c r="D111" s="930">
        <f t="shared" si="6"/>
        <v>0</v>
      </c>
      <c r="E111" s="882"/>
      <c r="F111" s="879"/>
    </row>
    <row r="112" spans="1:6" ht="20.25" customHeight="1">
      <c r="A112" s="879"/>
      <c r="B112" s="880"/>
      <c r="C112" s="884" t="s">
        <v>4348</v>
      </c>
      <c r="D112" s="930">
        <f t="shared" si="6"/>
        <v>0</v>
      </c>
      <c r="E112" s="882"/>
      <c r="F112" s="879"/>
    </row>
    <row r="113" spans="1:6" ht="20.25" customHeight="1">
      <c r="A113" s="879"/>
      <c r="B113" s="880"/>
      <c r="C113" s="884" t="s">
        <v>4349</v>
      </c>
      <c r="D113" s="930">
        <f t="shared" si="6"/>
        <v>0</v>
      </c>
      <c r="E113" s="882"/>
      <c r="F113" s="879"/>
    </row>
    <row r="114" spans="1:6" ht="20.25" customHeight="1">
      <c r="A114" s="879"/>
      <c r="B114" s="880"/>
      <c r="C114" s="884" t="s">
        <v>4350</v>
      </c>
      <c r="D114" s="930">
        <f t="shared" si="6"/>
        <v>0</v>
      </c>
      <c r="E114" s="882"/>
      <c r="F114" s="879"/>
    </row>
    <row r="115" spans="1:6" ht="20.25" customHeight="1">
      <c r="A115" s="879"/>
      <c r="B115" s="880"/>
      <c r="C115" s="884" t="s">
        <v>5032</v>
      </c>
      <c r="D115" s="930">
        <f t="shared" si="6"/>
        <v>0</v>
      </c>
      <c r="E115" s="882"/>
      <c r="F115" s="879"/>
    </row>
    <row r="116" spans="1:6" ht="20.25" customHeight="1">
      <c r="A116" s="879"/>
      <c r="B116" s="880"/>
      <c r="C116" s="884" t="s">
        <v>4352</v>
      </c>
      <c r="D116" s="930">
        <f t="shared" si="6"/>
        <v>0</v>
      </c>
      <c r="E116" s="882"/>
      <c r="F116" s="879"/>
    </row>
    <row r="117" spans="1:6" ht="20.25" customHeight="1">
      <c r="A117" s="879"/>
      <c r="B117" s="880"/>
      <c r="C117" s="884" t="s">
        <v>4353</v>
      </c>
      <c r="D117" s="930">
        <f t="shared" si="6"/>
        <v>0</v>
      </c>
      <c r="E117" s="882"/>
      <c r="F117" s="879"/>
    </row>
    <row r="118" spans="1:6" ht="20.25" customHeight="1">
      <c r="A118" s="879"/>
      <c r="B118" s="880"/>
      <c r="C118" s="884" t="s">
        <v>4354</v>
      </c>
      <c r="D118" s="930">
        <f t="shared" si="6"/>
        <v>0</v>
      </c>
      <c r="E118" s="882"/>
      <c r="F118" s="879"/>
    </row>
    <row r="119" spans="1:6" ht="20.25" customHeight="1">
      <c r="A119" s="879"/>
      <c r="B119" s="880"/>
      <c r="C119" s="884"/>
      <c r="D119" s="930">
        <f t="shared" si="6"/>
        <v>0</v>
      </c>
      <c r="E119" s="882"/>
      <c r="F119" s="879"/>
    </row>
    <row r="120" spans="1:6" ht="20.25" customHeight="1">
      <c r="A120" s="879"/>
      <c r="B120" s="880"/>
      <c r="C120" s="884" t="s">
        <v>5031</v>
      </c>
      <c r="D120" s="930">
        <f t="shared" si="6"/>
        <v>0</v>
      </c>
      <c r="E120" s="882"/>
      <c r="F120" s="879"/>
    </row>
    <row r="121" spans="1:6" ht="20.25" customHeight="1">
      <c r="A121" s="879"/>
      <c r="B121" s="880"/>
      <c r="C121" s="884"/>
      <c r="D121" s="930">
        <f t="shared" si="6"/>
        <v>0</v>
      </c>
      <c r="E121" s="882"/>
      <c r="F121" s="879"/>
    </row>
    <row r="122" spans="1:6" ht="20.25" customHeight="1">
      <c r="A122" s="879">
        <v>9.56</v>
      </c>
      <c r="B122" s="880" t="s">
        <v>929</v>
      </c>
      <c r="C122" s="884" t="s">
        <v>5299</v>
      </c>
      <c r="D122" s="930">
        <f t="shared" si="6"/>
        <v>562</v>
      </c>
      <c r="E122" s="882" t="s">
        <v>929</v>
      </c>
      <c r="F122" s="879">
        <f>SUM(A122*D122)</f>
        <v>5372.72</v>
      </c>
    </row>
    <row r="123" spans="1:6" ht="20.25" customHeight="1">
      <c r="A123" s="879">
        <f>A122</f>
        <v>9.56</v>
      </c>
      <c r="B123" s="880" t="s">
        <v>929</v>
      </c>
      <c r="C123" s="884" t="s">
        <v>5300</v>
      </c>
      <c r="D123" s="930">
        <f t="shared" si="6"/>
        <v>10</v>
      </c>
      <c r="E123" s="882" t="s">
        <v>929</v>
      </c>
      <c r="F123" s="879">
        <f t="shared" ref="F123:F151" si="7">SUM(A123*D123)</f>
        <v>95.6</v>
      </c>
    </row>
    <row r="124" spans="1:6" ht="20.25" customHeight="1">
      <c r="A124" s="879"/>
      <c r="B124" s="880"/>
      <c r="C124" s="884"/>
      <c r="D124" s="930">
        <f t="shared" si="6"/>
        <v>0</v>
      </c>
      <c r="E124" s="882"/>
      <c r="F124" s="879"/>
    </row>
    <row r="125" spans="1:6" ht="20.25" customHeight="1">
      <c r="A125" s="879"/>
      <c r="B125" s="880"/>
      <c r="C125" s="883" t="s">
        <v>4357</v>
      </c>
      <c r="D125" s="930">
        <f t="shared" si="6"/>
        <v>0</v>
      </c>
      <c r="E125" s="882"/>
      <c r="F125" s="879"/>
    </row>
    <row r="126" spans="1:6" ht="20.25" customHeight="1">
      <c r="A126" s="879"/>
      <c r="B126" s="880"/>
      <c r="C126" s="884" t="s">
        <v>4358</v>
      </c>
      <c r="D126" s="930">
        <f t="shared" si="6"/>
        <v>0</v>
      </c>
      <c r="E126" s="882"/>
      <c r="F126" s="879"/>
    </row>
    <row r="127" spans="1:6" ht="20.25" customHeight="1">
      <c r="A127" s="879"/>
      <c r="B127" s="880"/>
      <c r="C127" s="884" t="s">
        <v>5301</v>
      </c>
      <c r="D127" s="930">
        <f t="shared" si="6"/>
        <v>0</v>
      </c>
      <c r="E127" s="882"/>
      <c r="F127" s="879"/>
    </row>
    <row r="128" spans="1:6" ht="20.25" customHeight="1">
      <c r="A128" s="879"/>
      <c r="B128" s="880"/>
      <c r="C128" s="884" t="s">
        <v>5302</v>
      </c>
      <c r="D128" s="930">
        <f t="shared" si="6"/>
        <v>0</v>
      </c>
      <c r="E128" s="882"/>
      <c r="F128" s="879"/>
    </row>
    <row r="129" spans="1:6" ht="20.25" customHeight="1">
      <c r="A129" s="879">
        <v>8</v>
      </c>
      <c r="B129" s="880" t="s">
        <v>842</v>
      </c>
      <c r="C129" s="884" t="s">
        <v>5303</v>
      </c>
      <c r="D129" s="930">
        <f t="shared" si="6"/>
        <v>115</v>
      </c>
      <c r="E129" s="882" t="s">
        <v>842</v>
      </c>
      <c r="F129" s="879">
        <f t="shared" si="7"/>
        <v>920</v>
      </c>
    </row>
    <row r="130" spans="1:6" ht="20.25" customHeight="1">
      <c r="A130" s="879"/>
      <c r="B130" s="880"/>
      <c r="C130" s="884"/>
      <c r="D130" s="930">
        <f t="shared" si="6"/>
        <v>0</v>
      </c>
      <c r="E130" s="882"/>
      <c r="F130" s="879"/>
    </row>
    <row r="131" spans="1:6" ht="20.25" customHeight="1">
      <c r="A131" s="879"/>
      <c r="B131" s="880"/>
      <c r="C131" s="883" t="s">
        <v>4361</v>
      </c>
      <c r="D131" s="930">
        <f t="shared" si="6"/>
        <v>0</v>
      </c>
      <c r="E131" s="882"/>
      <c r="F131" s="879"/>
    </row>
    <row r="132" spans="1:6" ht="20.25" customHeight="1">
      <c r="A132" s="879">
        <v>3</v>
      </c>
      <c r="B132" s="880" t="s">
        <v>1051</v>
      </c>
      <c r="C132" s="884" t="s">
        <v>5304</v>
      </c>
      <c r="D132" s="930">
        <v>696.43</v>
      </c>
      <c r="E132" s="882" t="s">
        <v>1423</v>
      </c>
      <c r="F132" s="879">
        <f t="shared" si="7"/>
        <v>2089.29</v>
      </c>
    </row>
    <row r="133" spans="1:6" ht="20.25" customHeight="1">
      <c r="A133" s="879">
        <v>1</v>
      </c>
      <c r="B133" s="880" t="s">
        <v>1051</v>
      </c>
      <c r="C133" s="884" t="s">
        <v>5600</v>
      </c>
      <c r="D133" s="930">
        <f t="shared" si="6"/>
        <v>77.599999999999994</v>
      </c>
      <c r="E133" s="882" t="s">
        <v>1423</v>
      </c>
      <c r="F133" s="879">
        <f t="shared" si="7"/>
        <v>77.599999999999994</v>
      </c>
    </row>
    <row r="134" spans="1:6" ht="20.25" customHeight="1">
      <c r="A134" s="879">
        <v>24</v>
      </c>
      <c r="B134" s="880" t="s">
        <v>1051</v>
      </c>
      <c r="C134" s="884" t="s">
        <v>5834</v>
      </c>
      <c r="D134" s="930">
        <f t="shared" si="6"/>
        <v>190.2</v>
      </c>
      <c r="E134" s="882" t="s">
        <v>1423</v>
      </c>
      <c r="F134" s="879">
        <f t="shared" si="7"/>
        <v>4564.8</v>
      </c>
    </row>
    <row r="135" spans="1:6" ht="20.25" customHeight="1">
      <c r="A135" s="879">
        <v>1</v>
      </c>
      <c r="B135" s="880" t="s">
        <v>570</v>
      </c>
      <c r="C135" s="884" t="s">
        <v>5835</v>
      </c>
      <c r="D135" s="930">
        <f t="shared" si="6"/>
        <v>85.2</v>
      </c>
      <c r="E135" s="882" t="s">
        <v>1423</v>
      </c>
      <c r="F135" s="879">
        <f t="shared" si="7"/>
        <v>85.2</v>
      </c>
    </row>
    <row r="136" spans="1:6" ht="20.25" customHeight="1">
      <c r="A136" s="879">
        <v>8</v>
      </c>
      <c r="B136" s="880" t="s">
        <v>1051</v>
      </c>
      <c r="C136" s="884" t="s">
        <v>5306</v>
      </c>
      <c r="D136" s="930">
        <f t="shared" si="6"/>
        <v>67.8</v>
      </c>
      <c r="E136" s="882" t="s">
        <v>1423</v>
      </c>
      <c r="F136" s="879">
        <f t="shared" si="7"/>
        <v>542.4</v>
      </c>
    </row>
    <row r="137" spans="1:6" ht="20.25" customHeight="1">
      <c r="A137" s="879">
        <v>1</v>
      </c>
      <c r="B137" s="880" t="s">
        <v>1051</v>
      </c>
      <c r="C137" s="884" t="s">
        <v>5307</v>
      </c>
      <c r="D137" s="930">
        <f t="shared" si="6"/>
        <v>38</v>
      </c>
      <c r="E137" s="882" t="s">
        <v>1423</v>
      </c>
      <c r="F137" s="879">
        <f t="shared" si="7"/>
        <v>38</v>
      </c>
    </row>
    <row r="138" spans="1:6" ht="20.25" customHeight="1">
      <c r="A138" s="879">
        <v>8</v>
      </c>
      <c r="B138" s="880" t="s">
        <v>570</v>
      </c>
      <c r="C138" s="884" t="s">
        <v>5780</v>
      </c>
      <c r="D138" s="930">
        <f t="shared" si="6"/>
        <v>580</v>
      </c>
      <c r="E138" s="882" t="s">
        <v>1423</v>
      </c>
      <c r="F138" s="879">
        <f t="shared" si="7"/>
        <v>4640</v>
      </c>
    </row>
    <row r="139" spans="1:6" ht="20.25" customHeight="1">
      <c r="A139" s="879">
        <v>1</v>
      </c>
      <c r="B139" s="880" t="s">
        <v>570</v>
      </c>
      <c r="C139" s="884" t="s">
        <v>5781</v>
      </c>
      <c r="D139" s="930">
        <f t="shared" ref="C139:D151" si="8">D59</f>
        <v>258</v>
      </c>
      <c r="E139" s="882" t="s">
        <v>1423</v>
      </c>
      <c r="F139" s="879">
        <f t="shared" si="7"/>
        <v>258</v>
      </c>
    </row>
    <row r="140" spans="1:6" ht="20.25" customHeight="1">
      <c r="A140" s="952">
        <v>836</v>
      </c>
      <c r="B140" s="882" t="s">
        <v>4363</v>
      </c>
      <c r="C140" s="884" t="s">
        <v>5308</v>
      </c>
      <c r="D140" s="930">
        <f t="shared" si="8"/>
        <v>1</v>
      </c>
      <c r="E140" s="882" t="s">
        <v>4363</v>
      </c>
      <c r="F140" s="879">
        <f t="shared" si="7"/>
        <v>836</v>
      </c>
    </row>
    <row r="141" spans="1:6" ht="20.25" customHeight="1">
      <c r="A141" s="879"/>
      <c r="B141" s="880"/>
      <c r="C141" s="884" t="s">
        <v>4365</v>
      </c>
      <c r="D141" s="930">
        <f t="shared" si="8"/>
        <v>0</v>
      </c>
      <c r="E141" s="882"/>
      <c r="F141" s="879"/>
    </row>
    <row r="142" spans="1:6" ht="20.25" customHeight="1">
      <c r="A142" s="879"/>
      <c r="B142" s="880"/>
      <c r="C142" s="884" t="s">
        <v>5309</v>
      </c>
      <c r="D142" s="930">
        <f t="shared" si="8"/>
        <v>0</v>
      </c>
      <c r="E142" s="882"/>
      <c r="F142" s="879"/>
    </row>
    <row r="143" spans="1:6" ht="20.25" customHeight="1">
      <c r="A143" s="879">
        <v>31.4</v>
      </c>
      <c r="B143" s="880" t="s">
        <v>842</v>
      </c>
      <c r="C143" s="884" t="s">
        <v>5310</v>
      </c>
      <c r="D143" s="930">
        <f t="shared" si="8"/>
        <v>20</v>
      </c>
      <c r="E143" s="882" t="s">
        <v>842</v>
      </c>
      <c r="F143" s="879">
        <f t="shared" si="7"/>
        <v>628</v>
      </c>
    </row>
    <row r="144" spans="1:6" ht="20.25" customHeight="1">
      <c r="A144" s="879">
        <v>1.1000000000000001</v>
      </c>
      <c r="B144" s="880" t="s">
        <v>5365</v>
      </c>
      <c r="C144" s="884" t="s">
        <v>5782</v>
      </c>
      <c r="D144" s="930">
        <f t="shared" si="8"/>
        <v>1322</v>
      </c>
      <c r="E144" s="885" t="s">
        <v>5365</v>
      </c>
      <c r="F144" s="879">
        <f t="shared" si="7"/>
        <v>1454.2</v>
      </c>
    </row>
    <row r="145" spans="1:6" ht="20.25" customHeight="1">
      <c r="A145" s="879">
        <v>9</v>
      </c>
      <c r="B145" s="880" t="s">
        <v>1457</v>
      </c>
      <c r="C145" s="884" t="s">
        <v>5312</v>
      </c>
      <c r="D145" s="930">
        <f t="shared" si="8"/>
        <v>20</v>
      </c>
      <c r="E145" s="882" t="s">
        <v>1746</v>
      </c>
      <c r="F145" s="879">
        <f t="shared" si="7"/>
        <v>180</v>
      </c>
    </row>
    <row r="146" spans="1:6" ht="20.25" customHeight="1">
      <c r="A146" s="879">
        <v>1</v>
      </c>
      <c r="B146" s="880" t="s">
        <v>147</v>
      </c>
      <c r="C146" s="884" t="s">
        <v>5313</v>
      </c>
      <c r="D146" s="930">
        <f t="shared" si="8"/>
        <v>280</v>
      </c>
      <c r="E146" s="882" t="s">
        <v>147</v>
      </c>
      <c r="F146" s="879">
        <f t="shared" si="7"/>
        <v>280</v>
      </c>
    </row>
    <row r="147" spans="1:6" ht="20.25" customHeight="1">
      <c r="A147" s="879">
        <v>5</v>
      </c>
      <c r="B147" s="880" t="s">
        <v>3516</v>
      </c>
      <c r="C147" s="884" t="s">
        <v>5792</v>
      </c>
      <c r="D147" s="930">
        <f t="shared" si="8"/>
        <v>10.45</v>
      </c>
      <c r="E147" s="885" t="s">
        <v>3516</v>
      </c>
      <c r="F147" s="879">
        <f t="shared" si="7"/>
        <v>52.25</v>
      </c>
    </row>
    <row r="148" spans="1:6" ht="20.25" customHeight="1">
      <c r="A148" s="879">
        <v>199.57</v>
      </c>
      <c r="B148" s="880" t="s">
        <v>929</v>
      </c>
      <c r="C148" s="930" t="str">
        <f t="shared" si="8"/>
        <v>MS sheet fabrication charges [SR 2022-23 / P.29]</v>
      </c>
      <c r="D148" s="930">
        <f t="shared" si="8"/>
        <v>52.5</v>
      </c>
      <c r="E148" s="885" t="s">
        <v>929</v>
      </c>
      <c r="F148" s="879">
        <f t="shared" si="7"/>
        <v>10477.43</v>
      </c>
    </row>
    <row r="149" spans="1:6" ht="20.25" customHeight="1">
      <c r="A149" s="879">
        <v>9</v>
      </c>
      <c r="B149" s="880" t="s">
        <v>1457</v>
      </c>
      <c r="C149" s="884" t="s">
        <v>5316</v>
      </c>
      <c r="D149" s="930">
        <f t="shared" si="8"/>
        <v>1086</v>
      </c>
      <c r="E149" s="885" t="s">
        <v>1746</v>
      </c>
      <c r="F149" s="879">
        <f t="shared" si="7"/>
        <v>9774</v>
      </c>
    </row>
    <row r="150" spans="1:6" ht="20.25" customHeight="1">
      <c r="A150" s="879">
        <v>275.64</v>
      </c>
      <c r="B150" s="880" t="s">
        <v>4371</v>
      </c>
      <c r="C150" s="884" t="s">
        <v>5317</v>
      </c>
      <c r="D150" s="930">
        <f t="shared" si="8"/>
        <v>10</v>
      </c>
      <c r="E150" s="885" t="s">
        <v>4373</v>
      </c>
      <c r="F150" s="879">
        <f t="shared" si="7"/>
        <v>2756.4</v>
      </c>
    </row>
    <row r="151" spans="1:6" ht="20.25" customHeight="1">
      <c r="A151" s="951">
        <v>68</v>
      </c>
      <c r="B151" s="880" t="s">
        <v>4374</v>
      </c>
      <c r="C151" s="939" t="s">
        <v>5601</v>
      </c>
      <c r="D151" s="930">
        <f t="shared" si="8"/>
        <v>60.65</v>
      </c>
      <c r="E151" s="928" t="s">
        <v>4375</v>
      </c>
      <c r="F151" s="879">
        <f t="shared" si="7"/>
        <v>4124.2</v>
      </c>
    </row>
    <row r="152" spans="1:6" ht="20.25" customHeight="1">
      <c r="A152" s="879"/>
      <c r="B152" s="880"/>
      <c r="C152" s="884" t="s">
        <v>4376</v>
      </c>
      <c r="D152" s="930"/>
      <c r="E152" s="882"/>
      <c r="F152" s="879">
        <v>200</v>
      </c>
    </row>
    <row r="153" spans="1:6" ht="20.25" customHeight="1">
      <c r="A153" s="879"/>
      <c r="B153" s="880"/>
      <c r="C153" s="884"/>
      <c r="D153" s="930" t="s">
        <v>2284</v>
      </c>
      <c r="E153" s="882"/>
      <c r="F153" s="886">
        <f>SUM(F98:F152)</f>
        <v>60941.440000000002</v>
      </c>
    </row>
    <row r="154" spans="1:6" ht="20.25" customHeight="1">
      <c r="A154" s="879"/>
      <c r="B154" s="880"/>
      <c r="C154" s="884" t="s">
        <v>4377</v>
      </c>
      <c r="D154" s="930"/>
      <c r="E154" s="882"/>
      <c r="F154" s="879">
        <f>F153*2/100</f>
        <v>1218.83</v>
      </c>
    </row>
    <row r="155" spans="1:6" ht="20.25" customHeight="1">
      <c r="A155" s="879"/>
      <c r="B155" s="880"/>
      <c r="C155" s="884"/>
      <c r="D155" s="930"/>
      <c r="E155" s="882"/>
      <c r="F155" s="886">
        <f>SUM(F153:F154)</f>
        <v>62160.27</v>
      </c>
    </row>
    <row r="156" spans="1:6" ht="20.25" customHeight="1">
      <c r="A156" s="879"/>
      <c r="B156" s="880"/>
      <c r="C156" s="883"/>
      <c r="D156" s="930"/>
      <c r="E156" s="882"/>
      <c r="F156" s="879"/>
    </row>
    <row r="157" spans="1:6" ht="20.25" customHeight="1">
      <c r="A157" s="879"/>
      <c r="B157" s="880"/>
      <c r="C157" s="884" t="s">
        <v>4379</v>
      </c>
      <c r="D157" s="930"/>
      <c r="E157" s="882"/>
      <c r="F157" s="879">
        <v>1000</v>
      </c>
    </row>
    <row r="158" spans="1:6" ht="20.25" customHeight="1">
      <c r="A158" s="879"/>
      <c r="B158" s="880"/>
      <c r="C158" s="884" t="s">
        <v>4380</v>
      </c>
      <c r="D158" s="930"/>
      <c r="E158" s="882"/>
      <c r="F158" s="879">
        <v>1000</v>
      </c>
    </row>
    <row r="159" spans="1:6" ht="20.25" customHeight="1">
      <c r="A159" s="879"/>
      <c r="B159" s="880"/>
      <c r="C159" s="884"/>
      <c r="D159" s="930"/>
      <c r="E159" s="882"/>
      <c r="F159" s="886">
        <f>SUM(F155:F158)</f>
        <v>64160.27</v>
      </c>
    </row>
    <row r="160" spans="1:6" ht="20.25" customHeight="1">
      <c r="A160" s="879"/>
      <c r="B160" s="880"/>
      <c r="C160" s="884"/>
      <c r="D160" s="930"/>
      <c r="E160" s="882"/>
      <c r="F160" s="879" t="s">
        <v>4381</v>
      </c>
    </row>
    <row r="161" spans="1:6" ht="20.25" customHeight="1">
      <c r="A161" s="879"/>
      <c r="B161" s="880"/>
      <c r="C161" s="884"/>
      <c r="D161" s="930"/>
      <c r="E161" s="882"/>
      <c r="F161" s="886">
        <v>60300</v>
      </c>
    </row>
    <row r="162" spans="1:6" ht="20.25" customHeight="1">
      <c r="A162" s="991"/>
      <c r="B162" s="991"/>
      <c r="C162" s="991"/>
      <c r="D162" s="1558"/>
      <c r="E162" s="1558"/>
      <c r="F162" s="1558"/>
    </row>
    <row r="165" spans="1:6" ht="20.25" customHeight="1">
      <c r="A165" s="890"/>
      <c r="B165" s="891"/>
      <c r="C165" s="892" t="s">
        <v>5318</v>
      </c>
      <c r="D165" s="893"/>
      <c r="E165" s="894"/>
      <c r="F165" s="895"/>
    </row>
    <row r="166" spans="1:6" ht="20.25" customHeight="1">
      <c r="A166" s="890"/>
      <c r="B166" s="891"/>
      <c r="C166" s="896" t="s">
        <v>5319</v>
      </c>
      <c r="D166" s="893"/>
      <c r="E166" s="894"/>
      <c r="F166" s="890"/>
    </row>
    <row r="167" spans="1:6" ht="20.25" customHeight="1">
      <c r="A167" s="890"/>
      <c r="B167" s="891"/>
      <c r="C167" s="897" t="s">
        <v>4326</v>
      </c>
      <c r="D167" s="893"/>
      <c r="E167" s="894"/>
      <c r="F167" s="890"/>
    </row>
    <row r="168" spans="1:6" ht="20.25" customHeight="1">
      <c r="A168" s="890"/>
      <c r="B168" s="891"/>
      <c r="C168" s="896" t="s">
        <v>5331</v>
      </c>
      <c r="D168" s="898">
        <f>4.5*6.42*2</f>
        <v>57.78</v>
      </c>
      <c r="E168" s="899"/>
      <c r="F168" s="900"/>
    </row>
    <row r="169" spans="1:6" ht="20.25" customHeight="1">
      <c r="A169" s="890"/>
      <c r="B169" s="891"/>
      <c r="C169" s="896" t="s">
        <v>5332</v>
      </c>
      <c r="D169" s="898">
        <f>4.5*1*2</f>
        <v>9</v>
      </c>
      <c r="E169" s="899">
        <f>5/12</f>
        <v>0.42</v>
      </c>
      <c r="F169" s="900"/>
    </row>
    <row r="170" spans="1:6" ht="20.25" customHeight="1">
      <c r="A170" s="890"/>
      <c r="B170" s="891"/>
      <c r="C170" s="896" t="s">
        <v>5333</v>
      </c>
      <c r="D170" s="898">
        <f>4.5*1*2</f>
        <v>9</v>
      </c>
      <c r="E170" s="899"/>
      <c r="F170" s="900"/>
    </row>
    <row r="171" spans="1:6" ht="20.25" customHeight="1">
      <c r="A171" s="890"/>
      <c r="B171" s="891"/>
      <c r="C171" s="896" t="s">
        <v>5042</v>
      </c>
      <c r="D171" s="898">
        <f>6.42*1*2</f>
        <v>12.84</v>
      </c>
      <c r="E171" s="899"/>
      <c r="F171" s="900"/>
    </row>
    <row r="172" spans="1:6" ht="20.25" customHeight="1">
      <c r="A172" s="890"/>
      <c r="B172" s="891"/>
      <c r="C172" s="896" t="s">
        <v>5041</v>
      </c>
      <c r="D172" s="898">
        <f>SUM(D168:D171)</f>
        <v>88.62</v>
      </c>
      <c r="E172" s="899"/>
      <c r="F172" s="900"/>
    </row>
    <row r="173" spans="1:6" ht="20.25" customHeight="1">
      <c r="A173" s="890"/>
      <c r="B173" s="891"/>
      <c r="C173" s="897"/>
      <c r="D173" s="898">
        <f>D172*10%</f>
        <v>8.86</v>
      </c>
      <c r="E173" s="899"/>
      <c r="F173" s="900"/>
    </row>
    <row r="174" spans="1:6" ht="20.25" customHeight="1">
      <c r="A174" s="890"/>
      <c r="B174" s="891"/>
      <c r="C174" s="896" t="s">
        <v>5040</v>
      </c>
      <c r="D174" s="898">
        <f>SUM(D172:D173)</f>
        <v>97.48</v>
      </c>
      <c r="E174" s="899"/>
      <c r="F174" s="900"/>
    </row>
    <row r="175" spans="1:6" ht="20.25" customHeight="1">
      <c r="A175" s="901"/>
      <c r="B175" s="891"/>
      <c r="C175" s="897" t="s">
        <v>5039</v>
      </c>
      <c r="D175" s="898">
        <f>D174*1.17</f>
        <v>114.05</v>
      </c>
      <c r="E175" s="899"/>
      <c r="F175" s="900"/>
    </row>
    <row r="176" spans="1:6" ht="20.25" customHeight="1">
      <c r="A176" s="890"/>
      <c r="B176" s="891"/>
      <c r="C176" s="896" t="s">
        <v>5412</v>
      </c>
      <c r="D176" s="893"/>
      <c r="E176" s="894"/>
      <c r="F176" s="890"/>
    </row>
    <row r="177" spans="1:6" ht="20.25" customHeight="1">
      <c r="A177" s="890"/>
      <c r="B177" s="891"/>
      <c r="C177" s="896"/>
      <c r="D177" s="893"/>
      <c r="E177" s="894"/>
      <c r="F177" s="890"/>
    </row>
    <row r="178" spans="1:6" ht="20.25" customHeight="1">
      <c r="A178" s="890">
        <v>117.37</v>
      </c>
      <c r="B178" s="891" t="s">
        <v>929</v>
      </c>
      <c r="C178" s="896" t="s">
        <v>5320</v>
      </c>
      <c r="D178" s="893">
        <f>D16</f>
        <v>57.6</v>
      </c>
      <c r="E178" s="894" t="s">
        <v>929</v>
      </c>
      <c r="F178" s="890">
        <f>D178*A178</f>
        <v>6760.51</v>
      </c>
    </row>
    <row r="179" spans="1:6" ht="20.25" customHeight="1">
      <c r="A179" s="901"/>
      <c r="B179" s="891"/>
      <c r="C179" s="897" t="s">
        <v>4335</v>
      </c>
      <c r="D179" s="893"/>
      <c r="E179" s="894"/>
      <c r="F179" s="890"/>
    </row>
    <row r="180" spans="1:6" ht="20.25" customHeight="1">
      <c r="A180" s="890"/>
      <c r="B180" s="891"/>
      <c r="C180" s="896" t="s">
        <v>4336</v>
      </c>
      <c r="D180" s="893"/>
      <c r="E180" s="894"/>
      <c r="F180" s="890"/>
    </row>
    <row r="181" spans="1:6" ht="20.25" customHeight="1">
      <c r="A181" s="890"/>
      <c r="B181" s="891"/>
      <c r="C181" s="896" t="s">
        <v>5038</v>
      </c>
      <c r="D181" s="893"/>
      <c r="E181" s="894"/>
      <c r="F181" s="890"/>
    </row>
    <row r="182" spans="1:6" ht="20.25" customHeight="1">
      <c r="A182" s="890"/>
      <c r="B182" s="891"/>
      <c r="C182" s="896" t="s">
        <v>4338</v>
      </c>
      <c r="D182" s="893"/>
      <c r="E182" s="894"/>
      <c r="F182" s="890"/>
    </row>
    <row r="183" spans="1:6" ht="20.25" customHeight="1">
      <c r="A183" s="890"/>
      <c r="B183" s="891"/>
      <c r="C183" s="896" t="s">
        <v>5037</v>
      </c>
      <c r="D183" s="893"/>
      <c r="E183" s="894"/>
      <c r="F183" s="890"/>
    </row>
    <row r="184" spans="1:6" ht="20.25" customHeight="1">
      <c r="A184" s="890"/>
      <c r="B184" s="891"/>
      <c r="C184" s="896" t="s">
        <v>5036</v>
      </c>
      <c r="D184" s="893"/>
      <c r="E184" s="894"/>
      <c r="F184" s="890"/>
    </row>
    <row r="185" spans="1:6" ht="20.25" customHeight="1">
      <c r="A185" s="890"/>
      <c r="B185" s="891"/>
      <c r="C185" s="896" t="s">
        <v>5035</v>
      </c>
      <c r="D185" s="893"/>
      <c r="E185" s="894"/>
      <c r="F185" s="890"/>
    </row>
    <row r="186" spans="1:6" ht="20.25" customHeight="1">
      <c r="A186" s="890"/>
      <c r="B186" s="891"/>
      <c r="C186" s="896" t="s">
        <v>5034</v>
      </c>
      <c r="D186" s="893"/>
      <c r="E186" s="894"/>
      <c r="F186" s="890"/>
    </row>
    <row r="187" spans="1:6" ht="20.25" customHeight="1">
      <c r="A187" s="890">
        <v>67.23</v>
      </c>
      <c r="B187" s="891" t="s">
        <v>929</v>
      </c>
      <c r="C187" s="896" t="s">
        <v>5321</v>
      </c>
      <c r="D187" s="893">
        <f>D178</f>
        <v>57.6</v>
      </c>
      <c r="E187" s="894" t="s">
        <v>929</v>
      </c>
      <c r="F187" s="890">
        <f>SUM(A187*D187)</f>
        <v>3872.45</v>
      </c>
    </row>
    <row r="188" spans="1:6" ht="20.25" customHeight="1">
      <c r="A188" s="890"/>
      <c r="B188" s="891"/>
      <c r="C188" s="897" t="s">
        <v>4344</v>
      </c>
      <c r="D188" s="893"/>
      <c r="E188" s="894"/>
      <c r="F188" s="890"/>
    </row>
    <row r="189" spans="1:6" ht="20.25" customHeight="1">
      <c r="A189" s="890"/>
      <c r="B189" s="891"/>
      <c r="C189" s="896" t="s">
        <v>4345</v>
      </c>
      <c r="D189" s="893"/>
      <c r="E189" s="894"/>
      <c r="F189" s="890"/>
    </row>
    <row r="190" spans="1:6" ht="20.25" customHeight="1">
      <c r="A190" s="890"/>
      <c r="B190" s="891"/>
      <c r="C190" s="896" t="s">
        <v>4346</v>
      </c>
      <c r="D190" s="893"/>
      <c r="E190" s="894"/>
      <c r="F190" s="890"/>
    </row>
    <row r="191" spans="1:6" ht="20.25" customHeight="1">
      <c r="A191" s="890"/>
      <c r="B191" s="891"/>
      <c r="C191" s="896" t="s">
        <v>5322</v>
      </c>
      <c r="D191" s="893"/>
      <c r="E191" s="894"/>
      <c r="F191" s="890"/>
    </row>
    <row r="192" spans="1:6" ht="20.25" customHeight="1">
      <c r="A192" s="890"/>
      <c r="B192" s="891"/>
      <c r="C192" s="896" t="s">
        <v>4348</v>
      </c>
      <c r="D192" s="893"/>
      <c r="E192" s="894"/>
      <c r="F192" s="890"/>
    </row>
    <row r="193" spans="1:6" ht="20.25" customHeight="1">
      <c r="A193" s="890"/>
      <c r="B193" s="891"/>
      <c r="C193" s="896" t="s">
        <v>4349</v>
      </c>
      <c r="D193" s="893"/>
      <c r="E193" s="894"/>
      <c r="F193" s="890"/>
    </row>
    <row r="194" spans="1:6" ht="20.25" customHeight="1">
      <c r="A194" s="890"/>
      <c r="B194" s="891"/>
      <c r="C194" s="896" t="s">
        <v>4350</v>
      </c>
      <c r="D194" s="893"/>
      <c r="E194" s="894"/>
      <c r="F194" s="890"/>
    </row>
    <row r="195" spans="1:6" ht="20.25" customHeight="1">
      <c r="A195" s="890"/>
      <c r="B195" s="891"/>
      <c r="C195" s="896" t="s">
        <v>5323</v>
      </c>
      <c r="D195" s="893"/>
      <c r="E195" s="894"/>
      <c r="F195" s="890"/>
    </row>
    <row r="196" spans="1:6" ht="20.25" customHeight="1">
      <c r="A196" s="890"/>
      <c r="B196" s="891"/>
      <c r="C196" s="896" t="s">
        <v>4352</v>
      </c>
      <c r="D196" s="893"/>
      <c r="E196" s="894"/>
      <c r="F196" s="890"/>
    </row>
    <row r="197" spans="1:6" ht="20.25" customHeight="1">
      <c r="A197" s="890"/>
      <c r="B197" s="891"/>
      <c r="C197" s="896" t="s">
        <v>4353</v>
      </c>
      <c r="D197" s="893"/>
      <c r="E197" s="894"/>
      <c r="F197" s="890"/>
    </row>
    <row r="198" spans="1:6" ht="20.25" customHeight="1">
      <c r="A198" s="890"/>
      <c r="B198" s="891"/>
      <c r="C198" s="896" t="s">
        <v>4354</v>
      </c>
      <c r="D198" s="893"/>
      <c r="E198" s="894"/>
      <c r="F198" s="890"/>
    </row>
    <row r="199" spans="1:6" ht="20.25" customHeight="1">
      <c r="A199" s="890"/>
      <c r="B199" s="891"/>
      <c r="C199" s="896"/>
      <c r="D199" s="893"/>
      <c r="E199" s="894"/>
      <c r="F199" s="890"/>
    </row>
    <row r="200" spans="1:6" ht="20.25" customHeight="1">
      <c r="A200" s="890"/>
      <c r="B200" s="891"/>
      <c r="C200" s="896" t="s">
        <v>5324</v>
      </c>
      <c r="D200" s="893"/>
      <c r="E200" s="894"/>
      <c r="F200" s="890"/>
    </row>
    <row r="201" spans="1:6" ht="20.25" customHeight="1">
      <c r="A201" s="890"/>
      <c r="B201" s="891"/>
      <c r="C201" s="896"/>
      <c r="D201" s="893"/>
      <c r="E201" s="894"/>
      <c r="F201" s="890"/>
    </row>
    <row r="202" spans="1:6" ht="20.25" customHeight="1">
      <c r="A202" s="890">
        <v>6.2</v>
      </c>
      <c r="B202" s="891" t="s">
        <v>929</v>
      </c>
      <c r="C202" s="896" t="s">
        <v>5325</v>
      </c>
      <c r="D202" s="893">
        <f>D122</f>
        <v>562</v>
      </c>
      <c r="E202" s="894" t="s">
        <v>929</v>
      </c>
      <c r="F202" s="890">
        <f>SUM(A202*D202)</f>
        <v>3484.4</v>
      </c>
    </row>
    <row r="203" spans="1:6" ht="20.25" customHeight="1">
      <c r="A203" s="890">
        <v>6.2</v>
      </c>
      <c r="B203" s="891" t="s">
        <v>929</v>
      </c>
      <c r="C203" s="896" t="s">
        <v>5326</v>
      </c>
      <c r="D203" s="893">
        <f>D123</f>
        <v>10</v>
      </c>
      <c r="E203" s="894" t="s">
        <v>929</v>
      </c>
      <c r="F203" s="890">
        <f>SUM(A203*D203)</f>
        <v>62</v>
      </c>
    </row>
    <row r="204" spans="1:6" ht="20.25" customHeight="1">
      <c r="A204" s="890"/>
      <c r="B204" s="891"/>
      <c r="C204" s="896"/>
      <c r="D204" s="893">
        <f t="shared" ref="D204:D209" si="9">D124</f>
        <v>0</v>
      </c>
      <c r="E204" s="894"/>
      <c r="F204" s="890"/>
    </row>
    <row r="205" spans="1:6" ht="20.25" customHeight="1">
      <c r="A205" s="890"/>
      <c r="B205" s="891"/>
      <c r="C205" s="897" t="s">
        <v>4357</v>
      </c>
      <c r="D205" s="893">
        <f t="shared" si="9"/>
        <v>0</v>
      </c>
      <c r="E205" s="894"/>
      <c r="F205" s="890"/>
    </row>
    <row r="206" spans="1:6" ht="20.25" customHeight="1">
      <c r="A206" s="890"/>
      <c r="B206" s="891"/>
      <c r="C206" s="896" t="s">
        <v>4358</v>
      </c>
      <c r="D206" s="893">
        <f t="shared" si="9"/>
        <v>0</v>
      </c>
      <c r="E206" s="894"/>
      <c r="F206" s="890"/>
    </row>
    <row r="207" spans="1:6" ht="20.25" customHeight="1">
      <c r="A207" s="890"/>
      <c r="B207" s="891"/>
      <c r="C207" s="896" t="s">
        <v>5327</v>
      </c>
      <c r="D207" s="893">
        <f t="shared" si="9"/>
        <v>0</v>
      </c>
      <c r="E207" s="894"/>
      <c r="F207" s="890"/>
    </row>
    <row r="208" spans="1:6" ht="20.25" customHeight="1">
      <c r="A208" s="890"/>
      <c r="B208" s="891"/>
      <c r="C208" s="896" t="s">
        <v>5328</v>
      </c>
      <c r="D208" s="893">
        <f t="shared" si="9"/>
        <v>0</v>
      </c>
      <c r="E208" s="894"/>
      <c r="F208" s="890"/>
    </row>
    <row r="209" spans="1:6" ht="20.25" customHeight="1">
      <c r="A209" s="890">
        <v>4.4400000000000004</v>
      </c>
      <c r="B209" s="891" t="s">
        <v>842</v>
      </c>
      <c r="C209" s="896" t="str">
        <f>C48</f>
        <v>25mm x3mm Gi flat [SR 2022-23 / P.151]</v>
      </c>
      <c r="D209" s="893">
        <f t="shared" si="9"/>
        <v>115</v>
      </c>
      <c r="E209" s="894" t="s">
        <v>842</v>
      </c>
      <c r="F209" s="890">
        <f>D209*A209</f>
        <v>510.6</v>
      </c>
    </row>
    <row r="210" spans="1:6" ht="20.25" customHeight="1">
      <c r="A210" s="890"/>
      <c r="B210" s="891"/>
      <c r="C210" s="896">
        <f>C49</f>
        <v>0</v>
      </c>
      <c r="D210" s="893"/>
      <c r="E210" s="894"/>
      <c r="F210" s="890"/>
    </row>
    <row r="211" spans="1:6" ht="20.25" customHeight="1">
      <c r="A211" s="890"/>
      <c r="B211" s="891"/>
      <c r="C211" s="897" t="str">
        <f>C50</f>
        <v>Incomers &amp; outgoings</v>
      </c>
      <c r="D211" s="893"/>
      <c r="E211" s="894"/>
      <c r="F211" s="890"/>
    </row>
    <row r="212" spans="1:6" ht="20.25" customHeight="1">
      <c r="A212" s="890">
        <v>3</v>
      </c>
      <c r="B212" s="891" t="s">
        <v>1051</v>
      </c>
      <c r="C212" s="896" t="s">
        <v>5329</v>
      </c>
      <c r="D212" s="893">
        <v>753</v>
      </c>
      <c r="E212" s="894" t="s">
        <v>1423</v>
      </c>
      <c r="F212" s="890">
        <f>D212*A212</f>
        <v>2259</v>
      </c>
    </row>
    <row r="213" spans="1:6" ht="20.25" customHeight="1">
      <c r="A213" s="890">
        <v>1</v>
      </c>
      <c r="B213" s="891" t="s">
        <v>1051</v>
      </c>
      <c r="C213" s="896" t="str">
        <f t="shared" ref="C213:D216" si="10">C52</f>
        <v xml:space="preserve">100 A neutral link SD -130 </v>
      </c>
      <c r="D213" s="893">
        <f t="shared" si="10"/>
        <v>77.599999999999994</v>
      </c>
      <c r="E213" s="894" t="s">
        <v>1423</v>
      </c>
      <c r="F213" s="890">
        <f t="shared" ref="F213:F219" si="11">SUM(A213*D213)</f>
        <v>77.599999999999994</v>
      </c>
    </row>
    <row r="214" spans="1:6" ht="20.25" customHeight="1">
      <c r="A214" s="890">
        <v>12</v>
      </c>
      <c r="B214" s="891" t="s">
        <v>1051</v>
      </c>
      <c r="C214" s="896" t="str">
        <f t="shared" si="10"/>
        <v>63 A fuse units ( 500 V) [SR 2022-23 / P.120]</v>
      </c>
      <c r="D214" s="893">
        <f t="shared" si="10"/>
        <v>190.2</v>
      </c>
      <c r="E214" s="894" t="s">
        <v>1423</v>
      </c>
      <c r="F214" s="890">
        <f t="shared" si="11"/>
        <v>2282.4</v>
      </c>
    </row>
    <row r="215" spans="1:6" ht="20.25" customHeight="1">
      <c r="A215" s="890">
        <v>1</v>
      </c>
      <c r="B215" s="891" t="s">
        <v>570</v>
      </c>
      <c r="C215" s="896" t="str">
        <f t="shared" si="10"/>
        <v>32 A fuse units ( 500 V)  [SR 2022-23 / P.120]</v>
      </c>
      <c r="D215" s="893">
        <f t="shared" si="10"/>
        <v>85.2</v>
      </c>
      <c r="E215" s="894" t="s">
        <v>1423</v>
      </c>
      <c r="F215" s="890">
        <f t="shared" si="11"/>
        <v>85.2</v>
      </c>
    </row>
    <row r="216" spans="1:6" ht="20.25" customHeight="1">
      <c r="A216" s="890">
        <v>5</v>
      </c>
      <c r="B216" s="891" t="s">
        <v>1051</v>
      </c>
      <c r="C216" s="896" t="str">
        <f t="shared" si="10"/>
        <v xml:space="preserve">63 A netural link SD -129 </v>
      </c>
      <c r="D216" s="893">
        <f t="shared" si="10"/>
        <v>67.8</v>
      </c>
      <c r="E216" s="894" t="s">
        <v>1423</v>
      </c>
      <c r="F216" s="890">
        <f t="shared" si="11"/>
        <v>339</v>
      </c>
    </row>
    <row r="217" spans="1:6" ht="20.25" customHeight="1">
      <c r="A217" s="890">
        <v>4</v>
      </c>
      <c r="B217" s="891" t="s">
        <v>1051</v>
      </c>
      <c r="C217" s="896" t="s">
        <v>5786</v>
      </c>
      <c r="D217" s="893">
        <v>843</v>
      </c>
      <c r="E217" s="894" t="s">
        <v>1423</v>
      </c>
      <c r="F217" s="890">
        <f t="shared" si="11"/>
        <v>3372</v>
      </c>
    </row>
    <row r="218" spans="1:6" ht="20.25" customHeight="1">
      <c r="A218" s="890">
        <v>1</v>
      </c>
      <c r="B218" s="891" t="s">
        <v>570</v>
      </c>
      <c r="C218" s="896" t="s">
        <v>5787</v>
      </c>
      <c r="D218" s="893">
        <v>428</v>
      </c>
      <c r="E218" s="894" t="s">
        <v>1423</v>
      </c>
      <c r="F218" s="890">
        <f t="shared" si="11"/>
        <v>428</v>
      </c>
    </row>
    <row r="219" spans="1:6" ht="20.25" customHeight="1">
      <c r="A219" s="948">
        <v>515</v>
      </c>
      <c r="B219" s="894" t="s">
        <v>4363</v>
      </c>
      <c r="C219" s="896" t="s">
        <v>5308</v>
      </c>
      <c r="D219" s="893">
        <f>D60</f>
        <v>1</v>
      </c>
      <c r="E219" s="894" t="s">
        <v>4363</v>
      </c>
      <c r="F219" s="890">
        <f t="shared" si="11"/>
        <v>515</v>
      </c>
    </row>
    <row r="220" spans="1:6" ht="20.25" customHeight="1">
      <c r="A220" s="890"/>
      <c r="B220" s="891"/>
      <c r="C220" s="896" t="s">
        <v>4365</v>
      </c>
      <c r="D220" s="893">
        <f>D61</f>
        <v>0</v>
      </c>
      <c r="E220" s="894"/>
      <c r="F220" s="890"/>
    </row>
    <row r="221" spans="1:6" ht="20.25" customHeight="1">
      <c r="A221" s="890">
        <v>1.27</v>
      </c>
      <c r="B221" s="891" t="s">
        <v>5365</v>
      </c>
      <c r="C221" s="896" t="s">
        <v>5311</v>
      </c>
      <c r="D221" s="893">
        <f t="shared" ref="D221:D228" si="12">D64</f>
        <v>1322</v>
      </c>
      <c r="E221" s="949" t="s">
        <v>5365</v>
      </c>
      <c r="F221" s="890">
        <f t="shared" ref="F221:F228" si="13">SUM(A221*D221)</f>
        <v>1678.94</v>
      </c>
    </row>
    <row r="222" spans="1:6" ht="20.25" customHeight="1">
      <c r="A222" s="890">
        <v>12</v>
      </c>
      <c r="B222" s="891" t="s">
        <v>1457</v>
      </c>
      <c r="C222" s="896" t="s">
        <v>5312</v>
      </c>
      <c r="D222" s="893">
        <f t="shared" si="12"/>
        <v>20</v>
      </c>
      <c r="E222" s="894" t="s">
        <v>1746</v>
      </c>
      <c r="F222" s="890">
        <f t="shared" si="13"/>
        <v>240</v>
      </c>
    </row>
    <row r="223" spans="1:6" ht="20.25" customHeight="1">
      <c r="A223" s="890">
        <v>1</v>
      </c>
      <c r="B223" s="891" t="s">
        <v>147</v>
      </c>
      <c r="C223" s="896" t="s">
        <v>5313</v>
      </c>
      <c r="D223" s="893">
        <f t="shared" si="12"/>
        <v>280</v>
      </c>
      <c r="E223" s="894" t="s">
        <v>147</v>
      </c>
      <c r="F223" s="890">
        <f t="shared" si="13"/>
        <v>280</v>
      </c>
    </row>
    <row r="224" spans="1:6" ht="20.25" customHeight="1">
      <c r="A224" s="890">
        <v>5</v>
      </c>
      <c r="B224" s="891" t="s">
        <v>3516</v>
      </c>
      <c r="C224" s="896" t="s">
        <v>5314</v>
      </c>
      <c r="D224" s="893">
        <f t="shared" si="12"/>
        <v>10.45</v>
      </c>
      <c r="E224" s="949" t="s">
        <v>3516</v>
      </c>
      <c r="F224" s="890">
        <f t="shared" si="13"/>
        <v>52.25</v>
      </c>
    </row>
    <row r="225" spans="1:6" ht="20.25" customHeight="1">
      <c r="A225" s="890">
        <f>117.37+67.23</f>
        <v>184.6</v>
      </c>
      <c r="B225" s="891" t="s">
        <v>929</v>
      </c>
      <c r="C225" s="896" t="s">
        <v>5315</v>
      </c>
      <c r="D225" s="893">
        <f t="shared" si="12"/>
        <v>52.5</v>
      </c>
      <c r="E225" s="949" t="s">
        <v>929</v>
      </c>
      <c r="F225" s="890">
        <f t="shared" si="13"/>
        <v>9691.5</v>
      </c>
    </row>
    <row r="226" spans="1:6" ht="20.25" customHeight="1">
      <c r="A226" s="890">
        <v>6</v>
      </c>
      <c r="B226" s="891" t="s">
        <v>1457</v>
      </c>
      <c r="C226" s="896" t="s">
        <v>5316</v>
      </c>
      <c r="D226" s="893">
        <f t="shared" si="12"/>
        <v>1086</v>
      </c>
      <c r="E226" s="949" t="s">
        <v>1746</v>
      </c>
      <c r="F226" s="890">
        <f t="shared" si="13"/>
        <v>6516</v>
      </c>
    </row>
    <row r="227" spans="1:6" ht="20.25" customHeight="1">
      <c r="A227" s="890">
        <v>182.4</v>
      </c>
      <c r="B227" s="891" t="s">
        <v>4371</v>
      </c>
      <c r="C227" s="896" t="s">
        <v>5317</v>
      </c>
      <c r="D227" s="893">
        <f t="shared" si="12"/>
        <v>10</v>
      </c>
      <c r="E227" s="949" t="s">
        <v>4373</v>
      </c>
      <c r="F227" s="890">
        <f t="shared" si="13"/>
        <v>1824</v>
      </c>
    </row>
    <row r="228" spans="1:6" ht="20.25" customHeight="1">
      <c r="A228" s="901">
        <v>36</v>
      </c>
      <c r="B228" s="891" t="s">
        <v>4374</v>
      </c>
      <c r="C228" s="896" t="s">
        <v>5330</v>
      </c>
      <c r="D228" s="893">
        <f t="shared" si="12"/>
        <v>60.65</v>
      </c>
      <c r="E228" s="950" t="s">
        <v>4375</v>
      </c>
      <c r="F228" s="890">
        <f t="shared" si="13"/>
        <v>2183.4</v>
      </c>
    </row>
    <row r="229" spans="1:6" ht="20.25" customHeight="1">
      <c r="A229" s="890"/>
      <c r="B229" s="891"/>
      <c r="C229" s="896" t="s">
        <v>4376</v>
      </c>
      <c r="D229" s="893"/>
      <c r="E229" s="894"/>
      <c r="F229" s="890">
        <v>200</v>
      </c>
    </row>
    <row r="230" spans="1:6" ht="20.25" customHeight="1">
      <c r="A230" s="890"/>
      <c r="B230" s="891"/>
      <c r="C230" s="896"/>
      <c r="D230" s="893" t="s">
        <v>2284</v>
      </c>
      <c r="E230" s="894"/>
      <c r="F230" s="895">
        <f>SUM(F178:F229)</f>
        <v>46714.25</v>
      </c>
    </row>
    <row r="231" spans="1:6" ht="20.25" customHeight="1">
      <c r="A231" s="890"/>
      <c r="B231" s="891"/>
      <c r="C231" s="896" t="s">
        <v>4377</v>
      </c>
      <c r="D231" s="893"/>
      <c r="E231" s="894"/>
      <c r="F231" s="890">
        <f>F230*2/100</f>
        <v>934.29</v>
      </c>
    </row>
    <row r="232" spans="1:6" ht="20.25" customHeight="1">
      <c r="A232" s="890"/>
      <c r="B232" s="891"/>
      <c r="C232" s="896"/>
      <c r="D232" s="893"/>
      <c r="E232" s="894"/>
      <c r="F232" s="895">
        <f>SUM(F230:F231)</f>
        <v>47648.54</v>
      </c>
    </row>
    <row r="233" spans="1:6" ht="20.25" customHeight="1">
      <c r="A233" s="890"/>
      <c r="B233" s="891"/>
      <c r="C233" s="897"/>
      <c r="D233" s="893"/>
      <c r="E233" s="894"/>
      <c r="F233" s="890"/>
    </row>
    <row r="234" spans="1:6" ht="20.25" customHeight="1">
      <c r="A234" s="890"/>
      <c r="B234" s="891"/>
      <c r="C234" s="896" t="s">
        <v>4379</v>
      </c>
      <c r="D234" s="893"/>
      <c r="E234" s="894"/>
      <c r="F234" s="890">
        <v>1500</v>
      </c>
    </row>
    <row r="235" spans="1:6" ht="20.25" customHeight="1">
      <c r="A235" s="890"/>
      <c r="B235" s="891"/>
      <c r="C235" s="896" t="s">
        <v>4380</v>
      </c>
      <c r="D235" s="893"/>
      <c r="E235" s="894"/>
      <c r="F235" s="890">
        <v>1000</v>
      </c>
    </row>
    <row r="236" spans="1:6" ht="20.25" customHeight="1">
      <c r="A236" s="890"/>
      <c r="B236" s="891"/>
      <c r="C236" s="896"/>
      <c r="D236" s="893"/>
      <c r="E236" s="894"/>
      <c r="F236" s="895">
        <f>SUM(F232:F235)</f>
        <v>50148.54</v>
      </c>
    </row>
    <row r="237" spans="1:6" ht="20.25" customHeight="1">
      <c r="A237" s="890"/>
      <c r="B237" s="891"/>
      <c r="C237" s="896"/>
      <c r="D237" s="893"/>
      <c r="E237" s="894"/>
      <c r="F237" s="890" t="s">
        <v>4381</v>
      </c>
    </row>
    <row r="238" spans="1:6" ht="20.25" customHeight="1">
      <c r="A238" s="890"/>
      <c r="B238" s="891"/>
      <c r="C238" s="896"/>
      <c r="D238" s="893"/>
      <c r="E238" s="894"/>
      <c r="F238" s="895">
        <v>46900</v>
      </c>
    </row>
    <row r="239" spans="1:6" ht="20.25" customHeight="1">
      <c r="D239" s="1557" t="s">
        <v>992</v>
      </c>
      <c r="E239" s="1557"/>
      <c r="F239" s="1557"/>
    </row>
    <row r="244" spans="1:6" ht="20.25" customHeight="1">
      <c r="A244" s="954"/>
      <c r="B244" s="954"/>
      <c r="C244" s="953" t="s">
        <v>5362</v>
      </c>
      <c r="D244" s="955"/>
      <c r="E244" s="954"/>
      <c r="F244" s="954"/>
    </row>
    <row r="245" spans="1:6" ht="20.25" customHeight="1">
      <c r="A245" s="879"/>
      <c r="B245" s="880"/>
      <c r="C245" s="881" t="s">
        <v>5336</v>
      </c>
      <c r="D245" s="879"/>
      <c r="E245" s="882"/>
      <c r="F245" s="879"/>
    </row>
    <row r="246" spans="1:6" ht="20.25" customHeight="1">
      <c r="A246" s="879"/>
      <c r="B246" s="880"/>
      <c r="C246" s="883" t="s">
        <v>5337</v>
      </c>
      <c r="D246" s="879"/>
      <c r="E246" s="882"/>
      <c r="F246" s="879"/>
    </row>
    <row r="247" spans="1:6" ht="20.25" customHeight="1">
      <c r="A247" s="879"/>
      <c r="B247" s="880"/>
      <c r="C247" s="883" t="s">
        <v>4326</v>
      </c>
      <c r="D247" s="879"/>
      <c r="E247" s="882"/>
      <c r="F247" s="879"/>
    </row>
    <row r="248" spans="1:6" ht="20.25" customHeight="1">
      <c r="A248" s="879"/>
      <c r="B248" s="880"/>
      <c r="C248" s="884" t="s">
        <v>5338</v>
      </c>
      <c r="D248" s="879"/>
      <c r="E248" s="882"/>
      <c r="F248" s="879"/>
    </row>
    <row r="249" spans="1:6" ht="20.25" customHeight="1">
      <c r="A249" s="879"/>
      <c r="B249" s="880"/>
      <c r="C249" s="884" t="s">
        <v>5339</v>
      </c>
      <c r="D249" s="879"/>
      <c r="E249" s="882"/>
      <c r="F249" s="879"/>
    </row>
    <row r="250" spans="1:6" ht="20.25" customHeight="1">
      <c r="A250" s="879"/>
      <c r="B250" s="880"/>
      <c r="C250" s="884" t="s">
        <v>5340</v>
      </c>
      <c r="D250" s="879"/>
      <c r="E250" s="882"/>
      <c r="F250" s="879"/>
    </row>
    <row r="251" spans="1:6" ht="20.25" customHeight="1">
      <c r="A251" s="879"/>
      <c r="B251" s="880"/>
      <c r="C251" s="884" t="s">
        <v>5341</v>
      </c>
      <c r="D251" s="879"/>
      <c r="E251" s="882"/>
      <c r="F251" s="879"/>
    </row>
    <row r="252" spans="1:6" ht="20.25" customHeight="1">
      <c r="A252" s="879"/>
      <c r="B252" s="880"/>
      <c r="C252" s="883" t="s">
        <v>5342</v>
      </c>
      <c r="D252" s="879"/>
      <c r="E252" s="882"/>
      <c r="F252" s="879"/>
    </row>
    <row r="253" spans="1:6" ht="20.25" customHeight="1">
      <c r="A253" s="879"/>
      <c r="B253" s="880"/>
      <c r="C253" s="884" t="s">
        <v>5343</v>
      </c>
      <c r="D253" s="879"/>
      <c r="E253" s="882"/>
      <c r="F253" s="879"/>
    </row>
    <row r="254" spans="1:6" ht="20.25" customHeight="1">
      <c r="A254" s="879"/>
      <c r="B254" s="880"/>
      <c r="C254" s="883" t="s">
        <v>5344</v>
      </c>
      <c r="D254" s="879"/>
      <c r="E254" s="882"/>
      <c r="F254" s="879"/>
    </row>
    <row r="255" spans="1:6" ht="20.25" customHeight="1">
      <c r="A255" s="879"/>
      <c r="B255" s="880"/>
      <c r="C255" s="884" t="s">
        <v>5345</v>
      </c>
      <c r="D255" s="879"/>
      <c r="E255" s="882"/>
      <c r="F255" s="879"/>
    </row>
    <row r="256" spans="1:6" ht="20.25" customHeight="1">
      <c r="A256" s="879">
        <v>328.18</v>
      </c>
      <c r="B256" s="880" t="s">
        <v>929</v>
      </c>
      <c r="C256" s="884" t="s">
        <v>5320</v>
      </c>
      <c r="D256" s="879">
        <f>D178</f>
        <v>57.6</v>
      </c>
      <c r="E256" s="882" t="s">
        <v>929</v>
      </c>
      <c r="F256" s="879">
        <f>SUM(A256*D256)</f>
        <v>18903.169999999998</v>
      </c>
    </row>
    <row r="257" spans="1:6" ht="20.25" customHeight="1">
      <c r="A257" s="879"/>
      <c r="B257" s="880"/>
      <c r="C257" s="883" t="s">
        <v>4335</v>
      </c>
      <c r="D257" s="879"/>
      <c r="E257" s="882"/>
      <c r="F257" s="879"/>
    </row>
    <row r="258" spans="1:6" ht="20.25" customHeight="1">
      <c r="A258" s="879"/>
      <c r="B258" s="880"/>
      <c r="C258" s="884" t="s">
        <v>4336</v>
      </c>
      <c r="D258" s="879"/>
      <c r="E258" s="882"/>
      <c r="F258" s="879"/>
    </row>
    <row r="259" spans="1:6" ht="20.25" customHeight="1">
      <c r="A259" s="879"/>
      <c r="B259" s="880"/>
      <c r="C259" s="884" t="s">
        <v>5038</v>
      </c>
      <c r="D259" s="879"/>
      <c r="E259" s="882"/>
      <c r="F259" s="879"/>
    </row>
    <row r="260" spans="1:6" ht="20.25" customHeight="1">
      <c r="A260" s="879"/>
      <c r="B260" s="880"/>
      <c r="C260" s="884" t="s">
        <v>4338</v>
      </c>
      <c r="D260" s="879"/>
      <c r="E260" s="882"/>
      <c r="F260" s="879"/>
    </row>
    <row r="261" spans="1:6" ht="20.25" customHeight="1">
      <c r="A261" s="879"/>
      <c r="B261" s="880"/>
      <c r="C261" s="884" t="s">
        <v>5037</v>
      </c>
      <c r="D261" s="879"/>
      <c r="E261" s="882"/>
      <c r="F261" s="879"/>
    </row>
    <row r="262" spans="1:6" ht="20.25" customHeight="1">
      <c r="A262" s="879"/>
      <c r="B262" s="880"/>
      <c r="C262" s="884" t="s">
        <v>5346</v>
      </c>
      <c r="D262" s="879"/>
      <c r="E262" s="882"/>
      <c r="F262" s="879"/>
    </row>
    <row r="263" spans="1:6" ht="20.25" customHeight="1">
      <c r="A263" s="879"/>
      <c r="B263" s="880"/>
      <c r="C263" s="884" t="s">
        <v>5347</v>
      </c>
      <c r="D263" s="879"/>
      <c r="E263" s="882"/>
      <c r="F263" s="879"/>
    </row>
    <row r="264" spans="1:6" ht="20.25" customHeight="1">
      <c r="A264" s="879"/>
      <c r="B264" s="880"/>
      <c r="C264" s="884" t="s">
        <v>5348</v>
      </c>
      <c r="D264" s="879"/>
      <c r="E264" s="882"/>
      <c r="F264" s="879"/>
    </row>
    <row r="265" spans="1:6" ht="20.25" customHeight="1">
      <c r="A265" s="879">
        <v>68.400000000000006</v>
      </c>
      <c r="B265" s="880" t="s">
        <v>929</v>
      </c>
      <c r="C265" s="884" t="s">
        <v>4343</v>
      </c>
      <c r="D265" s="879">
        <f>D256</f>
        <v>57.6</v>
      </c>
      <c r="E265" s="882" t="s">
        <v>929</v>
      </c>
      <c r="F265" s="879">
        <f>SUM(A265*D265)</f>
        <v>3939.84</v>
      </c>
    </row>
    <row r="266" spans="1:6" ht="20.25" customHeight="1">
      <c r="A266" s="879"/>
      <c r="B266" s="880"/>
      <c r="C266" s="884"/>
      <c r="D266" s="879"/>
      <c r="E266" s="882"/>
      <c r="F266" s="879"/>
    </row>
    <row r="267" spans="1:6" ht="20.25" customHeight="1">
      <c r="A267" s="879"/>
      <c r="B267" s="880"/>
      <c r="C267" s="883" t="s">
        <v>4344</v>
      </c>
      <c r="D267" s="879"/>
      <c r="E267" s="882"/>
      <c r="F267" s="879"/>
    </row>
    <row r="268" spans="1:6" ht="20.25" customHeight="1">
      <c r="A268" s="879"/>
      <c r="B268" s="880"/>
      <c r="C268" s="884" t="s">
        <v>5349</v>
      </c>
      <c r="D268" s="879"/>
      <c r="E268" s="882"/>
      <c r="F268" s="879"/>
    </row>
    <row r="269" spans="1:6" ht="20.25" customHeight="1">
      <c r="A269" s="879"/>
      <c r="B269" s="880"/>
      <c r="C269" s="884" t="s">
        <v>5350</v>
      </c>
      <c r="D269" s="879"/>
      <c r="E269" s="882"/>
      <c r="F269" s="879"/>
    </row>
    <row r="270" spans="1:6" ht="20.25" customHeight="1">
      <c r="A270" s="879"/>
      <c r="B270" s="880"/>
      <c r="C270" s="884" t="s">
        <v>5351</v>
      </c>
      <c r="D270" s="879"/>
      <c r="E270" s="882"/>
      <c r="F270" s="879"/>
    </row>
    <row r="271" spans="1:6" ht="20.25" customHeight="1">
      <c r="A271" s="879"/>
      <c r="B271" s="880"/>
      <c r="C271" s="884" t="s">
        <v>5352</v>
      </c>
      <c r="D271" s="879"/>
      <c r="E271" s="882"/>
      <c r="F271" s="879"/>
    </row>
    <row r="272" spans="1:6" ht="20.25" customHeight="1">
      <c r="A272" s="879"/>
      <c r="B272" s="880"/>
      <c r="C272" s="884" t="s">
        <v>5353</v>
      </c>
      <c r="D272" s="879"/>
      <c r="E272" s="882"/>
      <c r="F272" s="879"/>
    </row>
    <row r="273" spans="1:6" ht="20.25" customHeight="1">
      <c r="A273" s="879"/>
      <c r="B273" s="880"/>
      <c r="C273" s="884" t="s">
        <v>5354</v>
      </c>
      <c r="D273" s="879"/>
      <c r="E273" s="882"/>
      <c r="F273" s="879"/>
    </row>
    <row r="274" spans="1:6" ht="20.25" customHeight="1">
      <c r="A274" s="879"/>
      <c r="B274" s="880"/>
      <c r="C274" s="884" t="s">
        <v>5355</v>
      </c>
      <c r="D274" s="879"/>
      <c r="E274" s="882"/>
      <c r="F274" s="879"/>
    </row>
    <row r="275" spans="1:6" ht="20.25" customHeight="1">
      <c r="A275" s="879"/>
      <c r="B275" s="880"/>
      <c r="C275" s="884" t="s">
        <v>5356</v>
      </c>
      <c r="D275" s="879"/>
      <c r="E275" s="882"/>
      <c r="F275" s="879"/>
    </row>
    <row r="276" spans="1:6" ht="20.25" customHeight="1">
      <c r="A276" s="879"/>
      <c r="B276" s="880"/>
      <c r="C276" s="884" t="s">
        <v>5357</v>
      </c>
      <c r="D276" s="879"/>
      <c r="E276" s="882"/>
      <c r="F276" s="879"/>
    </row>
    <row r="277" spans="1:6" ht="20.25" customHeight="1">
      <c r="A277" s="879">
        <v>41.64</v>
      </c>
      <c r="B277" s="880" t="s">
        <v>929</v>
      </c>
      <c r="C277" s="896" t="s">
        <v>5299</v>
      </c>
      <c r="D277" s="879">
        <f>D202</f>
        <v>562</v>
      </c>
      <c r="E277" s="882" t="s">
        <v>929</v>
      </c>
      <c r="F277" s="879">
        <f>D277*A277</f>
        <v>23401.68</v>
      </c>
    </row>
    <row r="278" spans="1:6" ht="20.25" customHeight="1">
      <c r="A278" s="879">
        <v>41.64</v>
      </c>
      <c r="B278" s="880" t="s">
        <v>929</v>
      </c>
      <c r="C278" s="884" t="s">
        <v>4356</v>
      </c>
      <c r="D278" s="879">
        <f>D203</f>
        <v>10</v>
      </c>
      <c r="E278" s="882" t="s">
        <v>929</v>
      </c>
      <c r="F278" s="879">
        <f>D278*A278</f>
        <v>416.4</v>
      </c>
    </row>
    <row r="279" spans="1:6" ht="20.25" customHeight="1">
      <c r="A279" s="879">
        <v>2886</v>
      </c>
      <c r="B279" s="880" t="s">
        <v>156</v>
      </c>
      <c r="C279" s="884" t="s">
        <v>4364</v>
      </c>
      <c r="D279" s="879">
        <f>D219</f>
        <v>1</v>
      </c>
      <c r="E279" s="882" t="s">
        <v>4363</v>
      </c>
      <c r="F279" s="879">
        <f>SUM(A279*D279)</f>
        <v>2886</v>
      </c>
    </row>
    <row r="280" spans="1:6" ht="20.25" customHeight="1">
      <c r="A280" s="879">
        <v>3</v>
      </c>
      <c r="B280" s="880" t="s">
        <v>570</v>
      </c>
      <c r="C280" s="884" t="s">
        <v>5363</v>
      </c>
      <c r="D280" s="879">
        <v>1700</v>
      </c>
      <c r="E280" s="882" t="s">
        <v>1746</v>
      </c>
      <c r="F280" s="879">
        <f>SUM(A280*D280)</f>
        <v>5100</v>
      </c>
    </row>
    <row r="281" spans="1:6" ht="20.25" customHeight="1">
      <c r="A281" s="879">
        <v>22</v>
      </c>
      <c r="B281" s="880" t="s">
        <v>1051</v>
      </c>
      <c r="C281" s="884" t="s">
        <v>5788</v>
      </c>
      <c r="D281" s="879">
        <v>1299</v>
      </c>
      <c r="E281" s="882" t="s">
        <v>1746</v>
      </c>
      <c r="F281" s="879">
        <f>SUM(A281*D281)</f>
        <v>28578</v>
      </c>
    </row>
    <row r="282" spans="1:6" ht="20.25" customHeight="1">
      <c r="A282" s="879">
        <v>66</v>
      </c>
      <c r="B282" s="880" t="s">
        <v>1051</v>
      </c>
      <c r="C282" s="884" t="s">
        <v>5790</v>
      </c>
      <c r="D282" s="930">
        <f>D134</f>
        <v>190.2</v>
      </c>
      <c r="E282" s="882" t="s">
        <v>1746</v>
      </c>
      <c r="F282" s="879">
        <f>D282*A282</f>
        <v>12553.2</v>
      </c>
    </row>
    <row r="283" spans="1:6" ht="20.25" customHeight="1">
      <c r="A283" s="879">
        <f>44*0.22</f>
        <v>9.68</v>
      </c>
      <c r="B283" s="880" t="s">
        <v>1676</v>
      </c>
      <c r="C283" s="884" t="s">
        <v>5358</v>
      </c>
      <c r="D283" s="879">
        <f>D277</f>
        <v>562</v>
      </c>
      <c r="E283" s="882" t="s">
        <v>1676</v>
      </c>
      <c r="F283" s="879">
        <f>D283*A283</f>
        <v>5440.16</v>
      </c>
    </row>
    <row r="284" spans="1:6" ht="20.25" customHeight="1">
      <c r="A284" s="879">
        <v>132</v>
      </c>
      <c r="B284" s="880" t="s">
        <v>4374</v>
      </c>
      <c r="C284" s="884" t="s">
        <v>5789</v>
      </c>
      <c r="D284" s="879">
        <v>91.25</v>
      </c>
      <c r="E284" s="882" t="s">
        <v>4375</v>
      </c>
      <c r="F284" s="879">
        <f>SUM(A284*D284)</f>
        <v>12045</v>
      </c>
    </row>
    <row r="285" spans="1:6" ht="20.25" customHeight="1">
      <c r="A285" s="879"/>
      <c r="B285" s="880"/>
      <c r="C285" s="884" t="s">
        <v>5359</v>
      </c>
      <c r="D285" s="879"/>
      <c r="E285" s="882"/>
      <c r="F285" s="879"/>
    </row>
    <row r="286" spans="1:6" ht="20.25" customHeight="1">
      <c r="A286" s="879"/>
      <c r="B286" s="880"/>
      <c r="C286" s="884" t="s">
        <v>5364</v>
      </c>
      <c r="D286" s="879"/>
      <c r="E286" s="882"/>
      <c r="F286" s="879"/>
    </row>
    <row r="287" spans="1:6" ht="20.25" customHeight="1">
      <c r="A287" s="879">
        <v>2.88</v>
      </c>
      <c r="B287" s="880" t="s">
        <v>5365</v>
      </c>
      <c r="C287" s="884" t="s">
        <v>5311</v>
      </c>
      <c r="D287" s="879">
        <f>D221</f>
        <v>1322</v>
      </c>
      <c r="E287" s="885" t="s">
        <v>5365</v>
      </c>
      <c r="F287" s="879">
        <f t="shared" ref="F287:F295" si="14">SUM(A287*D287)</f>
        <v>3807.36</v>
      </c>
    </row>
    <row r="288" spans="1:6" ht="20.25" customHeight="1">
      <c r="A288" s="879">
        <v>12</v>
      </c>
      <c r="B288" s="880" t="s">
        <v>1457</v>
      </c>
      <c r="C288" s="884" t="s">
        <v>4368</v>
      </c>
      <c r="D288" s="879">
        <v>20</v>
      </c>
      <c r="E288" s="882" t="s">
        <v>1746</v>
      </c>
      <c r="F288" s="879">
        <f t="shared" si="14"/>
        <v>240</v>
      </c>
    </row>
    <row r="289" spans="1:30" ht="20.25" customHeight="1">
      <c r="A289" s="879">
        <v>1</v>
      </c>
      <c r="B289" s="880" t="s">
        <v>1457</v>
      </c>
      <c r="C289" s="884" t="s">
        <v>4369</v>
      </c>
      <c r="D289" s="879">
        <v>280</v>
      </c>
      <c r="E289" s="882" t="s">
        <v>1746</v>
      </c>
      <c r="F289" s="879">
        <f t="shared" si="14"/>
        <v>280</v>
      </c>
    </row>
    <row r="290" spans="1:30" ht="20.25" customHeight="1">
      <c r="A290" s="879">
        <v>3</v>
      </c>
      <c r="B290" s="880" t="s">
        <v>1457</v>
      </c>
      <c r="C290" s="884" t="s">
        <v>5791</v>
      </c>
      <c r="D290" s="879">
        <v>48.05</v>
      </c>
      <c r="E290" s="882" t="s">
        <v>1746</v>
      </c>
      <c r="F290" s="879">
        <f t="shared" si="14"/>
        <v>144.15</v>
      </c>
    </row>
    <row r="291" spans="1:30" ht="20.25" customHeight="1">
      <c r="A291" s="879">
        <v>5</v>
      </c>
      <c r="B291" s="880" t="s">
        <v>3516</v>
      </c>
      <c r="C291" s="884" t="str">
        <f>C147</f>
        <v>1 sqmm PVC copper cable [SR 2022-23 / P.125]</v>
      </c>
      <c r="D291" s="1045">
        <f>D147</f>
        <v>10.45</v>
      </c>
      <c r="E291" s="885" t="s">
        <v>3516</v>
      </c>
      <c r="F291" s="879">
        <f t="shared" si="14"/>
        <v>52.25</v>
      </c>
    </row>
    <row r="292" spans="1:30" ht="20.25" customHeight="1">
      <c r="A292" s="879">
        <v>328.18</v>
      </c>
      <c r="B292" s="880" t="s">
        <v>4371</v>
      </c>
      <c r="C292" s="884" t="str">
        <f>C148</f>
        <v>MS sheet fabrication charges [SR 2022-23 / P.29]</v>
      </c>
      <c r="D292" s="1045">
        <f>D148</f>
        <v>52.5</v>
      </c>
      <c r="E292" s="885" t="s">
        <v>4373</v>
      </c>
      <c r="F292" s="879">
        <f t="shared" si="14"/>
        <v>17229.45</v>
      </c>
    </row>
    <row r="293" spans="1:30" ht="20.25" customHeight="1">
      <c r="A293" s="879">
        <v>68.400000000000006</v>
      </c>
      <c r="B293" s="880" t="s">
        <v>929</v>
      </c>
      <c r="C293" s="884" t="s">
        <v>5793</v>
      </c>
      <c r="D293" s="879">
        <f>D292</f>
        <v>52.5</v>
      </c>
      <c r="E293" s="885" t="s">
        <v>929</v>
      </c>
      <c r="F293" s="879">
        <f t="shared" si="14"/>
        <v>3591</v>
      </c>
    </row>
    <row r="294" spans="1:30" ht="20.25" customHeight="1">
      <c r="A294" s="879">
        <v>24</v>
      </c>
      <c r="B294" s="880" t="s">
        <v>1457</v>
      </c>
      <c r="C294" s="884" t="s">
        <v>5360</v>
      </c>
      <c r="D294" s="879">
        <v>501.25</v>
      </c>
      <c r="E294" s="885" t="s">
        <v>1746</v>
      </c>
      <c r="F294" s="879">
        <f t="shared" si="14"/>
        <v>12030</v>
      </c>
    </row>
    <row r="295" spans="1:30" ht="20.25" customHeight="1">
      <c r="A295" s="879">
        <v>510</v>
      </c>
      <c r="B295" s="880" t="s">
        <v>4371</v>
      </c>
      <c r="C295" s="884" t="s">
        <v>5361</v>
      </c>
      <c r="D295" s="879">
        <v>10</v>
      </c>
      <c r="E295" s="885" t="s">
        <v>4373</v>
      </c>
      <c r="F295" s="879">
        <f t="shared" si="14"/>
        <v>5100</v>
      </c>
    </row>
    <row r="296" spans="1:30" ht="20.25" customHeight="1">
      <c r="A296" s="879"/>
      <c r="B296" s="880"/>
      <c r="C296" s="884" t="s">
        <v>4376</v>
      </c>
      <c r="D296" s="879"/>
      <c r="E296" s="882"/>
      <c r="F296" s="879">
        <v>200</v>
      </c>
    </row>
    <row r="297" spans="1:30" ht="20.25" customHeight="1">
      <c r="A297" s="879"/>
      <c r="B297" s="880"/>
      <c r="C297" s="884"/>
      <c r="D297" s="879"/>
      <c r="E297" s="882"/>
      <c r="F297" s="886">
        <f>SUM(F256:F296)</f>
        <v>155937.66</v>
      </c>
    </row>
    <row r="298" spans="1:30" ht="20.25" customHeight="1">
      <c r="A298" s="879"/>
      <c r="B298" s="880"/>
      <c r="C298" s="884" t="s">
        <v>4377</v>
      </c>
      <c r="D298" s="879"/>
      <c r="E298" s="882"/>
      <c r="F298" s="879">
        <f>F297*2%</f>
        <v>3118.75</v>
      </c>
    </row>
    <row r="299" spans="1:30" ht="20.25" customHeight="1">
      <c r="A299" s="879"/>
      <c r="B299" s="880"/>
      <c r="C299" s="884" t="s">
        <v>4379</v>
      </c>
      <c r="D299" s="879"/>
      <c r="E299" s="882"/>
      <c r="F299" s="879">
        <v>1000</v>
      </c>
    </row>
    <row r="300" spans="1:30" ht="20.25" customHeight="1">
      <c r="A300" s="879"/>
      <c r="B300" s="880"/>
      <c r="C300" s="884" t="s">
        <v>4380</v>
      </c>
      <c r="D300" s="879"/>
      <c r="E300" s="882"/>
      <c r="F300" s="879">
        <v>1000</v>
      </c>
    </row>
    <row r="301" spans="1:30" ht="20.25" customHeight="1">
      <c r="A301" s="879"/>
      <c r="B301" s="880"/>
      <c r="C301" s="884"/>
      <c r="D301" s="879"/>
      <c r="E301" s="882"/>
      <c r="F301" s="886">
        <f>SUM(F297:F300)</f>
        <v>161056.41</v>
      </c>
    </row>
    <row r="302" spans="1:30" ht="20.25" customHeight="1">
      <c r="A302" s="879"/>
      <c r="B302" s="880"/>
      <c r="C302" s="824"/>
      <c r="D302" s="879"/>
      <c r="E302" s="887" t="s">
        <v>5265</v>
      </c>
      <c r="F302" s="886">
        <v>161100</v>
      </c>
    </row>
    <row r="303" spans="1:30" s="1050" customFormat="1" ht="20.25" customHeight="1">
      <c r="A303" s="1046"/>
      <c r="B303" s="1047"/>
      <c r="C303" s="1048"/>
      <c r="D303" s="1046"/>
      <c r="E303" s="1049"/>
      <c r="F303" s="1046"/>
      <c r="P303" s="1051"/>
      <c r="AD303" s="1051"/>
    </row>
    <row r="306" spans="1:6" ht="20.25" customHeight="1">
      <c r="A306" s="954"/>
      <c r="B306" s="954"/>
      <c r="C306" s="884" t="s">
        <v>5400</v>
      </c>
      <c r="D306" s="955"/>
      <c r="E306" s="954"/>
      <c r="F306" s="954"/>
    </row>
    <row r="307" spans="1:6" ht="20.25" customHeight="1">
      <c r="A307" s="879"/>
      <c r="B307" s="880"/>
      <c r="C307" s="881" t="s">
        <v>5336</v>
      </c>
      <c r="D307" s="879"/>
      <c r="E307" s="882"/>
      <c r="F307" s="879"/>
    </row>
    <row r="308" spans="1:6" ht="20.25" customHeight="1">
      <c r="A308" s="879"/>
      <c r="B308" s="880"/>
      <c r="C308" s="883" t="s">
        <v>5369</v>
      </c>
      <c r="D308" s="879"/>
      <c r="E308" s="882"/>
      <c r="F308" s="879"/>
    </row>
    <row r="309" spans="1:6" ht="20.25" customHeight="1">
      <c r="A309" s="879"/>
      <c r="B309" s="880"/>
      <c r="C309" s="883" t="s">
        <v>4326</v>
      </c>
      <c r="D309" s="879"/>
      <c r="E309" s="882"/>
      <c r="F309" s="879"/>
    </row>
    <row r="310" spans="1:6" ht="20.25" customHeight="1">
      <c r="A310" s="879"/>
      <c r="B310" s="880"/>
      <c r="C310" s="884" t="s">
        <v>5370</v>
      </c>
      <c r="D310" s="879"/>
      <c r="E310" s="882"/>
      <c r="F310" s="879"/>
    </row>
    <row r="311" spans="1:6" ht="20.25" customHeight="1">
      <c r="A311" s="879"/>
      <c r="B311" s="880"/>
      <c r="C311" s="884" t="s">
        <v>5371</v>
      </c>
      <c r="D311" s="879"/>
      <c r="E311" s="882"/>
      <c r="F311" s="879"/>
    </row>
    <row r="312" spans="1:6" ht="20.25" customHeight="1">
      <c r="A312" s="879"/>
      <c r="B312" s="880"/>
      <c r="C312" s="884" t="s">
        <v>5372</v>
      </c>
      <c r="D312" s="879"/>
      <c r="E312" s="882"/>
      <c r="F312" s="879"/>
    </row>
    <row r="313" spans="1:6" ht="20.25" customHeight="1">
      <c r="A313" s="879"/>
      <c r="B313" s="880"/>
      <c r="C313" s="884" t="s">
        <v>5373</v>
      </c>
      <c r="D313" s="879"/>
      <c r="E313" s="882"/>
      <c r="F313" s="879"/>
    </row>
    <row r="314" spans="1:6" ht="20.25" customHeight="1">
      <c r="A314" s="879"/>
      <c r="B314" s="880"/>
      <c r="C314" s="883" t="s">
        <v>5374</v>
      </c>
      <c r="D314" s="879"/>
      <c r="E314" s="882"/>
      <c r="F314" s="879"/>
    </row>
    <row r="315" spans="1:6" ht="20.25" customHeight="1">
      <c r="A315" s="879"/>
      <c r="B315" s="880"/>
      <c r="C315" s="884" t="s">
        <v>5375</v>
      </c>
      <c r="D315" s="879"/>
      <c r="E315" s="882"/>
      <c r="F315" s="879"/>
    </row>
    <row r="316" spans="1:6" ht="20.25" customHeight="1">
      <c r="A316" s="879"/>
      <c r="B316" s="880"/>
      <c r="C316" s="883" t="s">
        <v>5376</v>
      </c>
      <c r="D316" s="879"/>
      <c r="E316" s="882"/>
      <c r="F316" s="879"/>
    </row>
    <row r="317" spans="1:6" ht="20.25" customHeight="1">
      <c r="A317" s="879"/>
      <c r="B317" s="880"/>
      <c r="C317" s="884" t="s">
        <v>5377</v>
      </c>
      <c r="D317" s="879"/>
      <c r="E317" s="882"/>
      <c r="F317" s="879"/>
    </row>
    <row r="318" spans="1:6" ht="20.25" customHeight="1">
      <c r="A318" s="879">
        <v>121.62</v>
      </c>
      <c r="B318" s="880" t="s">
        <v>929</v>
      </c>
      <c r="C318" s="884" t="s">
        <v>5320</v>
      </c>
      <c r="D318" s="879">
        <f>D256</f>
        <v>57.6</v>
      </c>
      <c r="E318" s="882" t="s">
        <v>929</v>
      </c>
      <c r="F318" s="879">
        <f>SUM(A318*D318)</f>
        <v>7005.31</v>
      </c>
    </row>
    <row r="319" spans="1:6" ht="20.25" customHeight="1">
      <c r="A319" s="879"/>
      <c r="B319" s="880"/>
      <c r="C319" s="883" t="s">
        <v>4335</v>
      </c>
      <c r="D319" s="879">
        <f t="shared" ref="D319:D338" si="15">D257</f>
        <v>0</v>
      </c>
      <c r="E319" s="882"/>
      <c r="F319" s="879"/>
    </row>
    <row r="320" spans="1:6" ht="20.25" customHeight="1">
      <c r="A320" s="879"/>
      <c r="B320" s="880"/>
      <c r="C320" s="884" t="s">
        <v>4336</v>
      </c>
      <c r="D320" s="879">
        <f t="shared" si="15"/>
        <v>0</v>
      </c>
      <c r="E320" s="882"/>
      <c r="F320" s="879"/>
    </row>
    <row r="321" spans="1:6" ht="20.25" customHeight="1">
      <c r="A321" s="879"/>
      <c r="B321" s="880"/>
      <c r="C321" s="884" t="s">
        <v>5038</v>
      </c>
      <c r="D321" s="879">
        <f t="shared" si="15"/>
        <v>0</v>
      </c>
      <c r="E321" s="882"/>
      <c r="F321" s="879"/>
    </row>
    <row r="322" spans="1:6" ht="20.25" customHeight="1">
      <c r="A322" s="879"/>
      <c r="B322" s="880"/>
      <c r="C322" s="884" t="s">
        <v>5378</v>
      </c>
      <c r="D322" s="879">
        <f t="shared" si="15"/>
        <v>0</v>
      </c>
      <c r="E322" s="882"/>
      <c r="F322" s="879"/>
    </row>
    <row r="323" spans="1:6" ht="20.25" customHeight="1">
      <c r="A323" s="879"/>
      <c r="B323" s="880"/>
      <c r="C323" s="884" t="s">
        <v>5037</v>
      </c>
      <c r="D323" s="879">
        <f t="shared" si="15"/>
        <v>0</v>
      </c>
      <c r="E323" s="882"/>
      <c r="F323" s="879"/>
    </row>
    <row r="324" spans="1:6" ht="20.25" customHeight="1">
      <c r="A324" s="879"/>
      <c r="B324" s="880"/>
      <c r="C324" s="884" t="s">
        <v>5379</v>
      </c>
      <c r="D324" s="879">
        <f t="shared" si="15"/>
        <v>0</v>
      </c>
      <c r="E324" s="882"/>
      <c r="F324" s="879"/>
    </row>
    <row r="325" spans="1:6" ht="20.25" customHeight="1">
      <c r="A325" s="879"/>
      <c r="B325" s="880"/>
      <c r="C325" s="884" t="s">
        <v>5380</v>
      </c>
      <c r="D325" s="879">
        <f t="shared" si="15"/>
        <v>0</v>
      </c>
      <c r="E325" s="882"/>
      <c r="F325" s="879"/>
    </row>
    <row r="326" spans="1:6" ht="20.25" customHeight="1">
      <c r="A326" s="879"/>
      <c r="B326" s="880"/>
      <c r="C326" s="884" t="s">
        <v>5381</v>
      </c>
      <c r="D326" s="879">
        <f t="shared" si="15"/>
        <v>0</v>
      </c>
      <c r="E326" s="882"/>
      <c r="F326" s="879"/>
    </row>
    <row r="327" spans="1:6" ht="20.25" customHeight="1">
      <c r="A327" s="879">
        <v>52.8</v>
      </c>
      <c r="B327" s="880" t="s">
        <v>929</v>
      </c>
      <c r="C327" s="884" t="s">
        <v>4343</v>
      </c>
      <c r="D327" s="879">
        <f t="shared" si="15"/>
        <v>57.6</v>
      </c>
      <c r="E327" s="882" t="s">
        <v>929</v>
      </c>
      <c r="F327" s="879">
        <f>SUM(A327*D327)</f>
        <v>3041.28</v>
      </c>
    </row>
    <row r="328" spans="1:6" ht="20.25" customHeight="1">
      <c r="A328" s="879"/>
      <c r="B328" s="880"/>
      <c r="C328" s="884"/>
      <c r="D328" s="879">
        <f t="shared" si="15"/>
        <v>0</v>
      </c>
      <c r="E328" s="882"/>
      <c r="F328" s="879">
        <f t="shared" ref="F328:F346" si="16">SUM(A328*D328)</f>
        <v>0</v>
      </c>
    </row>
    <row r="329" spans="1:6" ht="20.25" customHeight="1">
      <c r="A329" s="879"/>
      <c r="B329" s="880"/>
      <c r="C329" s="883" t="s">
        <v>4344</v>
      </c>
      <c r="D329" s="879">
        <f t="shared" si="15"/>
        <v>0</v>
      </c>
      <c r="E329" s="882"/>
      <c r="F329" s="879">
        <f t="shared" si="16"/>
        <v>0</v>
      </c>
    </row>
    <row r="330" spans="1:6" ht="20.25" customHeight="1">
      <c r="A330" s="879"/>
      <c r="B330" s="880"/>
      <c r="C330" s="884" t="s">
        <v>5382</v>
      </c>
      <c r="D330" s="879">
        <f t="shared" si="15"/>
        <v>0</v>
      </c>
      <c r="E330" s="882"/>
      <c r="F330" s="879">
        <f t="shared" si="16"/>
        <v>0</v>
      </c>
    </row>
    <row r="331" spans="1:6" ht="20.25" customHeight="1">
      <c r="A331" s="879"/>
      <c r="B331" s="880"/>
      <c r="C331" s="884" t="s">
        <v>5383</v>
      </c>
      <c r="D331" s="879">
        <f t="shared" si="15"/>
        <v>0</v>
      </c>
      <c r="E331" s="882"/>
      <c r="F331" s="879">
        <f t="shared" si="16"/>
        <v>0</v>
      </c>
    </row>
    <row r="332" spans="1:6" ht="20.25" customHeight="1">
      <c r="A332" s="879"/>
      <c r="B332" s="880"/>
      <c r="C332" s="884" t="s">
        <v>5384</v>
      </c>
      <c r="D332" s="879">
        <f t="shared" si="15"/>
        <v>0</v>
      </c>
      <c r="E332" s="882"/>
      <c r="F332" s="879">
        <f t="shared" si="16"/>
        <v>0</v>
      </c>
    </row>
    <row r="333" spans="1:6" ht="20.25" customHeight="1">
      <c r="A333" s="879"/>
      <c r="B333" s="880"/>
      <c r="C333" s="884" t="s">
        <v>5385</v>
      </c>
      <c r="D333" s="879">
        <f t="shared" si="15"/>
        <v>0</v>
      </c>
      <c r="E333" s="882"/>
      <c r="F333" s="879">
        <f t="shared" si="16"/>
        <v>0</v>
      </c>
    </row>
    <row r="334" spans="1:6" ht="20.25" customHeight="1">
      <c r="A334" s="879"/>
      <c r="B334" s="880"/>
      <c r="C334" s="884" t="s">
        <v>5386</v>
      </c>
      <c r="D334" s="879">
        <f t="shared" si="15"/>
        <v>0</v>
      </c>
      <c r="E334" s="882"/>
      <c r="F334" s="879">
        <f t="shared" si="16"/>
        <v>0</v>
      </c>
    </row>
    <row r="335" spans="1:6" ht="20.25" customHeight="1">
      <c r="A335" s="879"/>
      <c r="B335" s="880"/>
      <c r="C335" s="884" t="s">
        <v>5387</v>
      </c>
      <c r="D335" s="879">
        <f t="shared" si="15"/>
        <v>0</v>
      </c>
      <c r="E335" s="882"/>
      <c r="F335" s="879">
        <f t="shared" si="16"/>
        <v>0</v>
      </c>
    </row>
    <row r="336" spans="1:6" ht="20.25" customHeight="1">
      <c r="A336" s="879"/>
      <c r="B336" s="880"/>
      <c r="C336" s="884" t="s">
        <v>5388</v>
      </c>
      <c r="D336" s="879">
        <f t="shared" si="15"/>
        <v>0</v>
      </c>
      <c r="E336" s="882"/>
      <c r="F336" s="879">
        <f t="shared" si="16"/>
        <v>0</v>
      </c>
    </row>
    <row r="337" spans="1:6" ht="20.25" customHeight="1">
      <c r="A337" s="879"/>
      <c r="B337" s="880"/>
      <c r="C337" s="884" t="s">
        <v>5389</v>
      </c>
      <c r="D337" s="879">
        <f t="shared" si="15"/>
        <v>0</v>
      </c>
      <c r="E337" s="882"/>
      <c r="F337" s="879">
        <f t="shared" si="16"/>
        <v>0</v>
      </c>
    </row>
    <row r="338" spans="1:6" ht="20.25" customHeight="1">
      <c r="A338" s="879"/>
      <c r="B338" s="880"/>
      <c r="C338" s="884" t="s">
        <v>5390</v>
      </c>
      <c r="D338" s="879">
        <f t="shared" si="15"/>
        <v>0</v>
      </c>
      <c r="E338" s="882"/>
      <c r="F338" s="879">
        <f t="shared" si="16"/>
        <v>0</v>
      </c>
    </row>
    <row r="339" spans="1:6" ht="20.25" customHeight="1">
      <c r="A339" s="879"/>
      <c r="B339" s="880"/>
      <c r="C339" s="884" t="s">
        <v>5391</v>
      </c>
      <c r="E339" s="882"/>
      <c r="F339" s="879">
        <f t="shared" si="16"/>
        <v>0</v>
      </c>
    </row>
    <row r="340" spans="1:6" ht="20.25" customHeight="1">
      <c r="A340" s="879"/>
      <c r="B340" s="880"/>
      <c r="C340" s="884" t="s">
        <v>5392</v>
      </c>
      <c r="E340" s="882"/>
      <c r="F340" s="879">
        <f t="shared" si="16"/>
        <v>0</v>
      </c>
    </row>
    <row r="341" spans="1:6" ht="20.25" customHeight="1">
      <c r="A341" s="879">
        <v>23.63</v>
      </c>
      <c r="B341" s="880" t="s">
        <v>929</v>
      </c>
      <c r="C341" s="896" t="s">
        <v>5299</v>
      </c>
      <c r="D341" s="879">
        <f>D277</f>
        <v>562</v>
      </c>
      <c r="E341" s="882" t="s">
        <v>929</v>
      </c>
      <c r="F341" s="879">
        <f t="shared" si="16"/>
        <v>13280.06</v>
      </c>
    </row>
    <row r="342" spans="1:6" ht="20.25" customHeight="1">
      <c r="A342" s="879">
        <v>23.63</v>
      </c>
      <c r="B342" s="880" t="s">
        <v>929</v>
      </c>
      <c r="C342" s="884" t="s">
        <v>4356</v>
      </c>
      <c r="D342" s="879">
        <f>D278</f>
        <v>10</v>
      </c>
      <c r="E342" s="882" t="s">
        <v>929</v>
      </c>
      <c r="F342" s="879">
        <f t="shared" si="16"/>
        <v>236.3</v>
      </c>
    </row>
    <row r="343" spans="1:6" ht="20.25" customHeight="1">
      <c r="A343" s="879">
        <v>878</v>
      </c>
      <c r="B343" s="880" t="s">
        <v>156</v>
      </c>
      <c r="C343" s="884" t="s">
        <v>4364</v>
      </c>
      <c r="D343" s="879">
        <f>D279</f>
        <v>1</v>
      </c>
      <c r="E343" s="882" t="s">
        <v>4363</v>
      </c>
      <c r="F343" s="879">
        <f t="shared" si="16"/>
        <v>878</v>
      </c>
    </row>
    <row r="344" spans="1:6" ht="20.25" customHeight="1">
      <c r="A344" s="879">
        <v>1</v>
      </c>
      <c r="B344" s="880" t="s">
        <v>570</v>
      </c>
      <c r="C344" s="884" t="s">
        <v>5393</v>
      </c>
      <c r="D344" s="879">
        <v>16616</v>
      </c>
      <c r="E344" s="882" t="s">
        <v>1746</v>
      </c>
      <c r="F344" s="879">
        <f t="shared" si="16"/>
        <v>16616</v>
      </c>
    </row>
    <row r="345" spans="1:6" ht="20.25" customHeight="1">
      <c r="A345" s="879">
        <v>3</v>
      </c>
      <c r="B345" s="880" t="s">
        <v>570</v>
      </c>
      <c r="C345" s="884" t="s">
        <v>5399</v>
      </c>
      <c r="D345" s="879">
        <v>9000</v>
      </c>
      <c r="E345" s="882" t="s">
        <v>1746</v>
      </c>
      <c r="F345" s="879">
        <f>SUM(A345*D345)</f>
        <v>27000</v>
      </c>
    </row>
    <row r="346" spans="1:6" ht="20.25" customHeight="1">
      <c r="A346" s="879">
        <v>6</v>
      </c>
      <c r="B346" s="880" t="s">
        <v>1051</v>
      </c>
      <c r="C346" s="884" t="s">
        <v>5394</v>
      </c>
      <c r="D346" s="879">
        <v>3775</v>
      </c>
      <c r="E346" s="882" t="s">
        <v>1746</v>
      </c>
      <c r="F346" s="879">
        <f t="shared" si="16"/>
        <v>22650</v>
      </c>
    </row>
    <row r="347" spans="1:6" ht="20.25" customHeight="1">
      <c r="A347" s="879"/>
      <c r="B347" s="880"/>
      <c r="C347" s="884" t="s">
        <v>5270</v>
      </c>
      <c r="D347" s="882"/>
      <c r="E347" s="882"/>
      <c r="F347" s="879"/>
    </row>
    <row r="348" spans="1:6" ht="20.25" customHeight="1">
      <c r="A348" s="879"/>
      <c r="B348" s="880"/>
      <c r="C348" s="884" t="s">
        <v>5395</v>
      </c>
      <c r="D348" s="882"/>
      <c r="E348" s="882"/>
      <c r="F348" s="879"/>
    </row>
    <row r="349" spans="1:6" ht="20.25" customHeight="1">
      <c r="A349" s="888">
        <v>1.728</v>
      </c>
      <c r="B349" s="880" t="s">
        <v>5365</v>
      </c>
      <c r="C349" s="884" t="s">
        <v>5398</v>
      </c>
      <c r="D349" s="882">
        <v>1260</v>
      </c>
      <c r="E349" s="885" t="s">
        <v>5365</v>
      </c>
      <c r="F349" s="879">
        <f t="shared" ref="F349:F357" si="17">SUM(A349*D349)</f>
        <v>2177.2800000000002</v>
      </c>
    </row>
    <row r="350" spans="1:6" ht="20.25" customHeight="1">
      <c r="A350" s="879">
        <v>12</v>
      </c>
      <c r="B350" s="880" t="s">
        <v>1457</v>
      </c>
      <c r="C350" s="884" t="s">
        <v>4368</v>
      </c>
      <c r="D350" s="882">
        <v>20</v>
      </c>
      <c r="E350" s="882" t="s">
        <v>1746</v>
      </c>
      <c r="F350" s="879">
        <f t="shared" si="17"/>
        <v>240</v>
      </c>
    </row>
    <row r="351" spans="1:6" ht="20.25" customHeight="1">
      <c r="A351" s="879">
        <v>3</v>
      </c>
      <c r="B351" s="880" t="s">
        <v>1457</v>
      </c>
      <c r="C351" s="884" t="s">
        <v>4369</v>
      </c>
      <c r="D351" s="882">
        <v>280</v>
      </c>
      <c r="E351" s="882" t="s">
        <v>1746</v>
      </c>
      <c r="F351" s="879">
        <f t="shared" si="17"/>
        <v>840</v>
      </c>
    </row>
    <row r="352" spans="1:6" ht="20.25" customHeight="1">
      <c r="A352" s="879">
        <v>3</v>
      </c>
      <c r="B352" s="880" t="s">
        <v>1457</v>
      </c>
      <c r="C352" s="884" t="s">
        <v>5271</v>
      </c>
      <c r="D352" s="882">
        <v>35</v>
      </c>
      <c r="E352" s="882" t="s">
        <v>1746</v>
      </c>
      <c r="F352" s="879">
        <f t="shared" si="17"/>
        <v>105</v>
      </c>
    </row>
    <row r="353" spans="1:6" ht="20.25" customHeight="1">
      <c r="A353" s="879">
        <v>5</v>
      </c>
      <c r="B353" s="880" t="s">
        <v>3516</v>
      </c>
      <c r="C353" s="884" t="s">
        <v>5396</v>
      </c>
      <c r="D353" s="882">
        <v>9.8000000000000007</v>
      </c>
      <c r="E353" s="885" t="s">
        <v>3516</v>
      </c>
      <c r="F353" s="879">
        <f t="shared" si="17"/>
        <v>49</v>
      </c>
    </row>
    <row r="354" spans="1:6" ht="20.25" customHeight="1">
      <c r="A354" s="879">
        <v>121.62</v>
      </c>
      <c r="B354" s="880" t="s">
        <v>929</v>
      </c>
      <c r="C354" s="884" t="s">
        <v>5272</v>
      </c>
      <c r="D354" s="882">
        <v>47.8</v>
      </c>
      <c r="E354" s="885" t="s">
        <v>929</v>
      </c>
      <c r="F354" s="879">
        <f t="shared" si="17"/>
        <v>5813.44</v>
      </c>
    </row>
    <row r="355" spans="1:6" ht="20.25" customHeight="1">
      <c r="A355" s="879">
        <v>52.8</v>
      </c>
      <c r="B355" s="880" t="s">
        <v>929</v>
      </c>
      <c r="C355" s="884" t="s">
        <v>5273</v>
      </c>
      <c r="D355" s="882">
        <v>47.8</v>
      </c>
      <c r="E355" s="885" t="s">
        <v>929</v>
      </c>
      <c r="F355" s="879">
        <f t="shared" si="17"/>
        <v>2523.84</v>
      </c>
    </row>
    <row r="356" spans="1:6" ht="20.25" customHeight="1">
      <c r="A356" s="879">
        <v>11</v>
      </c>
      <c r="B356" s="880" t="s">
        <v>1457</v>
      </c>
      <c r="C356" s="884" t="s">
        <v>5397</v>
      </c>
      <c r="D356" s="882">
        <v>456</v>
      </c>
      <c r="E356" s="885" t="s">
        <v>1746</v>
      </c>
      <c r="F356" s="879">
        <f t="shared" si="17"/>
        <v>5016</v>
      </c>
    </row>
    <row r="357" spans="1:6" ht="20.25" customHeight="1">
      <c r="A357" s="879">
        <v>189</v>
      </c>
      <c r="B357" s="880" t="s">
        <v>4371</v>
      </c>
      <c r="C357" s="884" t="s">
        <v>4372</v>
      </c>
      <c r="D357" s="882">
        <v>10</v>
      </c>
      <c r="E357" s="885" t="s">
        <v>4373</v>
      </c>
      <c r="F357" s="879">
        <f t="shared" si="17"/>
        <v>1890</v>
      </c>
    </row>
    <row r="358" spans="1:6" ht="20.25" customHeight="1">
      <c r="A358" s="879"/>
      <c r="B358" s="880"/>
      <c r="C358" s="884" t="s">
        <v>4376</v>
      </c>
      <c r="D358" s="882"/>
      <c r="E358" s="882"/>
      <c r="F358" s="879">
        <v>200</v>
      </c>
    </row>
    <row r="359" spans="1:6" ht="20.25" customHeight="1">
      <c r="A359" s="879"/>
      <c r="B359" s="880"/>
      <c r="C359" s="884"/>
      <c r="D359" s="882"/>
      <c r="E359" s="882"/>
      <c r="F359" s="886">
        <f>SUM(F318:F358)</f>
        <v>109561.51</v>
      </c>
    </row>
    <row r="360" spans="1:6" ht="20.25" customHeight="1">
      <c r="A360" s="879"/>
      <c r="B360" s="880"/>
      <c r="C360" s="884" t="s">
        <v>4377</v>
      </c>
      <c r="D360" s="882"/>
      <c r="E360" s="882"/>
      <c r="F360" s="879">
        <f>F359*2/100</f>
        <v>2191.23</v>
      </c>
    </row>
    <row r="361" spans="1:6" ht="20.25" customHeight="1">
      <c r="A361" s="879"/>
      <c r="B361" s="880"/>
      <c r="C361" s="884"/>
      <c r="D361" s="882"/>
      <c r="E361" s="882"/>
      <c r="F361" s="886">
        <f>SUM(F359:F360)</f>
        <v>111752.74</v>
      </c>
    </row>
    <row r="362" spans="1:6" ht="20.25" customHeight="1">
      <c r="A362" s="879"/>
      <c r="B362" s="880"/>
      <c r="C362" s="884" t="s">
        <v>4379</v>
      </c>
      <c r="D362" s="882"/>
      <c r="E362" s="882"/>
      <c r="F362" s="879">
        <v>2000</v>
      </c>
    </row>
    <row r="363" spans="1:6" ht="20.25" customHeight="1">
      <c r="A363" s="879"/>
      <c r="B363" s="880"/>
      <c r="C363" s="884" t="s">
        <v>4380</v>
      </c>
      <c r="D363" s="882"/>
      <c r="E363" s="882"/>
      <c r="F363" s="879">
        <v>3000</v>
      </c>
    </row>
    <row r="364" spans="1:6" ht="20.25" customHeight="1">
      <c r="A364" s="879"/>
      <c r="B364" s="880"/>
      <c r="C364" s="884"/>
      <c r="D364" s="882"/>
      <c r="E364" s="882"/>
      <c r="F364" s="886">
        <f>SUM(F361:F363)</f>
        <v>116752.74</v>
      </c>
    </row>
    <row r="365" spans="1:6" ht="20.25" customHeight="1">
      <c r="A365" s="930"/>
      <c r="B365" s="929"/>
      <c r="C365" s="884"/>
      <c r="D365" s="882"/>
      <c r="E365" s="881" t="s">
        <v>5265</v>
      </c>
      <c r="F365" s="931">
        <v>114783</v>
      </c>
    </row>
    <row r="366" spans="1:6" ht="20.25" customHeight="1">
      <c r="A366" s="879"/>
      <c r="B366" s="880"/>
      <c r="C366" s="884"/>
      <c r="D366" s="879"/>
      <c r="E366" s="882"/>
      <c r="F366" s="886"/>
    </row>
    <row r="367" spans="1:6" ht="20.25" customHeight="1">
      <c r="A367" s="890"/>
      <c r="B367" s="891"/>
      <c r="C367" s="892" t="s">
        <v>5318</v>
      </c>
      <c r="D367" s="893"/>
      <c r="E367" s="894"/>
      <c r="F367" s="895"/>
    </row>
    <row r="368" spans="1:6" ht="20.25" customHeight="1">
      <c r="A368" s="890"/>
      <c r="B368" s="891"/>
      <c r="C368" s="896" t="s">
        <v>5401</v>
      </c>
      <c r="D368" s="893"/>
      <c r="E368" s="894"/>
      <c r="F368" s="890"/>
    </row>
    <row r="369" spans="1:6" ht="20.25" customHeight="1">
      <c r="A369" s="890"/>
      <c r="B369" s="891"/>
      <c r="C369" s="897" t="s">
        <v>4326</v>
      </c>
      <c r="D369" s="893"/>
      <c r="E369" s="894"/>
      <c r="F369" s="890"/>
    </row>
    <row r="370" spans="1:6" ht="20.25" customHeight="1">
      <c r="A370" s="890"/>
      <c r="B370" s="891"/>
      <c r="C370" s="896" t="s">
        <v>5402</v>
      </c>
      <c r="D370" s="898">
        <f>4.5*6.42*2</f>
        <v>57.78</v>
      </c>
      <c r="E370" s="899"/>
      <c r="F370" s="900"/>
    </row>
    <row r="371" spans="1:6" ht="20.25" customHeight="1">
      <c r="A371" s="890"/>
      <c r="B371" s="891"/>
      <c r="C371" s="896" t="s">
        <v>5403</v>
      </c>
      <c r="D371" s="898">
        <f>4.5*1*2</f>
        <v>9</v>
      </c>
      <c r="E371" s="899">
        <f>5/12</f>
        <v>0.42</v>
      </c>
      <c r="F371" s="900"/>
    </row>
    <row r="372" spans="1:6" ht="20.25" customHeight="1">
      <c r="A372" s="890"/>
      <c r="B372" s="891"/>
      <c r="C372" s="896" t="s">
        <v>5333</v>
      </c>
      <c r="D372" s="898">
        <f>4.5*1*2</f>
        <v>9</v>
      </c>
      <c r="E372" s="899"/>
      <c r="F372" s="900"/>
    </row>
    <row r="373" spans="1:6" ht="20.25" customHeight="1">
      <c r="A373" s="890"/>
      <c r="B373" s="891"/>
      <c r="C373" s="896" t="s">
        <v>5042</v>
      </c>
      <c r="D373" s="898">
        <f>6.42*1*2</f>
        <v>12.84</v>
      </c>
      <c r="E373" s="899"/>
      <c r="F373" s="900"/>
    </row>
    <row r="374" spans="1:6" ht="20.25" customHeight="1">
      <c r="A374" s="890"/>
      <c r="B374" s="891"/>
      <c r="C374" s="896" t="s">
        <v>5041</v>
      </c>
      <c r="D374" s="898">
        <f>SUM(D370:D373)</f>
        <v>88.62</v>
      </c>
      <c r="E374" s="899"/>
      <c r="F374" s="900"/>
    </row>
    <row r="375" spans="1:6" ht="20.25" customHeight="1">
      <c r="A375" s="890"/>
      <c r="B375" s="891"/>
      <c r="C375" s="897"/>
      <c r="D375" s="898">
        <f>D374*10%</f>
        <v>8.86</v>
      </c>
      <c r="E375" s="899"/>
      <c r="F375" s="900"/>
    </row>
    <row r="376" spans="1:6" ht="20.25" customHeight="1">
      <c r="A376" s="890"/>
      <c r="B376" s="891"/>
      <c r="C376" s="896" t="s">
        <v>5040</v>
      </c>
      <c r="D376" s="898">
        <f>SUM(D374:D375)</f>
        <v>97.48</v>
      </c>
      <c r="E376" s="899"/>
      <c r="F376" s="900"/>
    </row>
    <row r="377" spans="1:6" ht="20.25" customHeight="1">
      <c r="A377" s="901"/>
      <c r="B377" s="891"/>
      <c r="C377" s="897" t="s">
        <v>5039</v>
      </c>
      <c r="D377" s="898">
        <f>D376*1.17</f>
        <v>114.05</v>
      </c>
      <c r="E377" s="899"/>
      <c r="F377" s="900"/>
    </row>
    <row r="378" spans="1:6" ht="20.25" customHeight="1">
      <c r="A378" s="890"/>
      <c r="B378" s="891"/>
      <c r="C378" s="896" t="s">
        <v>5412</v>
      </c>
      <c r="D378" s="893"/>
      <c r="E378" s="894"/>
      <c r="F378" s="890"/>
    </row>
    <row r="379" spans="1:6" ht="20.25" customHeight="1">
      <c r="A379" s="890"/>
      <c r="B379" s="891"/>
      <c r="C379" s="896"/>
      <c r="D379" s="893"/>
      <c r="E379" s="894"/>
      <c r="F379" s="890"/>
    </row>
    <row r="380" spans="1:6" ht="20.25" customHeight="1">
      <c r="A380" s="890">
        <v>46.33</v>
      </c>
      <c r="B380" s="891" t="s">
        <v>929</v>
      </c>
      <c r="C380" s="896" t="s">
        <v>5320</v>
      </c>
      <c r="D380" s="893">
        <v>51.4</v>
      </c>
      <c r="E380" s="894" t="s">
        <v>929</v>
      </c>
      <c r="F380" s="890">
        <f>D380*A380</f>
        <v>2381.36</v>
      </c>
    </row>
    <row r="381" spans="1:6" ht="20.25" customHeight="1">
      <c r="A381" s="901"/>
      <c r="B381" s="891"/>
      <c r="C381" s="897" t="s">
        <v>4335</v>
      </c>
      <c r="D381" s="893"/>
      <c r="E381" s="894"/>
      <c r="F381" s="890">
        <f t="shared" ref="F381:F418" si="18">D381*A381</f>
        <v>0</v>
      </c>
    </row>
    <row r="382" spans="1:6" ht="20.25" customHeight="1">
      <c r="A382" s="890"/>
      <c r="B382" s="891"/>
      <c r="C382" s="896" t="s">
        <v>4336</v>
      </c>
      <c r="D382" s="893"/>
      <c r="E382" s="894"/>
      <c r="F382" s="890">
        <f t="shared" si="18"/>
        <v>0</v>
      </c>
    </row>
    <row r="383" spans="1:6" ht="20.25" customHeight="1">
      <c r="A383" s="890"/>
      <c r="B383" s="891"/>
      <c r="C383" s="896" t="s">
        <v>5038</v>
      </c>
      <c r="D383" s="893"/>
      <c r="E383" s="894"/>
      <c r="F383" s="890">
        <f t="shared" si="18"/>
        <v>0</v>
      </c>
    </row>
    <row r="384" spans="1:6" ht="20.25" customHeight="1">
      <c r="A384" s="890"/>
      <c r="B384" s="891"/>
      <c r="C384" s="896" t="s">
        <v>4338</v>
      </c>
      <c r="D384" s="893"/>
      <c r="E384" s="894"/>
      <c r="F384" s="890">
        <f t="shared" si="18"/>
        <v>0</v>
      </c>
    </row>
    <row r="385" spans="1:6" ht="20.25" customHeight="1">
      <c r="A385" s="890"/>
      <c r="B385" s="891"/>
      <c r="C385" s="896" t="s">
        <v>5037</v>
      </c>
      <c r="D385" s="893"/>
      <c r="E385" s="894"/>
      <c r="F385" s="890">
        <f t="shared" si="18"/>
        <v>0</v>
      </c>
    </row>
    <row r="386" spans="1:6" ht="20.25" customHeight="1">
      <c r="A386" s="890"/>
      <c r="B386" s="891"/>
      <c r="C386" s="896" t="s">
        <v>5036</v>
      </c>
      <c r="D386" s="893"/>
      <c r="E386" s="894"/>
      <c r="F386" s="890">
        <f t="shared" si="18"/>
        <v>0</v>
      </c>
    </row>
    <row r="387" spans="1:6" ht="20.25" customHeight="1">
      <c r="A387" s="890"/>
      <c r="B387" s="891"/>
      <c r="C387" s="896" t="s">
        <v>5035</v>
      </c>
      <c r="D387" s="893"/>
      <c r="E387" s="894"/>
      <c r="F387" s="890">
        <f t="shared" si="18"/>
        <v>0</v>
      </c>
    </row>
    <row r="388" spans="1:6" ht="20.25" customHeight="1">
      <c r="A388" s="890"/>
      <c r="B388" s="891"/>
      <c r="C388" s="896" t="s">
        <v>5034</v>
      </c>
      <c r="D388" s="893"/>
      <c r="E388" s="894"/>
      <c r="F388" s="890">
        <f t="shared" si="18"/>
        <v>0</v>
      </c>
    </row>
    <row r="389" spans="1:6" ht="20.25" customHeight="1">
      <c r="A389" s="890">
        <v>29.4</v>
      </c>
      <c r="B389" s="891" t="s">
        <v>929</v>
      </c>
      <c r="C389" s="896" t="s">
        <v>5321</v>
      </c>
      <c r="D389" s="893">
        <f>D380</f>
        <v>51.4</v>
      </c>
      <c r="E389" s="894" t="s">
        <v>929</v>
      </c>
      <c r="F389" s="890">
        <f t="shared" si="18"/>
        <v>1511.16</v>
      </c>
    </row>
    <row r="390" spans="1:6" ht="20.25" customHeight="1">
      <c r="A390" s="890"/>
      <c r="B390" s="891"/>
      <c r="C390" s="897" t="s">
        <v>4344</v>
      </c>
      <c r="D390" s="893"/>
      <c r="E390" s="894"/>
      <c r="F390" s="890">
        <f t="shared" si="18"/>
        <v>0</v>
      </c>
    </row>
    <row r="391" spans="1:6" ht="20.25" customHeight="1">
      <c r="A391" s="890"/>
      <c r="B391" s="891"/>
      <c r="C391" s="896" t="s">
        <v>4345</v>
      </c>
      <c r="D391" s="893"/>
      <c r="E391" s="894"/>
      <c r="F391" s="890">
        <f t="shared" si="18"/>
        <v>0</v>
      </c>
    </row>
    <row r="392" spans="1:6" ht="20.25" customHeight="1">
      <c r="A392" s="890"/>
      <c r="B392" s="891"/>
      <c r="C392" s="896" t="s">
        <v>4346</v>
      </c>
      <c r="D392" s="893"/>
      <c r="E392" s="894"/>
      <c r="F392" s="890">
        <f t="shared" si="18"/>
        <v>0</v>
      </c>
    </row>
    <row r="393" spans="1:6" ht="20.25" customHeight="1">
      <c r="A393" s="890"/>
      <c r="B393" s="891"/>
      <c r="C393" s="896" t="s">
        <v>5322</v>
      </c>
      <c r="D393" s="893"/>
      <c r="E393" s="894"/>
      <c r="F393" s="890">
        <f t="shared" si="18"/>
        <v>0</v>
      </c>
    </row>
    <row r="394" spans="1:6" ht="20.25" customHeight="1">
      <c r="A394" s="890"/>
      <c r="B394" s="891"/>
      <c r="C394" s="896" t="s">
        <v>4348</v>
      </c>
      <c r="D394" s="893"/>
      <c r="E394" s="894"/>
      <c r="F394" s="890">
        <f t="shared" si="18"/>
        <v>0</v>
      </c>
    </row>
    <row r="395" spans="1:6" ht="20.25" customHeight="1">
      <c r="A395" s="890"/>
      <c r="B395" s="891"/>
      <c r="C395" s="896" t="s">
        <v>4349</v>
      </c>
      <c r="D395" s="893"/>
      <c r="E395" s="894"/>
      <c r="F395" s="890">
        <f t="shared" si="18"/>
        <v>0</v>
      </c>
    </row>
    <row r="396" spans="1:6" ht="20.25" customHeight="1">
      <c r="A396" s="890"/>
      <c r="B396" s="891"/>
      <c r="C396" s="896" t="s">
        <v>4350</v>
      </c>
      <c r="D396" s="893"/>
      <c r="E396" s="894"/>
      <c r="F396" s="890">
        <f t="shared" si="18"/>
        <v>0</v>
      </c>
    </row>
    <row r="397" spans="1:6" ht="20.25" customHeight="1">
      <c r="A397" s="890"/>
      <c r="B397" s="891"/>
      <c r="C397" s="896" t="s">
        <v>5323</v>
      </c>
      <c r="D397" s="893"/>
      <c r="E397" s="894"/>
      <c r="F397" s="890">
        <f t="shared" si="18"/>
        <v>0</v>
      </c>
    </row>
    <row r="398" spans="1:6" ht="20.25" customHeight="1">
      <c r="A398" s="890"/>
      <c r="B398" s="891"/>
      <c r="C398" s="896" t="s">
        <v>4352</v>
      </c>
      <c r="D398" s="893"/>
      <c r="E398" s="894"/>
      <c r="F398" s="890">
        <f t="shared" si="18"/>
        <v>0</v>
      </c>
    </row>
    <row r="399" spans="1:6" ht="20.25" customHeight="1">
      <c r="A399" s="890"/>
      <c r="B399" s="891"/>
      <c r="C399" s="896" t="s">
        <v>4353</v>
      </c>
      <c r="D399" s="893"/>
      <c r="E399" s="894"/>
      <c r="F399" s="890">
        <f t="shared" si="18"/>
        <v>0</v>
      </c>
    </row>
    <row r="400" spans="1:6" ht="20.25" customHeight="1">
      <c r="A400" s="890"/>
      <c r="B400" s="891"/>
      <c r="C400" s="896" t="s">
        <v>4354</v>
      </c>
      <c r="D400" s="893"/>
      <c r="E400" s="894"/>
      <c r="F400" s="890">
        <f t="shared" si="18"/>
        <v>0</v>
      </c>
    </row>
    <row r="401" spans="1:6" ht="20.25" customHeight="1">
      <c r="A401" s="890"/>
      <c r="B401" s="891"/>
      <c r="C401" s="896"/>
      <c r="D401" s="893"/>
      <c r="E401" s="894"/>
      <c r="F401" s="890">
        <f t="shared" si="18"/>
        <v>0</v>
      </c>
    </row>
    <row r="402" spans="1:6" ht="20.25" customHeight="1">
      <c r="A402" s="890"/>
      <c r="B402" s="891"/>
      <c r="C402" s="896" t="s">
        <v>5324</v>
      </c>
      <c r="D402" s="893"/>
      <c r="E402" s="894"/>
      <c r="F402" s="890">
        <f t="shared" si="18"/>
        <v>0</v>
      </c>
    </row>
    <row r="403" spans="1:6" ht="20.25" customHeight="1">
      <c r="A403" s="890"/>
      <c r="B403" s="891"/>
      <c r="C403" s="896"/>
      <c r="D403" s="893"/>
      <c r="E403" s="894"/>
      <c r="F403" s="890">
        <f t="shared" si="18"/>
        <v>0</v>
      </c>
    </row>
    <row r="404" spans="1:6" ht="20.25" customHeight="1">
      <c r="A404" s="890">
        <v>10.08</v>
      </c>
      <c r="B404" s="891" t="s">
        <v>929</v>
      </c>
      <c r="C404" s="896" t="s">
        <v>5325</v>
      </c>
      <c r="D404" s="893">
        <v>526</v>
      </c>
      <c r="E404" s="894" t="s">
        <v>929</v>
      </c>
      <c r="F404" s="890">
        <f t="shared" si="18"/>
        <v>5302.08</v>
      </c>
    </row>
    <row r="405" spans="1:6" ht="20.25" customHeight="1">
      <c r="A405" s="890">
        <f>A404</f>
        <v>10.08</v>
      </c>
      <c r="B405" s="891" t="s">
        <v>929</v>
      </c>
      <c r="C405" s="896" t="s">
        <v>5326</v>
      </c>
      <c r="D405" s="893">
        <v>10</v>
      </c>
      <c r="E405" s="894" t="s">
        <v>929</v>
      </c>
      <c r="F405" s="890">
        <f t="shared" si="18"/>
        <v>100.8</v>
      </c>
    </row>
    <row r="406" spans="1:6" ht="20.25" customHeight="1">
      <c r="A406" s="879">
        <v>438</v>
      </c>
      <c r="B406" s="880" t="s">
        <v>4363</v>
      </c>
      <c r="C406" s="884" t="s">
        <v>4364</v>
      </c>
      <c r="D406" s="879">
        <v>1</v>
      </c>
      <c r="E406" s="882" t="s">
        <v>4363</v>
      </c>
      <c r="F406" s="890">
        <f t="shared" si="18"/>
        <v>438</v>
      </c>
    </row>
    <row r="407" spans="1:6" ht="20.25" customHeight="1">
      <c r="A407" s="879">
        <v>2</v>
      </c>
      <c r="B407" s="880" t="s">
        <v>1419</v>
      </c>
      <c r="C407" s="884" t="s">
        <v>5404</v>
      </c>
      <c r="D407" s="879">
        <f>9355+893+404</f>
        <v>10652</v>
      </c>
      <c r="E407" s="882" t="str">
        <f>B407</f>
        <v>No</v>
      </c>
      <c r="F407" s="890">
        <f t="shared" si="18"/>
        <v>21304</v>
      </c>
    </row>
    <row r="408" spans="1:6" ht="20.25" customHeight="1">
      <c r="A408" s="879">
        <v>1</v>
      </c>
      <c r="B408" s="880" t="s">
        <v>1419</v>
      </c>
      <c r="C408" s="884" t="s">
        <v>5408</v>
      </c>
      <c r="D408" s="879">
        <v>9798</v>
      </c>
      <c r="E408" s="882" t="str">
        <f>B408</f>
        <v>No</v>
      </c>
      <c r="F408" s="890">
        <f t="shared" si="18"/>
        <v>9798</v>
      </c>
    </row>
    <row r="409" spans="1:6" ht="20.25" customHeight="1">
      <c r="A409" s="879">
        <v>1</v>
      </c>
      <c r="B409" s="880" t="s">
        <v>1419</v>
      </c>
      <c r="C409" s="884" t="s">
        <v>5409</v>
      </c>
      <c r="D409" s="879">
        <f>6195+235</f>
        <v>6430</v>
      </c>
      <c r="E409" s="882" t="str">
        <f>B409</f>
        <v>No</v>
      </c>
      <c r="F409" s="890">
        <f t="shared" si="18"/>
        <v>6430</v>
      </c>
    </row>
    <row r="410" spans="1:6" ht="20.25" customHeight="1">
      <c r="A410" s="888">
        <v>0.86399999999999999</v>
      </c>
      <c r="B410" s="880" t="s">
        <v>2322</v>
      </c>
      <c r="C410" s="884" t="str">
        <f>C287</f>
        <v>Cost of hylum sheet 6mm [SR 2020-21 / P.129]</v>
      </c>
      <c r="D410" s="879">
        <f>D287</f>
        <v>1322</v>
      </c>
      <c r="E410" s="882" t="s">
        <v>2322</v>
      </c>
      <c r="F410" s="890">
        <f t="shared" si="18"/>
        <v>1142.21</v>
      </c>
    </row>
    <row r="411" spans="1:6" ht="20.25" customHeight="1">
      <c r="A411" s="879">
        <v>12</v>
      </c>
      <c r="B411" s="880" t="s">
        <v>1419</v>
      </c>
      <c r="C411" s="884" t="s">
        <v>4368</v>
      </c>
      <c r="D411" s="879">
        <f>D288</f>
        <v>20</v>
      </c>
      <c r="E411" s="882" t="s">
        <v>1419</v>
      </c>
      <c r="F411" s="890">
        <f t="shared" si="18"/>
        <v>240</v>
      </c>
    </row>
    <row r="412" spans="1:6" ht="20.25" customHeight="1">
      <c r="A412" s="879">
        <v>3</v>
      </c>
      <c r="B412" s="880" t="s">
        <v>147</v>
      </c>
      <c r="C412" s="884" t="s">
        <v>4369</v>
      </c>
      <c r="D412" s="879">
        <f>D289</f>
        <v>280</v>
      </c>
      <c r="E412" s="882" t="s">
        <v>147</v>
      </c>
      <c r="F412" s="890">
        <f t="shared" si="18"/>
        <v>840</v>
      </c>
    </row>
    <row r="413" spans="1:6" ht="20.25" customHeight="1">
      <c r="A413" s="879">
        <v>3</v>
      </c>
      <c r="B413" s="880" t="s">
        <v>1419</v>
      </c>
      <c r="C413" s="1052" t="str">
        <f>C290</f>
        <v>16A fuse units [SR 2022-23 / P.120]</v>
      </c>
      <c r="D413" s="879">
        <f>D290</f>
        <v>48.05</v>
      </c>
      <c r="E413" s="882" t="str">
        <f>B413</f>
        <v>No</v>
      </c>
      <c r="F413" s="890">
        <f t="shared" si="18"/>
        <v>144.15</v>
      </c>
    </row>
    <row r="414" spans="1:6" ht="20.25" customHeight="1">
      <c r="A414" s="879">
        <v>5</v>
      </c>
      <c r="B414" s="880" t="s">
        <v>842</v>
      </c>
      <c r="C414" s="879" t="str">
        <f>C291</f>
        <v>1 sqmm PVC copper cable [SR 2022-23 / P.125]</v>
      </c>
      <c r="D414" s="879">
        <f>D291</f>
        <v>10.45</v>
      </c>
      <c r="E414" s="882" t="str">
        <f>B414</f>
        <v>Rmt</v>
      </c>
      <c r="F414" s="890">
        <f t="shared" si="18"/>
        <v>52.25</v>
      </c>
    </row>
    <row r="415" spans="1:6" ht="20.25" customHeight="1">
      <c r="A415" s="879">
        <v>46.33</v>
      </c>
      <c r="B415" s="880" t="s">
        <v>1676</v>
      </c>
      <c r="C415" s="1052" t="str">
        <f>C292</f>
        <v>MS sheet fabrication charges [SR 2022-23 / P.29]</v>
      </c>
      <c r="D415" s="879">
        <f>D292</f>
        <v>52.5</v>
      </c>
      <c r="E415" s="882" t="str">
        <f>B415</f>
        <v>Kg</v>
      </c>
      <c r="F415" s="890">
        <f t="shared" si="18"/>
        <v>2432.33</v>
      </c>
    </row>
    <row r="416" spans="1:6" ht="20.25" customHeight="1">
      <c r="A416" s="879">
        <v>29.4</v>
      </c>
      <c r="B416" s="880" t="s">
        <v>1676</v>
      </c>
      <c r="C416" s="1052" t="str">
        <f>C293</f>
        <v>Angle iron fabrication charges [SR 2022-23 / P.34]</v>
      </c>
      <c r="D416" s="879">
        <f>D415</f>
        <v>52.5</v>
      </c>
      <c r="E416" s="882" t="str">
        <f>B416</f>
        <v>Kg</v>
      </c>
      <c r="F416" s="890">
        <f t="shared" si="18"/>
        <v>1543.5</v>
      </c>
    </row>
    <row r="417" spans="1:6" ht="20.25" customHeight="1">
      <c r="A417" s="879">
        <v>4</v>
      </c>
      <c r="B417" s="880" t="s">
        <v>1457</v>
      </c>
      <c r="C417" s="1052" t="str">
        <f>C294</f>
        <v>MCB / Pilot lamp fixing charges vide SD - 141</v>
      </c>
      <c r="D417" s="879">
        <f>D294</f>
        <v>501.25</v>
      </c>
      <c r="E417" s="885" t="s">
        <v>1746</v>
      </c>
      <c r="F417" s="890">
        <f t="shared" si="18"/>
        <v>2005</v>
      </c>
    </row>
    <row r="418" spans="1:6" ht="20.25" customHeight="1">
      <c r="A418" s="879">
        <v>72</v>
      </c>
      <c r="B418" s="880" t="s">
        <v>5018</v>
      </c>
      <c r="C418" s="884" t="s">
        <v>5019</v>
      </c>
      <c r="D418" s="879">
        <v>10</v>
      </c>
      <c r="E418" s="882" t="s">
        <v>5020</v>
      </c>
      <c r="F418" s="890">
        <f t="shared" si="18"/>
        <v>720</v>
      </c>
    </row>
    <row r="419" spans="1:6" ht="20.25" customHeight="1">
      <c r="A419" s="890"/>
      <c r="B419" s="891"/>
      <c r="C419" s="896" t="s">
        <v>4376</v>
      </c>
      <c r="D419" s="893"/>
      <c r="E419" s="894"/>
      <c r="F419" s="890">
        <v>200</v>
      </c>
    </row>
    <row r="420" spans="1:6" ht="20.25" customHeight="1">
      <c r="A420" s="890"/>
      <c r="B420" s="891"/>
      <c r="C420" s="896"/>
      <c r="D420" s="893" t="s">
        <v>2284</v>
      </c>
      <c r="E420" s="894"/>
      <c r="F420" s="895">
        <f>SUM(F380:F419)</f>
        <v>56584.84</v>
      </c>
    </row>
    <row r="421" spans="1:6" ht="20.25" customHeight="1">
      <c r="A421" s="890"/>
      <c r="B421" s="891"/>
      <c r="C421" s="896" t="s">
        <v>4377</v>
      </c>
      <c r="D421" s="893"/>
      <c r="E421" s="894"/>
      <c r="F421" s="890">
        <f>F420*2/100</f>
        <v>1131.7</v>
      </c>
    </row>
    <row r="422" spans="1:6" ht="20.25" customHeight="1">
      <c r="A422" s="890"/>
      <c r="B422" s="891"/>
      <c r="C422" s="896"/>
      <c r="D422" s="893"/>
      <c r="E422" s="894"/>
      <c r="F422" s="895">
        <f>SUM(F420:F421)</f>
        <v>57716.54</v>
      </c>
    </row>
    <row r="423" spans="1:6" ht="20.25" customHeight="1">
      <c r="A423" s="879"/>
      <c r="B423" s="880"/>
      <c r="C423" s="884" t="s">
        <v>4379</v>
      </c>
      <c r="D423" s="882"/>
      <c r="E423" s="882"/>
      <c r="F423" s="879">
        <v>1000</v>
      </c>
    </row>
    <row r="424" spans="1:6" ht="20.25" customHeight="1">
      <c r="A424" s="879"/>
      <c r="B424" s="880"/>
      <c r="C424" s="884" t="s">
        <v>4380</v>
      </c>
      <c r="D424" s="882"/>
      <c r="E424" s="882"/>
      <c r="F424" s="879">
        <v>1000</v>
      </c>
    </row>
    <row r="425" spans="1:6" ht="20.25" customHeight="1">
      <c r="A425" s="879"/>
      <c r="B425" s="880"/>
      <c r="C425" s="884"/>
      <c r="D425" s="882"/>
      <c r="E425" s="882"/>
      <c r="F425" s="886">
        <f>SUM(F422:F424)</f>
        <v>59716.54</v>
      </c>
    </row>
    <row r="426" spans="1:6" ht="20.25" customHeight="1">
      <c r="A426" s="930"/>
      <c r="B426" s="929"/>
      <c r="C426" s="884"/>
      <c r="D426" s="882"/>
      <c r="E426" s="881" t="s">
        <v>5265</v>
      </c>
      <c r="F426" s="931">
        <v>58902</v>
      </c>
    </row>
    <row r="427" spans="1:6" ht="20.25" customHeight="1">
      <c r="A427" s="890"/>
      <c r="B427" s="891"/>
      <c r="C427" s="896"/>
      <c r="D427" s="893"/>
      <c r="E427" s="894"/>
      <c r="F427" s="895"/>
    </row>
    <row r="428" spans="1:6" ht="20.25" customHeight="1">
      <c r="D428" s="1557"/>
      <c r="E428" s="1557"/>
      <c r="F428" s="1557"/>
    </row>
    <row r="430" spans="1:6" ht="20.25" customHeight="1">
      <c r="A430" s="890"/>
      <c r="B430" s="891"/>
      <c r="C430" s="892" t="s">
        <v>5413</v>
      </c>
      <c r="D430" s="893"/>
      <c r="E430" s="894"/>
      <c r="F430" s="895"/>
    </row>
    <row r="431" spans="1:6" ht="20.25" customHeight="1">
      <c r="A431" s="890"/>
      <c r="B431" s="891"/>
      <c r="C431" s="896" t="s">
        <v>5414</v>
      </c>
      <c r="D431" s="893"/>
      <c r="E431" s="894"/>
      <c r="F431" s="890"/>
    </row>
    <row r="432" spans="1:6" ht="20.25" customHeight="1">
      <c r="A432" s="890"/>
      <c r="B432" s="891"/>
      <c r="C432" s="897" t="s">
        <v>4326</v>
      </c>
      <c r="D432" s="893"/>
      <c r="E432" s="894"/>
      <c r="F432" s="890"/>
    </row>
    <row r="433" spans="1:6" ht="20.25" customHeight="1">
      <c r="A433" s="890"/>
      <c r="B433" s="891"/>
      <c r="C433" s="896" t="s">
        <v>5416</v>
      </c>
      <c r="D433" s="898">
        <f>4.5*6.42*2</f>
        <v>57.78</v>
      </c>
      <c r="E433" s="899"/>
      <c r="F433" s="900"/>
    </row>
    <row r="434" spans="1:6" ht="20.25" customHeight="1">
      <c r="A434" s="890"/>
      <c r="B434" s="891"/>
      <c r="C434" s="896" t="s">
        <v>5417</v>
      </c>
      <c r="D434" s="898">
        <f>4.5*1*2</f>
        <v>9</v>
      </c>
      <c r="E434" s="899">
        <f>5/12</f>
        <v>0.42</v>
      </c>
      <c r="F434" s="900"/>
    </row>
    <row r="435" spans="1:6" ht="20.25" customHeight="1">
      <c r="A435" s="890"/>
      <c r="B435" s="891"/>
      <c r="C435" s="896" t="s">
        <v>5418</v>
      </c>
      <c r="D435" s="898">
        <f>4.5*1*2</f>
        <v>9</v>
      </c>
      <c r="E435" s="899"/>
      <c r="F435" s="900"/>
    </row>
    <row r="436" spans="1:6" ht="20.25" customHeight="1">
      <c r="A436" s="890"/>
      <c r="B436" s="891"/>
      <c r="C436" s="896" t="s">
        <v>5419</v>
      </c>
      <c r="D436" s="898">
        <f>6.42*1*2</f>
        <v>12.84</v>
      </c>
      <c r="E436" s="899"/>
      <c r="F436" s="900"/>
    </row>
    <row r="437" spans="1:6" ht="20.25" customHeight="1">
      <c r="A437" s="890"/>
      <c r="B437" s="891"/>
      <c r="C437" s="896" t="s">
        <v>5420</v>
      </c>
      <c r="D437" s="898">
        <f>SUM(D433:D436)</f>
        <v>88.62</v>
      </c>
      <c r="E437" s="899"/>
      <c r="F437" s="900"/>
    </row>
    <row r="438" spans="1:6" ht="20.25" customHeight="1">
      <c r="A438" s="890"/>
      <c r="B438" s="891"/>
      <c r="C438" s="897"/>
      <c r="D438" s="898">
        <f>D437*10%</f>
        <v>8.86</v>
      </c>
      <c r="E438" s="899"/>
      <c r="F438" s="900"/>
    </row>
    <row r="439" spans="1:6" ht="20.25" customHeight="1">
      <c r="A439" s="890"/>
      <c r="B439" s="891"/>
      <c r="C439" s="896" t="s">
        <v>5421</v>
      </c>
      <c r="D439" s="898">
        <f>SUM(D437:D438)</f>
        <v>97.48</v>
      </c>
      <c r="E439" s="899"/>
      <c r="F439" s="900"/>
    </row>
    <row r="440" spans="1:6" ht="20.25" customHeight="1">
      <c r="A440" s="901"/>
      <c r="B440" s="891"/>
      <c r="C440" s="897" t="s">
        <v>5422</v>
      </c>
      <c r="D440" s="898">
        <f>D439*1.17</f>
        <v>114.05</v>
      </c>
      <c r="E440" s="899"/>
      <c r="F440" s="900"/>
    </row>
    <row r="441" spans="1:6" ht="20.25" customHeight="1">
      <c r="A441" s="890"/>
      <c r="B441" s="891"/>
      <c r="C441" s="896" t="s">
        <v>5423</v>
      </c>
      <c r="D441" s="893"/>
      <c r="E441" s="894"/>
      <c r="F441" s="890"/>
    </row>
    <row r="442" spans="1:6" ht="20.25" customHeight="1">
      <c r="A442" s="890"/>
      <c r="B442" s="891"/>
      <c r="C442" s="896"/>
      <c r="D442" s="893"/>
      <c r="E442" s="894"/>
      <c r="F442" s="890"/>
    </row>
    <row r="443" spans="1:6" ht="20.25" customHeight="1">
      <c r="A443" s="890">
        <v>81.099999999999994</v>
      </c>
      <c r="B443" s="891" t="s">
        <v>929</v>
      </c>
      <c r="C443" s="896" t="s">
        <v>5320</v>
      </c>
      <c r="D443" s="893">
        <v>51.4</v>
      </c>
      <c r="E443" s="894" t="s">
        <v>929</v>
      </c>
      <c r="F443" s="890">
        <f>D443*A443</f>
        <v>4168.54</v>
      </c>
    </row>
    <row r="444" spans="1:6" ht="20.25" customHeight="1">
      <c r="A444" s="901"/>
      <c r="B444" s="891"/>
      <c r="C444" s="897" t="s">
        <v>4335</v>
      </c>
      <c r="D444" s="893"/>
      <c r="E444" s="894"/>
      <c r="F444" s="890">
        <f t="shared" ref="F444:F480" si="19">D444*A444</f>
        <v>0</v>
      </c>
    </row>
    <row r="445" spans="1:6" ht="20.25" customHeight="1">
      <c r="A445" s="890"/>
      <c r="B445" s="891"/>
      <c r="C445" s="896" t="s">
        <v>4336</v>
      </c>
      <c r="D445" s="893"/>
      <c r="E445" s="894"/>
      <c r="F445" s="890">
        <f t="shared" si="19"/>
        <v>0</v>
      </c>
    </row>
    <row r="446" spans="1:6" ht="20.25" customHeight="1">
      <c r="A446" s="890"/>
      <c r="B446" s="891"/>
      <c r="C446" s="896" t="s">
        <v>5038</v>
      </c>
      <c r="D446" s="893"/>
      <c r="E446" s="894"/>
      <c r="F446" s="890">
        <f t="shared" si="19"/>
        <v>0</v>
      </c>
    </row>
    <row r="447" spans="1:6" ht="20.25" customHeight="1">
      <c r="A447" s="890"/>
      <c r="B447" s="891"/>
      <c r="C447" s="896" t="s">
        <v>4996</v>
      </c>
      <c r="D447" s="893"/>
      <c r="E447" s="894"/>
      <c r="F447" s="890">
        <f t="shared" si="19"/>
        <v>0</v>
      </c>
    </row>
    <row r="448" spans="1:6" ht="20.25" customHeight="1">
      <c r="A448" s="890"/>
      <c r="B448" s="891"/>
      <c r="C448" s="896" t="s">
        <v>5037</v>
      </c>
      <c r="D448" s="893"/>
      <c r="E448" s="894"/>
      <c r="F448" s="890">
        <f t="shared" si="19"/>
        <v>0</v>
      </c>
    </row>
    <row r="449" spans="1:6" ht="20.25" customHeight="1">
      <c r="A449" s="890"/>
      <c r="B449" s="891"/>
      <c r="C449" s="896" t="s">
        <v>5424</v>
      </c>
      <c r="D449" s="893"/>
      <c r="E449" s="894"/>
      <c r="F449" s="890">
        <f t="shared" si="19"/>
        <v>0</v>
      </c>
    </row>
    <row r="450" spans="1:6" ht="20.25" customHeight="1">
      <c r="A450" s="890"/>
      <c r="B450" s="891"/>
      <c r="C450" s="896" t="s">
        <v>5425</v>
      </c>
      <c r="D450" s="893"/>
      <c r="E450" s="894"/>
      <c r="F450" s="890">
        <f t="shared" si="19"/>
        <v>0</v>
      </c>
    </row>
    <row r="451" spans="1:6" ht="20.25" customHeight="1">
      <c r="A451" s="890"/>
      <c r="B451" s="891"/>
      <c r="C451" s="896" t="s">
        <v>5426</v>
      </c>
      <c r="D451" s="893"/>
      <c r="E451" s="894"/>
      <c r="F451" s="890">
        <f t="shared" si="19"/>
        <v>0</v>
      </c>
    </row>
    <row r="452" spans="1:6" ht="20.25" customHeight="1">
      <c r="A452" s="890">
        <v>110</v>
      </c>
      <c r="B452" s="891" t="s">
        <v>929</v>
      </c>
      <c r="C452" s="896" t="s">
        <v>5321</v>
      </c>
      <c r="D452" s="893">
        <f>D443</f>
        <v>51.4</v>
      </c>
      <c r="E452" s="894" t="s">
        <v>929</v>
      </c>
      <c r="F452" s="890">
        <f t="shared" si="19"/>
        <v>5654</v>
      </c>
    </row>
    <row r="453" spans="1:6" ht="20.25" customHeight="1">
      <c r="A453" s="890"/>
      <c r="B453" s="891"/>
      <c r="C453" s="897" t="s">
        <v>4344</v>
      </c>
      <c r="D453" s="893"/>
      <c r="E453" s="894"/>
      <c r="F453" s="890">
        <f t="shared" si="19"/>
        <v>0</v>
      </c>
    </row>
    <row r="454" spans="1:6" ht="20.25" customHeight="1">
      <c r="A454" s="890"/>
      <c r="B454" s="891"/>
      <c r="C454" s="896" t="s">
        <v>4345</v>
      </c>
      <c r="D454" s="893"/>
      <c r="E454" s="894"/>
      <c r="F454" s="890">
        <f t="shared" si="19"/>
        <v>0</v>
      </c>
    </row>
    <row r="455" spans="1:6" ht="20.25" customHeight="1">
      <c r="A455" s="890"/>
      <c r="B455" s="891"/>
      <c r="C455" s="896" t="s">
        <v>4346</v>
      </c>
      <c r="D455" s="893"/>
      <c r="E455" s="894"/>
      <c r="F455" s="890">
        <f t="shared" si="19"/>
        <v>0</v>
      </c>
    </row>
    <row r="456" spans="1:6" ht="20.25" customHeight="1">
      <c r="A456" s="890"/>
      <c r="B456" s="891"/>
      <c r="C456" s="896" t="s">
        <v>5427</v>
      </c>
      <c r="D456" s="893"/>
      <c r="E456" s="894"/>
      <c r="F456" s="890">
        <f t="shared" si="19"/>
        <v>0</v>
      </c>
    </row>
    <row r="457" spans="1:6" ht="20.25" customHeight="1">
      <c r="A457" s="890"/>
      <c r="B457" s="891"/>
      <c r="C457" s="896" t="s">
        <v>5428</v>
      </c>
      <c r="D457" s="893"/>
      <c r="E457" s="894"/>
      <c r="F457" s="890">
        <f t="shared" si="19"/>
        <v>0</v>
      </c>
    </row>
    <row r="458" spans="1:6" ht="20.25" customHeight="1">
      <c r="A458" s="890"/>
      <c r="B458" s="891"/>
      <c r="C458" s="896" t="s">
        <v>5429</v>
      </c>
      <c r="D458" s="893"/>
      <c r="E458" s="894"/>
      <c r="F458" s="890">
        <f t="shared" si="19"/>
        <v>0</v>
      </c>
    </row>
    <row r="459" spans="1:6" ht="20.25" customHeight="1">
      <c r="A459" s="890"/>
      <c r="B459" s="891"/>
      <c r="C459" s="896" t="s">
        <v>5430</v>
      </c>
      <c r="D459" s="893"/>
      <c r="E459" s="894"/>
      <c r="F459" s="890">
        <f t="shared" si="19"/>
        <v>0</v>
      </c>
    </row>
    <row r="460" spans="1:6" ht="20.25" customHeight="1">
      <c r="A460" s="890"/>
      <c r="B460" s="891"/>
      <c r="C460" s="896" t="s">
        <v>5431</v>
      </c>
      <c r="D460" s="893"/>
      <c r="E460" s="894"/>
      <c r="F460" s="890">
        <f t="shared" si="19"/>
        <v>0</v>
      </c>
    </row>
    <row r="461" spans="1:6" ht="20.25" customHeight="1">
      <c r="A461" s="890"/>
      <c r="B461" s="891"/>
      <c r="C461" s="896" t="s">
        <v>5432</v>
      </c>
      <c r="D461" s="893"/>
      <c r="E461" s="894"/>
      <c r="F461" s="890">
        <f t="shared" si="19"/>
        <v>0</v>
      </c>
    </row>
    <row r="462" spans="1:6" ht="20.25" customHeight="1">
      <c r="A462" s="890"/>
      <c r="B462" s="891"/>
      <c r="C462" s="896" t="s">
        <v>5433</v>
      </c>
      <c r="D462" s="893"/>
      <c r="E462" s="894"/>
      <c r="F462" s="890">
        <f t="shared" si="19"/>
        <v>0</v>
      </c>
    </row>
    <row r="463" spans="1:6" ht="20.25" customHeight="1">
      <c r="A463" s="890"/>
      <c r="B463" s="891"/>
      <c r="C463" s="896"/>
      <c r="D463" s="893"/>
      <c r="E463" s="894"/>
      <c r="F463" s="890">
        <f t="shared" si="19"/>
        <v>0</v>
      </c>
    </row>
    <row r="464" spans="1:6" ht="20.25" customHeight="1">
      <c r="A464" s="890"/>
      <c r="B464" s="891"/>
      <c r="C464" s="896" t="s">
        <v>5434</v>
      </c>
      <c r="D464" s="893"/>
      <c r="E464" s="894"/>
      <c r="F464" s="890">
        <f t="shared" si="19"/>
        <v>0</v>
      </c>
    </row>
    <row r="465" spans="1:6" ht="20.25" customHeight="1">
      <c r="A465" s="890"/>
      <c r="B465" s="891"/>
      <c r="C465" s="896"/>
      <c r="D465" s="893"/>
      <c r="E465" s="894"/>
      <c r="F465" s="890">
        <f t="shared" si="19"/>
        <v>0</v>
      </c>
    </row>
    <row r="466" spans="1:6" ht="20.25" customHeight="1">
      <c r="A466" s="890">
        <v>18.55</v>
      </c>
      <c r="B466" s="891" t="s">
        <v>929</v>
      </c>
      <c r="C466" s="896" t="s">
        <v>5325</v>
      </c>
      <c r="D466" s="893">
        <v>526</v>
      </c>
      <c r="E466" s="894" t="s">
        <v>929</v>
      </c>
      <c r="F466" s="890">
        <f t="shared" si="19"/>
        <v>9757.2999999999993</v>
      </c>
    </row>
    <row r="467" spans="1:6" ht="20.25" customHeight="1">
      <c r="A467" s="890">
        <f>A466</f>
        <v>18.55</v>
      </c>
      <c r="B467" s="891" t="s">
        <v>929</v>
      </c>
      <c r="C467" s="896" t="s">
        <v>5326</v>
      </c>
      <c r="D467" s="893">
        <v>10</v>
      </c>
      <c r="E467" s="894" t="s">
        <v>929</v>
      </c>
      <c r="F467" s="890">
        <f t="shared" si="19"/>
        <v>185.5</v>
      </c>
    </row>
    <row r="468" spans="1:6" ht="20.25" customHeight="1">
      <c r="A468" s="879">
        <v>440</v>
      </c>
      <c r="B468" s="880" t="s">
        <v>4363</v>
      </c>
      <c r="C468" s="884" t="s">
        <v>4364</v>
      </c>
      <c r="D468" s="879">
        <v>1</v>
      </c>
      <c r="E468" s="882" t="s">
        <v>4363</v>
      </c>
      <c r="F468" s="890">
        <f t="shared" si="19"/>
        <v>440</v>
      </c>
    </row>
    <row r="469" spans="1:6" ht="20.25" customHeight="1">
      <c r="A469" s="879">
        <v>1</v>
      </c>
      <c r="B469" s="880" t="s">
        <v>1419</v>
      </c>
      <c r="C469" s="884" t="s">
        <v>5415</v>
      </c>
      <c r="D469" s="879">
        <v>17850</v>
      </c>
      <c r="E469" s="882" t="str">
        <f>B469</f>
        <v>No</v>
      </c>
      <c r="F469" s="890">
        <f t="shared" si="19"/>
        <v>17850</v>
      </c>
    </row>
    <row r="470" spans="1:6" ht="20.25" customHeight="1">
      <c r="A470" s="879">
        <v>2</v>
      </c>
      <c r="B470" s="880" t="s">
        <v>1419</v>
      </c>
      <c r="C470" s="884" t="s">
        <v>5408</v>
      </c>
      <c r="D470" s="879">
        <v>9798</v>
      </c>
      <c r="E470" s="882" t="str">
        <f>B470</f>
        <v>No</v>
      </c>
      <c r="F470" s="890">
        <f t="shared" si="19"/>
        <v>19596</v>
      </c>
    </row>
    <row r="471" spans="1:6" ht="20.25" customHeight="1">
      <c r="A471" s="879">
        <v>1</v>
      </c>
      <c r="B471" s="880" t="s">
        <v>1419</v>
      </c>
      <c r="C471" s="884" t="s">
        <v>5409</v>
      </c>
      <c r="D471" s="879">
        <f>6195+235</f>
        <v>6430</v>
      </c>
      <c r="E471" s="882" t="str">
        <f>B471</f>
        <v>No</v>
      </c>
      <c r="F471" s="890">
        <f t="shared" si="19"/>
        <v>6430</v>
      </c>
    </row>
    <row r="472" spans="1:6" ht="20.25" customHeight="1">
      <c r="A472" s="888">
        <v>1.1499999999999999</v>
      </c>
      <c r="B472" s="880" t="s">
        <v>2322</v>
      </c>
      <c r="C472" s="884" t="s">
        <v>5398</v>
      </c>
      <c r="D472" s="882">
        <v>1260</v>
      </c>
      <c r="E472" s="882" t="s">
        <v>2322</v>
      </c>
      <c r="F472" s="890">
        <f t="shared" si="19"/>
        <v>1449</v>
      </c>
    </row>
    <row r="473" spans="1:6" ht="20.25" customHeight="1">
      <c r="A473" s="879">
        <v>12</v>
      </c>
      <c r="B473" s="880" t="s">
        <v>1419</v>
      </c>
      <c r="C473" s="884" t="s">
        <v>4368</v>
      </c>
      <c r="D473" s="879">
        <v>20</v>
      </c>
      <c r="E473" s="882" t="s">
        <v>1419</v>
      </c>
      <c r="F473" s="890">
        <f t="shared" si="19"/>
        <v>240</v>
      </c>
    </row>
    <row r="474" spans="1:6" ht="20.25" customHeight="1">
      <c r="A474" s="879">
        <v>3</v>
      </c>
      <c r="B474" s="880" t="s">
        <v>147</v>
      </c>
      <c r="C474" s="884" t="s">
        <v>4369</v>
      </c>
      <c r="D474" s="879">
        <v>280</v>
      </c>
      <c r="E474" s="882" t="s">
        <v>147</v>
      </c>
      <c r="F474" s="890">
        <f t="shared" si="19"/>
        <v>840</v>
      </c>
    </row>
    <row r="475" spans="1:6" ht="20.25" customHeight="1">
      <c r="A475" s="879">
        <v>3</v>
      </c>
      <c r="B475" s="880" t="s">
        <v>1419</v>
      </c>
      <c r="C475" s="884" t="s">
        <v>5410</v>
      </c>
      <c r="D475" s="879">
        <v>47.6</v>
      </c>
      <c r="E475" s="882" t="str">
        <f>B475</f>
        <v>No</v>
      </c>
      <c r="F475" s="890">
        <f t="shared" si="19"/>
        <v>142.80000000000001</v>
      </c>
    </row>
    <row r="476" spans="1:6" ht="20.25" customHeight="1">
      <c r="A476" s="879">
        <v>5</v>
      </c>
      <c r="B476" s="880" t="s">
        <v>842</v>
      </c>
      <c r="C476" s="884" t="s">
        <v>5411</v>
      </c>
      <c r="D476" s="879">
        <v>9.8000000000000007</v>
      </c>
      <c r="E476" s="882" t="str">
        <f>B476</f>
        <v>Rmt</v>
      </c>
      <c r="F476" s="890">
        <f t="shared" si="19"/>
        <v>49</v>
      </c>
    </row>
    <row r="477" spans="1:6" ht="20.25" customHeight="1">
      <c r="A477" s="879">
        <v>81.099999999999994</v>
      </c>
      <c r="B477" s="880" t="s">
        <v>1676</v>
      </c>
      <c r="C477" s="884" t="s">
        <v>5015</v>
      </c>
      <c r="D477" s="879">
        <v>47.8</v>
      </c>
      <c r="E477" s="882" t="str">
        <f>B477</f>
        <v>Kg</v>
      </c>
      <c r="F477" s="890">
        <f t="shared" si="19"/>
        <v>3876.58</v>
      </c>
    </row>
    <row r="478" spans="1:6" ht="20.25" customHeight="1">
      <c r="A478" s="879">
        <v>110</v>
      </c>
      <c r="B478" s="880" t="s">
        <v>1676</v>
      </c>
      <c r="C478" s="884" t="s">
        <v>5016</v>
      </c>
      <c r="D478" s="879">
        <f>D477</f>
        <v>47.8</v>
      </c>
      <c r="E478" s="882" t="str">
        <f>B478</f>
        <v>Kg</v>
      </c>
      <c r="F478" s="890">
        <f t="shared" si="19"/>
        <v>5258</v>
      </c>
    </row>
    <row r="479" spans="1:6" ht="20.25" customHeight="1">
      <c r="A479" s="879">
        <v>5</v>
      </c>
      <c r="B479" s="880" t="s">
        <v>1457</v>
      </c>
      <c r="C479" s="884" t="s">
        <v>5397</v>
      </c>
      <c r="D479" s="879">
        <v>456</v>
      </c>
      <c r="E479" s="885" t="s">
        <v>1746</v>
      </c>
      <c r="F479" s="890">
        <f t="shared" si="19"/>
        <v>2280</v>
      </c>
    </row>
    <row r="480" spans="1:6" ht="20.25" customHeight="1">
      <c r="A480" s="879">
        <v>126</v>
      </c>
      <c r="B480" s="880" t="s">
        <v>5018</v>
      </c>
      <c r="C480" s="884" t="s">
        <v>5019</v>
      </c>
      <c r="D480" s="879">
        <v>10</v>
      </c>
      <c r="E480" s="882" t="s">
        <v>5020</v>
      </c>
      <c r="F480" s="890">
        <f t="shared" si="19"/>
        <v>1260</v>
      </c>
    </row>
    <row r="481" spans="1:6" ht="20.25" customHeight="1">
      <c r="A481" s="890"/>
      <c r="B481" s="891"/>
      <c r="C481" s="896" t="s">
        <v>4376</v>
      </c>
      <c r="D481" s="893"/>
      <c r="E481" s="894"/>
      <c r="F481" s="890">
        <v>200</v>
      </c>
    </row>
    <row r="482" spans="1:6" ht="20.25" customHeight="1">
      <c r="A482" s="890"/>
      <c r="B482" s="891"/>
      <c r="C482" s="896"/>
      <c r="D482" s="893" t="s">
        <v>2284</v>
      </c>
      <c r="E482" s="894"/>
      <c r="F482" s="895">
        <f>SUM(F443:F481)</f>
        <v>79676.72</v>
      </c>
    </row>
    <row r="483" spans="1:6" ht="20.25" customHeight="1">
      <c r="A483" s="890"/>
      <c r="B483" s="891"/>
      <c r="C483" s="896" t="s">
        <v>4377</v>
      </c>
      <c r="D483" s="893"/>
      <c r="E483" s="894"/>
      <c r="F483" s="890">
        <f>F482*2/100</f>
        <v>1593.53</v>
      </c>
    </row>
    <row r="484" spans="1:6" ht="20.25" customHeight="1">
      <c r="A484" s="890"/>
      <c r="B484" s="891"/>
      <c r="C484" s="896"/>
      <c r="D484" s="893"/>
      <c r="E484" s="894"/>
      <c r="F484" s="895">
        <f>SUM(F482:F483)</f>
        <v>81270.25</v>
      </c>
    </row>
    <row r="485" spans="1:6" ht="20.25" customHeight="1">
      <c r="A485" s="879"/>
      <c r="B485" s="880"/>
      <c r="C485" s="884" t="s">
        <v>4379</v>
      </c>
      <c r="D485" s="882"/>
      <c r="E485" s="882"/>
      <c r="F485" s="879">
        <v>1000</v>
      </c>
    </row>
    <row r="486" spans="1:6" ht="20.25" customHeight="1">
      <c r="A486" s="879"/>
      <c r="B486" s="880"/>
      <c r="C486" s="884" t="s">
        <v>4380</v>
      </c>
      <c r="D486" s="882"/>
      <c r="E486" s="882"/>
      <c r="F486" s="879">
        <v>1000</v>
      </c>
    </row>
    <row r="487" spans="1:6" ht="20.25" customHeight="1">
      <c r="A487" s="879"/>
      <c r="B487" s="880"/>
      <c r="C487" s="884"/>
      <c r="D487" s="882"/>
      <c r="E487" s="882"/>
      <c r="F487" s="886">
        <f>SUM(F484:F486)</f>
        <v>83270.25</v>
      </c>
    </row>
    <row r="488" spans="1:6" ht="20.25" customHeight="1">
      <c r="A488" s="930"/>
      <c r="B488" s="929"/>
      <c r="C488" s="884"/>
      <c r="D488" s="882"/>
      <c r="E488" s="881" t="s">
        <v>5265</v>
      </c>
      <c r="F488" s="931">
        <v>83280</v>
      </c>
    </row>
    <row r="490" spans="1:6" ht="20.25" customHeight="1">
      <c r="A490" s="954"/>
      <c r="B490" s="954"/>
      <c r="C490" s="903" t="s">
        <v>5493</v>
      </c>
      <c r="D490" s="955"/>
      <c r="E490" s="954"/>
      <c r="F490" s="954"/>
    </row>
    <row r="491" spans="1:6" ht="20.25" customHeight="1">
      <c r="A491" s="954"/>
      <c r="B491" s="954"/>
      <c r="C491" s="932" t="s">
        <v>5494</v>
      </c>
      <c r="D491" s="955"/>
      <c r="E491" s="954"/>
      <c r="F491" s="954"/>
    </row>
    <row r="492" spans="1:6" ht="20.25" customHeight="1">
      <c r="A492" s="954"/>
      <c r="B492" s="954"/>
      <c r="C492" s="933" t="s">
        <v>5495</v>
      </c>
      <c r="D492" s="955"/>
      <c r="E492" s="954"/>
      <c r="F492" s="954"/>
    </row>
    <row r="493" spans="1:6" ht="20.25" customHeight="1">
      <c r="A493" s="954"/>
      <c r="B493" s="954"/>
      <c r="C493" s="954"/>
      <c r="D493" s="955"/>
      <c r="E493" s="954"/>
      <c r="F493" s="954"/>
    </row>
    <row r="494" spans="1:6" ht="20.25" customHeight="1">
      <c r="A494" s="882"/>
      <c r="B494" s="885"/>
      <c r="C494" s="881" t="s">
        <v>5466</v>
      </c>
      <c r="D494" s="879"/>
      <c r="E494" s="882"/>
      <c r="F494" s="879"/>
    </row>
    <row r="495" spans="1:6" ht="20.25" customHeight="1">
      <c r="A495" s="882"/>
      <c r="B495" s="885"/>
      <c r="C495" s="883" t="s">
        <v>5467</v>
      </c>
      <c r="D495" s="879"/>
      <c r="E495" s="882"/>
      <c r="F495" s="879"/>
    </row>
    <row r="496" spans="1:6" ht="20.25" customHeight="1">
      <c r="A496" s="882"/>
      <c r="B496" s="885"/>
      <c r="C496" s="883" t="s">
        <v>4326</v>
      </c>
      <c r="D496" s="879"/>
      <c r="E496" s="882"/>
      <c r="F496" s="879"/>
    </row>
    <row r="497" spans="1:6" ht="20.25" customHeight="1">
      <c r="A497" s="882"/>
      <c r="B497" s="885"/>
      <c r="C497" s="884" t="s">
        <v>5468</v>
      </c>
      <c r="D497" s="879"/>
      <c r="E497" s="882"/>
      <c r="F497" s="879"/>
    </row>
    <row r="498" spans="1:6" ht="20.25" customHeight="1">
      <c r="A498" s="882"/>
      <c r="B498" s="885"/>
      <c r="C498" s="884" t="s">
        <v>5469</v>
      </c>
      <c r="D498" s="879"/>
      <c r="E498" s="882"/>
      <c r="F498" s="879"/>
    </row>
    <row r="499" spans="1:6" ht="20.25" customHeight="1">
      <c r="A499" s="882"/>
      <c r="B499" s="885"/>
      <c r="C499" s="884" t="s">
        <v>5470</v>
      </c>
      <c r="D499" s="879"/>
      <c r="E499" s="882"/>
      <c r="F499" s="879"/>
    </row>
    <row r="500" spans="1:6" ht="20.25" customHeight="1">
      <c r="A500" s="882"/>
      <c r="B500" s="885"/>
      <c r="C500" s="884" t="s">
        <v>5471</v>
      </c>
      <c r="D500" s="879"/>
      <c r="E500" s="882"/>
      <c r="F500" s="879"/>
    </row>
    <row r="501" spans="1:6" ht="20.25" customHeight="1">
      <c r="A501" s="882"/>
      <c r="B501" s="885"/>
      <c r="C501" s="884" t="s">
        <v>5472</v>
      </c>
      <c r="D501" s="879"/>
      <c r="E501" s="882"/>
      <c r="F501" s="879"/>
    </row>
    <row r="502" spans="1:6" ht="20.25" customHeight="1">
      <c r="A502" s="882"/>
      <c r="B502" s="885"/>
      <c r="C502" s="883" t="s">
        <v>5473</v>
      </c>
      <c r="D502" s="945"/>
      <c r="E502" s="956"/>
      <c r="F502" s="945"/>
    </row>
    <row r="503" spans="1:6" ht="20.25" customHeight="1">
      <c r="A503" s="882"/>
      <c r="B503" s="885"/>
      <c r="C503" s="884" t="s">
        <v>5474</v>
      </c>
      <c r="D503" s="945"/>
      <c r="E503" s="956"/>
      <c r="F503" s="945"/>
    </row>
    <row r="504" spans="1:6" ht="20.25" customHeight="1">
      <c r="A504" s="882"/>
      <c r="B504" s="885"/>
      <c r="C504" s="883" t="s">
        <v>5475</v>
      </c>
      <c r="D504" s="945"/>
      <c r="E504" s="956"/>
      <c r="F504" s="945"/>
    </row>
    <row r="505" spans="1:6" ht="20.25" customHeight="1">
      <c r="A505" s="882"/>
      <c r="B505" s="885"/>
      <c r="C505" s="884" t="s">
        <v>5476</v>
      </c>
      <c r="D505" s="945"/>
      <c r="E505" s="956"/>
      <c r="F505" s="945"/>
    </row>
    <row r="506" spans="1:6" ht="20.25" customHeight="1">
      <c r="A506" s="882">
        <v>127.73</v>
      </c>
      <c r="B506" s="885" t="s">
        <v>929</v>
      </c>
      <c r="C506" s="884" t="s">
        <v>5320</v>
      </c>
      <c r="D506" s="879">
        <f>D16</f>
        <v>57.6</v>
      </c>
      <c r="E506" s="882" t="s">
        <v>929</v>
      </c>
      <c r="F506" s="879">
        <f>D506*A506</f>
        <v>7357.25</v>
      </c>
    </row>
    <row r="507" spans="1:6" ht="20.25" customHeight="1">
      <c r="A507" s="882"/>
      <c r="B507" s="885"/>
      <c r="C507" s="883" t="s">
        <v>5266</v>
      </c>
      <c r="D507" s="879"/>
      <c r="E507" s="882"/>
      <c r="F507" s="879"/>
    </row>
    <row r="508" spans="1:6" ht="20.25" customHeight="1">
      <c r="A508" s="882"/>
      <c r="B508" s="885"/>
      <c r="C508" s="884" t="s">
        <v>4336</v>
      </c>
      <c r="D508" s="879"/>
      <c r="E508" s="882"/>
      <c r="F508" s="879"/>
    </row>
    <row r="509" spans="1:6" ht="20.25" customHeight="1">
      <c r="A509" s="882"/>
      <c r="B509" s="885"/>
      <c r="C509" s="884" t="s">
        <v>5038</v>
      </c>
      <c r="D509" s="879"/>
      <c r="E509" s="882"/>
      <c r="F509" s="879"/>
    </row>
    <row r="510" spans="1:6" ht="20.25" customHeight="1">
      <c r="A510" s="882"/>
      <c r="B510" s="885"/>
      <c r="C510" s="884" t="s">
        <v>4996</v>
      </c>
      <c r="D510" s="879"/>
      <c r="E510" s="882"/>
      <c r="F510" s="879"/>
    </row>
    <row r="511" spans="1:6" ht="20.25" customHeight="1">
      <c r="A511" s="882"/>
      <c r="B511" s="885"/>
      <c r="C511" s="884" t="s">
        <v>5037</v>
      </c>
      <c r="D511" s="879"/>
      <c r="E511" s="882"/>
      <c r="F511" s="879"/>
    </row>
    <row r="512" spans="1:6" ht="20.25" customHeight="1">
      <c r="A512" s="882"/>
      <c r="B512" s="885"/>
      <c r="C512" s="884" t="s">
        <v>5477</v>
      </c>
      <c r="D512" s="879"/>
      <c r="E512" s="882"/>
      <c r="F512" s="879"/>
    </row>
    <row r="513" spans="1:6" ht="20.25" customHeight="1">
      <c r="A513" s="882"/>
      <c r="B513" s="885"/>
      <c r="C513" s="884" t="s">
        <v>5478</v>
      </c>
      <c r="D513" s="879"/>
      <c r="E513" s="882"/>
      <c r="F513" s="879"/>
    </row>
    <row r="514" spans="1:6" ht="20.25" customHeight="1">
      <c r="A514" s="882"/>
      <c r="B514" s="885"/>
      <c r="C514" s="884" t="s">
        <v>5479</v>
      </c>
      <c r="D514" s="879"/>
      <c r="E514" s="882"/>
      <c r="F514" s="879"/>
    </row>
    <row r="515" spans="1:6" ht="20.25" customHeight="1">
      <c r="A515" s="882">
        <v>41.1</v>
      </c>
      <c r="B515" s="885" t="s">
        <v>929</v>
      </c>
      <c r="C515" s="884" t="s">
        <v>5480</v>
      </c>
      <c r="D515" s="879">
        <f>D26</f>
        <v>57.6</v>
      </c>
      <c r="E515" s="882" t="s">
        <v>929</v>
      </c>
      <c r="F515" s="879">
        <f>D515*A515</f>
        <v>2367.36</v>
      </c>
    </row>
    <row r="516" spans="1:6" ht="20.25" customHeight="1">
      <c r="A516" s="882"/>
      <c r="B516" s="885"/>
      <c r="C516" s="883" t="s">
        <v>4344</v>
      </c>
      <c r="D516" s="879"/>
      <c r="E516" s="882"/>
      <c r="F516" s="879"/>
    </row>
    <row r="517" spans="1:6" ht="20.25" customHeight="1">
      <c r="A517" s="882"/>
      <c r="B517" s="885"/>
      <c r="C517" s="884" t="s">
        <v>5481</v>
      </c>
      <c r="D517" s="879"/>
      <c r="E517" s="882"/>
      <c r="F517" s="879"/>
    </row>
    <row r="518" spans="1:6" ht="20.25" customHeight="1">
      <c r="A518" s="882"/>
      <c r="B518" s="885"/>
      <c r="C518" s="884" t="s">
        <v>5482</v>
      </c>
      <c r="D518" s="879"/>
      <c r="E518" s="882"/>
      <c r="F518" s="879"/>
    </row>
    <row r="519" spans="1:6" ht="20.25" customHeight="1">
      <c r="A519" s="882"/>
      <c r="B519" s="885"/>
      <c r="C519" s="884" t="s">
        <v>5483</v>
      </c>
      <c r="D519" s="879"/>
      <c r="E519" s="882"/>
      <c r="F519" s="879"/>
    </row>
    <row r="520" spans="1:6" ht="20.25" customHeight="1">
      <c r="A520" s="882"/>
      <c r="B520" s="885"/>
      <c r="C520" s="884" t="s">
        <v>5484</v>
      </c>
      <c r="D520" s="879"/>
      <c r="E520" s="882"/>
      <c r="F520" s="879"/>
    </row>
    <row r="521" spans="1:6" ht="20.25" customHeight="1">
      <c r="A521" s="882"/>
      <c r="B521" s="885"/>
      <c r="C521" s="884" t="s">
        <v>5267</v>
      </c>
      <c r="D521" s="879"/>
      <c r="E521" s="882"/>
      <c r="F521" s="879"/>
    </row>
    <row r="522" spans="1:6" ht="20.25" customHeight="1">
      <c r="A522" s="882"/>
      <c r="B522" s="885"/>
      <c r="C522" s="884" t="s">
        <v>5485</v>
      </c>
      <c r="D522" s="879"/>
      <c r="E522" s="882"/>
      <c r="F522" s="879"/>
    </row>
    <row r="523" spans="1:6" ht="20.25" customHeight="1">
      <c r="A523" s="882"/>
      <c r="B523" s="885"/>
      <c r="C523" s="884" t="s">
        <v>5486</v>
      </c>
      <c r="D523" s="879"/>
      <c r="E523" s="882"/>
      <c r="F523" s="879"/>
    </row>
    <row r="524" spans="1:6" ht="20.25" customHeight="1">
      <c r="A524" s="882"/>
      <c r="B524" s="885"/>
      <c r="C524" s="884" t="s">
        <v>5487</v>
      </c>
      <c r="D524" s="879"/>
      <c r="E524" s="882"/>
      <c r="F524" s="879"/>
    </row>
    <row r="525" spans="1:6" ht="20.25" customHeight="1">
      <c r="A525" s="882"/>
      <c r="B525" s="885"/>
      <c r="C525" s="884" t="s">
        <v>5488</v>
      </c>
      <c r="D525" s="879"/>
      <c r="E525" s="882"/>
      <c r="F525" s="879"/>
    </row>
    <row r="526" spans="1:6" ht="20.25" customHeight="1">
      <c r="A526" s="882"/>
      <c r="B526" s="885"/>
      <c r="C526" s="884" t="s">
        <v>5489</v>
      </c>
      <c r="D526" s="879"/>
      <c r="E526" s="882"/>
      <c r="F526" s="879"/>
    </row>
    <row r="527" spans="1:6" ht="20.25" customHeight="1">
      <c r="A527" s="882"/>
      <c r="B527" s="885"/>
      <c r="C527" s="884" t="s">
        <v>5490</v>
      </c>
      <c r="D527" s="879"/>
      <c r="E527" s="882"/>
      <c r="F527" s="879"/>
    </row>
    <row r="528" spans="1:6" ht="20.25" customHeight="1">
      <c r="A528" s="882">
        <v>12.76</v>
      </c>
      <c r="B528" s="885" t="s">
        <v>929</v>
      </c>
      <c r="C528" s="884" t="s">
        <v>5268</v>
      </c>
      <c r="D528" s="879">
        <f>D41</f>
        <v>562</v>
      </c>
      <c r="E528" s="882" t="s">
        <v>929</v>
      </c>
      <c r="F528" s="879">
        <f>SUM(A528*D528)</f>
        <v>7171.12</v>
      </c>
    </row>
    <row r="529" spans="1:6" ht="20.25" customHeight="1">
      <c r="A529" s="882">
        <v>12.76</v>
      </c>
      <c r="B529" s="885" t="s">
        <v>929</v>
      </c>
      <c r="C529" s="884" t="s">
        <v>4356</v>
      </c>
      <c r="D529" s="879">
        <f>D42</f>
        <v>10</v>
      </c>
      <c r="E529" s="882" t="s">
        <v>929</v>
      </c>
      <c r="F529" s="879">
        <f>SUM(A529*D529)</f>
        <v>127.6</v>
      </c>
    </row>
    <row r="530" spans="1:6" ht="20.25" customHeight="1">
      <c r="A530" s="882">
        <v>755</v>
      </c>
      <c r="B530" s="885" t="s">
        <v>156</v>
      </c>
      <c r="C530" s="884" t="s">
        <v>5269</v>
      </c>
      <c r="D530" s="879">
        <f>D60</f>
        <v>1</v>
      </c>
      <c r="E530" s="882" t="s">
        <v>4363</v>
      </c>
      <c r="F530" s="879">
        <f>SUM(A530*D530)</f>
        <v>755</v>
      </c>
    </row>
    <row r="531" spans="1:6" ht="20.25" customHeight="1">
      <c r="A531" s="882">
        <v>2</v>
      </c>
      <c r="B531" s="885" t="s">
        <v>1051</v>
      </c>
      <c r="C531" s="884" t="s">
        <v>5491</v>
      </c>
      <c r="D531" s="879">
        <f>D407</f>
        <v>10652</v>
      </c>
      <c r="E531" s="882" t="s">
        <v>1746</v>
      </c>
      <c r="F531" s="879">
        <f>SUM(A531*D531)</f>
        <v>21304</v>
      </c>
    </row>
    <row r="532" spans="1:6" ht="20.25" customHeight="1">
      <c r="A532" s="882">
        <v>10</v>
      </c>
      <c r="B532" s="885" t="s">
        <v>1051</v>
      </c>
      <c r="C532" s="884" t="s">
        <v>5794</v>
      </c>
      <c r="D532" s="879">
        <f>6255+893+237</f>
        <v>7385</v>
      </c>
      <c r="E532" s="882" t="s">
        <v>1746</v>
      </c>
      <c r="F532" s="879">
        <f>SUM(A532*D532)</f>
        <v>73850</v>
      </c>
    </row>
    <row r="533" spans="1:6" ht="20.25" customHeight="1">
      <c r="A533" s="882"/>
      <c r="B533" s="885"/>
      <c r="C533" s="884" t="s">
        <v>5359</v>
      </c>
      <c r="D533" s="879"/>
      <c r="E533" s="882"/>
      <c r="F533" s="879"/>
    </row>
    <row r="534" spans="1:6" ht="20.25" customHeight="1">
      <c r="A534" s="882"/>
      <c r="B534" s="885"/>
      <c r="C534" s="884" t="s">
        <v>5497</v>
      </c>
      <c r="D534" s="879"/>
      <c r="E534" s="882"/>
      <c r="F534" s="879"/>
    </row>
    <row r="535" spans="1:6" ht="20.25" customHeight="1">
      <c r="A535" s="882">
        <v>1.1499999999999999</v>
      </c>
      <c r="B535" s="885" t="s">
        <v>5365</v>
      </c>
      <c r="C535" s="884" t="str">
        <f>C410</f>
        <v>Cost of hylum sheet 6mm [SR 2020-21 / P.129]</v>
      </c>
      <c r="D535" s="882">
        <f>D410</f>
        <v>1322</v>
      </c>
      <c r="E535" s="885" t="s">
        <v>5365</v>
      </c>
      <c r="F535" s="879">
        <f t="shared" ref="F535:F543" si="20">SUM(A535*D535)</f>
        <v>1520.3</v>
      </c>
    </row>
    <row r="536" spans="1:6" ht="20.25" customHeight="1">
      <c r="A536" s="882">
        <v>12</v>
      </c>
      <c r="B536" s="885" t="s">
        <v>1457</v>
      </c>
      <c r="C536" s="884" t="s">
        <v>4368</v>
      </c>
      <c r="D536" s="882">
        <f t="shared" ref="D536:D543" si="21">D411</f>
        <v>20</v>
      </c>
      <c r="E536" s="882" t="s">
        <v>1746</v>
      </c>
      <c r="F536" s="879">
        <f t="shared" si="20"/>
        <v>240</v>
      </c>
    </row>
    <row r="537" spans="1:6" ht="20.25" customHeight="1">
      <c r="A537" s="882">
        <v>3</v>
      </c>
      <c r="B537" s="885" t="s">
        <v>1457</v>
      </c>
      <c r="C537" s="884" t="s">
        <v>4369</v>
      </c>
      <c r="D537" s="882">
        <f t="shared" si="21"/>
        <v>280</v>
      </c>
      <c r="E537" s="882" t="s">
        <v>1746</v>
      </c>
      <c r="F537" s="879">
        <f t="shared" si="20"/>
        <v>840</v>
      </c>
    </row>
    <row r="538" spans="1:6" ht="20.25" customHeight="1">
      <c r="A538" s="882">
        <v>3</v>
      </c>
      <c r="B538" s="885" t="s">
        <v>1457</v>
      </c>
      <c r="C538" s="884" t="s">
        <v>5271</v>
      </c>
      <c r="D538" s="882">
        <f t="shared" si="21"/>
        <v>48.05</v>
      </c>
      <c r="E538" s="882" t="s">
        <v>1746</v>
      </c>
      <c r="F538" s="879">
        <f t="shared" si="20"/>
        <v>144.15</v>
      </c>
    </row>
    <row r="539" spans="1:6" ht="20.25" customHeight="1">
      <c r="A539" s="882">
        <v>5</v>
      </c>
      <c r="B539" s="885" t="s">
        <v>3516</v>
      </c>
      <c r="C539" s="884" t="s">
        <v>5396</v>
      </c>
      <c r="D539" s="882">
        <f t="shared" si="21"/>
        <v>10.45</v>
      </c>
      <c r="E539" s="885" t="s">
        <v>3516</v>
      </c>
      <c r="F539" s="879">
        <f t="shared" si="20"/>
        <v>52.25</v>
      </c>
    </row>
    <row r="540" spans="1:6" ht="20.25" customHeight="1">
      <c r="A540" s="882">
        <v>127.73</v>
      </c>
      <c r="B540" s="885" t="s">
        <v>929</v>
      </c>
      <c r="C540" s="884" t="s">
        <v>5272</v>
      </c>
      <c r="D540" s="882">
        <f t="shared" si="21"/>
        <v>52.5</v>
      </c>
      <c r="E540" s="885" t="s">
        <v>929</v>
      </c>
      <c r="F540" s="879">
        <f t="shared" si="20"/>
        <v>6705.83</v>
      </c>
    </row>
    <row r="541" spans="1:6" ht="20.25" customHeight="1">
      <c r="A541" s="882">
        <v>41.1</v>
      </c>
      <c r="B541" s="885" t="s">
        <v>929</v>
      </c>
      <c r="C541" s="884" t="s">
        <v>5273</v>
      </c>
      <c r="D541" s="882">
        <f t="shared" si="21"/>
        <v>52.5</v>
      </c>
      <c r="E541" s="885" t="s">
        <v>929</v>
      </c>
      <c r="F541" s="879">
        <f t="shared" si="20"/>
        <v>2157.75</v>
      </c>
    </row>
    <row r="542" spans="1:6" ht="20.25" customHeight="1">
      <c r="A542" s="882">
        <v>12</v>
      </c>
      <c r="B542" s="885" t="s">
        <v>1457</v>
      </c>
      <c r="C542" s="884" t="s">
        <v>5492</v>
      </c>
      <c r="D542" s="882">
        <f t="shared" si="21"/>
        <v>501.25</v>
      </c>
      <c r="E542" s="885" t="s">
        <v>1746</v>
      </c>
      <c r="F542" s="879">
        <f t="shared" si="20"/>
        <v>6015</v>
      </c>
    </row>
    <row r="543" spans="1:6" ht="20.25" customHeight="1">
      <c r="A543" s="882">
        <v>198.5</v>
      </c>
      <c r="B543" s="885" t="s">
        <v>4371</v>
      </c>
      <c r="C543" s="884" t="s">
        <v>4372</v>
      </c>
      <c r="D543" s="882">
        <f t="shared" si="21"/>
        <v>10</v>
      </c>
      <c r="E543" s="885" t="s">
        <v>4373</v>
      </c>
      <c r="F543" s="879">
        <f t="shared" si="20"/>
        <v>1985</v>
      </c>
    </row>
    <row r="544" spans="1:6" ht="20.25" customHeight="1">
      <c r="A544" s="882"/>
      <c r="B544" s="885"/>
      <c r="C544" s="884" t="s">
        <v>4376</v>
      </c>
      <c r="D544" s="879"/>
      <c r="E544" s="882"/>
      <c r="F544" s="879">
        <v>200</v>
      </c>
    </row>
    <row r="545" spans="1:6" ht="20.25" customHeight="1">
      <c r="A545" s="882"/>
      <c r="B545" s="885"/>
      <c r="C545" s="884"/>
      <c r="D545" s="879"/>
      <c r="E545" s="882"/>
      <c r="F545" s="886">
        <f>SUM(F506:F544)</f>
        <v>132792.60999999999</v>
      </c>
    </row>
    <row r="546" spans="1:6" ht="20.25" customHeight="1">
      <c r="A546" s="882"/>
      <c r="B546" s="885"/>
      <c r="C546" s="884" t="s">
        <v>4377</v>
      </c>
      <c r="D546" s="879"/>
      <c r="E546" s="882"/>
      <c r="F546" s="879">
        <f>F545*2%</f>
        <v>2655.85</v>
      </c>
    </row>
    <row r="547" spans="1:6" ht="20.25" customHeight="1">
      <c r="A547" s="882"/>
      <c r="B547" s="885"/>
      <c r="C547" s="884" t="s">
        <v>4379</v>
      </c>
      <c r="D547" s="879"/>
      <c r="E547" s="882"/>
      <c r="F547" s="879">
        <v>1000</v>
      </c>
    </row>
    <row r="548" spans="1:6" ht="20.25" customHeight="1">
      <c r="A548" s="882"/>
      <c r="B548" s="885"/>
      <c r="C548" s="884" t="s">
        <v>4380</v>
      </c>
      <c r="D548" s="879"/>
      <c r="E548" s="882"/>
      <c r="F548" s="879">
        <v>2000</v>
      </c>
    </row>
    <row r="549" spans="1:6" ht="20.25" customHeight="1">
      <c r="A549" s="882"/>
      <c r="B549" s="885"/>
      <c r="C549" s="884"/>
      <c r="D549" s="879"/>
      <c r="E549" s="882"/>
      <c r="F549" s="886">
        <f>SUM(F545:F548)</f>
        <v>138448.46</v>
      </c>
    </row>
    <row r="550" spans="1:6" ht="20.25" customHeight="1">
      <c r="A550" s="882"/>
      <c r="B550" s="928"/>
      <c r="C550" s="884"/>
      <c r="D550" s="930"/>
      <c r="E550" s="881" t="s">
        <v>5265</v>
      </c>
      <c r="F550" s="931">
        <v>138500</v>
      </c>
    </row>
    <row r="559" spans="1:6" ht="20.25" customHeight="1">
      <c r="A559" s="957"/>
      <c r="B559" s="957"/>
      <c r="C559" s="920" t="s">
        <v>5502</v>
      </c>
      <c r="D559" s="958"/>
      <c r="E559" s="957"/>
      <c r="F559" s="957"/>
    </row>
    <row r="560" spans="1:6" ht="20.25" customHeight="1">
      <c r="A560" s="957"/>
      <c r="B560" s="957"/>
      <c r="C560" s="926" t="s">
        <v>5503</v>
      </c>
      <c r="D560" s="958"/>
      <c r="E560" s="957"/>
      <c r="F560" s="957"/>
    </row>
    <row r="561" spans="1:6" ht="20.25" customHeight="1">
      <c r="A561" s="921"/>
      <c r="B561" s="922"/>
      <c r="C561" s="923"/>
      <c r="D561" s="924"/>
      <c r="E561" s="921"/>
      <c r="F561" s="924"/>
    </row>
    <row r="562" spans="1:6" ht="20.25" customHeight="1">
      <c r="A562" s="921"/>
      <c r="B562" s="922"/>
      <c r="C562" s="925" t="s">
        <v>5467</v>
      </c>
      <c r="D562" s="924"/>
      <c r="E562" s="921"/>
      <c r="F562" s="924"/>
    </row>
    <row r="563" spans="1:6" ht="20.25" customHeight="1">
      <c r="A563" s="921"/>
      <c r="B563" s="922"/>
      <c r="C563" s="925" t="s">
        <v>4326</v>
      </c>
      <c r="D563" s="924"/>
      <c r="E563" s="921"/>
      <c r="F563" s="924"/>
    </row>
    <row r="564" spans="1:6" ht="20.25" customHeight="1">
      <c r="A564" s="921"/>
      <c r="B564" s="922"/>
      <c r="C564" s="926" t="s">
        <v>5468</v>
      </c>
      <c r="D564" s="924"/>
      <c r="E564" s="921"/>
      <c r="F564" s="924"/>
    </row>
    <row r="565" spans="1:6" ht="20.25" customHeight="1">
      <c r="A565" s="921"/>
      <c r="B565" s="922"/>
      <c r="C565" s="926" t="s">
        <v>5469</v>
      </c>
      <c r="D565" s="924"/>
      <c r="E565" s="921"/>
      <c r="F565" s="924"/>
    </row>
    <row r="566" spans="1:6" ht="20.25" customHeight="1">
      <c r="A566" s="921"/>
      <c r="B566" s="922"/>
      <c r="C566" s="926" t="s">
        <v>5504</v>
      </c>
      <c r="D566" s="924"/>
      <c r="E566" s="921"/>
      <c r="F566" s="924"/>
    </row>
    <row r="567" spans="1:6" ht="20.25" customHeight="1">
      <c r="A567" s="921"/>
      <c r="B567" s="922"/>
      <c r="C567" s="926" t="s">
        <v>5505</v>
      </c>
      <c r="D567" s="924"/>
      <c r="E567" s="921"/>
      <c r="F567" s="924"/>
    </row>
    <row r="568" spans="1:6" ht="20.25" customHeight="1">
      <c r="A568" s="921"/>
      <c r="B568" s="922"/>
      <c r="C568" s="925" t="s">
        <v>5506</v>
      </c>
      <c r="D568" s="959"/>
      <c r="E568" s="960"/>
      <c r="F568" s="959"/>
    </row>
    <row r="569" spans="1:6" ht="20.25" customHeight="1">
      <c r="A569" s="921"/>
      <c r="B569" s="922"/>
      <c r="C569" s="926" t="s">
        <v>5507</v>
      </c>
      <c r="D569" s="959"/>
      <c r="E569" s="960"/>
      <c r="F569" s="959"/>
    </row>
    <row r="570" spans="1:6" ht="20.25" customHeight="1">
      <c r="A570" s="921">
        <v>105.6</v>
      </c>
      <c r="B570" s="922" t="s">
        <v>929</v>
      </c>
      <c r="C570" s="926" t="s">
        <v>5320</v>
      </c>
      <c r="D570" s="924">
        <f>D506</f>
        <v>57.6</v>
      </c>
      <c r="E570" s="921" t="s">
        <v>929</v>
      </c>
      <c r="F570" s="924">
        <f>D570*A570</f>
        <v>6082.56</v>
      </c>
    </row>
    <row r="571" spans="1:6" ht="20.25" customHeight="1">
      <c r="A571" s="921"/>
      <c r="B571" s="922"/>
      <c r="C571" s="925" t="s">
        <v>5266</v>
      </c>
      <c r="D571" s="924">
        <f t="shared" ref="D571:D581" si="22">D507</f>
        <v>0</v>
      </c>
      <c r="E571" s="921"/>
      <c r="F571" s="924"/>
    </row>
    <row r="572" spans="1:6" ht="20.25" customHeight="1">
      <c r="A572" s="921"/>
      <c r="B572" s="922"/>
      <c r="C572" s="926" t="s">
        <v>4336</v>
      </c>
      <c r="D572" s="924">
        <f t="shared" si="22"/>
        <v>0</v>
      </c>
      <c r="E572" s="921"/>
      <c r="F572" s="924"/>
    </row>
    <row r="573" spans="1:6" ht="20.25" customHeight="1">
      <c r="A573" s="921"/>
      <c r="B573" s="922"/>
      <c r="C573" s="926" t="s">
        <v>5038</v>
      </c>
      <c r="D573" s="924">
        <f t="shared" si="22"/>
        <v>0</v>
      </c>
      <c r="E573" s="921"/>
      <c r="F573" s="924"/>
    </row>
    <row r="574" spans="1:6" ht="20.25" customHeight="1">
      <c r="A574" s="921"/>
      <c r="B574" s="922"/>
      <c r="C574" s="926" t="s">
        <v>4338</v>
      </c>
      <c r="D574" s="924">
        <f t="shared" si="22"/>
        <v>0</v>
      </c>
      <c r="E574" s="921"/>
      <c r="F574" s="924"/>
    </row>
    <row r="575" spans="1:6" ht="20.25" customHeight="1">
      <c r="A575" s="921"/>
      <c r="B575" s="922"/>
      <c r="C575" s="926" t="s">
        <v>5037</v>
      </c>
      <c r="D575" s="924">
        <f t="shared" si="22"/>
        <v>0</v>
      </c>
      <c r="E575" s="921"/>
      <c r="F575" s="924"/>
    </row>
    <row r="576" spans="1:6" ht="20.25" customHeight="1">
      <c r="A576" s="921"/>
      <c r="B576" s="922"/>
      <c r="C576" s="926" t="s">
        <v>5508</v>
      </c>
      <c r="D576" s="924">
        <f t="shared" si="22"/>
        <v>0</v>
      </c>
      <c r="E576" s="921"/>
      <c r="F576" s="924"/>
    </row>
    <row r="577" spans="1:6" ht="20.25" customHeight="1">
      <c r="A577" s="921"/>
      <c r="B577" s="922"/>
      <c r="C577" s="926" t="s">
        <v>5478</v>
      </c>
      <c r="D577" s="924">
        <f t="shared" si="22"/>
        <v>0</v>
      </c>
      <c r="E577" s="921"/>
      <c r="F577" s="924"/>
    </row>
    <row r="578" spans="1:6" ht="20.25" customHeight="1">
      <c r="A578" s="921"/>
      <c r="B578" s="922"/>
      <c r="C578" s="926" t="s">
        <v>5479</v>
      </c>
      <c r="D578" s="924">
        <f t="shared" si="22"/>
        <v>0</v>
      </c>
      <c r="E578" s="921"/>
      <c r="F578" s="924"/>
    </row>
    <row r="579" spans="1:6" ht="20.25" customHeight="1">
      <c r="A579" s="921">
        <v>41.1</v>
      </c>
      <c r="B579" s="922" t="s">
        <v>929</v>
      </c>
      <c r="C579" s="926" t="s">
        <v>5480</v>
      </c>
      <c r="D579" s="924">
        <f t="shared" si="22"/>
        <v>57.6</v>
      </c>
      <c r="E579" s="921" t="s">
        <v>929</v>
      </c>
      <c r="F579" s="924">
        <f>D579*A579</f>
        <v>2367.36</v>
      </c>
    </row>
    <row r="580" spans="1:6" ht="20.25" customHeight="1">
      <c r="A580" s="921"/>
      <c r="B580" s="922"/>
      <c r="C580" s="925" t="s">
        <v>4344</v>
      </c>
      <c r="D580" s="924">
        <f t="shared" si="22"/>
        <v>0</v>
      </c>
      <c r="E580" s="921"/>
      <c r="F580" s="924"/>
    </row>
    <row r="581" spans="1:6" ht="20.25" customHeight="1">
      <c r="A581" s="921"/>
      <c r="B581" s="922"/>
      <c r="C581" s="926" t="s">
        <v>5509</v>
      </c>
      <c r="D581" s="924">
        <f t="shared" si="22"/>
        <v>0</v>
      </c>
      <c r="E581" s="921"/>
      <c r="F581" s="924"/>
    </row>
    <row r="582" spans="1:6" ht="20.25" customHeight="1">
      <c r="A582" s="921"/>
      <c r="B582" s="922"/>
      <c r="C582" s="926" t="s">
        <v>5484</v>
      </c>
      <c r="D582" s="924">
        <f t="shared" ref="D582:D592" si="23">D520</f>
        <v>0</v>
      </c>
      <c r="E582" s="921"/>
      <c r="F582" s="924"/>
    </row>
    <row r="583" spans="1:6" ht="20.25" customHeight="1">
      <c r="A583" s="921"/>
      <c r="B583" s="922"/>
      <c r="C583" s="926" t="s">
        <v>5267</v>
      </c>
      <c r="D583" s="924">
        <f t="shared" si="23"/>
        <v>0</v>
      </c>
      <c r="E583" s="921"/>
      <c r="F583" s="924"/>
    </row>
    <row r="584" spans="1:6" ht="20.25" customHeight="1">
      <c r="A584" s="921"/>
      <c r="B584" s="922"/>
      <c r="C584" s="926" t="s">
        <v>5510</v>
      </c>
      <c r="D584" s="924">
        <f t="shared" si="23"/>
        <v>0</v>
      </c>
      <c r="E584" s="921"/>
      <c r="F584" s="924"/>
    </row>
    <row r="585" spans="1:6" ht="20.25" customHeight="1">
      <c r="A585" s="921"/>
      <c r="B585" s="922"/>
      <c r="C585" s="926" t="s">
        <v>5511</v>
      </c>
      <c r="D585" s="924">
        <f t="shared" si="23"/>
        <v>0</v>
      </c>
      <c r="E585" s="921"/>
      <c r="F585" s="924"/>
    </row>
    <row r="586" spans="1:6" ht="20.25" customHeight="1">
      <c r="A586" s="921"/>
      <c r="B586" s="922"/>
      <c r="C586" s="926"/>
      <c r="D586" s="924">
        <f t="shared" si="23"/>
        <v>0</v>
      </c>
      <c r="E586" s="921"/>
      <c r="F586" s="924"/>
    </row>
    <row r="587" spans="1:6" ht="20.25" customHeight="1">
      <c r="A587" s="921"/>
      <c r="B587" s="922"/>
      <c r="C587" s="926" t="s">
        <v>5512</v>
      </c>
      <c r="D587" s="924">
        <f t="shared" si="23"/>
        <v>0</v>
      </c>
      <c r="E587" s="921"/>
      <c r="F587" s="924"/>
    </row>
    <row r="588" spans="1:6" ht="20.25" customHeight="1">
      <c r="A588" s="921"/>
      <c r="B588" s="922"/>
      <c r="C588" s="926" t="s">
        <v>5513</v>
      </c>
      <c r="D588" s="924">
        <f t="shared" si="23"/>
        <v>0</v>
      </c>
      <c r="E588" s="921"/>
      <c r="F588" s="924"/>
    </row>
    <row r="589" spans="1:6" ht="20.25" customHeight="1">
      <c r="A589" s="921"/>
      <c r="B589" s="922"/>
      <c r="C589" s="926" t="s">
        <v>5514</v>
      </c>
      <c r="D589" s="924">
        <f t="shared" si="23"/>
        <v>0</v>
      </c>
      <c r="E589" s="921"/>
      <c r="F589" s="924"/>
    </row>
    <row r="590" spans="1:6" ht="20.25" customHeight="1">
      <c r="A590" s="921">
        <v>19.16</v>
      </c>
      <c r="B590" s="922" t="s">
        <v>929</v>
      </c>
      <c r="C590" s="926" t="s">
        <v>5268</v>
      </c>
      <c r="D590" s="924">
        <f t="shared" si="23"/>
        <v>562</v>
      </c>
      <c r="E590" s="921" t="s">
        <v>929</v>
      </c>
      <c r="F590" s="924">
        <f>SUM(A590*D590)</f>
        <v>10767.92</v>
      </c>
    </row>
    <row r="591" spans="1:6" ht="20.25" customHeight="1">
      <c r="A591" s="921">
        <f>A590</f>
        <v>19.16</v>
      </c>
      <c r="B591" s="922" t="s">
        <v>929</v>
      </c>
      <c r="C591" s="926" t="s">
        <v>4356</v>
      </c>
      <c r="D591" s="924">
        <f t="shared" si="23"/>
        <v>10</v>
      </c>
      <c r="E591" s="921" t="s">
        <v>929</v>
      </c>
      <c r="F591" s="924">
        <f>SUM(A591*D591)</f>
        <v>191.6</v>
      </c>
    </row>
    <row r="592" spans="1:6" ht="20.25" customHeight="1">
      <c r="A592" s="921">
        <v>503</v>
      </c>
      <c r="B592" s="922" t="s">
        <v>156</v>
      </c>
      <c r="C592" s="926" t="s">
        <v>5269</v>
      </c>
      <c r="D592" s="924">
        <f t="shared" si="23"/>
        <v>1</v>
      </c>
      <c r="E592" s="921" t="s">
        <v>4363</v>
      </c>
      <c r="F592" s="924">
        <f>SUM(A592*D592)</f>
        <v>503</v>
      </c>
    </row>
    <row r="593" spans="1:6" ht="20.25" customHeight="1">
      <c r="A593" s="921">
        <v>1</v>
      </c>
      <c r="B593" s="922" t="s">
        <v>1051</v>
      </c>
      <c r="C593" s="926" t="s">
        <v>5515</v>
      </c>
      <c r="D593" s="924">
        <v>5885</v>
      </c>
      <c r="E593" s="921" t="s">
        <v>1746</v>
      </c>
      <c r="F593" s="924">
        <f>SUM(A593*D593)</f>
        <v>5885</v>
      </c>
    </row>
    <row r="594" spans="1:6" ht="20.25" customHeight="1">
      <c r="A594" s="921">
        <v>6</v>
      </c>
      <c r="B594" s="922" t="s">
        <v>1051</v>
      </c>
      <c r="C594" s="926" t="s">
        <v>5516</v>
      </c>
      <c r="D594" s="924">
        <v>2372</v>
      </c>
      <c r="E594" s="921" t="s">
        <v>1746</v>
      </c>
      <c r="F594" s="924">
        <f>SUM(A594*D594)</f>
        <v>14232</v>
      </c>
    </row>
    <row r="595" spans="1:6" ht="20.25" customHeight="1">
      <c r="A595" s="921"/>
      <c r="B595" s="922"/>
      <c r="C595" s="926" t="s">
        <v>5359</v>
      </c>
      <c r="D595" s="924">
        <f>D533</f>
        <v>0</v>
      </c>
      <c r="E595" s="921"/>
      <c r="F595" s="924"/>
    </row>
    <row r="596" spans="1:6" ht="20.25" customHeight="1">
      <c r="A596" s="921"/>
      <c r="B596" s="922"/>
      <c r="C596" s="926" t="s">
        <v>5517</v>
      </c>
      <c r="D596" s="924">
        <f>D534</f>
        <v>0</v>
      </c>
      <c r="E596" s="921"/>
      <c r="F596" s="924"/>
    </row>
    <row r="597" spans="1:6" ht="20.25" customHeight="1">
      <c r="A597" s="921">
        <v>1.44</v>
      </c>
      <c r="B597" s="922" t="s">
        <v>5365</v>
      </c>
      <c r="C597" s="926" t="s">
        <v>5518</v>
      </c>
      <c r="D597" s="924">
        <f>D535</f>
        <v>1322</v>
      </c>
      <c r="E597" s="922" t="s">
        <v>5365</v>
      </c>
      <c r="F597" s="924">
        <f t="shared" ref="F597:F606" si="24">SUM(A597*D597)</f>
        <v>1903.68</v>
      </c>
    </row>
    <row r="598" spans="1:6" ht="20.25" customHeight="1">
      <c r="A598" s="921">
        <v>12</v>
      </c>
      <c r="B598" s="922" t="s">
        <v>1457</v>
      </c>
      <c r="C598" s="926" t="s">
        <v>4368</v>
      </c>
      <c r="D598" s="924">
        <f>D536</f>
        <v>20</v>
      </c>
      <c r="E598" s="921" t="s">
        <v>1746</v>
      </c>
      <c r="F598" s="924">
        <f t="shared" si="24"/>
        <v>240</v>
      </c>
    </row>
    <row r="599" spans="1:6" ht="20.25" customHeight="1">
      <c r="A599" s="921">
        <v>1</v>
      </c>
      <c r="B599" s="922" t="s">
        <v>1457</v>
      </c>
      <c r="C599" s="926" t="s">
        <v>4369</v>
      </c>
      <c r="D599" s="924">
        <f>D537</f>
        <v>280</v>
      </c>
      <c r="E599" s="921" t="s">
        <v>1746</v>
      </c>
      <c r="F599" s="924">
        <f t="shared" si="24"/>
        <v>280</v>
      </c>
    </row>
    <row r="600" spans="1:6" ht="20.25" customHeight="1">
      <c r="A600" s="921">
        <v>3</v>
      </c>
      <c r="B600" s="922" t="s">
        <v>1457</v>
      </c>
      <c r="C600" s="926" t="s">
        <v>5519</v>
      </c>
      <c r="D600" s="924">
        <v>550</v>
      </c>
      <c r="E600" s="921" t="s">
        <v>1746</v>
      </c>
      <c r="F600" s="924">
        <f>SUM(A600*D600)</f>
        <v>1650</v>
      </c>
    </row>
    <row r="601" spans="1:6" ht="20.25" customHeight="1">
      <c r="A601" s="921">
        <v>1</v>
      </c>
      <c r="B601" s="922" t="s">
        <v>1457</v>
      </c>
      <c r="C601" s="926" t="s">
        <v>5520</v>
      </c>
      <c r="D601" s="924">
        <v>144</v>
      </c>
      <c r="E601" s="921" t="s">
        <v>1746</v>
      </c>
      <c r="F601" s="924">
        <f>SUM(A601*D601)</f>
        <v>144</v>
      </c>
    </row>
    <row r="602" spans="1:6" ht="20.25" customHeight="1">
      <c r="A602" s="921">
        <v>5</v>
      </c>
      <c r="B602" s="922" t="s">
        <v>842</v>
      </c>
      <c r="C602" s="926" t="s">
        <v>5521</v>
      </c>
      <c r="D602" s="924">
        <v>295</v>
      </c>
      <c r="E602" s="921" t="s">
        <v>1746</v>
      </c>
      <c r="F602" s="924">
        <f t="shared" si="24"/>
        <v>1475</v>
      </c>
    </row>
    <row r="603" spans="1:6" ht="20.25" customHeight="1">
      <c r="A603" s="921">
        <v>105.6</v>
      </c>
      <c r="B603" s="922" t="s">
        <v>929</v>
      </c>
      <c r="C603" s="926" t="s">
        <v>5272</v>
      </c>
      <c r="D603" s="924">
        <f>D540</f>
        <v>52.5</v>
      </c>
      <c r="E603" s="922" t="s">
        <v>929</v>
      </c>
      <c r="F603" s="924">
        <f t="shared" si="24"/>
        <v>5544</v>
      </c>
    </row>
    <row r="604" spans="1:6" ht="20.25" customHeight="1">
      <c r="A604" s="921">
        <v>41.1</v>
      </c>
      <c r="B604" s="922" t="s">
        <v>929</v>
      </c>
      <c r="C604" s="926" t="s">
        <v>5273</v>
      </c>
      <c r="D604" s="924">
        <f>D541</f>
        <v>52.5</v>
      </c>
      <c r="E604" s="922" t="s">
        <v>929</v>
      </c>
      <c r="F604" s="924">
        <f t="shared" si="24"/>
        <v>2157.75</v>
      </c>
    </row>
    <row r="605" spans="1:6" ht="20.25" customHeight="1">
      <c r="A605" s="921">
        <v>7</v>
      </c>
      <c r="B605" s="922" t="s">
        <v>1457</v>
      </c>
      <c r="C605" s="926" t="s">
        <v>5522</v>
      </c>
      <c r="D605" s="924">
        <v>1898</v>
      </c>
      <c r="E605" s="922" t="s">
        <v>1746</v>
      </c>
      <c r="F605" s="924">
        <f t="shared" si="24"/>
        <v>13286</v>
      </c>
    </row>
    <row r="606" spans="1:6" ht="20.25" customHeight="1">
      <c r="A606" s="921">
        <v>180.5</v>
      </c>
      <c r="B606" s="922" t="s">
        <v>4371</v>
      </c>
      <c r="C606" s="926" t="s">
        <v>4372</v>
      </c>
      <c r="D606" s="924">
        <f>D543</f>
        <v>10</v>
      </c>
      <c r="E606" s="922" t="s">
        <v>4373</v>
      </c>
      <c r="F606" s="924">
        <f t="shared" si="24"/>
        <v>1805</v>
      </c>
    </row>
    <row r="607" spans="1:6" ht="20.25" customHeight="1">
      <c r="A607" s="921"/>
      <c r="B607" s="922"/>
      <c r="C607" s="926" t="s">
        <v>4376</v>
      </c>
      <c r="D607" s="924">
        <f>D544</f>
        <v>0</v>
      </c>
      <c r="E607" s="921"/>
      <c r="F607" s="924">
        <v>300</v>
      </c>
    </row>
    <row r="608" spans="1:6" ht="20.25" customHeight="1">
      <c r="A608" s="921"/>
      <c r="B608" s="922"/>
      <c r="C608" s="926"/>
      <c r="D608" s="924"/>
      <c r="E608" s="921"/>
      <c r="F608" s="927">
        <f>SUM(F570:F607)</f>
        <v>68814.87</v>
      </c>
    </row>
    <row r="609" spans="1:6" ht="20.25" customHeight="1">
      <c r="A609" s="921"/>
      <c r="B609" s="922"/>
      <c r="C609" s="926" t="s">
        <v>4377</v>
      </c>
      <c r="D609" s="924"/>
      <c r="E609" s="921"/>
      <c r="F609" s="924">
        <f>F608*2%</f>
        <v>1376.3</v>
      </c>
    </row>
    <row r="610" spans="1:6" ht="20.25" customHeight="1">
      <c r="A610" s="921"/>
      <c r="B610" s="922"/>
      <c r="C610" s="926" t="s">
        <v>4379</v>
      </c>
      <c r="D610" s="924"/>
      <c r="E610" s="921"/>
      <c r="F610" s="924">
        <v>2000</v>
      </c>
    </row>
    <row r="611" spans="1:6" ht="20.25" customHeight="1">
      <c r="A611" s="921"/>
      <c r="B611" s="922"/>
      <c r="C611" s="926" t="s">
        <v>4380</v>
      </c>
      <c r="D611" s="924"/>
      <c r="E611" s="921"/>
      <c r="F611" s="924">
        <v>3500</v>
      </c>
    </row>
    <row r="612" spans="1:6" ht="20.25" customHeight="1">
      <c r="A612" s="921"/>
      <c r="B612" s="922"/>
      <c r="C612" s="926"/>
      <c r="D612" s="924"/>
      <c r="E612" s="921"/>
      <c r="F612" s="927">
        <f>SUM(F608:F611)</f>
        <v>75691.17</v>
      </c>
    </row>
    <row r="613" spans="1:6" ht="20.25" customHeight="1">
      <c r="A613" s="921"/>
      <c r="B613" s="934"/>
      <c r="C613" s="926"/>
      <c r="D613" s="935"/>
      <c r="E613" s="923" t="s">
        <v>5265</v>
      </c>
      <c r="F613" s="936">
        <v>73300</v>
      </c>
    </row>
    <row r="614" spans="1:6" ht="20.25" customHeight="1">
      <c r="A614" s="992"/>
      <c r="B614" s="992"/>
      <c r="C614" s="992"/>
      <c r="D614" s="993"/>
      <c r="E614" s="992"/>
      <c r="F614" s="992"/>
    </row>
    <row r="630" spans="1:11" ht="20.25" customHeight="1">
      <c r="A630" s="941"/>
      <c r="B630" s="941"/>
      <c r="C630" s="961" t="s">
        <v>251</v>
      </c>
      <c r="D630" s="941"/>
      <c r="E630" s="962" t="s">
        <v>5025</v>
      </c>
      <c r="F630" s="941"/>
    </row>
    <row r="631" spans="1:11" ht="20.25" customHeight="1">
      <c r="A631" s="941"/>
      <c r="B631" s="941"/>
      <c r="C631" s="963" t="s">
        <v>664</v>
      </c>
      <c r="D631" s="941"/>
      <c r="E631" s="964"/>
      <c r="F631" s="941"/>
    </row>
    <row r="632" spans="1:11" ht="20.25" customHeight="1">
      <c r="A632" s="965" t="s">
        <v>1614</v>
      </c>
      <c r="B632" s="966" t="s">
        <v>992</v>
      </c>
      <c r="C632" s="962" t="s">
        <v>4985</v>
      </c>
      <c r="D632" s="941"/>
      <c r="E632" s="961" t="s">
        <v>4828</v>
      </c>
      <c r="F632" s="941"/>
    </row>
    <row r="633" spans="1:11" ht="20.25" customHeight="1">
      <c r="A633" s="967" t="s">
        <v>1615</v>
      </c>
      <c r="B633" s="967" t="s">
        <v>1615</v>
      </c>
      <c r="C633" s="967" t="s">
        <v>1615</v>
      </c>
      <c r="D633" s="967" t="s">
        <v>1615</v>
      </c>
      <c r="E633" s="967" t="s">
        <v>1615</v>
      </c>
      <c r="F633" s="967" t="s">
        <v>1615</v>
      </c>
    </row>
    <row r="634" spans="1:11" ht="20.25" customHeight="1">
      <c r="A634" s="965" t="s">
        <v>1617</v>
      </c>
      <c r="B634" s="966" t="s">
        <v>992</v>
      </c>
      <c r="C634" s="968" t="s">
        <v>1618</v>
      </c>
      <c r="D634" s="968" t="s">
        <v>1619</v>
      </c>
      <c r="E634" s="968" t="s">
        <v>1620</v>
      </c>
      <c r="F634" s="968" t="s">
        <v>1621</v>
      </c>
      <c r="J634" s="937">
        <f>12*7177.33</f>
        <v>86127.96</v>
      </c>
      <c r="K634" s="937">
        <f>12*7177.33</f>
        <v>86127.96</v>
      </c>
    </row>
    <row r="635" spans="1:11" ht="20.25" customHeight="1">
      <c r="A635" s="967" t="s">
        <v>1615</v>
      </c>
      <c r="B635" s="967" t="s">
        <v>1615</v>
      </c>
      <c r="C635" s="967" t="s">
        <v>1615</v>
      </c>
      <c r="D635" s="967" t="s">
        <v>1615</v>
      </c>
      <c r="E635" s="967" t="s">
        <v>1615</v>
      </c>
      <c r="F635" s="967" t="s">
        <v>1615</v>
      </c>
      <c r="J635" s="937">
        <f>J634*10.764</f>
        <v>927081.36144000001</v>
      </c>
      <c r="K635" s="937">
        <f>K634*10.764</f>
        <v>927081.36144000001</v>
      </c>
    </row>
    <row r="636" spans="1:11" ht="20.25" customHeight="1">
      <c r="A636" s="879"/>
      <c r="B636" s="880"/>
      <c r="C636" s="883" t="s">
        <v>4326</v>
      </c>
      <c r="D636" s="879"/>
      <c r="E636" s="882"/>
      <c r="F636" s="879"/>
      <c r="J636" s="937">
        <v>18975.18</v>
      </c>
      <c r="K636" s="937">
        <v>18650.7</v>
      </c>
    </row>
    <row r="637" spans="1:11" ht="20.25" customHeight="1">
      <c r="A637" s="879"/>
      <c r="B637" s="880"/>
      <c r="C637" s="884" t="s">
        <v>4986</v>
      </c>
      <c r="D637" s="879"/>
      <c r="E637" s="882">
        <f>3.3*3.3*2+6.6+6.6+6.6</f>
        <v>41.58</v>
      </c>
      <c r="F637" s="879"/>
      <c r="J637" s="937">
        <f>J636*100000</f>
        <v>1897518000</v>
      </c>
      <c r="K637" s="937">
        <f>K636*100000</f>
        <v>1865070000</v>
      </c>
    </row>
    <row r="638" spans="1:11" ht="20.25" customHeight="1">
      <c r="A638" s="879"/>
      <c r="B638" s="880"/>
      <c r="C638" s="884" t="s">
        <v>4987</v>
      </c>
      <c r="D638" s="879"/>
      <c r="E638" s="882"/>
      <c r="F638" s="879"/>
      <c r="J638" s="937">
        <f>J637/J635</f>
        <v>2046.76534220541</v>
      </c>
      <c r="K638" s="937">
        <f>K637/K635</f>
        <v>2011.76517787291</v>
      </c>
    </row>
    <row r="639" spans="1:11" ht="20.25" customHeight="1">
      <c r="A639" s="879"/>
      <c r="B639" s="880"/>
      <c r="C639" s="884" t="s">
        <v>4988</v>
      </c>
      <c r="D639" s="879"/>
      <c r="E639" s="882"/>
      <c r="F639" s="879"/>
    </row>
    <row r="640" spans="1:11" ht="20.25" customHeight="1">
      <c r="A640" s="879"/>
      <c r="B640" s="880"/>
      <c r="C640" s="884" t="s">
        <v>4989</v>
      </c>
      <c r="D640" s="879"/>
      <c r="E640" s="882"/>
      <c r="F640" s="879"/>
    </row>
    <row r="641" spans="1:6" ht="20.25" customHeight="1">
      <c r="A641" s="879"/>
      <c r="B641" s="880"/>
      <c r="C641" s="884" t="s">
        <v>4990</v>
      </c>
      <c r="D641" s="879"/>
      <c r="E641" s="882"/>
      <c r="F641" s="879"/>
    </row>
    <row r="642" spans="1:6" ht="20.25" customHeight="1">
      <c r="A642" s="879"/>
      <c r="B642" s="880"/>
      <c r="C642" s="884" t="s">
        <v>4991</v>
      </c>
      <c r="D642" s="879"/>
      <c r="E642" s="882"/>
      <c r="F642" s="879"/>
    </row>
    <row r="643" spans="1:6" ht="20.25" customHeight="1">
      <c r="A643" s="879"/>
      <c r="B643" s="880"/>
      <c r="C643" s="884" t="s">
        <v>4992</v>
      </c>
      <c r="D643" s="879"/>
      <c r="E643" s="882"/>
      <c r="F643" s="879"/>
    </row>
    <row r="644" spans="1:6" ht="20.25" customHeight="1">
      <c r="A644" s="879"/>
      <c r="B644" s="880"/>
      <c r="C644" s="884" t="s">
        <v>4993</v>
      </c>
      <c r="D644" s="879"/>
      <c r="E644" s="882"/>
      <c r="F644" s="879"/>
    </row>
    <row r="645" spans="1:6" ht="20.25" customHeight="1">
      <c r="A645" s="888">
        <v>105.6</v>
      </c>
      <c r="B645" s="880" t="s">
        <v>929</v>
      </c>
      <c r="C645" s="884" t="s">
        <v>4994</v>
      </c>
      <c r="D645" s="879">
        <f>D570</f>
        <v>57.6</v>
      </c>
      <c r="E645" s="882" t="s">
        <v>929</v>
      </c>
      <c r="F645" s="879">
        <f>D645*A645</f>
        <v>6082.56</v>
      </c>
    </row>
    <row r="646" spans="1:6" ht="20.25" customHeight="1">
      <c r="A646" s="951"/>
      <c r="B646" s="880"/>
      <c r="C646" s="883" t="s">
        <v>4335</v>
      </c>
      <c r="D646" s="879"/>
      <c r="E646" s="882"/>
      <c r="F646" s="879"/>
    </row>
    <row r="647" spans="1:6" ht="20.25" customHeight="1">
      <c r="A647" s="879"/>
      <c r="B647" s="880"/>
      <c r="C647" s="884" t="s">
        <v>4336</v>
      </c>
      <c r="D647" s="879"/>
      <c r="E647" s="882"/>
      <c r="F647" s="879"/>
    </row>
    <row r="648" spans="1:6" ht="20.25" customHeight="1">
      <c r="A648" s="879"/>
      <c r="B648" s="880"/>
      <c r="C648" s="884" t="s">
        <v>4995</v>
      </c>
      <c r="D648" s="879"/>
      <c r="E648" s="882"/>
      <c r="F648" s="879"/>
    </row>
    <row r="649" spans="1:6" ht="20.25" customHeight="1">
      <c r="A649" s="879"/>
      <c r="B649" s="880"/>
      <c r="C649" s="884" t="s">
        <v>4996</v>
      </c>
      <c r="D649" s="879"/>
      <c r="E649" s="882"/>
      <c r="F649" s="879"/>
    </row>
    <row r="650" spans="1:6" ht="20.25" customHeight="1">
      <c r="A650" s="879"/>
      <c r="B650" s="880"/>
      <c r="C650" s="884" t="s">
        <v>4339</v>
      </c>
      <c r="D650" s="879"/>
      <c r="E650" s="882"/>
      <c r="F650" s="879"/>
    </row>
    <row r="651" spans="1:6" ht="20.25" customHeight="1">
      <c r="A651" s="879"/>
      <c r="B651" s="880"/>
      <c r="C651" s="884" t="s">
        <v>4997</v>
      </c>
      <c r="D651" s="879"/>
      <c r="E651" s="882"/>
      <c r="F651" s="879"/>
    </row>
    <row r="652" spans="1:6" ht="20.25" customHeight="1">
      <c r="A652" s="879"/>
      <c r="B652" s="880"/>
      <c r="C652" s="884" t="s">
        <v>4998</v>
      </c>
      <c r="D652" s="879"/>
      <c r="E652" s="882"/>
      <c r="F652" s="879"/>
    </row>
    <row r="653" spans="1:6" ht="20.25" customHeight="1">
      <c r="A653" s="879"/>
      <c r="B653" s="880"/>
      <c r="C653" s="884" t="s">
        <v>4999</v>
      </c>
      <c r="D653" s="879"/>
      <c r="E653" s="882"/>
      <c r="F653" s="879"/>
    </row>
    <row r="654" spans="1:6" ht="20.25" customHeight="1">
      <c r="A654" s="879">
        <v>41.1</v>
      </c>
      <c r="B654" s="880" t="s">
        <v>929</v>
      </c>
      <c r="C654" s="884" t="s">
        <v>4343</v>
      </c>
      <c r="D654" s="879">
        <f>D645</f>
        <v>57.6</v>
      </c>
      <c r="E654" s="882" t="s">
        <v>929</v>
      </c>
      <c r="F654" s="879">
        <f>SUM(A654*D654)</f>
        <v>2367.36</v>
      </c>
    </row>
    <row r="655" spans="1:6" ht="20.25" customHeight="1">
      <c r="A655" s="879"/>
      <c r="B655" s="880"/>
      <c r="C655" s="883" t="s">
        <v>4344</v>
      </c>
      <c r="D655" s="879"/>
      <c r="E655" s="882"/>
      <c r="F655" s="879"/>
    </row>
    <row r="656" spans="1:6" ht="20.25" customHeight="1">
      <c r="A656" s="879"/>
      <c r="B656" s="880"/>
      <c r="C656" s="884" t="s">
        <v>5000</v>
      </c>
      <c r="D656" s="879"/>
      <c r="E656" s="882"/>
      <c r="F656" s="879"/>
    </row>
    <row r="657" spans="1:6" ht="20.25" customHeight="1">
      <c r="A657" s="879"/>
      <c r="B657" s="880"/>
      <c r="C657" s="884" t="s">
        <v>5001</v>
      </c>
      <c r="D657" s="879"/>
      <c r="E657" s="882"/>
      <c r="F657" s="879"/>
    </row>
    <row r="658" spans="1:6" ht="20.25" customHeight="1">
      <c r="A658" s="879"/>
      <c r="B658" s="880"/>
      <c r="C658" s="884" t="s">
        <v>5002</v>
      </c>
      <c r="D658" s="879"/>
      <c r="E658" s="882"/>
      <c r="F658" s="879"/>
    </row>
    <row r="659" spans="1:6" ht="20.25" customHeight="1">
      <c r="A659" s="879"/>
      <c r="B659" s="880"/>
      <c r="C659" s="884" t="s">
        <v>5003</v>
      </c>
      <c r="D659" s="879"/>
      <c r="E659" s="882"/>
      <c r="F659" s="879"/>
    </row>
    <row r="660" spans="1:6" ht="20.25" customHeight="1">
      <c r="A660" s="879"/>
      <c r="B660" s="880"/>
      <c r="C660" s="884" t="s">
        <v>5004</v>
      </c>
      <c r="D660" s="879"/>
      <c r="E660" s="882"/>
      <c r="F660" s="879"/>
    </row>
    <row r="661" spans="1:6" ht="20.25" customHeight="1">
      <c r="A661" s="884"/>
      <c r="B661" s="884"/>
      <c r="C661" s="884" t="s">
        <v>5005</v>
      </c>
      <c r="D661" s="884"/>
      <c r="E661" s="884"/>
      <c r="F661" s="884"/>
    </row>
    <row r="662" spans="1:6" ht="20.25" customHeight="1">
      <c r="A662" s="879"/>
      <c r="B662" s="880"/>
      <c r="C662" s="884" t="s">
        <v>4349</v>
      </c>
      <c r="D662" s="879"/>
      <c r="E662" s="882"/>
      <c r="F662" s="879"/>
    </row>
    <row r="663" spans="1:6" ht="20.25" customHeight="1">
      <c r="A663" s="879"/>
      <c r="B663" s="880"/>
      <c r="C663" s="884" t="s">
        <v>5006</v>
      </c>
      <c r="D663" s="879"/>
      <c r="E663" s="882"/>
      <c r="F663" s="879"/>
    </row>
    <row r="664" spans="1:6" ht="20.25" customHeight="1">
      <c r="A664" s="879"/>
      <c r="B664" s="880"/>
      <c r="C664" s="884" t="s">
        <v>5007</v>
      </c>
      <c r="D664" s="879"/>
      <c r="E664" s="882"/>
      <c r="F664" s="879"/>
    </row>
    <row r="665" spans="1:6" ht="20.25" customHeight="1">
      <c r="A665" s="879"/>
      <c r="B665" s="880"/>
      <c r="C665" s="884" t="s">
        <v>5008</v>
      </c>
      <c r="D665" s="879"/>
      <c r="E665" s="882"/>
      <c r="F665" s="879"/>
    </row>
    <row r="666" spans="1:6" ht="20.25" customHeight="1">
      <c r="A666" s="879"/>
      <c r="B666" s="880"/>
      <c r="C666" s="884"/>
      <c r="D666" s="879"/>
      <c r="E666" s="882"/>
      <c r="F666" s="879"/>
    </row>
    <row r="667" spans="1:6" ht="20.25" customHeight="1">
      <c r="A667" s="879">
        <v>11.68</v>
      </c>
      <c r="B667" s="880" t="s">
        <v>929</v>
      </c>
      <c r="C667" s="884" t="s">
        <v>5009</v>
      </c>
      <c r="D667" s="879">
        <f>D590</f>
        <v>562</v>
      </c>
      <c r="E667" s="882" t="s">
        <v>929</v>
      </c>
      <c r="F667" s="879">
        <f>SUM(A667*D667)</f>
        <v>6564.16</v>
      </c>
    </row>
    <row r="668" spans="1:6" ht="20.25" customHeight="1">
      <c r="A668" s="879">
        <f>A667</f>
        <v>11.68</v>
      </c>
      <c r="B668" s="880" t="s">
        <v>929</v>
      </c>
      <c r="C668" s="884" t="s">
        <v>4356</v>
      </c>
      <c r="D668" s="879">
        <f>D591</f>
        <v>10</v>
      </c>
      <c r="E668" s="882" t="s">
        <v>929</v>
      </c>
      <c r="F668" s="879">
        <f>SUM(A668*D668)</f>
        <v>116.8</v>
      </c>
    </row>
    <row r="669" spans="1:6" ht="20.25" customHeight="1">
      <c r="A669" s="879">
        <v>503</v>
      </c>
      <c r="B669" s="880" t="s">
        <v>4363</v>
      </c>
      <c r="C669" s="884" t="s">
        <v>4364</v>
      </c>
      <c r="D669" s="879">
        <f>D592</f>
        <v>1</v>
      </c>
      <c r="E669" s="882" t="s">
        <v>4363</v>
      </c>
      <c r="F669" s="879">
        <f>SUM(A669*D669)</f>
        <v>503</v>
      </c>
    </row>
    <row r="670" spans="1:6" ht="20.25" customHeight="1">
      <c r="A670" s="879">
        <v>1</v>
      </c>
      <c r="B670" s="880" t="s">
        <v>1419</v>
      </c>
      <c r="C670" s="884" t="s">
        <v>5010</v>
      </c>
      <c r="D670" s="879">
        <v>8577</v>
      </c>
      <c r="E670" s="882" t="str">
        <f>B670</f>
        <v>No</v>
      </c>
      <c r="F670" s="879">
        <f t="shared" ref="F670:F680" si="25">SUM(A670*D670)</f>
        <v>8577</v>
      </c>
    </row>
    <row r="671" spans="1:6" ht="20.25" customHeight="1">
      <c r="A671" s="879">
        <v>6</v>
      </c>
      <c r="B671" s="880" t="s">
        <v>1419</v>
      </c>
      <c r="C671" s="884" t="s">
        <v>5011</v>
      </c>
      <c r="D671" s="879">
        <v>2349</v>
      </c>
      <c r="E671" s="882" t="str">
        <f>B671</f>
        <v>No</v>
      </c>
      <c r="F671" s="879">
        <f t="shared" si="25"/>
        <v>14094</v>
      </c>
    </row>
    <row r="672" spans="1:6" ht="20.25" customHeight="1">
      <c r="A672" s="879">
        <v>1.44</v>
      </c>
      <c r="B672" s="880" t="s">
        <v>2322</v>
      </c>
      <c r="C672" s="884" t="s">
        <v>5012</v>
      </c>
      <c r="D672" s="879">
        <f>2*563</f>
        <v>1126</v>
      </c>
      <c r="E672" s="882" t="s">
        <v>2322</v>
      </c>
      <c r="F672" s="879">
        <f t="shared" si="25"/>
        <v>1621.44</v>
      </c>
    </row>
    <row r="673" spans="1:6" ht="20.25" customHeight="1">
      <c r="A673" s="879">
        <v>12</v>
      </c>
      <c r="B673" s="880" t="s">
        <v>1419</v>
      </c>
      <c r="C673" s="884" t="s">
        <v>4368</v>
      </c>
      <c r="D673" s="879">
        <v>20</v>
      </c>
      <c r="E673" s="882" t="s">
        <v>1419</v>
      </c>
      <c r="F673" s="879">
        <f t="shared" si="25"/>
        <v>240</v>
      </c>
    </row>
    <row r="674" spans="1:6" ht="20.25" customHeight="1">
      <c r="A674" s="879">
        <v>1</v>
      </c>
      <c r="B674" s="880" t="s">
        <v>147</v>
      </c>
      <c r="C674" s="884" t="s">
        <v>4369</v>
      </c>
      <c r="D674" s="879">
        <v>280</v>
      </c>
      <c r="E674" s="882" t="s">
        <v>147</v>
      </c>
      <c r="F674" s="879">
        <f t="shared" si="25"/>
        <v>280</v>
      </c>
    </row>
    <row r="675" spans="1:6" ht="20.25" customHeight="1">
      <c r="A675" s="879">
        <v>3</v>
      </c>
      <c r="B675" s="880" t="s">
        <v>1419</v>
      </c>
      <c r="C675" s="884" t="s">
        <v>5013</v>
      </c>
      <c r="D675" s="879">
        <v>47.2</v>
      </c>
      <c r="E675" s="882" t="str">
        <f>B675</f>
        <v>No</v>
      </c>
      <c r="F675" s="879">
        <f t="shared" si="25"/>
        <v>141.6</v>
      </c>
    </row>
    <row r="676" spans="1:6" ht="20.25" customHeight="1">
      <c r="A676" s="879">
        <v>5</v>
      </c>
      <c r="B676" s="880" t="s">
        <v>842</v>
      </c>
      <c r="C676" s="884" t="s">
        <v>5014</v>
      </c>
      <c r="D676" s="879">
        <v>13.5</v>
      </c>
      <c r="E676" s="882" t="str">
        <f>B676</f>
        <v>Rmt</v>
      </c>
      <c r="F676" s="879">
        <f t="shared" si="25"/>
        <v>67.5</v>
      </c>
    </row>
    <row r="677" spans="1:6" ht="20.25" customHeight="1">
      <c r="A677" s="879">
        <v>105.6</v>
      </c>
      <c r="B677" s="880" t="s">
        <v>1676</v>
      </c>
      <c r="C677" s="884" t="s">
        <v>5015</v>
      </c>
      <c r="D677" s="879">
        <v>38.4</v>
      </c>
      <c r="E677" s="882" t="str">
        <f>B677</f>
        <v>Kg</v>
      </c>
      <c r="F677" s="879">
        <f t="shared" si="25"/>
        <v>4055.04</v>
      </c>
    </row>
    <row r="678" spans="1:6" ht="20.25" customHeight="1">
      <c r="A678" s="879">
        <v>41.1</v>
      </c>
      <c r="B678" s="880" t="s">
        <v>1676</v>
      </c>
      <c r="C678" s="884" t="s">
        <v>5016</v>
      </c>
      <c r="D678" s="879">
        <f>D677</f>
        <v>38.4</v>
      </c>
      <c r="E678" s="882" t="str">
        <f>B678</f>
        <v>Kg</v>
      </c>
      <c r="F678" s="879">
        <f t="shared" si="25"/>
        <v>1578.24</v>
      </c>
    </row>
    <row r="679" spans="1:6" ht="20.25" customHeight="1">
      <c r="A679" s="879">
        <v>7</v>
      </c>
      <c r="B679" s="880" t="s">
        <v>1423</v>
      </c>
      <c r="C679" s="884" t="s">
        <v>5017</v>
      </c>
      <c r="D679" s="879">
        <v>1454</v>
      </c>
      <c r="E679" s="882" t="str">
        <f>B679</f>
        <v>Each</v>
      </c>
      <c r="F679" s="879">
        <f t="shared" si="25"/>
        <v>10178</v>
      </c>
    </row>
    <row r="680" spans="1:6" ht="20.25" customHeight="1">
      <c r="A680" s="879">
        <v>180.4</v>
      </c>
      <c r="B680" s="880" t="s">
        <v>5018</v>
      </c>
      <c r="C680" s="884" t="s">
        <v>5019</v>
      </c>
      <c r="D680" s="879">
        <v>10</v>
      </c>
      <c r="E680" s="882" t="s">
        <v>5020</v>
      </c>
      <c r="F680" s="879">
        <f t="shared" si="25"/>
        <v>1804</v>
      </c>
    </row>
    <row r="681" spans="1:6" ht="20.25" customHeight="1">
      <c r="A681" s="879"/>
      <c r="B681" s="880"/>
      <c r="C681" s="884" t="s">
        <v>5021</v>
      </c>
      <c r="D681" s="879"/>
      <c r="E681" s="882"/>
      <c r="F681" s="879">
        <v>300</v>
      </c>
    </row>
    <row r="682" spans="1:6" ht="20.25" customHeight="1">
      <c r="A682" s="879"/>
      <c r="B682" s="880"/>
      <c r="C682" s="884"/>
      <c r="D682" s="879"/>
      <c r="E682" s="882"/>
      <c r="F682" s="886">
        <f>SUM(F645:F681)</f>
        <v>58570.7</v>
      </c>
    </row>
    <row r="683" spans="1:6" ht="20.25" customHeight="1">
      <c r="A683" s="879"/>
      <c r="B683" s="880"/>
      <c r="C683" s="884" t="s">
        <v>5022</v>
      </c>
      <c r="D683" s="879"/>
      <c r="E683" s="882"/>
      <c r="F683" s="879">
        <f>F682*(2/100)</f>
        <v>1171.4100000000001</v>
      </c>
    </row>
    <row r="684" spans="1:6" ht="20.25" customHeight="1">
      <c r="A684" s="879"/>
      <c r="B684" s="880"/>
      <c r="C684" s="884" t="s">
        <v>5023</v>
      </c>
      <c r="D684" s="879"/>
      <c r="E684" s="882"/>
      <c r="F684" s="879">
        <v>2000</v>
      </c>
    </row>
    <row r="685" spans="1:6" ht="20.25" customHeight="1">
      <c r="A685" s="879"/>
      <c r="B685" s="880"/>
      <c r="C685" s="884" t="s">
        <v>5024</v>
      </c>
      <c r="D685" s="879"/>
      <c r="E685" s="882"/>
      <c r="F685" s="879">
        <v>3500</v>
      </c>
    </row>
    <row r="686" spans="1:6" ht="20.25" customHeight="1">
      <c r="A686" s="879"/>
      <c r="B686" s="880"/>
      <c r="C686" s="884"/>
      <c r="D686" s="879"/>
      <c r="E686" s="882"/>
      <c r="F686" s="879">
        <f>SUM(F682:F685)</f>
        <v>65242.11</v>
      </c>
    </row>
    <row r="687" spans="1:6" ht="20.25" customHeight="1">
      <c r="A687" s="879"/>
      <c r="B687" s="880"/>
      <c r="C687" s="941"/>
      <c r="D687" s="879"/>
      <c r="E687" s="884" t="s">
        <v>4399</v>
      </c>
      <c r="F687" s="886">
        <v>62073</v>
      </c>
    </row>
    <row r="799" spans="1:7" ht="20.25" customHeight="1">
      <c r="C799" s="937" t="s">
        <v>5833</v>
      </c>
    </row>
    <row r="800" spans="1:7" ht="20.25" customHeight="1">
      <c r="A800" s="1056"/>
      <c r="B800" s="1056"/>
      <c r="C800" s="1057" t="s">
        <v>5806</v>
      </c>
      <c r="D800" s="1057"/>
      <c r="E800" s="1056"/>
      <c r="F800" s="1056"/>
      <c r="G800" s="1058" t="s">
        <v>4957</v>
      </c>
    </row>
    <row r="801" spans="1:7" ht="20.25" customHeight="1">
      <c r="A801" s="1056"/>
      <c r="B801" s="1056"/>
      <c r="C801" s="1059" t="s">
        <v>5807</v>
      </c>
      <c r="D801" s="1059"/>
      <c r="E801" s="1056"/>
      <c r="F801" s="1056"/>
      <c r="G801" s="1058"/>
    </row>
    <row r="802" spans="1:7" ht="20.25" customHeight="1">
      <c r="A802" s="1056"/>
      <c r="B802" s="1056"/>
      <c r="C802" s="1056" t="s">
        <v>5558</v>
      </c>
      <c r="D802" s="1056"/>
      <c r="E802" s="1056"/>
      <c r="F802" s="1056"/>
      <c r="G802" s="1058"/>
    </row>
    <row r="803" spans="1:7" ht="20.25" customHeight="1">
      <c r="A803" s="1056"/>
      <c r="B803" s="1056"/>
      <c r="C803" s="1056" t="s">
        <v>5808</v>
      </c>
      <c r="D803" s="1056"/>
      <c r="E803" s="1056" t="s">
        <v>5809</v>
      </c>
      <c r="F803" s="1056"/>
      <c r="G803" s="1058"/>
    </row>
    <row r="804" spans="1:7" ht="20.25" customHeight="1">
      <c r="A804" s="1056"/>
      <c r="B804" s="1056"/>
      <c r="C804" s="1056" t="s">
        <v>5810</v>
      </c>
      <c r="D804" s="1056"/>
      <c r="E804" s="1056" t="s">
        <v>5811</v>
      </c>
      <c r="F804" s="1056"/>
      <c r="G804" s="1058"/>
    </row>
    <row r="805" spans="1:7" ht="20.25" customHeight="1">
      <c r="A805" s="1056"/>
      <c r="B805" s="1056"/>
      <c r="C805" s="1056" t="s">
        <v>5812</v>
      </c>
      <c r="D805" s="1056"/>
      <c r="E805" s="1056" t="s">
        <v>5813</v>
      </c>
      <c r="F805" s="1056"/>
      <c r="G805" s="1058"/>
    </row>
    <row r="806" spans="1:7" ht="20.25" customHeight="1">
      <c r="A806" s="1056"/>
      <c r="B806" s="1056"/>
      <c r="C806" s="1056" t="s">
        <v>5814</v>
      </c>
      <c r="D806" s="1056"/>
      <c r="E806" s="1056" t="s">
        <v>5815</v>
      </c>
      <c r="F806" s="1056"/>
      <c r="G806" s="1058"/>
    </row>
    <row r="807" spans="1:7" ht="20.25" customHeight="1">
      <c r="A807" s="1056"/>
      <c r="B807" s="1056"/>
      <c r="C807" s="1056" t="s">
        <v>5816</v>
      </c>
      <c r="D807" s="1056"/>
      <c r="E807" s="1056" t="s">
        <v>5817</v>
      </c>
      <c r="F807" s="1056"/>
      <c r="G807" s="1058"/>
    </row>
    <row r="808" spans="1:7" ht="20.25" customHeight="1">
      <c r="A808" s="1056"/>
      <c r="B808" s="1056"/>
      <c r="C808" s="1056" t="s">
        <v>5818</v>
      </c>
      <c r="D808" s="1056"/>
      <c r="E808" s="1059" t="s">
        <v>5819</v>
      </c>
      <c r="F808" s="1056"/>
      <c r="G808" s="1058"/>
    </row>
    <row r="809" spans="1:7" ht="20.25" customHeight="1">
      <c r="A809" s="1056"/>
      <c r="B809" s="1056"/>
      <c r="C809" s="1056" t="s">
        <v>4620</v>
      </c>
      <c r="D809" s="1056"/>
      <c r="E809" s="1059" t="s">
        <v>5820</v>
      </c>
      <c r="F809" s="1056"/>
      <c r="G809" s="1058"/>
    </row>
    <row r="810" spans="1:7" ht="20.25" customHeight="1">
      <c r="A810" s="1056"/>
      <c r="B810" s="1056"/>
      <c r="C810" s="1060" t="s">
        <v>5818</v>
      </c>
      <c r="D810" s="1060"/>
      <c r="E810" s="1059" t="s">
        <v>5821</v>
      </c>
      <c r="F810" s="1056"/>
      <c r="G810" s="1058"/>
    </row>
    <row r="811" spans="1:7" ht="20.25" customHeight="1">
      <c r="A811" s="1056"/>
      <c r="B811" s="1056"/>
      <c r="C811" s="1056" t="s">
        <v>5822</v>
      </c>
      <c r="D811" s="1056"/>
      <c r="E811" s="1059" t="s">
        <v>5823</v>
      </c>
      <c r="F811" s="1056"/>
      <c r="G811" s="1058"/>
    </row>
    <row r="812" spans="1:7" ht="20.25" customHeight="1">
      <c r="A812" s="1056">
        <v>177.37200000000001</v>
      </c>
      <c r="B812" s="1061" t="s">
        <v>1676</v>
      </c>
      <c r="C812" s="896" t="str">
        <f>C16</f>
        <v>Cost of MS sheet [SR 2020-21 / P.126]</v>
      </c>
      <c r="D812" s="1062"/>
      <c r="E812" s="1063">
        <f>D16</f>
        <v>57.6</v>
      </c>
      <c r="F812" s="1061" t="s">
        <v>1676</v>
      </c>
      <c r="G812" s="1058">
        <f>E812*A812</f>
        <v>10216.629999999999</v>
      </c>
    </row>
    <row r="813" spans="1:7" ht="20.25" customHeight="1">
      <c r="A813" s="1056">
        <v>9.56</v>
      </c>
      <c r="B813" s="1061" t="s">
        <v>1676</v>
      </c>
      <c r="C813" s="1062" t="str">
        <f>C41</f>
        <v>Cost copper  (SR / P.126)</v>
      </c>
      <c r="D813" s="1062"/>
      <c r="E813" s="1063">
        <f>D41</f>
        <v>562</v>
      </c>
      <c r="F813" s="1061" t="s">
        <v>1676</v>
      </c>
      <c r="G813" s="1058">
        <f>A813*E813</f>
        <v>5372.72</v>
      </c>
    </row>
    <row r="814" spans="1:7" ht="35.25" customHeight="1">
      <c r="A814" s="1056">
        <v>9.56</v>
      </c>
      <c r="B814" s="1061" t="s">
        <v>1676</v>
      </c>
      <c r="C814" s="1062" t="str">
        <f>C42</f>
        <v>Tin coating of copper ( qtn vide CER.NO.189/19-20)</v>
      </c>
      <c r="D814" s="1062"/>
      <c r="E814" s="1063">
        <f>D42</f>
        <v>10</v>
      </c>
      <c r="F814" s="1061" t="s">
        <v>1676</v>
      </c>
      <c r="G814" s="1058">
        <f>A814*E814</f>
        <v>95.6</v>
      </c>
    </row>
    <row r="815" spans="1:7" ht="20.25" customHeight="1">
      <c r="A815" s="1056"/>
      <c r="B815" s="1056"/>
      <c r="C815" s="1062" t="s">
        <v>5575</v>
      </c>
      <c r="D815" s="1062"/>
      <c r="E815" s="1063"/>
      <c r="F815" s="1061"/>
      <c r="G815" s="1058"/>
    </row>
    <row r="816" spans="1:7" ht="20.25" customHeight="1">
      <c r="A816" s="1056"/>
      <c r="B816" s="1056"/>
      <c r="C816" s="1062" t="s">
        <v>5576</v>
      </c>
      <c r="D816" s="1062"/>
      <c r="E816" s="1063"/>
      <c r="F816" s="1061"/>
      <c r="G816" s="1058"/>
    </row>
    <row r="817" spans="1:7" ht="20.25" customHeight="1">
      <c r="A817" s="1056"/>
      <c r="B817" s="1056"/>
      <c r="C817" s="1062" t="s">
        <v>5577</v>
      </c>
      <c r="D817" s="1062"/>
      <c r="E817" s="1063"/>
      <c r="F817" s="1061"/>
      <c r="G817" s="1058"/>
    </row>
    <row r="818" spans="1:7" ht="20.25" customHeight="1">
      <c r="A818" s="1056"/>
      <c r="B818" s="1056"/>
      <c r="C818" s="1062" t="s">
        <v>5578</v>
      </c>
      <c r="D818" s="1062"/>
      <c r="E818" s="1063"/>
      <c r="F818" s="1061"/>
      <c r="G818" s="1058"/>
    </row>
    <row r="819" spans="1:7" ht="20.25" customHeight="1">
      <c r="A819" s="1056">
        <v>8</v>
      </c>
      <c r="B819" s="1061" t="s">
        <v>842</v>
      </c>
      <c r="C819" s="1064" t="str">
        <f>C48</f>
        <v>25mm x3mm Gi flat [SR 2022-23 / P.151]</v>
      </c>
      <c r="D819" s="1062"/>
      <c r="E819" s="1065">
        <f>D48</f>
        <v>115</v>
      </c>
      <c r="F819" s="1061" t="s">
        <v>842</v>
      </c>
      <c r="G819" s="1058">
        <f>A819*E819</f>
        <v>920</v>
      </c>
    </row>
    <row r="820" spans="1:7" ht="20.25" customHeight="1">
      <c r="A820" s="1058">
        <v>22.2</v>
      </c>
      <c r="B820" s="1061" t="s">
        <v>929</v>
      </c>
      <c r="C820" s="1062" t="s">
        <v>5827</v>
      </c>
      <c r="D820" s="1062"/>
      <c r="E820" s="1063">
        <f>E812</f>
        <v>57.6</v>
      </c>
      <c r="F820" s="1061" t="s">
        <v>929</v>
      </c>
      <c r="G820" s="1058">
        <f>E820*A820</f>
        <v>1278.72</v>
      </c>
    </row>
    <row r="821" spans="1:7" ht="20.25" customHeight="1">
      <c r="A821" s="1056"/>
      <c r="B821" s="1061"/>
      <c r="C821" s="1062" t="s">
        <v>5579</v>
      </c>
      <c r="D821" s="1062"/>
      <c r="E821" s="1063"/>
      <c r="F821" s="1061"/>
      <c r="G821" s="1058"/>
    </row>
    <row r="822" spans="1:7" ht="20.25" customHeight="1">
      <c r="A822" s="1058">
        <v>3</v>
      </c>
      <c r="B822" s="1061" t="s">
        <v>1457</v>
      </c>
      <c r="C822" s="1062" t="str">
        <f t="shared" ref="C822:C830" si="26">C132</f>
        <v xml:space="preserve"> 300 A fuse units ( qtn)</v>
      </c>
      <c r="D822" s="1066" t="s">
        <v>2290</v>
      </c>
      <c r="E822" s="1063">
        <f t="shared" ref="E822:E830" si="27">D132</f>
        <v>696.43</v>
      </c>
      <c r="F822" s="1061" t="s">
        <v>1423</v>
      </c>
      <c r="G822" s="1067">
        <f t="shared" ref="G822:G830" si="28">A822*E822</f>
        <v>2089.29</v>
      </c>
    </row>
    <row r="823" spans="1:7" ht="20.25" customHeight="1">
      <c r="A823" s="1058">
        <v>1</v>
      </c>
      <c r="B823" s="1061" t="s">
        <v>1419</v>
      </c>
      <c r="C823" s="1062" t="str">
        <f t="shared" si="26"/>
        <v xml:space="preserve">100 A neutral link SD -130 </v>
      </c>
      <c r="D823" s="1062"/>
      <c r="E823" s="1063">
        <f t="shared" si="27"/>
        <v>77.599999999999994</v>
      </c>
      <c r="F823" s="1061" t="s">
        <v>1423</v>
      </c>
      <c r="G823" s="1058">
        <f t="shared" si="28"/>
        <v>77.599999999999994</v>
      </c>
    </row>
    <row r="824" spans="1:7" ht="20.25" customHeight="1">
      <c r="A824" s="1058">
        <v>24</v>
      </c>
      <c r="B824" s="1061" t="s">
        <v>1457</v>
      </c>
      <c r="C824" s="1062" t="str">
        <f t="shared" si="26"/>
        <v>63 A fuse units ( 500 V) [SR 2022-23 / P.119]</v>
      </c>
      <c r="D824" s="1062"/>
      <c r="E824" s="1063">
        <f t="shared" si="27"/>
        <v>190.2</v>
      </c>
      <c r="F824" s="1061" t="s">
        <v>1423</v>
      </c>
      <c r="G824" s="1058">
        <f t="shared" si="28"/>
        <v>4564.8</v>
      </c>
    </row>
    <row r="825" spans="1:7" ht="20.25" customHeight="1">
      <c r="A825" s="1058">
        <v>1</v>
      </c>
      <c r="B825" s="1061" t="s">
        <v>1419</v>
      </c>
      <c r="C825" s="1062" t="str">
        <f t="shared" si="26"/>
        <v>32 A fuse units ( 500 V)[SR 2022-23 // P.119]</v>
      </c>
      <c r="D825" s="1062"/>
      <c r="E825" s="1063">
        <f t="shared" si="27"/>
        <v>85.2</v>
      </c>
      <c r="F825" s="1061" t="s">
        <v>1423</v>
      </c>
      <c r="G825" s="1067">
        <f t="shared" si="28"/>
        <v>85.2</v>
      </c>
    </row>
    <row r="826" spans="1:7" ht="20.25" customHeight="1">
      <c r="A826" s="1058">
        <v>8</v>
      </c>
      <c r="B826" s="1061" t="s">
        <v>1457</v>
      </c>
      <c r="C826" s="1062" t="str">
        <f t="shared" si="26"/>
        <v xml:space="preserve">63 A netural link SD -129 </v>
      </c>
      <c r="D826" s="1062"/>
      <c r="E826" s="1063">
        <f t="shared" si="27"/>
        <v>67.8</v>
      </c>
      <c r="F826" s="1061" t="s">
        <v>1423</v>
      </c>
      <c r="G826" s="1058">
        <f t="shared" si="28"/>
        <v>542.4</v>
      </c>
    </row>
    <row r="827" spans="1:7" ht="20.25" customHeight="1">
      <c r="A827" s="1058">
        <v>1</v>
      </c>
      <c r="B827" s="1061" t="s">
        <v>1419</v>
      </c>
      <c r="C827" s="1062" t="str">
        <f t="shared" si="26"/>
        <v>32 A netural link sd127</v>
      </c>
      <c r="D827" s="1062"/>
      <c r="E827" s="1063">
        <f t="shared" si="27"/>
        <v>38</v>
      </c>
      <c r="F827" s="1061" t="s">
        <v>1423</v>
      </c>
      <c r="G827" s="1058">
        <f t="shared" si="28"/>
        <v>38</v>
      </c>
    </row>
    <row r="828" spans="1:7" ht="20.25" customHeight="1">
      <c r="A828" s="1058">
        <v>8</v>
      </c>
      <c r="B828" s="1061" t="s">
        <v>1457</v>
      </c>
      <c r="C828" s="1062" t="str">
        <f t="shared" si="26"/>
        <v>40 amps 4 pole isolator [SR 2022-23 / P.134]</v>
      </c>
      <c r="D828" s="1062"/>
      <c r="E828" s="1063">
        <f t="shared" si="27"/>
        <v>580</v>
      </c>
      <c r="F828" s="1061" t="s">
        <v>1423</v>
      </c>
      <c r="G828" s="1067">
        <f t="shared" si="28"/>
        <v>4640</v>
      </c>
    </row>
    <row r="829" spans="1:7" ht="20.25" customHeight="1">
      <c r="A829" s="1058">
        <v>1</v>
      </c>
      <c r="B829" s="1061" t="s">
        <v>1419</v>
      </c>
      <c r="C829" s="1062" t="str">
        <f t="shared" si="26"/>
        <v>40 amps 2 pole isolator [SR 2022-23 / P.134]</v>
      </c>
      <c r="D829" s="1062"/>
      <c r="E829" s="1063">
        <f t="shared" si="27"/>
        <v>258</v>
      </c>
      <c r="F829" s="1061" t="s">
        <v>1423</v>
      </c>
      <c r="G829" s="1067">
        <f t="shared" si="28"/>
        <v>258</v>
      </c>
    </row>
    <row r="830" spans="1:7" ht="20.25" customHeight="1">
      <c r="A830" s="1058">
        <v>836</v>
      </c>
      <c r="B830" s="1061" t="s">
        <v>156</v>
      </c>
      <c r="C830" s="1062" t="str">
        <f t="shared" si="26"/>
        <v>Interconnection charges ( qtn)</v>
      </c>
      <c r="D830" s="1062"/>
      <c r="E830" s="1063">
        <f t="shared" si="27"/>
        <v>1</v>
      </c>
      <c r="F830" s="1061" t="s">
        <v>4363</v>
      </c>
      <c r="G830" s="1058">
        <f t="shared" si="28"/>
        <v>836</v>
      </c>
    </row>
    <row r="831" spans="1:7" ht="20.25" customHeight="1">
      <c r="A831" s="1056"/>
      <c r="B831" s="1061"/>
      <c r="C831" s="1062" t="s">
        <v>5581</v>
      </c>
      <c r="D831" s="1062"/>
      <c r="E831" s="1063"/>
      <c r="F831" s="1061"/>
      <c r="G831" s="1058"/>
    </row>
    <row r="832" spans="1:7" ht="20.25" customHeight="1">
      <c r="A832" s="1058">
        <v>31.4</v>
      </c>
      <c r="B832" s="1061" t="s">
        <v>5582</v>
      </c>
      <c r="C832" s="1062" t="str">
        <f t="shared" ref="C832:C840" si="29">C143</f>
        <v>Rubber beeding ( qtn)</v>
      </c>
      <c r="D832" s="1066" t="s">
        <v>2290</v>
      </c>
      <c r="E832" s="1063">
        <f t="shared" ref="E832:E840" si="30">D143</f>
        <v>20</v>
      </c>
      <c r="F832" s="1061" t="s">
        <v>3516</v>
      </c>
      <c r="G832" s="1067">
        <f t="shared" ref="G832:G840" si="31">A832*E832</f>
        <v>628</v>
      </c>
    </row>
    <row r="833" spans="1:7" ht="20.25" customHeight="1">
      <c r="A833" s="1067">
        <v>1.1000000000000001</v>
      </c>
      <c r="B833" s="1061" t="s">
        <v>5828</v>
      </c>
      <c r="C833" s="1062" t="str">
        <f t="shared" si="29"/>
        <v>Cost of hylum sheet 6mm [SR 2022-23 / P.129]</v>
      </c>
      <c r="D833" s="1062"/>
      <c r="E833" s="1063">
        <f t="shared" si="30"/>
        <v>1322</v>
      </c>
      <c r="F833" s="1061" t="s">
        <v>5828</v>
      </c>
      <c r="G833" s="1058">
        <f t="shared" si="31"/>
        <v>1454.2</v>
      </c>
    </row>
    <row r="834" spans="1:7" ht="20.25" customHeight="1">
      <c r="A834" s="1058">
        <v>9</v>
      </c>
      <c r="B834" s="1061" t="s">
        <v>1457</v>
      </c>
      <c r="C834" s="1062" t="str">
        <f t="shared" si="29"/>
        <v>Insulators( qtn)</v>
      </c>
      <c r="D834" s="1066" t="s">
        <v>2290</v>
      </c>
      <c r="E834" s="1063">
        <f t="shared" si="30"/>
        <v>20</v>
      </c>
      <c r="F834" s="1061" t="s">
        <v>1423</v>
      </c>
      <c r="G834" s="1067">
        <f t="shared" si="31"/>
        <v>180</v>
      </c>
    </row>
    <row r="835" spans="1:7" ht="20.25" customHeight="1">
      <c r="A835" s="1058">
        <v>1</v>
      </c>
      <c r="B835" s="1061" t="s">
        <v>4388</v>
      </c>
      <c r="C835" s="1062" t="str">
        <f t="shared" si="29"/>
        <v>LED pilot lamps( qtn)</v>
      </c>
      <c r="D835" s="1066" t="s">
        <v>2290</v>
      </c>
      <c r="E835" s="1063">
        <f t="shared" si="30"/>
        <v>280</v>
      </c>
      <c r="F835" s="1061" t="s">
        <v>147</v>
      </c>
      <c r="G835" s="1067">
        <f t="shared" si="31"/>
        <v>280</v>
      </c>
    </row>
    <row r="836" spans="1:7" ht="20.25" customHeight="1">
      <c r="A836" s="1058">
        <v>5</v>
      </c>
      <c r="B836" s="1061" t="s">
        <v>5829</v>
      </c>
      <c r="C836" s="1072" t="str">
        <f t="shared" si="29"/>
        <v>1 sqmm PVC copper cable [SR 2022-23 / P.125]</v>
      </c>
      <c r="D836" s="1062"/>
      <c r="E836" s="1063">
        <f t="shared" si="30"/>
        <v>10.45</v>
      </c>
      <c r="F836" s="1061" t="s">
        <v>5829</v>
      </c>
      <c r="G836" s="1058">
        <f t="shared" si="31"/>
        <v>52.25</v>
      </c>
    </row>
    <row r="837" spans="1:7" ht="20.25" customHeight="1">
      <c r="A837" s="1058">
        <f>177.37+A820</f>
        <v>199.57</v>
      </c>
      <c r="B837" s="1061" t="s">
        <v>1676</v>
      </c>
      <c r="C837" s="1072" t="str">
        <f t="shared" si="29"/>
        <v>MS sheet fabrication charges [SR 2022-23 / P.29]</v>
      </c>
      <c r="D837" s="1062"/>
      <c r="E837" s="1063">
        <f t="shared" si="30"/>
        <v>52.5</v>
      </c>
      <c r="F837" s="1061" t="s">
        <v>1676</v>
      </c>
      <c r="G837" s="1058">
        <f t="shared" si="31"/>
        <v>10477.43</v>
      </c>
    </row>
    <row r="838" spans="1:7" ht="20.25" customHeight="1">
      <c r="A838" s="1058">
        <v>9</v>
      </c>
      <c r="B838" s="1061" t="s">
        <v>1457</v>
      </c>
      <c r="C838" s="1072" t="str">
        <f t="shared" si="29"/>
        <v>Isolators / Fuse units/ Pilot lamp fixing charges ( SD 145)</v>
      </c>
      <c r="D838" s="1062"/>
      <c r="E838" s="1063">
        <f t="shared" si="30"/>
        <v>1086</v>
      </c>
      <c r="F838" s="1061" t="s">
        <v>1746</v>
      </c>
      <c r="G838" s="1058">
        <f t="shared" si="31"/>
        <v>9774</v>
      </c>
    </row>
    <row r="839" spans="1:7" ht="20.25" customHeight="1">
      <c r="A839" s="1058">
        <v>275.64</v>
      </c>
      <c r="B839" s="1061" t="s">
        <v>5584</v>
      </c>
      <c r="C839" s="1072" t="str">
        <f t="shared" si="29"/>
        <v>Painting with primer &amp; suitable colour( qtn)</v>
      </c>
      <c r="D839" s="1062"/>
      <c r="E839" s="1063">
        <f t="shared" si="30"/>
        <v>10</v>
      </c>
      <c r="F839" s="1061" t="s">
        <v>4373</v>
      </c>
      <c r="G839" s="1058">
        <f t="shared" si="31"/>
        <v>2756.4</v>
      </c>
    </row>
    <row r="840" spans="1:7" ht="20.25" customHeight="1">
      <c r="A840" s="1058">
        <v>68</v>
      </c>
      <c r="B840" s="1068" t="s">
        <v>5582</v>
      </c>
      <c r="C840" s="1072" t="str">
        <f t="shared" si="29"/>
        <v>6 Sq.mm. single core PVC copper cables for connection between fuse units and meter and between meter and 32A TPN MCB [SR 2020-21 / P.124]</v>
      </c>
      <c r="D840" s="1062"/>
      <c r="E840" s="1063">
        <f t="shared" si="30"/>
        <v>60.65</v>
      </c>
      <c r="F840" s="1061" t="s">
        <v>377</v>
      </c>
      <c r="G840" s="1058">
        <f t="shared" si="31"/>
        <v>4124.2</v>
      </c>
    </row>
    <row r="841" spans="1:7" ht="20.25" customHeight="1">
      <c r="A841" s="1058"/>
      <c r="B841" s="1056"/>
      <c r="C841" s="1062" t="s">
        <v>5586</v>
      </c>
      <c r="D841" s="1062"/>
      <c r="E841" s="1069"/>
      <c r="F841" s="1056"/>
      <c r="G841" s="1058"/>
    </row>
    <row r="842" spans="1:7" ht="20.25" customHeight="1">
      <c r="A842" s="1058"/>
      <c r="B842" s="1056"/>
      <c r="C842" s="1062" t="s">
        <v>5830</v>
      </c>
      <c r="D842" s="1062"/>
      <c r="E842" s="1069"/>
      <c r="F842" s="1056"/>
      <c r="G842" s="1058"/>
    </row>
    <row r="843" spans="1:7" ht="20.25" customHeight="1">
      <c r="A843" s="1058"/>
      <c r="B843" s="1056"/>
      <c r="C843" s="1062" t="s">
        <v>5831</v>
      </c>
      <c r="D843" s="1062"/>
      <c r="E843" s="1063">
        <v>200</v>
      </c>
      <c r="F843" s="1056"/>
      <c r="G843" s="1058">
        <v>200</v>
      </c>
    </row>
    <row r="844" spans="1:7" ht="20.25" customHeight="1">
      <c r="A844" s="1058"/>
      <c r="B844" s="1056"/>
      <c r="C844" s="1062"/>
      <c r="D844" s="1062"/>
      <c r="E844" s="1070" t="s">
        <v>2284</v>
      </c>
      <c r="F844" s="1056"/>
      <c r="G844" s="1071">
        <f>SUM(G811:G843)</f>
        <v>60941.440000000002</v>
      </c>
    </row>
    <row r="845" spans="1:7" ht="20.25" customHeight="1">
      <c r="A845" s="1056"/>
      <c r="B845" s="1056"/>
      <c r="C845" s="1062" t="s">
        <v>5587</v>
      </c>
      <c r="D845" s="1062"/>
      <c r="E845" s="1062"/>
      <c r="F845" s="1056"/>
      <c r="G845" s="1058">
        <f>G844*2%</f>
        <v>1218.83</v>
      </c>
    </row>
    <row r="846" spans="1:7" ht="20.25" customHeight="1">
      <c r="A846" s="1056"/>
      <c r="B846" s="1056"/>
      <c r="C846" s="1062" t="s">
        <v>5588</v>
      </c>
      <c r="D846" s="1062"/>
      <c r="E846" s="1062"/>
      <c r="F846" s="1056"/>
      <c r="G846" s="1058">
        <f>SUM(G844:G845)</f>
        <v>62160.27</v>
      </c>
    </row>
    <row r="847" spans="1:7" ht="20.25" customHeight="1">
      <c r="A847" s="1056"/>
      <c r="B847" s="1056"/>
      <c r="C847" s="1062" t="s">
        <v>5832</v>
      </c>
      <c r="D847" s="1066" t="s">
        <v>2290</v>
      </c>
      <c r="E847" s="1062"/>
      <c r="F847" s="1056"/>
      <c r="G847" s="1058"/>
    </row>
    <row r="848" spans="1:7" ht="20.25" customHeight="1">
      <c r="A848" s="1056"/>
      <c r="B848" s="1056"/>
      <c r="C848" s="1062" t="s">
        <v>5589</v>
      </c>
      <c r="D848" s="1062"/>
      <c r="E848" s="1062"/>
      <c r="F848" s="1056"/>
      <c r="G848" s="1058">
        <v>1000</v>
      </c>
    </row>
    <row r="849" spans="1:7" ht="20.25" customHeight="1">
      <c r="A849" s="1056"/>
      <c r="B849" s="1056"/>
      <c r="C849" s="1062" t="s">
        <v>5590</v>
      </c>
      <c r="D849" s="1062"/>
      <c r="E849" s="1062"/>
      <c r="F849" s="1056"/>
      <c r="G849" s="1058">
        <v>1000</v>
      </c>
    </row>
    <row r="850" spans="1:7" ht="20.25" customHeight="1">
      <c r="A850" s="1056"/>
      <c r="B850" s="1056"/>
      <c r="C850" s="1056"/>
      <c r="D850" s="1056"/>
      <c r="E850" s="1056"/>
      <c r="F850" s="1056"/>
      <c r="G850" s="1058">
        <f>SUM(G846:G849)</f>
        <v>64160.27</v>
      </c>
    </row>
    <row r="851" spans="1:7" ht="20.25" customHeight="1">
      <c r="A851" s="1056"/>
      <c r="B851" s="1056"/>
      <c r="C851" s="1056"/>
      <c r="D851" s="1056"/>
      <c r="E851" s="1056"/>
      <c r="F851" s="1056"/>
      <c r="G851" s="1071">
        <f>ROUNDUP(G850,-2)</f>
        <v>64200</v>
      </c>
    </row>
    <row r="855" spans="1:7" ht="20.25" customHeight="1">
      <c r="A855" s="612"/>
      <c r="B855" s="612"/>
      <c r="C855" s="1073" t="s">
        <v>5836</v>
      </c>
      <c r="D855" s="1074"/>
      <c r="E855" s="1555" t="s">
        <v>5837</v>
      </c>
      <c r="F855" s="1555"/>
      <c r="G855" s="1555"/>
    </row>
    <row r="856" spans="1:7" ht="20.25" customHeight="1">
      <c r="A856" s="612"/>
      <c r="B856" s="612"/>
      <c r="C856" s="1075" t="s">
        <v>5557</v>
      </c>
      <c r="D856" s="1075"/>
      <c r="E856" s="612"/>
      <c r="F856" s="612"/>
      <c r="G856" s="612"/>
    </row>
    <row r="857" spans="1:7" ht="20.25" customHeight="1">
      <c r="A857" s="612"/>
      <c r="B857" s="612"/>
      <c r="C857" s="612" t="s">
        <v>5558</v>
      </c>
      <c r="D857" s="612"/>
      <c r="E857" s="612"/>
      <c r="F857" s="612"/>
      <c r="G857" s="612"/>
    </row>
    <row r="858" spans="1:7" ht="20.25" customHeight="1">
      <c r="A858" s="612"/>
      <c r="B858" s="612"/>
      <c r="C858" s="612" t="s">
        <v>5559</v>
      </c>
      <c r="D858" s="612"/>
      <c r="E858" s="612" t="s">
        <v>5560</v>
      </c>
      <c r="F858" s="612"/>
      <c r="G858" s="612"/>
    </row>
    <row r="859" spans="1:7" ht="20.25" customHeight="1">
      <c r="A859" s="612"/>
      <c r="B859" s="612"/>
      <c r="C859" s="612" t="s">
        <v>5561</v>
      </c>
      <c r="D859" s="612"/>
      <c r="E859" s="612" t="s">
        <v>5562</v>
      </c>
      <c r="F859" s="612"/>
      <c r="G859" s="612"/>
    </row>
    <row r="860" spans="1:7" ht="20.25" customHeight="1">
      <c r="A860" s="612"/>
      <c r="B860" s="612"/>
      <c r="C860" s="612" t="s">
        <v>5563</v>
      </c>
      <c r="D860" s="612"/>
      <c r="E860" s="612" t="s">
        <v>5564</v>
      </c>
      <c r="F860" s="612"/>
      <c r="G860" s="612"/>
    </row>
    <row r="861" spans="1:7" ht="20.25" customHeight="1">
      <c r="A861" s="612"/>
      <c r="B861" s="612"/>
      <c r="C861" s="612" t="s">
        <v>5565</v>
      </c>
      <c r="D861" s="612"/>
      <c r="E861" s="612" t="s">
        <v>5566</v>
      </c>
      <c r="F861" s="612"/>
      <c r="G861" s="612"/>
    </row>
    <row r="862" spans="1:7" ht="20.25" customHeight="1">
      <c r="A862" s="612"/>
      <c r="B862" s="612"/>
      <c r="C862" s="612" t="s">
        <v>5567</v>
      </c>
      <c r="D862" s="612"/>
      <c r="E862" s="612" t="s">
        <v>5568</v>
      </c>
      <c r="F862" s="612"/>
      <c r="G862" s="612"/>
    </row>
    <row r="863" spans="1:7" ht="20.25" customHeight="1">
      <c r="A863" s="612"/>
      <c r="B863" s="612"/>
      <c r="C863" s="612" t="s">
        <v>2284</v>
      </c>
      <c r="D863" s="612"/>
      <c r="E863" s="612" t="s">
        <v>5569</v>
      </c>
      <c r="F863" s="612"/>
      <c r="G863" s="612"/>
    </row>
    <row r="864" spans="1:7" ht="20.25" customHeight="1">
      <c r="A864" s="612"/>
      <c r="B864" s="612"/>
      <c r="C864" s="1076" t="s">
        <v>5570</v>
      </c>
      <c r="D864" s="612"/>
      <c r="E864" s="612" t="s">
        <v>5571</v>
      </c>
      <c r="F864" s="612"/>
      <c r="G864" s="612"/>
    </row>
    <row r="865" spans="1:7" ht="20.25" customHeight="1">
      <c r="A865" s="612"/>
      <c r="B865" s="612"/>
      <c r="C865" s="1076"/>
      <c r="D865" s="613"/>
      <c r="E865" s="612" t="s">
        <v>5572</v>
      </c>
      <c r="F865" s="612"/>
      <c r="G865" s="612"/>
    </row>
    <row r="866" spans="1:7" ht="20.25" customHeight="1">
      <c r="A866" s="612"/>
      <c r="B866" s="612"/>
      <c r="C866" s="612" t="s">
        <v>5573</v>
      </c>
      <c r="D866" s="612"/>
      <c r="E866" s="612" t="s">
        <v>5574</v>
      </c>
      <c r="F866" s="612"/>
      <c r="G866" s="612"/>
    </row>
    <row r="867" spans="1:7" ht="20.25" customHeight="1">
      <c r="A867" s="612">
        <v>146.25</v>
      </c>
      <c r="B867" s="1036" t="s">
        <v>1676</v>
      </c>
      <c r="C867" s="1062" t="s">
        <v>5824</v>
      </c>
      <c r="D867" s="1062"/>
      <c r="E867" s="1063">
        <f>E812</f>
        <v>57.6</v>
      </c>
      <c r="F867" s="1036" t="s">
        <v>1676</v>
      </c>
      <c r="G867" s="94">
        <f>E867*A867</f>
        <v>8424</v>
      </c>
    </row>
    <row r="868" spans="1:7" ht="20.25" customHeight="1">
      <c r="A868" s="612">
        <v>7.88</v>
      </c>
      <c r="B868" s="1036" t="s">
        <v>1676</v>
      </c>
      <c r="C868" s="1062" t="s">
        <v>5825</v>
      </c>
      <c r="D868" s="1062"/>
      <c r="E868" s="1063">
        <f>E813</f>
        <v>562</v>
      </c>
      <c r="F868" s="1036" t="s">
        <v>1676</v>
      </c>
      <c r="G868" s="612">
        <f>A868*E868</f>
        <v>4428.5600000000004</v>
      </c>
    </row>
    <row r="869" spans="1:7" ht="20.25" customHeight="1">
      <c r="A869" s="612">
        <v>7.88</v>
      </c>
      <c r="B869" s="1036" t="s">
        <v>1676</v>
      </c>
      <c r="C869" s="1062" t="s">
        <v>5826</v>
      </c>
      <c r="D869" s="1062"/>
      <c r="E869" s="1063">
        <f>E814</f>
        <v>10</v>
      </c>
      <c r="F869" s="1036" t="s">
        <v>1676</v>
      </c>
      <c r="G869" s="94">
        <f>A869*E869</f>
        <v>78.8</v>
      </c>
    </row>
    <row r="870" spans="1:7" ht="20.25" customHeight="1">
      <c r="A870" s="612"/>
      <c r="B870" s="1036"/>
      <c r="C870" s="1062" t="s">
        <v>5575</v>
      </c>
      <c r="D870" s="1062"/>
      <c r="E870" s="1063"/>
      <c r="F870" s="1036"/>
      <c r="G870" s="612"/>
    </row>
    <row r="871" spans="1:7" ht="20.25" customHeight="1">
      <c r="A871" s="612"/>
      <c r="B871" s="1036"/>
      <c r="C871" s="1062" t="s">
        <v>5576</v>
      </c>
      <c r="D871" s="1062"/>
      <c r="E871" s="1063"/>
      <c r="F871" s="1036"/>
      <c r="G871" s="612"/>
    </row>
    <row r="872" spans="1:7" ht="20.25" customHeight="1">
      <c r="A872" s="612"/>
      <c r="B872" s="1036"/>
      <c r="C872" s="1062" t="s">
        <v>5577</v>
      </c>
      <c r="D872" s="1062"/>
      <c r="E872" s="1063"/>
      <c r="F872" s="1036"/>
      <c r="G872" s="612"/>
    </row>
    <row r="873" spans="1:7" ht="20.25" customHeight="1">
      <c r="A873" s="612"/>
      <c r="B873" s="1036"/>
      <c r="C873" s="1062" t="s">
        <v>5578</v>
      </c>
      <c r="D873" s="1062"/>
      <c r="E873" s="1063"/>
      <c r="F873" s="1036"/>
      <c r="G873" s="612"/>
    </row>
    <row r="874" spans="1:7" ht="20.25" customHeight="1">
      <c r="A874" s="94">
        <v>8</v>
      </c>
      <c r="B874" s="1036" t="s">
        <v>1676</v>
      </c>
      <c r="C874" s="1062" t="s">
        <v>5838</v>
      </c>
      <c r="D874" s="1062"/>
      <c r="E874" s="1065">
        <f>E819</f>
        <v>115</v>
      </c>
      <c r="F874" s="1036" t="s">
        <v>1676</v>
      </c>
      <c r="G874" s="94">
        <f t="shared" ref="G874:G885" si="32">A874*E874</f>
        <v>920</v>
      </c>
    </row>
    <row r="875" spans="1:7" ht="20.25" customHeight="1">
      <c r="A875" s="94">
        <v>18.8</v>
      </c>
      <c r="B875" s="1036" t="s">
        <v>929</v>
      </c>
      <c r="C875" s="1062" t="s">
        <v>5827</v>
      </c>
      <c r="D875" s="1062"/>
      <c r="E875" s="1065">
        <f>E820</f>
        <v>57.6</v>
      </c>
      <c r="F875" s="1036" t="s">
        <v>929</v>
      </c>
      <c r="G875" s="94">
        <f>A875*E875</f>
        <v>1082.8800000000001</v>
      </c>
    </row>
    <row r="876" spans="1:7" ht="20.25" customHeight="1">
      <c r="A876" s="612"/>
      <c r="B876" s="1036"/>
      <c r="C876" s="1062" t="s">
        <v>5579</v>
      </c>
      <c r="D876" s="1062"/>
      <c r="E876" s="1065">
        <f>E821</f>
        <v>0</v>
      </c>
      <c r="F876" s="1036"/>
      <c r="G876" s="94"/>
    </row>
    <row r="877" spans="1:7" ht="20.25" customHeight="1">
      <c r="A877" s="94">
        <v>3</v>
      </c>
      <c r="B877" s="1036" t="s">
        <v>1457</v>
      </c>
      <c r="C877" s="1062" t="s">
        <v>5839</v>
      </c>
      <c r="D877" s="1066" t="s">
        <v>2290</v>
      </c>
      <c r="E877" s="1078">
        <v>555</v>
      </c>
      <c r="F877" s="1036" t="s">
        <v>1423</v>
      </c>
      <c r="G877" s="1077">
        <f t="shared" si="32"/>
        <v>1665</v>
      </c>
    </row>
    <row r="878" spans="1:7" ht="20.25" customHeight="1">
      <c r="A878" s="94">
        <v>1</v>
      </c>
      <c r="B878" s="1036" t="s">
        <v>1419</v>
      </c>
      <c r="C878" s="1062" t="str">
        <f t="shared" ref="C878:C895" si="33">C823</f>
        <v xml:space="preserve">100 A neutral link SD -130 </v>
      </c>
      <c r="D878" s="1062"/>
      <c r="E878" s="1065">
        <f t="shared" ref="E878:E895" si="34">E823</f>
        <v>77.599999999999994</v>
      </c>
      <c r="F878" s="1036" t="s">
        <v>1423</v>
      </c>
      <c r="G878" s="94">
        <f t="shared" si="32"/>
        <v>77.599999999999994</v>
      </c>
    </row>
    <row r="879" spans="1:7" ht="20.25" customHeight="1">
      <c r="A879" s="94">
        <v>18</v>
      </c>
      <c r="B879" s="1036" t="s">
        <v>1457</v>
      </c>
      <c r="C879" s="1062" t="str">
        <f t="shared" si="33"/>
        <v>63 A fuse units ( 500 V) [SR 2022-23 / P.119]</v>
      </c>
      <c r="D879" s="1062"/>
      <c r="E879" s="1065">
        <f t="shared" si="34"/>
        <v>190.2</v>
      </c>
      <c r="F879" s="1036" t="s">
        <v>1423</v>
      </c>
      <c r="G879" s="94">
        <f t="shared" si="32"/>
        <v>3423.6</v>
      </c>
    </row>
    <row r="880" spans="1:7" ht="20.25" customHeight="1">
      <c r="A880" s="94">
        <v>1</v>
      </c>
      <c r="B880" s="1036" t="s">
        <v>1419</v>
      </c>
      <c r="C880" s="1062" t="str">
        <f t="shared" si="33"/>
        <v>32 A fuse units ( 500 V)[SR 2022-23 // P.119]</v>
      </c>
      <c r="D880" s="1062"/>
      <c r="E880" s="1065">
        <f t="shared" si="34"/>
        <v>85.2</v>
      </c>
      <c r="F880" s="1036" t="s">
        <v>1423</v>
      </c>
      <c r="G880" s="1077">
        <f t="shared" si="32"/>
        <v>85.2</v>
      </c>
    </row>
    <row r="881" spans="1:7" ht="20.25" customHeight="1">
      <c r="A881" s="94">
        <v>6</v>
      </c>
      <c r="B881" s="1036" t="s">
        <v>1457</v>
      </c>
      <c r="C881" s="1062" t="str">
        <f t="shared" si="33"/>
        <v xml:space="preserve">63 A netural link SD -129 </v>
      </c>
      <c r="D881" s="1062"/>
      <c r="E881" s="1065">
        <f t="shared" si="34"/>
        <v>67.8</v>
      </c>
      <c r="F881" s="1036" t="s">
        <v>1423</v>
      </c>
      <c r="G881" s="94">
        <f t="shared" si="32"/>
        <v>406.8</v>
      </c>
    </row>
    <row r="882" spans="1:7" ht="20.25" customHeight="1">
      <c r="A882" s="94">
        <v>1</v>
      </c>
      <c r="B882" s="1036" t="s">
        <v>1419</v>
      </c>
      <c r="C882" s="1062" t="str">
        <f t="shared" si="33"/>
        <v>32 A netural link sd127</v>
      </c>
      <c r="D882" s="1062"/>
      <c r="E882" s="1065">
        <f t="shared" si="34"/>
        <v>38</v>
      </c>
      <c r="F882" s="1036" t="s">
        <v>1423</v>
      </c>
      <c r="G882" s="1077">
        <f t="shared" si="32"/>
        <v>38</v>
      </c>
    </row>
    <row r="883" spans="1:7" ht="20.25" customHeight="1">
      <c r="A883" s="94">
        <v>6</v>
      </c>
      <c r="B883" s="1036" t="s">
        <v>1457</v>
      </c>
      <c r="C883" s="1062" t="str">
        <f t="shared" si="33"/>
        <v>40 amps 4 pole isolator [SR 2022-23 / P.134]</v>
      </c>
      <c r="D883" s="1062"/>
      <c r="E883" s="1065">
        <f t="shared" si="34"/>
        <v>580</v>
      </c>
      <c r="F883" s="1036" t="s">
        <v>1423</v>
      </c>
      <c r="G883" s="1077">
        <f t="shared" si="32"/>
        <v>3480</v>
      </c>
    </row>
    <row r="884" spans="1:7" ht="20.25" customHeight="1">
      <c r="A884" s="94">
        <v>1</v>
      </c>
      <c r="B884" s="1036" t="s">
        <v>1419</v>
      </c>
      <c r="C884" s="1062" t="str">
        <f t="shared" si="33"/>
        <v>40 amps 2 pole isolator [SR 2022-23 / P.134]</v>
      </c>
      <c r="D884" s="1062"/>
      <c r="E884" s="1065">
        <f t="shared" si="34"/>
        <v>258</v>
      </c>
      <c r="F884" s="1036" t="s">
        <v>1423</v>
      </c>
      <c r="G884" s="1077">
        <f t="shared" si="32"/>
        <v>258</v>
      </c>
    </row>
    <row r="885" spans="1:7" ht="20.25" customHeight="1">
      <c r="A885" s="94">
        <v>710</v>
      </c>
      <c r="B885" s="1036" t="s">
        <v>156</v>
      </c>
      <c r="C885" s="1062" t="str">
        <f t="shared" si="33"/>
        <v>Interconnection charges ( qtn)</v>
      </c>
      <c r="D885" s="1062"/>
      <c r="E885" s="1065">
        <f t="shared" si="34"/>
        <v>1</v>
      </c>
      <c r="F885" s="1036" t="s">
        <v>4363</v>
      </c>
      <c r="G885" s="94">
        <f t="shared" si="32"/>
        <v>710</v>
      </c>
    </row>
    <row r="886" spans="1:7" ht="20.25" customHeight="1">
      <c r="A886" s="612"/>
      <c r="B886" s="1036"/>
      <c r="C886" s="1062" t="str">
        <f t="shared" si="33"/>
        <v>6mm thick hylam sheet for fixing energy metrs</v>
      </c>
      <c r="D886" s="1062"/>
      <c r="E886" s="1065">
        <f t="shared" si="34"/>
        <v>0</v>
      </c>
      <c r="F886" s="1036"/>
      <c r="G886" s="612"/>
    </row>
    <row r="887" spans="1:7" ht="20.25" customHeight="1">
      <c r="A887" s="1077">
        <v>25</v>
      </c>
      <c r="B887" s="1036" t="s">
        <v>3516</v>
      </c>
      <c r="C887" s="1062" t="str">
        <f t="shared" si="33"/>
        <v>Rubber beeding ( qtn)</v>
      </c>
      <c r="D887" s="1066" t="s">
        <v>2290</v>
      </c>
      <c r="E887" s="1065">
        <f t="shared" si="34"/>
        <v>20</v>
      </c>
      <c r="F887" s="1036" t="s">
        <v>842</v>
      </c>
      <c r="G887" s="1077">
        <f t="shared" ref="G887:G895" si="35">A887*E887</f>
        <v>500</v>
      </c>
    </row>
    <row r="888" spans="1:7" ht="20.25" customHeight="1">
      <c r="A888" s="1077">
        <v>0.9</v>
      </c>
      <c r="B888" s="1036" t="s">
        <v>5828</v>
      </c>
      <c r="C888" s="1062" t="str">
        <f t="shared" si="33"/>
        <v>Cost of hylum sheet 6mm [SR 2022-23 / P.129]</v>
      </c>
      <c r="D888" s="1062"/>
      <c r="E888" s="1065">
        <f t="shared" si="34"/>
        <v>1322</v>
      </c>
      <c r="F888" s="1036" t="s">
        <v>5828</v>
      </c>
      <c r="G888" s="94">
        <f t="shared" si="35"/>
        <v>1189.8</v>
      </c>
    </row>
    <row r="889" spans="1:7" ht="20.25" customHeight="1">
      <c r="A889" s="1079">
        <v>7</v>
      </c>
      <c r="B889" s="1080" t="s">
        <v>1457</v>
      </c>
      <c r="C889" s="1072" t="str">
        <f t="shared" si="33"/>
        <v>Insulators( qtn)</v>
      </c>
      <c r="D889" s="1081" t="s">
        <v>2290</v>
      </c>
      <c r="E889" s="1082">
        <f t="shared" si="34"/>
        <v>20</v>
      </c>
      <c r="F889" s="1080" t="s">
        <v>1423</v>
      </c>
      <c r="G889" s="1083">
        <f t="shared" si="35"/>
        <v>140</v>
      </c>
    </row>
    <row r="890" spans="1:7" ht="20.25" customHeight="1">
      <c r="A890" s="1079">
        <v>1</v>
      </c>
      <c r="B890" s="1080" t="s">
        <v>286</v>
      </c>
      <c r="C890" s="1072" t="str">
        <f t="shared" si="33"/>
        <v>LED pilot lamps( qtn)</v>
      </c>
      <c r="D890" s="1081" t="s">
        <v>2290</v>
      </c>
      <c r="E890" s="1082">
        <f t="shared" si="34"/>
        <v>280</v>
      </c>
      <c r="F890" s="1080" t="s">
        <v>147</v>
      </c>
      <c r="G890" s="1083">
        <f t="shared" si="35"/>
        <v>280</v>
      </c>
    </row>
    <row r="891" spans="1:7" ht="33.75" customHeight="1">
      <c r="A891" s="1079">
        <v>5</v>
      </c>
      <c r="B891" s="1080" t="s">
        <v>5829</v>
      </c>
      <c r="C891" s="1072" t="str">
        <f t="shared" si="33"/>
        <v>1 sqmm PVC copper cable [SR 2022-23 / P.125]</v>
      </c>
      <c r="D891" s="1072"/>
      <c r="E891" s="1082">
        <f t="shared" si="34"/>
        <v>10.45</v>
      </c>
      <c r="F891" s="1080" t="s">
        <v>5829</v>
      </c>
      <c r="G891" s="1079">
        <f t="shared" si="35"/>
        <v>52.25</v>
      </c>
    </row>
    <row r="892" spans="1:7" ht="33.75" customHeight="1">
      <c r="A892" s="1079">
        <v>165.05</v>
      </c>
      <c r="B892" s="1080" t="s">
        <v>1676</v>
      </c>
      <c r="C892" s="1072" t="str">
        <f t="shared" si="33"/>
        <v>MS sheet fabrication charges [SR 2022-23 / P.29]</v>
      </c>
      <c r="D892" s="1072"/>
      <c r="E892" s="1082">
        <f t="shared" si="34"/>
        <v>52.5</v>
      </c>
      <c r="F892" s="1080" t="s">
        <v>1676</v>
      </c>
      <c r="G892" s="1079">
        <f t="shared" si="35"/>
        <v>8665.1299999999992</v>
      </c>
    </row>
    <row r="893" spans="1:7" ht="20.25" customHeight="1">
      <c r="A893" s="1079">
        <v>7</v>
      </c>
      <c r="B893" s="1080" t="s">
        <v>1457</v>
      </c>
      <c r="C893" s="1072" t="str">
        <f t="shared" si="33"/>
        <v>Isolators / Fuse units/ Pilot lamp fixing charges ( SD 145)</v>
      </c>
      <c r="D893" s="1072"/>
      <c r="E893" s="1082">
        <f t="shared" si="34"/>
        <v>1086</v>
      </c>
      <c r="F893" s="1080" t="s">
        <v>1746</v>
      </c>
      <c r="G893" s="1079">
        <f t="shared" si="35"/>
        <v>7602</v>
      </c>
    </row>
    <row r="894" spans="1:7" ht="20.25" customHeight="1">
      <c r="A894" s="1079">
        <v>227.28</v>
      </c>
      <c r="B894" s="1080" t="s">
        <v>5584</v>
      </c>
      <c r="C894" s="1072" t="str">
        <f t="shared" si="33"/>
        <v>Painting with primer &amp; suitable colour( qtn)</v>
      </c>
      <c r="D894" s="1072"/>
      <c r="E894" s="1082">
        <f t="shared" si="34"/>
        <v>10</v>
      </c>
      <c r="F894" s="1080" t="s">
        <v>4373</v>
      </c>
      <c r="G894" s="1079">
        <f t="shared" si="35"/>
        <v>2272.8000000000002</v>
      </c>
    </row>
    <row r="895" spans="1:7" ht="20.25" customHeight="1">
      <c r="A895" s="1079">
        <v>50</v>
      </c>
      <c r="B895" s="1085" t="s">
        <v>5582</v>
      </c>
      <c r="C895" s="1072" t="str">
        <f t="shared" si="33"/>
        <v>6 Sq.mm. single core PVC copper cables for connection between fuse units and meter and between meter and 32A TPN MCB [SR 2020-21 / P.124]</v>
      </c>
      <c r="D895" s="1072"/>
      <c r="E895" s="1082">
        <f t="shared" si="34"/>
        <v>60.65</v>
      </c>
      <c r="F895" s="1080" t="s">
        <v>377</v>
      </c>
      <c r="G895" s="1079">
        <f t="shared" si="35"/>
        <v>3032.5</v>
      </c>
    </row>
    <row r="896" spans="1:7" ht="20.25" customHeight="1">
      <c r="A896" s="1079"/>
      <c r="B896" s="1086"/>
      <c r="C896" s="1072" t="s">
        <v>5586</v>
      </c>
      <c r="D896" s="1072"/>
      <c r="E896" s="1087"/>
      <c r="F896" s="1086"/>
      <c r="G896" s="1079"/>
    </row>
    <row r="897" spans="1:7" ht="20.25" customHeight="1">
      <c r="A897" s="1079"/>
      <c r="B897" s="1086"/>
      <c r="C897" s="1072" t="s">
        <v>5840</v>
      </c>
      <c r="D897" s="1072"/>
      <c r="E897" s="1087"/>
      <c r="F897" s="1086"/>
      <c r="G897" s="1079"/>
    </row>
    <row r="898" spans="1:7" ht="20.25" customHeight="1">
      <c r="A898" s="1079"/>
      <c r="B898" s="1086"/>
      <c r="C898" s="1072" t="s">
        <v>5831</v>
      </c>
      <c r="D898" s="1072"/>
      <c r="E898" s="1084">
        <v>200</v>
      </c>
      <c r="F898" s="1086"/>
      <c r="G898" s="1079">
        <v>200</v>
      </c>
    </row>
    <row r="899" spans="1:7" ht="20.25" customHeight="1">
      <c r="A899" s="1079"/>
      <c r="B899" s="1086"/>
      <c r="C899" s="1072"/>
      <c r="D899" s="1072"/>
      <c r="E899" s="1072" t="s">
        <v>2284</v>
      </c>
      <c r="F899" s="1086"/>
      <c r="G899" s="1088">
        <f>SUM(G866:G898)</f>
        <v>49012.92</v>
      </c>
    </row>
    <row r="900" spans="1:7" ht="20.25" customHeight="1">
      <c r="A900" s="1086"/>
      <c r="B900" s="1086"/>
      <c r="C900" s="1072" t="s">
        <v>5587</v>
      </c>
      <c r="D900" s="1072"/>
      <c r="E900" s="1072"/>
      <c r="F900" s="1086"/>
      <c r="G900" s="1079">
        <f>G899*2%</f>
        <v>980.26</v>
      </c>
    </row>
    <row r="901" spans="1:7" ht="20.25" customHeight="1">
      <c r="A901" s="612"/>
      <c r="B901" s="612"/>
      <c r="C901" s="1062" t="s">
        <v>5588</v>
      </c>
      <c r="D901" s="1062"/>
      <c r="E901" s="1062"/>
      <c r="F901" s="612"/>
      <c r="G901" s="94">
        <f>SUM(G899:G900)</f>
        <v>49993.18</v>
      </c>
    </row>
    <row r="902" spans="1:7" ht="20.25" customHeight="1">
      <c r="A902" s="612"/>
      <c r="B902" s="612"/>
      <c r="C902" s="1062" t="s">
        <v>5832</v>
      </c>
      <c r="D902" s="1066" t="s">
        <v>2290</v>
      </c>
      <c r="E902" s="1062"/>
      <c r="F902" s="612"/>
      <c r="G902" s="94"/>
    </row>
    <row r="903" spans="1:7" ht="20.25" customHeight="1">
      <c r="A903" s="612"/>
      <c r="B903" s="612"/>
      <c r="C903" s="1062" t="s">
        <v>5589</v>
      </c>
      <c r="D903" s="1062"/>
      <c r="E903" s="1062"/>
      <c r="F903" s="612"/>
      <c r="G903" s="612">
        <v>1000</v>
      </c>
    </row>
    <row r="904" spans="1:7" ht="20.25" customHeight="1">
      <c r="A904" s="612"/>
      <c r="B904" s="612"/>
      <c r="C904" s="1062" t="s">
        <v>5590</v>
      </c>
      <c r="D904" s="1062"/>
      <c r="E904" s="1062"/>
      <c r="F904" s="612"/>
      <c r="G904" s="612">
        <v>1000</v>
      </c>
    </row>
    <row r="905" spans="1:7" ht="20.25" customHeight="1">
      <c r="A905" s="612"/>
      <c r="B905" s="612"/>
      <c r="C905" s="612"/>
      <c r="D905" s="612"/>
      <c r="E905" s="612"/>
      <c r="F905" s="612"/>
      <c r="G905" s="94">
        <f>SUM(G901:G904)</f>
        <v>51993.18</v>
      </c>
    </row>
    <row r="906" spans="1:7" ht="20.25" customHeight="1">
      <c r="A906" s="612"/>
      <c r="B906" s="612"/>
      <c r="C906" s="612"/>
      <c r="D906" s="612"/>
      <c r="E906" s="612"/>
      <c r="F906" s="612"/>
      <c r="G906" s="1071">
        <f>ROUNDUP(G905,-2)</f>
        <v>52000</v>
      </c>
    </row>
    <row r="907" spans="1:7" ht="20.25" customHeight="1">
      <c r="A907" s="612"/>
      <c r="B907" s="612"/>
      <c r="C907" s="612"/>
      <c r="D907" s="612"/>
      <c r="E907" s="612"/>
      <c r="F907" s="612"/>
      <c r="G907" s="612"/>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6.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527" t="s">
        <v>4070</v>
      </c>
      <c r="B1" s="1527"/>
      <c r="C1" s="1527"/>
      <c r="D1" s="1527"/>
      <c r="E1" s="1527"/>
      <c r="F1" s="1527"/>
    </row>
    <row r="2" spans="1:7" ht="17.25">
      <c r="A2" s="1527" t="s">
        <v>4069</v>
      </c>
      <c r="B2" s="1527"/>
      <c r="C2" s="1527"/>
      <c r="D2" s="1527"/>
      <c r="E2" s="1527"/>
      <c r="F2" s="1527"/>
    </row>
    <row r="3" spans="1:7" ht="31.5" customHeight="1">
      <c r="A3" s="1528" t="s">
        <v>4311</v>
      </c>
      <c r="B3" s="1528"/>
      <c r="C3" s="1528"/>
      <c r="D3" s="1528"/>
      <c r="E3" s="1528"/>
      <c r="F3" s="1528"/>
    </row>
    <row r="4" spans="1:7" ht="17.25">
      <c r="A4" s="1529" t="s">
        <v>4831</v>
      </c>
      <c r="B4" s="1529"/>
      <c r="C4" s="1529"/>
      <c r="D4" s="1529"/>
      <c r="E4" s="1529"/>
      <c r="F4" s="581"/>
    </row>
    <row r="5" spans="1:7" ht="6" customHeight="1">
      <c r="A5" s="581"/>
      <c r="B5" s="581"/>
      <c r="C5" s="581"/>
      <c r="D5" s="581"/>
      <c r="E5" s="581"/>
      <c r="F5" s="581"/>
    </row>
    <row r="6" spans="1:7" ht="45.75" customHeight="1">
      <c r="B6" s="599"/>
      <c r="C6" s="1530" t="s">
        <v>4833</v>
      </c>
      <c r="D6" s="1530"/>
      <c r="E6" s="1530"/>
      <c r="F6" s="599"/>
      <c r="G6" s="4" t="s">
        <v>2190</v>
      </c>
    </row>
    <row r="7" spans="1:7" ht="24" customHeight="1">
      <c r="A7" s="598"/>
      <c r="B7" s="1523" t="s">
        <v>4832</v>
      </c>
      <c r="C7" s="1523"/>
      <c r="D7" s="1523"/>
      <c r="E7" s="1523"/>
      <c r="F7" s="1523"/>
      <c r="G7" s="50">
        <f>3.14/4*0.5*0.5*8</f>
        <v>1.57</v>
      </c>
    </row>
    <row r="8" spans="1:7" ht="28.5" customHeight="1">
      <c r="A8" s="590"/>
      <c r="B8" s="590"/>
      <c r="C8" s="597" t="s">
        <v>4067</v>
      </c>
      <c r="D8" s="590"/>
      <c r="E8" s="590"/>
      <c r="F8" s="590"/>
    </row>
    <row r="9" spans="1:7" ht="30.75" customHeight="1">
      <c r="A9" s="592">
        <f>G7</f>
        <v>1.57</v>
      </c>
      <c r="B9" s="590" t="s">
        <v>2190</v>
      </c>
      <c r="C9" s="590" t="s">
        <v>4181</v>
      </c>
      <c r="D9" s="581"/>
      <c r="E9" s="591">
        <f>Data!Y688</f>
        <v>8472.39</v>
      </c>
      <c r="F9" s="591">
        <f>A9*E9</f>
        <v>13301.65</v>
      </c>
    </row>
    <row r="10" spans="1:7" ht="30.75" customHeight="1">
      <c r="A10" s="596">
        <f>A9*10/100</f>
        <v>0.157</v>
      </c>
      <c r="B10" s="590" t="s">
        <v>535</v>
      </c>
      <c r="C10" s="590" t="s">
        <v>5462</v>
      </c>
      <c r="D10" s="581"/>
      <c r="E10" s="591">
        <v>6050</v>
      </c>
      <c r="F10" s="591">
        <f>A10*E10</f>
        <v>949.85</v>
      </c>
    </row>
    <row r="11" spans="1:7" ht="30.75" customHeight="1">
      <c r="A11" s="591">
        <v>8</v>
      </c>
      <c r="B11" s="590" t="s">
        <v>842</v>
      </c>
      <c r="C11" s="590" t="s">
        <v>2691</v>
      </c>
      <c r="D11" s="581"/>
      <c r="E11" s="902">
        <v>960</v>
      </c>
      <c r="F11" s="591">
        <f>A11*E11</f>
        <v>7680</v>
      </c>
    </row>
    <row r="12" spans="1:7" ht="21" customHeight="1">
      <c r="A12" s="590"/>
      <c r="B12" s="590"/>
      <c r="C12" s="590"/>
      <c r="D12" s="581"/>
      <c r="E12" s="590"/>
      <c r="F12" s="590"/>
    </row>
    <row r="13" spans="1:7" ht="21" customHeight="1">
      <c r="A13" s="590"/>
      <c r="B13" s="590"/>
      <c r="C13" s="590" t="s">
        <v>4064</v>
      </c>
      <c r="D13" s="581"/>
      <c r="E13" s="590"/>
      <c r="F13" s="591">
        <f>SUM(F9:F12)</f>
        <v>21931.5</v>
      </c>
    </row>
    <row r="14" spans="1:7" ht="21" customHeight="1">
      <c r="A14" s="590"/>
      <c r="B14" s="590"/>
      <c r="C14" s="590" t="s">
        <v>1670</v>
      </c>
      <c r="D14" s="581"/>
      <c r="E14" s="590"/>
      <c r="F14" s="591">
        <f>F13/7</f>
        <v>3133.07</v>
      </c>
    </row>
    <row r="15" spans="1:7" ht="21" customHeight="1">
      <c r="A15" s="590"/>
      <c r="B15" s="590"/>
      <c r="C15" s="590" t="s">
        <v>4063</v>
      </c>
      <c r="D15" s="581"/>
      <c r="E15" s="590"/>
      <c r="F15" s="590">
        <f>1000/8</f>
        <v>125</v>
      </c>
    </row>
    <row r="16" spans="1:7" ht="21" customHeight="1">
      <c r="A16" s="590"/>
      <c r="B16" s="590"/>
      <c r="C16" s="590"/>
      <c r="D16" s="581"/>
      <c r="E16" s="590"/>
      <c r="F16" s="590"/>
    </row>
    <row r="17" spans="1:13" ht="21" customHeight="1">
      <c r="A17" s="590"/>
      <c r="B17" s="590"/>
      <c r="C17" s="590" t="s">
        <v>1670</v>
      </c>
      <c r="D17" s="581"/>
      <c r="E17" s="590"/>
      <c r="F17" s="589">
        <f>SUM(F14:F16)</f>
        <v>3258.07</v>
      </c>
    </row>
    <row r="18" spans="1:13" ht="21" customHeight="1">
      <c r="A18" s="590"/>
      <c r="B18" s="590"/>
      <c r="C18" s="590" t="s">
        <v>4062</v>
      </c>
      <c r="D18" s="590"/>
      <c r="E18" s="590"/>
      <c r="F18" s="590"/>
    </row>
    <row r="19" spans="1:13" ht="21" customHeight="1">
      <c r="A19" s="590"/>
      <c r="B19" s="590"/>
      <c r="C19" s="590"/>
      <c r="D19" s="590"/>
      <c r="E19" s="590"/>
      <c r="F19" s="590"/>
    </row>
    <row r="20" spans="1:13" ht="12.75" customHeight="1">
      <c r="A20" s="590"/>
      <c r="B20" s="590"/>
      <c r="C20" s="590"/>
      <c r="D20" s="590"/>
      <c r="E20" s="590"/>
      <c r="F20" s="590"/>
    </row>
    <row r="21" spans="1:13" s="36" customFormat="1" ht="42" customHeight="1">
      <c r="A21" s="595"/>
      <c r="B21" s="595"/>
      <c r="C21" s="1524" t="s">
        <v>4061</v>
      </c>
      <c r="D21" s="1524"/>
      <c r="E21" s="1524"/>
      <c r="F21" s="595"/>
    </row>
    <row r="22" spans="1:13" ht="30.75" customHeight="1">
      <c r="A22" s="594"/>
      <c r="B22" s="1523" t="s">
        <v>4834</v>
      </c>
      <c r="C22" s="1523"/>
      <c r="D22" s="1523"/>
      <c r="E22" s="1523"/>
      <c r="F22" s="1523"/>
      <c r="G22" s="50">
        <v>0.442</v>
      </c>
    </row>
    <row r="23" spans="1:13" ht="30.75" customHeight="1">
      <c r="A23" s="590"/>
      <c r="B23" s="590"/>
      <c r="C23" s="593" t="s">
        <v>4059</v>
      </c>
      <c r="D23" s="590"/>
      <c r="E23" s="590"/>
      <c r="F23" s="590"/>
    </row>
    <row r="24" spans="1:13" ht="30.75" customHeight="1">
      <c r="A24" s="591">
        <f>G22</f>
        <v>0.44</v>
      </c>
      <c r="B24" s="590" t="s">
        <v>2190</v>
      </c>
      <c r="C24" s="590" t="s">
        <v>4488</v>
      </c>
      <c r="D24" s="581"/>
      <c r="E24" s="591">
        <f>5800*1.1</f>
        <v>6380</v>
      </c>
      <c r="F24" s="591">
        <f>A24*E24</f>
        <v>2807.2</v>
      </c>
    </row>
    <row r="25" spans="1:13" ht="42.75" customHeight="1">
      <c r="A25" s="591">
        <f>+A24</f>
        <v>0.44</v>
      </c>
      <c r="B25" s="590" t="s">
        <v>2190</v>
      </c>
      <c r="C25" s="1525" t="s">
        <v>4489</v>
      </c>
      <c r="D25" s="1525"/>
      <c r="E25" s="591">
        <f>11.13*5</f>
        <v>55.65</v>
      </c>
      <c r="F25" s="591">
        <f>E25*A25</f>
        <v>24.49</v>
      </c>
      <c r="G25" s="32" t="s">
        <v>5498</v>
      </c>
      <c r="I25">
        <f>8.69*0.125</f>
        <v>1.0900000000000001</v>
      </c>
    </row>
    <row r="26" spans="1:13" ht="36" customHeight="1">
      <c r="A26" s="591">
        <f>+A25</f>
        <v>0.44</v>
      </c>
      <c r="B26" s="590" t="s">
        <v>2190</v>
      </c>
      <c r="C26" s="590" t="s">
        <v>4490</v>
      </c>
      <c r="D26" s="581"/>
      <c r="E26" s="591">
        <v>42.55</v>
      </c>
      <c r="F26" s="591">
        <f>A26*E26</f>
        <v>18.72</v>
      </c>
      <c r="I26" s="36">
        <f>0.125*26.3</f>
        <v>3.29</v>
      </c>
    </row>
    <row r="27" spans="1:13" ht="17.25">
      <c r="A27" s="591"/>
      <c r="B27" s="590"/>
      <c r="C27" s="590"/>
      <c r="D27" s="581"/>
      <c r="E27" s="591"/>
      <c r="F27" s="591"/>
      <c r="I27">
        <f>26.58/3</f>
        <v>8.86</v>
      </c>
    </row>
    <row r="28" spans="1:13" ht="17.25">
      <c r="A28" s="590"/>
      <c r="B28" s="590"/>
      <c r="C28" s="590" t="s">
        <v>1670</v>
      </c>
      <c r="D28" s="581"/>
      <c r="E28" s="590"/>
      <c r="F28" s="589">
        <f>SUM(F24:F27)</f>
        <v>2850.41</v>
      </c>
    </row>
    <row r="29" spans="1:13" ht="17.25">
      <c r="A29" s="581"/>
      <c r="B29" s="581"/>
      <c r="C29" s="581"/>
      <c r="D29" s="581"/>
      <c r="E29" s="581"/>
      <c r="F29" s="581"/>
    </row>
    <row r="30" spans="1:13" ht="51" customHeight="1">
      <c r="B30" s="588"/>
      <c r="C30" s="1526" t="s">
        <v>4056</v>
      </c>
      <c r="D30" s="1526"/>
      <c r="E30" s="1526"/>
      <c r="F30" s="588"/>
    </row>
    <row r="31" spans="1:13" ht="17.25">
      <c r="A31" s="581"/>
      <c r="B31" s="581"/>
      <c r="C31" s="581"/>
      <c r="D31" s="581"/>
      <c r="E31" s="581"/>
      <c r="F31" s="581"/>
      <c r="M31">
        <f>8.69*3</f>
        <v>26.07</v>
      </c>
    </row>
    <row r="32" spans="1:13" ht="60" customHeight="1">
      <c r="A32" s="584" t="s">
        <v>4054</v>
      </c>
      <c r="B32" s="584">
        <v>3</v>
      </c>
      <c r="C32" s="587" t="s">
        <v>4055</v>
      </c>
      <c r="E32" s="591">
        <v>11.13</v>
      </c>
      <c r="F32" s="591"/>
      <c r="G32" s="584">
        <f>E32*B32</f>
        <v>33.39</v>
      </c>
    </row>
    <row r="33" spans="1:10" ht="21.75" customHeight="1">
      <c r="A33" s="584" t="s">
        <v>4054</v>
      </c>
      <c r="B33" s="584">
        <v>3</v>
      </c>
      <c r="C33" s="586" t="s">
        <v>4053</v>
      </c>
      <c r="E33" s="591">
        <f>E26</f>
        <v>42.55</v>
      </c>
      <c r="F33" s="591"/>
      <c r="G33" s="584">
        <f>E33*B33</f>
        <v>127.65</v>
      </c>
      <c r="J33" t="s">
        <v>4491</v>
      </c>
    </row>
    <row r="34" spans="1:10" ht="17.25">
      <c r="A34" s="584"/>
      <c r="B34" s="584"/>
      <c r="C34" s="585"/>
      <c r="E34" s="591"/>
      <c r="F34" s="591"/>
      <c r="G34" s="584"/>
    </row>
    <row r="35" spans="1:10" ht="17.25">
      <c r="A35" s="584"/>
      <c r="B35" s="584"/>
      <c r="C35" s="585" t="s">
        <v>4052</v>
      </c>
      <c r="E35" s="584"/>
      <c r="F35" s="584"/>
      <c r="G35" s="583">
        <f>SUM(G32:G34)</f>
        <v>161.04</v>
      </c>
    </row>
    <row r="36" spans="1:10" ht="17.25">
      <c r="A36" s="581"/>
      <c r="B36" s="581"/>
      <c r="C36" s="581"/>
      <c r="E36" s="581"/>
      <c r="F36" s="581"/>
      <c r="G36" s="581"/>
    </row>
    <row r="37" spans="1:10" ht="17.25" hidden="1">
      <c r="A37" s="581"/>
      <c r="B37" s="581"/>
      <c r="C37" s="581"/>
      <c r="E37" s="581"/>
      <c r="F37" s="581"/>
      <c r="G37" s="581"/>
    </row>
    <row r="38" spans="1:10" ht="17.25" hidden="1">
      <c r="A38" s="581"/>
      <c r="B38" s="581"/>
      <c r="C38" s="581"/>
      <c r="E38" s="581"/>
      <c r="F38" s="581"/>
      <c r="G38" s="581"/>
    </row>
    <row r="39" spans="1:10" ht="3" customHeight="1">
      <c r="A39" s="582"/>
      <c r="B39" s="581"/>
      <c r="C39" s="582"/>
      <c r="E39" s="581"/>
      <c r="F39" s="581"/>
      <c r="G39" s="581"/>
    </row>
    <row r="40" spans="1:10" ht="24" customHeight="1">
      <c r="A40" s="50"/>
      <c r="C40" s="36" t="s">
        <v>4159</v>
      </c>
    </row>
    <row r="41" spans="1:10" ht="24" customHeight="1">
      <c r="A41" s="50">
        <v>5</v>
      </c>
      <c r="B41" t="s">
        <v>1365</v>
      </c>
      <c r="C41" t="s">
        <v>4167</v>
      </c>
      <c r="D41">
        <f>Data!V705</f>
        <v>1704.69</v>
      </c>
      <c r="F41">
        <f>D41*A41</f>
        <v>8523.4500000000007</v>
      </c>
      <c r="H41">
        <f>F41</f>
        <v>8523.4500000000007</v>
      </c>
    </row>
    <row r="42" spans="1:10" ht="24" customHeight="1">
      <c r="A42" s="50">
        <v>3.3</v>
      </c>
      <c r="B42" t="s">
        <v>1365</v>
      </c>
      <c r="C42" t="s">
        <v>4168</v>
      </c>
      <c r="D42">
        <f>Data!V706</f>
        <v>1419.19</v>
      </c>
      <c r="F42">
        <f t="shared" ref="F42:F48" si="0">D42*A42</f>
        <v>4683.33</v>
      </c>
      <c r="H42">
        <f t="shared" ref="H42:H50" si="1">F42</f>
        <v>4683.33</v>
      </c>
    </row>
    <row r="43" spans="1:10" ht="24" customHeight="1">
      <c r="A43" s="50">
        <v>4.79</v>
      </c>
      <c r="B43" t="s">
        <v>1365</v>
      </c>
      <c r="C43" t="s">
        <v>4169</v>
      </c>
      <c r="D43">
        <f>Data!V707</f>
        <v>1608.7</v>
      </c>
      <c r="F43">
        <f t="shared" si="0"/>
        <v>7705.67</v>
      </c>
      <c r="H43">
        <f t="shared" si="1"/>
        <v>7705.67</v>
      </c>
    </row>
    <row r="44" spans="1:10" ht="24" customHeight="1">
      <c r="A44" s="50">
        <v>3.25</v>
      </c>
      <c r="B44" t="s">
        <v>535</v>
      </c>
      <c r="C44" t="s">
        <v>395</v>
      </c>
      <c r="D44">
        <f>Data!V708</f>
        <v>6040</v>
      </c>
      <c r="F44">
        <f t="shared" si="0"/>
        <v>19630</v>
      </c>
      <c r="H44">
        <f t="shared" si="1"/>
        <v>19630</v>
      </c>
    </row>
    <row r="45" spans="1:10" ht="35.25" customHeight="1">
      <c r="A45" s="50">
        <f>3250*0.6%</f>
        <v>19.5</v>
      </c>
      <c r="B45" t="s">
        <v>1676</v>
      </c>
      <c r="C45" s="327" t="s">
        <v>4170</v>
      </c>
      <c r="D45">
        <f>Data!V709</f>
        <v>43.2</v>
      </c>
      <c r="F45">
        <f t="shared" si="0"/>
        <v>842.4</v>
      </c>
      <c r="H45">
        <f t="shared" si="1"/>
        <v>842.4</v>
      </c>
    </row>
    <row r="46" spans="1:10" ht="24" customHeight="1">
      <c r="A46" s="50">
        <v>3.5</v>
      </c>
      <c r="B46" t="s">
        <v>1457</v>
      </c>
      <c r="C46" t="s">
        <v>471</v>
      </c>
      <c r="D46">
        <f>Data!V710</f>
        <v>972.4</v>
      </c>
      <c r="F46">
        <f t="shared" si="0"/>
        <v>3403.4</v>
      </c>
      <c r="H46">
        <f t="shared" si="1"/>
        <v>3403.4</v>
      </c>
    </row>
    <row r="47" spans="1:10" ht="24" customHeight="1">
      <c r="A47" s="50">
        <v>21.2</v>
      </c>
      <c r="B47" t="s">
        <v>1457</v>
      </c>
      <c r="C47" t="s">
        <v>3539</v>
      </c>
      <c r="D47">
        <f>Data!V711</f>
        <v>679.8</v>
      </c>
      <c r="F47">
        <f t="shared" si="0"/>
        <v>14411.76</v>
      </c>
      <c r="H47">
        <f t="shared" si="1"/>
        <v>14411.76</v>
      </c>
    </row>
    <row r="48" spans="1:10" ht="24" customHeight="1">
      <c r="A48" s="50">
        <v>35.299999999999997</v>
      </c>
      <c r="B48" t="s">
        <v>1457</v>
      </c>
      <c r="C48" t="s">
        <v>3540</v>
      </c>
      <c r="D48">
        <f>Data!V712</f>
        <v>557.70000000000005</v>
      </c>
      <c r="F48">
        <f t="shared" si="0"/>
        <v>19686.810000000001</v>
      </c>
      <c r="H48">
        <f t="shared" si="1"/>
        <v>19686.810000000001</v>
      </c>
    </row>
    <row r="49" spans="1:8" ht="24" customHeight="1">
      <c r="A49" s="50"/>
      <c r="C49" t="s">
        <v>4171</v>
      </c>
      <c r="D49">
        <f>Data!V713</f>
        <v>0</v>
      </c>
      <c r="F49" s="36">
        <f>SUM(F41:F48)</f>
        <v>78886.820000000007</v>
      </c>
      <c r="H49">
        <f t="shared" si="1"/>
        <v>78886.820000000007</v>
      </c>
    </row>
    <row r="50" spans="1:8" ht="24" customHeight="1">
      <c r="A50" s="50"/>
      <c r="C50" t="s">
        <v>4172</v>
      </c>
      <c r="D50">
        <f>Data!V714</f>
        <v>0</v>
      </c>
      <c r="F50" s="36">
        <f>F49/10</f>
        <v>7888.68</v>
      </c>
      <c r="H50">
        <f t="shared" si="1"/>
        <v>7888.68</v>
      </c>
    </row>
    <row r="51" spans="1:8" ht="24" customHeight="1">
      <c r="A51" s="50">
        <v>1</v>
      </c>
      <c r="B51" t="s">
        <v>1365</v>
      </c>
      <c r="C51" t="s">
        <v>4199</v>
      </c>
      <c r="D51">
        <f>Data!V715</f>
        <v>98.34</v>
      </c>
      <c r="F51">
        <f>D51*A51</f>
        <v>98.34</v>
      </c>
    </row>
    <row r="52" spans="1:8" ht="24" customHeight="1">
      <c r="A52" s="50"/>
      <c r="C52" t="s">
        <v>4173</v>
      </c>
      <c r="D52">
        <f>Data!V716</f>
        <v>0</v>
      </c>
      <c r="F52" s="36">
        <f>SUM(F50:F51)</f>
        <v>7987.02</v>
      </c>
      <c r="H52">
        <f>H50</f>
        <v>7888.68</v>
      </c>
    </row>
    <row r="53" spans="1:8">
      <c r="A53" s="416" t="s">
        <v>669</v>
      </c>
      <c r="C53" t="s">
        <v>4174</v>
      </c>
      <c r="D53" t="str">
        <f>Data!V717</f>
        <v>LS</v>
      </c>
      <c r="F53">
        <f>F52*0.5%</f>
        <v>39.94</v>
      </c>
      <c r="H53">
        <f>H52*0.5/100</f>
        <v>39.44</v>
      </c>
    </row>
    <row r="54" spans="1:8">
      <c r="A54" s="50"/>
      <c r="B54" s="3"/>
      <c r="C54" s="36" t="s">
        <v>3667</v>
      </c>
      <c r="E54" s="10"/>
      <c r="F54" s="38">
        <f>SUM(F52:F53)</f>
        <v>8026.96</v>
      </c>
      <c r="H54" s="36">
        <f>SUM(H52:H53)</f>
        <v>7928.12</v>
      </c>
    </row>
    <row r="55" spans="1:8">
      <c r="A55" s="50"/>
      <c r="B55" s="3"/>
      <c r="E55" s="10"/>
      <c r="F55" s="5" t="s">
        <v>1615</v>
      </c>
    </row>
    <row r="56" spans="1:8">
      <c r="A56" s="50"/>
      <c r="B56" s="3"/>
      <c r="C56" s="1" t="s">
        <v>391</v>
      </c>
      <c r="E56" s="10"/>
      <c r="F56" s="38">
        <f>F54+Data!C23</f>
        <v>8273.14</v>
      </c>
    </row>
    <row r="57" spans="1:8">
      <c r="A57" s="50"/>
      <c r="B57" s="3"/>
      <c r="C57" s="1" t="s">
        <v>393</v>
      </c>
      <c r="E57" s="10"/>
      <c r="F57" s="655"/>
    </row>
    <row r="58" spans="1:8">
      <c r="A58" s="50"/>
      <c r="B58" s="3"/>
      <c r="C58" s="1" t="s">
        <v>2271</v>
      </c>
      <c r="E58" s="10"/>
      <c r="F58" s="38">
        <f>F56+Data!C25</f>
        <v>8371.48</v>
      </c>
    </row>
    <row r="59" spans="1:8">
      <c r="A59" s="50"/>
      <c r="B59" s="3"/>
      <c r="C59" s="1" t="s">
        <v>385</v>
      </c>
      <c r="E59" s="10"/>
      <c r="F59" s="38"/>
    </row>
    <row r="60" spans="1:8">
      <c r="A60" s="50"/>
      <c r="B60" s="3"/>
      <c r="C60" s="1" t="s">
        <v>1560</v>
      </c>
      <c r="E60" s="10"/>
      <c r="F60" s="38">
        <f>F58+Data!C27</f>
        <v>8407.18</v>
      </c>
    </row>
    <row r="61" spans="1:8" ht="17.25">
      <c r="A61" s="581"/>
      <c r="B61" s="581"/>
      <c r="C61" s="581"/>
      <c r="E61" s="581"/>
      <c r="F61" s="581"/>
      <c r="G61" s="581"/>
    </row>
    <row r="62" spans="1:8" ht="7.5" customHeight="1">
      <c r="A62" s="581"/>
      <c r="B62" s="581"/>
      <c r="C62" s="581"/>
      <c r="E62" s="581"/>
      <c r="F62" s="581"/>
      <c r="G62" s="581"/>
    </row>
    <row r="63" spans="1:8" ht="17.25" hidden="1">
      <c r="A63" s="581"/>
      <c r="B63" s="581"/>
      <c r="C63" s="581"/>
      <c r="E63" s="581"/>
      <c r="F63" s="581"/>
      <c r="G63" s="581"/>
    </row>
    <row r="64" spans="1:8" ht="17.25" hidden="1">
      <c r="A64" s="581"/>
      <c r="B64" s="581"/>
      <c r="C64" s="581"/>
      <c r="E64" s="581"/>
      <c r="F64" s="581"/>
      <c r="G64" s="581"/>
    </row>
    <row r="65" spans="1:7" ht="17.25">
      <c r="A65" s="1527" t="s">
        <v>4070</v>
      </c>
      <c r="B65" s="1527"/>
      <c r="C65" s="1527"/>
      <c r="D65" s="1527"/>
      <c r="E65" s="1527"/>
      <c r="F65" s="1527"/>
    </row>
    <row r="66" spans="1:7" ht="17.25">
      <c r="A66" s="1527" t="s">
        <v>4069</v>
      </c>
      <c r="B66" s="1527"/>
      <c r="C66" s="1527"/>
      <c r="D66" s="1527"/>
      <c r="E66" s="1527"/>
      <c r="F66" s="1527"/>
    </row>
    <row r="67" spans="1:7" ht="17.25">
      <c r="A67" s="1528" t="s">
        <v>4311</v>
      </c>
      <c r="B67" s="1528"/>
      <c r="C67" s="1528"/>
      <c r="D67" s="1528"/>
      <c r="E67" s="1528"/>
      <c r="F67" s="1528"/>
    </row>
    <row r="68" spans="1:7" ht="17.25">
      <c r="A68" s="1529" t="s">
        <v>4068</v>
      </c>
      <c r="B68" s="1529"/>
      <c r="C68" s="1529"/>
      <c r="D68" s="1529"/>
      <c r="E68" s="1529"/>
      <c r="F68" s="581"/>
    </row>
    <row r="69" spans="1:7" ht="17.25">
      <c r="A69" s="581"/>
      <c r="B69" s="581"/>
      <c r="C69" s="581"/>
      <c r="D69" s="581"/>
      <c r="E69" s="581"/>
      <c r="F69" s="581"/>
    </row>
    <row r="70" spans="1:7" ht="19.5">
      <c r="B70" s="599"/>
      <c r="C70" s="1530" t="s">
        <v>4312</v>
      </c>
      <c r="D70" s="1530"/>
      <c r="E70" s="1530"/>
      <c r="F70" s="599"/>
      <c r="G70" s="4" t="s">
        <v>2190</v>
      </c>
    </row>
    <row r="71" spans="1:7" ht="20.25">
      <c r="A71" s="598"/>
      <c r="B71" s="1523" t="s">
        <v>4835</v>
      </c>
      <c r="C71" s="1523"/>
      <c r="D71" s="1523"/>
      <c r="E71" s="1523"/>
      <c r="F71" s="1523"/>
      <c r="G71" s="50">
        <v>2.2599999999999998</v>
      </c>
    </row>
    <row r="72" spans="1:7" ht="31.5" customHeight="1">
      <c r="A72" s="590"/>
      <c r="B72" s="590"/>
      <c r="C72" s="767" t="s">
        <v>4836</v>
      </c>
      <c r="D72" s="590"/>
      <c r="E72" s="590"/>
      <c r="F72" s="590"/>
    </row>
    <row r="73" spans="1:7" ht="36.75" customHeight="1">
      <c r="A73" s="592">
        <f>G71</f>
        <v>2.2599999999999998</v>
      </c>
      <c r="B73" s="590" t="s">
        <v>2190</v>
      </c>
      <c r="C73" s="590" t="s">
        <v>4508</v>
      </c>
      <c r="D73" s="581"/>
      <c r="E73" s="591">
        <f>E9</f>
        <v>8472.39</v>
      </c>
      <c r="F73" s="591">
        <f>A73*E73</f>
        <v>19147.599999999999</v>
      </c>
    </row>
    <row r="74" spans="1:7" ht="17.25">
      <c r="A74" s="596">
        <f>A73*10/100</f>
        <v>0.22600000000000001</v>
      </c>
      <c r="B74" s="590" t="s">
        <v>535</v>
      </c>
      <c r="C74" s="590" t="s">
        <v>4065</v>
      </c>
      <c r="D74" s="581"/>
      <c r="E74" s="591">
        <v>4000</v>
      </c>
      <c r="F74" s="591">
        <f>A74*E74</f>
        <v>904</v>
      </c>
    </row>
    <row r="75" spans="1:7" ht="17.25">
      <c r="A75" s="591">
        <v>8</v>
      </c>
      <c r="B75" s="590" t="s">
        <v>842</v>
      </c>
      <c r="C75" s="590" t="s">
        <v>2691</v>
      </c>
      <c r="D75" s="581"/>
      <c r="E75" s="591">
        <v>960</v>
      </c>
      <c r="F75" s="591">
        <f>A75*E75</f>
        <v>7680</v>
      </c>
    </row>
    <row r="76" spans="1:7" ht="17.25">
      <c r="A76" s="590"/>
      <c r="B76" s="590"/>
      <c r="C76" s="590"/>
      <c r="D76" s="581"/>
      <c r="E76" s="590"/>
      <c r="F76" s="590"/>
    </row>
    <row r="77" spans="1:7" ht="17.25">
      <c r="A77" s="590"/>
      <c r="B77" s="590"/>
      <c r="C77" s="590" t="s">
        <v>4064</v>
      </c>
      <c r="D77" s="581"/>
      <c r="E77" s="590"/>
      <c r="F77" s="591">
        <f>SUM(F73:F76)</f>
        <v>27731.599999999999</v>
      </c>
    </row>
    <row r="78" spans="1:7" ht="17.25">
      <c r="A78" s="590"/>
      <c r="B78" s="590"/>
      <c r="C78" s="590" t="s">
        <v>1670</v>
      </c>
      <c r="D78" s="581"/>
      <c r="E78" s="590"/>
      <c r="F78" s="591">
        <f>F77/7</f>
        <v>3961.66</v>
      </c>
    </row>
    <row r="79" spans="1:7" ht="17.25">
      <c r="A79" s="590"/>
      <c r="B79" s="590"/>
      <c r="C79" s="590" t="s">
        <v>4063</v>
      </c>
      <c r="D79" s="581"/>
      <c r="E79" s="590"/>
      <c r="F79" s="590">
        <f>1000/8</f>
        <v>125</v>
      </c>
    </row>
    <row r="80" spans="1:7" ht="17.25">
      <c r="A80" s="590"/>
      <c r="B80" s="590"/>
      <c r="C80" s="590"/>
      <c r="D80" s="581"/>
      <c r="E80" s="590"/>
      <c r="F80" s="590"/>
    </row>
    <row r="81" spans="1:7" ht="17.25">
      <c r="A81" s="590"/>
      <c r="B81" s="590"/>
      <c r="C81" s="590" t="s">
        <v>1670</v>
      </c>
      <c r="D81" s="581"/>
      <c r="E81" s="590"/>
      <c r="F81" s="589">
        <f>SUM(F78:F80)</f>
        <v>4086.66</v>
      </c>
    </row>
    <row r="82" spans="1:7" ht="17.25">
      <c r="A82" s="590"/>
      <c r="B82" s="590"/>
      <c r="C82" s="590" t="s">
        <v>4062</v>
      </c>
      <c r="D82" s="590"/>
      <c r="E82" s="590"/>
      <c r="F82" s="590"/>
    </row>
    <row r="83" spans="1:7" ht="17.25">
      <c r="A83" s="590"/>
      <c r="B83" s="590"/>
      <c r="C83" s="590"/>
      <c r="D83" s="590"/>
      <c r="E83" s="590"/>
      <c r="F83" s="590"/>
    </row>
    <row r="84" spans="1:7" ht="17.25">
      <c r="A84" s="590"/>
      <c r="B84" s="590"/>
      <c r="C84" s="590"/>
      <c r="D84" s="590"/>
      <c r="E84" s="590"/>
      <c r="F84" s="590"/>
    </row>
    <row r="85" spans="1:7" ht="17.25">
      <c r="A85" s="595"/>
      <c r="B85" s="595"/>
      <c r="C85" s="1524" t="s">
        <v>4061</v>
      </c>
      <c r="D85" s="1524"/>
      <c r="E85" s="1524"/>
      <c r="F85" s="595"/>
      <c r="G85" s="36"/>
    </row>
    <row r="86" spans="1:7" ht="20.25">
      <c r="A86" s="594"/>
      <c r="B86" s="1523" t="s">
        <v>4837</v>
      </c>
      <c r="C86" s="1523"/>
      <c r="D86" s="1523"/>
      <c r="E86" s="1523"/>
      <c r="F86" s="1523"/>
      <c r="G86" s="579">
        <f>3.14*0.6*0.6/4</f>
        <v>0.28000000000000003</v>
      </c>
    </row>
    <row r="87" spans="1:7" ht="39.75" customHeight="1">
      <c r="A87" s="590"/>
      <c r="B87" s="590"/>
      <c r="C87" s="593" t="s">
        <v>4059</v>
      </c>
      <c r="D87" s="590"/>
      <c r="E87" s="590"/>
      <c r="F87" s="590"/>
    </row>
    <row r="88" spans="1:7" ht="17.25">
      <c r="A88" s="592">
        <f>G86</f>
        <v>0.28000000000000003</v>
      </c>
      <c r="B88" s="590" t="s">
        <v>2190</v>
      </c>
      <c r="C88" s="590" t="s">
        <v>4509</v>
      </c>
      <c r="D88" s="581"/>
      <c r="E88" s="591">
        <f>E24</f>
        <v>6380</v>
      </c>
      <c r="F88" s="591">
        <f>A88*E88</f>
        <v>1786.4</v>
      </c>
    </row>
    <row r="89" spans="1:7" ht="17.25">
      <c r="A89" s="592">
        <f>+A88</f>
        <v>0.28000000000000003</v>
      </c>
      <c r="B89" s="590" t="s">
        <v>2190</v>
      </c>
      <c r="C89" s="1525" t="s">
        <v>4489</v>
      </c>
      <c r="D89" s="1525"/>
      <c r="E89" s="591">
        <f>E25</f>
        <v>55.65</v>
      </c>
      <c r="F89" s="591">
        <f>E89*A89</f>
        <v>15.58</v>
      </c>
    </row>
    <row r="90" spans="1:7" ht="17.25">
      <c r="A90" s="592">
        <f>+A89</f>
        <v>0.28000000000000003</v>
      </c>
      <c r="B90" s="590" t="s">
        <v>2190</v>
      </c>
      <c r="C90" s="590" t="s">
        <v>4490</v>
      </c>
      <c r="D90" s="581"/>
      <c r="E90" s="591">
        <f>E26</f>
        <v>42.55</v>
      </c>
      <c r="F90" s="591">
        <f>A90*E90</f>
        <v>11.91</v>
      </c>
    </row>
    <row r="91" spans="1:7" ht="17.25">
      <c r="A91" s="591"/>
      <c r="B91" s="590"/>
      <c r="C91" s="590"/>
      <c r="D91" s="581"/>
      <c r="E91" s="591"/>
      <c r="F91" s="591"/>
    </row>
    <row r="92" spans="1:7" ht="17.25">
      <c r="A92" s="590"/>
      <c r="B92" s="590"/>
      <c r="C92" s="590" t="s">
        <v>1670</v>
      </c>
      <c r="D92" s="581"/>
      <c r="E92" s="590"/>
      <c r="F92" s="589">
        <f>SUM(F88:F91)</f>
        <v>1813.89</v>
      </c>
    </row>
    <row r="93" spans="1:7" ht="17.25">
      <c r="A93" s="581"/>
      <c r="B93" s="581"/>
      <c r="C93" s="581"/>
      <c r="D93" s="581"/>
      <c r="E93" s="581"/>
      <c r="F93" s="581"/>
    </row>
    <row r="94" spans="1:7" ht="17.25">
      <c r="B94" s="588"/>
      <c r="C94" s="1526" t="s">
        <v>4056</v>
      </c>
      <c r="D94" s="1526"/>
      <c r="E94" s="1526"/>
      <c r="F94" s="588"/>
    </row>
    <row r="95" spans="1:7" ht="17.25">
      <c r="A95" s="581"/>
      <c r="B95" s="581"/>
      <c r="C95" s="581"/>
      <c r="D95" s="581"/>
      <c r="E95" s="581"/>
      <c r="F95" s="581"/>
    </row>
    <row r="96" spans="1:7" ht="34.5">
      <c r="A96" s="584" t="s">
        <v>4054</v>
      </c>
      <c r="B96" s="584">
        <v>3</v>
      </c>
      <c r="C96" s="587" t="s">
        <v>4055</v>
      </c>
      <c r="E96" s="584">
        <f>E32</f>
        <v>11.13</v>
      </c>
      <c r="F96" s="584" t="s">
        <v>1365</v>
      </c>
      <c r="G96" s="584">
        <f>E96*B96</f>
        <v>33.39</v>
      </c>
    </row>
    <row r="97" spans="1:7" ht="17.25">
      <c r="A97" s="584" t="s">
        <v>4054</v>
      </c>
      <c r="B97" s="584">
        <v>3</v>
      </c>
      <c r="C97" s="586" t="s">
        <v>4053</v>
      </c>
      <c r="E97" s="584">
        <f>E90</f>
        <v>42.55</v>
      </c>
      <c r="F97" s="584" t="s">
        <v>1365</v>
      </c>
      <c r="G97" s="584">
        <f>E97*B97</f>
        <v>127.65</v>
      </c>
    </row>
    <row r="98" spans="1:7" ht="17.25">
      <c r="A98" s="584"/>
      <c r="B98" s="584"/>
      <c r="C98" s="585"/>
      <c r="E98" s="584"/>
      <c r="F98" s="584"/>
      <c r="G98" s="584"/>
    </row>
    <row r="99" spans="1:7" ht="17.25">
      <c r="A99" s="584"/>
      <c r="B99" s="584"/>
      <c r="C99" s="585" t="s">
        <v>4052</v>
      </c>
      <c r="E99" s="584"/>
      <c r="F99" s="584"/>
      <c r="G99" s="583">
        <f>SUM(G96:G98)</f>
        <v>161.04</v>
      </c>
    </row>
    <row r="100" spans="1:7" ht="17.25">
      <c r="A100" s="581"/>
      <c r="B100" s="581"/>
      <c r="C100" s="581"/>
      <c r="E100" s="581"/>
      <c r="F100" s="581"/>
      <c r="G100" s="581"/>
    </row>
    <row r="101" spans="1:7" ht="23.25" hidden="1" customHeight="1">
      <c r="A101" s="581"/>
      <c r="B101" s="581"/>
      <c r="C101" s="581"/>
      <c r="E101" s="581"/>
      <c r="F101" s="581"/>
      <c r="G101" s="581"/>
    </row>
    <row r="102" spans="1:7" ht="23.25" hidden="1" customHeight="1">
      <c r="A102" s="581"/>
      <c r="B102" s="581"/>
      <c r="C102" s="581"/>
      <c r="E102" s="581"/>
      <c r="F102" s="581"/>
      <c r="G102" s="581"/>
    </row>
    <row r="103" spans="1:7" ht="29.25" hidden="1" customHeight="1">
      <c r="A103" s="50"/>
      <c r="B103" s="36">
        <v>4.2</v>
      </c>
      <c r="C103" s="36" t="s">
        <v>4158</v>
      </c>
    </row>
    <row r="104" spans="1:7" ht="30" hidden="1" customHeight="1">
      <c r="A104" s="50">
        <v>5</v>
      </c>
      <c r="B104" t="s">
        <v>1365</v>
      </c>
      <c r="C104" t="s">
        <v>4167</v>
      </c>
      <c r="D104">
        <f>D41</f>
        <v>1704.69</v>
      </c>
      <c r="F104">
        <f>D104*A104</f>
        <v>8523.4500000000007</v>
      </c>
    </row>
    <row r="105" spans="1:7" ht="30" hidden="1" customHeight="1">
      <c r="A105" s="50">
        <v>3.3</v>
      </c>
      <c r="B105" t="s">
        <v>1365</v>
      </c>
      <c r="C105" t="s">
        <v>4168</v>
      </c>
      <c r="D105">
        <f t="shared" ref="D105:D116" si="2">D42</f>
        <v>1419.19</v>
      </c>
      <c r="F105">
        <f t="shared" ref="F105:F111" si="3">D105*A105</f>
        <v>4683.33</v>
      </c>
    </row>
    <row r="106" spans="1:7" ht="30" hidden="1" customHeight="1">
      <c r="A106" s="50">
        <v>4.79</v>
      </c>
      <c r="B106" t="s">
        <v>1365</v>
      </c>
      <c r="C106" t="s">
        <v>4169</v>
      </c>
      <c r="D106">
        <f t="shared" si="2"/>
        <v>1608.7</v>
      </c>
      <c r="F106">
        <f t="shared" si="3"/>
        <v>7705.67</v>
      </c>
    </row>
    <row r="107" spans="1:7" ht="30" hidden="1" customHeight="1">
      <c r="A107" s="50">
        <v>4</v>
      </c>
      <c r="B107" t="s">
        <v>535</v>
      </c>
      <c r="C107" t="s">
        <v>395</v>
      </c>
      <c r="D107">
        <f t="shared" si="2"/>
        <v>6040</v>
      </c>
      <c r="F107">
        <f t="shared" si="3"/>
        <v>24160</v>
      </c>
    </row>
    <row r="108" spans="1:7" ht="30" hidden="1" customHeight="1">
      <c r="A108" s="50">
        <v>40</v>
      </c>
      <c r="B108" t="s">
        <v>1676</v>
      </c>
      <c r="C108" t="s">
        <v>4176</v>
      </c>
      <c r="D108">
        <f t="shared" si="2"/>
        <v>43.2</v>
      </c>
      <c r="F108">
        <f t="shared" si="3"/>
        <v>1728</v>
      </c>
    </row>
    <row r="109" spans="1:7" ht="30" hidden="1" customHeight="1">
      <c r="A109" s="50">
        <v>3.5</v>
      </c>
      <c r="B109" t="s">
        <v>1457</v>
      </c>
      <c r="C109" t="s">
        <v>471</v>
      </c>
      <c r="D109">
        <f t="shared" si="2"/>
        <v>972.4</v>
      </c>
      <c r="F109">
        <f>D109*A109</f>
        <v>3403.4</v>
      </c>
    </row>
    <row r="110" spans="1:7" ht="30" hidden="1" customHeight="1">
      <c r="A110" s="50">
        <v>21.2</v>
      </c>
      <c r="B110" t="s">
        <v>1457</v>
      </c>
      <c r="C110" t="s">
        <v>3539</v>
      </c>
      <c r="D110">
        <f t="shared" si="2"/>
        <v>679.8</v>
      </c>
      <c r="F110">
        <f t="shared" si="3"/>
        <v>14411.76</v>
      </c>
    </row>
    <row r="111" spans="1:7" ht="30" hidden="1" customHeight="1">
      <c r="A111" s="50">
        <v>35.299999999999997</v>
      </c>
      <c r="B111" t="s">
        <v>1457</v>
      </c>
      <c r="C111" t="s">
        <v>3540</v>
      </c>
      <c r="D111">
        <f t="shared" si="2"/>
        <v>557.70000000000005</v>
      </c>
      <c r="F111">
        <f t="shared" si="3"/>
        <v>19686.810000000001</v>
      </c>
    </row>
    <row r="112" spans="1:7" ht="30" hidden="1" customHeight="1">
      <c r="A112" s="50"/>
      <c r="C112" s="36" t="s">
        <v>4171</v>
      </c>
      <c r="D112">
        <f t="shared" si="2"/>
        <v>0</v>
      </c>
      <c r="F112" s="36">
        <f>SUM(F104:F111)</f>
        <v>84302.42</v>
      </c>
    </row>
    <row r="113" spans="1:7" ht="30" hidden="1" customHeight="1">
      <c r="A113" s="50"/>
      <c r="C113" s="36" t="s">
        <v>4172</v>
      </c>
      <c r="D113">
        <f t="shared" si="2"/>
        <v>0</v>
      </c>
      <c r="F113" s="36">
        <f>F112/10</f>
        <v>8430.24</v>
      </c>
      <c r="G113">
        <f>F113</f>
        <v>8430.24</v>
      </c>
    </row>
    <row r="114" spans="1:7" ht="30" hidden="1" customHeight="1">
      <c r="A114" s="50">
        <v>1</v>
      </c>
      <c r="B114" t="s">
        <v>1365</v>
      </c>
      <c r="C114" t="s">
        <v>3541</v>
      </c>
      <c r="D114">
        <f t="shared" si="2"/>
        <v>98.34</v>
      </c>
      <c r="F114">
        <f>D114</f>
        <v>98.34</v>
      </c>
    </row>
    <row r="115" spans="1:7" ht="30" hidden="1" customHeight="1">
      <c r="A115" s="50"/>
      <c r="C115" t="s">
        <v>4173</v>
      </c>
      <c r="D115">
        <f t="shared" si="2"/>
        <v>0</v>
      </c>
      <c r="F115" s="36">
        <f>SUM(F113:F114)</f>
        <v>8528.58</v>
      </c>
      <c r="G115">
        <f>SUM(G113:G114)</f>
        <v>8430.24</v>
      </c>
    </row>
    <row r="116" spans="1:7" ht="30" hidden="1" customHeight="1">
      <c r="A116" s="416" t="s">
        <v>669</v>
      </c>
      <c r="C116" t="s">
        <v>4174</v>
      </c>
      <c r="D116" t="str">
        <f t="shared" si="2"/>
        <v>LS</v>
      </c>
      <c r="F116">
        <f>F115*0.5%</f>
        <v>42.64</v>
      </c>
      <c r="G116">
        <f>G115*0.5/100</f>
        <v>42.15</v>
      </c>
    </row>
    <row r="117" spans="1:7" ht="30" hidden="1" customHeight="1">
      <c r="A117" s="50"/>
      <c r="B117" s="3"/>
      <c r="C117" s="36" t="s">
        <v>3667</v>
      </c>
      <c r="E117" s="10"/>
      <c r="F117" s="38">
        <f>SUM(F115:F116)</f>
        <v>8571.2199999999993</v>
      </c>
      <c r="G117" s="36">
        <f>SUM(G115:G116)</f>
        <v>8472.39</v>
      </c>
    </row>
    <row r="118" spans="1:7" ht="17.25" hidden="1">
      <c r="A118" s="581"/>
      <c r="B118" s="581"/>
      <c r="C118" s="581"/>
      <c r="E118" s="581"/>
      <c r="F118" s="581"/>
      <c r="G118" s="581"/>
    </row>
    <row r="119" spans="1:7" ht="17.25" hidden="1">
      <c r="A119" s="581"/>
      <c r="B119" s="581"/>
      <c r="C119" s="581"/>
      <c r="E119" s="581"/>
      <c r="F119" s="581"/>
      <c r="G119" s="581"/>
    </row>
    <row r="120" spans="1:7" ht="17.25" hidden="1">
      <c r="A120" s="581"/>
      <c r="B120" s="581"/>
      <c r="C120" s="581"/>
      <c r="E120" s="581"/>
      <c r="F120" s="581"/>
      <c r="G120" s="581"/>
    </row>
    <row r="121" spans="1:7" ht="17.25" hidden="1">
      <c r="A121" s="581"/>
      <c r="B121" s="581"/>
      <c r="C121" s="581"/>
      <c r="E121" s="581"/>
      <c r="F121" s="581"/>
      <c r="G121" s="582"/>
    </row>
    <row r="122" spans="1:7" ht="17.25" hidden="1">
      <c r="A122" s="581"/>
      <c r="B122" s="581"/>
      <c r="C122" s="581"/>
      <c r="E122" s="581"/>
      <c r="F122" s="581"/>
      <c r="G122" s="581"/>
    </row>
    <row r="123" spans="1:7" ht="17.25" hidden="1">
      <c r="A123" s="581"/>
      <c r="B123" s="581"/>
      <c r="C123" s="581"/>
      <c r="E123" s="581"/>
      <c r="F123" s="581"/>
      <c r="G123" s="581"/>
    </row>
    <row r="124" spans="1:7" ht="17.25" hidden="1">
      <c r="A124" s="581"/>
      <c r="B124" s="581"/>
      <c r="C124" s="581"/>
      <c r="E124" s="581"/>
      <c r="F124" s="581"/>
      <c r="G124" s="581"/>
    </row>
    <row r="125" spans="1:7" ht="17.25">
      <c r="A125" s="1527" t="s">
        <v>4070</v>
      </c>
      <c r="B125" s="1527"/>
      <c r="C125" s="1527"/>
      <c r="D125" s="1527"/>
      <c r="E125" s="1527"/>
      <c r="F125" s="1527"/>
    </row>
    <row r="126" spans="1:7" ht="17.25">
      <c r="A126" s="1527" t="s">
        <v>4069</v>
      </c>
      <c r="B126" s="1527"/>
      <c r="C126" s="1527"/>
      <c r="D126" s="1527"/>
      <c r="E126" s="1527"/>
      <c r="F126" s="1527"/>
    </row>
    <row r="127" spans="1:7" ht="17.25">
      <c r="A127" s="1528" t="s">
        <v>4311</v>
      </c>
      <c r="B127" s="1528"/>
      <c r="C127" s="1528"/>
      <c r="D127" s="1528"/>
      <c r="E127" s="1528"/>
      <c r="F127" s="1528"/>
    </row>
    <row r="128" spans="1:7" ht="17.25">
      <c r="A128" s="1529" t="s">
        <v>4068</v>
      </c>
      <c r="B128" s="1529"/>
      <c r="C128" s="1529"/>
      <c r="D128" s="1529"/>
      <c r="E128" s="1529"/>
      <c r="F128" s="581"/>
    </row>
    <row r="129" spans="1:7" ht="17.25">
      <c r="A129" s="581"/>
      <c r="B129" s="581"/>
      <c r="C129" s="581"/>
      <c r="D129" s="581"/>
      <c r="E129" s="581"/>
      <c r="F129" s="581"/>
    </row>
    <row r="130" spans="1:7" ht="19.5">
      <c r="B130" s="599"/>
      <c r="C130" s="1530" t="s">
        <v>4315</v>
      </c>
      <c r="D130" s="1530"/>
      <c r="E130" s="1530"/>
      <c r="F130" s="599"/>
      <c r="G130" s="4" t="s">
        <v>2190</v>
      </c>
    </row>
    <row r="131" spans="1:7" ht="20.25">
      <c r="A131" s="598"/>
      <c r="B131" s="1523" t="s">
        <v>4316</v>
      </c>
      <c r="C131" s="1523"/>
      <c r="D131" s="1523"/>
      <c r="E131" s="1523"/>
      <c r="F131" s="1523"/>
      <c r="G131" s="50">
        <f>3.14*0.4*0.4*8/4</f>
        <v>1.0049999999999999</v>
      </c>
    </row>
    <row r="132" spans="1:7" ht="34.5" customHeight="1">
      <c r="A132" s="590"/>
      <c r="B132" s="590"/>
      <c r="C132" s="766" t="s">
        <v>4319</v>
      </c>
      <c r="D132" s="590"/>
      <c r="E132" s="590"/>
      <c r="F132" s="590"/>
    </row>
    <row r="133" spans="1:7" ht="17.25">
      <c r="A133" s="592">
        <f>G131</f>
        <v>1.0049999999999999</v>
      </c>
      <c r="B133" s="590" t="s">
        <v>2190</v>
      </c>
      <c r="C133" s="590" t="s">
        <v>4066</v>
      </c>
      <c r="D133" s="581"/>
      <c r="E133" s="591">
        <f>E73</f>
        <v>8472.39</v>
      </c>
      <c r="F133" s="591">
        <f>A133*E133</f>
        <v>8514.75</v>
      </c>
    </row>
    <row r="134" spans="1:7" ht="17.25">
      <c r="A134" s="596">
        <f>A133*10/100</f>
        <v>0.10050000000000001</v>
      </c>
      <c r="B134" s="590" t="s">
        <v>535</v>
      </c>
      <c r="C134" s="590" t="s">
        <v>4065</v>
      </c>
      <c r="D134" s="581"/>
      <c r="E134" s="591">
        <v>4000</v>
      </c>
      <c r="F134" s="591">
        <f>A134*E134</f>
        <v>402</v>
      </c>
    </row>
    <row r="135" spans="1:7" ht="17.25">
      <c r="A135" s="591">
        <v>8</v>
      </c>
      <c r="B135" s="590" t="s">
        <v>842</v>
      </c>
      <c r="C135" s="590" t="s">
        <v>2691</v>
      </c>
      <c r="D135" s="581"/>
      <c r="E135" s="591">
        <v>960</v>
      </c>
      <c r="F135" s="591">
        <f>A135*E135</f>
        <v>7680</v>
      </c>
    </row>
    <row r="136" spans="1:7" ht="17.25">
      <c r="A136" s="590"/>
      <c r="B136" s="590"/>
      <c r="C136" s="590"/>
      <c r="D136" s="581"/>
      <c r="E136" s="590"/>
      <c r="F136" s="590"/>
    </row>
    <row r="137" spans="1:7" ht="17.25">
      <c r="A137" s="590"/>
      <c r="B137" s="590"/>
      <c r="C137" s="590" t="s">
        <v>4064</v>
      </c>
      <c r="D137" s="581"/>
      <c r="E137" s="590"/>
      <c r="F137" s="591">
        <f>SUM(F133:F136)</f>
        <v>16596.75</v>
      </c>
    </row>
    <row r="138" spans="1:7" ht="17.25">
      <c r="A138" s="590"/>
      <c r="B138" s="590"/>
      <c r="C138" s="590" t="s">
        <v>1670</v>
      </c>
      <c r="D138" s="581"/>
      <c r="E138" s="590"/>
      <c r="F138" s="591">
        <f>F137/7</f>
        <v>2370.96</v>
      </c>
    </row>
    <row r="139" spans="1:7" ht="17.25">
      <c r="A139" s="590"/>
      <c r="B139" s="590"/>
      <c r="C139" s="590" t="s">
        <v>4063</v>
      </c>
      <c r="D139" s="581"/>
      <c r="E139" s="590"/>
      <c r="F139" s="590">
        <f>1000/8</f>
        <v>125</v>
      </c>
    </row>
    <row r="140" spans="1:7" ht="17.25">
      <c r="A140" s="590"/>
      <c r="B140" s="590"/>
      <c r="C140" s="590"/>
      <c r="D140" s="581"/>
      <c r="E140" s="590"/>
      <c r="F140" s="590"/>
    </row>
    <row r="141" spans="1:7" ht="17.25">
      <c r="A141" s="590"/>
      <c r="B141" s="590"/>
      <c r="C141" s="590" t="s">
        <v>1670</v>
      </c>
      <c r="D141" s="581"/>
      <c r="E141" s="590"/>
      <c r="F141" s="589">
        <f>SUM(F138:F140)</f>
        <v>2495.96</v>
      </c>
    </row>
    <row r="142" spans="1:7" ht="17.25">
      <c r="A142" s="590"/>
      <c r="B142" s="590"/>
      <c r="C142" s="590" t="s">
        <v>4062</v>
      </c>
      <c r="D142" s="590"/>
      <c r="E142" s="590"/>
      <c r="F142" s="590"/>
    </row>
    <row r="143" spans="1:7" ht="17.25">
      <c r="A143" s="590"/>
      <c r="B143" s="590"/>
      <c r="C143" s="590"/>
      <c r="D143" s="590"/>
      <c r="E143" s="590"/>
      <c r="F143" s="590"/>
    </row>
    <row r="144" spans="1:7" ht="17.25">
      <c r="A144" s="590"/>
      <c r="B144" s="590"/>
      <c r="C144" s="590"/>
      <c r="D144" s="590"/>
      <c r="E144" s="590"/>
      <c r="F144" s="590"/>
    </row>
    <row r="145" spans="1:7" ht="17.25">
      <c r="A145" s="595"/>
      <c r="B145" s="595"/>
      <c r="C145" s="1524" t="s">
        <v>4061</v>
      </c>
      <c r="D145" s="1524"/>
      <c r="E145" s="1524"/>
      <c r="F145" s="595"/>
      <c r="G145" s="36"/>
    </row>
    <row r="146" spans="1:7" ht="20.25">
      <c r="A146" s="594"/>
      <c r="B146" s="1523" t="s">
        <v>4317</v>
      </c>
      <c r="C146" s="1523"/>
      <c r="D146" s="1523"/>
      <c r="E146" s="1523"/>
      <c r="F146" s="1523"/>
      <c r="G146" s="50">
        <f>3.14*0.4*0.4/4</f>
        <v>0.126</v>
      </c>
    </row>
    <row r="147" spans="1:7" ht="17.25">
      <c r="A147" s="590"/>
      <c r="B147" s="590"/>
      <c r="C147" s="593" t="s">
        <v>4320</v>
      </c>
      <c r="D147" s="590"/>
      <c r="E147" s="590"/>
      <c r="F147" s="590"/>
    </row>
    <row r="148" spans="1:7" ht="17.25">
      <c r="A148" s="592">
        <f>G146</f>
        <v>0.126</v>
      </c>
      <c r="B148" s="590" t="s">
        <v>2190</v>
      </c>
      <c r="C148" s="590" t="s">
        <v>4058</v>
      </c>
      <c r="D148" s="581"/>
      <c r="E148" s="591">
        <f>E88</f>
        <v>6380</v>
      </c>
      <c r="F148" s="591">
        <f>A148*E148</f>
        <v>803.88</v>
      </c>
    </row>
    <row r="149" spans="1:7" ht="17.25">
      <c r="A149" s="592">
        <f>+A148</f>
        <v>0.126</v>
      </c>
      <c r="B149" s="590" t="s">
        <v>2190</v>
      </c>
      <c r="C149" s="1525" t="s">
        <v>4057</v>
      </c>
      <c r="D149" s="1525"/>
      <c r="E149" s="591">
        <f>E89</f>
        <v>55.65</v>
      </c>
      <c r="F149" s="591">
        <f>E149*A149</f>
        <v>7.01</v>
      </c>
    </row>
    <row r="150" spans="1:7" ht="17.25">
      <c r="A150" s="592">
        <f>+A149</f>
        <v>0.126</v>
      </c>
      <c r="B150" s="590" t="s">
        <v>2190</v>
      </c>
      <c r="C150" s="590" t="s">
        <v>4053</v>
      </c>
      <c r="D150" s="581"/>
      <c r="E150" s="591">
        <f>E90</f>
        <v>42.55</v>
      </c>
      <c r="F150" s="591">
        <f>A150*E150</f>
        <v>5.36</v>
      </c>
    </row>
    <row r="151" spans="1:7" ht="17.25">
      <c r="A151" s="591"/>
      <c r="B151" s="590"/>
      <c r="C151" s="590"/>
      <c r="D151" s="581"/>
      <c r="E151" s="591"/>
      <c r="F151" s="591"/>
    </row>
    <row r="152" spans="1:7" ht="17.25">
      <c r="A152" s="590"/>
      <c r="B152" s="590"/>
      <c r="C152" s="590" t="s">
        <v>1670</v>
      </c>
      <c r="D152" s="581"/>
      <c r="E152" s="590"/>
      <c r="F152" s="589">
        <f>SUM(F148:F151)</f>
        <v>816.25</v>
      </c>
    </row>
    <row r="153" spans="1:7" ht="17.25">
      <c r="A153" s="581"/>
      <c r="B153" s="581"/>
      <c r="C153" s="581"/>
      <c r="D153" s="581"/>
      <c r="E153" s="581"/>
      <c r="F153" s="581"/>
    </row>
    <row r="154" spans="1:7" ht="17.25">
      <c r="B154" s="588"/>
      <c r="C154" s="1526" t="s">
        <v>4056</v>
      </c>
      <c r="D154" s="1526"/>
      <c r="E154" s="1526"/>
      <c r="F154" s="588"/>
    </row>
    <row r="155" spans="1:7" ht="17.25">
      <c r="A155" s="581"/>
      <c r="B155" s="581"/>
      <c r="C155" s="581"/>
      <c r="D155" s="581"/>
      <c r="E155" s="581"/>
      <c r="F155" s="581"/>
    </row>
    <row r="156" spans="1:7" ht="34.5">
      <c r="A156" s="584" t="s">
        <v>4054</v>
      </c>
      <c r="B156" s="584">
        <v>3</v>
      </c>
      <c r="C156" s="587" t="s">
        <v>4055</v>
      </c>
      <c r="E156" s="584">
        <f>E96</f>
        <v>11.13</v>
      </c>
      <c r="F156" s="584" t="s">
        <v>1365</v>
      </c>
      <c r="G156" s="584">
        <f>E156*B156</f>
        <v>33.39</v>
      </c>
    </row>
    <row r="157" spans="1:7" ht="17.25">
      <c r="A157" s="584" t="s">
        <v>4054</v>
      </c>
      <c r="B157" s="584">
        <v>3</v>
      </c>
      <c r="C157" s="586" t="s">
        <v>4053</v>
      </c>
      <c r="E157" s="584">
        <f>E97</f>
        <v>42.55</v>
      </c>
      <c r="F157" s="584" t="s">
        <v>1365</v>
      </c>
      <c r="G157" s="584">
        <f>E157*B157</f>
        <v>127.65</v>
      </c>
    </row>
    <row r="158" spans="1:7" ht="17.25">
      <c r="A158" s="584"/>
      <c r="B158" s="584"/>
      <c r="C158" s="585"/>
      <c r="E158" s="584"/>
      <c r="F158" s="584"/>
      <c r="G158" s="584"/>
    </row>
    <row r="159" spans="1:7" ht="17.25">
      <c r="A159" s="584"/>
      <c r="B159" s="584"/>
      <c r="C159" s="585" t="s">
        <v>4052</v>
      </c>
      <c r="E159" s="584"/>
      <c r="F159" s="584"/>
      <c r="G159" s="583">
        <f>SUM(G156:G158)</f>
        <v>161.04</v>
      </c>
    </row>
    <row r="160" spans="1:7" ht="17.25">
      <c r="A160" s="581"/>
      <c r="B160" s="581"/>
      <c r="C160" s="581"/>
      <c r="E160" s="581"/>
      <c r="F160" s="581"/>
      <c r="G160" s="581"/>
    </row>
    <row r="161" spans="1:7" ht="17.25">
      <c r="A161" s="581"/>
      <c r="B161" s="581"/>
      <c r="C161" s="581"/>
      <c r="E161" s="581"/>
      <c r="F161" s="581"/>
      <c r="G161" s="581"/>
    </row>
    <row r="162" spans="1:7">
      <c r="A162" s="24"/>
      <c r="B162" s="7"/>
      <c r="C162" s="1"/>
    </row>
    <row r="163" spans="1:7">
      <c r="B163" s="3"/>
      <c r="C163" s="1"/>
    </row>
    <row r="164" spans="1:7">
      <c r="B164" s="3"/>
      <c r="C164" s="1"/>
    </row>
    <row r="165" spans="1:7" ht="17.25">
      <c r="A165" s="1527" t="s">
        <v>4070</v>
      </c>
      <c r="B165" s="1527"/>
      <c r="C165" s="1527"/>
      <c r="D165" s="1527"/>
      <c r="E165" s="1527"/>
      <c r="F165" s="1527"/>
    </row>
    <row r="166" spans="1:7" ht="17.25">
      <c r="A166" s="1527"/>
      <c r="B166" s="1527"/>
      <c r="C166" s="1527"/>
      <c r="D166" s="1527"/>
      <c r="E166" s="1527"/>
      <c r="F166" s="1527"/>
    </row>
    <row r="167" spans="1:7" ht="17.25">
      <c r="A167" s="1528" t="s">
        <v>4311</v>
      </c>
      <c r="B167" s="1528"/>
      <c r="C167" s="1528"/>
      <c r="D167" s="1528"/>
      <c r="E167" s="1528"/>
      <c r="F167" s="1528"/>
    </row>
    <row r="168" spans="1:7" ht="17.25">
      <c r="A168" s="1529" t="s">
        <v>4068</v>
      </c>
      <c r="B168" s="1529"/>
      <c r="C168" s="1529"/>
      <c r="D168" s="1529"/>
      <c r="E168" s="1529"/>
      <c r="F168" s="581"/>
    </row>
    <row r="169" spans="1:7" ht="17.25">
      <c r="A169" s="581"/>
      <c r="B169" s="581"/>
      <c r="C169" s="581"/>
      <c r="D169" s="581"/>
      <c r="E169" s="581"/>
      <c r="F169" s="581"/>
    </row>
    <row r="170" spans="1:7" ht="19.5">
      <c r="B170" s="599"/>
      <c r="C170" s="1530" t="s">
        <v>4315</v>
      </c>
      <c r="D170" s="1530"/>
      <c r="E170" s="1530"/>
      <c r="F170" s="599"/>
      <c r="G170" s="4" t="s">
        <v>2190</v>
      </c>
    </row>
    <row r="171" spans="1:7" ht="20.25">
      <c r="A171" s="598"/>
      <c r="B171" s="1523" t="s">
        <v>4313</v>
      </c>
      <c r="C171" s="1523"/>
      <c r="D171" s="1523"/>
      <c r="E171" s="1523"/>
      <c r="F171" s="1523"/>
      <c r="G171" s="50">
        <f>3.14*0.45*0.45*8/4</f>
        <v>1.272</v>
      </c>
    </row>
    <row r="172" spans="1:7" ht="17.25">
      <c r="A172" s="590"/>
      <c r="B172" s="590"/>
      <c r="C172" s="597" t="s">
        <v>4318</v>
      </c>
      <c r="D172" s="590"/>
      <c r="E172" s="590"/>
      <c r="F172" s="590"/>
    </row>
    <row r="173" spans="1:7" ht="17.25">
      <c r="A173" s="592">
        <f>G171</f>
        <v>1.272</v>
      </c>
      <c r="B173" s="590" t="s">
        <v>2190</v>
      </c>
      <c r="C173" s="590" t="str">
        <f>C9</f>
        <v>Standardised concrete  mix using M 30 Grade concrete in (F&amp;B)</v>
      </c>
      <c r="D173" s="581"/>
      <c r="E173" s="591">
        <f>E9</f>
        <v>8472.39</v>
      </c>
      <c r="F173" s="591">
        <f>A173*E173</f>
        <v>10776.88</v>
      </c>
    </row>
    <row r="174" spans="1:7" ht="17.25">
      <c r="A174" s="596">
        <f>A173*10/100</f>
        <v>0.12720000000000001</v>
      </c>
      <c r="B174" s="590" t="s">
        <v>535</v>
      </c>
      <c r="C174" s="590" t="str">
        <f>C10</f>
        <v>Bentonite (10% concrete volume)(PWD SR 2021-22,p-37)</v>
      </c>
      <c r="D174" s="581"/>
      <c r="E174" s="591">
        <f>E10</f>
        <v>6050</v>
      </c>
      <c r="F174" s="591">
        <f>A174*E174</f>
        <v>769.56</v>
      </c>
    </row>
    <row r="175" spans="1:7" ht="17.25">
      <c r="A175" s="591">
        <v>8</v>
      </c>
      <c r="B175" s="590" t="s">
        <v>842</v>
      </c>
      <c r="C175" s="590" t="s">
        <v>2691</v>
      </c>
      <c r="D175" s="581"/>
      <c r="E175" s="591">
        <v>960</v>
      </c>
      <c r="F175" s="591">
        <f>A175*E175</f>
        <v>7680</v>
      </c>
    </row>
    <row r="176" spans="1:7" ht="17.25">
      <c r="A176" s="590"/>
      <c r="B176" s="590"/>
      <c r="C176" s="590"/>
      <c r="D176" s="581"/>
      <c r="E176" s="590"/>
      <c r="F176" s="590"/>
    </row>
    <row r="177" spans="1:7" ht="17.25">
      <c r="A177" s="590"/>
      <c r="B177" s="590"/>
      <c r="C177" s="590" t="s">
        <v>4064</v>
      </c>
      <c r="D177" s="581"/>
      <c r="E177" s="590"/>
      <c r="F177" s="591">
        <f>SUM(F173:F176)</f>
        <v>19226.439999999999</v>
      </c>
    </row>
    <row r="178" spans="1:7" ht="17.25">
      <c r="A178" s="590"/>
      <c r="B178" s="590"/>
      <c r="C178" s="590" t="s">
        <v>1670</v>
      </c>
      <c r="D178" s="581"/>
      <c r="E178" s="590"/>
      <c r="F178" s="591">
        <f>F177/7</f>
        <v>2746.63</v>
      </c>
    </row>
    <row r="179" spans="1:7" ht="17.25">
      <c r="A179" s="590"/>
      <c r="B179" s="590"/>
      <c r="C179" s="590" t="s">
        <v>4063</v>
      </c>
      <c r="D179" s="581"/>
      <c r="E179" s="590"/>
      <c r="F179" s="590">
        <f>1000/8</f>
        <v>125</v>
      </c>
    </row>
    <row r="180" spans="1:7" ht="17.25">
      <c r="A180" s="590"/>
      <c r="B180" s="590"/>
      <c r="C180" s="590"/>
      <c r="D180" s="581"/>
      <c r="E180" s="590"/>
      <c r="F180" s="590"/>
    </row>
    <row r="181" spans="1:7" ht="17.25">
      <c r="A181" s="590"/>
      <c r="B181" s="590"/>
      <c r="C181" s="590" t="s">
        <v>1670</v>
      </c>
      <c r="D181" s="581"/>
      <c r="E181" s="590"/>
      <c r="F181" s="589">
        <f>SUM(F178:F180)</f>
        <v>2871.63</v>
      </c>
    </row>
    <row r="182" spans="1:7" ht="17.25">
      <c r="A182" s="590"/>
      <c r="B182" s="590"/>
      <c r="C182" s="590" t="s">
        <v>4062</v>
      </c>
      <c r="D182" s="590"/>
      <c r="E182" s="590"/>
      <c r="F182" s="590"/>
    </row>
    <row r="183" spans="1:7" ht="17.25">
      <c r="A183" s="590"/>
      <c r="B183" s="590"/>
      <c r="C183" s="590"/>
      <c r="D183" s="590"/>
      <c r="E183" s="590"/>
      <c r="F183" s="590"/>
    </row>
    <row r="184" spans="1:7" ht="17.25">
      <c r="A184" s="590"/>
      <c r="B184" s="590"/>
      <c r="C184" s="590"/>
      <c r="D184" s="590"/>
      <c r="E184" s="590"/>
      <c r="F184" s="590"/>
    </row>
    <row r="185" spans="1:7" ht="17.25">
      <c r="A185" s="595"/>
      <c r="B185" s="595"/>
      <c r="C185" s="1524" t="s">
        <v>4061</v>
      </c>
      <c r="D185" s="1524"/>
      <c r="E185" s="1524"/>
      <c r="F185" s="595"/>
      <c r="G185" s="36"/>
    </row>
    <row r="186" spans="1:7" ht="20.25">
      <c r="A186" s="594"/>
      <c r="B186" s="1523" t="s">
        <v>4314</v>
      </c>
      <c r="C186" s="1523"/>
      <c r="D186" s="1523"/>
      <c r="E186" s="1523"/>
      <c r="F186" s="1523"/>
      <c r="G186" s="50">
        <f>3.14*0.45*0.45/4</f>
        <v>0.159</v>
      </c>
    </row>
    <row r="187" spans="1:7" ht="17.25">
      <c r="A187" s="590"/>
      <c r="B187" s="590"/>
      <c r="C187" s="593" t="s">
        <v>5465</v>
      </c>
      <c r="D187" s="590"/>
      <c r="E187" s="590"/>
      <c r="F187" s="590"/>
    </row>
    <row r="188" spans="1:7" ht="17.25">
      <c r="A188" s="592">
        <f>G186</f>
        <v>0.159</v>
      </c>
      <c r="B188" s="590" t="s">
        <v>2190</v>
      </c>
      <c r="C188" s="590" t="s">
        <v>4058</v>
      </c>
      <c r="D188" s="581"/>
      <c r="E188" s="591">
        <f>E24</f>
        <v>6380</v>
      </c>
      <c r="F188" s="591">
        <f>A188*E188</f>
        <v>1014.42</v>
      </c>
    </row>
    <row r="189" spans="1:7" ht="17.25">
      <c r="A189" s="592">
        <f>+A188</f>
        <v>0.159</v>
      </c>
      <c r="B189" s="590" t="s">
        <v>2190</v>
      </c>
      <c r="C189" s="1525" t="s">
        <v>4057</v>
      </c>
      <c r="D189" s="1525"/>
      <c r="E189" s="591">
        <f>E25</f>
        <v>55.65</v>
      </c>
      <c r="F189" s="591">
        <f>E189*A189</f>
        <v>8.85</v>
      </c>
    </row>
    <row r="190" spans="1:7" ht="17.25">
      <c r="A190" s="592">
        <f>+A189</f>
        <v>0.159</v>
      </c>
      <c r="B190" s="590" t="s">
        <v>2190</v>
      </c>
      <c r="C190" s="590" t="s">
        <v>4053</v>
      </c>
      <c r="D190" s="581"/>
      <c r="E190" s="591">
        <f>E26</f>
        <v>42.55</v>
      </c>
      <c r="F190" s="591">
        <f>A190*E190</f>
        <v>6.77</v>
      </c>
    </row>
    <row r="191" spans="1:7" ht="17.25">
      <c r="A191" s="591"/>
      <c r="B191" s="590"/>
      <c r="C191" s="590"/>
      <c r="D191" s="581"/>
      <c r="E191" s="591"/>
      <c r="F191" s="591"/>
    </row>
    <row r="192" spans="1:7" ht="17.25">
      <c r="A192" s="590"/>
      <c r="B192" s="590"/>
      <c r="C192" s="590" t="s">
        <v>1670</v>
      </c>
      <c r="D192" s="581"/>
      <c r="E192" s="590"/>
      <c r="F192" s="589">
        <f>SUM(F188:F191)</f>
        <v>1030.04</v>
      </c>
    </row>
    <row r="193" spans="1:7" ht="17.25">
      <c r="A193" s="581"/>
      <c r="B193" s="581"/>
      <c r="C193" s="581"/>
      <c r="D193" s="581"/>
      <c r="E193" s="581"/>
      <c r="F193" s="581"/>
    </row>
    <row r="194" spans="1:7" ht="17.25">
      <c r="B194" s="588"/>
      <c r="C194" s="1526" t="s">
        <v>4056</v>
      </c>
      <c r="D194" s="1526"/>
      <c r="E194" s="1526"/>
      <c r="F194" s="588"/>
    </row>
    <row r="195" spans="1:7" ht="17.25">
      <c r="A195" s="581"/>
      <c r="B195" s="581"/>
      <c r="C195" s="581"/>
      <c r="D195" s="581"/>
      <c r="E195" s="581"/>
      <c r="F195" s="581"/>
    </row>
    <row r="196" spans="1:7" ht="34.5">
      <c r="A196" s="584" t="s">
        <v>4054</v>
      </c>
      <c r="B196" s="584">
        <v>3</v>
      </c>
      <c r="C196" s="587" t="s">
        <v>4055</v>
      </c>
      <c r="D196" s="584">
        <f>E32</f>
        <v>11.13</v>
      </c>
      <c r="E196" s="584" t="s">
        <v>1365</v>
      </c>
      <c r="F196" s="584">
        <f>D196*B196</f>
        <v>33.39</v>
      </c>
    </row>
    <row r="197" spans="1:7" ht="17.25">
      <c r="A197" s="584" t="s">
        <v>4054</v>
      </c>
      <c r="B197" s="584">
        <v>3</v>
      </c>
      <c r="C197" s="586" t="s">
        <v>4053</v>
      </c>
      <c r="D197" s="584">
        <f>E33</f>
        <v>42.55</v>
      </c>
      <c r="E197" s="584" t="s">
        <v>1365</v>
      </c>
      <c r="F197" s="584">
        <f>D197*B197</f>
        <v>127.65</v>
      </c>
    </row>
    <row r="198" spans="1:7" ht="17.25">
      <c r="A198" s="584"/>
      <c r="B198" s="584"/>
      <c r="C198" s="585"/>
      <c r="D198" s="584"/>
      <c r="E198" s="584"/>
      <c r="F198" s="584"/>
    </row>
    <row r="199" spans="1:7" ht="17.25">
      <c r="A199" s="584"/>
      <c r="B199" s="584"/>
      <c r="C199" s="585" t="s">
        <v>4052</v>
      </c>
      <c r="D199" s="584"/>
      <c r="E199" s="584"/>
      <c r="F199" s="583">
        <f>SUM(F196:F198)</f>
        <v>161.04</v>
      </c>
    </row>
    <row r="200" spans="1:7" ht="17.25">
      <c r="A200" s="581"/>
      <c r="B200" s="581"/>
      <c r="C200" s="581"/>
      <c r="E200" s="581"/>
      <c r="F200" s="581"/>
      <c r="G200" s="581"/>
    </row>
    <row r="201" spans="1:7" ht="17.25">
      <c r="A201" s="581"/>
      <c r="B201" s="581"/>
      <c r="C201" s="581"/>
      <c r="E201" s="581"/>
      <c r="F201" s="581"/>
      <c r="G201" s="581"/>
    </row>
    <row r="202" spans="1:7">
      <c r="A202" s="24"/>
      <c r="B202" s="7"/>
      <c r="C202" s="1"/>
    </row>
    <row r="203" spans="1:7" ht="17.25">
      <c r="A203" s="1527" t="s">
        <v>4070</v>
      </c>
      <c r="B203" s="1527"/>
      <c r="C203" s="1527"/>
      <c r="D203" s="1527"/>
      <c r="E203" s="1527"/>
      <c r="F203" s="1527"/>
    </row>
    <row r="204" spans="1:7" ht="17.25">
      <c r="A204" s="1527"/>
      <c r="B204" s="1527"/>
      <c r="C204" s="1527"/>
      <c r="D204" s="1527"/>
      <c r="E204" s="1527"/>
      <c r="F204" s="1527"/>
    </row>
    <row r="205" spans="1:7" ht="17.25">
      <c r="A205" s="1528" t="s">
        <v>4311</v>
      </c>
      <c r="B205" s="1528"/>
      <c r="C205" s="1528"/>
      <c r="D205" s="1528"/>
      <c r="E205" s="1528"/>
      <c r="F205" s="1528"/>
    </row>
    <row r="206" spans="1:7" ht="17.25">
      <c r="A206" s="1529" t="s">
        <v>4068</v>
      </c>
      <c r="B206" s="1529"/>
      <c r="C206" s="1529"/>
      <c r="D206" s="1529"/>
      <c r="E206" s="1529"/>
      <c r="F206" s="581"/>
    </row>
    <row r="207" spans="1:7" ht="17.25">
      <c r="A207" s="581"/>
      <c r="B207" s="581"/>
      <c r="C207" s="581"/>
      <c r="D207" s="581"/>
      <c r="E207" s="581"/>
      <c r="F207" s="581"/>
    </row>
    <row r="208" spans="1:7" ht="19.5">
      <c r="B208" s="599"/>
      <c r="C208" s="1530" t="s">
        <v>4315</v>
      </c>
      <c r="D208" s="1530"/>
      <c r="E208" s="1530"/>
      <c r="F208" s="599"/>
      <c r="G208" s="4" t="s">
        <v>2190</v>
      </c>
    </row>
    <row r="209" spans="1:13" ht="20.25">
      <c r="A209" s="598"/>
      <c r="B209" s="1523" t="s">
        <v>5546</v>
      </c>
      <c r="C209" s="1523"/>
      <c r="D209" s="1523"/>
      <c r="E209" s="1523"/>
      <c r="F209" s="1523"/>
      <c r="G209" s="50">
        <f>3.14*0.23*0.23*2.5/4</f>
        <v>0.104</v>
      </c>
    </row>
    <row r="210" spans="1:13" ht="17.25">
      <c r="A210" s="590"/>
      <c r="B210" s="590"/>
      <c r="C210" s="597" t="s">
        <v>5545</v>
      </c>
      <c r="D210" s="590"/>
      <c r="E210" s="590"/>
      <c r="F210" s="590"/>
    </row>
    <row r="211" spans="1:13" ht="17.25">
      <c r="A211" s="592">
        <f>G209</f>
        <v>0.104</v>
      </c>
      <c r="B211" s="590" t="s">
        <v>2190</v>
      </c>
      <c r="C211" s="590" t="str">
        <f>C173</f>
        <v>Standardised concrete  mix using M 30 Grade concrete in (F&amp;B)</v>
      </c>
      <c r="D211" s="581"/>
      <c r="E211" s="591">
        <f>E173</f>
        <v>8472.39</v>
      </c>
      <c r="F211" s="591">
        <f>A211*E211</f>
        <v>881.13</v>
      </c>
    </row>
    <row r="212" spans="1:13" ht="17.25">
      <c r="A212" s="596">
        <f>A211*10/100</f>
        <v>1.04E-2</v>
      </c>
      <c r="B212" s="590" t="s">
        <v>535</v>
      </c>
      <c r="C212" s="590" t="str">
        <f>C174</f>
        <v>Bentonite (10% concrete volume)(PWD SR 2021-22,p-37)</v>
      </c>
      <c r="D212" s="581"/>
      <c r="E212" s="591">
        <f>E174</f>
        <v>6050</v>
      </c>
      <c r="F212" s="591">
        <f>A212*E212</f>
        <v>62.92</v>
      </c>
      <c r="J212" s="36"/>
    </row>
    <row r="213" spans="1:13" ht="17.25">
      <c r="A213" s="591">
        <v>8</v>
      </c>
      <c r="B213" s="590" t="s">
        <v>842</v>
      </c>
      <c r="C213" s="590" t="s">
        <v>2691</v>
      </c>
      <c r="D213" s="581"/>
      <c r="E213" s="591">
        <f>E175</f>
        <v>960</v>
      </c>
      <c r="F213" s="591">
        <f>A213*E213</f>
        <v>7680</v>
      </c>
      <c r="J213" s="36"/>
    </row>
    <row r="214" spans="1:13" ht="17.25">
      <c r="A214" s="590"/>
      <c r="B214" s="590"/>
      <c r="C214" s="590"/>
      <c r="D214" s="581"/>
      <c r="E214" s="590"/>
      <c r="F214" s="590"/>
    </row>
    <row r="215" spans="1:13" ht="17.25">
      <c r="A215" s="590"/>
      <c r="B215" s="590"/>
      <c r="C215" s="590" t="s">
        <v>4064</v>
      </c>
      <c r="D215" s="581"/>
      <c r="E215" s="590"/>
      <c r="F215" s="591">
        <f>SUM(F211:F214)</f>
        <v>8624.0499999999993</v>
      </c>
    </row>
    <row r="216" spans="1:13" ht="17.25">
      <c r="A216" s="590"/>
      <c r="B216" s="590"/>
      <c r="C216" s="590" t="s">
        <v>1670</v>
      </c>
      <c r="D216" s="581"/>
      <c r="E216" s="590"/>
      <c r="F216" s="591">
        <f>F215/8</f>
        <v>1078.01</v>
      </c>
    </row>
    <row r="217" spans="1:13" ht="17.25">
      <c r="A217" s="590"/>
      <c r="B217" s="590"/>
      <c r="C217" s="590" t="s">
        <v>4063</v>
      </c>
      <c r="D217" s="581"/>
      <c r="E217" s="590"/>
      <c r="F217" s="590">
        <f>1000/8</f>
        <v>125</v>
      </c>
    </row>
    <row r="218" spans="1:13" ht="17.25">
      <c r="A218" s="590"/>
      <c r="B218" s="590"/>
      <c r="C218" s="590"/>
      <c r="D218" s="581"/>
      <c r="E218" s="590"/>
      <c r="F218" s="590"/>
    </row>
    <row r="219" spans="1:13" ht="17.25">
      <c r="A219" s="590"/>
      <c r="B219" s="590"/>
      <c r="C219" s="590" t="s">
        <v>1670</v>
      </c>
      <c r="D219" s="581"/>
      <c r="E219" s="590"/>
      <c r="F219" s="589">
        <f>SUM(F216:F218)</f>
        <v>1203.01</v>
      </c>
      <c r="M219" s="36"/>
    </row>
    <row r="220" spans="1:13" ht="17.25">
      <c r="A220" s="590"/>
      <c r="B220" s="590"/>
      <c r="C220" s="590" t="s">
        <v>4062</v>
      </c>
      <c r="D220" s="590"/>
      <c r="E220" s="590"/>
      <c r="F220" s="590"/>
    </row>
    <row r="221" spans="1:13" ht="17.25">
      <c r="A221" s="590"/>
      <c r="B221" s="590"/>
      <c r="C221" s="590"/>
      <c r="D221" s="590"/>
      <c r="E221" s="590"/>
      <c r="F221" s="590"/>
      <c r="J221" s="455"/>
      <c r="L221" s="549"/>
      <c r="M221" s="549"/>
    </row>
    <row r="222" spans="1:13" ht="17.25">
      <c r="A222" s="590"/>
      <c r="B222" s="590"/>
      <c r="C222" s="590"/>
      <c r="D222" s="590"/>
      <c r="E222" s="590"/>
      <c r="F222" s="590"/>
      <c r="J222" s="548"/>
      <c r="K222" s="36"/>
      <c r="L222" s="36"/>
      <c r="M222" s="36"/>
    </row>
    <row r="223" spans="1:13" ht="17.25">
      <c r="A223" s="595"/>
      <c r="B223" s="595"/>
      <c r="C223" s="1524" t="s">
        <v>4061</v>
      </c>
      <c r="D223" s="1524"/>
      <c r="E223" s="1524"/>
      <c r="F223" s="595"/>
      <c r="G223" s="36"/>
      <c r="J223" s="455"/>
      <c r="L223" s="455"/>
      <c r="M223" s="455"/>
    </row>
    <row r="224" spans="1:13" ht="20.25">
      <c r="A224" s="594"/>
      <c r="B224" s="1523" t="s">
        <v>4314</v>
      </c>
      <c r="C224" s="1523"/>
      <c r="D224" s="1523"/>
      <c r="E224" s="1523"/>
      <c r="F224" s="1523"/>
      <c r="G224" s="50">
        <f>3.14*0.23*0.23/4</f>
        <v>4.2000000000000003E-2</v>
      </c>
      <c r="L224" s="455"/>
      <c r="M224" s="455"/>
    </row>
    <row r="225" spans="1:13" ht="17.25">
      <c r="A225" s="590"/>
      <c r="B225" s="590"/>
      <c r="C225" s="593" t="s">
        <v>5465</v>
      </c>
      <c r="D225" s="590"/>
      <c r="E225" s="590"/>
      <c r="F225" s="590"/>
      <c r="J225" s="455"/>
      <c r="L225" s="36"/>
      <c r="M225" s="36"/>
    </row>
    <row r="226" spans="1:13" ht="17.25">
      <c r="A226" s="592">
        <f>G224</f>
        <v>4.2000000000000003E-2</v>
      </c>
      <c r="B226" s="590" t="s">
        <v>2190</v>
      </c>
      <c r="C226" s="590" t="s">
        <v>4058</v>
      </c>
      <c r="D226" s="581"/>
      <c r="E226" s="591">
        <f>E188</f>
        <v>6380</v>
      </c>
      <c r="F226" s="591">
        <f>A226*E226</f>
        <v>267.95999999999998</v>
      </c>
    </row>
    <row r="227" spans="1:13" ht="17.25">
      <c r="A227" s="592">
        <f>+A226</f>
        <v>4.2000000000000003E-2</v>
      </c>
      <c r="B227" s="590" t="s">
        <v>2190</v>
      </c>
      <c r="C227" s="1525" t="s">
        <v>4057</v>
      </c>
      <c r="D227" s="1525"/>
      <c r="E227" s="591">
        <f>E189</f>
        <v>55.65</v>
      </c>
      <c r="F227" s="591">
        <f>E227*A227</f>
        <v>2.34</v>
      </c>
    </row>
    <row r="228" spans="1:13" ht="17.25">
      <c r="A228" s="592">
        <f>+A227</f>
        <v>4.2000000000000003E-2</v>
      </c>
      <c r="B228" s="590" t="s">
        <v>2190</v>
      </c>
      <c r="C228" s="590" t="s">
        <v>4053</v>
      </c>
      <c r="D228" s="581"/>
      <c r="E228" s="591">
        <f>E190</f>
        <v>42.55</v>
      </c>
      <c r="F228" s="591">
        <f>A228*E228</f>
        <v>1.79</v>
      </c>
    </row>
    <row r="229" spans="1:13" ht="17.25">
      <c r="A229" s="591"/>
      <c r="B229" s="590"/>
      <c r="C229" s="590"/>
      <c r="D229" s="581"/>
      <c r="E229" s="591"/>
      <c r="F229" s="591"/>
    </row>
    <row r="230" spans="1:13" ht="17.25">
      <c r="A230" s="590"/>
      <c r="B230" s="590"/>
      <c r="C230" s="590" t="s">
        <v>1670</v>
      </c>
      <c r="D230" s="581"/>
      <c r="E230" s="590"/>
      <c r="F230" s="589">
        <f>SUM(F226:F229)</f>
        <v>272.08999999999997</v>
      </c>
    </row>
    <row r="231" spans="1:13" ht="17.25">
      <c r="A231" s="581"/>
      <c r="B231" s="581"/>
      <c r="C231" s="581"/>
      <c r="D231" s="581"/>
      <c r="E231" s="581"/>
      <c r="F231" s="581"/>
    </row>
    <row r="232" spans="1:13" ht="17.25">
      <c r="B232" s="588"/>
      <c r="C232" s="1526" t="s">
        <v>4056</v>
      </c>
      <c r="D232" s="1526"/>
      <c r="E232" s="1526"/>
      <c r="F232" s="588"/>
    </row>
    <row r="233" spans="1:13" ht="17.25">
      <c r="A233" s="581"/>
      <c r="B233" s="581"/>
      <c r="C233" s="581"/>
      <c r="D233" s="581"/>
      <c r="E233" s="581"/>
      <c r="F233" s="581"/>
    </row>
    <row r="234" spans="1:13" ht="34.5">
      <c r="A234" s="584" t="s">
        <v>4054</v>
      </c>
      <c r="B234" s="584">
        <v>3</v>
      </c>
      <c r="C234" s="587" t="s">
        <v>4055</v>
      </c>
      <c r="D234" s="584">
        <f>D196</f>
        <v>11.13</v>
      </c>
      <c r="E234" s="584" t="s">
        <v>1365</v>
      </c>
      <c r="F234" s="584">
        <f>D234*B234</f>
        <v>33.39</v>
      </c>
    </row>
    <row r="235" spans="1:13" ht="17.25">
      <c r="A235" s="584" t="s">
        <v>4054</v>
      </c>
      <c r="B235" s="584">
        <v>3</v>
      </c>
      <c r="C235" s="586" t="s">
        <v>4053</v>
      </c>
      <c r="D235" s="584">
        <f>D197</f>
        <v>42.55</v>
      </c>
      <c r="E235" s="584" t="s">
        <v>1365</v>
      </c>
      <c r="F235" s="584">
        <f>D235*B235</f>
        <v>127.65</v>
      </c>
    </row>
    <row r="236" spans="1:13" ht="17.25">
      <c r="A236" s="584"/>
      <c r="B236" s="584"/>
      <c r="C236" s="585"/>
      <c r="D236" s="584"/>
      <c r="E236" s="584"/>
      <c r="F236" s="584"/>
    </row>
    <row r="237" spans="1:13" ht="17.25">
      <c r="A237" s="584"/>
      <c r="B237" s="584"/>
      <c r="C237" s="585" t="s">
        <v>4052</v>
      </c>
      <c r="D237" s="584"/>
      <c r="E237" s="584"/>
      <c r="F237" s="583">
        <f>SUM(F234:F236)</f>
        <v>161.04</v>
      </c>
    </row>
    <row r="245" spans="1:7">
      <c r="B245" s="3"/>
      <c r="C245" s="1"/>
    </row>
    <row r="246" spans="1:7" ht="17.25">
      <c r="A246" s="1527" t="s">
        <v>4070</v>
      </c>
      <c r="B246" s="1527"/>
      <c r="C246" s="1527"/>
      <c r="D246" s="1527"/>
      <c r="E246" s="1527"/>
      <c r="F246" s="1527"/>
    </row>
    <row r="247" spans="1:7" ht="17.25">
      <c r="A247" s="1527"/>
      <c r="B247" s="1527"/>
      <c r="C247" s="1527"/>
      <c r="D247" s="1527"/>
      <c r="E247" s="1527"/>
      <c r="F247" s="1527"/>
    </row>
    <row r="248" spans="1:7" ht="17.25">
      <c r="A248" s="1528" t="s">
        <v>4311</v>
      </c>
      <c r="B248" s="1528"/>
      <c r="C248" s="1528"/>
      <c r="D248" s="1528"/>
      <c r="E248" s="1528"/>
      <c r="F248" s="1528"/>
    </row>
    <row r="249" spans="1:7" ht="17.25">
      <c r="A249" s="1529" t="s">
        <v>4068</v>
      </c>
      <c r="B249" s="1529"/>
      <c r="C249" s="1529"/>
      <c r="D249" s="1529"/>
      <c r="E249" s="1529"/>
      <c r="F249" s="581"/>
    </row>
    <row r="250" spans="1:7" ht="17.25">
      <c r="A250" s="581"/>
      <c r="B250" s="581"/>
      <c r="C250" s="581"/>
      <c r="D250" s="581"/>
      <c r="E250" s="581"/>
      <c r="F250" s="581"/>
    </row>
    <row r="251" spans="1:7" ht="19.5">
      <c r="B251" s="599"/>
      <c r="C251" s="1530" t="s">
        <v>4315</v>
      </c>
      <c r="D251" s="1530"/>
      <c r="E251" s="1530"/>
      <c r="F251" s="599"/>
      <c r="G251" s="4" t="s">
        <v>2190</v>
      </c>
    </row>
    <row r="252" spans="1:7" ht="20.25">
      <c r="A252" s="598"/>
      <c r="B252" s="1523" t="s">
        <v>5547</v>
      </c>
      <c r="C252" s="1523"/>
      <c r="D252" s="1523"/>
      <c r="E252" s="1523"/>
      <c r="F252" s="1523"/>
      <c r="G252" s="50">
        <f>3.14*0.3*0.3*8/4</f>
        <v>0.56499999999999995</v>
      </c>
    </row>
    <row r="253" spans="1:7" ht="17.25">
      <c r="A253" s="590"/>
      <c r="B253" s="590"/>
      <c r="C253" s="597" t="s">
        <v>4318</v>
      </c>
      <c r="D253" s="590"/>
      <c r="E253" s="590"/>
      <c r="F253" s="590"/>
    </row>
    <row r="254" spans="1:7" ht="17.25">
      <c r="A254" s="592">
        <f>G252</f>
        <v>0.56499999999999995</v>
      </c>
      <c r="B254" s="590" t="s">
        <v>2190</v>
      </c>
      <c r="C254" s="591" t="str">
        <f>C173</f>
        <v>Standardised concrete  mix using M 30 Grade concrete in (F&amp;B)</v>
      </c>
      <c r="D254" s="591"/>
      <c r="E254" s="591">
        <f>E173</f>
        <v>8472.39</v>
      </c>
      <c r="F254" s="591">
        <f>A254*E254</f>
        <v>4786.8999999999996</v>
      </c>
    </row>
    <row r="255" spans="1:7" ht="17.25">
      <c r="A255" s="596">
        <f>A254*10/100</f>
        <v>5.6500000000000002E-2</v>
      </c>
      <c r="B255" s="590" t="s">
        <v>535</v>
      </c>
      <c r="C255" s="591" t="str">
        <f>C174</f>
        <v>Bentonite (10% concrete volume)(PWD SR 2021-22,p-37)</v>
      </c>
      <c r="D255" s="591"/>
      <c r="E255" s="591">
        <f>E174</f>
        <v>6050</v>
      </c>
      <c r="F255" s="591">
        <f>A255*E255</f>
        <v>341.83</v>
      </c>
    </row>
    <row r="256" spans="1:7" ht="17.25">
      <c r="A256" s="591">
        <v>8</v>
      </c>
      <c r="B256" s="590" t="s">
        <v>842</v>
      </c>
      <c r="C256" s="591" t="str">
        <f>C175</f>
        <v xml:space="preserve">Labour charges </v>
      </c>
      <c r="D256" s="591"/>
      <c r="E256" s="591">
        <f>E175</f>
        <v>960</v>
      </c>
      <c r="F256" s="591">
        <f>A256*E256</f>
        <v>7680</v>
      </c>
    </row>
    <row r="257" spans="1:7" ht="17.25">
      <c r="A257" s="590"/>
      <c r="B257" s="590"/>
      <c r="C257" s="590"/>
      <c r="D257" s="581"/>
      <c r="E257" s="591"/>
      <c r="F257" s="590"/>
    </row>
    <row r="258" spans="1:7" ht="17.25">
      <c r="A258" s="590"/>
      <c r="B258" s="590"/>
      <c r="C258" s="590" t="s">
        <v>4064</v>
      </c>
      <c r="D258" s="581"/>
      <c r="E258" s="591"/>
      <c r="F258" s="591">
        <f>SUM(F254:F257)</f>
        <v>12808.73</v>
      </c>
    </row>
    <row r="259" spans="1:7" ht="17.25">
      <c r="A259" s="590"/>
      <c r="B259" s="590"/>
      <c r="C259" s="590" t="s">
        <v>1670</v>
      </c>
      <c r="D259" s="581"/>
      <c r="E259" s="591"/>
      <c r="F259" s="591">
        <f>F258/7</f>
        <v>1829.82</v>
      </c>
    </row>
    <row r="260" spans="1:7" ht="17.25">
      <c r="A260" s="590"/>
      <c r="B260" s="590"/>
      <c r="C260" s="590" t="s">
        <v>4063</v>
      </c>
      <c r="D260" s="581"/>
      <c r="E260" s="591"/>
      <c r="F260" s="590">
        <f>1000/8</f>
        <v>125</v>
      </c>
    </row>
    <row r="261" spans="1:7" ht="17.25">
      <c r="A261" s="590"/>
      <c r="B261" s="590"/>
      <c r="C261" s="590"/>
      <c r="D261" s="581"/>
      <c r="E261" s="591"/>
      <c r="F261" s="590"/>
    </row>
    <row r="262" spans="1:7" ht="17.25">
      <c r="A262" s="590"/>
      <c r="B262" s="590"/>
      <c r="C262" s="590" t="s">
        <v>1670</v>
      </c>
      <c r="D262" s="581"/>
      <c r="E262" s="591"/>
      <c r="F262" s="589">
        <f>SUM(F259:F261)</f>
        <v>1954.82</v>
      </c>
    </row>
    <row r="263" spans="1:7" ht="17.25">
      <c r="A263" s="590"/>
      <c r="B263" s="590"/>
      <c r="C263" s="590" t="s">
        <v>4062</v>
      </c>
      <c r="D263" s="590"/>
      <c r="E263" s="591"/>
      <c r="F263" s="590"/>
    </row>
    <row r="264" spans="1:7" ht="17.25">
      <c r="A264" s="590"/>
      <c r="B264" s="590"/>
      <c r="C264" s="590"/>
      <c r="D264" s="590"/>
      <c r="E264" s="590"/>
      <c r="F264" s="590"/>
    </row>
    <row r="265" spans="1:7" ht="17.25">
      <c r="A265" s="590"/>
      <c r="B265" s="590"/>
      <c r="C265" s="590"/>
      <c r="D265" s="590"/>
      <c r="E265" s="590"/>
      <c r="F265" s="590"/>
    </row>
    <row r="266" spans="1:7" ht="17.25">
      <c r="A266" s="595"/>
      <c r="B266" s="595"/>
      <c r="C266" s="1524" t="s">
        <v>4061</v>
      </c>
      <c r="D266" s="1524"/>
      <c r="E266" s="1524"/>
      <c r="F266" s="595"/>
      <c r="G266" s="36"/>
    </row>
    <row r="267" spans="1:7" ht="20.25">
      <c r="A267" s="594"/>
      <c r="B267" s="1523" t="s">
        <v>5548</v>
      </c>
      <c r="C267" s="1523"/>
      <c r="D267" s="1523"/>
      <c r="E267" s="1523"/>
      <c r="F267" s="1523"/>
      <c r="G267" s="50">
        <f>3.14*0.3*0.3/4</f>
        <v>7.0999999999999994E-2</v>
      </c>
    </row>
    <row r="268" spans="1:7" ht="17.25">
      <c r="A268" s="590"/>
      <c r="B268" s="590"/>
      <c r="C268" s="593" t="s">
        <v>5465</v>
      </c>
      <c r="D268" s="590"/>
      <c r="E268" s="590"/>
      <c r="F268" s="590"/>
    </row>
    <row r="269" spans="1:7" ht="17.25">
      <c r="A269" s="592">
        <f>G267</f>
        <v>7.0999999999999994E-2</v>
      </c>
      <c r="B269" s="590" t="s">
        <v>2190</v>
      </c>
      <c r="C269" s="590" t="s">
        <v>4058</v>
      </c>
      <c r="D269" s="581"/>
      <c r="E269" s="591">
        <f>E188</f>
        <v>6380</v>
      </c>
      <c r="F269" s="591">
        <f>A269*E269</f>
        <v>452.98</v>
      </c>
    </row>
    <row r="270" spans="1:7" ht="17.25">
      <c r="A270" s="592">
        <f>+A269</f>
        <v>7.0999999999999994E-2</v>
      </c>
      <c r="B270" s="590" t="s">
        <v>2190</v>
      </c>
      <c r="C270" s="1525" t="s">
        <v>4057</v>
      </c>
      <c r="D270" s="1525"/>
      <c r="E270" s="591">
        <f>E189</f>
        <v>55.65</v>
      </c>
      <c r="F270" s="591">
        <f>E270*A270</f>
        <v>3.95</v>
      </c>
    </row>
    <row r="271" spans="1:7" ht="17.25">
      <c r="A271" s="592">
        <f>+A270</f>
        <v>7.0999999999999994E-2</v>
      </c>
      <c r="B271" s="590" t="s">
        <v>2190</v>
      </c>
      <c r="C271" s="590" t="s">
        <v>4053</v>
      </c>
      <c r="D271" s="581"/>
      <c r="E271" s="591">
        <f>E190</f>
        <v>42.55</v>
      </c>
      <c r="F271" s="591">
        <f>A271*E271</f>
        <v>3.02</v>
      </c>
    </row>
    <row r="272" spans="1:7" ht="17.25">
      <c r="A272" s="591"/>
      <c r="B272" s="590"/>
      <c r="C272" s="590"/>
      <c r="D272" s="581"/>
      <c r="E272" s="591"/>
      <c r="F272" s="591"/>
    </row>
    <row r="273" spans="1:6" ht="17.25">
      <c r="A273" s="590"/>
      <c r="B273" s="590"/>
      <c r="C273" s="590" t="s">
        <v>1670</v>
      </c>
      <c r="D273" s="581"/>
      <c r="E273" s="590"/>
      <c r="F273" s="589">
        <f>SUM(F269:F272)</f>
        <v>459.95</v>
      </c>
    </row>
    <row r="274" spans="1:6" ht="17.25">
      <c r="A274" s="581"/>
      <c r="B274" s="581"/>
      <c r="C274" s="581"/>
      <c r="D274" s="581"/>
      <c r="E274" s="581"/>
      <c r="F274" s="581"/>
    </row>
    <row r="275" spans="1:6" ht="17.25">
      <c r="B275" s="588"/>
      <c r="C275" s="1526" t="s">
        <v>4056</v>
      </c>
      <c r="D275" s="1526"/>
      <c r="E275" s="1526"/>
      <c r="F275" s="588"/>
    </row>
    <row r="276" spans="1:6" ht="17.25">
      <c r="A276" s="581"/>
      <c r="B276" s="581"/>
      <c r="C276" s="581"/>
      <c r="D276" s="581"/>
      <c r="E276" s="581"/>
      <c r="F276" s="581"/>
    </row>
    <row r="277" spans="1:6" ht="34.5">
      <c r="A277" s="584" t="s">
        <v>4054</v>
      </c>
      <c r="B277" s="584">
        <v>3</v>
      </c>
      <c r="C277" s="587" t="s">
        <v>4055</v>
      </c>
      <c r="D277" s="919">
        <f>D196</f>
        <v>11.13</v>
      </c>
      <c r="E277" s="584" t="s">
        <v>1365</v>
      </c>
      <c r="F277" s="584">
        <f>D277*B277</f>
        <v>33.39</v>
      </c>
    </row>
    <row r="278" spans="1:6" ht="17.25">
      <c r="A278" s="584" t="s">
        <v>4054</v>
      </c>
      <c r="B278" s="584">
        <v>3</v>
      </c>
      <c r="C278" s="586" t="s">
        <v>4053</v>
      </c>
      <c r="D278" s="919">
        <f>D197</f>
        <v>42.55</v>
      </c>
      <c r="E278" s="584" t="s">
        <v>1365</v>
      </c>
      <c r="F278" s="584">
        <f>D278*B278</f>
        <v>127.65</v>
      </c>
    </row>
    <row r="279" spans="1:6" ht="17.25">
      <c r="A279" s="584"/>
      <c r="B279" s="584"/>
      <c r="C279" s="585"/>
      <c r="D279" s="919"/>
      <c r="E279" s="584"/>
      <c r="F279" s="584"/>
    </row>
    <row r="280" spans="1:6" ht="17.25">
      <c r="A280" s="584"/>
      <c r="B280" s="584"/>
      <c r="C280" s="585" t="s">
        <v>4052</v>
      </c>
      <c r="D280" s="584"/>
      <c r="E280" s="584"/>
      <c r="F280" s="583">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7.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1.3320312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16384" width="7.44140625" style="180"/>
  </cols>
  <sheetData>
    <row r="1" spans="1:37" ht="19.5" hidden="1">
      <c r="A1" s="179" t="s">
        <v>992</v>
      </c>
      <c r="B1" s="233" t="s">
        <v>2090</v>
      </c>
      <c r="E1" s="179" t="s">
        <v>992</v>
      </c>
      <c r="H1" s="179" t="s">
        <v>251</v>
      </c>
      <c r="O1" s="179" t="s">
        <v>251</v>
      </c>
      <c r="U1" s="234" t="s">
        <v>2090</v>
      </c>
      <c r="V1" s="179" t="s">
        <v>252</v>
      </c>
      <c r="W1" s="179" t="s">
        <v>992</v>
      </c>
    </row>
    <row r="2" spans="1:37" hidden="1">
      <c r="B2" s="183" t="s">
        <v>2091</v>
      </c>
      <c r="E2" s="179" t="s">
        <v>992</v>
      </c>
      <c r="H2" s="233" t="s">
        <v>664</v>
      </c>
      <c r="O2" s="233" t="s">
        <v>664</v>
      </c>
      <c r="U2" s="183" t="s">
        <v>2091</v>
      </c>
    </row>
    <row r="3" spans="1:37" hidden="1">
      <c r="A3" s="179" t="s">
        <v>1614</v>
      </c>
      <c r="B3" s="235" t="s">
        <v>2522</v>
      </c>
      <c r="C3" s="179" t="s">
        <v>2523</v>
      </c>
      <c r="E3" s="179" t="s">
        <v>992</v>
      </c>
      <c r="F3" s="187" t="s">
        <v>1614</v>
      </c>
      <c r="G3" s="185" t="s">
        <v>992</v>
      </c>
      <c r="H3" s="186" t="str">
        <f>B3</f>
        <v>Madurai TSp VIth Bn under 4000 quarters Scheme.</v>
      </c>
      <c r="J3" s="233" t="str">
        <f>C3</f>
        <v>2006-2007</v>
      </c>
      <c r="M3" s="179" t="s">
        <v>1614</v>
      </c>
      <c r="N3" s="179" t="s">
        <v>992</v>
      </c>
      <c r="O3" s="186" t="str">
        <f>B3</f>
        <v>Madurai TSp VIth Bn under 4000 quarters Scheme.</v>
      </c>
      <c r="Q3" s="186" t="str">
        <f>C3</f>
        <v>2006-2007</v>
      </c>
      <c r="T3" s="179" t="s">
        <v>1614</v>
      </c>
      <c r="U3" s="186" t="str">
        <f>B3</f>
        <v>Madurai TSp VIth Bn under 4000 quarters Scheme.</v>
      </c>
      <c r="W3" s="236" t="str">
        <f>C3</f>
        <v>2006-2007</v>
      </c>
      <c r="AA3" s="179" t="s">
        <v>992</v>
      </c>
    </row>
    <row r="4" spans="1:37" hidden="1">
      <c r="F4" s="183" t="s">
        <v>1615</v>
      </c>
      <c r="G4" s="183" t="s">
        <v>1615</v>
      </c>
      <c r="H4" s="183" t="s">
        <v>1615</v>
      </c>
      <c r="I4" s="183" t="s">
        <v>1615</v>
      </c>
      <c r="J4" s="183" t="s">
        <v>1615</v>
      </c>
      <c r="K4" s="183" t="s">
        <v>1615</v>
      </c>
      <c r="M4" s="183" t="s">
        <v>1615</v>
      </c>
      <c r="N4" s="183" t="s">
        <v>1615</v>
      </c>
      <c r="O4" s="183" t="s">
        <v>1615</v>
      </c>
      <c r="P4" s="183" t="s">
        <v>1615</v>
      </c>
      <c r="Q4" s="183" t="s">
        <v>1615</v>
      </c>
      <c r="R4" s="183" t="s">
        <v>1615</v>
      </c>
      <c r="U4" s="179" t="s">
        <v>992</v>
      </c>
      <c r="W4" s="179" t="s">
        <v>992</v>
      </c>
      <c r="X4" s="179" t="s">
        <v>252</v>
      </c>
      <c r="Y4" s="179" t="s">
        <v>992</v>
      </c>
      <c r="AC4" s="179" t="s">
        <v>992</v>
      </c>
      <c r="AG4" s="179" t="s">
        <v>1616</v>
      </c>
    </row>
    <row r="5" spans="1:37" hidden="1">
      <c r="A5" s="183" t="s">
        <v>1615</v>
      </c>
      <c r="B5" s="183" t="s">
        <v>1615</v>
      </c>
      <c r="C5" s="183" t="s">
        <v>1615</v>
      </c>
      <c r="D5" s="183" t="s">
        <v>1615</v>
      </c>
      <c r="E5" s="179" t="s">
        <v>992</v>
      </c>
      <c r="F5" s="187" t="s">
        <v>1617</v>
      </c>
      <c r="G5" s="185" t="s">
        <v>992</v>
      </c>
      <c r="H5" s="233" t="s">
        <v>1618</v>
      </c>
      <c r="I5" s="233" t="s">
        <v>1619</v>
      </c>
      <c r="J5" s="233" t="s">
        <v>1620</v>
      </c>
      <c r="K5" s="233" t="s">
        <v>1621</v>
      </c>
      <c r="M5" s="233" t="s">
        <v>1617</v>
      </c>
      <c r="N5" s="179" t="s">
        <v>992</v>
      </c>
      <c r="O5" s="233" t="s">
        <v>1618</v>
      </c>
      <c r="P5" s="233" t="s">
        <v>1619</v>
      </c>
      <c r="Q5" s="233" t="s">
        <v>1620</v>
      </c>
      <c r="R5" s="233" t="s">
        <v>1621</v>
      </c>
      <c r="T5" s="183" t="s">
        <v>1615</v>
      </c>
      <c r="U5" s="183" t="s">
        <v>1615</v>
      </c>
      <c r="V5" s="183" t="s">
        <v>1615</v>
      </c>
      <c r="W5" s="183" t="s">
        <v>1615</v>
      </c>
      <c r="X5" s="183" t="s">
        <v>1615</v>
      </c>
      <c r="Y5" s="183" t="s">
        <v>1615</v>
      </c>
      <c r="Z5" s="183" t="s">
        <v>1615</v>
      </c>
      <c r="AA5" s="183" t="s">
        <v>1615</v>
      </c>
      <c r="AB5" s="183" t="s">
        <v>1615</v>
      </c>
      <c r="AC5" s="183" t="s">
        <v>1615</v>
      </c>
      <c r="AD5" s="183" t="s">
        <v>1615</v>
      </c>
      <c r="AE5" s="183" t="s">
        <v>1615</v>
      </c>
    </row>
    <row r="6" spans="1:37" hidden="1">
      <c r="A6" s="179" t="s">
        <v>707</v>
      </c>
      <c r="B6" s="179" t="s">
        <v>1618</v>
      </c>
      <c r="C6" s="179" t="s">
        <v>1619</v>
      </c>
      <c r="D6" s="179" t="s">
        <v>1620</v>
      </c>
      <c r="F6" s="183" t="s">
        <v>1615</v>
      </c>
      <c r="G6" s="183" t="s">
        <v>1615</v>
      </c>
      <c r="H6" s="183" t="s">
        <v>1615</v>
      </c>
      <c r="I6" s="183" t="s">
        <v>1615</v>
      </c>
      <c r="J6" s="183" t="s">
        <v>1615</v>
      </c>
      <c r="K6" s="183" t="s">
        <v>1615</v>
      </c>
      <c r="M6" s="183" t="s">
        <v>1615</v>
      </c>
      <c r="N6" s="183" t="s">
        <v>1615</v>
      </c>
      <c r="O6" s="183" t="s">
        <v>1615</v>
      </c>
      <c r="P6" s="183" t="s">
        <v>1615</v>
      </c>
      <c r="Q6" s="183" t="s">
        <v>1615</v>
      </c>
      <c r="R6" s="183" t="s">
        <v>1615</v>
      </c>
      <c r="T6" s="233" t="s">
        <v>707</v>
      </c>
      <c r="U6" s="233" t="s">
        <v>57</v>
      </c>
      <c r="V6" s="233" t="s">
        <v>2282</v>
      </c>
      <c r="W6" s="233" t="s">
        <v>2283</v>
      </c>
      <c r="X6" s="233" t="s">
        <v>2284</v>
      </c>
      <c r="Y6" s="233" t="s">
        <v>2285</v>
      </c>
      <c r="Z6" s="233" t="s">
        <v>2286</v>
      </c>
      <c r="AA6" s="179" t="s">
        <v>2524</v>
      </c>
      <c r="AB6" s="179" t="s">
        <v>2287</v>
      </c>
      <c r="AC6" s="179" t="s">
        <v>2288</v>
      </c>
      <c r="AD6" s="233" t="s">
        <v>2289</v>
      </c>
      <c r="AG6" s="180">
        <f>135*1.1</f>
        <v>148.5</v>
      </c>
    </row>
    <row r="7" spans="1:37" hidden="1">
      <c r="A7" s="183" t="s">
        <v>1615</v>
      </c>
      <c r="B7" s="183" t="s">
        <v>1615</v>
      </c>
      <c r="C7" s="183" t="s">
        <v>1615</v>
      </c>
      <c r="D7" s="183" t="s">
        <v>1615</v>
      </c>
      <c r="G7" s="185" t="s">
        <v>2290</v>
      </c>
      <c r="H7" s="179" t="s">
        <v>2291</v>
      </c>
      <c r="O7" s="179" t="s">
        <v>2292</v>
      </c>
      <c r="X7" s="233" t="s">
        <v>2293</v>
      </c>
      <c r="Y7" s="233" t="s">
        <v>2288</v>
      </c>
      <c r="Z7" s="233" t="s">
        <v>2294</v>
      </c>
      <c r="AA7" s="179" t="s">
        <v>2525</v>
      </c>
      <c r="AB7" s="179" t="s">
        <v>2295</v>
      </c>
      <c r="AC7" s="179" t="s">
        <v>2296</v>
      </c>
    </row>
    <row r="8" spans="1:37" hidden="1">
      <c r="B8" s="179" t="s">
        <v>2297</v>
      </c>
      <c r="C8"/>
      <c r="D8"/>
      <c r="E8"/>
      <c r="H8" s="183" t="s">
        <v>1615</v>
      </c>
      <c r="O8" s="183" t="s">
        <v>1615</v>
      </c>
      <c r="T8" s="183" t="s">
        <v>1615</v>
      </c>
      <c r="U8" s="183" t="s">
        <v>1615</v>
      </c>
      <c r="V8" s="183" t="s">
        <v>1615</v>
      </c>
      <c r="W8" s="183" t="s">
        <v>1615</v>
      </c>
      <c r="X8" s="183" t="s">
        <v>1615</v>
      </c>
      <c r="Y8" s="183" t="s">
        <v>1615</v>
      </c>
      <c r="Z8" s="183" t="s">
        <v>1615</v>
      </c>
      <c r="AA8" s="183" t="s">
        <v>1615</v>
      </c>
      <c r="AB8" s="183" t="s">
        <v>1615</v>
      </c>
      <c r="AC8" s="183" t="s">
        <v>1615</v>
      </c>
      <c r="AD8" s="183" t="s">
        <v>1615</v>
      </c>
      <c r="AE8" s="183" t="s">
        <v>1615</v>
      </c>
      <c r="AG8" s="179" t="s">
        <v>2298</v>
      </c>
      <c r="AI8">
        <v>148.5</v>
      </c>
      <c r="AJ8" s="180">
        <v>1.1000000000000001</v>
      </c>
      <c r="AK8" s="180">
        <f t="shared" ref="AK8:AK36" si="0">AI8*AJ8</f>
        <v>163.35</v>
      </c>
    </row>
    <row r="9" spans="1:37" hidden="1">
      <c r="B9" s="179" t="s">
        <v>876</v>
      </c>
      <c r="C9"/>
      <c r="D9"/>
      <c r="E9"/>
      <c r="F9" s="186">
        <v>0.96</v>
      </c>
      <c r="G9" s="185" t="s">
        <v>877</v>
      </c>
      <c r="H9" s="179" t="s">
        <v>878</v>
      </c>
      <c r="I9" s="8">
        <f>(C67)</f>
        <v>3800</v>
      </c>
      <c r="J9" s="2" t="s">
        <v>877</v>
      </c>
      <c r="K9" s="8">
        <f>(F9*I9)</f>
        <v>3648</v>
      </c>
      <c r="M9" s="186">
        <v>0.5</v>
      </c>
      <c r="N9" s="179" t="s">
        <v>877</v>
      </c>
      <c r="O9" s="179" t="s">
        <v>879</v>
      </c>
      <c r="P9" s="186" t="e">
        <f>(C85)</f>
        <v>#REF!</v>
      </c>
      <c r="Q9" s="179" t="s">
        <v>877</v>
      </c>
      <c r="R9" s="186" t="e">
        <f>(M9*P9)</f>
        <v>#REF!</v>
      </c>
      <c r="T9" s="233" t="s">
        <v>880</v>
      </c>
      <c r="U9" s="179" t="s">
        <v>881</v>
      </c>
      <c r="V9" s="179" t="s">
        <v>882</v>
      </c>
      <c r="W9" s="179" t="s">
        <v>2526</v>
      </c>
      <c r="X9" s="186" t="e">
        <f>#REF!</f>
        <v>#REF!</v>
      </c>
      <c r="Y9" s="8">
        <v>200</v>
      </c>
      <c r="Z9" s="186" t="e">
        <f>#REF!</f>
        <v>#REF!</v>
      </c>
      <c r="AA9" s="233">
        <v>0</v>
      </c>
      <c r="AB9" s="179">
        <v>0</v>
      </c>
      <c r="AC9" s="179" t="e">
        <f t="shared" ref="AC9:AC30" si="1">SUM(Y9+Z9+AA9+AB9)</f>
        <v>#REF!</v>
      </c>
      <c r="AD9" s="179" t="s">
        <v>2553</v>
      </c>
      <c r="AE9" s="8">
        <v>150</v>
      </c>
      <c r="AF9" s="186"/>
      <c r="AG9" s="186"/>
      <c r="AI9">
        <v>126.5</v>
      </c>
      <c r="AJ9" s="180">
        <v>1.1000000000000001</v>
      </c>
      <c r="AK9" s="180">
        <f t="shared" si="0"/>
        <v>139.15</v>
      </c>
    </row>
    <row r="10" spans="1:37" ht="15" hidden="1" customHeight="1">
      <c r="A10" s="237">
        <v>1</v>
      </c>
      <c r="B10" s="179" t="s">
        <v>883</v>
      </c>
      <c r="C10" s="8">
        <f>AE9</f>
        <v>150</v>
      </c>
      <c r="D10" s="1" t="s">
        <v>884</v>
      </c>
      <c r="E10"/>
      <c r="F10" s="186">
        <v>1</v>
      </c>
      <c r="G10" s="185" t="s">
        <v>885</v>
      </c>
      <c r="H10" s="179" t="s">
        <v>886</v>
      </c>
      <c r="I10" s="8" t="e">
        <f>(C78)</f>
        <v>#REF!</v>
      </c>
      <c r="J10" s="2" t="s">
        <v>885</v>
      </c>
      <c r="K10" s="8" t="e">
        <f>(F10*I10)</f>
        <v>#REF!</v>
      </c>
      <c r="M10" s="186">
        <v>1</v>
      </c>
      <c r="N10" s="179" t="s">
        <v>885</v>
      </c>
      <c r="O10" s="179" t="s">
        <v>886</v>
      </c>
      <c r="P10" s="186" t="e">
        <f>(C78)</f>
        <v>#REF!</v>
      </c>
      <c r="Q10" s="179" t="s">
        <v>885</v>
      </c>
      <c r="R10" s="186" t="e">
        <f>(M10*P10)</f>
        <v>#REF!</v>
      </c>
      <c r="T10" s="233" t="s">
        <v>887</v>
      </c>
      <c r="U10" s="179" t="s">
        <v>888</v>
      </c>
      <c r="V10" s="179" t="s">
        <v>882</v>
      </c>
      <c r="W10" s="186" t="str">
        <f>W9</f>
        <v>Nallambakkam</v>
      </c>
      <c r="X10" s="186" t="e">
        <f>+X9</f>
        <v>#REF!</v>
      </c>
      <c r="Y10" s="8">
        <v>300</v>
      </c>
      <c r="Z10" s="186" t="e">
        <f t="shared" ref="Z10:Z15" si="2">+Z9</f>
        <v>#REF!</v>
      </c>
      <c r="AA10" s="155">
        <v>0</v>
      </c>
      <c r="AB10" s="181">
        <v>0</v>
      </c>
      <c r="AC10" s="179" t="e">
        <f t="shared" si="1"/>
        <v>#REF!</v>
      </c>
      <c r="AD10" s="179" t="s">
        <v>2554</v>
      </c>
      <c r="AE10" s="8">
        <v>135</v>
      </c>
      <c r="AF10" s="186"/>
      <c r="AG10" s="186"/>
      <c r="AI10">
        <v>85.5</v>
      </c>
      <c r="AJ10" s="180">
        <v>1.1000000000000001</v>
      </c>
      <c r="AK10" s="180">
        <f t="shared" si="0"/>
        <v>94.05</v>
      </c>
    </row>
    <row r="11" spans="1:37" hidden="1">
      <c r="A11" s="237">
        <f t="shared" ref="A11:A35" si="3">(A10+1)</f>
        <v>2</v>
      </c>
      <c r="B11" s="179" t="s">
        <v>889</v>
      </c>
      <c r="C11" s="8">
        <f>AE10</f>
        <v>135</v>
      </c>
      <c r="D11" s="1" t="s">
        <v>884</v>
      </c>
      <c r="E11"/>
      <c r="F11" s="186">
        <v>1</v>
      </c>
      <c r="G11" s="185" t="s">
        <v>885</v>
      </c>
      <c r="H11" s="179" t="s">
        <v>890</v>
      </c>
      <c r="I11" s="8">
        <f>(C18)</f>
        <v>26</v>
      </c>
      <c r="J11" s="2" t="s">
        <v>885</v>
      </c>
      <c r="K11" s="8">
        <f>(F11*I11)</f>
        <v>26</v>
      </c>
      <c r="M11" s="186">
        <v>1</v>
      </c>
      <c r="N11" s="179" t="s">
        <v>885</v>
      </c>
      <c r="O11" s="179" t="s">
        <v>891</v>
      </c>
      <c r="P11" s="186">
        <f>(C64)</f>
        <v>62.5</v>
      </c>
      <c r="Q11" s="179" t="s">
        <v>885</v>
      </c>
      <c r="R11" s="186">
        <f>(M11*P11)</f>
        <v>62.5</v>
      </c>
      <c r="T11" s="233" t="s">
        <v>892</v>
      </c>
      <c r="U11" s="179" t="s">
        <v>893</v>
      </c>
      <c r="V11" s="179" t="s">
        <v>882</v>
      </c>
      <c r="W11" s="179" t="s">
        <v>2555</v>
      </c>
      <c r="X11" s="186" t="e">
        <f>#REF!</f>
        <v>#REF!</v>
      </c>
      <c r="Y11" s="8">
        <v>333.33</v>
      </c>
      <c r="Z11" s="186" t="e">
        <f t="shared" si="2"/>
        <v>#REF!</v>
      </c>
      <c r="AA11" s="233">
        <v>0</v>
      </c>
      <c r="AB11" s="181">
        <v>0</v>
      </c>
      <c r="AC11" s="179" t="e">
        <f t="shared" si="1"/>
        <v>#REF!</v>
      </c>
      <c r="AD11" s="179" t="s">
        <v>894</v>
      </c>
      <c r="AE11" s="8">
        <v>95</v>
      </c>
      <c r="AF11" s="186"/>
      <c r="AG11" s="186"/>
      <c r="AI11">
        <v>80.5</v>
      </c>
      <c r="AJ11" s="180">
        <v>1.1000000000000001</v>
      </c>
      <c r="AK11" s="180">
        <f t="shared" si="0"/>
        <v>88.55</v>
      </c>
    </row>
    <row r="12" spans="1:37" hidden="1">
      <c r="A12" s="237">
        <f t="shared" si="3"/>
        <v>3</v>
      </c>
      <c r="B12" s="179" t="s">
        <v>454</v>
      </c>
      <c r="C12" s="8">
        <f>AE11</f>
        <v>95</v>
      </c>
      <c r="D12" s="1" t="s">
        <v>884</v>
      </c>
      <c r="E12"/>
      <c r="G12" s="185" t="s">
        <v>455</v>
      </c>
      <c r="H12" s="179" t="s">
        <v>456</v>
      </c>
      <c r="I12" s="1" t="s">
        <v>992</v>
      </c>
      <c r="J12" s="2" t="s">
        <v>455</v>
      </c>
      <c r="K12" s="8">
        <v>0</v>
      </c>
      <c r="N12" s="179" t="s">
        <v>455</v>
      </c>
      <c r="O12" s="179" t="s">
        <v>456</v>
      </c>
      <c r="P12" s="179" t="s">
        <v>992</v>
      </c>
      <c r="Q12" s="179" t="s">
        <v>455</v>
      </c>
      <c r="R12" s="186">
        <v>0</v>
      </c>
      <c r="T12" s="233" t="s">
        <v>457</v>
      </c>
      <c r="U12" s="179" t="s">
        <v>1535</v>
      </c>
      <c r="V12" s="179" t="s">
        <v>882</v>
      </c>
      <c r="W12" s="186" t="str">
        <f>W11</f>
        <v>Pallavaram</v>
      </c>
      <c r="X12" s="186" t="e">
        <f>+X11</f>
        <v>#REF!</v>
      </c>
      <c r="Y12" s="8">
        <v>425</v>
      </c>
      <c r="Z12" s="186" t="e">
        <f t="shared" si="2"/>
        <v>#REF!</v>
      </c>
      <c r="AA12" s="233">
        <v>0</v>
      </c>
      <c r="AB12" s="181">
        <v>0</v>
      </c>
      <c r="AC12" s="179" t="e">
        <f t="shared" si="1"/>
        <v>#REF!</v>
      </c>
      <c r="AD12" s="179" t="s">
        <v>1536</v>
      </c>
      <c r="AE12" s="8">
        <v>85</v>
      </c>
      <c r="AF12" s="186"/>
      <c r="AG12" s="186"/>
      <c r="AI12">
        <v>114.5</v>
      </c>
      <c r="AJ12" s="180">
        <v>1.1000000000000001</v>
      </c>
      <c r="AK12" s="180">
        <f t="shared" si="0"/>
        <v>125.95</v>
      </c>
    </row>
    <row r="13" spans="1:37" hidden="1">
      <c r="A13" s="237">
        <f t="shared" si="3"/>
        <v>4</v>
      </c>
      <c r="B13" s="179" t="s">
        <v>1537</v>
      </c>
      <c r="C13" s="8">
        <f>AE12</f>
        <v>85</v>
      </c>
      <c r="D13" s="1" t="s">
        <v>884</v>
      </c>
      <c r="E13"/>
      <c r="I13"/>
      <c r="J13" s="4"/>
      <c r="K13" s="5" t="s">
        <v>1615</v>
      </c>
      <c r="R13" s="183" t="s">
        <v>1615</v>
      </c>
      <c r="T13" s="233" t="s">
        <v>1538</v>
      </c>
      <c r="U13" s="179" t="s">
        <v>1539</v>
      </c>
      <c r="V13" s="179" t="s">
        <v>882</v>
      </c>
      <c r="W13" s="186" t="str">
        <f>W11</f>
        <v>Pallavaram</v>
      </c>
      <c r="X13" s="186" t="e">
        <f>+X12</f>
        <v>#REF!</v>
      </c>
      <c r="Y13" s="8">
        <v>630</v>
      </c>
      <c r="Z13" s="186" t="e">
        <f t="shared" si="2"/>
        <v>#REF!</v>
      </c>
      <c r="AA13" s="233">
        <v>0</v>
      </c>
      <c r="AB13" s="181">
        <v>0</v>
      </c>
      <c r="AC13" s="179" t="e">
        <f t="shared" si="1"/>
        <v>#REF!</v>
      </c>
      <c r="AD13" s="179" t="s">
        <v>1540</v>
      </c>
      <c r="AE13" s="8">
        <v>120</v>
      </c>
      <c r="AF13" s="186"/>
      <c r="AG13" s="186"/>
      <c r="AI13">
        <v>106.5</v>
      </c>
      <c r="AJ13" s="180">
        <v>1.1000000000000001</v>
      </c>
      <c r="AK13" s="180">
        <f t="shared" si="0"/>
        <v>117.15</v>
      </c>
    </row>
    <row r="14" spans="1:37" hidden="1">
      <c r="A14" s="237">
        <f t="shared" si="3"/>
        <v>5</v>
      </c>
      <c r="B14" s="179" t="s">
        <v>1541</v>
      </c>
      <c r="C14" s="8">
        <f>AE13</f>
        <v>120</v>
      </c>
      <c r="D14" s="8">
        <f>AE14</f>
        <v>110</v>
      </c>
      <c r="E14"/>
      <c r="H14" s="179" t="s">
        <v>1542</v>
      </c>
      <c r="I14"/>
      <c r="J14" s="4"/>
      <c r="K14" s="8" t="e">
        <f>SUM(K9:K12)</f>
        <v>#REF!</v>
      </c>
      <c r="N14" s="186" t="e">
        <f>SUM(K9:K12)</f>
        <v>#REF!</v>
      </c>
      <c r="O14" s="179" t="s">
        <v>1542</v>
      </c>
      <c r="R14" s="186" t="e">
        <f>SUM(R9:R12)</f>
        <v>#REF!</v>
      </c>
      <c r="T14" s="233" t="s">
        <v>2044</v>
      </c>
      <c r="U14" s="179" t="s">
        <v>114</v>
      </c>
      <c r="V14" s="179" t="s">
        <v>882</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884</v>
      </c>
      <c r="E15"/>
      <c r="I15"/>
      <c r="J15" s="4"/>
      <c r="K15" s="5" t="s">
        <v>1615</v>
      </c>
      <c r="R15" s="183" t="s">
        <v>1615</v>
      </c>
      <c r="T15" s="233" t="s">
        <v>117</v>
      </c>
      <c r="U15" s="179" t="s">
        <v>118</v>
      </c>
      <c r="V15" s="179" t="s">
        <v>882</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2290</v>
      </c>
      <c r="H16" s="179" t="s">
        <v>121</v>
      </c>
      <c r="I16"/>
      <c r="J16" s="4"/>
      <c r="K16"/>
      <c r="N16" s="179" t="s">
        <v>2290</v>
      </c>
      <c r="O16" s="179" t="s">
        <v>122</v>
      </c>
      <c r="T16" s="233" t="s">
        <v>123</v>
      </c>
      <c r="U16" s="179" t="s">
        <v>124</v>
      </c>
      <c r="V16" s="179" t="s">
        <v>882</v>
      </c>
      <c r="W16" s="179" t="s">
        <v>2556</v>
      </c>
      <c r="X16" s="186" t="e">
        <f>#REF!</f>
        <v>#REF!</v>
      </c>
      <c r="Y16" s="8">
        <v>110</v>
      </c>
      <c r="Z16" s="186" t="e">
        <f>#REF!</f>
        <v>#REF!</v>
      </c>
      <c r="AA16" s="233">
        <v>0</v>
      </c>
      <c r="AB16" s="181">
        <v>0</v>
      </c>
      <c r="AC16" s="179" t="e">
        <f t="shared" si="1"/>
        <v>#REF!</v>
      </c>
      <c r="AD16" s="179" t="s">
        <v>2280</v>
      </c>
      <c r="AE16" s="8">
        <v>120</v>
      </c>
      <c r="AF16" s="186"/>
      <c r="AG16" s="186"/>
      <c r="AI16">
        <v>106.5</v>
      </c>
      <c r="AJ16" s="180">
        <v>1.1000000000000001</v>
      </c>
      <c r="AK16" s="180">
        <f t="shared" si="0"/>
        <v>117.15</v>
      </c>
    </row>
    <row r="17" spans="1:37" hidden="1">
      <c r="A17" s="237">
        <f t="shared" si="3"/>
        <v>8</v>
      </c>
      <c r="B17" s="179" t="s">
        <v>2281</v>
      </c>
      <c r="C17" s="8">
        <f>AE17</f>
        <v>130</v>
      </c>
      <c r="D17" s="8">
        <f>AE18</f>
        <v>120</v>
      </c>
      <c r="E17"/>
      <c r="H17" s="183" t="s">
        <v>1615</v>
      </c>
      <c r="I17"/>
      <c r="J17" s="4"/>
      <c r="K17"/>
      <c r="O17" s="179" t="s">
        <v>1053</v>
      </c>
      <c r="T17" s="233" t="s">
        <v>1054</v>
      </c>
      <c r="U17" s="179" t="s">
        <v>1055</v>
      </c>
      <c r="V17" s="179" t="s">
        <v>882</v>
      </c>
      <c r="W17" s="179" t="s">
        <v>2557</v>
      </c>
      <c r="X17" s="186" t="e">
        <f>X16</f>
        <v>#REF!</v>
      </c>
      <c r="Y17" s="8">
        <v>110</v>
      </c>
      <c r="Z17" s="186" t="e">
        <f>Z16</f>
        <v>#REF!</v>
      </c>
      <c r="AA17" s="233">
        <v>0</v>
      </c>
      <c r="AB17" s="181">
        <v>0</v>
      </c>
      <c r="AC17" s="179" t="e">
        <f t="shared" si="1"/>
        <v>#REF!</v>
      </c>
      <c r="AD17" s="179" t="s">
        <v>1056</v>
      </c>
      <c r="AE17" s="8">
        <v>130</v>
      </c>
      <c r="AF17" s="186"/>
      <c r="AG17" s="186"/>
      <c r="AI17">
        <v>98.5</v>
      </c>
      <c r="AJ17" s="180">
        <v>1.1000000000000001</v>
      </c>
      <c r="AK17" s="180">
        <f t="shared" si="0"/>
        <v>108.35</v>
      </c>
    </row>
    <row r="18" spans="1:37" hidden="1">
      <c r="A18" s="237">
        <f t="shared" si="3"/>
        <v>9</v>
      </c>
      <c r="B18" s="179" t="s">
        <v>1057</v>
      </c>
      <c r="C18" s="8">
        <f>AE24</f>
        <v>26</v>
      </c>
      <c r="D18" s="1" t="s">
        <v>1058</v>
      </c>
      <c r="E18"/>
      <c r="F18" s="186">
        <v>0.72</v>
      </c>
      <c r="G18" s="185" t="s">
        <v>877</v>
      </c>
      <c r="H18" s="179" t="s">
        <v>878</v>
      </c>
      <c r="I18" s="8">
        <f>(C67)</f>
        <v>3800</v>
      </c>
      <c r="J18" s="2" t="s">
        <v>877</v>
      </c>
      <c r="K18" s="8">
        <f>(F18*I18)</f>
        <v>2736</v>
      </c>
      <c r="O18" s="179" t="s">
        <v>1469</v>
      </c>
      <c r="T18" s="233" t="s">
        <v>1470</v>
      </c>
      <c r="U18" s="179" t="s">
        <v>2558</v>
      </c>
      <c r="V18" s="179" t="s">
        <v>1471</v>
      </c>
      <c r="W18" s="179" t="s">
        <v>2559</v>
      </c>
      <c r="X18" s="186" t="e">
        <f>#REF!</f>
        <v>#REF!</v>
      </c>
      <c r="Y18" s="8">
        <v>1950</v>
      </c>
      <c r="Z18" s="186" t="e">
        <f>#REF!</f>
        <v>#REF!</v>
      </c>
      <c r="AA18" s="233">
        <v>0</v>
      </c>
      <c r="AB18" s="181">
        <v>0</v>
      </c>
      <c r="AC18" s="179" t="e">
        <f t="shared" si="1"/>
        <v>#REF!</v>
      </c>
      <c r="AD18" s="179" t="s">
        <v>1472</v>
      </c>
      <c r="AE18" s="8">
        <v>120</v>
      </c>
      <c r="AF18" s="186"/>
      <c r="AG18" s="186"/>
      <c r="AI18">
        <v>148.5</v>
      </c>
      <c r="AJ18" s="180">
        <v>1.1000000000000001</v>
      </c>
      <c r="AK18" s="180">
        <f t="shared" si="0"/>
        <v>163.35</v>
      </c>
    </row>
    <row r="19" spans="1:37" hidden="1">
      <c r="A19" s="237">
        <f t="shared" si="3"/>
        <v>10</v>
      </c>
      <c r="B19" s="179" t="s">
        <v>1473</v>
      </c>
      <c r="C19" s="8">
        <v>17.600000000000001</v>
      </c>
      <c r="D19" s="1" t="s">
        <v>885</v>
      </c>
      <c r="E19"/>
      <c r="F19" s="186">
        <v>1</v>
      </c>
      <c r="G19" s="185" t="s">
        <v>885</v>
      </c>
      <c r="H19" s="179" t="s">
        <v>886</v>
      </c>
      <c r="I19" s="8" t="e">
        <f>(C78)</f>
        <v>#REF!</v>
      </c>
      <c r="J19" s="2" t="s">
        <v>885</v>
      </c>
      <c r="K19" s="8" t="e">
        <f>(F19*I19)</f>
        <v>#REF!</v>
      </c>
      <c r="O19" s="179" t="s">
        <v>73</v>
      </c>
      <c r="T19" s="233" t="s">
        <v>74</v>
      </c>
      <c r="U19" s="179" t="s">
        <v>75</v>
      </c>
      <c r="V19" s="179" t="s">
        <v>885</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379</v>
      </c>
      <c r="C20" s="8">
        <v>35.200000000000003</v>
      </c>
      <c r="D20" s="1" t="s">
        <v>885</v>
      </c>
      <c r="E20"/>
      <c r="F20" s="186">
        <v>1</v>
      </c>
      <c r="G20" s="185" t="s">
        <v>885</v>
      </c>
      <c r="H20" s="179" t="s">
        <v>890</v>
      </c>
      <c r="I20" s="8">
        <f>(C18)</f>
        <v>26</v>
      </c>
      <c r="J20" s="2" t="s">
        <v>885</v>
      </c>
      <c r="K20" s="8">
        <f>(F20*I20)</f>
        <v>26</v>
      </c>
      <c r="O20" s="179" t="s">
        <v>1065</v>
      </c>
      <c r="T20" s="233" t="s">
        <v>2007</v>
      </c>
      <c r="U20" s="179" t="s">
        <v>2008</v>
      </c>
      <c r="V20" s="179" t="s">
        <v>885</v>
      </c>
      <c r="W20" s="186" t="str">
        <f>W18</f>
        <v>Nerkundram</v>
      </c>
      <c r="X20" s="186" t="e">
        <f>X19</f>
        <v>#REF!</v>
      </c>
      <c r="Y20" s="8">
        <v>280</v>
      </c>
      <c r="Z20" s="186" t="e">
        <f>+Z19</f>
        <v>#REF!</v>
      </c>
      <c r="AA20" s="233">
        <v>0</v>
      </c>
      <c r="AB20" s="181">
        <v>0</v>
      </c>
      <c r="AC20" s="179" t="e">
        <f t="shared" si="1"/>
        <v>#REF!</v>
      </c>
      <c r="AD20" s="179" t="s">
        <v>2009</v>
      </c>
      <c r="AE20" s="8">
        <v>135</v>
      </c>
      <c r="AF20" s="186"/>
      <c r="AG20" s="186"/>
      <c r="AI20">
        <v>116.5</v>
      </c>
      <c r="AJ20" s="180">
        <v>1.1000000000000001</v>
      </c>
      <c r="AK20" s="180">
        <f t="shared" si="0"/>
        <v>128.15</v>
      </c>
    </row>
    <row r="21" spans="1:37" hidden="1">
      <c r="A21" s="237">
        <f t="shared" si="3"/>
        <v>12</v>
      </c>
      <c r="B21" s="179" t="s">
        <v>2301</v>
      </c>
      <c r="C21" s="8">
        <v>35.200000000000003</v>
      </c>
      <c r="D21" s="1" t="s">
        <v>885</v>
      </c>
      <c r="E21"/>
      <c r="G21" s="185" t="s">
        <v>455</v>
      </c>
      <c r="H21" s="179" t="s">
        <v>456</v>
      </c>
      <c r="I21" s="1" t="s">
        <v>992</v>
      </c>
      <c r="J21" s="2" t="s">
        <v>455</v>
      </c>
      <c r="K21" s="8">
        <v>0</v>
      </c>
      <c r="O21" s="183" t="s">
        <v>1615</v>
      </c>
      <c r="T21" s="233" t="s">
        <v>2302</v>
      </c>
      <c r="U21" s="179" t="s">
        <v>2303</v>
      </c>
      <c r="V21" s="179" t="s">
        <v>1471</v>
      </c>
      <c r="W21" s="179" t="s">
        <v>2304</v>
      </c>
      <c r="X21" s="186" t="e">
        <f>#REF!</f>
        <v>#REF!</v>
      </c>
      <c r="Y21" s="8">
        <v>4500</v>
      </c>
      <c r="Z21" s="186">
        <v>0</v>
      </c>
      <c r="AA21" s="233">
        <v>0</v>
      </c>
      <c r="AB21" s="181">
        <v>0</v>
      </c>
      <c r="AC21" s="179">
        <f t="shared" si="1"/>
        <v>4500</v>
      </c>
      <c r="AD21" s="179" t="s">
        <v>2305</v>
      </c>
      <c r="AE21" s="8">
        <v>120</v>
      </c>
      <c r="AF21" s="186"/>
      <c r="AG21" s="186"/>
      <c r="AI21">
        <v>106.5</v>
      </c>
      <c r="AJ21" s="180">
        <v>1.1000000000000001</v>
      </c>
      <c r="AK21" s="180">
        <f t="shared" si="0"/>
        <v>117.15</v>
      </c>
    </row>
    <row r="22" spans="1:37" hidden="1">
      <c r="A22" s="237">
        <f t="shared" si="3"/>
        <v>13</v>
      </c>
      <c r="B22" s="179" t="s">
        <v>1714</v>
      </c>
      <c r="C22" s="8">
        <v>26.45</v>
      </c>
      <c r="D22" s="1" t="s">
        <v>885</v>
      </c>
      <c r="E22"/>
      <c r="I22"/>
      <c r="J22" s="4"/>
      <c r="K22" s="5" t="s">
        <v>1615</v>
      </c>
      <c r="M22" s="186">
        <v>1</v>
      </c>
      <c r="N22" s="179" t="s">
        <v>885</v>
      </c>
      <c r="O22" s="179" t="s">
        <v>2038</v>
      </c>
      <c r="P22" s="186" t="e">
        <f>C78</f>
        <v>#REF!</v>
      </c>
      <c r="Q22" s="179" t="s">
        <v>885</v>
      </c>
      <c r="R22" s="186" t="e">
        <f>(M22*P22)</f>
        <v>#REF!</v>
      </c>
      <c r="T22" s="233" t="s">
        <v>2039</v>
      </c>
      <c r="U22" s="179" t="s">
        <v>2040</v>
      </c>
      <c r="V22" s="179" t="s">
        <v>882</v>
      </c>
      <c r="W22" s="238" t="s">
        <v>2560</v>
      </c>
      <c r="X22" s="186">
        <v>0</v>
      </c>
      <c r="Y22" s="8">
        <v>773</v>
      </c>
      <c r="Z22" s="186">
        <v>0</v>
      </c>
      <c r="AA22" s="233">
        <v>0</v>
      </c>
      <c r="AB22" s="181">
        <v>0</v>
      </c>
      <c r="AC22" s="179">
        <f t="shared" si="1"/>
        <v>773</v>
      </c>
      <c r="AD22" s="179" t="s">
        <v>2041</v>
      </c>
      <c r="AE22" s="8">
        <v>110</v>
      </c>
      <c r="AF22" s="186"/>
      <c r="AG22" s="186"/>
      <c r="AI22">
        <v>106.5</v>
      </c>
      <c r="AJ22" s="180">
        <v>1.1000000000000001</v>
      </c>
      <c r="AK22" s="180">
        <f t="shared" si="0"/>
        <v>117.15</v>
      </c>
    </row>
    <row r="23" spans="1:37" hidden="1">
      <c r="A23" s="237">
        <f t="shared" si="3"/>
        <v>14</v>
      </c>
      <c r="B23" s="179" t="s">
        <v>289</v>
      </c>
      <c r="C23" s="8">
        <v>52.85</v>
      </c>
      <c r="D23" s="1" t="s">
        <v>885</v>
      </c>
      <c r="E23"/>
      <c r="H23" s="179" t="s">
        <v>1542</v>
      </c>
      <c r="I23"/>
      <c r="J23" s="4"/>
      <c r="K23" s="8" t="e">
        <f>SUM(K18:K21)</f>
        <v>#REF!</v>
      </c>
      <c r="M23" s="186">
        <v>1</v>
      </c>
      <c r="N23" s="179" t="s">
        <v>885</v>
      </c>
      <c r="O23" s="179" t="s">
        <v>290</v>
      </c>
      <c r="P23" s="186" t="e">
        <f>C85</f>
        <v>#REF!</v>
      </c>
      <c r="Q23" s="179" t="s">
        <v>885</v>
      </c>
      <c r="R23" s="186" t="e">
        <f>(M23*P23)</f>
        <v>#REF!</v>
      </c>
      <c r="T23" s="233" t="s">
        <v>844</v>
      </c>
      <c r="U23" s="179" t="s">
        <v>845</v>
      </c>
      <c r="V23" s="179" t="s">
        <v>882</v>
      </c>
      <c r="W23" s="238" t="s">
        <v>2560</v>
      </c>
      <c r="X23" s="186" t="e">
        <f>#REF!</f>
        <v>#REF!</v>
      </c>
      <c r="Y23" s="8">
        <v>565</v>
      </c>
      <c r="Z23" s="186" t="e">
        <f>#REF!</f>
        <v>#REF!</v>
      </c>
      <c r="AA23" s="233">
        <v>0</v>
      </c>
      <c r="AB23" s="181">
        <v>0</v>
      </c>
      <c r="AC23" s="179" t="e">
        <f t="shared" si="1"/>
        <v>#REF!</v>
      </c>
      <c r="AD23" s="179" t="s">
        <v>846</v>
      </c>
      <c r="AE23" s="8">
        <v>120</v>
      </c>
      <c r="AF23" s="186"/>
      <c r="AG23" s="186"/>
      <c r="AI23">
        <v>26</v>
      </c>
      <c r="AJ23" s="180">
        <v>1.1000000000000001</v>
      </c>
      <c r="AK23" s="180">
        <f t="shared" si="0"/>
        <v>28.6</v>
      </c>
    </row>
    <row r="24" spans="1:37" hidden="1">
      <c r="A24" s="237">
        <f t="shared" si="3"/>
        <v>15</v>
      </c>
      <c r="B24" s="179" t="s">
        <v>847</v>
      </c>
      <c r="C24" s="8">
        <v>52.85</v>
      </c>
      <c r="D24" s="1" t="s">
        <v>885</v>
      </c>
      <c r="E24"/>
      <c r="I24"/>
      <c r="J24" s="4"/>
      <c r="K24" s="5" t="s">
        <v>1615</v>
      </c>
      <c r="M24" s="186">
        <v>1.5</v>
      </c>
      <c r="N24" s="179" t="s">
        <v>885</v>
      </c>
      <c r="O24" s="179" t="s">
        <v>1826</v>
      </c>
      <c r="P24" s="186">
        <f>C18</f>
        <v>26</v>
      </c>
      <c r="Q24" s="179" t="s">
        <v>885</v>
      </c>
      <c r="R24" s="186">
        <f>(M24*P24)</f>
        <v>39</v>
      </c>
      <c r="T24" s="233" t="s">
        <v>1827</v>
      </c>
      <c r="U24" s="179" t="s">
        <v>3</v>
      </c>
      <c r="V24" s="179" t="s">
        <v>882</v>
      </c>
      <c r="W24" s="179" t="s">
        <v>1828</v>
      </c>
      <c r="X24" s="180">
        <v>0</v>
      </c>
      <c r="Y24" s="8">
        <v>20605</v>
      </c>
      <c r="Z24" s="180">
        <v>0</v>
      </c>
      <c r="AA24" s="155">
        <v>0</v>
      </c>
      <c r="AB24" s="181">
        <v>0</v>
      </c>
      <c r="AC24" s="179">
        <f t="shared" si="1"/>
        <v>20605</v>
      </c>
      <c r="AD24" s="179" t="s">
        <v>1829</v>
      </c>
      <c r="AE24" s="8">
        <v>26</v>
      </c>
      <c r="AF24" s="186"/>
      <c r="AG24" s="186"/>
      <c r="AI24">
        <v>20.7</v>
      </c>
      <c r="AJ24" s="180">
        <v>1.1000000000000001</v>
      </c>
      <c r="AK24" s="180">
        <f t="shared" si="0"/>
        <v>22.77</v>
      </c>
    </row>
    <row r="25" spans="1:37" hidden="1">
      <c r="A25" s="237">
        <f t="shared" si="3"/>
        <v>16</v>
      </c>
      <c r="B25" s="179" t="s">
        <v>1830</v>
      </c>
      <c r="C25" s="8">
        <f>AE25</f>
        <v>20.7</v>
      </c>
      <c r="D25" s="1" t="s">
        <v>885</v>
      </c>
      <c r="E25"/>
      <c r="G25" s="185" t="s">
        <v>2290</v>
      </c>
      <c r="H25" s="179" t="s">
        <v>1377</v>
      </c>
      <c r="I25"/>
      <c r="J25" s="4"/>
      <c r="K25"/>
      <c r="M25" s="186">
        <v>1.5</v>
      </c>
      <c r="N25" s="179" t="s">
        <v>885</v>
      </c>
      <c r="O25" s="179" t="s">
        <v>1378</v>
      </c>
      <c r="P25" s="186">
        <f>C27</f>
        <v>7.8</v>
      </c>
      <c r="Q25" s="179" t="s">
        <v>885</v>
      </c>
      <c r="R25" s="186">
        <f>(M25*P25)</f>
        <v>11.7</v>
      </c>
      <c r="T25" s="233" t="s">
        <v>1379</v>
      </c>
      <c r="U25" s="179" t="s">
        <v>1380</v>
      </c>
      <c r="V25" s="179" t="s">
        <v>882</v>
      </c>
      <c r="W25" s="238" t="s">
        <v>1828</v>
      </c>
      <c r="X25" s="180">
        <v>0</v>
      </c>
      <c r="Y25" s="8">
        <v>23685</v>
      </c>
      <c r="Z25" s="180">
        <v>0</v>
      </c>
      <c r="AA25" s="155">
        <v>0</v>
      </c>
      <c r="AB25" s="181">
        <v>0</v>
      </c>
      <c r="AC25" s="179">
        <f t="shared" si="1"/>
        <v>23685</v>
      </c>
      <c r="AD25" s="179" t="s">
        <v>296</v>
      </c>
      <c r="AE25" s="8">
        <v>20.7</v>
      </c>
      <c r="AF25" s="186"/>
      <c r="AG25" s="186"/>
      <c r="AI25">
        <v>15.6</v>
      </c>
      <c r="AJ25" s="180">
        <v>1.1000000000000001</v>
      </c>
      <c r="AK25" s="180">
        <f t="shared" si="0"/>
        <v>17.16</v>
      </c>
    </row>
    <row r="26" spans="1:37" hidden="1">
      <c r="A26" s="237">
        <f t="shared" si="3"/>
        <v>17</v>
      </c>
      <c r="B26" s="179" t="s">
        <v>1090</v>
      </c>
      <c r="C26" s="8">
        <f>+AE28</f>
        <v>8.8000000000000007</v>
      </c>
      <c r="D26" s="1" t="s">
        <v>2079</v>
      </c>
      <c r="E26"/>
      <c r="H26" s="183" t="s">
        <v>1615</v>
      </c>
      <c r="I26"/>
      <c r="J26" s="4"/>
      <c r="K26"/>
      <c r="N26" s="179" t="s">
        <v>455</v>
      </c>
      <c r="O26" s="179" t="s">
        <v>456</v>
      </c>
      <c r="P26" s="179" t="s">
        <v>992</v>
      </c>
      <c r="Q26" s="179" t="s">
        <v>455</v>
      </c>
      <c r="R26" s="186">
        <v>0</v>
      </c>
      <c r="T26" s="233" t="s">
        <v>2080</v>
      </c>
      <c r="U26" s="179" t="s">
        <v>2561</v>
      </c>
      <c r="V26" s="179" t="s">
        <v>882</v>
      </c>
      <c r="W26" s="238" t="s">
        <v>1828</v>
      </c>
      <c r="X26" s="180">
        <v>0</v>
      </c>
      <c r="Y26" s="8">
        <v>65420</v>
      </c>
      <c r="Z26" s="180">
        <v>0</v>
      </c>
      <c r="AA26" s="155">
        <v>0</v>
      </c>
      <c r="AB26" s="181">
        <v>0</v>
      </c>
      <c r="AC26" s="179">
        <f t="shared" si="1"/>
        <v>65420</v>
      </c>
      <c r="AD26" s="179" t="s">
        <v>1514</v>
      </c>
      <c r="AE26" s="8">
        <v>15.6</v>
      </c>
      <c r="AF26" s="186"/>
      <c r="AG26" s="186"/>
      <c r="AI26">
        <v>7.8</v>
      </c>
      <c r="AJ26" s="180">
        <v>1.1000000000000001</v>
      </c>
      <c r="AK26" s="180">
        <f t="shared" si="0"/>
        <v>8.58</v>
      </c>
    </row>
    <row r="27" spans="1:37" hidden="1">
      <c r="A27" s="237">
        <f t="shared" si="3"/>
        <v>18</v>
      </c>
      <c r="B27" s="179" t="s">
        <v>1515</v>
      </c>
      <c r="C27" s="8">
        <f>+AE27</f>
        <v>7.8</v>
      </c>
      <c r="D27" s="1" t="s">
        <v>2079</v>
      </c>
      <c r="E27"/>
      <c r="F27" s="186">
        <v>0.48</v>
      </c>
      <c r="G27" s="185" t="s">
        <v>877</v>
      </c>
      <c r="H27" s="179" t="s">
        <v>878</v>
      </c>
      <c r="I27" s="8">
        <f>(C67)</f>
        <v>3800</v>
      </c>
      <c r="J27" s="2" t="s">
        <v>877</v>
      </c>
      <c r="K27" s="8">
        <f>(F27*I27)</f>
        <v>1824</v>
      </c>
      <c r="R27" s="183" t="s">
        <v>1615</v>
      </c>
      <c r="T27" s="233" t="s">
        <v>1516</v>
      </c>
      <c r="U27" s="179" t="s">
        <v>2562</v>
      </c>
      <c r="V27" s="179" t="s">
        <v>882</v>
      </c>
      <c r="W27" s="238" t="s">
        <v>1828</v>
      </c>
      <c r="X27" s="180">
        <v>0</v>
      </c>
      <c r="Y27" s="8">
        <v>57165</v>
      </c>
      <c r="Z27" s="180">
        <v>0</v>
      </c>
      <c r="AA27" s="155">
        <v>0</v>
      </c>
      <c r="AB27" s="181">
        <v>0</v>
      </c>
      <c r="AC27" s="179">
        <f t="shared" si="1"/>
        <v>57165</v>
      </c>
      <c r="AD27" s="179" t="s">
        <v>1517</v>
      </c>
      <c r="AE27" s="8">
        <v>7.8</v>
      </c>
      <c r="AF27" s="186"/>
      <c r="AG27" s="186"/>
      <c r="AI27">
        <v>8.8000000000000007</v>
      </c>
      <c r="AJ27" s="180">
        <v>1.1000000000000001</v>
      </c>
      <c r="AK27" s="180">
        <f t="shared" si="0"/>
        <v>9.68</v>
      </c>
    </row>
    <row r="28" spans="1:37" hidden="1">
      <c r="A28" s="237">
        <f t="shared" si="3"/>
        <v>19</v>
      </c>
      <c r="B28" s="179" t="s">
        <v>2563</v>
      </c>
      <c r="C28" s="8">
        <v>58.33</v>
      </c>
      <c r="D28" s="1" t="s">
        <v>455</v>
      </c>
      <c r="E28"/>
      <c r="F28" s="186">
        <v>1</v>
      </c>
      <c r="G28" s="185" t="s">
        <v>885</v>
      </c>
      <c r="H28" s="179" t="s">
        <v>886</v>
      </c>
      <c r="I28" s="8" t="e">
        <f>(C78)</f>
        <v>#REF!</v>
      </c>
      <c r="J28" s="2" t="s">
        <v>885</v>
      </c>
      <c r="K28" s="8" t="e">
        <f>(F28*I28)</f>
        <v>#REF!</v>
      </c>
      <c r="O28" s="179" t="s">
        <v>170</v>
      </c>
      <c r="R28" s="186" t="e">
        <f>SUM(R22:R26)</f>
        <v>#REF!</v>
      </c>
      <c r="T28" s="233" t="s">
        <v>901</v>
      </c>
      <c r="U28" s="179" t="s">
        <v>2564</v>
      </c>
      <c r="V28" s="179" t="s">
        <v>882</v>
      </c>
      <c r="W28" s="238" t="s">
        <v>1828</v>
      </c>
      <c r="X28" s="180">
        <v>0</v>
      </c>
      <c r="Y28" s="8">
        <v>63870</v>
      </c>
      <c r="Z28" s="180">
        <v>0</v>
      </c>
      <c r="AA28" s="155">
        <v>0</v>
      </c>
      <c r="AB28" s="181">
        <v>0</v>
      </c>
      <c r="AC28" s="179">
        <f t="shared" si="1"/>
        <v>63870</v>
      </c>
      <c r="AD28" s="179" t="s">
        <v>2309</v>
      </c>
      <c r="AE28" s="8">
        <v>8.8000000000000007</v>
      </c>
      <c r="AF28" s="186"/>
      <c r="AG28" s="186"/>
      <c r="AI28">
        <v>25</v>
      </c>
      <c r="AJ28" s="180">
        <v>1.1000000000000001</v>
      </c>
      <c r="AK28" s="180">
        <f t="shared" si="0"/>
        <v>27.5</v>
      </c>
    </row>
    <row r="29" spans="1:37" hidden="1">
      <c r="A29" s="237">
        <f t="shared" si="3"/>
        <v>20</v>
      </c>
      <c r="B29" s="179" t="s">
        <v>784</v>
      </c>
      <c r="C29" s="8">
        <f>AE23</f>
        <v>120</v>
      </c>
      <c r="D29" s="1" t="s">
        <v>785</v>
      </c>
      <c r="E29"/>
      <c r="F29" s="186">
        <v>1</v>
      </c>
      <c r="G29" s="185" t="s">
        <v>885</v>
      </c>
      <c r="H29" s="179" t="s">
        <v>890</v>
      </c>
      <c r="I29" s="8">
        <f>(C18)</f>
        <v>26</v>
      </c>
      <c r="J29" s="2" t="s">
        <v>885</v>
      </c>
      <c r="K29" s="8">
        <f>(F29*I29)</f>
        <v>26</v>
      </c>
      <c r="R29" s="183" t="s">
        <v>1615</v>
      </c>
      <c r="T29" s="233" t="s">
        <v>786</v>
      </c>
      <c r="U29" s="179" t="s">
        <v>787</v>
      </c>
      <c r="V29" s="179" t="s">
        <v>1471</v>
      </c>
      <c r="W29" s="186" t="str">
        <f>W18</f>
        <v>Nerkundram</v>
      </c>
      <c r="X29" s="186" t="e">
        <f>X18</f>
        <v>#REF!</v>
      </c>
      <c r="Y29" s="8">
        <v>1470</v>
      </c>
      <c r="Z29" s="186" t="e">
        <f>Z18</f>
        <v>#REF!</v>
      </c>
      <c r="AA29" s="155">
        <v>0</v>
      </c>
      <c r="AB29" s="181">
        <v>0</v>
      </c>
      <c r="AC29" s="179" t="e">
        <f t="shared" si="1"/>
        <v>#REF!</v>
      </c>
      <c r="AD29" s="179" t="s">
        <v>2565</v>
      </c>
      <c r="AE29" s="8">
        <v>25</v>
      </c>
      <c r="AF29" s="186"/>
      <c r="AG29" s="186"/>
      <c r="AI29">
        <v>342</v>
      </c>
      <c r="AJ29" s="180">
        <v>1.1000000000000001</v>
      </c>
      <c r="AK29" s="180">
        <f t="shared" si="0"/>
        <v>376.2</v>
      </c>
    </row>
    <row r="30" spans="1:37" hidden="1">
      <c r="A30" s="237">
        <f t="shared" si="3"/>
        <v>21</v>
      </c>
      <c r="B30" s="179" t="s">
        <v>788</v>
      </c>
      <c r="C30" s="8">
        <f>AE33</f>
        <v>3035</v>
      </c>
      <c r="D30" s="8">
        <f>AE31</f>
        <v>287</v>
      </c>
      <c r="E30"/>
      <c r="G30" s="185" t="s">
        <v>455</v>
      </c>
      <c r="H30" s="179" t="s">
        <v>456</v>
      </c>
      <c r="I30" s="1" t="s">
        <v>992</v>
      </c>
      <c r="J30" s="2" t="s">
        <v>455</v>
      </c>
      <c r="K30" s="8">
        <v>0</v>
      </c>
      <c r="O30" s="179" t="s">
        <v>789</v>
      </c>
      <c r="R30" s="186" t="e">
        <f>(R28/1.5)</f>
        <v>#REF!</v>
      </c>
      <c r="T30" s="233" t="s">
        <v>2207</v>
      </c>
      <c r="U30" s="179" t="s">
        <v>18</v>
      </c>
      <c r="V30" s="179" t="s">
        <v>1471</v>
      </c>
      <c r="W30" s="238" t="s">
        <v>1828</v>
      </c>
      <c r="X30" s="186">
        <v>0</v>
      </c>
      <c r="Y30" s="8">
        <v>8240</v>
      </c>
      <c r="Z30" s="186">
        <v>0</v>
      </c>
      <c r="AA30" s="233">
        <v>0</v>
      </c>
      <c r="AB30" s="181">
        <v>0</v>
      </c>
      <c r="AC30" s="179">
        <f t="shared" si="1"/>
        <v>8240</v>
      </c>
      <c r="AD30" s="179" t="s">
        <v>2566</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4"/>
      <c r="K31" s="5" t="s">
        <v>1615</v>
      </c>
      <c r="O31" s="179" t="s">
        <v>252</v>
      </c>
      <c r="R31" s="183" t="s">
        <v>2091</v>
      </c>
      <c r="T31" s="233" t="s">
        <v>20</v>
      </c>
      <c r="U31" s="179" t="s">
        <v>21</v>
      </c>
      <c r="V31" s="179" t="s">
        <v>877</v>
      </c>
      <c r="W31" s="179" t="s">
        <v>1828</v>
      </c>
      <c r="X31" s="186">
        <v>0</v>
      </c>
      <c r="Y31" s="8">
        <v>3800</v>
      </c>
      <c r="Z31" s="186">
        <v>0</v>
      </c>
      <c r="AA31" s="233">
        <v>0</v>
      </c>
      <c r="AB31" s="181">
        <v>0</v>
      </c>
      <c r="AC31" s="179">
        <v>3800</v>
      </c>
      <c r="AD31" s="179" t="s">
        <v>2567</v>
      </c>
      <c r="AE31" s="8">
        <v>287</v>
      </c>
      <c r="AF31" s="186"/>
      <c r="AG31" s="186"/>
      <c r="AI31">
        <v>320</v>
      </c>
      <c r="AJ31" s="180">
        <v>1.1000000000000001</v>
      </c>
      <c r="AK31" s="180">
        <f t="shared" si="0"/>
        <v>352</v>
      </c>
    </row>
    <row r="32" spans="1:37" hidden="1">
      <c r="A32" s="237">
        <f t="shared" si="3"/>
        <v>23</v>
      </c>
      <c r="B32" s="179" t="s">
        <v>1831</v>
      </c>
      <c r="C32" s="8">
        <v>2.5</v>
      </c>
      <c r="D32" s="8">
        <f>AE34</f>
        <v>267</v>
      </c>
      <c r="E32"/>
      <c r="H32" s="179" t="s">
        <v>1542</v>
      </c>
      <c r="I32"/>
      <c r="J32" s="4"/>
      <c r="K32" s="8" t="e">
        <f>SUM(K27:K30)</f>
        <v>#REF!</v>
      </c>
      <c r="T32" s="233" t="s">
        <v>1832</v>
      </c>
      <c r="U32" s="179" t="s">
        <v>1833</v>
      </c>
      <c r="V32" s="179" t="s">
        <v>877</v>
      </c>
      <c r="W32" s="179" t="s">
        <v>2304</v>
      </c>
      <c r="X32" s="186">
        <v>0</v>
      </c>
      <c r="Y32" s="8">
        <v>28000</v>
      </c>
      <c r="Z32" s="186">
        <v>0</v>
      </c>
      <c r="AA32" s="233">
        <v>0</v>
      </c>
      <c r="AB32" s="181">
        <v>0</v>
      </c>
      <c r="AC32" s="179">
        <f t="shared" ref="AC32:AC38" si="4">SUM(Y32+Z32+AA32+AB32)</f>
        <v>28000</v>
      </c>
      <c r="AD32" s="179" t="s">
        <v>2568</v>
      </c>
      <c r="AE32" s="8">
        <v>320</v>
      </c>
      <c r="AF32" s="186"/>
      <c r="AG32" s="186"/>
      <c r="AI32">
        <v>3035</v>
      </c>
      <c r="AJ32" s="180">
        <v>1.1000000000000001</v>
      </c>
      <c r="AK32" s="180">
        <f t="shared" si="0"/>
        <v>3338.5</v>
      </c>
    </row>
    <row r="33" spans="1:37" hidden="1">
      <c r="A33" s="237">
        <f t="shared" si="3"/>
        <v>24</v>
      </c>
      <c r="B33" s="179" t="s">
        <v>450</v>
      </c>
      <c r="C33" s="8">
        <v>3.64</v>
      </c>
      <c r="D33" s="8">
        <f>AE35</f>
        <v>240</v>
      </c>
      <c r="E33"/>
      <c r="I33"/>
      <c r="J33" s="4"/>
      <c r="K33" s="5" t="s">
        <v>1615</v>
      </c>
      <c r="T33" s="239" t="s">
        <v>451</v>
      </c>
      <c r="U33" s="179" t="s">
        <v>1443</v>
      </c>
      <c r="V33" s="179" t="s">
        <v>877</v>
      </c>
      <c r="W33" s="179" t="s">
        <v>2304</v>
      </c>
      <c r="X33" s="186">
        <v>0</v>
      </c>
      <c r="Y33" s="8">
        <v>26500</v>
      </c>
      <c r="Z33" s="186">
        <v>0</v>
      </c>
      <c r="AA33" s="233">
        <v>0</v>
      </c>
      <c r="AB33" s="181">
        <v>0</v>
      </c>
      <c r="AC33" s="179">
        <f t="shared" si="4"/>
        <v>26500</v>
      </c>
      <c r="AD33" s="179" t="s">
        <v>2569</v>
      </c>
      <c r="AE33" s="8">
        <v>3035</v>
      </c>
      <c r="AF33" s="186"/>
      <c r="AG33" s="186"/>
      <c r="AI33">
        <v>267</v>
      </c>
      <c r="AJ33" s="180">
        <v>1.1000000000000001</v>
      </c>
      <c r="AK33" s="180">
        <f t="shared" si="0"/>
        <v>293.7</v>
      </c>
    </row>
    <row r="34" spans="1:37" hidden="1">
      <c r="A34" s="237">
        <f t="shared" si="3"/>
        <v>25</v>
      </c>
      <c r="B34" s="179" t="s">
        <v>1444</v>
      </c>
      <c r="C34" s="8">
        <v>30000</v>
      </c>
      <c r="D34" s="8">
        <v>30000</v>
      </c>
      <c r="E34"/>
      <c r="G34" s="185" t="s">
        <v>2290</v>
      </c>
      <c r="H34" s="179" t="s">
        <v>1331</v>
      </c>
      <c r="I34"/>
      <c r="J34" s="4"/>
      <c r="K34"/>
      <c r="T34" s="239" t="s">
        <v>1445</v>
      </c>
      <c r="U34" s="179" t="s">
        <v>1446</v>
      </c>
      <c r="V34" s="179" t="s">
        <v>1471</v>
      </c>
      <c r="W34" s="186" t="str">
        <f>W18</f>
        <v>Nerkundram</v>
      </c>
      <c r="X34" s="186" t="e">
        <f>X18</f>
        <v>#REF!</v>
      </c>
      <c r="Y34" s="8">
        <f>Y29</f>
        <v>1470</v>
      </c>
      <c r="Z34" s="186" t="e">
        <f>Z29</f>
        <v>#REF!</v>
      </c>
      <c r="AA34" s="233">
        <v>0</v>
      </c>
      <c r="AB34" s="181">
        <v>0</v>
      </c>
      <c r="AC34" s="179" t="e">
        <f t="shared" si="4"/>
        <v>#REF!</v>
      </c>
      <c r="AD34" s="179" t="s">
        <v>2570</v>
      </c>
      <c r="AE34" s="8">
        <v>267</v>
      </c>
      <c r="AF34" s="186"/>
      <c r="AG34" s="186"/>
      <c r="AI34">
        <v>240</v>
      </c>
      <c r="AJ34" s="180">
        <v>1.1000000000000001</v>
      </c>
      <c r="AK34" s="180">
        <f t="shared" si="0"/>
        <v>264</v>
      </c>
    </row>
    <row r="35" spans="1:37" hidden="1">
      <c r="A35" s="237">
        <f t="shared" si="3"/>
        <v>26</v>
      </c>
      <c r="B35" s="179" t="s">
        <v>2571</v>
      </c>
      <c r="C35" s="8">
        <f>AC38</f>
        <v>169</v>
      </c>
      <c r="D35"/>
      <c r="E35"/>
      <c r="F35" s="186">
        <v>0.36</v>
      </c>
      <c r="G35" s="185" t="s">
        <v>877</v>
      </c>
      <c r="H35" s="179" t="s">
        <v>878</v>
      </c>
      <c r="I35" s="8">
        <f>C67</f>
        <v>3800</v>
      </c>
      <c r="J35" s="2" t="s">
        <v>877</v>
      </c>
      <c r="K35" s="8">
        <f>(F35*I35)</f>
        <v>1368</v>
      </c>
      <c r="T35" s="233" t="s">
        <v>1447</v>
      </c>
      <c r="U35" s="179" t="s">
        <v>404</v>
      </c>
      <c r="V35" s="179" t="s">
        <v>882</v>
      </c>
      <c r="W35" s="179" t="str">
        <f>W11</f>
        <v>Pallavaram</v>
      </c>
      <c r="X35" s="186">
        <v>18</v>
      </c>
      <c r="Y35" s="240">
        <v>278</v>
      </c>
      <c r="Z35" s="186" t="e">
        <f>Z11</f>
        <v>#REF!</v>
      </c>
      <c r="AA35" s="233">
        <v>0</v>
      </c>
      <c r="AB35" s="181">
        <v>0</v>
      </c>
      <c r="AC35" s="179" t="e">
        <f t="shared" si="4"/>
        <v>#REF!</v>
      </c>
      <c r="AD35" s="179" t="s">
        <v>2572</v>
      </c>
      <c r="AE35" s="8">
        <v>240</v>
      </c>
      <c r="AF35" s="186"/>
      <c r="AG35" s="186"/>
      <c r="AI35">
        <v>37.299999999999997</v>
      </c>
      <c r="AJ35" s="180">
        <v>1.1000000000000001</v>
      </c>
      <c r="AK35" s="180">
        <f t="shared" si="0"/>
        <v>41.03</v>
      </c>
    </row>
    <row r="36" spans="1:37" hidden="1">
      <c r="B36" s="179" t="s">
        <v>763</v>
      </c>
      <c r="C36" s="8">
        <v>2.6</v>
      </c>
      <c r="D36"/>
      <c r="E36"/>
      <c r="F36" s="186">
        <v>1</v>
      </c>
      <c r="G36" s="185" t="s">
        <v>885</v>
      </c>
      <c r="H36" s="179" t="s">
        <v>886</v>
      </c>
      <c r="I36" s="8" t="e">
        <f>C78</f>
        <v>#REF!</v>
      </c>
      <c r="J36" s="2" t="s">
        <v>885</v>
      </c>
      <c r="K36" s="8" t="e">
        <f>(F36*I36)</f>
        <v>#REF!</v>
      </c>
      <c r="T36" s="233" t="s">
        <v>228</v>
      </c>
      <c r="U36" s="179" t="s">
        <v>403</v>
      </c>
      <c r="V36" s="179" t="s">
        <v>882</v>
      </c>
      <c r="W36" s="179" t="str">
        <f>W12</f>
        <v>Pallavaram</v>
      </c>
      <c r="X36" s="186">
        <v>18</v>
      </c>
      <c r="Y36" s="240">
        <v>334.5</v>
      </c>
      <c r="Z36" s="186" t="e">
        <f>Z12</f>
        <v>#REF!</v>
      </c>
      <c r="AA36" s="233">
        <v>0</v>
      </c>
      <c r="AB36" s="181">
        <v>0</v>
      </c>
      <c r="AC36" s="179" t="e">
        <f t="shared" si="4"/>
        <v>#REF!</v>
      </c>
      <c r="AD36" s="179" t="s">
        <v>2573</v>
      </c>
      <c r="AE36" s="6">
        <v>37.299999999999997</v>
      </c>
      <c r="AF36" s="187"/>
      <c r="AG36" s="187"/>
      <c r="AI36">
        <v>95.5</v>
      </c>
      <c r="AJ36" s="180">
        <v>1.1000000000000001</v>
      </c>
      <c r="AK36" s="180">
        <f t="shared" si="0"/>
        <v>105.05</v>
      </c>
    </row>
    <row r="37" spans="1:37" hidden="1">
      <c r="C37"/>
      <c r="D37"/>
      <c r="E37"/>
      <c r="F37" s="186">
        <v>1</v>
      </c>
      <c r="G37" s="185" t="s">
        <v>885</v>
      </c>
      <c r="H37" s="179" t="s">
        <v>890</v>
      </c>
      <c r="I37" s="8">
        <f>C18</f>
        <v>26</v>
      </c>
      <c r="J37" s="2" t="s">
        <v>885</v>
      </c>
      <c r="K37" s="8">
        <f>(F37*I37)</f>
        <v>26</v>
      </c>
      <c r="T37" s="233" t="s">
        <v>1704</v>
      </c>
      <c r="U37" s="179" t="s">
        <v>421</v>
      </c>
      <c r="V37" s="179" t="s">
        <v>882</v>
      </c>
      <c r="W37" s="179" t="str">
        <f>W13</f>
        <v>Pallavaram</v>
      </c>
      <c r="X37" s="186">
        <v>18</v>
      </c>
      <c r="Y37" s="240">
        <v>278.5</v>
      </c>
      <c r="Z37" s="186" t="e">
        <f>Z13</f>
        <v>#REF!</v>
      </c>
      <c r="AA37" s="233">
        <v>0</v>
      </c>
      <c r="AB37" s="181">
        <v>0</v>
      </c>
      <c r="AC37" s="179" t="e">
        <f t="shared" si="4"/>
        <v>#REF!</v>
      </c>
      <c r="AD37" s="179" t="s">
        <v>2574</v>
      </c>
      <c r="AE37" s="8">
        <v>120</v>
      </c>
      <c r="AF37" s="186"/>
      <c r="AG37" s="186"/>
    </row>
    <row r="38" spans="1:37" hidden="1">
      <c r="A38" s="237">
        <f>(A35+1)</f>
        <v>27</v>
      </c>
      <c r="B38" s="179" t="s">
        <v>1705</v>
      </c>
      <c r="C38" s="8">
        <v>40</v>
      </c>
      <c r="D38" s="1" t="s">
        <v>884</v>
      </c>
      <c r="E38"/>
      <c r="G38" s="185" t="s">
        <v>455</v>
      </c>
      <c r="H38" s="179" t="s">
        <v>456</v>
      </c>
      <c r="I38" s="1" t="s">
        <v>992</v>
      </c>
      <c r="J38" s="2" t="s">
        <v>455</v>
      </c>
      <c r="K38" s="8">
        <v>0</v>
      </c>
      <c r="T38" s="233" t="s">
        <v>209</v>
      </c>
      <c r="U38" s="179" t="s">
        <v>210</v>
      </c>
      <c r="V38" s="179" t="s">
        <v>882</v>
      </c>
      <c r="W38" s="179" t="s">
        <v>2575</v>
      </c>
      <c r="X38" s="186">
        <v>20</v>
      </c>
      <c r="Y38" s="6">
        <v>83</v>
      </c>
      <c r="Z38" s="186">
        <v>86</v>
      </c>
      <c r="AA38" s="233">
        <v>0</v>
      </c>
      <c r="AB38" s="181">
        <v>0</v>
      </c>
      <c r="AC38" s="179">
        <f t="shared" si="4"/>
        <v>169</v>
      </c>
      <c r="AD38" s="179" t="s">
        <v>992</v>
      </c>
      <c r="AE38" s="6"/>
      <c r="AG38" s="179" t="s">
        <v>2298</v>
      </c>
    </row>
    <row r="39" spans="1:37" hidden="1">
      <c r="A39" s="237">
        <f t="shared" ref="A39:A58" si="5">(A38+1)</f>
        <v>28</v>
      </c>
      <c r="B39" s="179" t="s">
        <v>211</v>
      </c>
      <c r="C39" s="8">
        <v>41</v>
      </c>
      <c r="D39" s="8">
        <v>500</v>
      </c>
      <c r="E39"/>
      <c r="I39"/>
      <c r="J39" s="4"/>
      <c r="K39" s="5" t="s">
        <v>1615</v>
      </c>
      <c r="T39" s="155"/>
      <c r="AA39" s="155"/>
      <c r="AG39" s="179" t="s">
        <v>2298</v>
      </c>
    </row>
    <row r="40" spans="1:37" hidden="1">
      <c r="A40" s="237">
        <f t="shared" si="5"/>
        <v>29</v>
      </c>
      <c r="B40" s="179" t="s">
        <v>1032</v>
      </c>
      <c r="C40" s="8">
        <v>28</v>
      </c>
      <c r="D40" s="8">
        <f>95+95*0.11</f>
        <v>105.45</v>
      </c>
      <c r="E40"/>
      <c r="H40" s="179" t="s">
        <v>1542</v>
      </c>
      <c r="I40"/>
      <c r="J40" s="4"/>
      <c r="K40" s="8" t="e">
        <f>SUM(K35:K38)</f>
        <v>#REF!</v>
      </c>
      <c r="T40" s="183" t="s">
        <v>1615</v>
      </c>
      <c r="U40" s="183" t="s">
        <v>1615</v>
      </c>
      <c r="V40" s="183" t="s">
        <v>1615</v>
      </c>
      <c r="W40" s="183" t="s">
        <v>1615</v>
      </c>
      <c r="X40" s="183" t="s">
        <v>1615</v>
      </c>
      <c r="Y40" s="183" t="s">
        <v>1615</v>
      </c>
      <c r="Z40" s="183" t="s">
        <v>1615</v>
      </c>
      <c r="AA40" s="183" t="s">
        <v>1615</v>
      </c>
      <c r="AB40" s="183" t="s">
        <v>1615</v>
      </c>
      <c r="AC40" s="183" t="s">
        <v>1615</v>
      </c>
      <c r="AD40" s="183" t="s">
        <v>1615</v>
      </c>
      <c r="AE40" s="183" t="s">
        <v>1615</v>
      </c>
      <c r="AF40" s="183"/>
      <c r="AG40" s="179" t="s">
        <v>2298</v>
      </c>
    </row>
    <row r="41" spans="1:37" ht="47.25" hidden="1" customHeight="1">
      <c r="A41" s="237">
        <f t="shared" si="5"/>
        <v>30</v>
      </c>
      <c r="B41" s="179" t="s">
        <v>1803</v>
      </c>
      <c r="C41" s="8">
        <f>AE22</f>
        <v>110</v>
      </c>
      <c r="D41" s="1" t="s">
        <v>785</v>
      </c>
      <c r="E41"/>
      <c r="I41"/>
      <c r="J41" s="4"/>
      <c r="K41" s="5" t="s">
        <v>1615</v>
      </c>
      <c r="U41" s="241"/>
      <c r="Y41" s="179" t="s">
        <v>992</v>
      </c>
      <c r="AG41" s="179" t="s">
        <v>2298</v>
      </c>
    </row>
    <row r="42" spans="1:37" hidden="1">
      <c r="A42" s="237">
        <f t="shared" si="5"/>
        <v>31</v>
      </c>
      <c r="B42" s="179" t="s">
        <v>1804</v>
      </c>
      <c r="C42" s="8">
        <v>1.75</v>
      </c>
      <c r="D42" s="1" t="s">
        <v>1805</v>
      </c>
      <c r="E42"/>
      <c r="G42" s="185" t="s">
        <v>2290</v>
      </c>
      <c r="H42" s="179" t="s">
        <v>1656</v>
      </c>
      <c r="I42"/>
      <c r="J42" s="4"/>
      <c r="K42"/>
      <c r="U42" s="180" t="s">
        <v>1534</v>
      </c>
      <c r="AG42" s="179" t="s">
        <v>2298</v>
      </c>
    </row>
    <row r="43" spans="1:37" hidden="1">
      <c r="A43" s="237">
        <f t="shared" si="5"/>
        <v>32</v>
      </c>
      <c r="B43" s="179" t="s">
        <v>1657</v>
      </c>
      <c r="C43" s="8">
        <v>2.2000000000000002</v>
      </c>
      <c r="D43" s="1" t="s">
        <v>785</v>
      </c>
      <c r="E43"/>
      <c r="H43" s="183" t="s">
        <v>1615</v>
      </c>
      <c r="I43"/>
      <c r="J43" s="4"/>
      <c r="K43"/>
      <c r="AG43" s="179" t="s">
        <v>2298</v>
      </c>
    </row>
    <row r="44" spans="1:37" hidden="1">
      <c r="A44" s="237">
        <f t="shared" si="5"/>
        <v>33</v>
      </c>
      <c r="B44" s="179" t="s">
        <v>264</v>
      </c>
      <c r="C44" s="8">
        <v>2.2000000000000002</v>
      </c>
      <c r="D44" s="1" t="s">
        <v>785</v>
      </c>
      <c r="E44"/>
      <c r="F44" s="242">
        <v>0.28799999999999998</v>
      </c>
      <c r="G44" s="185" t="s">
        <v>877</v>
      </c>
      <c r="H44" s="179" t="s">
        <v>878</v>
      </c>
      <c r="I44" s="8">
        <f>(C67)</f>
        <v>3800</v>
      </c>
      <c r="J44" s="2" t="s">
        <v>877</v>
      </c>
      <c r="K44" s="8">
        <f>(F44*I44)</f>
        <v>1094.4000000000001</v>
      </c>
      <c r="AG44" s="179" t="s">
        <v>2298</v>
      </c>
    </row>
    <row r="45" spans="1:37" hidden="1">
      <c r="A45" s="237">
        <f t="shared" si="5"/>
        <v>34</v>
      </c>
      <c r="B45" s="179" t="s">
        <v>1947</v>
      </c>
      <c r="C45" s="8">
        <v>2.7</v>
      </c>
      <c r="D45" s="1" t="s">
        <v>785</v>
      </c>
      <c r="E45"/>
      <c r="F45" s="186">
        <v>1</v>
      </c>
      <c r="G45" s="185" t="s">
        <v>885</v>
      </c>
      <c r="H45" s="179" t="s">
        <v>886</v>
      </c>
      <c r="I45" s="8" t="e">
        <f>(C78)</f>
        <v>#REF!</v>
      </c>
      <c r="J45" s="2" t="s">
        <v>885</v>
      </c>
      <c r="K45" s="8" t="e">
        <f>(F45*I45)</f>
        <v>#REF!</v>
      </c>
      <c r="AG45" s="179" t="s">
        <v>2298</v>
      </c>
    </row>
    <row r="46" spans="1:37" hidden="1">
      <c r="A46" s="237">
        <f t="shared" si="5"/>
        <v>35</v>
      </c>
      <c r="B46" s="179" t="s">
        <v>78</v>
      </c>
      <c r="C46" s="8">
        <v>3.2</v>
      </c>
      <c r="D46" s="1" t="s">
        <v>785</v>
      </c>
      <c r="E46"/>
      <c r="F46" s="186">
        <v>1</v>
      </c>
      <c r="G46" s="185" t="s">
        <v>885</v>
      </c>
      <c r="H46" s="179" t="s">
        <v>890</v>
      </c>
      <c r="I46" s="8">
        <f>(C18)</f>
        <v>26</v>
      </c>
      <c r="J46" s="2" t="s">
        <v>885</v>
      </c>
      <c r="K46" s="8">
        <f>(F46*I46)</f>
        <v>26</v>
      </c>
      <c r="W46" s="179" t="s">
        <v>1693</v>
      </c>
      <c r="AA46" s="179" t="s">
        <v>79</v>
      </c>
      <c r="AE46" s="180" t="s">
        <v>2351</v>
      </c>
      <c r="AG46" s="179" t="s">
        <v>2298</v>
      </c>
    </row>
    <row r="47" spans="1:37" hidden="1">
      <c r="A47" s="237">
        <f t="shared" si="5"/>
        <v>36</v>
      </c>
      <c r="B47" s="179" t="s">
        <v>80</v>
      </c>
      <c r="C47" s="8">
        <v>4.2</v>
      </c>
      <c r="D47" s="1" t="s">
        <v>785</v>
      </c>
      <c r="E47"/>
      <c r="G47" s="185" t="s">
        <v>455</v>
      </c>
      <c r="H47" s="179" t="s">
        <v>456</v>
      </c>
      <c r="I47" s="1" t="s">
        <v>992</v>
      </c>
      <c r="J47" s="2" t="s">
        <v>455</v>
      </c>
      <c r="K47" s="8">
        <v>0</v>
      </c>
      <c r="N47" s="179" t="s">
        <v>2290</v>
      </c>
      <c r="O47" s="179" t="s">
        <v>1279</v>
      </c>
      <c r="AG47" s="179" t="s">
        <v>2298</v>
      </c>
    </row>
    <row r="48" spans="1:37" hidden="1">
      <c r="A48" s="237">
        <f t="shared" si="5"/>
        <v>37</v>
      </c>
      <c r="B48" s="179" t="s">
        <v>1280</v>
      </c>
      <c r="C48" s="8">
        <v>5.35</v>
      </c>
      <c r="D48" s="8">
        <v>10.65</v>
      </c>
      <c r="E48"/>
      <c r="I48"/>
      <c r="J48" s="4"/>
      <c r="K48" s="5" t="s">
        <v>1615</v>
      </c>
      <c r="O48" s="179" t="s">
        <v>655</v>
      </c>
      <c r="AG48" s="179" t="s">
        <v>2298</v>
      </c>
    </row>
    <row r="49" spans="1:33" hidden="1">
      <c r="A49" s="237">
        <f t="shared" si="5"/>
        <v>38</v>
      </c>
      <c r="B49" s="179" t="s">
        <v>1738</v>
      </c>
      <c r="C49" s="8">
        <v>5.85</v>
      </c>
      <c r="D49" s="8">
        <v>7.45</v>
      </c>
      <c r="E49"/>
      <c r="H49" s="179" t="s">
        <v>1542</v>
      </c>
      <c r="I49"/>
      <c r="J49" s="4"/>
      <c r="K49" s="8" t="e">
        <f>SUM(K44:K47)</f>
        <v>#REF!</v>
      </c>
      <c r="O49" s="183" t="s">
        <v>1615</v>
      </c>
      <c r="AG49" s="179" t="s">
        <v>2298</v>
      </c>
    </row>
    <row r="50" spans="1:33" hidden="1">
      <c r="A50" s="237">
        <f t="shared" si="5"/>
        <v>39</v>
      </c>
      <c r="B50" s="179" t="s">
        <v>1660</v>
      </c>
      <c r="C50" s="8">
        <v>3.2</v>
      </c>
      <c r="D50" s="1" t="s">
        <v>785</v>
      </c>
      <c r="E50"/>
      <c r="I50"/>
      <c r="J50" s="4"/>
      <c r="K50" s="5" t="s">
        <v>1615</v>
      </c>
      <c r="M50" s="186">
        <v>9</v>
      </c>
      <c r="N50" s="179" t="s">
        <v>885</v>
      </c>
      <c r="O50" s="179" t="s">
        <v>655</v>
      </c>
      <c r="P50" s="186" t="e">
        <f>(C81)</f>
        <v>#REF!</v>
      </c>
      <c r="Q50" s="179" t="s">
        <v>885</v>
      </c>
      <c r="R50" s="186" t="e">
        <f>(M50*P50)</f>
        <v>#REF!</v>
      </c>
      <c r="AG50" s="179" t="s">
        <v>2298</v>
      </c>
    </row>
    <row r="51" spans="1:33" hidden="1">
      <c r="A51" s="237">
        <f t="shared" si="5"/>
        <v>40</v>
      </c>
      <c r="B51" s="179" t="s">
        <v>1661</v>
      </c>
      <c r="C51" s="8">
        <v>3.2</v>
      </c>
      <c r="D51" s="1" t="s">
        <v>785</v>
      </c>
      <c r="E51"/>
      <c r="G51" s="185" t="s">
        <v>2290</v>
      </c>
      <c r="H51" s="179" t="s">
        <v>1662</v>
      </c>
      <c r="I51"/>
      <c r="J51" s="4"/>
      <c r="K51"/>
      <c r="M51" s="186">
        <v>4.5</v>
      </c>
      <c r="N51" s="179" t="s">
        <v>885</v>
      </c>
      <c r="O51" s="179" t="s">
        <v>1663</v>
      </c>
      <c r="P51" s="186" t="e">
        <f>(K77)</f>
        <v>#REF!</v>
      </c>
      <c r="Q51" s="179" t="s">
        <v>885</v>
      </c>
      <c r="R51" s="186" t="e">
        <f>(M51*P51)</f>
        <v>#REF!</v>
      </c>
      <c r="AG51" s="179" t="s">
        <v>2298</v>
      </c>
    </row>
    <row r="52" spans="1:33" hidden="1">
      <c r="A52" s="237">
        <f t="shared" si="5"/>
        <v>41</v>
      </c>
      <c r="B52" s="179" t="s">
        <v>1743</v>
      </c>
      <c r="C52" s="8">
        <v>6.4</v>
      </c>
      <c r="D52" s="1" t="s">
        <v>785</v>
      </c>
      <c r="E52"/>
      <c r="H52" s="183" t="s">
        <v>1615</v>
      </c>
      <c r="I52"/>
      <c r="J52" s="4"/>
      <c r="K52"/>
      <c r="M52" s="186">
        <v>1.8</v>
      </c>
      <c r="N52" s="179" t="s">
        <v>884</v>
      </c>
      <c r="O52" s="179" t="s">
        <v>1744</v>
      </c>
      <c r="P52" s="186">
        <f>(C11)</f>
        <v>135</v>
      </c>
      <c r="Q52" s="179" t="s">
        <v>884</v>
      </c>
      <c r="R52" s="186">
        <f>(M52*P52)</f>
        <v>243</v>
      </c>
      <c r="AG52" s="179" t="s">
        <v>2298</v>
      </c>
    </row>
    <row r="53" spans="1:33" hidden="1">
      <c r="A53" s="237">
        <f t="shared" si="5"/>
        <v>42</v>
      </c>
      <c r="B53" s="179" t="s">
        <v>1936</v>
      </c>
      <c r="C53" s="8">
        <v>8.5500000000000007</v>
      </c>
      <c r="D53" s="8">
        <v>21.3</v>
      </c>
      <c r="E53"/>
      <c r="F53" s="186">
        <v>0.24</v>
      </c>
      <c r="G53" s="185" t="s">
        <v>877</v>
      </c>
      <c r="H53" s="179" t="s">
        <v>878</v>
      </c>
      <c r="I53" s="8">
        <f>(C67)</f>
        <v>3800</v>
      </c>
      <c r="J53" s="2" t="s">
        <v>877</v>
      </c>
      <c r="K53" s="8">
        <f>(F53*I53)</f>
        <v>912</v>
      </c>
      <c r="M53" s="186">
        <v>17.7</v>
      </c>
      <c r="N53" s="179" t="s">
        <v>884</v>
      </c>
      <c r="O53" s="179" t="s">
        <v>1937</v>
      </c>
      <c r="P53" s="186">
        <f>(C12)</f>
        <v>95</v>
      </c>
      <c r="Q53" s="179" t="s">
        <v>884</v>
      </c>
      <c r="R53" s="186">
        <f>(M53*P53)</f>
        <v>1681.5</v>
      </c>
      <c r="AG53" s="179" t="s">
        <v>2298</v>
      </c>
    </row>
    <row r="54" spans="1:33" hidden="1">
      <c r="A54" s="237">
        <f t="shared" si="5"/>
        <v>43</v>
      </c>
      <c r="B54" s="179" t="s">
        <v>324</v>
      </c>
      <c r="C54" s="8">
        <v>9.5500000000000007</v>
      </c>
      <c r="D54" s="8">
        <v>16</v>
      </c>
      <c r="E54"/>
      <c r="F54" s="186">
        <v>1</v>
      </c>
      <c r="G54" s="185" t="s">
        <v>885</v>
      </c>
      <c r="H54" s="179" t="s">
        <v>886</v>
      </c>
      <c r="I54" s="8" t="e">
        <f>(C78)</f>
        <v>#REF!</v>
      </c>
      <c r="J54" s="2" t="s">
        <v>885</v>
      </c>
      <c r="K54" s="8" t="e">
        <f>(F54*I54)</f>
        <v>#REF!</v>
      </c>
      <c r="M54" s="186">
        <v>14.1</v>
      </c>
      <c r="N54" s="179" t="s">
        <v>884</v>
      </c>
      <c r="O54" s="179" t="s">
        <v>325</v>
      </c>
      <c r="P54" s="186">
        <f>(C13)</f>
        <v>85</v>
      </c>
      <c r="Q54" s="179" t="s">
        <v>884</v>
      </c>
      <c r="R54" s="186">
        <f>(M54*P54)</f>
        <v>1198.5</v>
      </c>
      <c r="AG54" s="179" t="s">
        <v>326</v>
      </c>
    </row>
    <row r="55" spans="1:33" hidden="1">
      <c r="A55" s="237">
        <f t="shared" si="5"/>
        <v>44</v>
      </c>
      <c r="B55" s="179" t="s">
        <v>327</v>
      </c>
      <c r="C55" s="8">
        <v>10.65</v>
      </c>
      <c r="D55" s="8">
        <v>12.75</v>
      </c>
      <c r="E55"/>
      <c r="F55" s="186">
        <v>1</v>
      </c>
      <c r="G55" s="185" t="s">
        <v>885</v>
      </c>
      <c r="H55" s="179" t="s">
        <v>890</v>
      </c>
      <c r="I55" s="8">
        <f>(C18)</f>
        <v>26</v>
      </c>
      <c r="J55" s="2" t="s">
        <v>885</v>
      </c>
      <c r="K55" s="8">
        <f>(F55*I55)</f>
        <v>26</v>
      </c>
      <c r="N55" s="179" t="s">
        <v>455</v>
      </c>
      <c r="O55" s="179" t="s">
        <v>456</v>
      </c>
      <c r="Q55" s="179" t="s">
        <v>455</v>
      </c>
      <c r="R55" s="186">
        <v>0</v>
      </c>
    </row>
    <row r="56" spans="1:33" hidden="1">
      <c r="A56" s="237">
        <f t="shared" si="5"/>
        <v>45</v>
      </c>
      <c r="B56" s="179" t="s">
        <v>328</v>
      </c>
      <c r="C56" s="8">
        <v>12.1</v>
      </c>
      <c r="D56" s="1" t="s">
        <v>455</v>
      </c>
      <c r="E56"/>
      <c r="G56" s="185" t="s">
        <v>455</v>
      </c>
      <c r="H56" s="179" t="s">
        <v>456</v>
      </c>
      <c r="I56" s="1" t="s">
        <v>992</v>
      </c>
      <c r="J56" s="2" t="s">
        <v>455</v>
      </c>
      <c r="K56" s="8">
        <v>0</v>
      </c>
      <c r="R56" s="183" t="s">
        <v>1615</v>
      </c>
    </row>
    <row r="57" spans="1:33" hidden="1">
      <c r="A57" s="237">
        <f t="shared" si="5"/>
        <v>46</v>
      </c>
      <c r="B57" s="179" t="s">
        <v>625</v>
      </c>
      <c r="C57" s="8">
        <v>35</v>
      </c>
      <c r="D57" s="1" t="s">
        <v>455</v>
      </c>
      <c r="E57"/>
      <c r="I57"/>
      <c r="J57" s="4"/>
      <c r="K57" s="5" t="s">
        <v>1615</v>
      </c>
      <c r="O57" s="179" t="s">
        <v>626</v>
      </c>
      <c r="R57" s="186" t="e">
        <f>SUM(R50:R55)</f>
        <v>#REF!</v>
      </c>
      <c r="AG57" s="179" t="s">
        <v>2298</v>
      </c>
    </row>
    <row r="58" spans="1:33" hidden="1">
      <c r="A58" s="237">
        <f t="shared" si="5"/>
        <v>47</v>
      </c>
      <c r="B58" s="179" t="s">
        <v>627</v>
      </c>
      <c r="C58" s="8">
        <v>15</v>
      </c>
      <c r="D58" s="1" t="s">
        <v>455</v>
      </c>
      <c r="E58"/>
      <c r="H58" s="179" t="s">
        <v>1542</v>
      </c>
      <c r="I58"/>
      <c r="J58" s="4"/>
      <c r="K58" s="8" t="e">
        <f>SUM(K53:K56)</f>
        <v>#REF!</v>
      </c>
      <c r="R58" s="183" t="s">
        <v>1615</v>
      </c>
      <c r="AG58" s="179" t="s">
        <v>2298</v>
      </c>
    </row>
    <row r="59" spans="1:33" hidden="1">
      <c r="C59"/>
      <c r="D59"/>
      <c r="E59"/>
      <c r="F59" s="179" t="s">
        <v>992</v>
      </c>
      <c r="I59"/>
      <c r="J59" s="4"/>
      <c r="K59"/>
    </row>
    <row r="60" spans="1:33" hidden="1">
      <c r="A60" s="237">
        <f>(A58+1)</f>
        <v>48</v>
      </c>
      <c r="B60" s="179" t="s">
        <v>628</v>
      </c>
      <c r="C60" s="8">
        <v>6.55</v>
      </c>
      <c r="D60" s="1" t="s">
        <v>2114</v>
      </c>
      <c r="E60"/>
      <c r="I60"/>
      <c r="J60" s="4"/>
      <c r="K60" s="5" t="s">
        <v>1615</v>
      </c>
      <c r="O60" s="179" t="s">
        <v>789</v>
      </c>
      <c r="R60" s="186" t="e">
        <f>(R57/10)</f>
        <v>#REF!</v>
      </c>
      <c r="AG60" s="179" t="s">
        <v>2298</v>
      </c>
    </row>
    <row r="61" spans="1:33" hidden="1">
      <c r="A61" s="237">
        <f t="shared" ref="A61:A91" si="6">(A60+1)</f>
        <v>49</v>
      </c>
      <c r="B61" s="179" t="s">
        <v>2115</v>
      </c>
      <c r="C61" s="8">
        <f>AE29</f>
        <v>25</v>
      </c>
      <c r="D61" s="8">
        <f>AE36</f>
        <v>37.299999999999997</v>
      </c>
      <c r="E61"/>
      <c r="G61" s="185" t="s">
        <v>2290</v>
      </c>
      <c r="H61" s="179" t="s">
        <v>2116</v>
      </c>
      <c r="I61"/>
      <c r="J61" s="4"/>
      <c r="K61"/>
      <c r="R61" s="183" t="s">
        <v>2091</v>
      </c>
      <c r="AG61" s="179" t="s">
        <v>2298</v>
      </c>
    </row>
    <row r="62" spans="1:33" hidden="1">
      <c r="A62" s="237">
        <f t="shared" si="6"/>
        <v>50</v>
      </c>
      <c r="B62" s="179" t="s">
        <v>2117</v>
      </c>
      <c r="C62" s="8">
        <v>85.5</v>
      </c>
      <c r="D62" s="1" t="s">
        <v>884</v>
      </c>
      <c r="E62"/>
      <c r="H62" s="183" t="s">
        <v>1615</v>
      </c>
      <c r="I62"/>
      <c r="J62" s="4"/>
      <c r="K62"/>
      <c r="N62" s="179" t="s">
        <v>2290</v>
      </c>
      <c r="O62" s="179" t="s">
        <v>1381</v>
      </c>
      <c r="AG62" s="179" t="s">
        <v>2298</v>
      </c>
    </row>
    <row r="63" spans="1:33" hidden="1">
      <c r="A63" s="237">
        <f t="shared" si="6"/>
        <v>51</v>
      </c>
      <c r="B63" s="179" t="s">
        <v>2081</v>
      </c>
      <c r="C63" s="8">
        <v>42</v>
      </c>
      <c r="D63" s="1" t="s">
        <v>455</v>
      </c>
      <c r="E63"/>
      <c r="F63" s="242">
        <v>0.20599999999999999</v>
      </c>
      <c r="G63" s="185" t="s">
        <v>877</v>
      </c>
      <c r="H63" s="179" t="s">
        <v>878</v>
      </c>
      <c r="I63" s="8">
        <f>(C67)</f>
        <v>3800</v>
      </c>
      <c r="J63" s="2" t="s">
        <v>877</v>
      </c>
      <c r="K63" s="8">
        <f>(F63*I63)</f>
        <v>782.8</v>
      </c>
      <c r="O63" s="179" t="s">
        <v>1513</v>
      </c>
      <c r="AG63" s="179" t="s">
        <v>2298</v>
      </c>
    </row>
    <row r="64" spans="1:33" hidden="1">
      <c r="A64" s="237">
        <f t="shared" si="6"/>
        <v>52</v>
      </c>
      <c r="B64" s="179" t="s">
        <v>1575</v>
      </c>
      <c r="C64" s="8">
        <v>62.5</v>
      </c>
      <c r="D64" s="1" t="s">
        <v>885</v>
      </c>
      <c r="E64"/>
      <c r="F64" s="186">
        <v>1</v>
      </c>
      <c r="G64" s="185" t="s">
        <v>885</v>
      </c>
      <c r="H64" s="179" t="s">
        <v>886</v>
      </c>
      <c r="I64" s="8" t="e">
        <f>(C78)</f>
        <v>#REF!</v>
      </c>
      <c r="J64" s="2" t="s">
        <v>885</v>
      </c>
      <c r="K64" s="8" t="e">
        <f>(F64*I64)</f>
        <v>#REF!</v>
      </c>
      <c r="O64" s="183" t="s">
        <v>1615</v>
      </c>
      <c r="AG64" s="179" t="s">
        <v>2298</v>
      </c>
    </row>
    <row r="65" spans="1:33" hidden="1">
      <c r="A65" s="237">
        <f t="shared" si="6"/>
        <v>53</v>
      </c>
      <c r="B65" s="179" t="s">
        <v>1382</v>
      </c>
      <c r="C65" s="8">
        <v>303</v>
      </c>
      <c r="D65" s="1" t="s">
        <v>1383</v>
      </c>
      <c r="E65"/>
      <c r="F65" s="186">
        <v>1</v>
      </c>
      <c r="G65" s="185" t="s">
        <v>885</v>
      </c>
      <c r="H65" s="179" t="s">
        <v>890</v>
      </c>
      <c r="I65" s="8">
        <f>(C18)</f>
        <v>26</v>
      </c>
      <c r="J65" s="2" t="s">
        <v>885</v>
      </c>
      <c r="K65" s="8">
        <f>(F65*I65)</f>
        <v>26</v>
      </c>
      <c r="M65" s="186">
        <v>9</v>
      </c>
      <c r="N65" s="179" t="s">
        <v>885</v>
      </c>
      <c r="O65" s="179" t="s">
        <v>1513</v>
      </c>
      <c r="P65" s="186" t="e">
        <f>(C73)</f>
        <v>#REF!</v>
      </c>
      <c r="Q65" s="179" t="s">
        <v>885</v>
      </c>
      <c r="R65" s="186" t="e">
        <f>(M65*P65)</f>
        <v>#REF!</v>
      </c>
      <c r="AG65" s="179" t="s">
        <v>2298</v>
      </c>
    </row>
    <row r="66" spans="1:33" hidden="1">
      <c r="A66" s="237">
        <f t="shared" si="6"/>
        <v>54</v>
      </c>
      <c r="B66" s="179" t="s">
        <v>1520</v>
      </c>
      <c r="C66" s="8">
        <f>AE18</f>
        <v>120</v>
      </c>
      <c r="D66" s="1" t="s">
        <v>884</v>
      </c>
      <c r="E66"/>
      <c r="G66" s="185" t="s">
        <v>455</v>
      </c>
      <c r="H66" s="179" t="s">
        <v>456</v>
      </c>
      <c r="I66" s="1" t="s">
        <v>992</v>
      </c>
      <c r="J66" s="2" t="s">
        <v>455</v>
      </c>
      <c r="K66" s="8">
        <v>0</v>
      </c>
      <c r="M66" s="186">
        <v>4.5</v>
      </c>
      <c r="N66" s="179" t="s">
        <v>885</v>
      </c>
      <c r="O66" s="179" t="s">
        <v>121</v>
      </c>
      <c r="P66" s="186" t="e">
        <f>(K23)</f>
        <v>#REF!</v>
      </c>
      <c r="Q66" s="179" t="s">
        <v>885</v>
      </c>
      <c r="R66" s="186" t="e">
        <f>(M66*P66)</f>
        <v>#REF!</v>
      </c>
      <c r="AG66" s="179" t="s">
        <v>2298</v>
      </c>
    </row>
    <row r="67" spans="1:33" hidden="1">
      <c r="A67" s="237">
        <f t="shared" si="6"/>
        <v>55</v>
      </c>
      <c r="B67" s="179" t="s">
        <v>878</v>
      </c>
      <c r="C67" s="8">
        <f>AC31</f>
        <v>3800</v>
      </c>
      <c r="D67" s="1" t="s">
        <v>877</v>
      </c>
      <c r="E67"/>
      <c r="I67"/>
      <c r="J67" s="4"/>
      <c r="K67" s="5" t="s">
        <v>1615</v>
      </c>
      <c r="M67" s="186">
        <v>1.8</v>
      </c>
      <c r="N67" s="179" t="s">
        <v>884</v>
      </c>
      <c r="O67" s="179" t="s">
        <v>1744</v>
      </c>
      <c r="P67" s="186">
        <f>(C11)</f>
        <v>135</v>
      </c>
      <c r="Q67" s="179" t="s">
        <v>884</v>
      </c>
      <c r="R67" s="186">
        <f>(M67*P67)</f>
        <v>243</v>
      </c>
      <c r="AG67" s="179" t="s">
        <v>2298</v>
      </c>
    </row>
    <row r="68" spans="1:33" hidden="1">
      <c r="A68" s="237">
        <f t="shared" si="6"/>
        <v>56</v>
      </c>
      <c r="B68" s="179" t="s">
        <v>1521</v>
      </c>
      <c r="C68" s="8" t="e">
        <f t="shared" ref="C68:C74" si="7">AC9</f>
        <v>#REF!</v>
      </c>
      <c r="D68" s="1" t="s">
        <v>885</v>
      </c>
      <c r="E68"/>
      <c r="H68" s="179" t="s">
        <v>1542</v>
      </c>
      <c r="I68"/>
      <c r="J68" s="4"/>
      <c r="K68" s="8" t="e">
        <f>SUM(K63:K66)</f>
        <v>#REF!</v>
      </c>
      <c r="M68" s="186">
        <v>17.7</v>
      </c>
      <c r="N68" s="179" t="s">
        <v>884</v>
      </c>
      <c r="O68" s="179" t="s">
        <v>1937</v>
      </c>
      <c r="P68" s="186">
        <f>(C12)</f>
        <v>95</v>
      </c>
      <c r="Q68" s="179" t="s">
        <v>884</v>
      </c>
      <c r="R68" s="186">
        <f>(M68*P68)</f>
        <v>1681.5</v>
      </c>
      <c r="AG68" s="179" t="s">
        <v>2298</v>
      </c>
    </row>
    <row r="69" spans="1:33" hidden="1">
      <c r="A69" s="237">
        <f t="shared" si="6"/>
        <v>57</v>
      </c>
      <c r="B69" s="179" t="s">
        <v>888</v>
      </c>
      <c r="C69" s="8" t="e">
        <f t="shared" si="7"/>
        <v>#REF!</v>
      </c>
      <c r="D69" s="1" t="s">
        <v>885</v>
      </c>
      <c r="E69"/>
      <c r="I69"/>
      <c r="J69" s="4"/>
      <c r="K69" s="5" t="s">
        <v>1615</v>
      </c>
      <c r="M69" s="186">
        <v>14.1</v>
      </c>
      <c r="N69" s="179" t="s">
        <v>884</v>
      </c>
      <c r="O69" s="179" t="s">
        <v>325</v>
      </c>
      <c r="P69" s="186">
        <f>(C13)</f>
        <v>85</v>
      </c>
      <c r="Q69" s="179" t="s">
        <v>884</v>
      </c>
      <c r="R69" s="186">
        <f>(M69*P69)</f>
        <v>1198.5</v>
      </c>
      <c r="AG69" s="179" t="s">
        <v>2298</v>
      </c>
    </row>
    <row r="70" spans="1:33" hidden="1">
      <c r="A70" s="237">
        <f t="shared" si="6"/>
        <v>58</v>
      </c>
      <c r="B70" s="179" t="s">
        <v>1522</v>
      </c>
      <c r="C70" s="8" t="e">
        <f t="shared" si="7"/>
        <v>#REF!</v>
      </c>
      <c r="D70" s="1" t="s">
        <v>885</v>
      </c>
      <c r="E70"/>
      <c r="G70" s="185" t="s">
        <v>2290</v>
      </c>
      <c r="H70" s="179" t="s">
        <v>1663</v>
      </c>
      <c r="I70"/>
      <c r="J70" s="4"/>
      <c r="K70"/>
      <c r="N70" s="179" t="s">
        <v>455</v>
      </c>
      <c r="O70" s="179" t="s">
        <v>456</v>
      </c>
      <c r="Q70" s="179" t="s">
        <v>455</v>
      </c>
      <c r="R70" s="186">
        <v>0</v>
      </c>
      <c r="AG70" s="179" t="s">
        <v>2298</v>
      </c>
    </row>
    <row r="71" spans="1:33" hidden="1">
      <c r="A71" s="237">
        <f t="shared" si="6"/>
        <v>59</v>
      </c>
      <c r="B71" s="179" t="s">
        <v>1523</v>
      </c>
      <c r="C71" s="8" t="e">
        <f t="shared" si="7"/>
        <v>#REF!</v>
      </c>
      <c r="D71" s="1" t="s">
        <v>885</v>
      </c>
      <c r="E71"/>
      <c r="H71" s="183" t="s">
        <v>1615</v>
      </c>
      <c r="I71"/>
      <c r="J71" s="4"/>
      <c r="K71"/>
      <c r="R71" s="183" t="s">
        <v>1615</v>
      </c>
      <c r="AG71" s="179" t="s">
        <v>2298</v>
      </c>
    </row>
    <row r="72" spans="1:33" hidden="1">
      <c r="A72" s="237">
        <f t="shared" si="6"/>
        <v>60</v>
      </c>
      <c r="B72" s="179" t="s">
        <v>1524</v>
      </c>
      <c r="C72" s="8" t="e">
        <f t="shared" si="7"/>
        <v>#REF!</v>
      </c>
      <c r="D72" s="1" t="s">
        <v>885</v>
      </c>
      <c r="E72"/>
      <c r="F72" s="186">
        <v>0.18</v>
      </c>
      <c r="G72" s="185" t="s">
        <v>877</v>
      </c>
      <c r="H72" s="179" t="s">
        <v>878</v>
      </c>
      <c r="I72" s="8">
        <f>(C67)</f>
        <v>3800</v>
      </c>
      <c r="J72" s="2" t="s">
        <v>877</v>
      </c>
      <c r="K72" s="8">
        <f>(F72*I72)</f>
        <v>684</v>
      </c>
      <c r="O72" s="179" t="s">
        <v>626</v>
      </c>
      <c r="R72" s="186" t="e">
        <f>SUM(R65:R70)</f>
        <v>#REF!</v>
      </c>
      <c r="AG72" s="179" t="s">
        <v>2298</v>
      </c>
    </row>
    <row r="73" spans="1:33" hidden="1">
      <c r="A73" s="237">
        <f t="shared" si="6"/>
        <v>61</v>
      </c>
      <c r="B73" s="179" t="s">
        <v>667</v>
      </c>
      <c r="C73" s="8" t="e">
        <f t="shared" si="7"/>
        <v>#REF!</v>
      </c>
      <c r="D73" s="1" t="s">
        <v>885</v>
      </c>
      <c r="E73"/>
      <c r="F73" s="186">
        <v>1</v>
      </c>
      <c r="G73" s="185" t="s">
        <v>885</v>
      </c>
      <c r="H73" s="179" t="s">
        <v>886</v>
      </c>
      <c r="I73" s="8" t="e">
        <f>(C78)</f>
        <v>#REF!</v>
      </c>
      <c r="J73" s="2" t="s">
        <v>885</v>
      </c>
      <c r="K73" s="8" t="e">
        <f>(F73*I73)</f>
        <v>#REF!</v>
      </c>
      <c r="R73" s="183" t="s">
        <v>1615</v>
      </c>
      <c r="AG73" s="179" t="s">
        <v>2298</v>
      </c>
    </row>
    <row r="74" spans="1:33" hidden="1">
      <c r="A74" s="237">
        <f t="shared" si="6"/>
        <v>62</v>
      </c>
      <c r="B74" s="179" t="s">
        <v>971</v>
      </c>
      <c r="C74" s="8" t="e">
        <f t="shared" si="7"/>
        <v>#REF!</v>
      </c>
      <c r="D74" s="1" t="s">
        <v>885</v>
      </c>
      <c r="E74"/>
      <c r="F74" s="186">
        <v>1</v>
      </c>
      <c r="G74" s="185" t="s">
        <v>885</v>
      </c>
      <c r="H74" s="179" t="s">
        <v>890</v>
      </c>
      <c r="I74" s="8">
        <f>(C18)</f>
        <v>26</v>
      </c>
      <c r="J74" s="2" t="s">
        <v>885</v>
      </c>
      <c r="K74" s="8">
        <f>(F74*I74)</f>
        <v>26</v>
      </c>
      <c r="O74" s="179" t="s">
        <v>789</v>
      </c>
      <c r="R74" s="186" t="e">
        <f>(R72/10)</f>
        <v>#REF!</v>
      </c>
      <c r="AG74" s="179" t="s">
        <v>2298</v>
      </c>
    </row>
    <row r="75" spans="1:33" hidden="1">
      <c r="A75" s="237">
        <f t="shared" si="6"/>
        <v>63</v>
      </c>
      <c r="B75" s="179" t="s">
        <v>972</v>
      </c>
      <c r="C75" s="8">
        <v>20</v>
      </c>
      <c r="D75" s="1" t="s">
        <v>2290</v>
      </c>
      <c r="E75"/>
      <c r="G75" s="185" t="s">
        <v>455</v>
      </c>
      <c r="H75" s="179" t="s">
        <v>456</v>
      </c>
      <c r="I75" s="1" t="s">
        <v>992</v>
      </c>
      <c r="J75" s="2" t="s">
        <v>455</v>
      </c>
      <c r="K75" s="8">
        <v>0</v>
      </c>
      <c r="R75" s="183" t="s">
        <v>2091</v>
      </c>
      <c r="AG75" s="179" t="s">
        <v>2298</v>
      </c>
    </row>
    <row r="76" spans="1:33" hidden="1">
      <c r="A76" s="237">
        <f t="shared" si="6"/>
        <v>64</v>
      </c>
      <c r="B76" s="179" t="s">
        <v>973</v>
      </c>
      <c r="C76" s="8">
        <v>514.62</v>
      </c>
      <c r="D76" s="8">
        <v>240</v>
      </c>
      <c r="E76"/>
      <c r="I76"/>
      <c r="J76" s="4"/>
      <c r="K76" s="5" t="s">
        <v>1615</v>
      </c>
      <c r="N76" s="179" t="s">
        <v>2290</v>
      </c>
      <c r="O76" s="179" t="s">
        <v>974</v>
      </c>
      <c r="AG76" s="179" t="s">
        <v>2298</v>
      </c>
    </row>
    <row r="77" spans="1:33" hidden="1">
      <c r="A77" s="237">
        <f t="shared" si="6"/>
        <v>65</v>
      </c>
      <c r="B77" s="179" t="s">
        <v>2352</v>
      </c>
      <c r="C77" s="8" t="e">
        <f>AC34</f>
        <v>#REF!</v>
      </c>
      <c r="D77" s="1" t="s">
        <v>885</v>
      </c>
      <c r="E77"/>
      <c r="H77" s="179" t="s">
        <v>1542</v>
      </c>
      <c r="I77"/>
      <c r="J77" s="4"/>
      <c r="K77" s="8" t="e">
        <f>SUM(K72:K75)</f>
        <v>#REF!</v>
      </c>
      <c r="O77" s="179" t="s">
        <v>1133</v>
      </c>
      <c r="AG77" s="179" t="s">
        <v>2298</v>
      </c>
    </row>
    <row r="78" spans="1:33" hidden="1">
      <c r="A78" s="237">
        <f t="shared" si="6"/>
        <v>66</v>
      </c>
      <c r="B78" s="179" t="s">
        <v>1448</v>
      </c>
      <c r="C78" s="8" t="e">
        <f t="shared" ref="C78:C91" si="8">AC16</f>
        <v>#REF!</v>
      </c>
      <c r="D78" s="1" t="s">
        <v>885</v>
      </c>
      <c r="E78"/>
      <c r="I78"/>
      <c r="J78" s="4"/>
      <c r="K78" s="5" t="s">
        <v>1615</v>
      </c>
      <c r="O78" s="183" t="s">
        <v>1615</v>
      </c>
      <c r="AG78" s="179" t="s">
        <v>2298</v>
      </c>
    </row>
    <row r="79" spans="1:33" hidden="1">
      <c r="A79" s="237">
        <f t="shared" si="6"/>
        <v>67</v>
      </c>
      <c r="B79" s="179" t="s">
        <v>1055</v>
      </c>
      <c r="C79" s="8" t="e">
        <f t="shared" si="8"/>
        <v>#REF!</v>
      </c>
      <c r="D79" s="1" t="s">
        <v>885</v>
      </c>
      <c r="E79"/>
      <c r="F79" s="243">
        <v>1.1000000000000001</v>
      </c>
      <c r="G79" s="185" t="s">
        <v>992</v>
      </c>
      <c r="H79" s="179" t="s">
        <v>1449</v>
      </c>
      <c r="I79"/>
      <c r="J79" s="4"/>
      <c r="K79"/>
      <c r="M79" s="186">
        <v>4600</v>
      </c>
      <c r="N79" s="179" t="s">
        <v>1450</v>
      </c>
      <c r="O79" s="179" t="s">
        <v>1133</v>
      </c>
      <c r="P79" s="186" t="e">
        <f>(C91)</f>
        <v>#REF!</v>
      </c>
      <c r="Q79" s="179" t="s">
        <v>1623</v>
      </c>
      <c r="R79" s="186" t="e">
        <f>(M79*P79)/1000</f>
        <v>#REF!</v>
      </c>
      <c r="AG79" s="179" t="s">
        <v>2298</v>
      </c>
    </row>
    <row r="80" spans="1:33" hidden="1">
      <c r="A80" s="237">
        <f t="shared" si="6"/>
        <v>68</v>
      </c>
      <c r="B80" s="179" t="s">
        <v>1506</v>
      </c>
      <c r="C80" s="8" t="e">
        <f t="shared" si="8"/>
        <v>#REF!</v>
      </c>
      <c r="D80" s="1" t="s">
        <v>1507</v>
      </c>
      <c r="E80"/>
      <c r="F80" s="244" t="s">
        <v>992</v>
      </c>
      <c r="H80" s="179" t="s">
        <v>1508</v>
      </c>
      <c r="I80"/>
      <c r="J80" s="4"/>
      <c r="K80"/>
      <c r="M80" s="186">
        <v>2.5</v>
      </c>
      <c r="N80" s="179" t="s">
        <v>885</v>
      </c>
      <c r="O80" s="179" t="s">
        <v>1656</v>
      </c>
      <c r="P80" s="186" t="e">
        <f>(K49)</f>
        <v>#REF!</v>
      </c>
      <c r="Q80" s="179" t="s">
        <v>885</v>
      </c>
      <c r="R80" s="186" t="e">
        <f>(M80*P80)</f>
        <v>#REF!</v>
      </c>
      <c r="AG80" s="179" t="s">
        <v>2298</v>
      </c>
    </row>
    <row r="81" spans="1:33" hidden="1">
      <c r="A81" s="237">
        <f t="shared" si="6"/>
        <v>69</v>
      </c>
      <c r="B81" s="179" t="s">
        <v>67</v>
      </c>
      <c r="C81" s="8" t="e">
        <f t="shared" si="8"/>
        <v>#REF!</v>
      </c>
      <c r="D81" s="1" t="s">
        <v>885</v>
      </c>
      <c r="E81"/>
      <c r="F81" s="186">
        <v>10</v>
      </c>
      <c r="G81" s="185" t="s">
        <v>885</v>
      </c>
      <c r="H81" s="179" t="s">
        <v>1199</v>
      </c>
      <c r="I81" s="8">
        <f>(C61)</f>
        <v>25</v>
      </c>
      <c r="J81" s="2" t="s">
        <v>885</v>
      </c>
      <c r="K81" s="8">
        <f>(F81*I81)</f>
        <v>250</v>
      </c>
      <c r="M81" s="186">
        <v>3.5</v>
      </c>
      <c r="N81" s="179" t="s">
        <v>884</v>
      </c>
      <c r="O81" s="179" t="s">
        <v>2045</v>
      </c>
      <c r="P81" s="186">
        <f>(C10)</f>
        <v>150</v>
      </c>
      <c r="Q81" s="179" t="s">
        <v>884</v>
      </c>
      <c r="R81" s="186">
        <f>(M81*P81)</f>
        <v>525</v>
      </c>
      <c r="AG81" s="179" t="s">
        <v>2298</v>
      </c>
    </row>
    <row r="82" spans="1:33" hidden="1">
      <c r="A82" s="237">
        <f t="shared" si="6"/>
        <v>70</v>
      </c>
      <c r="B82" s="179" t="s">
        <v>2046</v>
      </c>
      <c r="C82" s="8" t="e">
        <f t="shared" si="8"/>
        <v>#REF!</v>
      </c>
      <c r="D82" s="1" t="s">
        <v>885</v>
      </c>
      <c r="E82"/>
      <c r="F82" s="186">
        <v>10</v>
      </c>
      <c r="G82" s="185" t="s">
        <v>885</v>
      </c>
      <c r="H82" s="179" t="s">
        <v>2047</v>
      </c>
      <c r="I82" s="8">
        <f>(C61)</f>
        <v>25</v>
      </c>
      <c r="J82" s="2" t="s">
        <v>885</v>
      </c>
      <c r="K82" s="8">
        <f>(F82*I82)</f>
        <v>250</v>
      </c>
      <c r="M82" s="186">
        <v>10.6</v>
      </c>
      <c r="N82" s="179" t="s">
        <v>884</v>
      </c>
      <c r="O82" s="179" t="s">
        <v>1744</v>
      </c>
      <c r="P82" s="186">
        <f>(C11)</f>
        <v>135</v>
      </c>
      <c r="Q82" s="179" t="s">
        <v>884</v>
      </c>
      <c r="R82" s="186">
        <f>(M82*P82)</f>
        <v>1431</v>
      </c>
      <c r="AG82" s="179" t="s">
        <v>2298</v>
      </c>
    </row>
    <row r="83" spans="1:33" hidden="1">
      <c r="A83" s="237">
        <f t="shared" si="6"/>
        <v>71</v>
      </c>
      <c r="B83" s="179" t="s">
        <v>2048</v>
      </c>
      <c r="C83" s="8">
        <f t="shared" si="8"/>
        <v>4500</v>
      </c>
      <c r="D83" s="1" t="s">
        <v>1507</v>
      </c>
      <c r="E83">
        <v>3550</v>
      </c>
      <c r="F83" s="186">
        <v>10</v>
      </c>
      <c r="G83" s="185" t="s">
        <v>885</v>
      </c>
      <c r="H83" s="179" t="s">
        <v>2049</v>
      </c>
      <c r="I83" s="8">
        <f>(C26)/3</f>
        <v>2.93</v>
      </c>
      <c r="J83" s="2" t="s">
        <v>885</v>
      </c>
      <c r="K83" s="8">
        <f>(F83*I83)</f>
        <v>29.3</v>
      </c>
      <c r="M83" s="186">
        <v>7.1</v>
      </c>
      <c r="N83" s="179" t="s">
        <v>884</v>
      </c>
      <c r="O83" s="179" t="s">
        <v>1937</v>
      </c>
      <c r="P83" s="186">
        <f>(C12)</f>
        <v>95</v>
      </c>
      <c r="Q83" s="179" t="s">
        <v>884</v>
      </c>
      <c r="R83" s="186">
        <f>(M83*P83)</f>
        <v>674.5</v>
      </c>
      <c r="AG83" s="179" t="s">
        <v>2298</v>
      </c>
    </row>
    <row r="84" spans="1:33" hidden="1">
      <c r="A84" s="237">
        <f t="shared" si="6"/>
        <v>72</v>
      </c>
      <c r="B84" s="179" t="s">
        <v>2050</v>
      </c>
      <c r="C84" s="8">
        <f t="shared" si="8"/>
        <v>773</v>
      </c>
      <c r="D84" s="1" t="s">
        <v>885</v>
      </c>
      <c r="E84"/>
      <c r="G84" s="185" t="s">
        <v>455</v>
      </c>
      <c r="H84" s="179" t="s">
        <v>456</v>
      </c>
      <c r="I84"/>
      <c r="J84" s="2" t="s">
        <v>455</v>
      </c>
      <c r="K84" s="8">
        <v>0</v>
      </c>
      <c r="M84" s="186">
        <v>21.2</v>
      </c>
      <c r="N84" s="179" t="s">
        <v>884</v>
      </c>
      <c r="O84" s="179" t="s">
        <v>325</v>
      </c>
      <c r="P84" s="186">
        <f>(C13)</f>
        <v>85</v>
      </c>
      <c r="Q84" s="179" t="s">
        <v>884</v>
      </c>
      <c r="R84" s="186">
        <f>(M84*P84)</f>
        <v>1802</v>
      </c>
      <c r="AG84" s="179" t="s">
        <v>2298</v>
      </c>
    </row>
    <row r="85" spans="1:33" hidden="1">
      <c r="A85" s="237">
        <f t="shared" si="6"/>
        <v>73</v>
      </c>
      <c r="B85" s="179" t="s">
        <v>2040</v>
      </c>
      <c r="C85" s="8" t="e">
        <f t="shared" si="8"/>
        <v>#REF!</v>
      </c>
      <c r="D85" s="1" t="s">
        <v>885</v>
      </c>
      <c r="E85"/>
      <c r="I85"/>
      <c r="J85" s="4"/>
      <c r="K85" s="5" t="s">
        <v>1615</v>
      </c>
      <c r="N85" s="179" t="s">
        <v>455</v>
      </c>
      <c r="O85" s="179" t="s">
        <v>456</v>
      </c>
      <c r="Q85" s="179" t="s">
        <v>455</v>
      </c>
      <c r="R85" s="186">
        <v>0</v>
      </c>
      <c r="AG85" s="179" t="s">
        <v>2298</v>
      </c>
    </row>
    <row r="86" spans="1:33" hidden="1">
      <c r="A86" s="237">
        <f t="shared" si="6"/>
        <v>74</v>
      </c>
      <c r="B86" s="179" t="s">
        <v>2051</v>
      </c>
      <c r="C86" s="8">
        <f t="shared" si="8"/>
        <v>20605</v>
      </c>
      <c r="D86" s="1" t="s">
        <v>885</v>
      </c>
      <c r="E86"/>
      <c r="H86" s="179" t="s">
        <v>626</v>
      </c>
      <c r="I86"/>
      <c r="J86" s="4"/>
      <c r="K86" s="8">
        <f>SUM(K81:K84)</f>
        <v>529.29999999999995</v>
      </c>
      <c r="R86" s="183" t="s">
        <v>1615</v>
      </c>
      <c r="AG86" s="179" t="s">
        <v>2298</v>
      </c>
    </row>
    <row r="87" spans="1:33" hidden="1">
      <c r="A87" s="237">
        <f t="shared" si="6"/>
        <v>75</v>
      </c>
      <c r="B87" s="179" t="s">
        <v>2052</v>
      </c>
      <c r="C87" s="8">
        <f t="shared" si="8"/>
        <v>23685</v>
      </c>
      <c r="D87" s="1" t="s">
        <v>885</v>
      </c>
      <c r="E87"/>
      <c r="I87"/>
      <c r="J87" s="4"/>
      <c r="K87" s="5" t="s">
        <v>1615</v>
      </c>
      <c r="O87" s="179" t="s">
        <v>626</v>
      </c>
      <c r="R87" s="186" t="e">
        <f>SUM(R79:R85)</f>
        <v>#REF!</v>
      </c>
      <c r="AG87" s="179" t="s">
        <v>2298</v>
      </c>
    </row>
    <row r="88" spans="1:33" hidden="1">
      <c r="A88" s="237">
        <f t="shared" si="6"/>
        <v>76</v>
      </c>
      <c r="B88" s="179" t="s">
        <v>2053</v>
      </c>
      <c r="C88" s="8">
        <f t="shared" si="8"/>
        <v>65420</v>
      </c>
      <c r="D88" s="1" t="s">
        <v>885</v>
      </c>
      <c r="E88"/>
      <c r="H88" s="245" t="s">
        <v>2085</v>
      </c>
      <c r="I88" s="36" t="s">
        <v>1424</v>
      </c>
      <c r="J88" s="39"/>
      <c r="K88" s="38">
        <f>(K86/10)</f>
        <v>52.93</v>
      </c>
      <c r="R88" s="183" t="s">
        <v>1615</v>
      </c>
      <c r="AG88" s="179" t="s">
        <v>2298</v>
      </c>
    </row>
    <row r="89" spans="1:33" hidden="1">
      <c r="A89" s="237">
        <f t="shared" si="6"/>
        <v>77</v>
      </c>
      <c r="B89" s="179" t="s">
        <v>299</v>
      </c>
      <c r="C89" s="8">
        <f t="shared" si="8"/>
        <v>57165</v>
      </c>
      <c r="D89" s="1" t="s">
        <v>885</v>
      </c>
      <c r="E89"/>
      <c r="I89" s="36" t="s">
        <v>1386</v>
      </c>
      <c r="J89" s="39"/>
      <c r="K89" s="41">
        <f>ROUND(K88+C36,2)</f>
        <v>55.53</v>
      </c>
      <c r="O89" s="179" t="s">
        <v>789</v>
      </c>
      <c r="R89" s="186" t="e">
        <f>(R87/10)</f>
        <v>#REF!</v>
      </c>
      <c r="AG89" s="179" t="s">
        <v>2298</v>
      </c>
    </row>
    <row r="90" spans="1:33" ht="31.5" hidden="1">
      <c r="A90" s="237">
        <f t="shared" si="6"/>
        <v>78</v>
      </c>
      <c r="B90" s="179" t="s">
        <v>2353</v>
      </c>
      <c r="C90" s="8">
        <f t="shared" si="8"/>
        <v>63870</v>
      </c>
      <c r="D90" s="1" t="s">
        <v>885</v>
      </c>
      <c r="E90"/>
      <c r="F90" s="239" t="s">
        <v>1554</v>
      </c>
      <c r="H90" s="246" t="s">
        <v>1977</v>
      </c>
      <c r="I90" s="36" t="s">
        <v>1424</v>
      </c>
      <c r="J90" s="39"/>
      <c r="K90" s="38">
        <f>K88-K83/10</f>
        <v>50</v>
      </c>
      <c r="R90" s="183" t="s">
        <v>2091</v>
      </c>
      <c r="AG90" s="179" t="s">
        <v>2298</v>
      </c>
    </row>
    <row r="91" spans="1:33" hidden="1">
      <c r="A91" s="237">
        <f t="shared" si="6"/>
        <v>79</v>
      </c>
      <c r="B91" s="179" t="s">
        <v>2354</v>
      </c>
      <c r="C91" s="8" t="e">
        <f t="shared" si="8"/>
        <v>#REF!</v>
      </c>
      <c r="D91" s="1" t="s">
        <v>1507</v>
      </c>
      <c r="E91"/>
      <c r="I91" s="36" t="s">
        <v>1386</v>
      </c>
      <c r="J91" s="39"/>
      <c r="K91" s="41">
        <f>ROUND(K90+C36,2)</f>
        <v>52.6</v>
      </c>
      <c r="AG91" s="179" t="s">
        <v>2298</v>
      </c>
    </row>
    <row r="92" spans="1:33" hidden="1">
      <c r="C92"/>
      <c r="D92"/>
      <c r="E92"/>
      <c r="F92" s="239" t="s">
        <v>2132</v>
      </c>
      <c r="G92" s="185" t="s">
        <v>992</v>
      </c>
      <c r="H92" s="179" t="s">
        <v>516</v>
      </c>
      <c r="I92"/>
      <c r="J92" s="4"/>
      <c r="K92"/>
    </row>
    <row r="93" spans="1:33" hidden="1">
      <c r="C93"/>
      <c r="D93"/>
      <c r="E93"/>
      <c r="F93" s="244" t="s">
        <v>992</v>
      </c>
      <c r="H93" s="183" t="s">
        <v>1615</v>
      </c>
      <c r="I93"/>
      <c r="J93" s="4"/>
      <c r="K93"/>
    </row>
    <row r="94" spans="1:33" hidden="1">
      <c r="C94"/>
      <c r="D94"/>
      <c r="E94"/>
      <c r="F94" s="186">
        <v>10</v>
      </c>
      <c r="G94" s="185" t="s">
        <v>885</v>
      </c>
      <c r="H94" s="179" t="s">
        <v>386</v>
      </c>
      <c r="I94" s="8">
        <f>D61</f>
        <v>37.299999999999997</v>
      </c>
      <c r="J94" s="2" t="s">
        <v>885</v>
      </c>
      <c r="K94" s="8">
        <f>(F94*I94)</f>
        <v>373</v>
      </c>
    </row>
    <row r="95" spans="1:33" hidden="1">
      <c r="C95"/>
      <c r="D95"/>
      <c r="E95"/>
      <c r="F95" s="186">
        <v>10</v>
      </c>
      <c r="G95" s="185" t="s">
        <v>885</v>
      </c>
      <c r="H95" s="179" t="s">
        <v>2047</v>
      </c>
      <c r="I95" s="8">
        <f>D61</f>
        <v>37.299999999999997</v>
      </c>
      <c r="J95" s="2" t="s">
        <v>885</v>
      </c>
      <c r="K95" s="8">
        <f>(F95*I95)</f>
        <v>373</v>
      </c>
    </row>
    <row r="96" spans="1:33" hidden="1">
      <c r="C96"/>
      <c r="D96"/>
      <c r="E96"/>
      <c r="F96" s="186">
        <v>10</v>
      </c>
      <c r="G96" s="185" t="s">
        <v>885</v>
      </c>
      <c r="H96" s="179" t="s">
        <v>2049</v>
      </c>
      <c r="I96" s="8">
        <f>I83</f>
        <v>2.93</v>
      </c>
      <c r="J96" s="2" t="s">
        <v>885</v>
      </c>
      <c r="K96" s="8">
        <f>(F96*I96)</f>
        <v>29.3</v>
      </c>
    </row>
    <row r="97" spans="3:11" hidden="1">
      <c r="C97"/>
      <c r="D97"/>
      <c r="E97"/>
      <c r="G97" s="185" t="s">
        <v>455</v>
      </c>
      <c r="H97" s="179" t="s">
        <v>456</v>
      </c>
      <c r="I97"/>
      <c r="J97" s="2" t="s">
        <v>455</v>
      </c>
      <c r="K97" s="8">
        <v>0</v>
      </c>
    </row>
    <row r="98" spans="3:11" hidden="1">
      <c r="C98"/>
      <c r="D98"/>
      <c r="E98"/>
      <c r="I98"/>
      <c r="J98" s="4"/>
      <c r="K98" s="5" t="s">
        <v>1615</v>
      </c>
    </row>
    <row r="99" spans="3:11" hidden="1">
      <c r="C99"/>
      <c r="D99"/>
      <c r="E99"/>
      <c r="H99" s="179" t="s">
        <v>626</v>
      </c>
      <c r="I99"/>
      <c r="J99" s="4"/>
      <c r="K99" s="8">
        <f>SUM(K94:K97)</f>
        <v>775.3</v>
      </c>
    </row>
    <row r="100" spans="3:11" hidden="1">
      <c r="C100"/>
      <c r="D100"/>
      <c r="E100"/>
      <c r="I100"/>
      <c r="J100" s="4"/>
      <c r="K100" s="5" t="s">
        <v>1615</v>
      </c>
    </row>
    <row r="101" spans="3:11" hidden="1">
      <c r="C101"/>
      <c r="D101"/>
      <c r="E101"/>
      <c r="H101" s="245" t="s">
        <v>2085</v>
      </c>
      <c r="I101" s="36" t="s">
        <v>1424</v>
      </c>
      <c r="J101" s="39"/>
      <c r="K101" s="38">
        <f>(K99/10)</f>
        <v>77.53</v>
      </c>
    </row>
    <row r="102" spans="3:11" hidden="1">
      <c r="C102"/>
      <c r="D102"/>
      <c r="E102"/>
      <c r="I102" s="36" t="s">
        <v>1386</v>
      </c>
      <c r="J102" s="39"/>
      <c r="K102" s="41">
        <f>ROUND(K101+C36,2)</f>
        <v>80.13</v>
      </c>
    </row>
    <row r="103" spans="3:11" hidden="1">
      <c r="C103"/>
      <c r="D103"/>
      <c r="E103"/>
      <c r="I103" s="36"/>
      <c r="J103" s="39"/>
      <c r="K103" s="40"/>
    </row>
    <row r="104" spans="3:11" hidden="1">
      <c r="C104"/>
      <c r="D104"/>
      <c r="E104"/>
      <c r="F104" s="243">
        <v>1.7</v>
      </c>
      <c r="H104" s="246" t="s">
        <v>668</v>
      </c>
      <c r="I104" s="36" t="s">
        <v>1424</v>
      </c>
      <c r="J104" s="39"/>
      <c r="K104" s="41">
        <f>ROUND(K101-K96/10,2)</f>
        <v>74.599999999999994</v>
      </c>
    </row>
    <row r="105" spans="3:11" hidden="1">
      <c r="C105"/>
      <c r="D105"/>
      <c r="E105"/>
      <c r="I105" s="36" t="s">
        <v>1386</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3">
        <v>1.5</v>
      </c>
      <c r="G108" s="185" t="s">
        <v>992</v>
      </c>
      <c r="H108" s="247" t="s">
        <v>443</v>
      </c>
      <c r="I108"/>
      <c r="J108" s="4"/>
      <c r="K108"/>
    </row>
    <row r="109" spans="3:11" hidden="1">
      <c r="C109"/>
      <c r="D109"/>
      <c r="E109"/>
      <c r="I109"/>
      <c r="J109" s="4"/>
      <c r="K109"/>
    </row>
    <row r="110" spans="3:11" hidden="1">
      <c r="C110"/>
      <c r="D110"/>
      <c r="E110"/>
      <c r="F110" s="186">
        <v>10</v>
      </c>
      <c r="G110" s="185" t="s">
        <v>885</v>
      </c>
      <c r="H110" s="179" t="s">
        <v>1199</v>
      </c>
      <c r="I110" s="8">
        <f>C61</f>
        <v>25</v>
      </c>
      <c r="J110" s="2" t="s">
        <v>885</v>
      </c>
      <c r="K110" s="8">
        <f>(F110*I110)</f>
        <v>250</v>
      </c>
    </row>
    <row r="111" spans="3:11" hidden="1">
      <c r="C111"/>
      <c r="D111"/>
      <c r="E111"/>
      <c r="F111" s="186">
        <v>10</v>
      </c>
      <c r="G111" s="185" t="s">
        <v>885</v>
      </c>
      <c r="H111" s="179" t="s">
        <v>2049</v>
      </c>
      <c r="I111" s="8">
        <f>I83</f>
        <v>2.93</v>
      </c>
      <c r="J111" s="2" t="s">
        <v>885</v>
      </c>
      <c r="K111" s="8">
        <f>(F111*I111)</f>
        <v>29.3</v>
      </c>
    </row>
    <row r="112" spans="3:11" hidden="1">
      <c r="C112"/>
      <c r="D112"/>
      <c r="E112"/>
      <c r="G112" s="185" t="s">
        <v>455</v>
      </c>
      <c r="H112" s="179" t="s">
        <v>456</v>
      </c>
      <c r="I112"/>
      <c r="J112" s="2" t="s">
        <v>455</v>
      </c>
      <c r="K112" s="8">
        <v>0</v>
      </c>
    </row>
    <row r="113" spans="3:11" hidden="1">
      <c r="C113"/>
      <c r="D113"/>
      <c r="E113"/>
      <c r="I113"/>
      <c r="J113" s="4"/>
      <c r="K113" s="5" t="s">
        <v>1615</v>
      </c>
    </row>
    <row r="114" spans="3:11" hidden="1">
      <c r="C114"/>
      <c r="D114"/>
      <c r="E114"/>
      <c r="H114" s="179" t="s">
        <v>626</v>
      </c>
      <c r="I114"/>
      <c r="J114" s="4"/>
      <c r="K114" s="8">
        <f>SUM(K110:K112)</f>
        <v>279.3</v>
      </c>
    </row>
    <row r="115" spans="3:11" hidden="1">
      <c r="C115"/>
      <c r="D115"/>
      <c r="E115"/>
      <c r="I115"/>
      <c r="J115" s="4"/>
      <c r="K115" s="5" t="s">
        <v>1615</v>
      </c>
    </row>
    <row r="116" spans="3:11" hidden="1">
      <c r="C116"/>
      <c r="D116"/>
      <c r="E116"/>
      <c r="H116" s="179"/>
      <c r="I116"/>
      <c r="J116" s="4"/>
      <c r="K116" s="8">
        <f>(K114/10)</f>
        <v>27.93</v>
      </c>
    </row>
    <row r="117" spans="3:11" hidden="1">
      <c r="C117"/>
      <c r="D117"/>
      <c r="E117"/>
      <c r="I117"/>
      <c r="J117" s="4"/>
      <c r="K117" s="5" t="s">
        <v>2091</v>
      </c>
    </row>
    <row r="118" spans="3:11" hidden="1">
      <c r="C118"/>
      <c r="D118"/>
      <c r="E118"/>
      <c r="F118" s="239"/>
      <c r="H118" s="179" t="s">
        <v>2071</v>
      </c>
      <c r="I118" s="36" t="s">
        <v>1424</v>
      </c>
      <c r="J118" s="4"/>
      <c r="K118" s="38">
        <f>K116-K111/10</f>
        <v>25</v>
      </c>
    </row>
    <row r="119" spans="3:11" hidden="1">
      <c r="C119"/>
      <c r="D119"/>
      <c r="E119"/>
      <c r="I119" s="36" t="s">
        <v>1386</v>
      </c>
      <c r="J119" s="4"/>
      <c r="K119" s="41">
        <f>ROUND(K118+C36,2)</f>
        <v>27.6</v>
      </c>
    </row>
    <row r="120" spans="3:11" hidden="1">
      <c r="C120"/>
      <c r="D120"/>
      <c r="E120"/>
      <c r="I120"/>
      <c r="J120" s="4"/>
      <c r="K120" s="5"/>
    </row>
    <row r="121" spans="3:11" ht="31.5" hidden="1">
      <c r="C121"/>
      <c r="D121"/>
      <c r="E121"/>
      <c r="F121" s="248">
        <v>1.8</v>
      </c>
      <c r="H121" s="247" t="s">
        <v>2105</v>
      </c>
      <c r="I121"/>
      <c r="J121" s="4"/>
      <c r="K121" s="5"/>
    </row>
    <row r="122" spans="3:11" hidden="1">
      <c r="C122"/>
      <c r="D122"/>
      <c r="E122"/>
      <c r="I122"/>
      <c r="J122" s="4"/>
      <c r="K122" s="5"/>
    </row>
    <row r="123" spans="3:11" hidden="1">
      <c r="C123"/>
      <c r="D123"/>
      <c r="E123"/>
      <c r="F123" s="186">
        <v>10</v>
      </c>
      <c r="G123" s="185" t="s">
        <v>885</v>
      </c>
      <c r="H123" s="179" t="s">
        <v>386</v>
      </c>
      <c r="I123">
        <f>D61</f>
        <v>37.299999999999997</v>
      </c>
      <c r="J123" s="2" t="s">
        <v>885</v>
      </c>
      <c r="K123" s="8">
        <f>(F123*I123)</f>
        <v>373</v>
      </c>
    </row>
    <row r="124" spans="3:11" hidden="1">
      <c r="C124"/>
      <c r="D124"/>
      <c r="E124"/>
      <c r="G124" s="178" t="s">
        <v>669</v>
      </c>
      <c r="I124"/>
      <c r="J124" s="4" t="s">
        <v>669</v>
      </c>
      <c r="K124" s="8">
        <v>0</v>
      </c>
    </row>
    <row r="125" spans="3:11" hidden="1">
      <c r="C125"/>
      <c r="D125"/>
      <c r="E125"/>
      <c r="I125"/>
      <c r="J125" s="4"/>
      <c r="K125" s="5" t="s">
        <v>1615</v>
      </c>
    </row>
    <row r="126" spans="3:11" hidden="1">
      <c r="C126"/>
      <c r="D126"/>
      <c r="E126"/>
      <c r="H126" s="179" t="s">
        <v>626</v>
      </c>
      <c r="I126"/>
      <c r="J126" s="4"/>
      <c r="K126" s="8">
        <f>SUM(K123:K124)</f>
        <v>373</v>
      </c>
    </row>
    <row r="127" spans="3:11" hidden="1">
      <c r="C127"/>
      <c r="D127"/>
      <c r="E127"/>
      <c r="I127"/>
      <c r="J127" s="4"/>
      <c r="K127" s="5" t="s">
        <v>1615</v>
      </c>
    </row>
    <row r="128" spans="3:11" ht="31.5" hidden="1">
      <c r="C128"/>
      <c r="D128"/>
      <c r="E128"/>
      <c r="F128" s="249"/>
      <c r="H128" s="250" t="s">
        <v>2186</v>
      </c>
      <c r="I128" s="36" t="s">
        <v>1424</v>
      </c>
      <c r="J128" s="4"/>
      <c r="K128" s="41">
        <f>ROUND(K126/10,2)</f>
        <v>37.299999999999997</v>
      </c>
    </row>
    <row r="129" spans="1:33" hidden="1">
      <c r="C129"/>
      <c r="D129"/>
      <c r="E129"/>
      <c r="I129" s="36" t="s">
        <v>1386</v>
      </c>
      <c r="J129" s="4"/>
      <c r="K129" s="41">
        <f>ROUND(K128+C36,2)</f>
        <v>39.9</v>
      </c>
    </row>
    <row r="130" spans="1:33" hidden="1">
      <c r="C130"/>
      <c r="D130"/>
      <c r="E130"/>
      <c r="I130" s="36"/>
      <c r="J130" s="4"/>
      <c r="K130" s="5"/>
    </row>
    <row r="131" spans="1:33" hidden="1">
      <c r="C131"/>
      <c r="D131"/>
      <c r="E131"/>
      <c r="F131" s="243">
        <v>1.6</v>
      </c>
      <c r="H131" s="179" t="s">
        <v>812</v>
      </c>
      <c r="I131" s="36"/>
      <c r="J131" s="4"/>
      <c r="K131"/>
    </row>
    <row r="132" spans="1:33" hidden="1">
      <c r="C132"/>
      <c r="D132"/>
      <c r="E132"/>
      <c r="H132" s="179" t="s">
        <v>387</v>
      </c>
      <c r="I132" s="36" t="s">
        <v>1424</v>
      </c>
      <c r="J132" s="4"/>
      <c r="K132" s="38">
        <f>C61*1.5</f>
        <v>37.5</v>
      </c>
    </row>
    <row r="133" spans="1:33" hidden="1">
      <c r="C133"/>
      <c r="D133"/>
      <c r="E133"/>
      <c r="F133" s="179" t="s">
        <v>992</v>
      </c>
      <c r="H133" s="179" t="s">
        <v>388</v>
      </c>
      <c r="I133" s="36" t="s">
        <v>1386</v>
      </c>
      <c r="J133" s="4"/>
      <c r="K133" s="41">
        <f>ROUND(K132+C36,2)</f>
        <v>40.1</v>
      </c>
    </row>
    <row r="134" spans="1:33" hidden="1">
      <c r="C134"/>
      <c r="D134"/>
      <c r="E134"/>
      <c r="I134"/>
      <c r="J134" s="4"/>
      <c r="K134" s="5" t="s">
        <v>2091</v>
      </c>
    </row>
    <row r="135" spans="1:33" hidden="1">
      <c r="C135"/>
      <c r="D135"/>
      <c r="E135"/>
      <c r="I135"/>
      <c r="J135" s="4"/>
      <c r="K135"/>
    </row>
    <row r="136" spans="1:33" hidden="1">
      <c r="A136" s="237">
        <f>(A91+1)</f>
        <v>80</v>
      </c>
      <c r="B136" s="179" t="s">
        <v>1576</v>
      </c>
      <c r="C136" s="8">
        <f>AC30</f>
        <v>8240</v>
      </c>
      <c r="D136" s="8">
        <v>13.87</v>
      </c>
      <c r="E136" s="1" t="s">
        <v>992</v>
      </c>
      <c r="F136" s="233" t="s">
        <v>389</v>
      </c>
      <c r="G136" s="185" t="s">
        <v>2290</v>
      </c>
      <c r="H136" s="179" t="s">
        <v>390</v>
      </c>
      <c r="I136"/>
      <c r="J136" s="4"/>
      <c r="K136"/>
      <c r="N136" s="179" t="s">
        <v>2355</v>
      </c>
      <c r="O136" s="179" t="s">
        <v>391</v>
      </c>
      <c r="R136" s="186" t="e">
        <f>(R89+C19)</f>
        <v>#REF!</v>
      </c>
      <c r="AG136" s="179" t="s">
        <v>2298</v>
      </c>
    </row>
    <row r="137" spans="1:33" hidden="1">
      <c r="A137" s="237">
        <f t="shared" ref="A137:A142" si="9">(A136+1)</f>
        <v>81</v>
      </c>
      <c r="B137" s="179" t="s">
        <v>392</v>
      </c>
      <c r="C137" s="8">
        <f>AC33</f>
        <v>26500</v>
      </c>
      <c r="D137" s="1" t="s">
        <v>877</v>
      </c>
      <c r="E137"/>
      <c r="H137" s="179" t="s">
        <v>1046</v>
      </c>
      <c r="I137"/>
      <c r="J137" s="4"/>
      <c r="K137"/>
      <c r="N137" s="179" t="s">
        <v>2356</v>
      </c>
      <c r="O137" s="179" t="s">
        <v>393</v>
      </c>
      <c r="R137" s="186" t="e">
        <f>(R136+C20)</f>
        <v>#REF!</v>
      </c>
      <c r="AG137" s="179" t="s">
        <v>2298</v>
      </c>
    </row>
    <row r="138" spans="1:33" hidden="1">
      <c r="A138" s="237">
        <f t="shared" si="9"/>
        <v>82</v>
      </c>
      <c r="B138" s="179" t="s">
        <v>1836</v>
      </c>
      <c r="C138" s="8">
        <f>AC32</f>
        <v>28000</v>
      </c>
      <c r="D138" s="1" t="s">
        <v>877</v>
      </c>
      <c r="E138"/>
      <c r="H138" s="183" t="s">
        <v>1615</v>
      </c>
      <c r="I138"/>
      <c r="J138" s="4"/>
      <c r="K138"/>
      <c r="N138" s="179" t="s">
        <v>2357</v>
      </c>
      <c r="O138" s="179" t="s">
        <v>2271</v>
      </c>
      <c r="R138" s="186" t="e">
        <f>(R137+C21)</f>
        <v>#REF!</v>
      </c>
      <c r="AG138" s="179" t="s">
        <v>2298</v>
      </c>
    </row>
    <row r="139" spans="1:33" hidden="1">
      <c r="A139" s="237">
        <f t="shared" si="9"/>
        <v>83</v>
      </c>
      <c r="B139" s="179" t="s">
        <v>383</v>
      </c>
      <c r="C139" s="8">
        <f>AC33</f>
        <v>26500</v>
      </c>
      <c r="D139" s="1" t="s">
        <v>877</v>
      </c>
      <c r="E139"/>
      <c r="F139" s="186">
        <v>1</v>
      </c>
      <c r="G139" s="185" t="s">
        <v>885</v>
      </c>
      <c r="H139" s="179" t="s">
        <v>384</v>
      </c>
      <c r="I139" s="8" t="e">
        <f>C79</f>
        <v>#REF!</v>
      </c>
      <c r="J139" s="2" t="s">
        <v>885</v>
      </c>
      <c r="K139" s="8" t="e">
        <f>(F139*I139)</f>
        <v>#REF!</v>
      </c>
      <c r="N139" s="179" t="s">
        <v>2358</v>
      </c>
      <c r="O139" s="179" t="s">
        <v>385</v>
      </c>
      <c r="R139" s="186" t="e">
        <f>(R138+C21)</f>
        <v>#REF!</v>
      </c>
      <c r="AG139" s="179" t="s">
        <v>2298</v>
      </c>
    </row>
    <row r="140" spans="1:33" hidden="1">
      <c r="A140" s="237">
        <f t="shared" si="9"/>
        <v>84</v>
      </c>
      <c r="B140" s="179" t="s">
        <v>1574</v>
      </c>
      <c r="C140" s="8">
        <f>AC38</f>
        <v>169</v>
      </c>
      <c r="D140" s="1" t="s">
        <v>885</v>
      </c>
      <c r="E140"/>
      <c r="F140" s="186">
        <v>1</v>
      </c>
      <c r="G140" s="185" t="s">
        <v>885</v>
      </c>
      <c r="H140" s="179" t="s">
        <v>1378</v>
      </c>
      <c r="I140" s="8">
        <f>C27</f>
        <v>7.8</v>
      </c>
      <c r="J140" s="2" t="s">
        <v>885</v>
      </c>
      <c r="K140" s="8">
        <f>(F140*I140)</f>
        <v>7.8</v>
      </c>
      <c r="O140" s="179" t="s">
        <v>2359</v>
      </c>
      <c r="R140" s="186" t="e">
        <f>(R139+C21)</f>
        <v>#REF!</v>
      </c>
      <c r="AG140" s="179" t="s">
        <v>2298</v>
      </c>
    </row>
    <row r="141" spans="1:33" hidden="1">
      <c r="A141" s="237">
        <f t="shared" si="9"/>
        <v>85</v>
      </c>
      <c r="B141" s="179" t="s">
        <v>193</v>
      </c>
      <c r="C141" s="8">
        <f>I255</f>
        <v>12224.58</v>
      </c>
      <c r="D141" s="1" t="s">
        <v>877</v>
      </c>
      <c r="E141"/>
      <c r="G141" s="185" t="s">
        <v>455</v>
      </c>
      <c r="H141" s="179" t="s">
        <v>456</v>
      </c>
      <c r="I141" s="1" t="s">
        <v>992</v>
      </c>
      <c r="J141" s="2" t="s">
        <v>455</v>
      </c>
      <c r="K141" s="8">
        <v>0</v>
      </c>
      <c r="N141" s="179" t="s">
        <v>2290</v>
      </c>
      <c r="O141" s="179" t="s">
        <v>2360</v>
      </c>
      <c r="AG141" s="179" t="s">
        <v>2298</v>
      </c>
    </row>
    <row r="142" spans="1:33" hidden="1">
      <c r="A142" s="237">
        <f t="shared" si="9"/>
        <v>86</v>
      </c>
      <c r="B142" s="179" t="s">
        <v>194</v>
      </c>
      <c r="C142" s="8">
        <v>30000</v>
      </c>
      <c r="D142" s="1" t="s">
        <v>877</v>
      </c>
      <c r="E142"/>
      <c r="I142"/>
      <c r="J142" s="4"/>
      <c r="K142" s="5" t="s">
        <v>1615</v>
      </c>
      <c r="O142" s="179" t="s">
        <v>1133</v>
      </c>
      <c r="AG142" s="179" t="s">
        <v>2298</v>
      </c>
    </row>
    <row r="143" spans="1:33" hidden="1">
      <c r="B143" s="179" t="s">
        <v>992</v>
      </c>
      <c r="C143"/>
      <c r="D143"/>
      <c r="E143"/>
      <c r="H143" s="179" t="s">
        <v>195</v>
      </c>
      <c r="I143"/>
      <c r="J143" s="4"/>
      <c r="K143" s="8" t="e">
        <f>SUM(K137:K141)</f>
        <v>#REF!</v>
      </c>
      <c r="O143" s="183" t="s">
        <v>1615</v>
      </c>
      <c r="AG143" s="179" t="s">
        <v>2298</v>
      </c>
    </row>
    <row r="144" spans="1:33" hidden="1">
      <c r="A144" s="237">
        <f>(A142+1)</f>
        <v>87</v>
      </c>
      <c r="B144" s="179" t="s">
        <v>196</v>
      </c>
      <c r="C144" s="8">
        <v>7.5</v>
      </c>
      <c r="D144" s="1" t="s">
        <v>455</v>
      </c>
      <c r="E144"/>
      <c r="I144"/>
      <c r="J144" s="4"/>
      <c r="K144" s="5" t="s">
        <v>1615</v>
      </c>
      <c r="M144" s="186">
        <v>4600</v>
      </c>
      <c r="N144" s="179" t="s">
        <v>1450</v>
      </c>
      <c r="O144" s="179" t="s">
        <v>1133</v>
      </c>
      <c r="P144" s="186" t="e">
        <f>(C91)</f>
        <v>#REF!</v>
      </c>
      <c r="Q144" s="179" t="s">
        <v>1623</v>
      </c>
      <c r="R144" s="186" t="e">
        <f>(M144*P144)/1000</f>
        <v>#REF!</v>
      </c>
      <c r="AG144" s="179" t="s">
        <v>2298</v>
      </c>
    </row>
    <row r="145" spans="3:11" hidden="1">
      <c r="C145"/>
      <c r="D145"/>
      <c r="E145"/>
      <c r="F145" s="233" t="s">
        <v>197</v>
      </c>
      <c r="G145" s="185" t="s">
        <v>2290</v>
      </c>
      <c r="H145" s="179" t="s">
        <v>1047</v>
      </c>
      <c r="I145"/>
      <c r="J145" s="4"/>
      <c r="K145"/>
    </row>
    <row r="146" spans="3:11" hidden="1">
      <c r="C146"/>
      <c r="D146"/>
      <c r="E146"/>
      <c r="H146" s="179" t="s">
        <v>1048</v>
      </c>
      <c r="I146"/>
      <c r="J146" s="4"/>
      <c r="K146"/>
    </row>
    <row r="147" spans="3:11" hidden="1">
      <c r="C147"/>
      <c r="D147"/>
      <c r="E147"/>
      <c r="H147" s="179" t="s">
        <v>493</v>
      </c>
      <c r="I147"/>
      <c r="J147" s="4"/>
      <c r="K147"/>
    </row>
    <row r="148" spans="3:11" hidden="1">
      <c r="C148"/>
      <c r="D148"/>
      <c r="E148"/>
      <c r="H148" s="179" t="s">
        <v>530</v>
      </c>
      <c r="I148"/>
      <c r="J148" s="4"/>
      <c r="K148"/>
    </row>
    <row r="149" spans="3:11" hidden="1">
      <c r="C149"/>
      <c r="D149"/>
      <c r="E149"/>
      <c r="H149" s="179" t="s">
        <v>531</v>
      </c>
      <c r="I149"/>
      <c r="J149" s="4"/>
      <c r="K149"/>
    </row>
    <row r="150" spans="3:11" hidden="1">
      <c r="C150"/>
      <c r="D150"/>
      <c r="E150"/>
      <c r="H150" s="183" t="s">
        <v>1615</v>
      </c>
      <c r="I150"/>
      <c r="J150" s="4"/>
      <c r="K150"/>
    </row>
    <row r="151" spans="3:11" hidden="1">
      <c r="C151"/>
      <c r="D151"/>
      <c r="E151"/>
      <c r="F151" s="186">
        <v>0.7</v>
      </c>
      <c r="G151" s="185" t="s">
        <v>885</v>
      </c>
      <c r="H151" s="179" t="s">
        <v>2038</v>
      </c>
      <c r="I151" s="8" t="e">
        <f>C79</f>
        <v>#REF!</v>
      </c>
      <c r="J151" s="2" t="s">
        <v>885</v>
      </c>
      <c r="K151" s="8" t="e">
        <f t="shared" ref="K151:K156" si="10">(F151*I151)</f>
        <v>#REF!</v>
      </c>
    </row>
    <row r="152" spans="3:11" hidden="1">
      <c r="C152"/>
      <c r="D152"/>
      <c r="E152"/>
      <c r="F152" s="186">
        <v>0.7</v>
      </c>
      <c r="G152" s="185" t="s">
        <v>885</v>
      </c>
      <c r="H152" s="179" t="s">
        <v>532</v>
      </c>
      <c r="I152" s="8">
        <f>C783</f>
        <v>3.05</v>
      </c>
      <c r="J152" s="2" t="s">
        <v>885</v>
      </c>
      <c r="K152" s="8">
        <f t="shared" si="10"/>
        <v>2.14</v>
      </c>
    </row>
    <row r="153" spans="3:11" hidden="1">
      <c r="C153"/>
      <c r="D153"/>
      <c r="E153"/>
      <c r="F153" s="186">
        <v>0.72</v>
      </c>
      <c r="G153" s="185" t="s">
        <v>885</v>
      </c>
      <c r="H153" s="179" t="s">
        <v>1672</v>
      </c>
      <c r="I153" s="8">
        <f>C35</f>
        <v>169</v>
      </c>
      <c r="J153" s="2" t="s">
        <v>885</v>
      </c>
      <c r="K153" s="8">
        <f t="shared" si="10"/>
        <v>121.68</v>
      </c>
    </row>
    <row r="154" spans="3:11" hidden="1">
      <c r="C154"/>
      <c r="D154"/>
      <c r="E154"/>
      <c r="F154" s="186">
        <v>0.72</v>
      </c>
      <c r="G154" s="185" t="s">
        <v>885</v>
      </c>
      <c r="H154" s="179" t="s">
        <v>532</v>
      </c>
      <c r="I154" s="8">
        <f>C783</f>
        <v>3.05</v>
      </c>
      <c r="J154" s="2" t="s">
        <v>885</v>
      </c>
      <c r="K154" s="8">
        <f t="shared" si="10"/>
        <v>2.2000000000000002</v>
      </c>
    </row>
    <row r="155" spans="3:11" hidden="1">
      <c r="C155"/>
      <c r="D155"/>
      <c r="E155"/>
      <c r="F155" s="186">
        <v>1</v>
      </c>
      <c r="G155" s="185" t="s">
        <v>885</v>
      </c>
      <c r="H155" s="179" t="s">
        <v>1826</v>
      </c>
      <c r="I155" s="8">
        <f>C18</f>
        <v>26</v>
      </c>
      <c r="J155" s="2" t="s">
        <v>885</v>
      </c>
      <c r="K155" s="8">
        <f t="shared" si="10"/>
        <v>26</v>
      </c>
    </row>
    <row r="156" spans="3:11" hidden="1">
      <c r="C156"/>
      <c r="D156"/>
      <c r="E156"/>
      <c r="F156" s="186">
        <v>1</v>
      </c>
      <c r="G156" s="185" t="s">
        <v>885</v>
      </c>
      <c r="H156" s="179" t="s">
        <v>1673</v>
      </c>
      <c r="I156" s="8">
        <v>6.05</v>
      </c>
      <c r="J156" s="2" t="s">
        <v>885</v>
      </c>
      <c r="K156" s="8">
        <f t="shared" si="10"/>
        <v>6.05</v>
      </c>
    </row>
    <row r="157" spans="3:11" hidden="1">
      <c r="C157"/>
      <c r="D157"/>
      <c r="E157"/>
      <c r="H157" s="179" t="s">
        <v>1674</v>
      </c>
      <c r="I157"/>
      <c r="J157" s="4"/>
      <c r="K157"/>
    </row>
    <row r="158" spans="3:11" hidden="1">
      <c r="C158"/>
      <c r="D158"/>
      <c r="E158"/>
      <c r="G158" s="185" t="s">
        <v>455</v>
      </c>
      <c r="H158" s="179" t="s">
        <v>456</v>
      </c>
      <c r="I158" s="1" t="s">
        <v>992</v>
      </c>
      <c r="J158" s="2" t="s">
        <v>455</v>
      </c>
      <c r="K158" s="8">
        <v>0</v>
      </c>
    </row>
    <row r="159" spans="3:11" hidden="1">
      <c r="C159"/>
      <c r="D159"/>
      <c r="E159"/>
      <c r="I159"/>
      <c r="J159" s="4"/>
      <c r="K159" s="5" t="s">
        <v>1615</v>
      </c>
    </row>
    <row r="160" spans="3:11" hidden="1">
      <c r="C160"/>
      <c r="D160"/>
      <c r="E160"/>
      <c r="H160" s="179" t="s">
        <v>195</v>
      </c>
      <c r="I160"/>
      <c r="J160" s="4"/>
      <c r="K160" s="8" t="e">
        <f>SUM(K151:K158)</f>
        <v>#REF!</v>
      </c>
    </row>
    <row r="161" spans="1:11" hidden="1">
      <c r="C161"/>
      <c r="D161"/>
      <c r="E161"/>
      <c r="I161"/>
      <c r="J161" s="4"/>
      <c r="K161" s="5" t="s">
        <v>1615</v>
      </c>
    </row>
    <row r="162" spans="1:11" hidden="1">
      <c r="C162"/>
      <c r="D162"/>
      <c r="E162"/>
      <c r="H162" s="179" t="s">
        <v>992</v>
      </c>
      <c r="I162"/>
      <c r="J162" s="4"/>
      <c r="K162" s="1" t="s">
        <v>992</v>
      </c>
    </row>
    <row r="163" spans="1:11" hidden="1">
      <c r="C163"/>
      <c r="D163"/>
      <c r="E163"/>
      <c r="I163"/>
      <c r="J163" s="4"/>
      <c r="K163" s="1" t="s">
        <v>992</v>
      </c>
    </row>
    <row r="164" spans="1:11" hidden="1">
      <c r="A164" s="251">
        <v>2.2999999999999998</v>
      </c>
      <c r="B164" s="179" t="s">
        <v>249</v>
      </c>
      <c r="C164" t="e">
        <f>AC19+I167</f>
        <v>#REF!</v>
      </c>
      <c r="D164"/>
      <c r="E164"/>
      <c r="F164" s="243">
        <v>2.6</v>
      </c>
      <c r="G164" s="185" t="s">
        <v>2290</v>
      </c>
      <c r="H164" s="179" t="s">
        <v>1193</v>
      </c>
      <c r="I164"/>
      <c r="J164" s="4"/>
      <c r="K164"/>
    </row>
    <row r="165" spans="1:11" hidden="1">
      <c r="A165" s="251">
        <v>2.4</v>
      </c>
      <c r="B165" s="179" t="s">
        <v>796</v>
      </c>
      <c r="C165" t="e">
        <f>AC20+I167</f>
        <v>#REF!</v>
      </c>
      <c r="D165"/>
      <c r="E165"/>
      <c r="H165" s="183" t="s">
        <v>1615</v>
      </c>
      <c r="I165"/>
      <c r="J165" s="4"/>
      <c r="K165"/>
    </row>
    <row r="166" spans="1:11" hidden="1">
      <c r="C166"/>
      <c r="D166"/>
      <c r="E166"/>
      <c r="F166" s="186">
        <v>1</v>
      </c>
      <c r="G166" s="185" t="s">
        <v>885</v>
      </c>
      <c r="H166" s="179" t="s">
        <v>1111</v>
      </c>
      <c r="I166" s="8" t="e">
        <f>AC15</f>
        <v>#REF!</v>
      </c>
      <c r="J166" s="2" t="s">
        <v>885</v>
      </c>
      <c r="K166" s="8" t="e">
        <f>(F166*I166)</f>
        <v>#REF!</v>
      </c>
    </row>
    <row r="167" spans="1:11" hidden="1">
      <c r="C167"/>
      <c r="D167"/>
      <c r="E167"/>
      <c r="F167" s="186">
        <v>1</v>
      </c>
      <c r="G167" s="185" t="s">
        <v>885</v>
      </c>
      <c r="H167" s="179" t="s">
        <v>1378</v>
      </c>
      <c r="I167" s="8">
        <f>C26</f>
        <v>8.8000000000000007</v>
      </c>
      <c r="J167" s="2" t="s">
        <v>885</v>
      </c>
      <c r="K167" s="8">
        <f>(F167*I167)</f>
        <v>8.8000000000000007</v>
      </c>
    </row>
    <row r="168" spans="1:11" hidden="1">
      <c r="C168"/>
      <c r="D168"/>
      <c r="E168"/>
      <c r="G168" s="185" t="s">
        <v>455</v>
      </c>
      <c r="H168" s="179" t="s">
        <v>456</v>
      </c>
      <c r="I168" s="1" t="s">
        <v>992</v>
      </c>
      <c r="J168" s="2" t="s">
        <v>455</v>
      </c>
      <c r="K168" s="8">
        <v>0</v>
      </c>
    </row>
    <row r="169" spans="1:11" hidden="1">
      <c r="C169"/>
      <c r="D169"/>
      <c r="E169"/>
      <c r="I169"/>
      <c r="J169" s="4"/>
      <c r="K169" s="5" t="s">
        <v>1615</v>
      </c>
    </row>
    <row r="170" spans="1:11" hidden="1">
      <c r="C170"/>
      <c r="D170"/>
      <c r="E170"/>
      <c r="H170" s="179" t="s">
        <v>195</v>
      </c>
      <c r="I170"/>
      <c r="J170" s="4"/>
      <c r="K170" s="8" t="e">
        <f>SUM(K165:K168)</f>
        <v>#REF!</v>
      </c>
    </row>
    <row r="171" spans="1:11" hidden="1">
      <c r="C171"/>
      <c r="D171"/>
      <c r="E171"/>
      <c r="I171"/>
      <c r="J171" s="4"/>
      <c r="K171" s="5" t="s">
        <v>1615</v>
      </c>
    </row>
    <row r="172" spans="1:11" hidden="1">
      <c r="C172"/>
      <c r="D172"/>
      <c r="E172"/>
      <c r="F172" s="243">
        <v>2.7</v>
      </c>
      <c r="G172" s="185" t="s">
        <v>2290</v>
      </c>
      <c r="H172" s="179" t="s">
        <v>2027</v>
      </c>
      <c r="I172"/>
      <c r="J172" s="4"/>
      <c r="K172"/>
    </row>
    <row r="173" spans="1:11" hidden="1">
      <c r="C173"/>
      <c r="D173"/>
      <c r="E173"/>
      <c r="H173" s="183" t="s">
        <v>1615</v>
      </c>
      <c r="I173"/>
      <c r="J173" s="4"/>
      <c r="K173"/>
    </row>
    <row r="174" spans="1:11" hidden="1">
      <c r="C174"/>
      <c r="D174"/>
      <c r="E174"/>
      <c r="F174" s="186">
        <v>1</v>
      </c>
      <c r="G174" s="185" t="s">
        <v>885</v>
      </c>
      <c r="H174" s="179" t="s">
        <v>848</v>
      </c>
      <c r="I174" s="8" t="e">
        <f>AC14</f>
        <v>#REF!</v>
      </c>
      <c r="J174" s="2" t="s">
        <v>885</v>
      </c>
      <c r="K174" s="8" t="e">
        <f>(F174*I174)</f>
        <v>#REF!</v>
      </c>
    </row>
    <row r="175" spans="1:11" hidden="1">
      <c r="C175"/>
      <c r="D175"/>
      <c r="E175"/>
      <c r="F175" s="186">
        <v>1</v>
      </c>
      <c r="G175" s="185" t="s">
        <v>885</v>
      </c>
      <c r="H175" s="179" t="s">
        <v>1378</v>
      </c>
      <c r="I175" s="8">
        <f>C26</f>
        <v>8.8000000000000007</v>
      </c>
      <c r="J175" s="2" t="s">
        <v>885</v>
      </c>
      <c r="K175" s="8">
        <f>(F175*I175)</f>
        <v>8.8000000000000007</v>
      </c>
    </row>
    <row r="176" spans="1:11" hidden="1">
      <c r="C176"/>
      <c r="D176"/>
      <c r="E176"/>
      <c r="G176" s="185" t="s">
        <v>455</v>
      </c>
      <c r="H176" s="179" t="s">
        <v>456</v>
      </c>
      <c r="I176" s="1" t="s">
        <v>992</v>
      </c>
      <c r="J176" s="2" t="s">
        <v>455</v>
      </c>
      <c r="K176" s="8">
        <v>0</v>
      </c>
    </row>
    <row r="177" spans="1:33" hidden="1">
      <c r="C177"/>
      <c r="D177"/>
      <c r="E177"/>
      <c r="I177"/>
      <c r="J177" s="4"/>
      <c r="K177" s="5" t="s">
        <v>1615</v>
      </c>
    </row>
    <row r="178" spans="1:33" hidden="1">
      <c r="C178"/>
      <c r="D178"/>
      <c r="E178"/>
      <c r="H178" s="179" t="s">
        <v>195</v>
      </c>
      <c r="I178"/>
      <c r="J178" s="4"/>
      <c r="K178" s="8" t="e">
        <f>SUM(K173:K176)</f>
        <v>#REF!</v>
      </c>
    </row>
    <row r="179" spans="1:33" hidden="1">
      <c r="A179" s="237">
        <f>(A144+1)</f>
        <v>88</v>
      </c>
      <c r="B179" s="179" t="s">
        <v>1675</v>
      </c>
      <c r="C179" s="8">
        <v>15.25</v>
      </c>
      <c r="D179" s="1" t="s">
        <v>1676</v>
      </c>
      <c r="E179"/>
      <c r="I179"/>
      <c r="J179" s="4"/>
      <c r="K179" s="5" t="s">
        <v>1615</v>
      </c>
      <c r="M179" s="186">
        <v>2.5</v>
      </c>
      <c r="N179" s="179" t="s">
        <v>885</v>
      </c>
      <c r="O179" s="179" t="s">
        <v>1662</v>
      </c>
      <c r="P179" s="186" t="e">
        <f>(K58)</f>
        <v>#REF!</v>
      </c>
      <c r="Q179" s="179" t="s">
        <v>885</v>
      </c>
      <c r="R179" s="186" t="e">
        <f>(M179*P179)</f>
        <v>#REF!</v>
      </c>
      <c r="AG179" s="179" t="s">
        <v>2298</v>
      </c>
    </row>
    <row r="180" spans="1:33" hidden="1">
      <c r="A180" s="237">
        <f>(A179+1)</f>
        <v>89</v>
      </c>
      <c r="B180" s="179" t="s">
        <v>1677</v>
      </c>
      <c r="C180" s="8">
        <v>110</v>
      </c>
      <c r="D180" s="1" t="s">
        <v>1676</v>
      </c>
      <c r="E180"/>
      <c r="H180" s="179" t="s">
        <v>992</v>
      </c>
      <c r="I180"/>
      <c r="J180" s="4"/>
      <c r="K180"/>
      <c r="M180" s="186">
        <v>3.5</v>
      </c>
      <c r="N180" s="179" t="s">
        <v>884</v>
      </c>
      <c r="O180" s="179" t="s">
        <v>2045</v>
      </c>
      <c r="P180" s="186">
        <f>(C10)</f>
        <v>150</v>
      </c>
      <c r="Q180" s="179" t="s">
        <v>884</v>
      </c>
      <c r="R180" s="186">
        <f>(M180*P180)</f>
        <v>525</v>
      </c>
      <c r="AG180" s="179" t="s">
        <v>2298</v>
      </c>
    </row>
    <row r="181" spans="1:33" hidden="1">
      <c r="C181"/>
      <c r="D181"/>
      <c r="E181"/>
      <c r="F181" s="233" t="s">
        <v>1678</v>
      </c>
      <c r="H181" s="179" t="s">
        <v>962</v>
      </c>
      <c r="I181"/>
      <c r="J181" s="4"/>
      <c r="K181"/>
    </row>
    <row r="182" spans="1:33" hidden="1">
      <c r="C182"/>
      <c r="D182"/>
      <c r="E182"/>
      <c r="I182"/>
      <c r="J182" s="4"/>
      <c r="K182"/>
    </row>
    <row r="183" spans="1:33" hidden="1">
      <c r="C183"/>
      <c r="D183"/>
      <c r="E183"/>
      <c r="F183" s="186">
        <v>1</v>
      </c>
      <c r="G183" s="185" t="s">
        <v>885</v>
      </c>
      <c r="H183" s="179" t="s">
        <v>66</v>
      </c>
      <c r="I183" s="8">
        <f>C35</f>
        <v>169</v>
      </c>
      <c r="J183" s="2" t="s">
        <v>885</v>
      </c>
      <c r="K183" s="8">
        <f>(F183*I183)</f>
        <v>169</v>
      </c>
    </row>
    <row r="184" spans="1:33" hidden="1">
      <c r="C184"/>
      <c r="D184"/>
      <c r="E184"/>
      <c r="F184" s="186">
        <v>1</v>
      </c>
      <c r="G184" s="185" t="s">
        <v>885</v>
      </c>
      <c r="H184" s="179" t="s">
        <v>532</v>
      </c>
      <c r="I184" s="8">
        <f>C783</f>
        <v>3.05</v>
      </c>
      <c r="J184" s="2" t="s">
        <v>885</v>
      </c>
      <c r="K184" s="8">
        <f>(F184*I184)</f>
        <v>3.05</v>
      </c>
    </row>
    <row r="185" spans="1:33" hidden="1">
      <c r="C185"/>
      <c r="D185"/>
      <c r="E185"/>
      <c r="F185" s="186">
        <v>1</v>
      </c>
      <c r="G185" s="185" t="s">
        <v>885</v>
      </c>
      <c r="H185" s="179" t="s">
        <v>1673</v>
      </c>
      <c r="I185" s="8">
        <v>6.05</v>
      </c>
      <c r="J185" s="2" t="s">
        <v>885</v>
      </c>
      <c r="K185" s="8">
        <f>(F185*I185)</f>
        <v>6.05</v>
      </c>
    </row>
    <row r="186" spans="1:33" hidden="1">
      <c r="C186"/>
      <c r="D186"/>
      <c r="E186"/>
      <c r="H186" s="179" t="s">
        <v>1674</v>
      </c>
      <c r="I186"/>
      <c r="J186" s="4"/>
      <c r="K186"/>
    </row>
    <row r="187" spans="1:33" hidden="1">
      <c r="C187"/>
      <c r="D187"/>
      <c r="E187"/>
      <c r="I187"/>
      <c r="J187" s="4"/>
      <c r="K187" s="5" t="s">
        <v>1615</v>
      </c>
    </row>
    <row r="188" spans="1:33" hidden="1">
      <c r="C188"/>
      <c r="D188"/>
      <c r="E188"/>
      <c r="H188" s="179" t="s">
        <v>195</v>
      </c>
      <c r="I188"/>
      <c r="J188" s="4"/>
      <c r="K188" s="8">
        <f>SUM(K181:K186)</f>
        <v>178.1</v>
      </c>
    </row>
    <row r="189" spans="1:33" hidden="1">
      <c r="C189"/>
      <c r="D189"/>
      <c r="E189"/>
      <c r="F189" s="179" t="s">
        <v>992</v>
      </c>
      <c r="I189"/>
      <c r="J189" s="4"/>
      <c r="K189" s="5" t="s">
        <v>1615</v>
      </c>
    </row>
    <row r="190" spans="1:33" hidden="1">
      <c r="C190"/>
      <c r="D190"/>
      <c r="E190"/>
      <c r="I190"/>
      <c r="J190" s="4"/>
      <c r="K190" s="1" t="s">
        <v>992</v>
      </c>
    </row>
    <row r="191" spans="1:33" hidden="1">
      <c r="A191" s="237">
        <f>(A180+1)</f>
        <v>90</v>
      </c>
      <c r="B191" s="179" t="s">
        <v>676</v>
      </c>
      <c r="C191" s="8">
        <v>65</v>
      </c>
      <c r="D191" s="1" t="s">
        <v>677</v>
      </c>
      <c r="E191"/>
      <c r="F191" s="233" t="s">
        <v>678</v>
      </c>
      <c r="G191" s="185" t="s">
        <v>2290</v>
      </c>
      <c r="H191" s="179" t="s">
        <v>679</v>
      </c>
      <c r="I191"/>
      <c r="J191" s="4"/>
      <c r="K191"/>
      <c r="M191" s="186">
        <v>10.6</v>
      </c>
      <c r="N191" s="179" t="s">
        <v>884</v>
      </c>
      <c r="O191" s="179" t="s">
        <v>1744</v>
      </c>
      <c r="P191" s="186">
        <f>(C11)</f>
        <v>135</v>
      </c>
      <c r="Q191" s="179" t="s">
        <v>884</v>
      </c>
      <c r="R191" s="186">
        <f>(M191*P191)</f>
        <v>1431</v>
      </c>
      <c r="AG191" s="179" t="s">
        <v>2298</v>
      </c>
    </row>
    <row r="192" spans="1:33" hidden="1">
      <c r="A192" s="237">
        <f t="shared" ref="A192:A207" si="11">(A191+1)</f>
        <v>91</v>
      </c>
      <c r="B192" s="179" t="s">
        <v>680</v>
      </c>
      <c r="C192" s="8">
        <v>25</v>
      </c>
      <c r="D192" s="1" t="s">
        <v>677</v>
      </c>
      <c r="E192"/>
      <c r="H192" s="179" t="s">
        <v>681</v>
      </c>
      <c r="I192"/>
      <c r="J192" s="4"/>
      <c r="K192"/>
      <c r="M192" s="186">
        <v>7.1</v>
      </c>
      <c r="N192" s="179" t="s">
        <v>884</v>
      </c>
      <c r="O192" s="179" t="s">
        <v>1937</v>
      </c>
      <c r="P192" s="186">
        <f>(C12)</f>
        <v>95</v>
      </c>
      <c r="Q192" s="179" t="s">
        <v>884</v>
      </c>
      <c r="R192" s="186">
        <f>(M192*P192)</f>
        <v>674.5</v>
      </c>
      <c r="AG192" s="179" t="s">
        <v>2298</v>
      </c>
    </row>
    <row r="193" spans="1:33" hidden="1">
      <c r="A193" s="237">
        <f t="shared" si="11"/>
        <v>92</v>
      </c>
      <c r="B193" s="179" t="s">
        <v>2361</v>
      </c>
      <c r="C193" s="8">
        <v>210</v>
      </c>
      <c r="D193" s="1" t="s">
        <v>677</v>
      </c>
      <c r="E193"/>
      <c r="H193" s="183" t="s">
        <v>1615</v>
      </c>
      <c r="I193"/>
      <c r="J193" s="4"/>
      <c r="K193"/>
      <c r="M193" s="186">
        <v>21.2</v>
      </c>
      <c r="N193" s="179" t="s">
        <v>884</v>
      </c>
      <c r="O193" s="179" t="s">
        <v>325</v>
      </c>
      <c r="P193" s="186">
        <f>(C13)</f>
        <v>85</v>
      </c>
      <c r="Q193" s="179" t="s">
        <v>884</v>
      </c>
      <c r="R193" s="186">
        <f>(M193*P193)</f>
        <v>1802</v>
      </c>
      <c r="AG193" s="179" t="s">
        <v>2298</v>
      </c>
    </row>
    <row r="194" spans="1:33" hidden="1">
      <c r="A194" s="237">
        <f t="shared" si="11"/>
        <v>93</v>
      </c>
      <c r="B194" s="179" t="s">
        <v>1668</v>
      </c>
      <c r="C194" s="8">
        <v>160</v>
      </c>
      <c r="D194" s="8">
        <v>96.11</v>
      </c>
      <c r="E194"/>
      <c r="F194" s="186">
        <v>9</v>
      </c>
      <c r="G194" s="185" t="s">
        <v>885</v>
      </c>
      <c r="H194" s="179" t="s">
        <v>1669</v>
      </c>
      <c r="I194" s="8" t="e">
        <f>(C74)</f>
        <v>#REF!</v>
      </c>
      <c r="J194" s="2" t="s">
        <v>885</v>
      </c>
      <c r="K194" s="8" t="e">
        <f>(F194*I194)</f>
        <v>#REF!</v>
      </c>
      <c r="N194" s="179" t="s">
        <v>455</v>
      </c>
      <c r="O194" s="179" t="s">
        <v>456</v>
      </c>
      <c r="Q194" s="179" t="s">
        <v>455</v>
      </c>
      <c r="R194" s="186">
        <v>0</v>
      </c>
      <c r="AG194" s="179" t="s">
        <v>2298</v>
      </c>
    </row>
    <row r="195" spans="1:33" hidden="1">
      <c r="A195" s="237">
        <f t="shared" si="11"/>
        <v>94</v>
      </c>
      <c r="B195" s="179" t="s">
        <v>852</v>
      </c>
      <c r="C195" s="8">
        <v>100</v>
      </c>
      <c r="D195" s="1" t="s">
        <v>677</v>
      </c>
      <c r="E195"/>
      <c r="F195" s="186">
        <v>4.5</v>
      </c>
      <c r="G195" s="185" t="s">
        <v>885</v>
      </c>
      <c r="H195" s="179" t="s">
        <v>1656</v>
      </c>
      <c r="I195" s="8" t="e">
        <f>(K49)</f>
        <v>#REF!</v>
      </c>
      <c r="J195" s="2" t="s">
        <v>885</v>
      </c>
      <c r="K195" s="8" t="e">
        <f>(F195*I195)</f>
        <v>#REF!</v>
      </c>
      <c r="R195" s="183" t="s">
        <v>1615</v>
      </c>
      <c r="AG195" s="179" t="s">
        <v>2298</v>
      </c>
    </row>
    <row r="196" spans="1:33" hidden="1">
      <c r="A196" s="237">
        <f t="shared" si="11"/>
        <v>95</v>
      </c>
      <c r="B196" s="179" t="s">
        <v>853</v>
      </c>
      <c r="C196" s="8">
        <v>0.25</v>
      </c>
      <c r="D196" s="1" t="s">
        <v>884</v>
      </c>
      <c r="E196"/>
      <c r="F196" s="186">
        <v>1.8</v>
      </c>
      <c r="G196" s="185" t="s">
        <v>884</v>
      </c>
      <c r="H196" s="179" t="s">
        <v>1744</v>
      </c>
      <c r="I196" s="8">
        <f>(C11)</f>
        <v>135</v>
      </c>
      <c r="J196" s="2" t="s">
        <v>884</v>
      </c>
      <c r="K196" s="8">
        <f>(F196*I196)</f>
        <v>243</v>
      </c>
      <c r="O196" s="179" t="s">
        <v>626</v>
      </c>
      <c r="R196" s="186" t="e">
        <f>SUM(R144:R194)</f>
        <v>#REF!</v>
      </c>
      <c r="AG196" s="179" t="s">
        <v>2298</v>
      </c>
    </row>
    <row r="197" spans="1:33" hidden="1">
      <c r="A197" s="237">
        <f t="shared" si="11"/>
        <v>96</v>
      </c>
      <c r="B197" s="179" t="s">
        <v>620</v>
      </c>
      <c r="C197" s="8">
        <v>22.6</v>
      </c>
      <c r="D197" s="1" t="s">
        <v>621</v>
      </c>
      <c r="E197"/>
      <c r="F197" s="186">
        <v>17.7</v>
      </c>
      <c r="G197" s="185" t="s">
        <v>884</v>
      </c>
      <c r="H197" s="179" t="s">
        <v>1937</v>
      </c>
      <c r="I197" s="8">
        <f>(C12)</f>
        <v>95</v>
      </c>
      <c r="J197" s="2" t="s">
        <v>884</v>
      </c>
      <c r="K197" s="8">
        <f>(F197*I197)</f>
        <v>1681.5</v>
      </c>
      <c r="R197" s="183" t="s">
        <v>1615</v>
      </c>
      <c r="AG197" s="179" t="s">
        <v>2298</v>
      </c>
    </row>
    <row r="198" spans="1:33" hidden="1">
      <c r="A198" s="237">
        <f t="shared" si="11"/>
        <v>97</v>
      </c>
      <c r="B198" s="179" t="s">
        <v>2552</v>
      </c>
      <c r="C198" s="8">
        <v>212</v>
      </c>
      <c r="D198" s="1" t="s">
        <v>621</v>
      </c>
      <c r="E198"/>
      <c r="F198" s="186">
        <v>14.1</v>
      </c>
      <c r="G198" s="185" t="s">
        <v>884</v>
      </c>
      <c r="H198" s="179" t="s">
        <v>325</v>
      </c>
      <c r="I198" s="8">
        <f>(C13)</f>
        <v>85</v>
      </c>
      <c r="J198" s="2" t="s">
        <v>884</v>
      </c>
      <c r="K198" s="8">
        <f>(F198*I198)</f>
        <v>1198.5</v>
      </c>
      <c r="O198" s="179" t="s">
        <v>789</v>
      </c>
      <c r="R198" s="186" t="e">
        <f>(R196/10)</f>
        <v>#REF!</v>
      </c>
      <c r="AG198" s="179" t="s">
        <v>2298</v>
      </c>
    </row>
    <row r="199" spans="1:33" hidden="1">
      <c r="A199" s="237">
        <f t="shared" si="11"/>
        <v>98</v>
      </c>
      <c r="B199" s="179" t="s">
        <v>2134</v>
      </c>
      <c r="C199" s="8">
        <v>85</v>
      </c>
      <c r="D199" s="1" t="s">
        <v>785</v>
      </c>
      <c r="E199"/>
      <c r="G199" s="185" t="s">
        <v>455</v>
      </c>
      <c r="H199" s="179" t="s">
        <v>456</v>
      </c>
      <c r="I199"/>
      <c r="J199" s="2" t="s">
        <v>455</v>
      </c>
      <c r="K199" s="8">
        <v>0</v>
      </c>
      <c r="R199" s="183" t="s">
        <v>2091</v>
      </c>
      <c r="AG199" s="179" t="s">
        <v>2298</v>
      </c>
    </row>
    <row r="200" spans="1:33" hidden="1">
      <c r="A200" s="237">
        <f t="shared" si="11"/>
        <v>99</v>
      </c>
      <c r="B200" s="179" t="s">
        <v>1170</v>
      </c>
      <c r="C200" s="8">
        <v>750</v>
      </c>
      <c r="D200" s="1" t="s">
        <v>785</v>
      </c>
      <c r="E200"/>
      <c r="I200"/>
      <c r="J200" s="4"/>
      <c r="K200" s="5" t="s">
        <v>1615</v>
      </c>
      <c r="AG200" s="179" t="s">
        <v>2298</v>
      </c>
    </row>
    <row r="201" spans="1:33" hidden="1">
      <c r="A201" s="237">
        <f t="shared" si="11"/>
        <v>100</v>
      </c>
      <c r="B201" s="179" t="s">
        <v>1171</v>
      </c>
      <c r="C201" s="8">
        <v>47.2</v>
      </c>
      <c r="D201" s="1" t="s">
        <v>785</v>
      </c>
      <c r="E201"/>
      <c r="I201"/>
      <c r="J201" s="4"/>
      <c r="K201" s="8" t="e">
        <f>SUM(K194:K199)</f>
        <v>#REF!</v>
      </c>
      <c r="N201" s="179" t="s">
        <v>3217</v>
      </c>
      <c r="O201" s="179" t="s">
        <v>391</v>
      </c>
      <c r="R201" s="186" t="e">
        <f>(R198+C19)</f>
        <v>#REF!</v>
      </c>
      <c r="AG201" s="179" t="s">
        <v>2298</v>
      </c>
    </row>
    <row r="202" spans="1:33" hidden="1">
      <c r="A202" s="237">
        <f t="shared" si="11"/>
        <v>101</v>
      </c>
      <c r="B202" s="179" t="s">
        <v>2376</v>
      </c>
      <c r="C202" s="8">
        <v>75</v>
      </c>
      <c r="D202" s="1" t="s">
        <v>785</v>
      </c>
      <c r="E202"/>
      <c r="H202" s="179" t="s">
        <v>626</v>
      </c>
      <c r="I202"/>
      <c r="J202" s="4"/>
      <c r="K202" s="5" t="s">
        <v>1615</v>
      </c>
      <c r="N202" s="179" t="s">
        <v>2377</v>
      </c>
      <c r="O202" s="179" t="s">
        <v>393</v>
      </c>
      <c r="R202" s="186" t="e">
        <f>(R201+C20)</f>
        <v>#REF!</v>
      </c>
      <c r="AG202" s="179" t="s">
        <v>326</v>
      </c>
    </row>
    <row r="203" spans="1:33" hidden="1">
      <c r="A203" s="237">
        <f t="shared" si="11"/>
        <v>102</v>
      </c>
      <c r="B203" s="179" t="s">
        <v>697</v>
      </c>
      <c r="C203" s="8">
        <v>40</v>
      </c>
      <c r="D203" s="1" t="s">
        <v>785</v>
      </c>
      <c r="E203"/>
      <c r="I203"/>
      <c r="J203" s="4"/>
      <c r="K203" s="8" t="e">
        <f>(K201/10)</f>
        <v>#REF!</v>
      </c>
      <c r="N203" s="179" t="s">
        <v>2378</v>
      </c>
      <c r="O203" s="179" t="s">
        <v>2271</v>
      </c>
      <c r="R203" s="186" t="e">
        <f>(R202+C21)</f>
        <v>#REF!</v>
      </c>
    </row>
    <row r="204" spans="1:33" hidden="1">
      <c r="A204" s="237">
        <f t="shared" si="11"/>
        <v>103</v>
      </c>
      <c r="B204" s="179" t="s">
        <v>633</v>
      </c>
      <c r="C204" s="8">
        <v>65</v>
      </c>
      <c r="D204" s="1" t="s">
        <v>785</v>
      </c>
      <c r="E204"/>
      <c r="H204" s="179" t="s">
        <v>789</v>
      </c>
      <c r="I204"/>
      <c r="J204" s="4"/>
      <c r="K204" s="5" t="s">
        <v>2091</v>
      </c>
      <c r="N204" s="179" t="s">
        <v>2379</v>
      </c>
      <c r="O204" s="179" t="s">
        <v>385</v>
      </c>
      <c r="R204" s="186" t="e">
        <f>(R203+C21)</f>
        <v>#REF!</v>
      </c>
    </row>
    <row r="205" spans="1:33" hidden="1">
      <c r="A205" s="237">
        <f t="shared" si="11"/>
        <v>104</v>
      </c>
      <c r="B205" s="179" t="s">
        <v>2380</v>
      </c>
      <c r="C205" s="8">
        <v>65</v>
      </c>
      <c r="D205" s="1" t="s">
        <v>785</v>
      </c>
      <c r="E205"/>
      <c r="I205"/>
      <c r="J205" s="4"/>
      <c r="K205"/>
      <c r="AG205" s="179" t="s">
        <v>2298</v>
      </c>
    </row>
    <row r="206" spans="1:33" hidden="1">
      <c r="A206" s="237">
        <f t="shared" si="11"/>
        <v>105</v>
      </c>
      <c r="B206" s="179" t="s">
        <v>698</v>
      </c>
      <c r="C206" s="8">
        <v>150</v>
      </c>
      <c r="D206" s="1" t="s">
        <v>699</v>
      </c>
      <c r="E206"/>
      <c r="F206" s="233" t="s">
        <v>700</v>
      </c>
      <c r="G206" s="185" t="s">
        <v>2290</v>
      </c>
      <c r="H206" s="179" t="s">
        <v>1006</v>
      </c>
      <c r="I206"/>
      <c r="J206" s="4"/>
      <c r="K206"/>
    </row>
    <row r="207" spans="1:33" hidden="1">
      <c r="A207" s="237">
        <f t="shared" si="11"/>
        <v>106</v>
      </c>
      <c r="B207" s="179" t="s">
        <v>701</v>
      </c>
      <c r="C207" s="8">
        <v>100</v>
      </c>
      <c r="D207" s="1" t="s">
        <v>785</v>
      </c>
      <c r="E207"/>
      <c r="H207" s="179" t="s">
        <v>1513</v>
      </c>
      <c r="I207"/>
      <c r="J207" s="4"/>
      <c r="K207"/>
      <c r="N207" s="179" t="s">
        <v>702</v>
      </c>
      <c r="O207" s="179" t="s">
        <v>703</v>
      </c>
    </row>
    <row r="208" spans="1:33" hidden="1">
      <c r="C208"/>
      <c r="D208"/>
      <c r="E208"/>
      <c r="H208" s="183" t="s">
        <v>1615</v>
      </c>
      <c r="I208"/>
      <c r="J208" s="4"/>
      <c r="K208"/>
      <c r="O208" s="183" t="s">
        <v>1615</v>
      </c>
    </row>
    <row r="209" spans="3:18" hidden="1">
      <c r="C209"/>
      <c r="D209"/>
      <c r="E209"/>
      <c r="F209" s="186">
        <v>9</v>
      </c>
      <c r="G209" s="185" t="s">
        <v>885</v>
      </c>
      <c r="H209" s="179" t="s">
        <v>704</v>
      </c>
      <c r="I209" s="8" t="e">
        <f>C73</f>
        <v>#REF!</v>
      </c>
      <c r="J209" s="2" t="s">
        <v>885</v>
      </c>
      <c r="K209" s="8" t="e">
        <f>(F209*I209)</f>
        <v>#REF!</v>
      </c>
      <c r="M209" s="252">
        <v>1.153E-2</v>
      </c>
      <c r="N209" s="179" t="s">
        <v>885</v>
      </c>
      <c r="O209" s="179" t="s">
        <v>705</v>
      </c>
      <c r="P209" s="186">
        <f>C88</f>
        <v>65420</v>
      </c>
      <c r="Q209" s="179" t="s">
        <v>885</v>
      </c>
      <c r="R209" s="186">
        <f t="shared" ref="R209:R218" si="12">(M209*P209)</f>
        <v>754.29</v>
      </c>
    </row>
    <row r="210" spans="3:18" hidden="1">
      <c r="C210"/>
      <c r="D210"/>
      <c r="E210"/>
      <c r="F210" s="186">
        <v>4.5</v>
      </c>
      <c r="G210" s="185" t="s">
        <v>885</v>
      </c>
      <c r="H210" s="179" t="s">
        <v>121</v>
      </c>
      <c r="I210" s="8" t="e">
        <f>K23</f>
        <v>#REF!</v>
      </c>
      <c r="J210" s="2" t="s">
        <v>885</v>
      </c>
      <c r="K210" s="8" t="e">
        <f>(F210*I210)</f>
        <v>#REF!</v>
      </c>
      <c r="M210" s="252">
        <v>1.013E-2</v>
      </c>
      <c r="N210" s="179" t="s">
        <v>885</v>
      </c>
      <c r="O210" s="179" t="s">
        <v>706</v>
      </c>
      <c r="P210" s="186">
        <f>C89</f>
        <v>57165</v>
      </c>
      <c r="Q210" s="179" t="s">
        <v>885</v>
      </c>
      <c r="R210" s="186">
        <f t="shared" si="12"/>
        <v>579.08000000000004</v>
      </c>
    </row>
    <row r="211" spans="3:18" hidden="1">
      <c r="C211"/>
      <c r="D211"/>
      <c r="E211"/>
      <c r="F211" s="186">
        <v>1.8</v>
      </c>
      <c r="G211" s="185" t="s">
        <v>884</v>
      </c>
      <c r="H211" s="179" t="s">
        <v>1744</v>
      </c>
      <c r="I211" s="8">
        <f>C11</f>
        <v>135</v>
      </c>
      <c r="J211" s="2" t="s">
        <v>884</v>
      </c>
      <c r="K211" s="8">
        <f>(F211*I211)</f>
        <v>243</v>
      </c>
      <c r="M211" s="252">
        <v>0.77780000000000005</v>
      </c>
      <c r="N211" s="179" t="s">
        <v>621</v>
      </c>
      <c r="O211" s="179" t="s">
        <v>2128</v>
      </c>
      <c r="P211" s="186">
        <f>C753</f>
        <v>381.37</v>
      </c>
      <c r="Q211" s="179" t="s">
        <v>621</v>
      </c>
      <c r="R211" s="186">
        <f t="shared" si="12"/>
        <v>296.63</v>
      </c>
    </row>
    <row r="212" spans="3:18" hidden="1">
      <c r="C212"/>
      <c r="D212"/>
      <c r="E212"/>
      <c r="F212" s="186">
        <v>17.7</v>
      </c>
      <c r="G212" s="185" t="s">
        <v>884</v>
      </c>
      <c r="H212" s="179" t="s">
        <v>1937</v>
      </c>
      <c r="I212" s="8">
        <f>C12</f>
        <v>95</v>
      </c>
      <c r="J212" s="2" t="s">
        <v>884</v>
      </c>
      <c r="K212" s="8">
        <f>(F212*I212)</f>
        <v>1681.5</v>
      </c>
      <c r="M212" s="252">
        <v>1.23</v>
      </c>
      <c r="N212" s="179" t="s">
        <v>621</v>
      </c>
      <c r="O212" s="179" t="s">
        <v>2129</v>
      </c>
      <c r="P212" s="186">
        <f>D30</f>
        <v>287</v>
      </c>
      <c r="Q212" s="179" t="s">
        <v>621</v>
      </c>
      <c r="R212" s="186">
        <f t="shared" si="12"/>
        <v>353.01</v>
      </c>
    </row>
    <row r="213" spans="3:18" hidden="1">
      <c r="C213"/>
      <c r="D213"/>
      <c r="E213"/>
      <c r="F213" s="186">
        <v>14.1</v>
      </c>
      <c r="G213" s="185" t="s">
        <v>884</v>
      </c>
      <c r="H213" s="179" t="s">
        <v>325</v>
      </c>
      <c r="I213" s="8">
        <f>C13</f>
        <v>85</v>
      </c>
      <c r="J213" s="2" t="s">
        <v>884</v>
      </c>
      <c r="K213" s="8">
        <f>(F213*I213)</f>
        <v>1198.5</v>
      </c>
      <c r="M213" s="186">
        <v>2</v>
      </c>
      <c r="N213" s="179" t="s">
        <v>884</v>
      </c>
      <c r="O213" s="179" t="s">
        <v>2130</v>
      </c>
      <c r="P213" s="186">
        <f>C283</f>
        <v>30</v>
      </c>
      <c r="Q213" s="179" t="s">
        <v>884</v>
      </c>
      <c r="R213" s="186">
        <f t="shared" si="12"/>
        <v>60</v>
      </c>
    </row>
    <row r="214" spans="3:18" hidden="1">
      <c r="C214"/>
      <c r="D214"/>
      <c r="E214"/>
      <c r="G214" s="185" t="s">
        <v>455</v>
      </c>
      <c r="H214" s="179" t="s">
        <v>456</v>
      </c>
      <c r="I214"/>
      <c r="J214" s="2" t="s">
        <v>455</v>
      </c>
      <c r="K214" s="8">
        <v>0</v>
      </c>
      <c r="M214" s="186">
        <v>3</v>
      </c>
      <c r="N214" s="179" t="s">
        <v>884</v>
      </c>
      <c r="O214" s="179" t="s">
        <v>2131</v>
      </c>
      <c r="P214" s="186">
        <f>C278</f>
        <v>45</v>
      </c>
      <c r="Q214" s="179" t="s">
        <v>884</v>
      </c>
      <c r="R214" s="186">
        <f t="shared" si="12"/>
        <v>135</v>
      </c>
    </row>
    <row r="215" spans="3:18" hidden="1">
      <c r="C215"/>
      <c r="D215"/>
      <c r="E215"/>
      <c r="I215"/>
      <c r="J215" s="4"/>
      <c r="K215" s="5" t="s">
        <v>1615</v>
      </c>
      <c r="M215" s="186">
        <v>1</v>
      </c>
      <c r="N215" s="179" t="s">
        <v>884</v>
      </c>
      <c r="O215" s="179" t="s">
        <v>2015</v>
      </c>
      <c r="P215" s="186">
        <f>C285</f>
        <v>95</v>
      </c>
      <c r="Q215" s="179" t="s">
        <v>884</v>
      </c>
      <c r="R215" s="186">
        <f t="shared" si="12"/>
        <v>95</v>
      </c>
    </row>
    <row r="216" spans="3:18" hidden="1">
      <c r="C216"/>
      <c r="D216"/>
      <c r="E216"/>
      <c r="I216"/>
      <c r="J216" s="4"/>
      <c r="K216" s="8" t="e">
        <f>SUM(K209:K214)</f>
        <v>#REF!</v>
      </c>
      <c r="M216" s="186">
        <v>1</v>
      </c>
      <c r="N216" s="179" t="s">
        <v>884</v>
      </c>
      <c r="O216" s="179" t="s">
        <v>2016</v>
      </c>
      <c r="P216" s="186">
        <f>C287</f>
        <v>8</v>
      </c>
      <c r="Q216" s="179" t="s">
        <v>884</v>
      </c>
      <c r="R216" s="186">
        <f t="shared" si="12"/>
        <v>8</v>
      </c>
    </row>
    <row r="217" spans="3:18" hidden="1">
      <c r="C217"/>
      <c r="D217"/>
      <c r="E217"/>
      <c r="H217" s="179" t="s">
        <v>626</v>
      </c>
      <c r="I217"/>
      <c r="J217" s="4"/>
      <c r="K217" s="5" t="s">
        <v>1615</v>
      </c>
      <c r="M217" s="186">
        <v>1</v>
      </c>
      <c r="N217" s="179" t="s">
        <v>884</v>
      </c>
      <c r="O217" s="179" t="s">
        <v>2017</v>
      </c>
      <c r="P217" s="186">
        <f>C576</f>
        <v>30</v>
      </c>
      <c r="Q217" s="179" t="s">
        <v>884</v>
      </c>
      <c r="R217" s="186">
        <f t="shared" si="12"/>
        <v>30</v>
      </c>
    </row>
    <row r="218" spans="3:18" hidden="1">
      <c r="C218"/>
      <c r="D218"/>
      <c r="E218"/>
      <c r="I218"/>
      <c r="J218" s="4"/>
      <c r="K218" s="8" t="e">
        <f>(K216/10)</f>
        <v>#REF!</v>
      </c>
      <c r="M218" s="186">
        <v>1</v>
      </c>
      <c r="N218" s="179" t="s">
        <v>884</v>
      </c>
      <c r="O218" s="179" t="s">
        <v>2018</v>
      </c>
      <c r="P218" s="186">
        <f>D576</f>
        <v>25</v>
      </c>
      <c r="Q218" s="179" t="s">
        <v>884</v>
      </c>
      <c r="R218" s="186">
        <f t="shared" si="12"/>
        <v>25</v>
      </c>
    </row>
    <row r="219" spans="3:18" hidden="1">
      <c r="C219"/>
      <c r="D219"/>
      <c r="E219"/>
      <c r="H219" s="179" t="s">
        <v>789</v>
      </c>
      <c r="I219"/>
      <c r="J219" s="4"/>
      <c r="K219" s="5" t="s">
        <v>2091</v>
      </c>
      <c r="R219" s="183" t="s">
        <v>1615</v>
      </c>
    </row>
    <row r="220" spans="3:18" hidden="1">
      <c r="C220"/>
      <c r="D220"/>
      <c r="E220"/>
      <c r="I220"/>
      <c r="J220" s="4"/>
      <c r="K220"/>
      <c r="O220" s="233" t="s">
        <v>2019</v>
      </c>
      <c r="R220" s="186">
        <f>SUM(R209:R218)</f>
        <v>2336.0100000000002</v>
      </c>
    </row>
    <row r="221" spans="3:18" hidden="1">
      <c r="C221"/>
      <c r="D221"/>
      <c r="E221"/>
      <c r="F221" s="233" t="s">
        <v>2108</v>
      </c>
      <c r="G221" s="185" t="s">
        <v>2290</v>
      </c>
      <c r="H221" s="179" t="s">
        <v>1007</v>
      </c>
      <c r="I221"/>
      <c r="J221" s="4"/>
      <c r="K221"/>
      <c r="N221" s="179" t="s">
        <v>992</v>
      </c>
      <c r="R221" s="183" t="s">
        <v>1615</v>
      </c>
    </row>
    <row r="222" spans="3:18" hidden="1">
      <c r="C222"/>
      <c r="D222"/>
      <c r="E222"/>
      <c r="H222" s="179" t="s">
        <v>2109</v>
      </c>
      <c r="I222"/>
      <c r="J222" s="4"/>
      <c r="K222"/>
      <c r="M222" s="179" t="s">
        <v>992</v>
      </c>
    </row>
    <row r="223" spans="3:18" hidden="1">
      <c r="C223"/>
      <c r="D223"/>
      <c r="E223"/>
      <c r="H223" s="183" t="s">
        <v>1615</v>
      </c>
      <c r="I223"/>
      <c r="J223" s="4"/>
      <c r="K223"/>
      <c r="O223" s="233" t="s">
        <v>562</v>
      </c>
      <c r="R223" s="186">
        <f>R220/M212</f>
        <v>1899.2</v>
      </c>
    </row>
    <row r="224" spans="3:18" hidden="1">
      <c r="C224"/>
      <c r="D224"/>
      <c r="E224"/>
      <c r="F224" s="186">
        <v>9</v>
      </c>
      <c r="G224" s="185" t="s">
        <v>885</v>
      </c>
      <c r="H224" s="179" t="s">
        <v>1844</v>
      </c>
      <c r="I224" s="8" t="e">
        <f>AC20</f>
        <v>#REF!</v>
      </c>
      <c r="J224" s="2" t="s">
        <v>885</v>
      </c>
      <c r="K224" s="8" t="e">
        <f>(F224*I224)</f>
        <v>#REF!</v>
      </c>
      <c r="M224" s="179" t="s">
        <v>326</v>
      </c>
    </row>
    <row r="225" spans="3:11" hidden="1">
      <c r="C225"/>
      <c r="D225"/>
      <c r="E225"/>
      <c r="F225" s="186">
        <v>4.5</v>
      </c>
      <c r="G225" s="185" t="s">
        <v>885</v>
      </c>
      <c r="H225" s="179" t="s">
        <v>1663</v>
      </c>
      <c r="I225" s="8" t="e">
        <f>K77</f>
        <v>#REF!</v>
      </c>
      <c r="J225" s="2" t="s">
        <v>885</v>
      </c>
      <c r="K225" s="8" t="e">
        <f>(F225*I225)</f>
        <v>#REF!</v>
      </c>
    </row>
    <row r="226" spans="3:11" hidden="1">
      <c r="C226"/>
      <c r="D226"/>
      <c r="E226"/>
      <c r="F226" s="186">
        <v>1.8</v>
      </c>
      <c r="G226" s="185" t="s">
        <v>884</v>
      </c>
      <c r="H226" s="179" t="s">
        <v>1744</v>
      </c>
      <c r="I226" s="8">
        <f>C11</f>
        <v>135</v>
      </c>
      <c r="J226" s="2" t="s">
        <v>884</v>
      </c>
      <c r="K226" s="8">
        <f>(F226*I226)</f>
        <v>243</v>
      </c>
    </row>
    <row r="227" spans="3:11" hidden="1">
      <c r="C227"/>
      <c r="D227"/>
      <c r="E227"/>
      <c r="F227" s="186">
        <v>17.7</v>
      </c>
      <c r="G227" s="185" t="s">
        <v>884</v>
      </c>
      <c r="H227" s="179" t="s">
        <v>1937</v>
      </c>
      <c r="I227" s="8">
        <f>C12</f>
        <v>95</v>
      </c>
      <c r="J227" s="2" t="s">
        <v>884</v>
      </c>
      <c r="K227" s="8">
        <f>(F227*I227)</f>
        <v>1681.5</v>
      </c>
    </row>
    <row r="228" spans="3:11" hidden="1">
      <c r="C228"/>
      <c r="D228"/>
      <c r="E228"/>
      <c r="F228" s="186">
        <v>14.1</v>
      </c>
      <c r="G228" s="185" t="s">
        <v>884</v>
      </c>
      <c r="H228" s="179" t="s">
        <v>325</v>
      </c>
      <c r="I228" s="8">
        <f>C13</f>
        <v>85</v>
      </c>
      <c r="J228" s="2" t="s">
        <v>884</v>
      </c>
      <c r="K228" s="8">
        <f>(F228*I228)</f>
        <v>1198.5</v>
      </c>
    </row>
    <row r="229" spans="3:11" hidden="1">
      <c r="C229"/>
      <c r="D229"/>
      <c r="E229"/>
      <c r="G229" s="185" t="s">
        <v>455</v>
      </c>
      <c r="H229" s="179" t="s">
        <v>456</v>
      </c>
      <c r="I229"/>
      <c r="J229" s="2" t="s">
        <v>455</v>
      </c>
      <c r="K229" s="8">
        <v>0</v>
      </c>
    </row>
    <row r="230" spans="3:11" hidden="1">
      <c r="C230"/>
      <c r="D230"/>
      <c r="E230"/>
      <c r="I230"/>
      <c r="J230" s="4"/>
      <c r="K230" s="5" t="s">
        <v>1615</v>
      </c>
    </row>
    <row r="231" spans="3:11" hidden="1">
      <c r="C231"/>
      <c r="D231"/>
      <c r="E231"/>
      <c r="I231"/>
      <c r="J231" s="4"/>
      <c r="K231" s="8" t="e">
        <f>SUM(K224:K229)</f>
        <v>#REF!</v>
      </c>
    </row>
    <row r="232" spans="3:11" hidden="1">
      <c r="C232"/>
      <c r="D232"/>
      <c r="E232"/>
      <c r="H232" s="179" t="s">
        <v>626</v>
      </c>
      <c r="I232"/>
      <c r="J232" s="4"/>
      <c r="K232" s="5" t="s">
        <v>1615</v>
      </c>
    </row>
    <row r="233" spans="3:11" hidden="1">
      <c r="C233"/>
      <c r="D233"/>
      <c r="E233"/>
      <c r="I233"/>
      <c r="J233" s="4"/>
      <c r="K233" s="8" t="e">
        <f>(K231/10)</f>
        <v>#REF!</v>
      </c>
    </row>
    <row r="234" spans="3:11" hidden="1">
      <c r="C234"/>
      <c r="D234"/>
      <c r="E234"/>
      <c r="H234" s="179" t="s">
        <v>789</v>
      </c>
      <c r="I234"/>
      <c r="J234" s="4"/>
      <c r="K234" s="5" t="s">
        <v>2091</v>
      </c>
    </row>
    <row r="235" spans="3:11" hidden="1">
      <c r="C235"/>
      <c r="D235"/>
      <c r="E235"/>
      <c r="I235"/>
      <c r="J235" s="4"/>
      <c r="K235"/>
    </row>
    <row r="236" spans="3:11" hidden="1">
      <c r="C236"/>
      <c r="D236"/>
      <c r="E236"/>
      <c r="I236"/>
      <c r="J236" s="4"/>
      <c r="K236"/>
    </row>
    <row r="237" spans="3:11" hidden="1">
      <c r="C237"/>
      <c r="D237"/>
      <c r="E237"/>
      <c r="F237" s="243">
        <v>3.6</v>
      </c>
      <c r="H237" s="179" t="s">
        <v>4</v>
      </c>
      <c r="I237"/>
      <c r="J237" s="4"/>
      <c r="K237"/>
    </row>
    <row r="238" spans="3:11" hidden="1">
      <c r="C238"/>
      <c r="D238"/>
      <c r="E238"/>
      <c r="H238" s="179" t="s">
        <v>653</v>
      </c>
      <c r="I238"/>
      <c r="J238" s="4"/>
      <c r="K238"/>
    </row>
    <row r="239" spans="3:11" hidden="1">
      <c r="C239"/>
      <c r="D239"/>
      <c r="E239"/>
      <c r="H239" s="183" t="s">
        <v>2091</v>
      </c>
      <c r="I239"/>
      <c r="J239" s="4"/>
      <c r="K239"/>
    </row>
    <row r="240" spans="3:11" hidden="1">
      <c r="C240"/>
      <c r="D240"/>
      <c r="E240"/>
      <c r="F240" s="186">
        <v>1.25</v>
      </c>
      <c r="G240" s="185" t="s">
        <v>1365</v>
      </c>
      <c r="H240" s="179" t="s">
        <v>1530</v>
      </c>
      <c r="I240" s="8">
        <f>C783</f>
        <v>3.05</v>
      </c>
      <c r="J240" s="2" t="s">
        <v>1365</v>
      </c>
      <c r="K240" s="8">
        <f>(F240*I240)</f>
        <v>3.81</v>
      </c>
    </row>
    <row r="241" spans="3:11" hidden="1">
      <c r="C241"/>
      <c r="D241"/>
      <c r="E241"/>
      <c r="F241" s="186">
        <v>0.75</v>
      </c>
      <c r="G241" s="185" t="s">
        <v>1365</v>
      </c>
      <c r="H241" s="179" t="s">
        <v>2381</v>
      </c>
      <c r="I241" s="8" t="e">
        <f>AC37</f>
        <v>#REF!</v>
      </c>
      <c r="J241" s="2" t="s">
        <v>1365</v>
      </c>
      <c r="K241" s="8" t="e">
        <f>(F241*I241)</f>
        <v>#REF!</v>
      </c>
    </row>
    <row r="242" spans="3:11" hidden="1">
      <c r="C242"/>
      <c r="D242"/>
      <c r="E242"/>
      <c r="F242" s="186">
        <v>0.5</v>
      </c>
      <c r="G242" s="185" t="s">
        <v>1365</v>
      </c>
      <c r="H242" s="179" t="s">
        <v>2135</v>
      </c>
      <c r="I242" s="8" t="e">
        <f>AC36</f>
        <v>#REF!</v>
      </c>
      <c r="J242" s="2" t="s">
        <v>1365</v>
      </c>
      <c r="K242" s="8" t="e">
        <f>(F242*I242)</f>
        <v>#REF!</v>
      </c>
    </row>
    <row r="243" spans="3:11" hidden="1">
      <c r="C243"/>
      <c r="D243"/>
      <c r="E243"/>
      <c r="F243" s="186">
        <v>0.45</v>
      </c>
      <c r="G243" s="185" t="s">
        <v>1365</v>
      </c>
      <c r="H243" s="179" t="s">
        <v>941</v>
      </c>
      <c r="I243" s="8">
        <f>AC38</f>
        <v>169</v>
      </c>
      <c r="J243" s="2" t="s">
        <v>1365</v>
      </c>
      <c r="K243" s="8">
        <f>(F243*I243)</f>
        <v>76.05</v>
      </c>
    </row>
    <row r="244" spans="3:11" hidden="1">
      <c r="C244"/>
      <c r="D244"/>
      <c r="E244"/>
      <c r="F244" s="186">
        <v>10</v>
      </c>
      <c r="G244" s="185" t="s">
        <v>236</v>
      </c>
      <c r="H244" s="179" t="s">
        <v>1950</v>
      </c>
      <c r="I244" s="8">
        <v>17.82</v>
      </c>
      <c r="J244" s="2" t="s">
        <v>236</v>
      </c>
      <c r="K244" s="8">
        <f>(F244*I244)</f>
        <v>178.2</v>
      </c>
    </row>
    <row r="245" spans="3:11" hidden="1">
      <c r="C245"/>
      <c r="D245"/>
      <c r="E245"/>
      <c r="H245" s="179" t="s">
        <v>1951</v>
      </c>
      <c r="I245"/>
      <c r="J245" s="4"/>
      <c r="K245" s="5" t="s">
        <v>1615</v>
      </c>
    </row>
    <row r="246" spans="3:11" hidden="1">
      <c r="C246"/>
      <c r="D246"/>
      <c r="E246"/>
      <c r="H246" s="179" t="s">
        <v>1952</v>
      </c>
      <c r="I246"/>
      <c r="J246" s="4"/>
      <c r="K246" s="8" t="e">
        <f>SUM(K240:K244)</f>
        <v>#REF!</v>
      </c>
    </row>
    <row r="247" spans="3:11" hidden="1">
      <c r="C247"/>
      <c r="D247"/>
      <c r="E247"/>
      <c r="I247"/>
      <c r="J247" s="4"/>
      <c r="K247" s="5" t="s">
        <v>1615</v>
      </c>
    </row>
    <row r="248" spans="3:11" hidden="1">
      <c r="C248"/>
      <c r="D248"/>
      <c r="E248"/>
      <c r="H248" s="179" t="s">
        <v>1953</v>
      </c>
      <c r="I248"/>
      <c r="J248" s="4"/>
      <c r="K248" s="8" t="e">
        <f>K246/10</f>
        <v>#REF!</v>
      </c>
    </row>
    <row r="249" spans="3:11" hidden="1">
      <c r="C249"/>
      <c r="D249"/>
      <c r="E249"/>
      <c r="I249"/>
      <c r="J249" s="4"/>
      <c r="K249" s="5" t="s">
        <v>2091</v>
      </c>
    </row>
    <row r="250" spans="3:11" hidden="1">
      <c r="C250"/>
      <c r="D250"/>
      <c r="E250"/>
      <c r="I250"/>
      <c r="J250" s="4"/>
      <c r="K250"/>
    </row>
    <row r="251" spans="3:11" hidden="1">
      <c r="C251"/>
      <c r="D251"/>
      <c r="E251"/>
      <c r="F251" s="243">
        <v>3.7</v>
      </c>
      <c r="H251" s="179" t="s">
        <v>5</v>
      </c>
      <c r="I251"/>
      <c r="J251" s="4"/>
      <c r="K251"/>
    </row>
    <row r="252" spans="3:11" hidden="1">
      <c r="C252"/>
      <c r="D252"/>
      <c r="E252"/>
      <c r="H252" s="183" t="s">
        <v>1615</v>
      </c>
      <c r="I252"/>
      <c r="J252" s="4"/>
      <c r="K252"/>
    </row>
    <row r="253" spans="3:11" hidden="1">
      <c r="C253"/>
      <c r="D253"/>
      <c r="E253"/>
      <c r="F253" s="186">
        <v>2.7</v>
      </c>
      <c r="G253" s="185" t="s">
        <v>1365</v>
      </c>
      <c r="H253" s="179" t="s">
        <v>154</v>
      </c>
      <c r="I253" s="8" t="e">
        <f>AC35</f>
        <v>#REF!</v>
      </c>
      <c r="J253" s="2" t="s">
        <v>1365</v>
      </c>
      <c r="K253" s="8" t="e">
        <f>(F253*I253)</f>
        <v>#REF!</v>
      </c>
    </row>
    <row r="254" spans="3:11" hidden="1">
      <c r="C254"/>
      <c r="D254"/>
      <c r="E254"/>
      <c r="F254" s="253">
        <v>0.14499999999999999</v>
      </c>
      <c r="G254" s="185" t="s">
        <v>1365</v>
      </c>
      <c r="H254" s="179" t="s">
        <v>928</v>
      </c>
      <c r="I254" s="8" t="e">
        <f>AC17</f>
        <v>#REF!</v>
      </c>
      <c r="J254" s="2" t="s">
        <v>1365</v>
      </c>
      <c r="K254" s="8" t="e">
        <f>(F254*I254)</f>
        <v>#REF!</v>
      </c>
    </row>
    <row r="255" spans="3:11" hidden="1">
      <c r="C255"/>
      <c r="D255"/>
      <c r="E255"/>
      <c r="F255" s="186">
        <v>218.8</v>
      </c>
      <c r="G255" s="185" t="s">
        <v>929</v>
      </c>
      <c r="H255" s="179" t="s">
        <v>930</v>
      </c>
      <c r="I255" s="8">
        <v>12224.58</v>
      </c>
      <c r="J255" s="2" t="s">
        <v>929</v>
      </c>
      <c r="K255" s="8">
        <f>(F255*I255)/1000</f>
        <v>2674.74</v>
      </c>
    </row>
    <row r="256" spans="3:11" hidden="1">
      <c r="C256"/>
      <c r="D256"/>
      <c r="E256"/>
      <c r="F256" s="186">
        <v>100</v>
      </c>
      <c r="G256" s="185" t="s">
        <v>236</v>
      </c>
      <c r="H256" s="179" t="s">
        <v>931</v>
      </c>
      <c r="I256" s="8">
        <v>14.3</v>
      </c>
      <c r="J256" s="2" t="s">
        <v>236</v>
      </c>
      <c r="K256" s="8">
        <f>(F256*I256)</f>
        <v>1430</v>
      </c>
    </row>
    <row r="257" spans="1:33" hidden="1">
      <c r="C257"/>
      <c r="D257"/>
      <c r="E257"/>
      <c r="I257"/>
      <c r="J257" s="4"/>
      <c r="K257" s="5" t="s">
        <v>1615</v>
      </c>
    </row>
    <row r="258" spans="1:33" hidden="1">
      <c r="C258"/>
      <c r="D258"/>
      <c r="E258"/>
      <c r="H258" s="179" t="s">
        <v>932</v>
      </c>
      <c r="I258"/>
      <c r="J258" s="4"/>
      <c r="K258" s="8" t="e">
        <f>SUM(K253:K256)</f>
        <v>#REF!</v>
      </c>
    </row>
    <row r="259" spans="1:33" hidden="1">
      <c r="C259"/>
      <c r="D259"/>
      <c r="E259"/>
      <c r="I259"/>
      <c r="J259" s="4"/>
      <c r="K259" s="5" t="s">
        <v>1615</v>
      </c>
    </row>
    <row r="260" spans="1:33" hidden="1">
      <c r="C260"/>
      <c r="D260"/>
      <c r="E260"/>
      <c r="H260" s="179" t="s">
        <v>1953</v>
      </c>
      <c r="I260"/>
      <c r="J260" s="4"/>
      <c r="K260" s="8" t="e">
        <f>K258/100</f>
        <v>#REF!</v>
      </c>
    </row>
    <row r="261" spans="1:33" hidden="1">
      <c r="C261"/>
      <c r="D261"/>
      <c r="E261"/>
      <c r="F261" s="179" t="s">
        <v>992</v>
      </c>
      <c r="G261" s="185" t="s">
        <v>992</v>
      </c>
      <c r="I261"/>
      <c r="J261" s="4"/>
      <c r="K261" s="5" t="s">
        <v>2091</v>
      </c>
    </row>
    <row r="262" spans="1:33" hidden="1">
      <c r="C262"/>
      <c r="D262"/>
      <c r="E262"/>
      <c r="I262"/>
      <c r="J262" s="4"/>
      <c r="K262"/>
    </row>
    <row r="263" spans="1:33" hidden="1">
      <c r="C263"/>
      <c r="D263"/>
      <c r="E263"/>
      <c r="I263"/>
      <c r="J263" s="4"/>
      <c r="K263"/>
    </row>
    <row r="264" spans="1:33" hidden="1">
      <c r="A264" s="237">
        <f>(A205+1)</f>
        <v>105</v>
      </c>
      <c r="B264" s="179" t="s">
        <v>1845</v>
      </c>
      <c r="C264" s="8">
        <v>50.5</v>
      </c>
      <c r="D264" s="1" t="s">
        <v>785</v>
      </c>
      <c r="E264"/>
      <c r="F264" s="233" t="s">
        <v>686</v>
      </c>
      <c r="H264" s="179" t="s">
        <v>1635</v>
      </c>
      <c r="I264"/>
      <c r="J264" s="4"/>
      <c r="K264"/>
      <c r="N264" s="179" t="s">
        <v>687</v>
      </c>
      <c r="O264" s="179" t="s">
        <v>850</v>
      </c>
      <c r="AG264" s="179" t="s">
        <v>2298</v>
      </c>
    </row>
    <row r="265" spans="1:33" hidden="1">
      <c r="A265" s="237">
        <f t="shared" ref="A265:A279" si="13">(A264+1)</f>
        <v>106</v>
      </c>
      <c r="B265" s="179" t="s">
        <v>851</v>
      </c>
      <c r="C265" s="8">
        <v>115</v>
      </c>
      <c r="D265" s="1" t="s">
        <v>785</v>
      </c>
      <c r="E265"/>
      <c r="H265" s="183" t="s">
        <v>2091</v>
      </c>
      <c r="I265"/>
      <c r="J265" s="4"/>
      <c r="K265"/>
      <c r="O265" s="183" t="s">
        <v>1615</v>
      </c>
      <c r="AG265" s="179" t="s">
        <v>2298</v>
      </c>
    </row>
    <row r="266" spans="1:33" hidden="1">
      <c r="A266" s="237">
        <f t="shared" si="13"/>
        <v>107</v>
      </c>
      <c r="B266" s="179" t="s">
        <v>2382</v>
      </c>
      <c r="C266" s="8">
        <v>63</v>
      </c>
      <c r="D266" s="8">
        <v>90</v>
      </c>
      <c r="E266"/>
      <c r="G266" s="185" t="s">
        <v>2290</v>
      </c>
      <c r="H266" s="179" t="s">
        <v>406</v>
      </c>
      <c r="I266"/>
      <c r="J266" s="4"/>
      <c r="K266"/>
      <c r="M266" s="186">
        <v>1.1399999999999999</v>
      </c>
      <c r="N266" s="179" t="s">
        <v>885</v>
      </c>
      <c r="O266" s="179" t="s">
        <v>2318</v>
      </c>
      <c r="P266" s="186" t="e">
        <f>(K419)</f>
        <v>#REF!</v>
      </c>
      <c r="Q266" s="179" t="s">
        <v>884</v>
      </c>
      <c r="R266" s="186" t="e">
        <f>(M266*P266)</f>
        <v>#REF!</v>
      </c>
      <c r="AG266" s="179" t="s">
        <v>2298</v>
      </c>
    </row>
    <row r="267" spans="1:33" hidden="1">
      <c r="A267" s="237">
        <f t="shared" si="13"/>
        <v>108</v>
      </c>
      <c r="B267" s="179" t="s">
        <v>2383</v>
      </c>
      <c r="C267" s="8">
        <v>10705</v>
      </c>
      <c r="D267" s="1" t="s">
        <v>885</v>
      </c>
      <c r="E267"/>
      <c r="H267" s="179" t="s">
        <v>2308</v>
      </c>
      <c r="I267"/>
      <c r="J267" s="4"/>
      <c r="K267"/>
      <c r="M267" s="186">
        <v>1</v>
      </c>
      <c r="N267" s="179" t="s">
        <v>785</v>
      </c>
      <c r="O267" s="179" t="s">
        <v>2045</v>
      </c>
      <c r="P267" s="186">
        <f>(C10)</f>
        <v>150</v>
      </c>
      <c r="Q267" s="179" t="s">
        <v>884</v>
      </c>
      <c r="R267" s="186">
        <f>(M267*P267)</f>
        <v>150</v>
      </c>
      <c r="AG267" s="179" t="s">
        <v>2298</v>
      </c>
    </row>
    <row r="268" spans="1:33" hidden="1">
      <c r="A268" s="237">
        <f t="shared" si="13"/>
        <v>109</v>
      </c>
      <c r="B268" s="179" t="s">
        <v>3218</v>
      </c>
      <c r="C268" s="8">
        <v>9395</v>
      </c>
      <c r="D268" s="1" t="s">
        <v>885</v>
      </c>
      <c r="E268"/>
      <c r="H268" s="183" t="s">
        <v>1615</v>
      </c>
      <c r="I268"/>
      <c r="J268" s="4"/>
      <c r="K268"/>
      <c r="N268" s="179" t="s">
        <v>455</v>
      </c>
      <c r="O268" s="179" t="s">
        <v>456</v>
      </c>
      <c r="P268" s="179" t="s">
        <v>992</v>
      </c>
      <c r="Q268" s="179" t="s">
        <v>455</v>
      </c>
      <c r="R268" s="186">
        <v>0.05</v>
      </c>
      <c r="AG268" s="179" t="s">
        <v>2298</v>
      </c>
    </row>
    <row r="269" spans="1:33" hidden="1">
      <c r="A269" s="237">
        <f t="shared" si="13"/>
        <v>110</v>
      </c>
      <c r="B269" s="179" t="s">
        <v>3219</v>
      </c>
      <c r="C269" s="8">
        <v>15</v>
      </c>
      <c r="D269" s="1" t="s">
        <v>785</v>
      </c>
      <c r="E269"/>
      <c r="F269" s="186">
        <v>9</v>
      </c>
      <c r="G269" s="185" t="s">
        <v>885</v>
      </c>
      <c r="H269" s="179" t="s">
        <v>445</v>
      </c>
      <c r="I269" s="8" t="e">
        <f>(C73)</f>
        <v>#REF!</v>
      </c>
      <c r="J269" s="2" t="s">
        <v>885</v>
      </c>
      <c r="K269" s="8" t="e">
        <f t="shared" ref="K269:K274" si="14">(F269*I269)</f>
        <v>#REF!</v>
      </c>
      <c r="R269" s="183" t="s">
        <v>1615</v>
      </c>
      <c r="AG269" s="179" t="s">
        <v>2298</v>
      </c>
    </row>
    <row r="270" spans="1:33" hidden="1">
      <c r="A270" s="237">
        <f t="shared" si="13"/>
        <v>111</v>
      </c>
      <c r="B270" s="179" t="s">
        <v>446</v>
      </c>
      <c r="C270" s="8">
        <v>35</v>
      </c>
      <c r="D270" s="1" t="s">
        <v>1676</v>
      </c>
      <c r="E270" s="105">
        <v>120</v>
      </c>
      <c r="F270" s="242">
        <v>3.2309999999999999</v>
      </c>
      <c r="G270" s="185" t="s">
        <v>877</v>
      </c>
      <c r="H270" s="179" t="s">
        <v>878</v>
      </c>
      <c r="I270" s="8">
        <f>(C67)</f>
        <v>3800</v>
      </c>
      <c r="J270" s="2" t="s">
        <v>877</v>
      </c>
      <c r="K270" s="8">
        <f t="shared" si="14"/>
        <v>12277.8</v>
      </c>
      <c r="O270" s="179" t="s">
        <v>447</v>
      </c>
      <c r="R270" s="186" t="e">
        <f>SUM(R266:R268)</f>
        <v>#REF!</v>
      </c>
      <c r="AG270" s="179" t="s">
        <v>2298</v>
      </c>
    </row>
    <row r="271" spans="1:33" hidden="1">
      <c r="A271" s="237">
        <f t="shared" si="13"/>
        <v>112</v>
      </c>
      <c r="B271" s="179" t="s">
        <v>3038</v>
      </c>
      <c r="C271" s="8">
        <v>160</v>
      </c>
      <c r="D271" s="8">
        <v>452.09</v>
      </c>
      <c r="E271"/>
      <c r="F271" s="186">
        <v>4.5</v>
      </c>
      <c r="G271" s="185" t="s">
        <v>885</v>
      </c>
      <c r="H271" s="179" t="s">
        <v>886</v>
      </c>
      <c r="I271" s="8" t="e">
        <f>(C78)</f>
        <v>#REF!</v>
      </c>
      <c r="J271" s="2" t="s">
        <v>885</v>
      </c>
      <c r="K271" s="8" t="e">
        <f t="shared" si="14"/>
        <v>#REF!</v>
      </c>
      <c r="R271" s="183" t="s">
        <v>1615</v>
      </c>
      <c r="AG271" s="179" t="s">
        <v>2298</v>
      </c>
    </row>
    <row r="272" spans="1:33" hidden="1">
      <c r="A272" s="237">
        <f t="shared" si="13"/>
        <v>113</v>
      </c>
      <c r="B272" s="179" t="s">
        <v>1401</v>
      </c>
      <c r="C272" s="8">
        <v>13.5</v>
      </c>
      <c r="D272" s="1" t="s">
        <v>1805</v>
      </c>
      <c r="E272"/>
      <c r="F272" s="186">
        <v>3.5</v>
      </c>
      <c r="G272" s="185" t="s">
        <v>884</v>
      </c>
      <c r="H272" s="179" t="s">
        <v>1744</v>
      </c>
      <c r="I272" s="8">
        <f>(C11)</f>
        <v>135</v>
      </c>
      <c r="J272" s="2" t="s">
        <v>884</v>
      </c>
      <c r="K272" s="8">
        <f t="shared" si="14"/>
        <v>472.5</v>
      </c>
      <c r="O272" s="179" t="s">
        <v>562</v>
      </c>
      <c r="R272" s="186" t="e">
        <f>(R270/10)</f>
        <v>#REF!</v>
      </c>
      <c r="AG272" s="179" t="s">
        <v>2298</v>
      </c>
    </row>
    <row r="273" spans="1:33" hidden="1">
      <c r="A273" s="237">
        <f t="shared" si="13"/>
        <v>114</v>
      </c>
      <c r="B273" s="179" t="s">
        <v>1402</v>
      </c>
      <c r="C273" s="8">
        <v>18.809999999999999</v>
      </c>
      <c r="D273" s="1" t="s">
        <v>785</v>
      </c>
      <c r="E273"/>
      <c r="F273" s="186">
        <v>21.2</v>
      </c>
      <c r="G273" s="185" t="s">
        <v>884</v>
      </c>
      <c r="H273" s="179" t="s">
        <v>1937</v>
      </c>
      <c r="I273" s="8">
        <f>(C12)</f>
        <v>95</v>
      </c>
      <c r="J273" s="2" t="s">
        <v>884</v>
      </c>
      <c r="K273" s="8">
        <f t="shared" si="14"/>
        <v>2014</v>
      </c>
      <c r="R273" s="183" t="s">
        <v>2091</v>
      </c>
      <c r="AG273" s="179" t="s">
        <v>2298</v>
      </c>
    </row>
    <row r="274" spans="1:33" hidden="1">
      <c r="A274" s="237">
        <f t="shared" si="13"/>
        <v>115</v>
      </c>
      <c r="B274" s="179" t="s">
        <v>1403</v>
      </c>
      <c r="C274" s="8">
        <v>14.15</v>
      </c>
      <c r="D274" s="1" t="s">
        <v>785</v>
      </c>
      <c r="E274"/>
      <c r="F274" s="186">
        <v>35.299999999999997</v>
      </c>
      <c r="G274" s="185" t="s">
        <v>884</v>
      </c>
      <c r="H274" s="179" t="s">
        <v>325</v>
      </c>
      <c r="I274" s="8">
        <f>(C13)</f>
        <v>85</v>
      </c>
      <c r="J274" s="2" t="s">
        <v>884</v>
      </c>
      <c r="K274" s="8">
        <f t="shared" si="14"/>
        <v>3000.5</v>
      </c>
      <c r="N274" s="179" t="s">
        <v>1155</v>
      </c>
      <c r="O274" s="179" t="s">
        <v>391</v>
      </c>
      <c r="R274" s="186" t="e">
        <f>(R272+C19/10*M266)</f>
        <v>#REF!</v>
      </c>
      <c r="AG274" s="179" t="s">
        <v>2298</v>
      </c>
    </row>
    <row r="275" spans="1:33" hidden="1">
      <c r="A275" s="237">
        <f t="shared" si="13"/>
        <v>116</v>
      </c>
      <c r="B275" s="179" t="s">
        <v>671</v>
      </c>
      <c r="C275" s="8">
        <v>16.440000000000001</v>
      </c>
      <c r="D275" s="1" t="s">
        <v>785</v>
      </c>
      <c r="E275"/>
      <c r="G275" s="185" t="s">
        <v>455</v>
      </c>
      <c r="H275" s="179" t="s">
        <v>456</v>
      </c>
      <c r="I275" s="1" t="s">
        <v>992</v>
      </c>
      <c r="J275" s="2" t="s">
        <v>455</v>
      </c>
      <c r="K275" s="8">
        <v>0</v>
      </c>
      <c r="N275" s="179" t="s">
        <v>672</v>
      </c>
      <c r="O275" s="179" t="s">
        <v>393</v>
      </c>
      <c r="R275" s="186" t="e">
        <f>(R274+C20/10*M266)</f>
        <v>#REF!</v>
      </c>
      <c r="AG275" s="179" t="s">
        <v>2298</v>
      </c>
    </row>
    <row r="276" spans="1:33" hidden="1">
      <c r="A276" s="237">
        <f t="shared" si="13"/>
        <v>117</v>
      </c>
      <c r="B276" s="179" t="s">
        <v>673</v>
      </c>
      <c r="C276" s="8">
        <v>8</v>
      </c>
      <c r="D276" s="8">
        <v>6.25</v>
      </c>
      <c r="E276"/>
      <c r="I276"/>
      <c r="J276" s="4"/>
      <c r="K276" s="5" t="s">
        <v>1615</v>
      </c>
      <c r="N276" s="179" t="s">
        <v>684</v>
      </c>
      <c r="O276" s="179" t="s">
        <v>2271</v>
      </c>
      <c r="R276" s="186" t="e">
        <f>(R275+C21/10*M266)</f>
        <v>#REF!</v>
      </c>
      <c r="AG276" s="179" t="s">
        <v>2298</v>
      </c>
    </row>
    <row r="277" spans="1:33" hidden="1">
      <c r="A277" s="237">
        <f t="shared" si="13"/>
        <v>118</v>
      </c>
      <c r="B277" s="179" t="s">
        <v>685</v>
      </c>
      <c r="C277" s="8">
        <v>170.39</v>
      </c>
      <c r="D277" s="1" t="s">
        <v>621</v>
      </c>
      <c r="E277"/>
      <c r="H277" s="179" t="s">
        <v>2210</v>
      </c>
      <c r="I277"/>
      <c r="J277" s="4"/>
      <c r="K277" s="8" t="e">
        <f>SUM(K269:K275)</f>
        <v>#REF!</v>
      </c>
      <c r="N277" s="179" t="s">
        <v>2211</v>
      </c>
      <c r="O277" s="179" t="s">
        <v>385</v>
      </c>
      <c r="R277" s="186" t="e">
        <f>(R276+C21/10*M266)</f>
        <v>#REF!</v>
      </c>
      <c r="AG277" s="179" t="s">
        <v>2298</v>
      </c>
    </row>
    <row r="278" spans="1:33" hidden="1">
      <c r="A278" s="237">
        <f t="shared" si="13"/>
        <v>119</v>
      </c>
      <c r="B278" s="179" t="s">
        <v>3039</v>
      </c>
      <c r="C278" s="8">
        <v>45</v>
      </c>
      <c r="D278" s="1" t="s">
        <v>785</v>
      </c>
      <c r="E278"/>
      <c r="I278"/>
      <c r="J278" s="4"/>
      <c r="K278" s="5" t="s">
        <v>1615</v>
      </c>
      <c r="AG278" s="179" t="s">
        <v>2298</v>
      </c>
    </row>
    <row r="279" spans="1:33" hidden="1">
      <c r="A279" s="237">
        <f t="shared" si="13"/>
        <v>120</v>
      </c>
      <c r="B279" s="179" t="s">
        <v>3040</v>
      </c>
      <c r="C279" s="8">
        <v>31.24</v>
      </c>
      <c r="D279" s="1" t="s">
        <v>785</v>
      </c>
      <c r="E279"/>
      <c r="H279" s="179" t="s">
        <v>789</v>
      </c>
      <c r="I279"/>
      <c r="J279" s="4"/>
      <c r="K279" s="8" t="e">
        <f>(K277/10)</f>
        <v>#REF!</v>
      </c>
      <c r="N279" s="179" t="s">
        <v>687</v>
      </c>
      <c r="O279" s="179" t="s">
        <v>2212</v>
      </c>
      <c r="R279" s="179" t="s">
        <v>992</v>
      </c>
      <c r="AG279" s="179" t="s">
        <v>2298</v>
      </c>
    </row>
    <row r="280" spans="1:33" hidden="1">
      <c r="C280"/>
      <c r="D280"/>
      <c r="E280"/>
      <c r="F280" s="179" t="s">
        <v>992</v>
      </c>
      <c r="I280"/>
      <c r="J280" s="4"/>
      <c r="K280"/>
    </row>
    <row r="281" spans="1:33" hidden="1">
      <c r="A281" s="237">
        <f>(A279+1)</f>
        <v>121</v>
      </c>
      <c r="B281" s="179" t="s">
        <v>3041</v>
      </c>
      <c r="C281" s="8">
        <v>25</v>
      </c>
      <c r="D281" s="1" t="s">
        <v>785</v>
      </c>
      <c r="E281"/>
      <c r="I281"/>
      <c r="J281" s="4"/>
      <c r="K281"/>
      <c r="O281" s="179" t="s">
        <v>1612</v>
      </c>
      <c r="AG281" s="179" t="s">
        <v>2298</v>
      </c>
    </row>
    <row r="282" spans="1:33" hidden="1">
      <c r="A282" s="237">
        <f t="shared" ref="A282:A326" si="15">(A281+1)</f>
        <v>122</v>
      </c>
      <c r="B282" s="179" t="s">
        <v>3042</v>
      </c>
      <c r="C282" s="8">
        <v>13</v>
      </c>
      <c r="D282" s="1" t="s">
        <v>785</v>
      </c>
      <c r="E282"/>
      <c r="F282" s="186">
        <v>1</v>
      </c>
      <c r="G282" s="185" t="s">
        <v>885</v>
      </c>
      <c r="H282" s="179" t="s">
        <v>46</v>
      </c>
      <c r="I282"/>
      <c r="J282" s="4"/>
      <c r="K282" s="8">
        <f>(C25)</f>
        <v>20.7</v>
      </c>
      <c r="O282" s="183" t="s">
        <v>1615</v>
      </c>
      <c r="AG282" s="179" t="s">
        <v>2298</v>
      </c>
    </row>
    <row r="283" spans="1:33" hidden="1">
      <c r="A283" s="237">
        <f t="shared" si="15"/>
        <v>123</v>
      </c>
      <c r="B283" s="179" t="s">
        <v>3207</v>
      </c>
      <c r="C283" s="8">
        <v>30</v>
      </c>
      <c r="D283" s="1" t="s">
        <v>785</v>
      </c>
      <c r="E283"/>
      <c r="I283"/>
      <c r="J283" s="4"/>
      <c r="K283" s="5" t="s">
        <v>1615</v>
      </c>
      <c r="M283" s="186">
        <v>10</v>
      </c>
      <c r="N283" s="179" t="s">
        <v>621</v>
      </c>
      <c r="O283" s="179" t="s">
        <v>47</v>
      </c>
      <c r="P283" s="186" t="e">
        <f>(K1191)</f>
        <v>#REF!</v>
      </c>
      <c r="Q283" s="179" t="s">
        <v>621</v>
      </c>
      <c r="R283" s="186" t="e">
        <f>(M283*P283)</f>
        <v>#REF!</v>
      </c>
      <c r="AG283" s="179" t="s">
        <v>2298</v>
      </c>
    </row>
    <row r="284" spans="1:33" hidden="1">
      <c r="A284" s="237">
        <f t="shared" si="15"/>
        <v>124</v>
      </c>
      <c r="B284" s="179" t="s">
        <v>3208</v>
      </c>
      <c r="C284" s="8">
        <v>20</v>
      </c>
      <c r="D284" s="1" t="s">
        <v>785</v>
      </c>
      <c r="E284" s="105">
        <v>25</v>
      </c>
      <c r="H284" s="179" t="s">
        <v>614</v>
      </c>
      <c r="I284"/>
      <c r="J284" s="4"/>
      <c r="K284" s="8" t="e">
        <f>SUM(K279:K282)</f>
        <v>#REF!</v>
      </c>
      <c r="M284" s="186">
        <v>1.1000000000000001</v>
      </c>
      <c r="N284" s="179" t="s">
        <v>884</v>
      </c>
      <c r="O284" s="179" t="s">
        <v>1744</v>
      </c>
      <c r="P284" s="186">
        <f>(C11)</f>
        <v>135</v>
      </c>
      <c r="Q284" s="179" t="s">
        <v>884</v>
      </c>
      <c r="R284" s="186">
        <f>(M284*P284)</f>
        <v>148.5</v>
      </c>
      <c r="AG284" s="179" t="s">
        <v>2298</v>
      </c>
    </row>
    <row r="285" spans="1:33" hidden="1">
      <c r="A285" s="237">
        <f t="shared" si="15"/>
        <v>125</v>
      </c>
      <c r="B285" s="179" t="s">
        <v>615</v>
      </c>
      <c r="C285" s="8">
        <v>95</v>
      </c>
      <c r="D285" s="1" t="s">
        <v>785</v>
      </c>
      <c r="E285"/>
      <c r="I285"/>
      <c r="J285" s="4"/>
      <c r="K285" s="5" t="s">
        <v>1615</v>
      </c>
      <c r="M285" s="186">
        <v>1.1000000000000001</v>
      </c>
      <c r="N285" s="179" t="s">
        <v>884</v>
      </c>
      <c r="O285" s="179" t="s">
        <v>1937</v>
      </c>
      <c r="P285" s="186">
        <f>(C12)</f>
        <v>95</v>
      </c>
      <c r="Q285" s="179" t="s">
        <v>884</v>
      </c>
      <c r="R285" s="186">
        <f>(M285*P285)</f>
        <v>104.5</v>
      </c>
      <c r="AG285" s="179" t="s">
        <v>2298</v>
      </c>
    </row>
    <row r="286" spans="1:33" hidden="1">
      <c r="A286" s="237">
        <f t="shared" si="15"/>
        <v>126</v>
      </c>
      <c r="B286" s="179" t="s">
        <v>449</v>
      </c>
      <c r="C286" s="8">
        <v>80</v>
      </c>
      <c r="D286" s="1" t="s">
        <v>785</v>
      </c>
      <c r="E286"/>
      <c r="H286" s="179" t="s">
        <v>391</v>
      </c>
      <c r="I286"/>
      <c r="J286" s="4"/>
      <c r="K286" s="8" t="e">
        <f>(K284+C22)</f>
        <v>#REF!</v>
      </c>
      <c r="M286" s="186">
        <v>1.1000000000000001</v>
      </c>
      <c r="N286" s="179" t="s">
        <v>884</v>
      </c>
      <c r="O286" s="179" t="s">
        <v>325</v>
      </c>
      <c r="P286" s="186">
        <f>(C13)</f>
        <v>85</v>
      </c>
      <c r="Q286" s="179" t="s">
        <v>884</v>
      </c>
      <c r="R286" s="186">
        <f>(M286*P286)</f>
        <v>93.5</v>
      </c>
      <c r="AG286" s="179" t="s">
        <v>2298</v>
      </c>
    </row>
    <row r="287" spans="1:33" hidden="1">
      <c r="A287" s="237">
        <f t="shared" si="15"/>
        <v>127</v>
      </c>
      <c r="B287" s="179" t="s">
        <v>1839</v>
      </c>
      <c r="C287" s="8">
        <v>8</v>
      </c>
      <c r="D287" s="1" t="s">
        <v>785</v>
      </c>
      <c r="E287"/>
      <c r="H287" s="179" t="s">
        <v>393</v>
      </c>
      <c r="I287"/>
      <c r="J287" s="4"/>
      <c r="K287" s="8" t="e">
        <f>(K286+C23)</f>
        <v>#REF!</v>
      </c>
      <c r="R287" s="183" t="s">
        <v>1615</v>
      </c>
      <c r="AG287" s="179" t="s">
        <v>2298</v>
      </c>
    </row>
    <row r="288" spans="1:33" hidden="1">
      <c r="A288" s="237">
        <f t="shared" si="15"/>
        <v>128</v>
      </c>
      <c r="B288" s="179" t="s">
        <v>1172</v>
      </c>
      <c r="C288" s="8">
        <v>8</v>
      </c>
      <c r="D288" s="1" t="s">
        <v>785</v>
      </c>
      <c r="E288"/>
      <c r="H288" s="179" t="s">
        <v>2271</v>
      </c>
      <c r="I288"/>
      <c r="J288" s="4"/>
      <c r="K288" s="8" t="e">
        <f>(K287+C24)</f>
        <v>#REF!</v>
      </c>
      <c r="O288" s="179" t="s">
        <v>447</v>
      </c>
      <c r="R288" s="186" t="e">
        <f>SUM(R283:R286)</f>
        <v>#REF!</v>
      </c>
      <c r="AG288" s="179" t="s">
        <v>2298</v>
      </c>
    </row>
    <row r="289" spans="1:33" hidden="1">
      <c r="A289" s="237">
        <f t="shared" si="15"/>
        <v>129</v>
      </c>
      <c r="B289" s="179" t="s">
        <v>1173</v>
      </c>
      <c r="C289" s="8">
        <v>2.9</v>
      </c>
      <c r="D289" s="1" t="s">
        <v>1174</v>
      </c>
      <c r="E289"/>
      <c r="H289" s="179" t="s">
        <v>385</v>
      </c>
      <c r="I289"/>
      <c r="J289" s="4"/>
      <c r="K289" s="8" t="e">
        <f>(K288+C24)</f>
        <v>#REF!</v>
      </c>
      <c r="R289" s="183" t="s">
        <v>1615</v>
      </c>
      <c r="AG289" s="179" t="s">
        <v>2298</v>
      </c>
    </row>
    <row r="290" spans="1:33" hidden="1">
      <c r="A290" s="237">
        <f t="shared" si="15"/>
        <v>130</v>
      </c>
      <c r="B290" s="179" t="s">
        <v>1175</v>
      </c>
      <c r="C290" s="8">
        <v>20.6</v>
      </c>
      <c r="D290" s="1" t="s">
        <v>1174</v>
      </c>
      <c r="E290"/>
      <c r="H290" s="179" t="s">
        <v>494</v>
      </c>
      <c r="I290"/>
      <c r="J290" s="4"/>
      <c r="K290" s="8" t="e">
        <f>(K289+C24)</f>
        <v>#REF!</v>
      </c>
      <c r="O290" s="179" t="s">
        <v>562</v>
      </c>
      <c r="R290" s="186" t="e">
        <f>(R288/10)</f>
        <v>#REF!</v>
      </c>
      <c r="AG290" s="179" t="s">
        <v>2298</v>
      </c>
    </row>
    <row r="291" spans="1:33" hidden="1">
      <c r="A291" s="237">
        <f t="shared" si="15"/>
        <v>131</v>
      </c>
      <c r="B291" s="179" t="s">
        <v>495</v>
      </c>
      <c r="C291" s="8">
        <v>15.6</v>
      </c>
      <c r="D291" s="1" t="s">
        <v>785</v>
      </c>
      <c r="E291"/>
      <c r="I291"/>
      <c r="J291" s="4"/>
      <c r="K291"/>
      <c r="R291" s="183" t="s">
        <v>2091</v>
      </c>
      <c r="AG291" s="179" t="s">
        <v>2298</v>
      </c>
    </row>
    <row r="292" spans="1:33" hidden="1">
      <c r="A292" s="237">
        <f t="shared" si="15"/>
        <v>132</v>
      </c>
      <c r="B292" s="179" t="s">
        <v>496</v>
      </c>
      <c r="C292" s="8">
        <v>12.6</v>
      </c>
      <c r="D292" s="1" t="s">
        <v>785</v>
      </c>
      <c r="E292"/>
      <c r="F292" s="233" t="s">
        <v>1538</v>
      </c>
      <c r="G292" s="185" t="s">
        <v>2290</v>
      </c>
      <c r="H292" s="179" t="s">
        <v>497</v>
      </c>
      <c r="I292"/>
      <c r="J292" s="4"/>
      <c r="K292"/>
      <c r="AG292" s="179" t="s">
        <v>2298</v>
      </c>
    </row>
    <row r="293" spans="1:33" hidden="1">
      <c r="A293" s="237">
        <f t="shared" si="15"/>
        <v>133</v>
      </c>
      <c r="B293" s="179" t="s">
        <v>498</v>
      </c>
      <c r="C293" s="8">
        <v>5.75</v>
      </c>
      <c r="D293" s="1" t="s">
        <v>785</v>
      </c>
      <c r="E293"/>
      <c r="H293" s="183" t="s">
        <v>2091</v>
      </c>
      <c r="I293"/>
      <c r="J293" s="4"/>
      <c r="K293"/>
      <c r="N293" s="179" t="s">
        <v>2290</v>
      </c>
      <c r="O293" s="179" t="s">
        <v>1146</v>
      </c>
      <c r="AG293" s="179" t="s">
        <v>2298</v>
      </c>
    </row>
    <row r="294" spans="1:33" hidden="1">
      <c r="A294" s="237">
        <f t="shared" si="15"/>
        <v>134</v>
      </c>
      <c r="B294" s="179" t="s">
        <v>1147</v>
      </c>
      <c r="C294" s="8">
        <v>8.5</v>
      </c>
      <c r="D294" s="1" t="s">
        <v>785</v>
      </c>
      <c r="E294"/>
      <c r="F294" s="186">
        <v>10</v>
      </c>
      <c r="G294" s="185" t="s">
        <v>885</v>
      </c>
      <c r="H294" s="179" t="s">
        <v>881</v>
      </c>
      <c r="I294" s="8" t="e">
        <f>(C68)</f>
        <v>#REF!</v>
      </c>
      <c r="J294" s="2" t="s">
        <v>885</v>
      </c>
      <c r="K294" s="8" t="e">
        <f t="shared" ref="K294:K300" si="16">(F294*I294)</f>
        <v>#REF!</v>
      </c>
      <c r="O294" s="183" t="s">
        <v>1615</v>
      </c>
      <c r="AG294" s="179" t="s">
        <v>2298</v>
      </c>
    </row>
    <row r="295" spans="1:33" hidden="1">
      <c r="A295" s="237">
        <f t="shared" si="15"/>
        <v>135</v>
      </c>
      <c r="B295" s="179" t="s">
        <v>1284</v>
      </c>
      <c r="C295" s="8">
        <v>10</v>
      </c>
      <c r="D295" s="1" t="s">
        <v>785</v>
      </c>
      <c r="E295"/>
      <c r="F295" s="186">
        <v>1</v>
      </c>
      <c r="G295" s="185" t="s">
        <v>885</v>
      </c>
      <c r="H295" s="179" t="s">
        <v>888</v>
      </c>
      <c r="I295" s="8" t="e">
        <f>(C69)</f>
        <v>#REF!</v>
      </c>
      <c r="J295" s="2" t="s">
        <v>885</v>
      </c>
      <c r="K295" s="8" t="e">
        <f t="shared" si="16"/>
        <v>#REF!</v>
      </c>
      <c r="M295" s="186">
        <v>0.14000000000000001</v>
      </c>
      <c r="N295" s="179" t="s">
        <v>885</v>
      </c>
      <c r="O295" s="179" t="s">
        <v>1377</v>
      </c>
      <c r="P295" s="186" t="e">
        <f>(K32)</f>
        <v>#REF!</v>
      </c>
      <c r="Q295" s="179" t="s">
        <v>885</v>
      </c>
      <c r="R295" s="186" t="e">
        <f>(M295*P295)</f>
        <v>#REF!</v>
      </c>
      <c r="AG295" s="179" t="s">
        <v>2298</v>
      </c>
    </row>
    <row r="296" spans="1:33" hidden="1">
      <c r="A296" s="237">
        <f t="shared" si="15"/>
        <v>136</v>
      </c>
      <c r="B296" s="179" t="s">
        <v>1285</v>
      </c>
      <c r="C296" s="8">
        <v>3.25</v>
      </c>
      <c r="D296" s="1" t="s">
        <v>785</v>
      </c>
      <c r="E296"/>
      <c r="F296" s="186">
        <v>3.4</v>
      </c>
      <c r="G296" s="185" t="s">
        <v>885</v>
      </c>
      <c r="H296" s="179" t="s">
        <v>1656</v>
      </c>
      <c r="I296" s="8" t="e">
        <f>(K49)</f>
        <v>#REF!</v>
      </c>
      <c r="J296" s="2" t="s">
        <v>885</v>
      </c>
      <c r="K296" s="8" t="e">
        <f t="shared" si="16"/>
        <v>#REF!</v>
      </c>
      <c r="M296" s="186">
        <v>1.1000000000000001</v>
      </c>
      <c r="N296" s="179" t="s">
        <v>884</v>
      </c>
      <c r="O296" s="179" t="s">
        <v>2045</v>
      </c>
      <c r="P296" s="186">
        <f>(C10)</f>
        <v>150</v>
      </c>
      <c r="Q296" s="179" t="s">
        <v>884</v>
      </c>
      <c r="R296" s="186">
        <f>(M296*P296)</f>
        <v>165</v>
      </c>
      <c r="AG296" s="179" t="s">
        <v>2298</v>
      </c>
    </row>
    <row r="297" spans="1:33" hidden="1">
      <c r="A297" s="237">
        <f t="shared" si="15"/>
        <v>137</v>
      </c>
      <c r="B297" s="179" t="s">
        <v>1286</v>
      </c>
      <c r="C297" s="8">
        <v>2.2000000000000002</v>
      </c>
      <c r="D297" s="1" t="s">
        <v>785</v>
      </c>
      <c r="E297"/>
      <c r="F297" s="186">
        <v>7.1</v>
      </c>
      <c r="G297" s="185" t="s">
        <v>884</v>
      </c>
      <c r="H297" s="179" t="s">
        <v>2045</v>
      </c>
      <c r="I297" s="8">
        <f>(C10)</f>
        <v>150</v>
      </c>
      <c r="J297" s="2" t="s">
        <v>884</v>
      </c>
      <c r="K297" s="8">
        <f t="shared" si="16"/>
        <v>1065</v>
      </c>
      <c r="M297" s="186">
        <v>0.5</v>
      </c>
      <c r="N297" s="179" t="s">
        <v>884</v>
      </c>
      <c r="O297" s="179" t="s">
        <v>1937</v>
      </c>
      <c r="P297" s="186">
        <f>(C12)</f>
        <v>95</v>
      </c>
      <c r="Q297" s="179" t="s">
        <v>884</v>
      </c>
      <c r="R297" s="186">
        <f>(M297*P297)</f>
        <v>47.5</v>
      </c>
      <c r="AG297" s="179" t="s">
        <v>2298</v>
      </c>
    </row>
    <row r="298" spans="1:33" hidden="1">
      <c r="A298" s="237">
        <f t="shared" si="15"/>
        <v>138</v>
      </c>
      <c r="B298" s="179" t="s">
        <v>1475</v>
      </c>
      <c r="C298" s="8">
        <v>10.5</v>
      </c>
      <c r="D298" s="1" t="s">
        <v>785</v>
      </c>
      <c r="E298"/>
      <c r="F298" s="186">
        <v>10.6</v>
      </c>
      <c r="G298" s="185" t="s">
        <v>884</v>
      </c>
      <c r="H298" s="179" t="s">
        <v>1744</v>
      </c>
      <c r="I298" s="8">
        <f>(C11)</f>
        <v>135</v>
      </c>
      <c r="J298" s="2" t="s">
        <v>884</v>
      </c>
      <c r="K298" s="8">
        <f t="shared" si="16"/>
        <v>1431</v>
      </c>
      <c r="M298" s="186">
        <v>1.1000000000000001</v>
      </c>
      <c r="N298" s="179" t="s">
        <v>884</v>
      </c>
      <c r="O298" s="179" t="s">
        <v>325</v>
      </c>
      <c r="P298" s="186">
        <f>(C13)</f>
        <v>85</v>
      </c>
      <c r="Q298" s="179" t="s">
        <v>884</v>
      </c>
      <c r="R298" s="186">
        <f>(M298*P298)</f>
        <v>93.5</v>
      </c>
      <c r="AG298" s="179" t="s">
        <v>2298</v>
      </c>
    </row>
    <row r="299" spans="1:33" hidden="1">
      <c r="A299" s="237">
        <f t="shared" si="15"/>
        <v>139</v>
      </c>
      <c r="B299" s="179" t="s">
        <v>1476</v>
      </c>
      <c r="C299" s="8">
        <v>5.5</v>
      </c>
      <c r="D299" s="1" t="s">
        <v>785</v>
      </c>
      <c r="E299"/>
      <c r="F299" s="186">
        <v>14.1</v>
      </c>
      <c r="G299" s="185" t="s">
        <v>884</v>
      </c>
      <c r="H299" s="179" t="s">
        <v>1937</v>
      </c>
      <c r="I299" s="8">
        <f>(C12)</f>
        <v>95</v>
      </c>
      <c r="J299" s="2" t="s">
        <v>884</v>
      </c>
      <c r="K299" s="8">
        <f t="shared" si="16"/>
        <v>1339.5</v>
      </c>
      <c r="N299" s="179" t="s">
        <v>455</v>
      </c>
      <c r="O299" s="179" t="s">
        <v>456</v>
      </c>
      <c r="P299" s="179" t="s">
        <v>992</v>
      </c>
      <c r="Q299" s="179" t="s">
        <v>455</v>
      </c>
      <c r="R299" s="186">
        <v>0</v>
      </c>
      <c r="AG299" s="179" t="s">
        <v>2298</v>
      </c>
    </row>
    <row r="300" spans="1:33" hidden="1">
      <c r="A300" s="237">
        <f t="shared" si="15"/>
        <v>140</v>
      </c>
      <c r="B300" s="179" t="s">
        <v>500</v>
      </c>
      <c r="C300" s="8">
        <v>21</v>
      </c>
      <c r="D300" s="1" t="s">
        <v>785</v>
      </c>
      <c r="E300"/>
      <c r="F300" s="186">
        <v>14.1</v>
      </c>
      <c r="G300" s="185" t="s">
        <v>884</v>
      </c>
      <c r="H300" s="179" t="s">
        <v>325</v>
      </c>
      <c r="I300" s="8">
        <f>(C13)</f>
        <v>85</v>
      </c>
      <c r="J300" s="2" t="s">
        <v>884</v>
      </c>
      <c r="K300" s="8">
        <f t="shared" si="16"/>
        <v>1198.5</v>
      </c>
      <c r="R300" s="183" t="s">
        <v>1615</v>
      </c>
      <c r="AG300" s="179" t="s">
        <v>2298</v>
      </c>
    </row>
    <row r="301" spans="1:33" hidden="1">
      <c r="A301" s="237">
        <f t="shared" si="15"/>
        <v>141</v>
      </c>
      <c r="B301" s="179" t="s">
        <v>501</v>
      </c>
      <c r="C301" s="8">
        <v>10</v>
      </c>
      <c r="D301" s="1" t="s">
        <v>785</v>
      </c>
      <c r="E301"/>
      <c r="G301" s="185" t="s">
        <v>455</v>
      </c>
      <c r="H301" s="179" t="s">
        <v>456</v>
      </c>
      <c r="I301"/>
      <c r="J301" s="2" t="s">
        <v>455</v>
      </c>
      <c r="K301" s="8">
        <v>0</v>
      </c>
      <c r="O301" s="179" t="s">
        <v>447</v>
      </c>
      <c r="R301" s="186" t="e">
        <f>SUM(R295:R299)</f>
        <v>#REF!</v>
      </c>
      <c r="AG301" s="179" t="s">
        <v>2298</v>
      </c>
    </row>
    <row r="302" spans="1:33" hidden="1">
      <c r="A302" s="237">
        <f t="shared" si="15"/>
        <v>142</v>
      </c>
      <c r="B302" s="179" t="s">
        <v>1839</v>
      </c>
      <c r="C302" s="8">
        <v>4</v>
      </c>
      <c r="D302" s="1" t="s">
        <v>785</v>
      </c>
      <c r="E302"/>
      <c r="I302"/>
      <c r="J302" s="4"/>
      <c r="K302" s="5" t="s">
        <v>1615</v>
      </c>
      <c r="R302" s="183" t="s">
        <v>1615</v>
      </c>
      <c r="AG302" s="179" t="s">
        <v>2298</v>
      </c>
    </row>
    <row r="303" spans="1:33" hidden="1">
      <c r="A303" s="237">
        <f t="shared" si="15"/>
        <v>143</v>
      </c>
      <c r="B303" s="179" t="s">
        <v>1172</v>
      </c>
      <c r="C303" s="8">
        <v>8</v>
      </c>
      <c r="D303" s="1" t="s">
        <v>884</v>
      </c>
      <c r="E303"/>
      <c r="H303" s="179" t="s">
        <v>626</v>
      </c>
      <c r="I303"/>
      <c r="J303" s="4"/>
      <c r="K303" s="8" t="e">
        <f>SUM(K294:K301)</f>
        <v>#REF!</v>
      </c>
      <c r="O303" s="179" t="s">
        <v>562</v>
      </c>
      <c r="R303" s="186" t="e">
        <f>(R301/10)</f>
        <v>#REF!</v>
      </c>
      <c r="AG303" s="179" t="s">
        <v>2298</v>
      </c>
    </row>
    <row r="304" spans="1:33" hidden="1">
      <c r="A304" s="237">
        <f t="shared" si="15"/>
        <v>144</v>
      </c>
      <c r="B304" s="179" t="s">
        <v>1173</v>
      </c>
      <c r="C304" s="8">
        <v>8.5</v>
      </c>
      <c r="D304" s="1" t="s">
        <v>785</v>
      </c>
      <c r="E304"/>
      <c r="I304"/>
      <c r="J304" s="4"/>
      <c r="K304" s="5" t="s">
        <v>1615</v>
      </c>
      <c r="N304" s="179" t="s">
        <v>2290</v>
      </c>
      <c r="O304" s="179" t="s">
        <v>502</v>
      </c>
      <c r="R304" s="183" t="s">
        <v>2091</v>
      </c>
      <c r="AG304" s="179" t="s">
        <v>2298</v>
      </c>
    </row>
    <row r="305" spans="1:33" hidden="1">
      <c r="A305" s="237">
        <f t="shared" si="15"/>
        <v>145</v>
      </c>
      <c r="B305" s="179" t="s">
        <v>616</v>
      </c>
      <c r="C305" s="8">
        <v>20.6</v>
      </c>
      <c r="D305" s="1" t="s">
        <v>785</v>
      </c>
      <c r="E305"/>
      <c r="H305" s="179" t="s">
        <v>789</v>
      </c>
      <c r="I305"/>
      <c r="J305" s="4"/>
      <c r="K305" s="8" t="e">
        <f>(K303/10)</f>
        <v>#REF!</v>
      </c>
      <c r="O305" s="183" t="s">
        <v>1615</v>
      </c>
      <c r="AG305" s="179" t="s">
        <v>2298</v>
      </c>
    </row>
    <row r="306" spans="1:33" hidden="1">
      <c r="A306" s="237">
        <f t="shared" si="15"/>
        <v>146</v>
      </c>
      <c r="B306" s="179" t="s">
        <v>2020</v>
      </c>
      <c r="C306" s="8">
        <v>15.6</v>
      </c>
      <c r="D306" s="1" t="s">
        <v>785</v>
      </c>
      <c r="E306"/>
      <c r="I306"/>
      <c r="J306" s="4"/>
      <c r="K306" s="5" t="s">
        <v>2091</v>
      </c>
      <c r="M306" s="186">
        <v>0.14000000000000001</v>
      </c>
      <c r="N306" s="179" t="s">
        <v>885</v>
      </c>
      <c r="O306" s="179" t="s">
        <v>121</v>
      </c>
      <c r="P306" s="186" t="e">
        <f>(K23)</f>
        <v>#REF!</v>
      </c>
      <c r="Q306" s="179" t="s">
        <v>885</v>
      </c>
      <c r="R306" s="186" t="e">
        <f>(M306*P306)</f>
        <v>#REF!</v>
      </c>
      <c r="AG306" s="179" t="s">
        <v>2298</v>
      </c>
    </row>
    <row r="307" spans="1:33" hidden="1">
      <c r="A307" s="237">
        <f t="shared" si="15"/>
        <v>147</v>
      </c>
      <c r="B307" s="179" t="s">
        <v>2021</v>
      </c>
      <c r="C307" s="8">
        <v>0.9</v>
      </c>
      <c r="D307" s="1" t="s">
        <v>785</v>
      </c>
      <c r="E307"/>
      <c r="F307" s="239">
        <v>6</v>
      </c>
      <c r="G307" s="185" t="s">
        <v>2290</v>
      </c>
      <c r="H307" s="179" t="s">
        <v>3209</v>
      </c>
      <c r="I307"/>
      <c r="J307" s="4"/>
      <c r="K307"/>
      <c r="M307" s="186">
        <v>1.1000000000000001</v>
      </c>
      <c r="N307" s="179" t="s">
        <v>884</v>
      </c>
      <c r="O307" s="179" t="s">
        <v>2045</v>
      </c>
      <c r="P307" s="186">
        <f>(C10)</f>
        <v>150</v>
      </c>
      <c r="Q307" s="179" t="s">
        <v>884</v>
      </c>
      <c r="R307" s="186">
        <f>(M307*P307)</f>
        <v>165</v>
      </c>
      <c r="AG307" s="179" t="s">
        <v>2298</v>
      </c>
    </row>
    <row r="308" spans="1:33" hidden="1">
      <c r="A308" s="237">
        <f t="shared" si="15"/>
        <v>148</v>
      </c>
      <c r="B308" s="179" t="s">
        <v>2022</v>
      </c>
      <c r="C308" s="1" t="s">
        <v>992</v>
      </c>
      <c r="D308"/>
      <c r="E308"/>
      <c r="H308" s="179" t="s">
        <v>2977</v>
      </c>
      <c r="I308"/>
      <c r="J308" s="4"/>
      <c r="K308"/>
      <c r="M308" s="186">
        <v>0.5</v>
      </c>
      <c r="N308" s="179" t="s">
        <v>884</v>
      </c>
      <c r="O308" s="179" t="s">
        <v>1937</v>
      </c>
      <c r="P308" s="186">
        <f>(C12)</f>
        <v>95</v>
      </c>
      <c r="Q308" s="179" t="s">
        <v>884</v>
      </c>
      <c r="R308" s="186">
        <f>(M308*P308)</f>
        <v>47.5</v>
      </c>
      <c r="AG308" s="179" t="s">
        <v>2298</v>
      </c>
    </row>
    <row r="309" spans="1:33" hidden="1">
      <c r="A309" s="237">
        <f t="shared" si="15"/>
        <v>149</v>
      </c>
      <c r="B309" s="179" t="s">
        <v>243</v>
      </c>
      <c r="C309" s="8">
        <v>66.44</v>
      </c>
      <c r="D309" s="1" t="s">
        <v>1805</v>
      </c>
      <c r="E309"/>
      <c r="H309" s="183" t="s">
        <v>1615</v>
      </c>
      <c r="I309"/>
      <c r="J309" s="4"/>
      <c r="K309"/>
      <c r="M309" s="186">
        <v>1.1000000000000001</v>
      </c>
      <c r="N309" s="179" t="s">
        <v>884</v>
      </c>
      <c r="O309" s="179" t="s">
        <v>325</v>
      </c>
      <c r="P309" s="186">
        <f>(C13)</f>
        <v>85</v>
      </c>
      <c r="Q309" s="179" t="s">
        <v>884</v>
      </c>
      <c r="R309" s="186">
        <f>(M309*P309)</f>
        <v>93.5</v>
      </c>
      <c r="AG309" s="179" t="s">
        <v>2298</v>
      </c>
    </row>
    <row r="310" spans="1:33" hidden="1">
      <c r="A310" s="237">
        <f t="shared" si="15"/>
        <v>150</v>
      </c>
      <c r="B310" s="179" t="s">
        <v>244</v>
      </c>
      <c r="C310" s="8">
        <v>83.5</v>
      </c>
      <c r="D310" s="1" t="s">
        <v>1805</v>
      </c>
      <c r="E310"/>
      <c r="F310" s="186">
        <v>4800</v>
      </c>
      <c r="G310" s="185" t="s">
        <v>1450</v>
      </c>
      <c r="H310" s="186" t="str">
        <f>H308</f>
        <v>Bricks of size 22x11x7 cm</v>
      </c>
      <c r="I310" s="8" t="e">
        <f>C80</f>
        <v>#REF!</v>
      </c>
      <c r="J310" s="2" t="s">
        <v>1623</v>
      </c>
      <c r="K310" s="8" t="e">
        <f>(F310*I310)/1000</f>
        <v>#REF!</v>
      </c>
      <c r="N310" s="179" t="s">
        <v>455</v>
      </c>
      <c r="O310" s="179" t="s">
        <v>456</v>
      </c>
      <c r="P310" s="179" t="s">
        <v>992</v>
      </c>
      <c r="Q310" s="179" t="s">
        <v>455</v>
      </c>
      <c r="R310" s="186">
        <v>0</v>
      </c>
      <c r="AG310" s="179" t="s">
        <v>2298</v>
      </c>
    </row>
    <row r="311" spans="1:33" hidden="1">
      <c r="A311" s="237">
        <f t="shared" si="15"/>
        <v>151</v>
      </c>
      <c r="B311" s="179" t="s">
        <v>245</v>
      </c>
      <c r="C311" s="8">
        <v>102.12</v>
      </c>
      <c r="D311" s="1" t="s">
        <v>1805</v>
      </c>
      <c r="E311"/>
      <c r="F311" s="186">
        <v>2.5</v>
      </c>
      <c r="G311" s="185" t="s">
        <v>885</v>
      </c>
      <c r="H311" s="179" t="s">
        <v>1656</v>
      </c>
      <c r="I311" s="8" t="e">
        <f>K49</f>
        <v>#REF!</v>
      </c>
      <c r="J311" s="2" t="s">
        <v>885</v>
      </c>
      <c r="K311" s="8" t="e">
        <f>(F311*I311)</f>
        <v>#REF!</v>
      </c>
      <c r="R311" s="183" t="s">
        <v>1615</v>
      </c>
      <c r="AG311" s="179" t="s">
        <v>2298</v>
      </c>
    </row>
    <row r="312" spans="1:33" hidden="1">
      <c r="A312" s="237">
        <f t="shared" si="15"/>
        <v>152</v>
      </c>
      <c r="B312" s="179" t="s">
        <v>2261</v>
      </c>
      <c r="C312" s="8">
        <v>182.52</v>
      </c>
      <c r="D312" s="1" t="s">
        <v>1805</v>
      </c>
      <c r="E312"/>
      <c r="F312" s="186">
        <v>3.5</v>
      </c>
      <c r="G312" s="185" t="s">
        <v>884</v>
      </c>
      <c r="H312" s="179" t="s">
        <v>2045</v>
      </c>
      <c r="I312" s="8">
        <f>C10</f>
        <v>150</v>
      </c>
      <c r="J312" s="2" t="s">
        <v>884</v>
      </c>
      <c r="K312" s="8">
        <f>(F312*I312)</f>
        <v>525</v>
      </c>
      <c r="O312" s="179" t="s">
        <v>447</v>
      </c>
      <c r="R312" s="186" t="e">
        <f>SUM(R306:R310)</f>
        <v>#REF!</v>
      </c>
      <c r="AG312" s="179" t="s">
        <v>2298</v>
      </c>
    </row>
    <row r="313" spans="1:33" hidden="1">
      <c r="A313" s="237">
        <f t="shared" si="15"/>
        <v>153</v>
      </c>
      <c r="B313" s="179" t="s">
        <v>2262</v>
      </c>
      <c r="C313"/>
      <c r="D313"/>
      <c r="E313"/>
      <c r="F313" s="186">
        <v>10.6</v>
      </c>
      <c r="G313" s="185" t="s">
        <v>884</v>
      </c>
      <c r="H313" s="179" t="s">
        <v>1744</v>
      </c>
      <c r="I313" s="8">
        <f>C11</f>
        <v>135</v>
      </c>
      <c r="J313" s="2" t="s">
        <v>884</v>
      </c>
      <c r="K313" s="8">
        <f>(F313*I313)</f>
        <v>1431</v>
      </c>
      <c r="R313" s="183" t="s">
        <v>1615</v>
      </c>
      <c r="AG313" s="179" t="s">
        <v>2298</v>
      </c>
    </row>
    <row r="314" spans="1:33" hidden="1">
      <c r="A314" s="237">
        <f t="shared" si="15"/>
        <v>154</v>
      </c>
      <c r="B314" s="179" t="s">
        <v>243</v>
      </c>
      <c r="C314" s="8">
        <v>26.62</v>
      </c>
      <c r="D314" s="1" t="s">
        <v>785</v>
      </c>
      <c r="E314"/>
      <c r="F314" s="186">
        <v>7.1</v>
      </c>
      <c r="G314" s="185" t="s">
        <v>884</v>
      </c>
      <c r="H314" s="179" t="s">
        <v>1937</v>
      </c>
      <c r="I314" s="8">
        <f>C12</f>
        <v>95</v>
      </c>
      <c r="J314" s="2" t="s">
        <v>884</v>
      </c>
      <c r="K314" s="8">
        <f>(F314*I314)</f>
        <v>674.5</v>
      </c>
      <c r="O314" s="179" t="s">
        <v>562</v>
      </c>
      <c r="R314" s="186" t="e">
        <f>(R312/10)</f>
        <v>#REF!</v>
      </c>
      <c r="AG314" s="179" t="s">
        <v>2298</v>
      </c>
    </row>
    <row r="315" spans="1:33" hidden="1">
      <c r="A315" s="237">
        <f t="shared" si="15"/>
        <v>155</v>
      </c>
      <c r="B315" s="179" t="s">
        <v>244</v>
      </c>
      <c r="C315" s="8">
        <v>34.869999999999997</v>
      </c>
      <c r="D315" s="1" t="s">
        <v>785</v>
      </c>
      <c r="E315"/>
      <c r="F315" s="186">
        <v>21.2</v>
      </c>
      <c r="G315" s="185" t="s">
        <v>884</v>
      </c>
      <c r="H315" s="179" t="s">
        <v>325</v>
      </c>
      <c r="I315" s="8">
        <f>C13</f>
        <v>85</v>
      </c>
      <c r="J315" s="2" t="s">
        <v>884</v>
      </c>
      <c r="K315" s="8">
        <f>(F315*I315)</f>
        <v>1802</v>
      </c>
      <c r="R315" s="183" t="s">
        <v>2091</v>
      </c>
      <c r="AG315" s="179" t="s">
        <v>2298</v>
      </c>
    </row>
    <row r="316" spans="1:33" hidden="1">
      <c r="A316" s="237">
        <f t="shared" si="15"/>
        <v>156</v>
      </c>
      <c r="B316" s="179" t="s">
        <v>245</v>
      </c>
      <c r="C316" s="8">
        <v>45</v>
      </c>
      <c r="D316" s="1" t="s">
        <v>785</v>
      </c>
      <c r="E316"/>
      <c r="G316" s="185" t="s">
        <v>455</v>
      </c>
      <c r="H316" s="179" t="s">
        <v>456</v>
      </c>
      <c r="I316"/>
      <c r="J316" s="2" t="s">
        <v>455</v>
      </c>
      <c r="K316" s="8">
        <v>0</v>
      </c>
      <c r="N316" s="179" t="s">
        <v>2290</v>
      </c>
      <c r="O316" s="179" t="s">
        <v>2263</v>
      </c>
      <c r="AG316" s="179" t="s">
        <v>2298</v>
      </c>
    </row>
    <row r="317" spans="1:33" hidden="1">
      <c r="A317" s="237">
        <f t="shared" si="15"/>
        <v>157</v>
      </c>
      <c r="B317" s="179" t="s">
        <v>2261</v>
      </c>
      <c r="C317" s="8">
        <v>99.75</v>
      </c>
      <c r="D317" s="1" t="s">
        <v>785</v>
      </c>
      <c r="E317"/>
      <c r="I317"/>
      <c r="J317" s="4"/>
      <c r="K317" s="5" t="s">
        <v>1615</v>
      </c>
      <c r="O317" s="183" t="s">
        <v>1615</v>
      </c>
      <c r="AG317" s="179" t="s">
        <v>2298</v>
      </c>
    </row>
    <row r="318" spans="1:33" hidden="1">
      <c r="A318" s="237">
        <f t="shared" si="15"/>
        <v>158</v>
      </c>
      <c r="B318" s="179" t="s">
        <v>2225</v>
      </c>
      <c r="C318"/>
      <c r="D318"/>
      <c r="E318"/>
      <c r="H318" s="179" t="s">
        <v>626</v>
      </c>
      <c r="I318"/>
      <c r="J318" s="4"/>
      <c r="K318" s="8" t="e">
        <f>SUM(K310:K316)</f>
        <v>#REF!</v>
      </c>
      <c r="M318" s="186">
        <v>0.1</v>
      </c>
      <c r="N318" s="179" t="s">
        <v>885</v>
      </c>
      <c r="O318" s="179" t="s">
        <v>121</v>
      </c>
      <c r="P318" s="186" t="e">
        <f>(K23)</f>
        <v>#REF!</v>
      </c>
      <c r="Q318" s="179" t="s">
        <v>885</v>
      </c>
      <c r="R318" s="186" t="e">
        <f>(M318*P318)</f>
        <v>#REF!</v>
      </c>
      <c r="AG318" s="179" t="s">
        <v>2298</v>
      </c>
    </row>
    <row r="319" spans="1:33" hidden="1">
      <c r="A319" s="237">
        <f t="shared" si="15"/>
        <v>159</v>
      </c>
      <c r="B319" s="179" t="s">
        <v>243</v>
      </c>
      <c r="C319" s="8">
        <v>43.47</v>
      </c>
      <c r="D319" s="1" t="s">
        <v>785</v>
      </c>
      <c r="E319"/>
      <c r="I319"/>
      <c r="J319" s="4"/>
      <c r="K319" s="5" t="s">
        <v>1615</v>
      </c>
      <c r="M319" s="186">
        <v>1.1000000000000001</v>
      </c>
      <c r="N319" s="179" t="s">
        <v>884</v>
      </c>
      <c r="O319" s="179" t="s">
        <v>2045</v>
      </c>
      <c r="P319" s="186">
        <f>(C10)</f>
        <v>150</v>
      </c>
      <c r="Q319" s="179" t="s">
        <v>884</v>
      </c>
      <c r="R319" s="186">
        <f>(M319*P319)</f>
        <v>165</v>
      </c>
      <c r="AG319" s="179" t="s">
        <v>2298</v>
      </c>
    </row>
    <row r="320" spans="1:33" hidden="1">
      <c r="A320" s="237">
        <f t="shared" si="15"/>
        <v>160</v>
      </c>
      <c r="B320" s="179" t="s">
        <v>244</v>
      </c>
      <c r="C320" s="8">
        <v>50.34</v>
      </c>
      <c r="D320" s="1" t="s">
        <v>785</v>
      </c>
      <c r="E320"/>
      <c r="H320" s="179" t="s">
        <v>789</v>
      </c>
      <c r="I320"/>
      <c r="J320" s="4"/>
      <c r="K320" s="8" t="e">
        <f>(K318/10)</f>
        <v>#REF!</v>
      </c>
      <c r="M320" s="186">
        <v>1.1000000000000001</v>
      </c>
      <c r="N320" s="179" t="s">
        <v>884</v>
      </c>
      <c r="O320" s="179" t="s">
        <v>1937</v>
      </c>
      <c r="P320" s="186">
        <f>(C12)</f>
        <v>95</v>
      </c>
      <c r="Q320" s="179" t="s">
        <v>884</v>
      </c>
      <c r="R320" s="186">
        <f>(M320*P320)</f>
        <v>104.5</v>
      </c>
      <c r="AG320" s="179" t="s">
        <v>326</v>
      </c>
    </row>
    <row r="321" spans="1:33" hidden="1">
      <c r="A321" s="237">
        <f t="shared" si="15"/>
        <v>161</v>
      </c>
      <c r="B321" s="179" t="s">
        <v>245</v>
      </c>
      <c r="C321" s="8">
        <v>65.209999999999994</v>
      </c>
      <c r="D321" s="1" t="s">
        <v>785</v>
      </c>
      <c r="E321"/>
      <c r="I321"/>
      <c r="J321" s="4"/>
      <c r="K321" s="5" t="s">
        <v>2091</v>
      </c>
      <c r="M321" s="186">
        <v>1.1000000000000001</v>
      </c>
      <c r="N321" s="179" t="s">
        <v>884</v>
      </c>
      <c r="O321" s="179" t="s">
        <v>325</v>
      </c>
      <c r="P321" s="186">
        <f>(C13)</f>
        <v>85</v>
      </c>
      <c r="Q321" s="179" t="s">
        <v>884</v>
      </c>
      <c r="R321" s="186">
        <f>(M321*P321)</f>
        <v>93.5</v>
      </c>
    </row>
    <row r="322" spans="1:33" hidden="1">
      <c r="A322" s="237">
        <f t="shared" si="15"/>
        <v>162</v>
      </c>
      <c r="B322" s="179" t="s">
        <v>2261</v>
      </c>
      <c r="C322" s="8">
        <v>145.29</v>
      </c>
      <c r="D322" s="1" t="s">
        <v>785</v>
      </c>
      <c r="E322"/>
      <c r="H322" s="179" t="s">
        <v>391</v>
      </c>
      <c r="I322"/>
      <c r="J322" s="4"/>
      <c r="K322" s="8" t="e">
        <f>(K320+C19)</f>
        <v>#REF!</v>
      </c>
      <c r="N322" s="179" t="s">
        <v>455</v>
      </c>
      <c r="O322" s="179" t="s">
        <v>456</v>
      </c>
      <c r="P322" s="179" t="s">
        <v>992</v>
      </c>
      <c r="Q322" s="179" t="s">
        <v>455</v>
      </c>
      <c r="R322" s="186">
        <v>0</v>
      </c>
    </row>
    <row r="323" spans="1:33" hidden="1">
      <c r="A323" s="237">
        <f t="shared" si="15"/>
        <v>163</v>
      </c>
      <c r="B323" s="179" t="s">
        <v>2226</v>
      </c>
      <c r="C323"/>
      <c r="D323"/>
      <c r="E323"/>
      <c r="H323" s="179" t="s">
        <v>393</v>
      </c>
      <c r="I323"/>
      <c r="J323" s="4"/>
      <c r="K323" s="8" t="e">
        <f>(K322+C20)</f>
        <v>#REF!</v>
      </c>
      <c r="R323" s="183" t="s">
        <v>1615</v>
      </c>
      <c r="AG323" s="179" t="s">
        <v>2298</v>
      </c>
    </row>
    <row r="324" spans="1:33" hidden="1">
      <c r="A324" s="237">
        <f t="shared" si="15"/>
        <v>164</v>
      </c>
      <c r="B324" s="179" t="s">
        <v>243</v>
      </c>
      <c r="C324" s="8">
        <v>14.91</v>
      </c>
      <c r="D324" s="1" t="s">
        <v>1805</v>
      </c>
      <c r="E324"/>
      <c r="H324" s="179" t="s">
        <v>2271</v>
      </c>
      <c r="I324"/>
      <c r="J324" s="4"/>
      <c r="K324" s="8" t="e">
        <f>(K323+C21)</f>
        <v>#REF!</v>
      </c>
      <c r="O324" s="179" t="s">
        <v>447</v>
      </c>
      <c r="R324" s="186" t="e">
        <f>SUM(R318:R322)</f>
        <v>#REF!</v>
      </c>
      <c r="AG324" s="179" t="s">
        <v>2298</v>
      </c>
    </row>
    <row r="325" spans="1:33" hidden="1">
      <c r="A325" s="237">
        <f t="shared" si="15"/>
        <v>165</v>
      </c>
      <c r="B325" s="179" t="s">
        <v>244</v>
      </c>
      <c r="C325" s="8">
        <v>19.41</v>
      </c>
      <c r="D325" s="1" t="s">
        <v>1805</v>
      </c>
      <c r="E325"/>
      <c r="H325" s="179" t="s">
        <v>385</v>
      </c>
      <c r="I325"/>
      <c r="J325" s="4"/>
      <c r="K325" s="8" t="e">
        <f>(K324+C21)</f>
        <v>#REF!</v>
      </c>
      <c r="R325" s="183" t="s">
        <v>1615</v>
      </c>
      <c r="AG325" s="179" t="s">
        <v>2298</v>
      </c>
    </row>
    <row r="326" spans="1:33" hidden="1">
      <c r="A326" s="237">
        <f t="shared" si="15"/>
        <v>166</v>
      </c>
      <c r="B326" s="179" t="s">
        <v>245</v>
      </c>
      <c r="C326" s="8">
        <v>22.22</v>
      </c>
      <c r="D326" s="1" t="s">
        <v>1805</v>
      </c>
      <c r="E326"/>
      <c r="H326" s="179" t="s">
        <v>494</v>
      </c>
      <c r="I326"/>
      <c r="J326" s="4"/>
      <c r="K326" s="8" t="e">
        <f>(K325+C21)</f>
        <v>#REF!</v>
      </c>
      <c r="O326" s="179" t="s">
        <v>562</v>
      </c>
      <c r="R326" s="186" t="e">
        <f>(R324/10)</f>
        <v>#REF!</v>
      </c>
      <c r="AG326" s="179" t="s">
        <v>2298</v>
      </c>
    </row>
    <row r="327" spans="1:33" hidden="1">
      <c r="A327" s="237"/>
      <c r="B327" s="179"/>
      <c r="C327" s="8"/>
      <c r="D327" s="1"/>
      <c r="E327"/>
      <c r="H327" s="179"/>
      <c r="I327"/>
      <c r="J327" s="4"/>
      <c r="K327" s="8"/>
      <c r="O327" s="179"/>
      <c r="R327" s="186"/>
      <c r="AG327" s="179"/>
    </row>
    <row r="328" spans="1:33" hidden="1">
      <c r="A328" s="237"/>
      <c r="B328" s="179"/>
      <c r="C328" s="8"/>
      <c r="D328" s="1"/>
      <c r="E328"/>
      <c r="F328" s="233" t="s">
        <v>651</v>
      </c>
      <c r="H328" s="179" t="s">
        <v>1636</v>
      </c>
      <c r="I328"/>
      <c r="J328" s="4"/>
      <c r="K328" s="1" t="s">
        <v>2978</v>
      </c>
      <c r="O328" s="179"/>
      <c r="R328" s="186"/>
      <c r="AG328" s="179"/>
    </row>
    <row r="329" spans="1:33" hidden="1">
      <c r="A329" s="237"/>
      <c r="B329" s="179"/>
      <c r="C329" s="8"/>
      <c r="D329" s="1"/>
      <c r="E329"/>
      <c r="H329" s="179" t="s">
        <v>652</v>
      </c>
      <c r="I329"/>
      <c r="J329" s="4"/>
      <c r="K329" s="5" t="s">
        <v>2091</v>
      </c>
      <c r="O329" s="179"/>
      <c r="R329" s="186"/>
      <c r="AG329" s="179"/>
    </row>
    <row r="330" spans="1:33" hidden="1">
      <c r="A330" s="237"/>
      <c r="B330" s="179"/>
      <c r="C330" s="8"/>
      <c r="D330" s="1"/>
      <c r="E330"/>
      <c r="H330" s="179"/>
      <c r="I330"/>
      <c r="J330" s="4"/>
      <c r="K330" s="8"/>
      <c r="O330" s="179"/>
      <c r="R330" s="186"/>
      <c r="AG330" s="179"/>
    </row>
    <row r="331" spans="1:33" hidden="1">
      <c r="A331" s="237">
        <f>(A326+1)</f>
        <v>167</v>
      </c>
      <c r="B331" s="179" t="s">
        <v>2261</v>
      </c>
      <c r="C331" s="8">
        <v>46.42</v>
      </c>
      <c r="D331" s="1" t="s">
        <v>1805</v>
      </c>
      <c r="E331"/>
      <c r="F331" s="239">
        <v>9</v>
      </c>
      <c r="G331" s="185" t="s">
        <v>2290</v>
      </c>
      <c r="H331" s="179" t="s">
        <v>3168</v>
      </c>
      <c r="I331"/>
      <c r="J331" s="4"/>
      <c r="K331"/>
      <c r="R331" s="183" t="s">
        <v>2091</v>
      </c>
      <c r="AG331" s="179" t="s">
        <v>2298</v>
      </c>
    </row>
    <row r="332" spans="1:33" hidden="1">
      <c r="A332" s="237">
        <f t="shared" ref="A332:A363" si="17">(A331+1)</f>
        <v>168</v>
      </c>
      <c r="B332" s="179" t="s">
        <v>2227</v>
      </c>
      <c r="C332"/>
      <c r="D332"/>
      <c r="E332"/>
      <c r="H332" s="186" t="str">
        <f>H308</f>
        <v>Bricks of size 22x11x7 cm</v>
      </c>
      <c r="I332"/>
      <c r="J332" s="4"/>
      <c r="K332"/>
      <c r="AG332" s="179" t="s">
        <v>2298</v>
      </c>
    </row>
    <row r="333" spans="1:33" hidden="1">
      <c r="A333" s="237">
        <f t="shared" si="17"/>
        <v>169</v>
      </c>
      <c r="B333" s="179" t="s">
        <v>243</v>
      </c>
      <c r="C333" s="8">
        <v>8.58</v>
      </c>
      <c r="D333" s="1" t="s">
        <v>785</v>
      </c>
      <c r="E333"/>
      <c r="H333" s="183" t="s">
        <v>1615</v>
      </c>
      <c r="I333"/>
      <c r="J333" s="4"/>
      <c r="K333"/>
      <c r="N333" s="179" t="s">
        <v>2290</v>
      </c>
      <c r="O333" s="179" t="s">
        <v>2228</v>
      </c>
      <c r="AG333" s="179" t="s">
        <v>2298</v>
      </c>
    </row>
    <row r="334" spans="1:33" hidden="1">
      <c r="A334" s="237">
        <f t="shared" si="17"/>
        <v>170</v>
      </c>
      <c r="B334" s="179" t="s">
        <v>244</v>
      </c>
      <c r="C334" s="8">
        <v>12.26</v>
      </c>
      <c r="D334" s="1" t="s">
        <v>785</v>
      </c>
      <c r="E334"/>
      <c r="F334" s="186">
        <f>F310</f>
        <v>4800</v>
      </c>
      <c r="G334" s="185" t="s">
        <v>1450</v>
      </c>
      <c r="H334" s="186" t="str">
        <f>H308</f>
        <v>Bricks of size 22x11x7 cm</v>
      </c>
      <c r="I334" s="8" t="e">
        <f>C80</f>
        <v>#REF!</v>
      </c>
      <c r="J334" s="2" t="s">
        <v>1623</v>
      </c>
      <c r="K334" s="8" t="e">
        <f>(F334*I334)/1000</f>
        <v>#REF!</v>
      </c>
      <c r="O334" s="183" t="s">
        <v>1615</v>
      </c>
      <c r="AG334" s="179" t="s">
        <v>2298</v>
      </c>
    </row>
    <row r="335" spans="1:33" hidden="1">
      <c r="A335" s="237">
        <f t="shared" si="17"/>
        <v>171</v>
      </c>
      <c r="B335" s="179" t="s">
        <v>245</v>
      </c>
      <c r="C335" s="8">
        <v>13.89</v>
      </c>
      <c r="D335" s="1" t="s">
        <v>785</v>
      </c>
      <c r="E335"/>
      <c r="F335" s="186">
        <f>F311</f>
        <v>2.5</v>
      </c>
      <c r="G335" s="185" t="s">
        <v>885</v>
      </c>
      <c r="H335" s="179" t="s">
        <v>1662</v>
      </c>
      <c r="I335" s="8" t="e">
        <f>K58</f>
        <v>#REF!</v>
      </c>
      <c r="J335" s="2" t="s">
        <v>885</v>
      </c>
      <c r="K335" s="8" t="e">
        <f>(F335*I335)</f>
        <v>#REF!</v>
      </c>
      <c r="M335" s="186">
        <v>0.22</v>
      </c>
      <c r="N335" s="179" t="s">
        <v>885</v>
      </c>
      <c r="O335" s="179" t="s">
        <v>1656</v>
      </c>
      <c r="P335" s="186" t="e">
        <f>(K49)</f>
        <v>#REF!</v>
      </c>
      <c r="Q335" s="179" t="s">
        <v>885</v>
      </c>
      <c r="R335" s="186" t="e">
        <f>(M335*P335)</f>
        <v>#REF!</v>
      </c>
      <c r="AG335" s="179" t="s">
        <v>2298</v>
      </c>
    </row>
    <row r="336" spans="1:33" hidden="1">
      <c r="A336" s="237">
        <f t="shared" si="17"/>
        <v>172</v>
      </c>
      <c r="B336" s="179" t="s">
        <v>2261</v>
      </c>
      <c r="C336" s="8">
        <v>36.25</v>
      </c>
      <c r="D336" s="1" t="s">
        <v>785</v>
      </c>
      <c r="E336"/>
      <c r="F336" s="186">
        <v>3.5</v>
      </c>
      <c r="G336" s="185" t="s">
        <v>884</v>
      </c>
      <c r="H336" s="179" t="s">
        <v>2045</v>
      </c>
      <c r="I336" s="8">
        <f>C10</f>
        <v>150</v>
      </c>
      <c r="J336" s="2" t="s">
        <v>884</v>
      </c>
      <c r="K336" s="8">
        <f>(F336*I336)</f>
        <v>525</v>
      </c>
      <c r="M336" s="186">
        <v>2.2000000000000002</v>
      </c>
      <c r="N336" s="179" t="s">
        <v>884</v>
      </c>
      <c r="O336" s="179" t="s">
        <v>2045</v>
      </c>
      <c r="P336" s="186">
        <f>(C10)</f>
        <v>150</v>
      </c>
      <c r="Q336" s="179" t="s">
        <v>884</v>
      </c>
      <c r="R336" s="186">
        <f>(M336*P336)</f>
        <v>330</v>
      </c>
      <c r="AG336" s="179" t="s">
        <v>2298</v>
      </c>
    </row>
    <row r="337" spans="1:33" hidden="1">
      <c r="A337" s="237">
        <f t="shared" si="17"/>
        <v>173</v>
      </c>
      <c r="B337" s="179" t="s">
        <v>2229</v>
      </c>
      <c r="C337"/>
      <c r="D337"/>
      <c r="E337"/>
      <c r="F337" s="186">
        <v>10.6</v>
      </c>
      <c r="G337" s="185" t="s">
        <v>884</v>
      </c>
      <c r="H337" s="179" t="s">
        <v>1744</v>
      </c>
      <c r="I337" s="8">
        <f>C11</f>
        <v>135</v>
      </c>
      <c r="J337" s="2" t="s">
        <v>884</v>
      </c>
      <c r="K337" s="8">
        <f>(F337*I337)</f>
        <v>1431</v>
      </c>
      <c r="M337" s="186">
        <v>0.5</v>
      </c>
      <c r="N337" s="179" t="s">
        <v>884</v>
      </c>
      <c r="O337" s="179" t="s">
        <v>1937</v>
      </c>
      <c r="P337" s="186">
        <f>(C12)</f>
        <v>95</v>
      </c>
      <c r="Q337" s="179" t="s">
        <v>884</v>
      </c>
      <c r="R337" s="186">
        <f>(M337*P337)</f>
        <v>47.5</v>
      </c>
      <c r="AG337" s="179" t="s">
        <v>2298</v>
      </c>
    </row>
    <row r="338" spans="1:33" hidden="1">
      <c r="A338" s="237">
        <f t="shared" si="17"/>
        <v>174</v>
      </c>
      <c r="B338" s="179" t="s">
        <v>243</v>
      </c>
      <c r="C338" s="8">
        <v>15.7</v>
      </c>
      <c r="D338" s="1" t="s">
        <v>785</v>
      </c>
      <c r="E338"/>
      <c r="F338" s="186">
        <v>7.1</v>
      </c>
      <c r="G338" s="185" t="s">
        <v>884</v>
      </c>
      <c r="H338" s="179" t="s">
        <v>1937</v>
      </c>
      <c r="I338" s="8">
        <f>C12</f>
        <v>95</v>
      </c>
      <c r="J338" s="2" t="s">
        <v>884</v>
      </c>
      <c r="K338" s="8">
        <f>(F338*I338)</f>
        <v>674.5</v>
      </c>
      <c r="M338" s="186">
        <v>3.2</v>
      </c>
      <c r="N338" s="179" t="s">
        <v>884</v>
      </c>
      <c r="O338" s="179" t="s">
        <v>325</v>
      </c>
      <c r="P338" s="186">
        <f>(C13)</f>
        <v>85</v>
      </c>
      <c r="Q338" s="179" t="s">
        <v>884</v>
      </c>
      <c r="R338" s="186">
        <f>(M338*P338)</f>
        <v>272</v>
      </c>
      <c r="AG338" s="179" t="s">
        <v>2298</v>
      </c>
    </row>
    <row r="339" spans="1:33" hidden="1">
      <c r="A339" s="237">
        <f t="shared" si="17"/>
        <v>175</v>
      </c>
      <c r="B339" s="179" t="s">
        <v>244</v>
      </c>
      <c r="C339" s="8">
        <v>22.31</v>
      </c>
      <c r="D339" s="1" t="s">
        <v>785</v>
      </c>
      <c r="E339"/>
      <c r="F339" s="186">
        <v>21.2</v>
      </c>
      <c r="G339" s="185" t="s">
        <v>884</v>
      </c>
      <c r="H339" s="179" t="s">
        <v>325</v>
      </c>
      <c r="I339" s="8">
        <f>C13</f>
        <v>85</v>
      </c>
      <c r="J339" s="2" t="s">
        <v>884</v>
      </c>
      <c r="K339" s="8">
        <f>(F339*I339)</f>
        <v>1802</v>
      </c>
      <c r="N339" s="179" t="s">
        <v>455</v>
      </c>
      <c r="O339" s="179" t="s">
        <v>456</v>
      </c>
      <c r="P339" s="179" t="s">
        <v>992</v>
      </c>
      <c r="Q339" s="179" t="s">
        <v>455</v>
      </c>
      <c r="R339" s="186">
        <v>0</v>
      </c>
      <c r="AG339" s="179" t="s">
        <v>2298</v>
      </c>
    </row>
    <row r="340" spans="1:33" hidden="1">
      <c r="A340" s="237">
        <f t="shared" si="17"/>
        <v>176</v>
      </c>
      <c r="B340" s="179" t="s">
        <v>245</v>
      </c>
      <c r="C340" s="8">
        <v>25.24</v>
      </c>
      <c r="D340" s="1" t="s">
        <v>785</v>
      </c>
      <c r="E340"/>
      <c r="G340" s="185" t="s">
        <v>455</v>
      </c>
      <c r="H340" s="179" t="s">
        <v>456</v>
      </c>
      <c r="I340"/>
      <c r="J340" s="2" t="s">
        <v>455</v>
      </c>
      <c r="K340" s="8">
        <v>0</v>
      </c>
      <c r="R340" s="183" t="s">
        <v>1615</v>
      </c>
      <c r="AG340" s="179" t="s">
        <v>2298</v>
      </c>
    </row>
    <row r="341" spans="1:33" hidden="1">
      <c r="A341" s="237">
        <f t="shared" si="17"/>
        <v>177</v>
      </c>
      <c r="B341" s="179" t="s">
        <v>2261</v>
      </c>
      <c r="C341" s="8">
        <v>52.34</v>
      </c>
      <c r="D341" s="1" t="s">
        <v>785</v>
      </c>
      <c r="E341"/>
      <c r="I341"/>
      <c r="J341" s="4"/>
      <c r="K341" s="5" t="s">
        <v>1615</v>
      </c>
      <c r="O341" s="179" t="s">
        <v>447</v>
      </c>
      <c r="R341" s="186" t="e">
        <f>SUM(R335:R339)</f>
        <v>#REF!</v>
      </c>
      <c r="AG341" s="179" t="s">
        <v>2298</v>
      </c>
    </row>
    <row r="342" spans="1:33" hidden="1">
      <c r="A342" s="237">
        <f t="shared" si="17"/>
        <v>178</v>
      </c>
      <c r="B342" s="179" t="s">
        <v>1060</v>
      </c>
      <c r="C342"/>
      <c r="D342"/>
      <c r="E342"/>
      <c r="H342" s="179" t="s">
        <v>626</v>
      </c>
      <c r="I342"/>
      <c r="J342" s="4"/>
      <c r="K342" s="8" t="e">
        <f>SUM(K334:K340)</f>
        <v>#REF!</v>
      </c>
      <c r="R342" s="183" t="s">
        <v>1615</v>
      </c>
      <c r="AG342" s="179" t="s">
        <v>2298</v>
      </c>
    </row>
    <row r="343" spans="1:33" hidden="1">
      <c r="A343" s="237">
        <f t="shared" si="17"/>
        <v>179</v>
      </c>
      <c r="B343" s="179" t="s">
        <v>243</v>
      </c>
      <c r="C343" s="8">
        <v>13.73</v>
      </c>
      <c r="D343" s="1" t="s">
        <v>785</v>
      </c>
      <c r="E343"/>
      <c r="I343"/>
      <c r="J343" s="4"/>
      <c r="K343" s="5" t="s">
        <v>1615</v>
      </c>
      <c r="O343" s="179" t="s">
        <v>562</v>
      </c>
      <c r="R343" s="186" t="e">
        <f>(R341/10)</f>
        <v>#REF!</v>
      </c>
      <c r="AG343" s="179" t="s">
        <v>2298</v>
      </c>
    </row>
    <row r="344" spans="1:33" hidden="1">
      <c r="A344" s="237">
        <f t="shared" si="17"/>
        <v>180</v>
      </c>
      <c r="B344" s="179" t="s">
        <v>244</v>
      </c>
      <c r="C344" s="8">
        <v>20.16</v>
      </c>
      <c r="D344" s="1" t="s">
        <v>785</v>
      </c>
      <c r="E344"/>
      <c r="H344" s="179" t="s">
        <v>789</v>
      </c>
      <c r="I344"/>
      <c r="J344" s="4"/>
      <c r="K344" s="8" t="e">
        <f>(K342/10)</f>
        <v>#REF!</v>
      </c>
      <c r="R344" s="183" t="s">
        <v>2091</v>
      </c>
      <c r="AG344" s="179" t="s">
        <v>2298</v>
      </c>
    </row>
    <row r="345" spans="1:33" hidden="1">
      <c r="A345" s="237">
        <f t="shared" si="17"/>
        <v>181</v>
      </c>
      <c r="B345" s="179" t="s">
        <v>245</v>
      </c>
      <c r="C345" s="8">
        <v>22.73</v>
      </c>
      <c r="D345" s="1" t="s">
        <v>785</v>
      </c>
      <c r="E345"/>
      <c r="I345"/>
      <c r="J345" s="4"/>
      <c r="K345" s="5" t="s">
        <v>2091</v>
      </c>
      <c r="N345" s="179" t="s">
        <v>2290</v>
      </c>
      <c r="O345" s="179" t="s">
        <v>1061</v>
      </c>
      <c r="AG345" s="179" t="s">
        <v>2298</v>
      </c>
    </row>
    <row r="346" spans="1:33" hidden="1">
      <c r="A346" s="237">
        <f t="shared" si="17"/>
        <v>182</v>
      </c>
      <c r="B346" s="179" t="s">
        <v>2261</v>
      </c>
      <c r="C346" s="8">
        <v>46.98</v>
      </c>
      <c r="D346" s="1" t="s">
        <v>992</v>
      </c>
      <c r="E346"/>
      <c r="H346" s="179" t="s">
        <v>391</v>
      </c>
      <c r="I346"/>
      <c r="J346" s="4"/>
      <c r="K346" s="8" t="e">
        <f>(K344+C19)</f>
        <v>#REF!</v>
      </c>
      <c r="O346" s="183" t="s">
        <v>1615</v>
      </c>
      <c r="AG346" s="179" t="s">
        <v>2298</v>
      </c>
    </row>
    <row r="347" spans="1:33" hidden="1">
      <c r="A347" s="237">
        <f t="shared" si="17"/>
        <v>183</v>
      </c>
      <c r="B347" s="179" t="s">
        <v>1062</v>
      </c>
      <c r="C347"/>
      <c r="D347"/>
      <c r="E347"/>
      <c r="H347" s="179" t="s">
        <v>393</v>
      </c>
      <c r="I347"/>
      <c r="J347" s="4"/>
      <c r="K347" s="8" t="e">
        <f>(K346+C20)</f>
        <v>#REF!</v>
      </c>
      <c r="M347" s="186">
        <v>0.22</v>
      </c>
      <c r="N347" s="179" t="s">
        <v>885</v>
      </c>
      <c r="O347" s="179" t="s">
        <v>1377</v>
      </c>
      <c r="P347" s="186" t="e">
        <f>(K32)</f>
        <v>#REF!</v>
      </c>
      <c r="Q347" s="179" t="s">
        <v>885</v>
      </c>
      <c r="R347" s="186" t="e">
        <f>(M347*P347)</f>
        <v>#REF!</v>
      </c>
      <c r="AG347" s="179" t="s">
        <v>2298</v>
      </c>
    </row>
    <row r="348" spans="1:33" hidden="1">
      <c r="A348" s="237">
        <f t="shared" si="17"/>
        <v>184</v>
      </c>
      <c r="B348" s="179" t="s">
        <v>243</v>
      </c>
      <c r="C348" s="8">
        <v>19.3</v>
      </c>
      <c r="D348" s="1" t="s">
        <v>785</v>
      </c>
      <c r="E348"/>
      <c r="H348" s="179" t="s">
        <v>2271</v>
      </c>
      <c r="I348"/>
      <c r="J348" s="4"/>
      <c r="K348" s="8" t="e">
        <f>(K347+C21)</f>
        <v>#REF!</v>
      </c>
      <c r="M348" s="186">
        <v>2.2000000000000002</v>
      </c>
      <c r="N348" s="179" t="s">
        <v>884</v>
      </c>
      <c r="O348" s="179" t="s">
        <v>2045</v>
      </c>
      <c r="P348" s="186">
        <f>(C10)</f>
        <v>150</v>
      </c>
      <c r="Q348" s="179" t="s">
        <v>884</v>
      </c>
      <c r="R348" s="186">
        <f>(M348*P348)</f>
        <v>330</v>
      </c>
      <c r="AG348" s="179" t="s">
        <v>2298</v>
      </c>
    </row>
    <row r="349" spans="1:33" hidden="1">
      <c r="A349" s="237">
        <f t="shared" si="17"/>
        <v>185</v>
      </c>
      <c r="B349" s="179" t="s">
        <v>245</v>
      </c>
      <c r="C349" s="8">
        <v>33.46</v>
      </c>
      <c r="D349" s="1" t="s">
        <v>785</v>
      </c>
      <c r="E349"/>
      <c r="H349" s="179" t="s">
        <v>385</v>
      </c>
      <c r="I349"/>
      <c r="J349" s="4"/>
      <c r="K349" s="8" t="e">
        <f>(K348+C21)</f>
        <v>#REF!</v>
      </c>
      <c r="M349" s="186">
        <v>0.5</v>
      </c>
      <c r="N349" s="179" t="s">
        <v>884</v>
      </c>
      <c r="O349" s="179" t="s">
        <v>1937</v>
      </c>
      <c r="P349" s="186">
        <f>(C12)</f>
        <v>95</v>
      </c>
      <c r="Q349" s="179" t="s">
        <v>884</v>
      </c>
      <c r="R349" s="186">
        <f>(M349*P349)</f>
        <v>47.5</v>
      </c>
      <c r="AG349" s="179" t="s">
        <v>2298</v>
      </c>
    </row>
    <row r="350" spans="1:33" hidden="1">
      <c r="A350" s="237">
        <f t="shared" si="17"/>
        <v>186</v>
      </c>
      <c r="B350" s="179" t="s">
        <v>2261</v>
      </c>
      <c r="C350" s="8">
        <v>53.62</v>
      </c>
      <c r="D350" s="1" t="s">
        <v>785</v>
      </c>
      <c r="E350"/>
      <c r="F350" s="179" t="s">
        <v>992</v>
      </c>
      <c r="H350" s="179" t="s">
        <v>494</v>
      </c>
      <c r="I350"/>
      <c r="J350" s="4"/>
      <c r="K350" s="8" t="e">
        <f>(K349+C21)</f>
        <v>#REF!</v>
      </c>
      <c r="M350" s="186">
        <v>3.2</v>
      </c>
      <c r="N350" s="179" t="s">
        <v>884</v>
      </c>
      <c r="O350" s="179" t="s">
        <v>325</v>
      </c>
      <c r="P350" s="186">
        <f>(C13)</f>
        <v>85</v>
      </c>
      <c r="Q350" s="179" t="s">
        <v>884</v>
      </c>
      <c r="R350" s="186">
        <f>(M350*P350)</f>
        <v>272</v>
      </c>
      <c r="AG350" s="179" t="s">
        <v>2298</v>
      </c>
    </row>
    <row r="351" spans="1:33" hidden="1">
      <c r="A351" s="237">
        <f t="shared" si="17"/>
        <v>187</v>
      </c>
      <c r="B351" s="179" t="s">
        <v>129</v>
      </c>
      <c r="C351"/>
      <c r="D351"/>
      <c r="E351"/>
      <c r="F351" s="239">
        <v>27</v>
      </c>
      <c r="G351" s="185" t="s">
        <v>2290</v>
      </c>
      <c r="H351" s="179" t="s">
        <v>3169</v>
      </c>
      <c r="I351"/>
      <c r="J351" s="4"/>
      <c r="K351"/>
      <c r="N351" s="179" t="s">
        <v>455</v>
      </c>
      <c r="O351" s="179" t="s">
        <v>456</v>
      </c>
      <c r="P351" s="179" t="s">
        <v>992</v>
      </c>
      <c r="Q351" s="179" t="s">
        <v>455</v>
      </c>
      <c r="R351" s="186">
        <v>0</v>
      </c>
      <c r="AG351" s="179" t="s">
        <v>2298</v>
      </c>
    </row>
    <row r="352" spans="1:33" hidden="1">
      <c r="A352" s="237">
        <f t="shared" si="17"/>
        <v>188</v>
      </c>
      <c r="B352" s="179" t="s">
        <v>243</v>
      </c>
      <c r="C352" s="8">
        <v>13.73</v>
      </c>
      <c r="D352" s="1" t="s">
        <v>785</v>
      </c>
      <c r="E352"/>
      <c r="H352" s="186" t="str">
        <f>H308</f>
        <v>Bricks of size 22x11x7 cm</v>
      </c>
      <c r="I352"/>
      <c r="J352" s="4"/>
      <c r="K352"/>
      <c r="R352" s="183" t="s">
        <v>1615</v>
      </c>
      <c r="AG352" s="179" t="s">
        <v>2298</v>
      </c>
    </row>
    <row r="353" spans="1:33" hidden="1">
      <c r="A353" s="237">
        <f t="shared" si="17"/>
        <v>189</v>
      </c>
      <c r="B353" s="179" t="s">
        <v>244</v>
      </c>
      <c r="C353" s="8">
        <v>20.16</v>
      </c>
      <c r="D353" s="1" t="s">
        <v>785</v>
      </c>
      <c r="E353"/>
      <c r="H353" s="183" t="s">
        <v>1615</v>
      </c>
      <c r="I353"/>
      <c r="J353" s="4"/>
      <c r="K353"/>
      <c r="O353" s="179" t="s">
        <v>447</v>
      </c>
      <c r="R353" s="186" t="e">
        <f>SUM(R347:R351)</f>
        <v>#REF!</v>
      </c>
      <c r="AG353" s="179" t="s">
        <v>2298</v>
      </c>
    </row>
    <row r="354" spans="1:33" hidden="1">
      <c r="A354" s="237">
        <f t="shared" si="17"/>
        <v>190</v>
      </c>
      <c r="B354" s="179" t="s">
        <v>245</v>
      </c>
      <c r="C354" s="8">
        <v>22.73</v>
      </c>
      <c r="D354" s="1" t="s">
        <v>785</v>
      </c>
      <c r="E354"/>
      <c r="F354" s="186">
        <f>F310</f>
        <v>4800</v>
      </c>
      <c r="G354" s="185" t="s">
        <v>1450</v>
      </c>
      <c r="H354" s="186" t="str">
        <f>H308</f>
        <v>Bricks of size 22x11x7 cm</v>
      </c>
      <c r="I354" s="8" t="e">
        <f>C80</f>
        <v>#REF!</v>
      </c>
      <c r="J354" s="2" t="s">
        <v>1623</v>
      </c>
      <c r="K354" s="8" t="e">
        <f>(F354*I354)/1000</f>
        <v>#REF!</v>
      </c>
      <c r="R354" s="183" t="s">
        <v>1615</v>
      </c>
      <c r="AG354" s="179" t="s">
        <v>2298</v>
      </c>
    </row>
    <row r="355" spans="1:33" hidden="1">
      <c r="A355" s="237">
        <f t="shared" si="17"/>
        <v>191</v>
      </c>
      <c r="B355" s="179" t="s">
        <v>2261</v>
      </c>
      <c r="C355" s="8">
        <v>46.98</v>
      </c>
      <c r="D355" s="1" t="s">
        <v>785</v>
      </c>
      <c r="E355"/>
      <c r="F355" s="186">
        <f>F311</f>
        <v>2.5</v>
      </c>
      <c r="G355" s="185" t="s">
        <v>885</v>
      </c>
      <c r="H355" s="179" t="s">
        <v>1331</v>
      </c>
      <c r="I355" s="8" t="e">
        <f>K40</f>
        <v>#REF!</v>
      </c>
      <c r="J355" s="2" t="s">
        <v>885</v>
      </c>
      <c r="K355" s="8" t="e">
        <f>(F355*I355)</f>
        <v>#REF!</v>
      </c>
      <c r="O355" s="179" t="s">
        <v>562</v>
      </c>
      <c r="R355" s="186" t="e">
        <f>(R353/10)</f>
        <v>#REF!</v>
      </c>
      <c r="AG355" s="179" t="s">
        <v>2298</v>
      </c>
    </row>
    <row r="356" spans="1:33" hidden="1">
      <c r="A356" s="237">
        <f t="shared" si="17"/>
        <v>192</v>
      </c>
      <c r="B356" s="179" t="s">
        <v>826</v>
      </c>
      <c r="C356"/>
      <c r="D356"/>
      <c r="E356"/>
      <c r="F356" s="186">
        <v>3.5</v>
      </c>
      <c r="G356" s="185" t="s">
        <v>884</v>
      </c>
      <c r="H356" s="179" t="s">
        <v>2045</v>
      </c>
      <c r="I356" s="8">
        <f>(C10)</f>
        <v>150</v>
      </c>
      <c r="J356" s="2" t="s">
        <v>884</v>
      </c>
      <c r="K356" s="8">
        <f>(F356*I356)</f>
        <v>525</v>
      </c>
      <c r="R356" s="183" t="s">
        <v>2091</v>
      </c>
      <c r="AG356" s="179" t="s">
        <v>2298</v>
      </c>
    </row>
    <row r="357" spans="1:33" hidden="1">
      <c r="A357" s="237">
        <f t="shared" si="17"/>
        <v>193</v>
      </c>
      <c r="B357" s="179" t="s">
        <v>243</v>
      </c>
      <c r="C357" s="8">
        <v>19.3</v>
      </c>
      <c r="D357" s="1" t="s">
        <v>785</v>
      </c>
      <c r="E357"/>
      <c r="F357" s="186">
        <v>10.6</v>
      </c>
      <c r="G357" s="185" t="s">
        <v>884</v>
      </c>
      <c r="H357" s="179" t="s">
        <v>1744</v>
      </c>
      <c r="I357" s="8">
        <f>(C11)</f>
        <v>135</v>
      </c>
      <c r="J357" s="2" t="s">
        <v>884</v>
      </c>
      <c r="K357" s="8">
        <f>(F357*I357)</f>
        <v>1431</v>
      </c>
      <c r="N357" s="179" t="s">
        <v>2290</v>
      </c>
      <c r="O357" s="179" t="s">
        <v>827</v>
      </c>
      <c r="AG357" s="179" t="s">
        <v>2298</v>
      </c>
    </row>
    <row r="358" spans="1:33" hidden="1">
      <c r="A358" s="237">
        <f t="shared" si="17"/>
        <v>194</v>
      </c>
      <c r="B358" s="179" t="s">
        <v>244</v>
      </c>
      <c r="C358" s="8">
        <v>25.74</v>
      </c>
      <c r="D358" s="1" t="s">
        <v>785</v>
      </c>
      <c r="E358"/>
      <c r="F358" s="186">
        <v>7.1</v>
      </c>
      <c r="G358" s="185" t="s">
        <v>884</v>
      </c>
      <c r="H358" s="179" t="s">
        <v>1937</v>
      </c>
      <c r="I358" s="8">
        <f>(C12)</f>
        <v>95</v>
      </c>
      <c r="J358" s="2" t="s">
        <v>884</v>
      </c>
      <c r="K358" s="8">
        <f>(F358*I358)</f>
        <v>674.5</v>
      </c>
      <c r="O358" s="179" t="s">
        <v>828</v>
      </c>
      <c r="AG358" s="179" t="s">
        <v>2298</v>
      </c>
    </row>
    <row r="359" spans="1:33" hidden="1">
      <c r="A359" s="237">
        <f t="shared" si="17"/>
        <v>195</v>
      </c>
      <c r="B359" s="179" t="s">
        <v>245</v>
      </c>
      <c r="C359" s="8">
        <v>33.46</v>
      </c>
      <c r="D359" s="1" t="s">
        <v>785</v>
      </c>
      <c r="E359"/>
      <c r="F359" s="186">
        <v>21.2</v>
      </c>
      <c r="G359" s="185" t="s">
        <v>884</v>
      </c>
      <c r="H359" s="179" t="s">
        <v>325</v>
      </c>
      <c r="I359" s="8">
        <f>(C13)</f>
        <v>85</v>
      </c>
      <c r="J359" s="2" t="s">
        <v>884</v>
      </c>
      <c r="K359" s="8">
        <f>(F359*I359)</f>
        <v>1802</v>
      </c>
      <c r="O359" s="179" t="s">
        <v>829</v>
      </c>
      <c r="AG359" s="179" t="s">
        <v>2298</v>
      </c>
    </row>
    <row r="360" spans="1:33" hidden="1">
      <c r="A360" s="237">
        <f t="shared" si="17"/>
        <v>196</v>
      </c>
      <c r="B360" s="179" t="s">
        <v>2261</v>
      </c>
      <c r="C360" s="8">
        <v>53.62</v>
      </c>
      <c r="D360" s="1" t="s">
        <v>992</v>
      </c>
      <c r="E360"/>
      <c r="G360" s="185" t="s">
        <v>455</v>
      </c>
      <c r="H360" s="179" t="s">
        <v>456</v>
      </c>
      <c r="I360"/>
      <c r="J360" s="2" t="s">
        <v>455</v>
      </c>
      <c r="K360" s="8">
        <v>0</v>
      </c>
      <c r="O360" s="183" t="s">
        <v>1615</v>
      </c>
      <c r="AG360" s="179" t="s">
        <v>2298</v>
      </c>
    </row>
    <row r="361" spans="1:33" hidden="1">
      <c r="A361" s="237">
        <f t="shared" si="17"/>
        <v>197</v>
      </c>
      <c r="B361" s="179" t="s">
        <v>986</v>
      </c>
      <c r="C361"/>
      <c r="D361"/>
      <c r="E361"/>
      <c r="I361"/>
      <c r="J361" s="4"/>
      <c r="K361" s="5" t="s">
        <v>1615</v>
      </c>
      <c r="M361" s="186">
        <v>0.22</v>
      </c>
      <c r="N361" s="179" t="s">
        <v>885</v>
      </c>
      <c r="O361" s="179" t="s">
        <v>1331</v>
      </c>
      <c r="P361" s="186" t="e">
        <f>(K40)</f>
        <v>#REF!</v>
      </c>
      <c r="Q361" s="179" t="s">
        <v>885</v>
      </c>
      <c r="R361" s="186" t="e">
        <f t="shared" ref="R361:R366" si="18">(M361*P361)</f>
        <v>#REF!</v>
      </c>
      <c r="AG361" s="179" t="s">
        <v>2298</v>
      </c>
    </row>
    <row r="362" spans="1:33" hidden="1">
      <c r="A362" s="237">
        <f t="shared" si="17"/>
        <v>198</v>
      </c>
      <c r="B362" s="179" t="s">
        <v>243</v>
      </c>
      <c r="C362" s="8">
        <v>26.16</v>
      </c>
      <c r="D362" s="1" t="s">
        <v>785</v>
      </c>
      <c r="E362"/>
      <c r="H362" s="179" t="s">
        <v>626</v>
      </c>
      <c r="I362"/>
      <c r="J362" s="4"/>
      <c r="K362" s="8" t="e">
        <f>SUM(K354:K360)</f>
        <v>#REF!</v>
      </c>
      <c r="M362" s="186">
        <v>2.2000000000000002</v>
      </c>
      <c r="N362" s="179" t="s">
        <v>884</v>
      </c>
      <c r="O362" s="179" t="s">
        <v>2045</v>
      </c>
      <c r="P362" s="186">
        <f>(C10)</f>
        <v>150</v>
      </c>
      <c r="Q362" s="179" t="s">
        <v>884</v>
      </c>
      <c r="R362" s="186">
        <f t="shared" si="18"/>
        <v>330</v>
      </c>
      <c r="AG362" s="179" t="s">
        <v>2298</v>
      </c>
    </row>
    <row r="363" spans="1:33" hidden="1">
      <c r="A363" s="237">
        <f t="shared" si="17"/>
        <v>199</v>
      </c>
      <c r="B363" s="179" t="s">
        <v>244</v>
      </c>
      <c r="C363" s="8">
        <v>34.32</v>
      </c>
      <c r="D363" s="1" t="s">
        <v>785</v>
      </c>
      <c r="E363"/>
      <c r="I363"/>
      <c r="J363" s="4"/>
      <c r="K363" s="5" t="s">
        <v>1615</v>
      </c>
      <c r="M363" s="186">
        <v>0.5</v>
      </c>
      <c r="N363" s="179" t="s">
        <v>884</v>
      </c>
      <c r="O363" s="179" t="s">
        <v>1937</v>
      </c>
      <c r="P363" s="186">
        <f>(C12)</f>
        <v>95</v>
      </c>
      <c r="Q363" s="179" t="s">
        <v>884</v>
      </c>
      <c r="R363" s="186">
        <f t="shared" si="18"/>
        <v>47.5</v>
      </c>
      <c r="AG363" s="179" t="s">
        <v>2298</v>
      </c>
    </row>
    <row r="364" spans="1:33" hidden="1">
      <c r="A364" s="237">
        <f t="shared" ref="A364:A395" si="19">(A363+1)</f>
        <v>200</v>
      </c>
      <c r="B364" s="179" t="s">
        <v>245</v>
      </c>
      <c r="C364" s="8">
        <v>40.33</v>
      </c>
      <c r="D364" s="1" t="s">
        <v>785</v>
      </c>
      <c r="E364"/>
      <c r="H364" s="179" t="s">
        <v>789</v>
      </c>
      <c r="I364"/>
      <c r="J364" s="4"/>
      <c r="K364" s="8" t="e">
        <f>(K362/10)</f>
        <v>#REF!</v>
      </c>
      <c r="M364" s="186">
        <v>1.1000000000000001</v>
      </c>
      <c r="N364" s="179" t="s">
        <v>987</v>
      </c>
      <c r="O364" s="179" t="s">
        <v>988</v>
      </c>
      <c r="P364" s="186">
        <f>(C10)</f>
        <v>150</v>
      </c>
      <c r="Q364" s="179" t="s">
        <v>884</v>
      </c>
      <c r="R364" s="186">
        <f t="shared" si="18"/>
        <v>165</v>
      </c>
      <c r="AG364" s="179" t="s">
        <v>2298</v>
      </c>
    </row>
    <row r="365" spans="1:33" hidden="1">
      <c r="A365" s="237">
        <f t="shared" si="19"/>
        <v>201</v>
      </c>
      <c r="B365" s="179" t="s">
        <v>989</v>
      </c>
      <c r="C365"/>
      <c r="D365" s="1" t="s">
        <v>992</v>
      </c>
      <c r="E365"/>
      <c r="I365"/>
      <c r="J365" s="4"/>
      <c r="K365" s="5" t="s">
        <v>2091</v>
      </c>
      <c r="M365" s="186">
        <v>3.2</v>
      </c>
      <c r="N365" s="179" t="s">
        <v>884</v>
      </c>
      <c r="O365" s="179" t="s">
        <v>325</v>
      </c>
      <c r="P365" s="186">
        <f>(C13)</f>
        <v>85</v>
      </c>
      <c r="Q365" s="179" t="s">
        <v>884</v>
      </c>
      <c r="R365" s="186">
        <f t="shared" si="18"/>
        <v>272</v>
      </c>
      <c r="AG365" s="179" t="s">
        <v>2298</v>
      </c>
    </row>
    <row r="366" spans="1:33" hidden="1">
      <c r="A366" s="237">
        <f t="shared" si="19"/>
        <v>202</v>
      </c>
      <c r="B366" s="179" t="s">
        <v>243</v>
      </c>
      <c r="C366" s="8">
        <v>20.329999999999998</v>
      </c>
      <c r="D366" s="1" t="s">
        <v>785</v>
      </c>
      <c r="E366"/>
      <c r="H366" s="179" t="s">
        <v>391</v>
      </c>
      <c r="I366"/>
      <c r="J366" s="4"/>
      <c r="K366" s="8" t="e">
        <f>(K364+C19)</f>
        <v>#REF!</v>
      </c>
      <c r="M366" s="186">
        <v>9.8000000000000007</v>
      </c>
      <c r="N366" s="179" t="s">
        <v>1676</v>
      </c>
      <c r="O366" s="179" t="s">
        <v>1677</v>
      </c>
      <c r="P366" s="186">
        <f>(C180)</f>
        <v>110</v>
      </c>
      <c r="Q366" s="179" t="s">
        <v>1676</v>
      </c>
      <c r="R366" s="186">
        <f t="shared" si="18"/>
        <v>1078</v>
      </c>
      <c r="AG366" s="179" t="s">
        <v>2298</v>
      </c>
    </row>
    <row r="367" spans="1:33" hidden="1">
      <c r="A367" s="237">
        <f t="shared" si="19"/>
        <v>203</v>
      </c>
      <c r="B367" s="179" t="s">
        <v>244</v>
      </c>
      <c r="C367" s="8">
        <v>26.6</v>
      </c>
      <c r="D367" s="1" t="s">
        <v>785</v>
      </c>
      <c r="E367"/>
      <c r="H367" s="179" t="s">
        <v>393</v>
      </c>
      <c r="I367"/>
      <c r="J367" s="4"/>
      <c r="K367" s="8" t="e">
        <f>(K366+C20)</f>
        <v>#REF!</v>
      </c>
      <c r="N367" s="179" t="s">
        <v>455</v>
      </c>
      <c r="O367" s="179" t="s">
        <v>456</v>
      </c>
      <c r="P367" s="179" t="s">
        <v>992</v>
      </c>
      <c r="Q367" s="179" t="s">
        <v>455</v>
      </c>
      <c r="R367" s="186">
        <v>0</v>
      </c>
      <c r="AG367" s="179" t="s">
        <v>2298</v>
      </c>
    </row>
    <row r="368" spans="1:33" hidden="1">
      <c r="A368" s="237">
        <f t="shared" si="19"/>
        <v>204</v>
      </c>
      <c r="B368" s="179" t="s">
        <v>245</v>
      </c>
      <c r="C368" s="8">
        <v>33.89</v>
      </c>
      <c r="D368" s="1" t="s">
        <v>785</v>
      </c>
      <c r="E368"/>
      <c r="H368" s="179" t="s">
        <v>2271</v>
      </c>
      <c r="I368"/>
      <c r="J368" s="4"/>
      <c r="K368" s="8" t="e">
        <f>(K367+C21)</f>
        <v>#REF!</v>
      </c>
      <c r="R368" s="183" t="s">
        <v>1615</v>
      </c>
      <c r="AG368" s="179" t="s">
        <v>2298</v>
      </c>
    </row>
    <row r="369" spans="1:33" hidden="1">
      <c r="A369" s="237">
        <f t="shared" si="19"/>
        <v>205</v>
      </c>
      <c r="B369" s="179" t="s">
        <v>990</v>
      </c>
      <c r="C369"/>
      <c r="D369"/>
      <c r="E369"/>
      <c r="H369" s="179" t="s">
        <v>385</v>
      </c>
      <c r="I369"/>
      <c r="J369" s="4"/>
      <c r="K369" s="8" t="e">
        <f>(K368+C21)</f>
        <v>#REF!</v>
      </c>
      <c r="O369" s="179" t="s">
        <v>447</v>
      </c>
      <c r="R369" s="186" t="e">
        <f>SUM(R361:R367)</f>
        <v>#REF!</v>
      </c>
      <c r="AG369" s="179" t="s">
        <v>2298</v>
      </c>
    </row>
    <row r="370" spans="1:33" hidden="1">
      <c r="A370" s="237">
        <f t="shared" si="19"/>
        <v>206</v>
      </c>
      <c r="B370" s="179" t="s">
        <v>243</v>
      </c>
      <c r="C370" s="8">
        <v>13.29</v>
      </c>
      <c r="D370" s="1" t="s">
        <v>785</v>
      </c>
      <c r="E370"/>
      <c r="H370" s="179" t="s">
        <v>494</v>
      </c>
      <c r="I370"/>
      <c r="J370" s="4"/>
      <c r="K370" s="8" t="e">
        <f>(K369+C21)</f>
        <v>#REF!</v>
      </c>
      <c r="R370" s="183" t="s">
        <v>1615</v>
      </c>
      <c r="AG370" s="179" t="s">
        <v>2298</v>
      </c>
    </row>
    <row r="371" spans="1:33" hidden="1">
      <c r="A371" s="237">
        <f t="shared" si="19"/>
        <v>207</v>
      </c>
      <c r="B371" s="179" t="s">
        <v>244</v>
      </c>
      <c r="C371" s="8">
        <v>18.02</v>
      </c>
      <c r="D371" s="1" t="s">
        <v>785</v>
      </c>
      <c r="E371"/>
      <c r="H371" s="179" t="s">
        <v>1865</v>
      </c>
      <c r="I371"/>
      <c r="J371" s="4"/>
      <c r="K371" s="8" t="e">
        <f>(K366+K367+K368)/3</f>
        <v>#REF!</v>
      </c>
      <c r="O371" s="179" t="s">
        <v>562</v>
      </c>
      <c r="R371" s="186" t="e">
        <f>(R369/10)</f>
        <v>#REF!</v>
      </c>
      <c r="AG371" s="179" t="s">
        <v>2298</v>
      </c>
    </row>
    <row r="372" spans="1:33" hidden="1">
      <c r="A372" s="237">
        <f t="shared" si="19"/>
        <v>208</v>
      </c>
      <c r="B372" s="179" t="s">
        <v>245</v>
      </c>
      <c r="C372" s="8">
        <v>23.17</v>
      </c>
      <c r="D372" s="1" t="s">
        <v>785</v>
      </c>
      <c r="E372"/>
      <c r="I372"/>
      <c r="J372" s="4"/>
      <c r="K372"/>
      <c r="R372" s="183" t="s">
        <v>2091</v>
      </c>
      <c r="AG372" s="179" t="s">
        <v>2298</v>
      </c>
    </row>
    <row r="373" spans="1:33" hidden="1">
      <c r="A373" s="237">
        <f t="shared" si="19"/>
        <v>209</v>
      </c>
      <c r="B373" s="179" t="s">
        <v>1866</v>
      </c>
      <c r="C373"/>
      <c r="D373" s="1" t="s">
        <v>992</v>
      </c>
      <c r="E373"/>
      <c r="H373" s="233" t="s">
        <v>1867</v>
      </c>
      <c r="I373"/>
      <c r="J373" s="4"/>
      <c r="K373"/>
      <c r="N373" s="179" t="s">
        <v>2290</v>
      </c>
      <c r="O373" s="179" t="s">
        <v>1868</v>
      </c>
      <c r="AG373" s="179" t="s">
        <v>2298</v>
      </c>
    </row>
    <row r="374" spans="1:33" hidden="1">
      <c r="A374" s="237">
        <f t="shared" si="19"/>
        <v>210</v>
      </c>
      <c r="B374" s="179" t="s">
        <v>243</v>
      </c>
      <c r="C374" s="8">
        <v>9</v>
      </c>
      <c r="D374" s="1" t="s">
        <v>785</v>
      </c>
      <c r="E374"/>
      <c r="H374" s="183" t="s">
        <v>1615</v>
      </c>
      <c r="I374"/>
      <c r="J374" s="4"/>
      <c r="K374"/>
      <c r="O374" s="183" t="s">
        <v>1615</v>
      </c>
      <c r="AG374" s="179" t="s">
        <v>2298</v>
      </c>
    </row>
    <row r="375" spans="1:33" hidden="1">
      <c r="A375" s="237">
        <f t="shared" si="19"/>
        <v>211</v>
      </c>
      <c r="B375" s="179" t="s">
        <v>244</v>
      </c>
      <c r="C375" s="8">
        <v>11.58</v>
      </c>
      <c r="D375" s="1" t="s">
        <v>785</v>
      </c>
      <c r="E375"/>
      <c r="F375" s="239">
        <v>10</v>
      </c>
      <c r="G375" s="185" t="s">
        <v>2290</v>
      </c>
      <c r="H375" s="179" t="s">
        <v>3169</v>
      </c>
      <c r="I375"/>
      <c r="J375" s="4"/>
      <c r="K375"/>
      <c r="M375" s="186">
        <v>0.05</v>
      </c>
      <c r="N375" s="179" t="s">
        <v>885</v>
      </c>
      <c r="O375" s="179" t="s">
        <v>2040</v>
      </c>
      <c r="P375" s="186">
        <f>(C84)</f>
        <v>773</v>
      </c>
      <c r="Q375" s="179" t="s">
        <v>885</v>
      </c>
      <c r="R375" s="186">
        <f>(M375*P375)</f>
        <v>38.65</v>
      </c>
      <c r="AG375" s="179" t="s">
        <v>2298</v>
      </c>
    </row>
    <row r="376" spans="1:33" hidden="1">
      <c r="A376" s="237">
        <f t="shared" si="19"/>
        <v>212</v>
      </c>
      <c r="B376" s="179" t="s">
        <v>245</v>
      </c>
      <c r="C376" s="8">
        <v>14.15</v>
      </c>
      <c r="D376" s="1" t="s">
        <v>785</v>
      </c>
      <c r="E376"/>
      <c r="H376" s="186" t="str">
        <f>H308</f>
        <v>Bricks of size 22x11x7 cm</v>
      </c>
      <c r="I376"/>
      <c r="J376" s="4"/>
      <c r="K376"/>
      <c r="M376" s="186">
        <v>1.1000000000000001</v>
      </c>
      <c r="N376" s="179" t="s">
        <v>884</v>
      </c>
      <c r="O376" s="179" t="s">
        <v>1744</v>
      </c>
      <c r="P376" s="186">
        <f>(C11)</f>
        <v>135</v>
      </c>
      <c r="Q376" s="179" t="s">
        <v>884</v>
      </c>
      <c r="R376" s="186">
        <f>(M376*P376)</f>
        <v>148.5</v>
      </c>
      <c r="AG376" s="179" t="s">
        <v>2298</v>
      </c>
    </row>
    <row r="377" spans="1:33" hidden="1">
      <c r="A377" s="237">
        <f t="shared" si="19"/>
        <v>213</v>
      </c>
      <c r="B377" s="179" t="s">
        <v>1869</v>
      </c>
      <c r="C377"/>
      <c r="D377"/>
      <c r="E377"/>
      <c r="H377" s="183" t="s">
        <v>1615</v>
      </c>
      <c r="I377"/>
      <c r="J377" s="4"/>
      <c r="K377"/>
      <c r="M377" s="186">
        <v>0.3</v>
      </c>
      <c r="N377" s="179" t="s">
        <v>884</v>
      </c>
      <c r="O377" s="179" t="s">
        <v>1937</v>
      </c>
      <c r="P377" s="186">
        <f>(C12)</f>
        <v>95</v>
      </c>
      <c r="Q377" s="179" t="s">
        <v>884</v>
      </c>
      <c r="R377" s="186">
        <f>(M377*P377)</f>
        <v>28.5</v>
      </c>
      <c r="AG377" s="179" t="s">
        <v>2298</v>
      </c>
    </row>
    <row r="378" spans="1:33" hidden="1">
      <c r="A378" s="237">
        <f t="shared" si="19"/>
        <v>214</v>
      </c>
      <c r="B378" s="179" t="s">
        <v>243</v>
      </c>
      <c r="C378" s="8">
        <v>4.29</v>
      </c>
      <c r="D378" s="1" t="s">
        <v>785</v>
      </c>
      <c r="E378"/>
      <c r="F378" s="186">
        <f>F310</f>
        <v>4800</v>
      </c>
      <c r="G378" s="185" t="s">
        <v>1450</v>
      </c>
      <c r="H378" s="186" t="str">
        <f>H308</f>
        <v>Bricks of size 22x11x7 cm</v>
      </c>
      <c r="I378" s="8" t="e">
        <f>(C80)</f>
        <v>#REF!</v>
      </c>
      <c r="J378" s="2" t="s">
        <v>1623</v>
      </c>
      <c r="K378" s="8" t="e">
        <f>(F378*I378)/1000</f>
        <v>#REF!</v>
      </c>
      <c r="M378" s="186">
        <v>1.9</v>
      </c>
      <c r="N378" s="179" t="s">
        <v>884</v>
      </c>
      <c r="O378" s="179" t="s">
        <v>325</v>
      </c>
      <c r="P378" s="186">
        <f>(C13)</f>
        <v>85</v>
      </c>
      <c r="Q378" s="179" t="s">
        <v>884</v>
      </c>
      <c r="R378" s="186">
        <f>(M378*P378)</f>
        <v>161.5</v>
      </c>
      <c r="AG378" s="179" t="s">
        <v>2298</v>
      </c>
    </row>
    <row r="379" spans="1:33" hidden="1">
      <c r="A379" s="237">
        <f t="shared" si="19"/>
        <v>215</v>
      </c>
      <c r="B379" s="179" t="s">
        <v>244</v>
      </c>
      <c r="C379" s="8">
        <v>6.01</v>
      </c>
      <c r="D379" s="1" t="s">
        <v>785</v>
      </c>
      <c r="E379"/>
      <c r="F379" s="186">
        <v>1.59</v>
      </c>
      <c r="G379" s="185" t="s">
        <v>885</v>
      </c>
      <c r="H379" s="179" t="s">
        <v>1331</v>
      </c>
      <c r="I379" s="8" t="e">
        <f>(K40)</f>
        <v>#REF!</v>
      </c>
      <c r="J379" s="2" t="s">
        <v>885</v>
      </c>
      <c r="K379" s="8" t="e">
        <f>(F379*I379)</f>
        <v>#REF!</v>
      </c>
      <c r="N379" s="179" t="s">
        <v>455</v>
      </c>
      <c r="O379" s="179" t="s">
        <v>1870</v>
      </c>
      <c r="P379" s="179" t="s">
        <v>992</v>
      </c>
      <c r="Q379" s="179" t="s">
        <v>455</v>
      </c>
      <c r="R379" s="186">
        <v>1.46</v>
      </c>
      <c r="AG379" s="179" t="s">
        <v>2298</v>
      </c>
    </row>
    <row r="380" spans="1:33" hidden="1">
      <c r="A380" s="237">
        <f t="shared" si="19"/>
        <v>216</v>
      </c>
      <c r="B380" s="179" t="s">
        <v>245</v>
      </c>
      <c r="C380" s="8">
        <v>6.86</v>
      </c>
      <c r="D380" s="1" t="s">
        <v>785</v>
      </c>
      <c r="E380"/>
      <c r="F380" s="186">
        <v>7</v>
      </c>
      <c r="G380" s="185" t="s">
        <v>884</v>
      </c>
      <c r="H380" s="179" t="s">
        <v>2045</v>
      </c>
      <c r="I380" s="8">
        <f>(C10)</f>
        <v>150</v>
      </c>
      <c r="J380" s="2" t="s">
        <v>884</v>
      </c>
      <c r="K380" s="8">
        <f>(F380*I380)</f>
        <v>1050</v>
      </c>
      <c r="R380" s="183" t="s">
        <v>1615</v>
      </c>
      <c r="AG380" s="179" t="s">
        <v>2298</v>
      </c>
    </row>
    <row r="381" spans="1:33" hidden="1">
      <c r="A381" s="237">
        <f t="shared" si="19"/>
        <v>217</v>
      </c>
      <c r="B381" s="179" t="s">
        <v>1871</v>
      </c>
      <c r="C381"/>
      <c r="D381" s="1" t="s">
        <v>992</v>
      </c>
      <c r="E381"/>
      <c r="F381" s="186">
        <v>7.1</v>
      </c>
      <c r="G381" s="185" t="s">
        <v>884</v>
      </c>
      <c r="H381" s="179" t="s">
        <v>1744</v>
      </c>
      <c r="I381" s="8">
        <f>(C11)</f>
        <v>135</v>
      </c>
      <c r="J381" s="2" t="s">
        <v>884</v>
      </c>
      <c r="K381" s="8">
        <f>(F381*I381)</f>
        <v>958.5</v>
      </c>
      <c r="O381" s="179" t="s">
        <v>1872</v>
      </c>
      <c r="R381" s="186">
        <f>SUM(R374:R379)</f>
        <v>378.61</v>
      </c>
      <c r="AG381" s="179" t="s">
        <v>2298</v>
      </c>
    </row>
    <row r="382" spans="1:33" hidden="1">
      <c r="A382" s="237">
        <f t="shared" si="19"/>
        <v>218</v>
      </c>
      <c r="B382" s="179" t="s">
        <v>243</v>
      </c>
      <c r="C382" s="8">
        <v>14.91</v>
      </c>
      <c r="D382" s="1" t="s">
        <v>785</v>
      </c>
      <c r="E382"/>
      <c r="F382" s="186">
        <v>7.1</v>
      </c>
      <c r="G382" s="185" t="s">
        <v>884</v>
      </c>
      <c r="H382" s="179" t="s">
        <v>1937</v>
      </c>
      <c r="I382" s="8">
        <f>(C12)</f>
        <v>95</v>
      </c>
      <c r="J382" s="2" t="s">
        <v>884</v>
      </c>
      <c r="K382" s="8">
        <f>(F382*I382)</f>
        <v>674.5</v>
      </c>
      <c r="R382" s="183" t="s">
        <v>1615</v>
      </c>
      <c r="AG382" s="179" t="s">
        <v>2298</v>
      </c>
    </row>
    <row r="383" spans="1:33" hidden="1">
      <c r="A383" s="237">
        <f t="shared" si="19"/>
        <v>219</v>
      </c>
      <c r="B383" s="179" t="s">
        <v>244</v>
      </c>
      <c r="C383" s="8">
        <v>17.579999999999998</v>
      </c>
      <c r="D383" s="1" t="s">
        <v>785</v>
      </c>
      <c r="E383"/>
      <c r="F383" s="186">
        <v>21.2</v>
      </c>
      <c r="G383" s="185" t="s">
        <v>884</v>
      </c>
      <c r="H383" s="179" t="s">
        <v>325</v>
      </c>
      <c r="I383" s="8">
        <f>(C13)</f>
        <v>85</v>
      </c>
      <c r="J383" s="2" t="s">
        <v>884</v>
      </c>
      <c r="K383" s="8">
        <f>(F383*I383)</f>
        <v>1802</v>
      </c>
      <c r="O383" s="179" t="s">
        <v>562</v>
      </c>
      <c r="R383" s="186">
        <f>(R381/100)</f>
        <v>3.79</v>
      </c>
      <c r="AG383" s="179" t="s">
        <v>2298</v>
      </c>
    </row>
    <row r="384" spans="1:33" hidden="1">
      <c r="A384" s="237">
        <f t="shared" si="19"/>
        <v>220</v>
      </c>
      <c r="B384" s="179" t="s">
        <v>245</v>
      </c>
      <c r="C384" s="8">
        <v>19.3</v>
      </c>
      <c r="D384" s="1" t="s">
        <v>785</v>
      </c>
      <c r="E384"/>
      <c r="G384" s="185" t="s">
        <v>455</v>
      </c>
      <c r="H384" s="179" t="s">
        <v>456</v>
      </c>
      <c r="I384" s="1" t="s">
        <v>992</v>
      </c>
      <c r="J384" s="2" t="s">
        <v>455</v>
      </c>
      <c r="K384" s="8">
        <v>0</v>
      </c>
      <c r="R384" s="183" t="s">
        <v>2091</v>
      </c>
      <c r="AG384" s="179" t="s">
        <v>2298</v>
      </c>
    </row>
    <row r="385" spans="1:33" hidden="1">
      <c r="A385" s="237">
        <f t="shared" si="19"/>
        <v>221</v>
      </c>
      <c r="B385" s="179" t="s">
        <v>1134</v>
      </c>
      <c r="C385"/>
      <c r="D385"/>
      <c r="E385"/>
      <c r="I385"/>
      <c r="J385" s="4"/>
      <c r="K385" s="5" t="s">
        <v>1615</v>
      </c>
      <c r="AG385" s="179" t="s">
        <v>326</v>
      </c>
    </row>
    <row r="386" spans="1:33" hidden="1">
      <c r="A386" s="237">
        <f t="shared" si="19"/>
        <v>222</v>
      </c>
      <c r="B386" s="179" t="s">
        <v>243</v>
      </c>
      <c r="C386" s="8">
        <v>15.87</v>
      </c>
      <c r="D386" s="1" t="s">
        <v>785</v>
      </c>
      <c r="E386"/>
      <c r="H386" s="179" t="s">
        <v>626</v>
      </c>
      <c r="I386"/>
      <c r="J386" s="4"/>
      <c r="K386" s="8" t="e">
        <f>SUM(K378:K384)</f>
        <v>#REF!</v>
      </c>
    </row>
    <row r="387" spans="1:33" hidden="1">
      <c r="A387" s="237">
        <f t="shared" si="19"/>
        <v>223</v>
      </c>
      <c r="B387" s="179" t="s">
        <v>244</v>
      </c>
      <c r="C387" s="8">
        <v>20.16</v>
      </c>
      <c r="D387" s="1" t="s">
        <v>785</v>
      </c>
      <c r="E387"/>
      <c r="I387"/>
      <c r="J387" s="4"/>
      <c r="K387" s="5" t="s">
        <v>1615</v>
      </c>
      <c r="N387" s="179" t="s">
        <v>687</v>
      </c>
      <c r="O387" s="179" t="s">
        <v>1135</v>
      </c>
    </row>
    <row r="388" spans="1:33" hidden="1">
      <c r="A388" s="237">
        <f t="shared" si="19"/>
        <v>224</v>
      </c>
      <c r="B388" s="179" t="s">
        <v>245</v>
      </c>
      <c r="C388" s="8">
        <v>22.31</v>
      </c>
      <c r="D388" s="1" t="s">
        <v>785</v>
      </c>
      <c r="E388"/>
      <c r="H388" s="179" t="s">
        <v>789</v>
      </c>
      <c r="I388"/>
      <c r="J388" s="4"/>
      <c r="K388" s="8" t="e">
        <f>(K386/10)</f>
        <v>#REF!</v>
      </c>
      <c r="O388" s="183" t="s">
        <v>1615</v>
      </c>
      <c r="AG388" s="179" t="s">
        <v>2298</v>
      </c>
    </row>
    <row r="389" spans="1:33" hidden="1">
      <c r="A389" s="237">
        <f t="shared" si="19"/>
        <v>225</v>
      </c>
      <c r="B389" s="179" t="s">
        <v>3170</v>
      </c>
      <c r="C389"/>
      <c r="D389" s="1" t="s">
        <v>992</v>
      </c>
      <c r="E389"/>
      <c r="I389"/>
      <c r="J389" s="4"/>
      <c r="K389" s="5" t="s">
        <v>2091</v>
      </c>
      <c r="M389" s="186">
        <v>7.0000000000000007E-2</v>
      </c>
      <c r="N389" s="179" t="s">
        <v>885</v>
      </c>
      <c r="O389" s="179" t="s">
        <v>2040</v>
      </c>
      <c r="P389" s="186">
        <f>(C84)</f>
        <v>773</v>
      </c>
      <c r="Q389" s="179" t="s">
        <v>885</v>
      </c>
      <c r="R389" s="186">
        <f>(M389*P389)</f>
        <v>54.11</v>
      </c>
      <c r="AG389" s="179" t="s">
        <v>2298</v>
      </c>
    </row>
    <row r="390" spans="1:33" hidden="1">
      <c r="A390" s="237">
        <f t="shared" si="19"/>
        <v>226</v>
      </c>
      <c r="B390" s="179" t="s">
        <v>1136</v>
      </c>
      <c r="C390" s="8">
        <v>26.4</v>
      </c>
      <c r="D390" s="1" t="s">
        <v>1805</v>
      </c>
      <c r="E390"/>
      <c r="I390"/>
      <c r="J390" s="4"/>
      <c r="K390"/>
      <c r="M390" s="186">
        <v>1.6</v>
      </c>
      <c r="N390" s="179" t="s">
        <v>884</v>
      </c>
      <c r="O390" s="179" t="s">
        <v>1744</v>
      </c>
      <c r="P390" s="186">
        <f>(C11)</f>
        <v>135</v>
      </c>
      <c r="Q390" s="179" t="s">
        <v>884</v>
      </c>
      <c r="R390" s="186">
        <f>(M390*P390)</f>
        <v>216</v>
      </c>
      <c r="AG390" s="179" t="s">
        <v>2298</v>
      </c>
    </row>
    <row r="391" spans="1:33" hidden="1">
      <c r="A391" s="237">
        <f t="shared" si="19"/>
        <v>227</v>
      </c>
      <c r="B391" s="179" t="s">
        <v>1137</v>
      </c>
      <c r="C391" s="8">
        <v>35.26</v>
      </c>
      <c r="D391" s="1" t="s">
        <v>1805</v>
      </c>
      <c r="E391"/>
      <c r="G391" s="185" t="s">
        <v>687</v>
      </c>
      <c r="H391" s="179" t="s">
        <v>2980</v>
      </c>
      <c r="I391"/>
      <c r="J391" s="4"/>
      <c r="K391"/>
      <c r="M391" s="186">
        <v>0.5</v>
      </c>
      <c r="N391" s="179" t="s">
        <v>884</v>
      </c>
      <c r="O391" s="179" t="s">
        <v>1937</v>
      </c>
      <c r="P391" s="186">
        <f>(C12)</f>
        <v>95</v>
      </c>
      <c r="Q391" s="179" t="s">
        <v>884</v>
      </c>
      <c r="R391" s="186">
        <f>(M391*P391)</f>
        <v>47.5</v>
      </c>
      <c r="AG391" s="179" t="s">
        <v>2298</v>
      </c>
    </row>
    <row r="392" spans="1:33" hidden="1">
      <c r="A392" s="237">
        <f t="shared" si="19"/>
        <v>228</v>
      </c>
      <c r="B392" s="179" t="s">
        <v>1138</v>
      </c>
      <c r="C392" s="8">
        <v>48.71</v>
      </c>
      <c r="D392" s="1" t="s">
        <v>1805</v>
      </c>
      <c r="E392"/>
      <c r="H392" s="183" t="s">
        <v>1615</v>
      </c>
      <c r="I392"/>
      <c r="J392" s="4"/>
      <c r="K392"/>
      <c r="M392" s="186">
        <v>2.7</v>
      </c>
      <c r="N392" s="179" t="s">
        <v>884</v>
      </c>
      <c r="O392" s="179" t="s">
        <v>325</v>
      </c>
      <c r="P392" s="186">
        <f>(C13)</f>
        <v>85</v>
      </c>
      <c r="Q392" s="179" t="s">
        <v>884</v>
      </c>
      <c r="R392" s="186">
        <f>(M392*P392)</f>
        <v>229.5</v>
      </c>
      <c r="AG392" s="179" t="s">
        <v>2298</v>
      </c>
    </row>
    <row r="393" spans="1:33" hidden="1">
      <c r="A393" s="237">
        <f t="shared" si="19"/>
        <v>229</v>
      </c>
      <c r="B393" s="179" t="s">
        <v>1139</v>
      </c>
      <c r="C393" s="8">
        <v>58.75</v>
      </c>
      <c r="D393" s="1" t="s">
        <v>1805</v>
      </c>
      <c r="E393"/>
      <c r="F393" s="186">
        <v>1.1000000000000001</v>
      </c>
      <c r="G393" s="185" t="s">
        <v>885</v>
      </c>
      <c r="H393" s="179" t="s">
        <v>1140</v>
      </c>
      <c r="I393" s="8" t="e">
        <f>(K388)</f>
        <v>#REF!</v>
      </c>
      <c r="J393" s="2" t="s">
        <v>884</v>
      </c>
      <c r="K393" s="8" t="e">
        <f>(F393*I393)</f>
        <v>#REF!</v>
      </c>
      <c r="N393" s="179" t="s">
        <v>455</v>
      </c>
      <c r="O393" s="179" t="s">
        <v>1870</v>
      </c>
      <c r="P393" s="179" t="s">
        <v>992</v>
      </c>
      <c r="Q393" s="179" t="s">
        <v>455</v>
      </c>
      <c r="R393" s="186">
        <v>2.09</v>
      </c>
      <c r="AG393" s="179" t="s">
        <v>2298</v>
      </c>
    </row>
    <row r="394" spans="1:33" hidden="1">
      <c r="A394" s="237">
        <f t="shared" si="19"/>
        <v>230</v>
      </c>
      <c r="B394" s="179" t="s">
        <v>1141</v>
      </c>
      <c r="C394" s="8">
        <v>70.2</v>
      </c>
      <c r="D394" s="1" t="s">
        <v>1805</v>
      </c>
      <c r="E394"/>
      <c r="F394" s="186">
        <v>1</v>
      </c>
      <c r="G394" s="185" t="s">
        <v>785</v>
      </c>
      <c r="H394" s="179" t="s">
        <v>2045</v>
      </c>
      <c r="I394" s="8">
        <f>(C10)</f>
        <v>150</v>
      </c>
      <c r="J394" s="2" t="s">
        <v>884</v>
      </c>
      <c r="K394" s="8">
        <f>(F394*I394)</f>
        <v>150</v>
      </c>
      <c r="R394" s="183" t="s">
        <v>1615</v>
      </c>
      <c r="AG394" s="179" t="s">
        <v>2298</v>
      </c>
    </row>
    <row r="395" spans="1:33" hidden="1">
      <c r="A395" s="237">
        <f t="shared" si="19"/>
        <v>231</v>
      </c>
      <c r="B395" s="179" t="s">
        <v>243</v>
      </c>
      <c r="C395" s="8">
        <v>91.85</v>
      </c>
      <c r="D395" s="1" t="s">
        <v>1805</v>
      </c>
      <c r="E395"/>
      <c r="G395" s="185" t="s">
        <v>455</v>
      </c>
      <c r="H395" s="179" t="s">
        <v>456</v>
      </c>
      <c r="I395" s="1" t="s">
        <v>992</v>
      </c>
      <c r="J395" s="2" t="s">
        <v>455</v>
      </c>
      <c r="K395" s="8">
        <v>0</v>
      </c>
      <c r="O395" s="179" t="s">
        <v>1872</v>
      </c>
      <c r="R395" s="186">
        <f>SUM(R388:R393)</f>
        <v>549.20000000000005</v>
      </c>
      <c r="AG395" s="179" t="s">
        <v>2298</v>
      </c>
    </row>
    <row r="396" spans="1:33" hidden="1">
      <c r="A396" s="237">
        <f t="shared" ref="A396:A420" si="20">(A395+1)</f>
        <v>232</v>
      </c>
      <c r="B396" s="179" t="s">
        <v>1142</v>
      </c>
      <c r="C396" s="8">
        <v>128</v>
      </c>
      <c r="D396" s="1" t="s">
        <v>1805</v>
      </c>
      <c r="E396"/>
      <c r="I396"/>
      <c r="J396" s="4"/>
      <c r="K396" s="5" t="s">
        <v>1615</v>
      </c>
      <c r="R396" s="183" t="s">
        <v>1615</v>
      </c>
      <c r="AG396" s="179" t="s">
        <v>2298</v>
      </c>
    </row>
    <row r="397" spans="1:33" hidden="1">
      <c r="A397" s="237">
        <f t="shared" si="20"/>
        <v>233</v>
      </c>
      <c r="B397" s="179" t="s">
        <v>2106</v>
      </c>
      <c r="C397"/>
      <c r="D397"/>
      <c r="E397"/>
      <c r="H397" s="179" t="s">
        <v>447</v>
      </c>
      <c r="I397"/>
      <c r="J397" s="4"/>
      <c r="K397" s="8" t="e">
        <f>SUM(K393:K395)</f>
        <v>#REF!</v>
      </c>
      <c r="O397" s="179" t="s">
        <v>562</v>
      </c>
      <c r="R397" s="186">
        <f>(R395/100)</f>
        <v>5.49</v>
      </c>
      <c r="AG397" s="179" t="s">
        <v>2298</v>
      </c>
    </row>
    <row r="398" spans="1:33" hidden="1">
      <c r="A398" s="237">
        <f t="shared" si="20"/>
        <v>234</v>
      </c>
      <c r="B398" s="179" t="s">
        <v>1136</v>
      </c>
      <c r="C398" s="8">
        <v>9</v>
      </c>
      <c r="D398" s="1" t="s">
        <v>884</v>
      </c>
      <c r="E398"/>
      <c r="I398"/>
      <c r="J398" s="4"/>
      <c r="K398" s="5" t="s">
        <v>1615</v>
      </c>
      <c r="R398" s="183" t="s">
        <v>2091</v>
      </c>
      <c r="AG398" s="179" t="s">
        <v>2298</v>
      </c>
    </row>
    <row r="399" spans="1:33" hidden="1">
      <c r="A399" s="237">
        <f t="shared" si="20"/>
        <v>235</v>
      </c>
      <c r="B399" s="179" t="s">
        <v>1137</v>
      </c>
      <c r="C399" s="8">
        <v>11</v>
      </c>
      <c r="D399" s="1" t="s">
        <v>884</v>
      </c>
      <c r="E399"/>
      <c r="H399" s="179" t="s">
        <v>562</v>
      </c>
      <c r="I399"/>
      <c r="J399" s="4"/>
      <c r="K399" s="8" t="e">
        <f>(K397/10)</f>
        <v>#REF!</v>
      </c>
      <c r="N399" s="179" t="s">
        <v>687</v>
      </c>
      <c r="O399" s="179" t="s">
        <v>354</v>
      </c>
      <c r="AG399" s="179" t="s">
        <v>2298</v>
      </c>
    </row>
    <row r="400" spans="1:33" hidden="1">
      <c r="A400" s="237">
        <f t="shared" si="20"/>
        <v>236</v>
      </c>
      <c r="B400" s="179" t="s">
        <v>1138</v>
      </c>
      <c r="C400" s="8">
        <v>18</v>
      </c>
      <c r="D400" s="1" t="s">
        <v>884</v>
      </c>
      <c r="E400"/>
      <c r="I400"/>
      <c r="J400" s="4"/>
      <c r="K400" s="5" t="s">
        <v>2091</v>
      </c>
      <c r="O400" s="183" t="s">
        <v>1615</v>
      </c>
      <c r="AG400" s="179" t="s">
        <v>2298</v>
      </c>
    </row>
    <row r="401" spans="1:33" hidden="1">
      <c r="A401" s="237">
        <f t="shared" si="20"/>
        <v>237</v>
      </c>
      <c r="B401" s="179" t="s">
        <v>1139</v>
      </c>
      <c r="C401" s="8">
        <v>24.6</v>
      </c>
      <c r="D401" s="1" t="s">
        <v>884</v>
      </c>
      <c r="E401"/>
      <c r="H401" s="179" t="s">
        <v>391</v>
      </c>
      <c r="I401"/>
      <c r="J401" s="4"/>
      <c r="K401" s="8" t="e">
        <f>(K399+C19/10*F393)</f>
        <v>#REF!</v>
      </c>
      <c r="M401" s="186">
        <v>10</v>
      </c>
      <c r="N401" s="179" t="s">
        <v>621</v>
      </c>
      <c r="O401" s="179" t="s">
        <v>1135</v>
      </c>
      <c r="P401" s="186">
        <f>(R397)</f>
        <v>5.49</v>
      </c>
      <c r="Q401" s="179" t="s">
        <v>621</v>
      </c>
      <c r="R401" s="186">
        <f>(M401*P401)</f>
        <v>54.9</v>
      </c>
      <c r="AG401" s="179" t="s">
        <v>2298</v>
      </c>
    </row>
    <row r="402" spans="1:33" hidden="1">
      <c r="A402" s="237">
        <f t="shared" si="20"/>
        <v>238</v>
      </c>
      <c r="B402" s="179" t="s">
        <v>1141</v>
      </c>
      <c r="C402" s="8">
        <v>31.46</v>
      </c>
      <c r="D402" s="1" t="s">
        <v>884</v>
      </c>
      <c r="E402"/>
      <c r="H402" s="179" t="s">
        <v>393</v>
      </c>
      <c r="I402"/>
      <c r="J402" s="4"/>
      <c r="K402" s="8" t="e">
        <f>(K401+C20/10*F393)</f>
        <v>#REF!</v>
      </c>
      <c r="M402" s="186">
        <v>10</v>
      </c>
      <c r="N402" s="179" t="s">
        <v>621</v>
      </c>
      <c r="O402" s="179" t="s">
        <v>1557</v>
      </c>
      <c r="P402" s="186">
        <f>(R397/2)</f>
        <v>2.75</v>
      </c>
      <c r="Q402" s="179" t="s">
        <v>621</v>
      </c>
      <c r="R402" s="186">
        <f>(M402*P402)</f>
        <v>27.5</v>
      </c>
      <c r="AG402" s="179" t="s">
        <v>2298</v>
      </c>
    </row>
    <row r="403" spans="1:33" hidden="1">
      <c r="A403" s="237">
        <f t="shared" si="20"/>
        <v>239</v>
      </c>
      <c r="B403" s="179" t="s">
        <v>243</v>
      </c>
      <c r="C403" s="8">
        <v>53.2</v>
      </c>
      <c r="D403" s="1" t="s">
        <v>884</v>
      </c>
      <c r="E403"/>
      <c r="H403" s="179" t="s">
        <v>2271</v>
      </c>
      <c r="I403"/>
      <c r="J403" s="4"/>
      <c r="K403" s="8" t="e">
        <f>(K402+C21/10*F393)</f>
        <v>#REF!</v>
      </c>
      <c r="O403" s="179" t="s">
        <v>1558</v>
      </c>
      <c r="R403" s="183" t="s">
        <v>1615</v>
      </c>
      <c r="AG403" s="179" t="s">
        <v>2298</v>
      </c>
    </row>
    <row r="404" spans="1:33" hidden="1">
      <c r="A404" s="237">
        <f t="shared" si="20"/>
        <v>240</v>
      </c>
      <c r="B404" s="179" t="s">
        <v>1142</v>
      </c>
      <c r="C404" s="8">
        <v>76.36</v>
      </c>
      <c r="D404" s="1" t="s">
        <v>884</v>
      </c>
      <c r="E404"/>
      <c r="H404" s="179" t="s">
        <v>385</v>
      </c>
      <c r="I404"/>
      <c r="J404" s="4"/>
      <c r="K404" s="8" t="e">
        <f>(K403+C21/10*F393)</f>
        <v>#REF!</v>
      </c>
      <c r="R404" s="186">
        <f>SUM(R401:R402)</f>
        <v>82.4</v>
      </c>
      <c r="AG404" s="179" t="s">
        <v>2298</v>
      </c>
    </row>
    <row r="405" spans="1:33" hidden="1">
      <c r="A405" s="237">
        <f t="shared" si="20"/>
        <v>241</v>
      </c>
      <c r="B405" s="179" t="s">
        <v>1559</v>
      </c>
      <c r="C405"/>
      <c r="D405" s="1" t="s">
        <v>992</v>
      </c>
      <c r="E405"/>
      <c r="H405" s="179" t="s">
        <v>1560</v>
      </c>
      <c r="I405"/>
      <c r="J405" s="4"/>
      <c r="K405" s="8" t="e">
        <f>(K404+C21/10*F393)</f>
        <v>#REF!</v>
      </c>
      <c r="O405" s="179" t="s">
        <v>447</v>
      </c>
      <c r="R405" s="183" t="s">
        <v>1615</v>
      </c>
      <c r="AG405" s="179" t="s">
        <v>2298</v>
      </c>
    </row>
    <row r="406" spans="1:33" hidden="1">
      <c r="A406" s="237">
        <f t="shared" si="20"/>
        <v>242</v>
      </c>
      <c r="B406" s="179" t="s">
        <v>1136</v>
      </c>
      <c r="C406" s="8">
        <v>5.5</v>
      </c>
      <c r="D406" s="1" t="s">
        <v>884</v>
      </c>
      <c r="E406"/>
      <c r="F406" s="239">
        <v>11</v>
      </c>
      <c r="G406" s="185" t="s">
        <v>2290</v>
      </c>
      <c r="H406" s="179" t="s">
        <v>3169</v>
      </c>
      <c r="I406"/>
      <c r="J406" s="4"/>
      <c r="K406"/>
      <c r="R406" s="186">
        <f>(R404/10)</f>
        <v>8.24</v>
      </c>
      <c r="AG406" s="179" t="s">
        <v>2298</v>
      </c>
    </row>
    <row r="407" spans="1:33" hidden="1">
      <c r="A407" s="237">
        <f t="shared" si="20"/>
        <v>243</v>
      </c>
      <c r="B407" s="179" t="s">
        <v>1137</v>
      </c>
      <c r="C407" s="8">
        <v>8</v>
      </c>
      <c r="D407" s="1" t="s">
        <v>884</v>
      </c>
      <c r="E407"/>
      <c r="H407" s="186" t="str">
        <f>H308</f>
        <v>Bricks of size 22x11x7 cm</v>
      </c>
      <c r="I407"/>
      <c r="J407" s="4"/>
      <c r="K407"/>
      <c r="O407" s="179" t="s">
        <v>562</v>
      </c>
      <c r="R407" s="183" t="s">
        <v>2091</v>
      </c>
      <c r="AG407" s="179" t="s">
        <v>2298</v>
      </c>
    </row>
    <row r="408" spans="1:33" hidden="1">
      <c r="A408" s="237">
        <f t="shared" si="20"/>
        <v>244</v>
      </c>
      <c r="B408" s="179" t="s">
        <v>1138</v>
      </c>
      <c r="C408" s="8">
        <v>10.4</v>
      </c>
      <c r="D408" s="1" t="s">
        <v>884</v>
      </c>
      <c r="E408"/>
      <c r="H408" s="183" t="s">
        <v>1615</v>
      </c>
      <c r="I408"/>
      <c r="J408" s="4"/>
      <c r="K408"/>
      <c r="AG408" s="179" t="s">
        <v>2298</v>
      </c>
    </row>
    <row r="409" spans="1:33" hidden="1">
      <c r="A409" s="237">
        <f t="shared" si="20"/>
        <v>245</v>
      </c>
      <c r="B409" s="179" t="s">
        <v>1139</v>
      </c>
      <c r="C409" s="8">
        <v>22.06</v>
      </c>
      <c r="D409" s="1" t="s">
        <v>884</v>
      </c>
      <c r="E409"/>
      <c r="F409" s="186">
        <f>F310</f>
        <v>4800</v>
      </c>
      <c r="G409" s="185" t="s">
        <v>1450</v>
      </c>
      <c r="H409" s="186" t="str">
        <f>H308</f>
        <v>Bricks of size 22x11x7 cm</v>
      </c>
      <c r="I409" s="8" t="e">
        <f>(C80)</f>
        <v>#REF!</v>
      </c>
      <c r="J409" s="2" t="s">
        <v>1561</v>
      </c>
      <c r="K409" s="8" t="e">
        <f>(F409*I409)/1000</f>
        <v>#REF!</v>
      </c>
      <c r="N409" s="179" t="s">
        <v>2290</v>
      </c>
      <c r="O409" s="179" t="s">
        <v>1562</v>
      </c>
      <c r="AG409" s="179" t="s">
        <v>2298</v>
      </c>
    </row>
    <row r="410" spans="1:33" hidden="1">
      <c r="A410" s="237">
        <f t="shared" si="20"/>
        <v>246</v>
      </c>
      <c r="B410" s="179" t="s">
        <v>1141</v>
      </c>
      <c r="C410" s="8">
        <v>27.91</v>
      </c>
      <c r="D410" s="1" t="s">
        <v>884</v>
      </c>
      <c r="E410"/>
      <c r="F410" s="186">
        <v>1.59</v>
      </c>
      <c r="G410" s="185" t="s">
        <v>885</v>
      </c>
      <c r="H410" s="179" t="s">
        <v>1331</v>
      </c>
      <c r="I410" s="8" t="e">
        <f>(K40)</f>
        <v>#REF!</v>
      </c>
      <c r="J410" s="2" t="s">
        <v>885</v>
      </c>
      <c r="K410" s="8" t="e">
        <f>(F410*I410)</f>
        <v>#REF!</v>
      </c>
      <c r="O410" s="179" t="s">
        <v>1563</v>
      </c>
      <c r="AG410" s="179" t="s">
        <v>2298</v>
      </c>
    </row>
    <row r="411" spans="1:33" hidden="1">
      <c r="A411" s="237">
        <f t="shared" si="20"/>
        <v>247</v>
      </c>
      <c r="B411" s="179" t="s">
        <v>243</v>
      </c>
      <c r="C411" s="8">
        <v>49.42</v>
      </c>
      <c r="D411" s="1" t="s">
        <v>884</v>
      </c>
      <c r="E411"/>
      <c r="F411" s="186">
        <v>7</v>
      </c>
      <c r="G411" s="185" t="s">
        <v>884</v>
      </c>
      <c r="H411" s="179" t="s">
        <v>2045</v>
      </c>
      <c r="I411" s="8">
        <f>(C10)</f>
        <v>150</v>
      </c>
      <c r="J411" s="2" t="s">
        <v>884</v>
      </c>
      <c r="K411" s="8">
        <f>(F411*I411)</f>
        <v>1050</v>
      </c>
      <c r="O411" s="183" t="s">
        <v>1615</v>
      </c>
      <c r="AG411" s="179" t="s">
        <v>2298</v>
      </c>
    </row>
    <row r="412" spans="1:33" hidden="1">
      <c r="A412" s="237">
        <f t="shared" si="20"/>
        <v>248</v>
      </c>
      <c r="B412" s="179" t="s">
        <v>1142</v>
      </c>
      <c r="C412" s="8">
        <v>86.94</v>
      </c>
      <c r="D412" s="1" t="s">
        <v>884</v>
      </c>
      <c r="E412"/>
      <c r="F412" s="186">
        <v>7.1</v>
      </c>
      <c r="G412" s="185" t="s">
        <v>884</v>
      </c>
      <c r="H412" s="179" t="s">
        <v>1744</v>
      </c>
      <c r="I412" s="8">
        <f>(C11)</f>
        <v>135</v>
      </c>
      <c r="J412" s="2" t="s">
        <v>884</v>
      </c>
      <c r="K412" s="8">
        <f>(F412*I412)</f>
        <v>958.5</v>
      </c>
      <c r="M412" s="186">
        <v>10</v>
      </c>
      <c r="N412" s="179" t="s">
        <v>621</v>
      </c>
      <c r="O412" s="179" t="s">
        <v>1868</v>
      </c>
      <c r="P412" s="186">
        <f>(R383)</f>
        <v>3.79</v>
      </c>
      <c r="Q412" s="179" t="s">
        <v>621</v>
      </c>
      <c r="R412" s="186">
        <f>(M412*P412)</f>
        <v>37.9</v>
      </c>
      <c r="AG412" s="179" t="s">
        <v>2298</v>
      </c>
    </row>
    <row r="413" spans="1:33" hidden="1">
      <c r="A413" s="237">
        <f t="shared" si="20"/>
        <v>249</v>
      </c>
      <c r="B413" s="179" t="s">
        <v>1564</v>
      </c>
      <c r="C413"/>
      <c r="D413" s="1" t="s">
        <v>992</v>
      </c>
      <c r="E413"/>
      <c r="F413" s="186">
        <v>7.1</v>
      </c>
      <c r="G413" s="185" t="s">
        <v>884</v>
      </c>
      <c r="H413" s="179" t="s">
        <v>1937</v>
      </c>
      <c r="I413" s="8">
        <f>(C12)</f>
        <v>95</v>
      </c>
      <c r="J413" s="2" t="s">
        <v>884</v>
      </c>
      <c r="K413" s="8">
        <f>(F413*I413)</f>
        <v>674.5</v>
      </c>
      <c r="M413" s="186">
        <v>10</v>
      </c>
      <c r="N413" s="179" t="s">
        <v>621</v>
      </c>
      <c r="O413" s="179" t="s">
        <v>354</v>
      </c>
      <c r="P413" s="186">
        <f>(R406)</f>
        <v>8.24</v>
      </c>
      <c r="Q413" s="179" t="s">
        <v>621</v>
      </c>
      <c r="R413" s="186">
        <f>(M413*P413)</f>
        <v>82.4</v>
      </c>
      <c r="AG413" s="179" t="s">
        <v>2298</v>
      </c>
    </row>
    <row r="414" spans="1:33" hidden="1">
      <c r="A414" s="237">
        <f t="shared" si="20"/>
        <v>250</v>
      </c>
      <c r="B414" s="179" t="s">
        <v>1136</v>
      </c>
      <c r="C414" s="8">
        <v>5.75</v>
      </c>
      <c r="D414" s="1" t="s">
        <v>884</v>
      </c>
      <c r="E414"/>
      <c r="F414" s="186">
        <v>21.2</v>
      </c>
      <c r="G414" s="185" t="s">
        <v>884</v>
      </c>
      <c r="H414" s="179" t="s">
        <v>325</v>
      </c>
      <c r="I414" s="8">
        <f>(C13)</f>
        <v>85</v>
      </c>
      <c r="J414" s="2" t="s">
        <v>884</v>
      </c>
      <c r="K414" s="8">
        <f>(F414*I414)</f>
        <v>1802</v>
      </c>
      <c r="O414" s="179" t="s">
        <v>992</v>
      </c>
      <c r="R414" s="183" t="s">
        <v>1615</v>
      </c>
      <c r="AG414" s="179" t="s">
        <v>2298</v>
      </c>
    </row>
    <row r="415" spans="1:33" hidden="1">
      <c r="A415" s="237">
        <f t="shared" si="20"/>
        <v>251</v>
      </c>
      <c r="B415" s="179" t="s">
        <v>1137</v>
      </c>
      <c r="C415" s="8">
        <v>8.5</v>
      </c>
      <c r="D415" s="1" t="s">
        <v>884</v>
      </c>
      <c r="E415"/>
      <c r="G415" s="185" t="s">
        <v>455</v>
      </c>
      <c r="H415" s="179" t="s">
        <v>456</v>
      </c>
      <c r="I415" s="1" t="s">
        <v>992</v>
      </c>
      <c r="J415" s="2" t="s">
        <v>455</v>
      </c>
      <c r="K415" s="8">
        <v>0</v>
      </c>
      <c r="R415" s="186">
        <f>SUM(R412:R413)</f>
        <v>120.3</v>
      </c>
      <c r="AG415" s="179" t="s">
        <v>2298</v>
      </c>
    </row>
    <row r="416" spans="1:33" hidden="1">
      <c r="A416" s="237">
        <f t="shared" si="20"/>
        <v>252</v>
      </c>
      <c r="B416" s="179" t="s">
        <v>1138</v>
      </c>
      <c r="C416" s="8">
        <v>14</v>
      </c>
      <c r="D416" s="1" t="s">
        <v>884</v>
      </c>
      <c r="E416"/>
      <c r="I416"/>
      <c r="J416" s="4"/>
      <c r="K416" s="5" t="s">
        <v>1615</v>
      </c>
      <c r="O416" s="179" t="s">
        <v>447</v>
      </c>
      <c r="R416" s="183" t="s">
        <v>1615</v>
      </c>
      <c r="AG416" s="179" t="s">
        <v>2298</v>
      </c>
    </row>
    <row r="417" spans="1:33" hidden="1">
      <c r="A417" s="237">
        <f t="shared" si="20"/>
        <v>253</v>
      </c>
      <c r="B417" s="179" t="s">
        <v>1139</v>
      </c>
      <c r="C417" s="8">
        <v>30.11</v>
      </c>
      <c r="D417" s="1" t="s">
        <v>884</v>
      </c>
      <c r="E417"/>
      <c r="H417" s="179" t="s">
        <v>626</v>
      </c>
      <c r="I417"/>
      <c r="J417" s="4"/>
      <c r="K417" s="8" t="e">
        <f>SUM(K409:K415)</f>
        <v>#REF!</v>
      </c>
      <c r="R417" s="186">
        <f>(R415/10)</f>
        <v>12.03</v>
      </c>
      <c r="AG417" s="179" t="s">
        <v>2298</v>
      </c>
    </row>
    <row r="418" spans="1:33" hidden="1">
      <c r="A418" s="237">
        <f t="shared" si="20"/>
        <v>254</v>
      </c>
      <c r="B418" s="179" t="s">
        <v>1141</v>
      </c>
      <c r="C418" s="8">
        <v>47.25</v>
      </c>
      <c r="D418" s="1" t="s">
        <v>884</v>
      </c>
      <c r="E418"/>
      <c r="I418"/>
      <c r="J418" s="4"/>
      <c r="K418" s="5" t="s">
        <v>1615</v>
      </c>
      <c r="O418" s="179" t="s">
        <v>562</v>
      </c>
      <c r="R418" s="183" t="s">
        <v>2091</v>
      </c>
      <c r="AG418" s="179" t="s">
        <v>2298</v>
      </c>
    </row>
    <row r="419" spans="1:33" hidden="1">
      <c r="A419" s="237">
        <f t="shared" si="20"/>
        <v>255</v>
      </c>
      <c r="B419" s="179" t="s">
        <v>243</v>
      </c>
      <c r="C419" s="8">
        <v>71.16</v>
      </c>
      <c r="D419" s="1" t="s">
        <v>884</v>
      </c>
      <c r="E419"/>
      <c r="H419" s="179" t="s">
        <v>789</v>
      </c>
      <c r="I419"/>
      <c r="J419" s="4"/>
      <c r="K419" s="8" t="e">
        <f>(K417/10)</f>
        <v>#REF!</v>
      </c>
      <c r="AG419" s="179" t="s">
        <v>2298</v>
      </c>
    </row>
    <row r="420" spans="1:33" hidden="1">
      <c r="A420" s="237">
        <f t="shared" si="20"/>
        <v>256</v>
      </c>
      <c r="B420" s="179" t="s">
        <v>1142</v>
      </c>
      <c r="C420" s="8">
        <v>125.84</v>
      </c>
      <c r="D420" s="1" t="s">
        <v>884</v>
      </c>
      <c r="E420"/>
      <c r="I420"/>
      <c r="J420" s="4"/>
      <c r="K420" s="5" t="s">
        <v>2091</v>
      </c>
      <c r="AG420" s="179" t="s">
        <v>2298</v>
      </c>
    </row>
    <row r="421" spans="1:33" hidden="1">
      <c r="C421"/>
      <c r="D421"/>
      <c r="E421"/>
      <c r="F421" s="179" t="s">
        <v>252</v>
      </c>
      <c r="I421"/>
      <c r="J421" s="4"/>
      <c r="K421"/>
    </row>
    <row r="422" spans="1:33" hidden="1">
      <c r="A422" s="237">
        <f>(A420+1)</f>
        <v>257</v>
      </c>
      <c r="B422" s="179" t="s">
        <v>1565</v>
      </c>
      <c r="C422"/>
      <c r="D422" s="1" t="s">
        <v>992</v>
      </c>
      <c r="E422"/>
      <c r="I422"/>
      <c r="J422" s="4"/>
      <c r="K422"/>
      <c r="O422" s="233" t="s">
        <v>1566</v>
      </c>
      <c r="AG422" s="179" t="s">
        <v>2298</v>
      </c>
    </row>
    <row r="423" spans="1:33" hidden="1">
      <c r="A423" s="237">
        <f t="shared" ref="A423:A436" si="21">(A422+1)</f>
        <v>258</v>
      </c>
      <c r="B423" s="179" t="s">
        <v>1136</v>
      </c>
      <c r="C423" s="8">
        <v>17</v>
      </c>
      <c r="D423" s="1" t="s">
        <v>884</v>
      </c>
      <c r="E423"/>
      <c r="G423" s="185" t="s">
        <v>1567</v>
      </c>
      <c r="H423" s="179" t="s">
        <v>436</v>
      </c>
      <c r="I423"/>
      <c r="J423" s="4"/>
      <c r="K423"/>
      <c r="O423" s="183" t="s">
        <v>1615</v>
      </c>
      <c r="AG423" s="179" t="s">
        <v>2298</v>
      </c>
    </row>
    <row r="424" spans="1:33" hidden="1">
      <c r="A424" s="237">
        <f t="shared" si="21"/>
        <v>259</v>
      </c>
      <c r="B424" s="179" t="s">
        <v>1137</v>
      </c>
      <c r="C424" s="8">
        <v>23.4</v>
      </c>
      <c r="D424" s="1" t="s">
        <v>884</v>
      </c>
      <c r="E424"/>
      <c r="H424" s="183" t="s">
        <v>1615</v>
      </c>
      <c r="I424"/>
      <c r="J424" s="4"/>
      <c r="K424"/>
      <c r="N424" s="179" t="s">
        <v>2290</v>
      </c>
      <c r="O424" s="179" t="s">
        <v>2083</v>
      </c>
      <c r="AG424" s="179" t="s">
        <v>2298</v>
      </c>
    </row>
    <row r="425" spans="1:33" hidden="1">
      <c r="A425" s="237">
        <f t="shared" si="21"/>
        <v>260</v>
      </c>
      <c r="B425" s="179" t="s">
        <v>1138</v>
      </c>
      <c r="C425" s="8">
        <v>33</v>
      </c>
      <c r="D425" s="1" t="s">
        <v>884</v>
      </c>
      <c r="E425"/>
      <c r="F425" s="186">
        <v>0.7</v>
      </c>
      <c r="G425" s="185" t="s">
        <v>885</v>
      </c>
      <c r="H425" s="179" t="s">
        <v>2318</v>
      </c>
      <c r="I425" s="8" t="e">
        <f>(K419)</f>
        <v>#REF!</v>
      </c>
      <c r="J425" s="2" t="s">
        <v>884</v>
      </c>
      <c r="K425" s="8" t="e">
        <f>(F425*I425)</f>
        <v>#REF!</v>
      </c>
      <c r="O425" s="179" t="s">
        <v>2084</v>
      </c>
      <c r="AG425" s="179" t="s">
        <v>2298</v>
      </c>
    </row>
    <row r="426" spans="1:33" hidden="1">
      <c r="A426" s="237">
        <f t="shared" si="21"/>
        <v>261</v>
      </c>
      <c r="B426" s="179" t="s">
        <v>1139</v>
      </c>
      <c r="C426" s="8">
        <v>34.22</v>
      </c>
      <c r="D426" s="1" t="s">
        <v>884</v>
      </c>
      <c r="E426"/>
      <c r="F426" s="186">
        <v>1</v>
      </c>
      <c r="G426" s="185" t="s">
        <v>785</v>
      </c>
      <c r="H426" s="179" t="s">
        <v>2045</v>
      </c>
      <c r="I426" s="8">
        <f>(C10)</f>
        <v>150</v>
      </c>
      <c r="J426" s="2" t="s">
        <v>884</v>
      </c>
      <c r="K426" s="8">
        <f>(F426*I426)</f>
        <v>150</v>
      </c>
      <c r="O426" s="179" t="s">
        <v>155</v>
      </c>
      <c r="AG426" s="179" t="s">
        <v>2298</v>
      </c>
    </row>
    <row r="427" spans="1:33" hidden="1">
      <c r="A427" s="237">
        <f t="shared" si="21"/>
        <v>262</v>
      </c>
      <c r="B427" s="179" t="s">
        <v>1141</v>
      </c>
      <c r="C427" s="8">
        <v>75.28</v>
      </c>
      <c r="D427" s="1" t="s">
        <v>884</v>
      </c>
      <c r="E427"/>
      <c r="G427" s="185" t="s">
        <v>455</v>
      </c>
      <c r="H427" s="179" t="s">
        <v>456</v>
      </c>
      <c r="I427" s="1" t="s">
        <v>992</v>
      </c>
      <c r="J427" s="2" t="s">
        <v>455</v>
      </c>
      <c r="K427" s="8">
        <v>0</v>
      </c>
      <c r="O427" s="183" t="s">
        <v>1615</v>
      </c>
      <c r="AG427" s="179" t="s">
        <v>2298</v>
      </c>
    </row>
    <row r="428" spans="1:33" hidden="1">
      <c r="A428" s="237">
        <f t="shared" si="21"/>
        <v>263</v>
      </c>
      <c r="B428" s="179" t="s">
        <v>243</v>
      </c>
      <c r="C428" s="8">
        <v>92.66</v>
      </c>
      <c r="D428" s="1" t="s">
        <v>884</v>
      </c>
      <c r="E428"/>
      <c r="I428"/>
      <c r="J428" s="4"/>
      <c r="K428" s="5" t="s">
        <v>1615</v>
      </c>
      <c r="N428" s="179" t="s">
        <v>156</v>
      </c>
      <c r="O428" s="233" t="s">
        <v>157</v>
      </c>
      <c r="AG428" s="179" t="s">
        <v>2298</v>
      </c>
    </row>
    <row r="429" spans="1:33" hidden="1">
      <c r="A429" s="237">
        <f t="shared" si="21"/>
        <v>264</v>
      </c>
      <c r="B429" s="179" t="s">
        <v>1142</v>
      </c>
      <c r="C429" s="8">
        <v>141.86000000000001</v>
      </c>
      <c r="D429" s="1" t="s">
        <v>884</v>
      </c>
      <c r="E429"/>
      <c r="H429" s="179" t="s">
        <v>447</v>
      </c>
      <c r="I429"/>
      <c r="J429" s="4"/>
      <c r="K429" s="8" t="e">
        <f>SUM(K425:K427)</f>
        <v>#REF!</v>
      </c>
      <c r="O429" s="183" t="s">
        <v>1615</v>
      </c>
      <c r="AG429" s="179" t="s">
        <v>2298</v>
      </c>
    </row>
    <row r="430" spans="1:33" hidden="1">
      <c r="A430" s="237">
        <f t="shared" si="21"/>
        <v>265</v>
      </c>
      <c r="B430" s="179" t="s">
        <v>158</v>
      </c>
      <c r="C430"/>
      <c r="D430" s="1" t="s">
        <v>992</v>
      </c>
      <c r="E430"/>
      <c r="I430"/>
      <c r="J430" s="4"/>
      <c r="K430" s="5" t="s">
        <v>1615</v>
      </c>
      <c r="M430" s="186">
        <v>8.1</v>
      </c>
      <c r="N430" s="179" t="s">
        <v>885</v>
      </c>
      <c r="O430" s="179" t="s">
        <v>629</v>
      </c>
      <c r="P430" s="186">
        <f>(C61)*2</f>
        <v>50</v>
      </c>
      <c r="Q430" s="179" t="s">
        <v>885</v>
      </c>
      <c r="R430" s="186">
        <f>(M430*P430)</f>
        <v>405</v>
      </c>
      <c r="AG430" s="179" t="s">
        <v>2298</v>
      </c>
    </row>
    <row r="431" spans="1:33" hidden="1">
      <c r="A431" s="237">
        <f t="shared" si="21"/>
        <v>266</v>
      </c>
      <c r="B431" s="179" t="s">
        <v>1136</v>
      </c>
      <c r="C431" s="8">
        <v>1.8</v>
      </c>
      <c r="D431" s="1" t="s">
        <v>884</v>
      </c>
      <c r="E431"/>
      <c r="H431" s="179" t="s">
        <v>562</v>
      </c>
      <c r="I431"/>
      <c r="J431" s="4"/>
      <c r="K431" s="8" t="e">
        <f>(K429/10)</f>
        <v>#REF!</v>
      </c>
      <c r="M431" s="186">
        <v>8.1</v>
      </c>
      <c r="N431" s="179" t="s">
        <v>885</v>
      </c>
      <c r="O431" s="179" t="s">
        <v>2196</v>
      </c>
      <c r="P431" s="186">
        <f>(C26)</f>
        <v>8.8000000000000007</v>
      </c>
      <c r="Q431" s="179" t="s">
        <v>885</v>
      </c>
      <c r="R431" s="186">
        <f>(M431*P431)</f>
        <v>71.28</v>
      </c>
      <c r="AG431" s="179" t="s">
        <v>2298</v>
      </c>
    </row>
    <row r="432" spans="1:33" hidden="1">
      <c r="A432" s="237">
        <f t="shared" si="21"/>
        <v>267</v>
      </c>
      <c r="B432" s="179" t="s">
        <v>1137</v>
      </c>
      <c r="C432" s="8">
        <v>2.9</v>
      </c>
      <c r="D432" s="1" t="s">
        <v>884</v>
      </c>
      <c r="E432"/>
      <c r="I432"/>
      <c r="J432" s="4"/>
      <c r="K432" s="5" t="s">
        <v>2091</v>
      </c>
      <c r="M432" s="186">
        <v>30</v>
      </c>
      <c r="N432" s="179" t="s">
        <v>1805</v>
      </c>
      <c r="O432" s="179" t="s">
        <v>2197</v>
      </c>
      <c r="P432" s="186">
        <f>(C42)</f>
        <v>1.75</v>
      </c>
      <c r="Q432" s="179" t="s">
        <v>1805</v>
      </c>
      <c r="R432" s="186">
        <f>(M432*P432)</f>
        <v>52.5</v>
      </c>
      <c r="AG432" s="179" t="s">
        <v>2298</v>
      </c>
    </row>
    <row r="433" spans="1:33" hidden="1">
      <c r="A433" s="237">
        <f t="shared" si="21"/>
        <v>268</v>
      </c>
      <c r="B433" s="179" t="s">
        <v>1138</v>
      </c>
      <c r="C433" s="8">
        <v>4</v>
      </c>
      <c r="D433" s="1" t="s">
        <v>884</v>
      </c>
      <c r="E433"/>
      <c r="H433" s="179" t="s">
        <v>391</v>
      </c>
      <c r="I433"/>
      <c r="J433" s="4"/>
      <c r="K433" s="8" t="e">
        <f>(K431+C19/10*F425)</f>
        <v>#REF!</v>
      </c>
      <c r="O433" s="179" t="s">
        <v>2198</v>
      </c>
      <c r="AG433" s="179" t="s">
        <v>2298</v>
      </c>
    </row>
    <row r="434" spans="1:33" hidden="1">
      <c r="A434" s="237">
        <f t="shared" si="21"/>
        <v>269</v>
      </c>
      <c r="B434" s="179" t="s">
        <v>1139</v>
      </c>
      <c r="C434" s="8">
        <v>6.86</v>
      </c>
      <c r="D434" s="1" t="s">
        <v>884</v>
      </c>
      <c r="E434"/>
      <c r="H434" s="179" t="s">
        <v>393</v>
      </c>
      <c r="I434"/>
      <c r="J434" s="4"/>
      <c r="K434" s="8" t="e">
        <f>(K433+C20/10*F425)</f>
        <v>#REF!</v>
      </c>
      <c r="O434" s="179" t="s">
        <v>2199</v>
      </c>
      <c r="AG434" s="179" t="s">
        <v>2298</v>
      </c>
    </row>
    <row r="435" spans="1:33" hidden="1">
      <c r="A435" s="237">
        <f t="shared" si="21"/>
        <v>270</v>
      </c>
      <c r="B435" s="179" t="s">
        <v>1141</v>
      </c>
      <c r="C435" s="8">
        <v>9.15</v>
      </c>
      <c r="D435" s="1" t="s">
        <v>884</v>
      </c>
      <c r="E435"/>
      <c r="H435" s="179" t="s">
        <v>2271</v>
      </c>
      <c r="I435"/>
      <c r="J435" s="4"/>
      <c r="K435" s="8" t="e">
        <f>(K434+C21/10*F425)</f>
        <v>#REF!</v>
      </c>
      <c r="O435" s="179" t="s">
        <v>2200</v>
      </c>
      <c r="AG435" s="179" t="s">
        <v>2298</v>
      </c>
    </row>
    <row r="436" spans="1:33" hidden="1">
      <c r="A436" s="237">
        <f t="shared" si="21"/>
        <v>271</v>
      </c>
      <c r="B436" s="179" t="s">
        <v>243</v>
      </c>
      <c r="C436" s="8">
        <v>14.59</v>
      </c>
      <c r="D436" s="1" t="s">
        <v>884</v>
      </c>
      <c r="E436"/>
      <c r="H436" s="179" t="s">
        <v>385</v>
      </c>
      <c r="I436"/>
      <c r="J436" s="4"/>
      <c r="K436" s="8" t="e">
        <f>(K435+C21/10*F425)</f>
        <v>#REF!</v>
      </c>
      <c r="O436" s="179" t="s">
        <v>2203</v>
      </c>
      <c r="AG436" s="179" t="s">
        <v>2298</v>
      </c>
    </row>
    <row r="437" spans="1:33" hidden="1">
      <c r="A437" s="237"/>
      <c r="B437" s="179"/>
      <c r="C437" s="8"/>
      <c r="D437" s="1"/>
      <c r="E437"/>
      <c r="H437" s="179" t="s">
        <v>849</v>
      </c>
      <c r="I437"/>
      <c r="J437" s="4"/>
      <c r="K437" s="8" t="e">
        <f>(K436+C22/10*F426)</f>
        <v>#REF!</v>
      </c>
      <c r="O437" s="179"/>
      <c r="AG437" s="179"/>
    </row>
    <row r="438" spans="1:33" hidden="1">
      <c r="A438" s="237">
        <f>(A436+1)</f>
        <v>272</v>
      </c>
      <c r="B438" s="179" t="s">
        <v>1142</v>
      </c>
      <c r="C438" s="8">
        <v>21.74</v>
      </c>
      <c r="D438" s="1" t="s">
        <v>884</v>
      </c>
      <c r="E438"/>
      <c r="H438" s="233" t="s">
        <v>2181</v>
      </c>
      <c r="I438"/>
      <c r="J438" s="4"/>
      <c r="K438"/>
      <c r="M438" s="186">
        <v>8</v>
      </c>
      <c r="N438" s="179" t="s">
        <v>785</v>
      </c>
      <c r="O438" s="179" t="s">
        <v>2182</v>
      </c>
      <c r="P438" s="186">
        <f>(C43)</f>
        <v>2.2000000000000002</v>
      </c>
      <c r="Q438" s="179" t="s">
        <v>785</v>
      </c>
      <c r="R438" s="186">
        <f>(M438*P438)</f>
        <v>17.600000000000001</v>
      </c>
      <c r="AG438" s="179" t="s">
        <v>2298</v>
      </c>
    </row>
    <row r="439" spans="1:33" hidden="1">
      <c r="A439" s="237">
        <f t="shared" ref="A439:A470" si="22">(A438+1)</f>
        <v>273</v>
      </c>
      <c r="B439" s="179" t="s">
        <v>2183</v>
      </c>
      <c r="C439"/>
      <c r="D439" s="1" t="s">
        <v>992</v>
      </c>
      <c r="E439"/>
      <c r="H439" s="233" t="s">
        <v>2156</v>
      </c>
      <c r="I439"/>
      <c r="J439" s="4"/>
      <c r="K439"/>
      <c r="M439" s="186">
        <v>8</v>
      </c>
      <c r="N439" s="179" t="s">
        <v>785</v>
      </c>
      <c r="O439" s="179" t="s">
        <v>473</v>
      </c>
      <c r="P439" s="186">
        <f>(C50)</f>
        <v>3.2</v>
      </c>
      <c r="Q439" s="179" t="s">
        <v>785</v>
      </c>
      <c r="R439" s="186">
        <f>(M439*P439)</f>
        <v>25.6</v>
      </c>
      <c r="AG439" s="179" t="s">
        <v>2298</v>
      </c>
    </row>
    <row r="440" spans="1:33" hidden="1">
      <c r="A440" s="237">
        <f t="shared" si="22"/>
        <v>274</v>
      </c>
      <c r="B440" s="179" t="s">
        <v>1136</v>
      </c>
      <c r="C440" s="8">
        <v>8.85</v>
      </c>
      <c r="D440" s="1" t="s">
        <v>884</v>
      </c>
      <c r="E440"/>
      <c r="F440" s="239">
        <v>12</v>
      </c>
      <c r="G440" s="185" t="s">
        <v>2290</v>
      </c>
      <c r="H440" s="179" t="s">
        <v>474</v>
      </c>
      <c r="I440"/>
      <c r="J440" s="4"/>
      <c r="K440"/>
      <c r="M440" s="186">
        <v>1</v>
      </c>
      <c r="N440" s="179" t="s">
        <v>455</v>
      </c>
      <c r="O440" s="179" t="s">
        <v>1716</v>
      </c>
      <c r="P440" s="186">
        <f>(C56)</f>
        <v>12.1</v>
      </c>
      <c r="Q440" s="179" t="s">
        <v>455</v>
      </c>
      <c r="R440" s="186">
        <f>(M440*P440)</f>
        <v>12.1</v>
      </c>
      <c r="AG440" s="179" t="s">
        <v>2298</v>
      </c>
    </row>
    <row r="441" spans="1:33" hidden="1">
      <c r="A441" s="237">
        <f t="shared" si="22"/>
        <v>275</v>
      </c>
      <c r="B441" s="179" t="s">
        <v>1137</v>
      </c>
      <c r="C441" s="8">
        <v>14</v>
      </c>
      <c r="D441" s="1" t="s">
        <v>884</v>
      </c>
      <c r="E441"/>
      <c r="H441" s="179" t="s">
        <v>1133</v>
      </c>
      <c r="I441"/>
      <c r="J441" s="4"/>
      <c r="K441"/>
      <c r="M441" s="186">
        <v>1</v>
      </c>
      <c r="N441" s="179" t="s">
        <v>455</v>
      </c>
      <c r="O441" s="179" t="s">
        <v>456</v>
      </c>
      <c r="Q441" s="179" t="s">
        <v>455</v>
      </c>
      <c r="R441" s="186">
        <v>0</v>
      </c>
      <c r="AG441" s="179" t="s">
        <v>2298</v>
      </c>
    </row>
    <row r="442" spans="1:33" hidden="1">
      <c r="A442" s="237">
        <f t="shared" si="22"/>
        <v>276</v>
      </c>
      <c r="B442" s="179" t="s">
        <v>1138</v>
      </c>
      <c r="C442" s="8">
        <v>20.7</v>
      </c>
      <c r="D442" s="1" t="s">
        <v>884</v>
      </c>
      <c r="E442"/>
      <c r="H442" s="183" t="s">
        <v>1615</v>
      </c>
      <c r="I442"/>
      <c r="J442" s="4"/>
      <c r="K442"/>
      <c r="R442" s="183" t="s">
        <v>1615</v>
      </c>
      <c r="AG442" s="179" t="s">
        <v>2298</v>
      </c>
    </row>
    <row r="443" spans="1:33" hidden="1">
      <c r="A443" s="237">
        <f t="shared" si="22"/>
        <v>277</v>
      </c>
      <c r="B443" s="179" t="s">
        <v>1139</v>
      </c>
      <c r="C443" s="8">
        <v>41.82</v>
      </c>
      <c r="D443" s="1" t="s">
        <v>884</v>
      </c>
      <c r="E443"/>
      <c r="F443" s="186">
        <v>6570</v>
      </c>
      <c r="G443" s="185" t="s">
        <v>1450</v>
      </c>
      <c r="H443" s="179" t="s">
        <v>1595</v>
      </c>
      <c r="I443" s="8" t="e">
        <f>(C77)</f>
        <v>#REF!</v>
      </c>
      <c r="J443" s="2" t="s">
        <v>1623</v>
      </c>
      <c r="K443" s="8" t="e">
        <f>(F443*I443)/1000</f>
        <v>#REF!</v>
      </c>
      <c r="O443" s="179" t="s">
        <v>1572</v>
      </c>
      <c r="R443" s="186">
        <f>SUM(R430:R441)</f>
        <v>584.08000000000004</v>
      </c>
      <c r="AG443" s="179" t="s">
        <v>326</v>
      </c>
    </row>
    <row r="444" spans="1:33" hidden="1">
      <c r="A444" s="237">
        <f t="shared" si="22"/>
        <v>278</v>
      </c>
      <c r="B444" s="179" t="s">
        <v>1141</v>
      </c>
      <c r="C444" s="8">
        <v>61.78</v>
      </c>
      <c r="D444" s="1" t="s">
        <v>884</v>
      </c>
      <c r="E444"/>
      <c r="F444" s="186">
        <v>1.91</v>
      </c>
      <c r="G444" s="185" t="s">
        <v>885</v>
      </c>
      <c r="H444" s="179" t="s">
        <v>1331</v>
      </c>
      <c r="I444" s="8" t="e">
        <f>(K40)</f>
        <v>#REF!</v>
      </c>
      <c r="J444" s="2" t="s">
        <v>885</v>
      </c>
      <c r="K444" s="8" t="e">
        <f>(F444*I444)</f>
        <v>#REF!</v>
      </c>
      <c r="R444" s="183" t="s">
        <v>1615</v>
      </c>
    </row>
    <row r="445" spans="1:33" hidden="1">
      <c r="A445" s="237">
        <f t="shared" si="22"/>
        <v>279</v>
      </c>
      <c r="B445" s="179" t="s">
        <v>243</v>
      </c>
      <c r="C445" s="8">
        <v>97.93</v>
      </c>
      <c r="D445" s="1" t="s">
        <v>884</v>
      </c>
      <c r="E445"/>
      <c r="F445" s="186">
        <v>7</v>
      </c>
      <c r="G445" s="185" t="s">
        <v>884</v>
      </c>
      <c r="H445" s="179" t="s">
        <v>2045</v>
      </c>
      <c r="I445" s="8">
        <f>(C10)</f>
        <v>150</v>
      </c>
      <c r="J445" s="2" t="s">
        <v>884</v>
      </c>
      <c r="K445" s="8">
        <f>(F445*I445)</f>
        <v>1050</v>
      </c>
      <c r="O445" s="179" t="s">
        <v>1573</v>
      </c>
      <c r="R445" s="186">
        <f>(R443/30)</f>
        <v>19.47</v>
      </c>
    </row>
    <row r="446" spans="1:33" hidden="1">
      <c r="A446" s="237">
        <f t="shared" si="22"/>
        <v>280</v>
      </c>
      <c r="B446" s="179" t="s">
        <v>1142</v>
      </c>
      <c r="C446" s="8">
        <v>156.5</v>
      </c>
      <c r="D446" s="1" t="s">
        <v>884</v>
      </c>
      <c r="E446"/>
      <c r="F446" s="186">
        <v>3.6</v>
      </c>
      <c r="G446" s="185" t="s">
        <v>884</v>
      </c>
      <c r="H446" s="179" t="s">
        <v>1744</v>
      </c>
      <c r="I446" s="8">
        <f>(C11)</f>
        <v>135</v>
      </c>
      <c r="J446" s="2" t="s">
        <v>884</v>
      </c>
      <c r="K446" s="8">
        <f>(F446*I446)</f>
        <v>486</v>
      </c>
      <c r="R446" s="183" t="s">
        <v>1615</v>
      </c>
      <c r="AG446" s="179" t="s">
        <v>2298</v>
      </c>
    </row>
    <row r="447" spans="1:33" hidden="1">
      <c r="A447" s="237">
        <f t="shared" si="22"/>
        <v>281</v>
      </c>
      <c r="B447" s="179" t="s">
        <v>1582</v>
      </c>
      <c r="C447"/>
      <c r="D447" s="1" t="s">
        <v>992</v>
      </c>
      <c r="E447"/>
      <c r="F447" s="186">
        <v>7.1</v>
      </c>
      <c r="G447" s="185" t="s">
        <v>884</v>
      </c>
      <c r="H447" s="179" t="s">
        <v>1937</v>
      </c>
      <c r="I447" s="8">
        <f>(C12)</f>
        <v>95</v>
      </c>
      <c r="J447" s="2" t="s">
        <v>884</v>
      </c>
      <c r="K447" s="8">
        <f>(F447*I447)</f>
        <v>674.5</v>
      </c>
      <c r="N447" s="179" t="s">
        <v>1583</v>
      </c>
      <c r="O447" s="233" t="s">
        <v>1033</v>
      </c>
      <c r="AG447" s="179" t="s">
        <v>2298</v>
      </c>
    </row>
    <row r="448" spans="1:33" hidden="1">
      <c r="A448" s="237">
        <f t="shared" si="22"/>
        <v>282</v>
      </c>
      <c r="B448" s="179" t="s">
        <v>1136</v>
      </c>
      <c r="C448" s="8">
        <v>3.2</v>
      </c>
      <c r="D448" s="1" t="s">
        <v>884</v>
      </c>
      <c r="E448"/>
      <c r="F448" s="186">
        <v>14.1</v>
      </c>
      <c r="G448" s="185" t="s">
        <v>884</v>
      </c>
      <c r="H448" s="179" t="s">
        <v>325</v>
      </c>
      <c r="I448" s="8">
        <f>(C13)</f>
        <v>85</v>
      </c>
      <c r="J448" s="2" t="s">
        <v>884</v>
      </c>
      <c r="K448" s="8">
        <f>(F448*I448)</f>
        <v>1198.5</v>
      </c>
      <c r="O448" s="183" t="s">
        <v>1615</v>
      </c>
      <c r="AG448" s="179" t="s">
        <v>2298</v>
      </c>
    </row>
    <row r="449" spans="1:33" hidden="1">
      <c r="A449" s="237">
        <f t="shared" si="22"/>
        <v>283</v>
      </c>
      <c r="B449" s="179" t="s">
        <v>1137</v>
      </c>
      <c r="C449" s="8">
        <v>4.7</v>
      </c>
      <c r="D449" s="1" t="s">
        <v>884</v>
      </c>
      <c r="E449"/>
      <c r="G449" s="185" t="s">
        <v>455</v>
      </c>
      <c r="H449" s="179" t="s">
        <v>456</v>
      </c>
      <c r="I449" s="1" t="s">
        <v>992</v>
      </c>
      <c r="J449" s="2" t="s">
        <v>455</v>
      </c>
      <c r="K449" s="8">
        <v>0</v>
      </c>
      <c r="M449" s="186">
        <v>8.1</v>
      </c>
      <c r="N449" s="179" t="s">
        <v>885</v>
      </c>
      <c r="O449" s="179" t="s">
        <v>629</v>
      </c>
      <c r="P449" s="186">
        <f>(C61)*2</f>
        <v>50</v>
      </c>
      <c r="Q449" s="179" t="s">
        <v>885</v>
      </c>
      <c r="R449" s="186">
        <f>(M449*P449)</f>
        <v>405</v>
      </c>
      <c r="AG449" s="179" t="s">
        <v>2298</v>
      </c>
    </row>
    <row r="450" spans="1:33" hidden="1">
      <c r="A450" s="237">
        <f t="shared" si="22"/>
        <v>284</v>
      </c>
      <c r="B450" s="179" t="s">
        <v>1138</v>
      </c>
      <c r="C450" s="8">
        <v>7.65</v>
      </c>
      <c r="D450" s="1" t="s">
        <v>884</v>
      </c>
      <c r="E450"/>
      <c r="I450"/>
      <c r="J450" s="4"/>
      <c r="K450" s="5" t="s">
        <v>1615</v>
      </c>
      <c r="M450" s="186">
        <v>8.1</v>
      </c>
      <c r="N450" s="179" t="s">
        <v>885</v>
      </c>
      <c r="O450" s="179" t="s">
        <v>2196</v>
      </c>
      <c r="P450" s="186">
        <f>(C26)</f>
        <v>8.8000000000000007</v>
      </c>
      <c r="Q450" s="179" t="s">
        <v>885</v>
      </c>
      <c r="R450" s="186">
        <f>(M450*P450)</f>
        <v>71.28</v>
      </c>
      <c r="AG450" s="179" t="s">
        <v>2298</v>
      </c>
    </row>
    <row r="451" spans="1:33" hidden="1">
      <c r="A451" s="237">
        <f t="shared" si="22"/>
        <v>285</v>
      </c>
      <c r="B451" s="179" t="s">
        <v>1139</v>
      </c>
      <c r="C451" s="8">
        <v>30.93</v>
      </c>
      <c r="D451" s="1" t="s">
        <v>884</v>
      </c>
      <c r="E451"/>
      <c r="H451" s="179" t="s">
        <v>626</v>
      </c>
      <c r="I451"/>
      <c r="J451" s="4"/>
      <c r="K451" s="8" t="e">
        <f>SUM(K443:K449)</f>
        <v>#REF!</v>
      </c>
      <c r="M451" s="186">
        <v>30</v>
      </c>
      <c r="N451" s="179" t="s">
        <v>1805</v>
      </c>
      <c r="O451" s="179" t="s">
        <v>2197</v>
      </c>
      <c r="P451" s="186">
        <f>(C42)</f>
        <v>1.75</v>
      </c>
      <c r="Q451" s="179" t="s">
        <v>1805</v>
      </c>
      <c r="R451" s="186">
        <f>(M451*P451)</f>
        <v>52.5</v>
      </c>
      <c r="AG451" s="179" t="s">
        <v>2298</v>
      </c>
    </row>
    <row r="452" spans="1:33" hidden="1">
      <c r="A452" s="237">
        <f t="shared" si="22"/>
        <v>286</v>
      </c>
      <c r="B452" s="179" t="s">
        <v>1141</v>
      </c>
      <c r="C452" s="8">
        <v>39.630000000000003</v>
      </c>
      <c r="D452" s="1" t="s">
        <v>884</v>
      </c>
      <c r="E452"/>
      <c r="I452"/>
      <c r="J452" s="4"/>
      <c r="K452" s="5" t="s">
        <v>1615</v>
      </c>
      <c r="O452" s="179" t="s">
        <v>2198</v>
      </c>
      <c r="AG452" s="179" t="s">
        <v>2298</v>
      </c>
    </row>
    <row r="453" spans="1:33" hidden="1">
      <c r="A453" s="237">
        <f t="shared" si="22"/>
        <v>287</v>
      </c>
      <c r="B453" s="179" t="s">
        <v>243</v>
      </c>
      <c r="C453" s="8">
        <v>70.47</v>
      </c>
      <c r="D453" s="1" t="s">
        <v>884</v>
      </c>
      <c r="E453"/>
      <c r="H453" s="179" t="s">
        <v>789</v>
      </c>
      <c r="I453"/>
      <c r="J453" s="4"/>
      <c r="K453" s="8" t="e">
        <f>(K451/10)</f>
        <v>#REF!</v>
      </c>
      <c r="O453" s="179" t="s">
        <v>2199</v>
      </c>
      <c r="AG453" s="179" t="s">
        <v>2298</v>
      </c>
    </row>
    <row r="454" spans="1:33" hidden="1">
      <c r="A454" s="237">
        <f t="shared" si="22"/>
        <v>288</v>
      </c>
      <c r="B454" s="179" t="s">
        <v>1142</v>
      </c>
      <c r="C454" s="8">
        <v>70.47</v>
      </c>
      <c r="D454" s="1" t="s">
        <v>884</v>
      </c>
      <c r="E454"/>
      <c r="I454"/>
      <c r="J454" s="4"/>
      <c r="K454" s="5" t="s">
        <v>2091</v>
      </c>
      <c r="O454" s="179" t="s">
        <v>2200</v>
      </c>
      <c r="AG454" s="179" t="s">
        <v>2298</v>
      </c>
    </row>
    <row r="455" spans="1:33" hidden="1">
      <c r="A455" s="237">
        <f t="shared" si="22"/>
        <v>289</v>
      </c>
      <c r="B455" s="179" t="s">
        <v>2327</v>
      </c>
      <c r="C455"/>
      <c r="D455" s="1" t="s">
        <v>992</v>
      </c>
      <c r="E455"/>
      <c r="I455"/>
      <c r="J455" s="4"/>
      <c r="K455"/>
      <c r="O455" s="179" t="s">
        <v>2203</v>
      </c>
      <c r="AG455" s="179" t="s">
        <v>2298</v>
      </c>
    </row>
    <row r="456" spans="1:33" hidden="1">
      <c r="A456" s="237">
        <f t="shared" si="22"/>
        <v>290</v>
      </c>
      <c r="B456" s="179" t="s">
        <v>1136</v>
      </c>
      <c r="C456" s="8">
        <v>158.91999999999999</v>
      </c>
      <c r="D456" s="1" t="s">
        <v>884</v>
      </c>
      <c r="E456"/>
      <c r="G456" s="185" t="s">
        <v>2290</v>
      </c>
      <c r="H456" s="179" t="s">
        <v>153</v>
      </c>
      <c r="I456"/>
      <c r="J456" s="4"/>
      <c r="K456"/>
      <c r="M456" s="186">
        <v>8</v>
      </c>
      <c r="N456" s="179" t="s">
        <v>785</v>
      </c>
      <c r="O456" s="179" t="s">
        <v>2182</v>
      </c>
      <c r="P456" s="186">
        <f>(C44)</f>
        <v>2.2000000000000002</v>
      </c>
      <c r="Q456" s="179" t="s">
        <v>785</v>
      </c>
      <c r="R456" s="186">
        <f>(M456*P456)</f>
        <v>17.600000000000001</v>
      </c>
      <c r="AG456" s="179" t="s">
        <v>2298</v>
      </c>
    </row>
    <row r="457" spans="1:33" hidden="1">
      <c r="A457" s="237">
        <f t="shared" si="22"/>
        <v>291</v>
      </c>
      <c r="B457" s="179" t="s">
        <v>1137</v>
      </c>
      <c r="C457" s="8">
        <v>263.04000000000002</v>
      </c>
      <c r="D457" s="1" t="s">
        <v>884</v>
      </c>
      <c r="E457"/>
      <c r="H457" s="183" t="s">
        <v>1615</v>
      </c>
      <c r="I457"/>
      <c r="J457" s="4"/>
      <c r="K457"/>
      <c r="M457" s="186">
        <v>8</v>
      </c>
      <c r="N457" s="179" t="s">
        <v>785</v>
      </c>
      <c r="O457" s="179" t="s">
        <v>473</v>
      </c>
      <c r="P457" s="186">
        <f>(C51)</f>
        <v>3.2</v>
      </c>
      <c r="Q457" s="179" t="s">
        <v>785</v>
      </c>
      <c r="R457" s="186">
        <f>(M457*P457)</f>
        <v>25.6</v>
      </c>
      <c r="AG457" s="179" t="s">
        <v>2298</v>
      </c>
    </row>
    <row r="458" spans="1:33" hidden="1">
      <c r="A458" s="237">
        <f t="shared" si="22"/>
        <v>292</v>
      </c>
      <c r="B458" s="179" t="s">
        <v>1138</v>
      </c>
      <c r="C458"/>
      <c r="D458" s="1" t="s">
        <v>992</v>
      </c>
      <c r="E458"/>
      <c r="F458" s="186">
        <v>0.5</v>
      </c>
      <c r="G458" s="185" t="s">
        <v>885</v>
      </c>
      <c r="H458" s="179" t="s">
        <v>2318</v>
      </c>
      <c r="I458" s="8" t="e">
        <f>(K453)</f>
        <v>#REF!</v>
      </c>
      <c r="J458" s="2" t="s">
        <v>884</v>
      </c>
      <c r="K458" s="8" t="e">
        <f>(F458*I458)</f>
        <v>#REF!</v>
      </c>
      <c r="M458" s="186">
        <v>1</v>
      </c>
      <c r="N458" s="179" t="s">
        <v>455</v>
      </c>
      <c r="O458" s="179" t="s">
        <v>1716</v>
      </c>
      <c r="P458" s="186">
        <f>(C56)</f>
        <v>12.1</v>
      </c>
      <c r="Q458" s="179" t="s">
        <v>455</v>
      </c>
      <c r="R458" s="186">
        <f>(M458*P458)</f>
        <v>12.1</v>
      </c>
      <c r="AG458" s="179" t="s">
        <v>2298</v>
      </c>
    </row>
    <row r="459" spans="1:33" hidden="1">
      <c r="A459" s="237">
        <f t="shared" si="22"/>
        <v>293</v>
      </c>
      <c r="B459" s="179" t="s">
        <v>1195</v>
      </c>
      <c r="C459" s="8">
        <v>1.2</v>
      </c>
      <c r="D459" s="1" t="s">
        <v>884</v>
      </c>
      <c r="E459"/>
      <c r="F459" s="186">
        <v>1</v>
      </c>
      <c r="G459" s="185" t="s">
        <v>785</v>
      </c>
      <c r="H459" s="179" t="s">
        <v>2045</v>
      </c>
      <c r="I459" s="8">
        <f>(C10)</f>
        <v>150</v>
      </c>
      <c r="J459" s="2" t="s">
        <v>884</v>
      </c>
      <c r="K459" s="8">
        <f>(F459*I459)</f>
        <v>150</v>
      </c>
      <c r="M459" s="186">
        <v>1</v>
      </c>
      <c r="N459" s="179" t="s">
        <v>455</v>
      </c>
      <c r="O459" s="179" t="s">
        <v>456</v>
      </c>
      <c r="Q459" s="179" t="s">
        <v>455</v>
      </c>
      <c r="R459" s="186">
        <v>0</v>
      </c>
      <c r="AG459" s="179" t="s">
        <v>2298</v>
      </c>
    </row>
    <row r="460" spans="1:33" hidden="1">
      <c r="A460" s="237">
        <f t="shared" si="22"/>
        <v>294</v>
      </c>
      <c r="B460" s="179" t="s">
        <v>1101</v>
      </c>
      <c r="C460" s="8">
        <v>0.85</v>
      </c>
      <c r="D460" s="1" t="s">
        <v>884</v>
      </c>
      <c r="E460"/>
      <c r="G460" s="185" t="s">
        <v>455</v>
      </c>
      <c r="H460" s="179" t="s">
        <v>456</v>
      </c>
      <c r="I460" s="1" t="s">
        <v>992</v>
      </c>
      <c r="J460" s="2" t="s">
        <v>455</v>
      </c>
      <c r="K460" s="8">
        <v>0</v>
      </c>
      <c r="R460" s="183" t="s">
        <v>1615</v>
      </c>
      <c r="AG460" s="179" t="s">
        <v>2298</v>
      </c>
    </row>
    <row r="461" spans="1:33" hidden="1">
      <c r="A461" s="237">
        <f t="shared" si="22"/>
        <v>295</v>
      </c>
      <c r="B461" s="179" t="s">
        <v>1102</v>
      </c>
      <c r="C461" s="8">
        <v>350</v>
      </c>
      <c r="D461" s="8">
        <v>375</v>
      </c>
      <c r="E461"/>
      <c r="I461"/>
      <c r="J461" s="4"/>
      <c r="K461" s="5" t="s">
        <v>1615</v>
      </c>
      <c r="O461" s="179" t="s">
        <v>1572</v>
      </c>
      <c r="R461" s="186">
        <f>SUM(R449:R459)</f>
        <v>584.08000000000004</v>
      </c>
      <c r="AG461" s="179" t="s">
        <v>2298</v>
      </c>
    </row>
    <row r="462" spans="1:33" hidden="1">
      <c r="A462" s="237">
        <f t="shared" si="22"/>
        <v>296</v>
      </c>
      <c r="B462" s="179" t="s">
        <v>2133</v>
      </c>
      <c r="C462" s="8">
        <v>400</v>
      </c>
      <c r="D462" s="8">
        <v>425</v>
      </c>
      <c r="E462"/>
      <c r="H462" s="179" t="s">
        <v>447</v>
      </c>
      <c r="I462"/>
      <c r="J462" s="4"/>
      <c r="K462" s="8" t="e">
        <f>SUM(K458:K460)</f>
        <v>#REF!</v>
      </c>
      <c r="R462" s="183" t="s">
        <v>1615</v>
      </c>
      <c r="AG462" s="179" t="s">
        <v>2298</v>
      </c>
    </row>
    <row r="463" spans="1:33" hidden="1">
      <c r="A463" s="237">
        <f t="shared" si="22"/>
        <v>297</v>
      </c>
      <c r="B463" s="179" t="s">
        <v>1079</v>
      </c>
      <c r="C463" s="8">
        <v>450</v>
      </c>
      <c r="D463" s="8">
        <v>500</v>
      </c>
      <c r="E463"/>
      <c r="I463"/>
      <c r="J463" s="4"/>
      <c r="K463" s="5" t="s">
        <v>1615</v>
      </c>
      <c r="O463" s="179" t="s">
        <v>1573</v>
      </c>
      <c r="R463" s="186">
        <f>(R461/30)</f>
        <v>19.47</v>
      </c>
      <c r="AG463" s="179" t="s">
        <v>2298</v>
      </c>
    </row>
    <row r="464" spans="1:33" hidden="1">
      <c r="A464" s="237">
        <f t="shared" si="22"/>
        <v>298</v>
      </c>
      <c r="B464" s="179" t="s">
        <v>1989</v>
      </c>
      <c r="C464" s="8">
        <v>77.819999999999993</v>
      </c>
      <c r="D464" s="1" t="s">
        <v>884</v>
      </c>
      <c r="E464"/>
      <c r="H464" s="179" t="s">
        <v>562</v>
      </c>
      <c r="I464"/>
      <c r="J464" s="4"/>
      <c r="K464" s="8" t="e">
        <f>(K462/10)</f>
        <v>#REF!</v>
      </c>
      <c r="R464" s="183" t="s">
        <v>1615</v>
      </c>
      <c r="AG464" s="179" t="s">
        <v>2298</v>
      </c>
    </row>
    <row r="465" spans="1:33" hidden="1">
      <c r="A465" s="237">
        <f t="shared" si="22"/>
        <v>299</v>
      </c>
      <c r="B465" s="179" t="s">
        <v>1990</v>
      </c>
      <c r="C465" s="8">
        <v>99.74</v>
      </c>
      <c r="D465" s="1" t="s">
        <v>884</v>
      </c>
      <c r="E465"/>
      <c r="I465"/>
      <c r="J465" s="4"/>
      <c r="K465" s="5" t="s">
        <v>2091</v>
      </c>
      <c r="N465" s="179" t="s">
        <v>1991</v>
      </c>
      <c r="O465" s="233" t="s">
        <v>1992</v>
      </c>
      <c r="AG465" s="179" t="s">
        <v>2298</v>
      </c>
    </row>
    <row r="466" spans="1:33" hidden="1">
      <c r="A466" s="237">
        <f t="shared" si="22"/>
        <v>300</v>
      </c>
      <c r="B466" s="179" t="s">
        <v>1138</v>
      </c>
      <c r="C466" s="8">
        <v>165</v>
      </c>
      <c r="D466" s="1" t="s">
        <v>884</v>
      </c>
      <c r="E466"/>
      <c r="H466" s="179" t="s">
        <v>391</v>
      </c>
      <c r="I466"/>
      <c r="J466" s="4"/>
      <c r="K466" s="8" t="e">
        <f>(K464+C19/10*F458)</f>
        <v>#REF!</v>
      </c>
      <c r="O466" s="183" t="s">
        <v>1615</v>
      </c>
      <c r="AG466" s="179" t="s">
        <v>2298</v>
      </c>
    </row>
    <row r="467" spans="1:33" hidden="1">
      <c r="A467" s="237">
        <f t="shared" si="22"/>
        <v>301</v>
      </c>
      <c r="B467" s="179" t="s">
        <v>1139</v>
      </c>
      <c r="C467" s="8">
        <v>258</v>
      </c>
      <c r="D467" s="1" t="s">
        <v>884</v>
      </c>
      <c r="E467"/>
      <c r="H467" s="179" t="s">
        <v>393</v>
      </c>
      <c r="I467"/>
      <c r="J467" s="4"/>
      <c r="K467" s="8" t="e">
        <f>(K466+C20/10*F458)</f>
        <v>#REF!</v>
      </c>
      <c r="M467" s="186">
        <v>8.1</v>
      </c>
      <c r="N467" s="179" t="s">
        <v>885</v>
      </c>
      <c r="O467" s="179" t="s">
        <v>629</v>
      </c>
      <c r="P467" s="186">
        <f>(C61)*2</f>
        <v>50</v>
      </c>
      <c r="Q467" s="179" t="s">
        <v>885</v>
      </c>
      <c r="R467" s="186">
        <f>(M467*P467)</f>
        <v>405</v>
      </c>
      <c r="AG467" s="179" t="s">
        <v>2298</v>
      </c>
    </row>
    <row r="468" spans="1:33" hidden="1">
      <c r="A468" s="237">
        <f t="shared" si="22"/>
        <v>302</v>
      </c>
      <c r="B468" s="179" t="s">
        <v>1141</v>
      </c>
      <c r="C468" s="8">
        <v>298</v>
      </c>
      <c r="D468" s="1" t="s">
        <v>884</v>
      </c>
      <c r="E468"/>
      <c r="H468" s="179" t="s">
        <v>2271</v>
      </c>
      <c r="I468"/>
      <c r="J468" s="4"/>
      <c r="K468" s="8" t="e">
        <f>(K467+C21/10*F458)</f>
        <v>#REF!</v>
      </c>
      <c r="M468" s="186">
        <v>8.1</v>
      </c>
      <c r="N468" s="179" t="s">
        <v>885</v>
      </c>
      <c r="O468" s="179" t="s">
        <v>2196</v>
      </c>
      <c r="P468" s="186">
        <f>(C26)</f>
        <v>8.8000000000000007</v>
      </c>
      <c r="Q468" s="179" t="s">
        <v>885</v>
      </c>
      <c r="R468" s="186">
        <f>(M468*P468)</f>
        <v>71.28</v>
      </c>
      <c r="AG468" s="179" t="s">
        <v>2298</v>
      </c>
    </row>
    <row r="469" spans="1:33" hidden="1">
      <c r="A469" s="237">
        <f t="shared" si="22"/>
        <v>303</v>
      </c>
      <c r="B469" s="179" t="s">
        <v>243</v>
      </c>
      <c r="C469" s="8">
        <v>398</v>
      </c>
      <c r="D469" s="1" t="s">
        <v>884</v>
      </c>
      <c r="E469"/>
      <c r="H469" s="179" t="s">
        <v>385</v>
      </c>
      <c r="I469"/>
      <c r="J469" s="4"/>
      <c r="K469" s="8" t="e">
        <f>(K468+C21/10*F458)</f>
        <v>#REF!</v>
      </c>
      <c r="M469" s="186">
        <v>30</v>
      </c>
      <c r="N469" s="179" t="s">
        <v>1805</v>
      </c>
      <c r="O469" s="179" t="s">
        <v>2197</v>
      </c>
      <c r="P469" s="186">
        <f>(C42)</f>
        <v>1.75</v>
      </c>
      <c r="Q469" s="179" t="s">
        <v>1805</v>
      </c>
      <c r="R469" s="186">
        <f>(M469*P469)</f>
        <v>52.5</v>
      </c>
      <c r="AG469" s="179" t="s">
        <v>2298</v>
      </c>
    </row>
    <row r="470" spans="1:33" hidden="1">
      <c r="A470" s="237">
        <f t="shared" si="22"/>
        <v>304</v>
      </c>
      <c r="B470" s="179" t="s">
        <v>1142</v>
      </c>
      <c r="C470"/>
      <c r="D470" s="1" t="s">
        <v>884</v>
      </c>
      <c r="E470"/>
      <c r="H470" s="179" t="s">
        <v>1560</v>
      </c>
      <c r="I470"/>
      <c r="J470" s="4"/>
      <c r="K470" s="8" t="e">
        <f>(K469+C22/10*F459)</f>
        <v>#REF!</v>
      </c>
      <c r="O470" s="179" t="s">
        <v>2198</v>
      </c>
      <c r="AG470" s="179" t="s">
        <v>2298</v>
      </c>
    </row>
    <row r="471" spans="1:33" hidden="1">
      <c r="A471" s="237">
        <f t="shared" ref="A471:A489" si="23">(A470+1)</f>
        <v>305</v>
      </c>
      <c r="B471" s="179" t="s">
        <v>2981</v>
      </c>
      <c r="C471"/>
      <c r="D471" s="1" t="s">
        <v>884</v>
      </c>
      <c r="E471"/>
      <c r="F471" s="233" t="s">
        <v>1993</v>
      </c>
      <c r="G471" s="185" t="s">
        <v>2290</v>
      </c>
      <c r="H471" s="179" t="s">
        <v>1994</v>
      </c>
      <c r="I471"/>
      <c r="J471" s="4"/>
      <c r="K471"/>
      <c r="O471" s="179" t="s">
        <v>2199</v>
      </c>
      <c r="AG471" s="179" t="s">
        <v>2298</v>
      </c>
    </row>
    <row r="472" spans="1:33" hidden="1">
      <c r="A472" s="237">
        <f t="shared" si="23"/>
        <v>306</v>
      </c>
      <c r="B472" s="179" t="s">
        <v>1136</v>
      </c>
      <c r="C472" s="8">
        <v>130</v>
      </c>
      <c r="D472" s="1" t="s">
        <v>884</v>
      </c>
      <c r="E472"/>
      <c r="H472" s="179" t="s">
        <v>2277</v>
      </c>
      <c r="I472"/>
      <c r="J472" s="4"/>
      <c r="K472"/>
      <c r="O472" s="179" t="s">
        <v>2200</v>
      </c>
      <c r="AG472" s="179" t="s">
        <v>2298</v>
      </c>
    </row>
    <row r="473" spans="1:33" hidden="1">
      <c r="A473" s="237">
        <f t="shared" si="23"/>
        <v>307</v>
      </c>
      <c r="B473" s="179" t="s">
        <v>1137</v>
      </c>
      <c r="C473" s="8">
        <v>178</v>
      </c>
      <c r="D473" s="1" t="s">
        <v>884</v>
      </c>
      <c r="E473"/>
      <c r="H473" s="183" t="s">
        <v>1615</v>
      </c>
      <c r="I473"/>
      <c r="J473" s="4"/>
      <c r="K473"/>
      <c r="O473" s="179" t="s">
        <v>2203</v>
      </c>
      <c r="AG473" s="179" t="s">
        <v>2298</v>
      </c>
    </row>
    <row r="474" spans="1:33" hidden="1">
      <c r="A474" s="237">
        <f t="shared" si="23"/>
        <v>308</v>
      </c>
      <c r="B474" s="179" t="s">
        <v>1138</v>
      </c>
      <c r="C474" s="8">
        <v>279</v>
      </c>
      <c r="D474" s="1" t="s">
        <v>884</v>
      </c>
      <c r="E474"/>
      <c r="F474" s="186">
        <v>1</v>
      </c>
      <c r="G474" s="185" t="s">
        <v>885</v>
      </c>
      <c r="H474" s="179" t="s">
        <v>2278</v>
      </c>
      <c r="I474" s="8">
        <f>(C26)</f>
        <v>8.8000000000000007</v>
      </c>
      <c r="J474" s="2" t="s">
        <v>885</v>
      </c>
      <c r="K474" s="8">
        <f>(F474*I474)</f>
        <v>8.8000000000000007</v>
      </c>
      <c r="M474" s="186">
        <v>8</v>
      </c>
      <c r="N474" s="179" t="s">
        <v>785</v>
      </c>
      <c r="O474" s="179" t="s">
        <v>2182</v>
      </c>
      <c r="P474" s="186">
        <f>(C45)</f>
        <v>2.7</v>
      </c>
      <c r="Q474" s="179" t="s">
        <v>785</v>
      </c>
      <c r="R474" s="186">
        <f>(M474*P474)</f>
        <v>21.6</v>
      </c>
      <c r="AG474" s="179" t="s">
        <v>2298</v>
      </c>
    </row>
    <row r="475" spans="1:33" hidden="1">
      <c r="A475" s="237">
        <f t="shared" si="23"/>
        <v>309</v>
      </c>
      <c r="B475" s="179" t="s">
        <v>1139</v>
      </c>
      <c r="C475" s="8">
        <v>394</v>
      </c>
      <c r="D475" s="1" t="s">
        <v>884</v>
      </c>
      <c r="E475"/>
      <c r="I475"/>
      <c r="J475" s="4"/>
      <c r="K475" s="5" t="s">
        <v>2091</v>
      </c>
      <c r="M475" s="186">
        <v>8</v>
      </c>
      <c r="N475" s="179" t="s">
        <v>785</v>
      </c>
      <c r="O475" s="179" t="s">
        <v>473</v>
      </c>
      <c r="P475" s="186">
        <f>(C52)</f>
        <v>6.4</v>
      </c>
      <c r="Q475" s="179" t="s">
        <v>785</v>
      </c>
      <c r="R475" s="186">
        <f>(M475*P475)</f>
        <v>51.2</v>
      </c>
      <c r="AG475" s="179" t="s">
        <v>2298</v>
      </c>
    </row>
    <row r="476" spans="1:33" hidden="1">
      <c r="A476" s="237">
        <f t="shared" si="23"/>
        <v>310</v>
      </c>
      <c r="B476" s="179" t="s">
        <v>1141</v>
      </c>
      <c r="C476" s="8">
        <v>508</v>
      </c>
      <c r="D476" s="1" t="s">
        <v>884</v>
      </c>
      <c r="E476"/>
      <c r="F476" s="243">
        <v>7.3</v>
      </c>
      <c r="G476" s="185" t="s">
        <v>2290</v>
      </c>
      <c r="H476" s="179" t="s">
        <v>2279</v>
      </c>
      <c r="I476"/>
      <c r="J476" s="4"/>
      <c r="K476"/>
      <c r="M476" s="186">
        <v>1</v>
      </c>
      <c r="N476" s="179" t="s">
        <v>455</v>
      </c>
      <c r="O476" s="179" t="s">
        <v>1716</v>
      </c>
      <c r="P476" s="186">
        <f>(C56)</f>
        <v>12.1</v>
      </c>
      <c r="Q476" s="179" t="s">
        <v>455</v>
      </c>
      <c r="R476" s="186">
        <f>(M476*P476)</f>
        <v>12.1</v>
      </c>
      <c r="AG476" s="179" t="s">
        <v>2298</v>
      </c>
    </row>
    <row r="477" spans="1:33" hidden="1">
      <c r="A477" s="237">
        <f t="shared" si="23"/>
        <v>311</v>
      </c>
      <c r="B477" s="179" t="s">
        <v>243</v>
      </c>
      <c r="C477" s="8">
        <v>709</v>
      </c>
      <c r="D477" s="1" t="s">
        <v>884</v>
      </c>
      <c r="E477"/>
      <c r="F477" s="179" t="s">
        <v>992</v>
      </c>
      <c r="H477" s="179" t="s">
        <v>980</v>
      </c>
      <c r="I477"/>
      <c r="J477" s="4"/>
      <c r="K477"/>
      <c r="M477" s="186">
        <v>1</v>
      </c>
      <c r="N477" s="179" t="s">
        <v>455</v>
      </c>
      <c r="O477" s="179" t="s">
        <v>456</v>
      </c>
      <c r="Q477" s="179" t="s">
        <v>455</v>
      </c>
      <c r="R477" s="186">
        <v>0</v>
      </c>
      <c r="AG477" s="179" t="s">
        <v>2298</v>
      </c>
    </row>
    <row r="478" spans="1:33" hidden="1">
      <c r="A478" s="237">
        <f t="shared" si="23"/>
        <v>312</v>
      </c>
      <c r="B478" s="179" t="s">
        <v>1142</v>
      </c>
      <c r="C478"/>
      <c r="D478" s="1" t="s">
        <v>884</v>
      </c>
      <c r="E478"/>
      <c r="F478" s="179" t="s">
        <v>992</v>
      </c>
      <c r="H478" s="183" t="s">
        <v>1615</v>
      </c>
      <c r="I478"/>
      <c r="J478" s="4"/>
      <c r="K478"/>
      <c r="R478" s="183" t="s">
        <v>1615</v>
      </c>
      <c r="AG478" s="179" t="s">
        <v>2298</v>
      </c>
    </row>
    <row r="479" spans="1:33" hidden="1">
      <c r="A479" s="237">
        <f t="shared" si="23"/>
        <v>313</v>
      </c>
      <c r="B479" s="179" t="s">
        <v>2982</v>
      </c>
      <c r="C479"/>
      <c r="D479" s="1" t="s">
        <v>884</v>
      </c>
      <c r="E479"/>
      <c r="F479" s="186">
        <v>0.13</v>
      </c>
      <c r="G479" s="185" t="s">
        <v>885</v>
      </c>
      <c r="H479" s="179" t="s">
        <v>1331</v>
      </c>
      <c r="I479" s="8" t="e">
        <f>(K40)</f>
        <v>#REF!</v>
      </c>
      <c r="J479" s="2" t="s">
        <v>885</v>
      </c>
      <c r="K479" s="8" t="e">
        <f t="shared" ref="K479:K484" si="24">(F479*I479)</f>
        <v>#REF!</v>
      </c>
      <c r="O479" s="179" t="s">
        <v>1572</v>
      </c>
      <c r="R479" s="186">
        <f>SUM(R467:R477)</f>
        <v>613.67999999999995</v>
      </c>
      <c r="AG479" s="179" t="s">
        <v>2298</v>
      </c>
    </row>
    <row r="480" spans="1:33" hidden="1">
      <c r="A480" s="237">
        <f t="shared" si="23"/>
        <v>314</v>
      </c>
      <c r="B480" s="179" t="s">
        <v>1136</v>
      </c>
      <c r="C480" s="8">
        <v>77</v>
      </c>
      <c r="D480" s="1" t="s">
        <v>884</v>
      </c>
      <c r="E480"/>
      <c r="F480" s="186">
        <v>0.7</v>
      </c>
      <c r="G480" s="185" t="s">
        <v>785</v>
      </c>
      <c r="H480" s="179" t="s">
        <v>2045</v>
      </c>
      <c r="I480" s="8">
        <f>(C10)</f>
        <v>150</v>
      </c>
      <c r="J480" s="2" t="s">
        <v>785</v>
      </c>
      <c r="K480" s="8">
        <f t="shared" si="24"/>
        <v>105</v>
      </c>
      <c r="R480" s="183" t="s">
        <v>1615</v>
      </c>
      <c r="AG480" s="179" t="s">
        <v>2298</v>
      </c>
    </row>
    <row r="481" spans="1:33" hidden="1">
      <c r="A481" s="237">
        <f t="shared" si="23"/>
        <v>315</v>
      </c>
      <c r="B481" s="179" t="s">
        <v>1137</v>
      </c>
      <c r="C481" s="8">
        <v>119</v>
      </c>
      <c r="D481" s="1" t="s">
        <v>884</v>
      </c>
      <c r="E481"/>
      <c r="F481" s="186">
        <v>0.7</v>
      </c>
      <c r="G481" s="185" t="s">
        <v>785</v>
      </c>
      <c r="H481" s="179" t="s">
        <v>1744</v>
      </c>
      <c r="I481" s="8">
        <f>(C11)</f>
        <v>135</v>
      </c>
      <c r="J481" s="2" t="s">
        <v>785</v>
      </c>
      <c r="K481" s="8">
        <f t="shared" si="24"/>
        <v>94.5</v>
      </c>
      <c r="O481" s="179" t="s">
        <v>1573</v>
      </c>
      <c r="R481" s="186">
        <f>(R479/30)</f>
        <v>20.46</v>
      </c>
      <c r="AG481" s="179" t="s">
        <v>2298</v>
      </c>
    </row>
    <row r="482" spans="1:33" hidden="1">
      <c r="A482" s="237">
        <f t="shared" si="23"/>
        <v>316</v>
      </c>
      <c r="B482" s="179" t="s">
        <v>1138</v>
      </c>
      <c r="C482" s="8">
        <v>175</v>
      </c>
      <c r="D482" s="1" t="s">
        <v>884</v>
      </c>
      <c r="E482"/>
      <c r="F482" s="186">
        <v>1.5</v>
      </c>
      <c r="G482" s="185" t="s">
        <v>785</v>
      </c>
      <c r="H482" s="179" t="s">
        <v>1937</v>
      </c>
      <c r="I482" s="8">
        <f>(C12)</f>
        <v>95</v>
      </c>
      <c r="J482" s="2" t="s">
        <v>785</v>
      </c>
      <c r="K482" s="8">
        <f t="shared" si="24"/>
        <v>142.5</v>
      </c>
      <c r="R482" s="183" t="s">
        <v>1615</v>
      </c>
      <c r="AG482" s="179" t="s">
        <v>2298</v>
      </c>
    </row>
    <row r="483" spans="1:33" hidden="1">
      <c r="A483" s="237">
        <f t="shared" si="23"/>
        <v>317</v>
      </c>
      <c r="B483" s="179" t="s">
        <v>1139</v>
      </c>
      <c r="C483" s="8">
        <v>277</v>
      </c>
      <c r="D483" s="1" t="s">
        <v>884</v>
      </c>
      <c r="E483"/>
      <c r="F483" s="186">
        <v>0.5</v>
      </c>
      <c r="G483" s="185" t="s">
        <v>785</v>
      </c>
      <c r="H483" s="179" t="s">
        <v>325</v>
      </c>
      <c r="I483" s="8">
        <f>(C13)</f>
        <v>85</v>
      </c>
      <c r="J483" s="2" t="s">
        <v>785</v>
      </c>
      <c r="K483" s="8">
        <f t="shared" si="24"/>
        <v>42.5</v>
      </c>
      <c r="M483" s="179" t="s">
        <v>992</v>
      </c>
      <c r="AG483" s="179" t="s">
        <v>2298</v>
      </c>
    </row>
    <row r="484" spans="1:33" hidden="1">
      <c r="A484" s="237">
        <f t="shared" si="23"/>
        <v>318</v>
      </c>
      <c r="B484" s="179" t="s">
        <v>1141</v>
      </c>
      <c r="C484" s="8">
        <v>353</v>
      </c>
      <c r="D484" s="1" t="s">
        <v>884</v>
      </c>
      <c r="E484"/>
      <c r="F484" s="186">
        <v>0.94</v>
      </c>
      <c r="G484" s="185" t="s">
        <v>1676</v>
      </c>
      <c r="H484" s="179" t="s">
        <v>927</v>
      </c>
      <c r="I484" s="8">
        <f>C631</f>
        <v>30</v>
      </c>
      <c r="J484" s="2" t="s">
        <v>1676</v>
      </c>
      <c r="K484" s="8">
        <f t="shared" si="24"/>
        <v>28.2</v>
      </c>
      <c r="N484" s="179" t="s">
        <v>2290</v>
      </c>
      <c r="O484" s="179" t="s">
        <v>2083</v>
      </c>
      <c r="AG484" s="179" t="s">
        <v>2298</v>
      </c>
    </row>
    <row r="485" spans="1:33" hidden="1">
      <c r="A485" s="237">
        <f t="shared" si="23"/>
        <v>319</v>
      </c>
      <c r="B485" s="179" t="s">
        <v>243</v>
      </c>
      <c r="C485" s="8">
        <v>584</v>
      </c>
      <c r="D485" s="1" t="s">
        <v>884</v>
      </c>
      <c r="E485"/>
      <c r="H485" s="179" t="s">
        <v>456</v>
      </c>
      <c r="I485" s="1" t="s">
        <v>992</v>
      </c>
      <c r="J485" s="2" t="s">
        <v>455</v>
      </c>
      <c r="K485" s="8">
        <v>0</v>
      </c>
      <c r="O485" s="179" t="s">
        <v>2084</v>
      </c>
      <c r="AG485" s="179" t="s">
        <v>2298</v>
      </c>
    </row>
    <row r="486" spans="1:33" hidden="1">
      <c r="A486" s="237">
        <f t="shared" si="23"/>
        <v>320</v>
      </c>
      <c r="B486" s="179" t="s">
        <v>1142</v>
      </c>
      <c r="C486"/>
      <c r="D486" s="1" t="s">
        <v>884</v>
      </c>
      <c r="E486"/>
      <c r="I486"/>
      <c r="J486" s="4"/>
      <c r="K486" s="5" t="s">
        <v>1615</v>
      </c>
      <c r="O486" s="179" t="s">
        <v>965</v>
      </c>
      <c r="AG486" s="179" t="s">
        <v>2298</v>
      </c>
    </row>
    <row r="487" spans="1:33" hidden="1">
      <c r="A487" s="237">
        <f t="shared" si="23"/>
        <v>321</v>
      </c>
      <c r="B487" s="179" t="s">
        <v>966</v>
      </c>
      <c r="C487"/>
      <c r="D487" s="1" t="s">
        <v>884</v>
      </c>
      <c r="E487"/>
      <c r="H487" s="179" t="s">
        <v>626</v>
      </c>
      <c r="I487"/>
      <c r="J487" s="4"/>
      <c r="K487" s="8" t="e">
        <f>SUM(K478:K485)</f>
        <v>#REF!</v>
      </c>
      <c r="O487" s="183" t="s">
        <v>1615</v>
      </c>
      <c r="AG487" s="179" t="s">
        <v>2298</v>
      </c>
    </row>
    <row r="488" spans="1:33" hidden="1">
      <c r="A488" s="237">
        <f t="shared" si="23"/>
        <v>322</v>
      </c>
      <c r="B488" s="179" t="s">
        <v>969</v>
      </c>
      <c r="C488" s="8">
        <v>8.75</v>
      </c>
      <c r="D488" s="1" t="s">
        <v>884</v>
      </c>
      <c r="E488"/>
      <c r="I488"/>
      <c r="J488" s="4"/>
      <c r="K488" s="5" t="s">
        <v>1615</v>
      </c>
      <c r="N488" s="179" t="s">
        <v>156</v>
      </c>
      <c r="O488" s="233" t="s">
        <v>970</v>
      </c>
      <c r="AG488" s="179" t="s">
        <v>2298</v>
      </c>
    </row>
    <row r="489" spans="1:33" hidden="1">
      <c r="A489" s="237">
        <f t="shared" si="23"/>
        <v>323</v>
      </c>
      <c r="B489" s="179" t="s">
        <v>759</v>
      </c>
      <c r="C489" s="8">
        <v>11.5</v>
      </c>
      <c r="D489" s="1" t="s">
        <v>884</v>
      </c>
      <c r="E489"/>
      <c r="H489" s="179" t="s">
        <v>789</v>
      </c>
      <c r="I489"/>
      <c r="J489" s="4"/>
      <c r="K489" s="8" t="e">
        <f>(K487/10)</f>
        <v>#REF!</v>
      </c>
      <c r="O489" s="183" t="s">
        <v>1615</v>
      </c>
      <c r="AG489" s="179" t="s">
        <v>2298</v>
      </c>
    </row>
    <row r="490" spans="1:33" hidden="1">
      <c r="C490"/>
      <c r="D490"/>
      <c r="E490"/>
      <c r="F490" s="179" t="s">
        <v>992</v>
      </c>
      <c r="I490"/>
      <c r="J490" s="4"/>
      <c r="K490"/>
    </row>
    <row r="491" spans="1:33" hidden="1">
      <c r="A491" s="237">
        <f>(A489+1)</f>
        <v>324</v>
      </c>
      <c r="B491" s="179" t="s">
        <v>1694</v>
      </c>
      <c r="C491" s="8">
        <v>11.5</v>
      </c>
      <c r="D491" s="1" t="s">
        <v>884</v>
      </c>
      <c r="E491"/>
      <c r="I491"/>
      <c r="J491" s="4"/>
      <c r="K491" s="5" t="s">
        <v>2091</v>
      </c>
      <c r="M491" s="186">
        <v>30</v>
      </c>
      <c r="N491" s="179" t="s">
        <v>1805</v>
      </c>
      <c r="O491" s="179" t="s">
        <v>1695</v>
      </c>
      <c r="P491" s="186">
        <f>(C42)</f>
        <v>1.75</v>
      </c>
      <c r="Q491" s="179" t="s">
        <v>1805</v>
      </c>
      <c r="R491" s="186">
        <f>(M491*P491)</f>
        <v>52.5</v>
      </c>
      <c r="AG491" s="179" t="s">
        <v>2298</v>
      </c>
    </row>
    <row r="492" spans="1:33" hidden="1">
      <c r="A492" s="237">
        <f t="shared" ref="A492:A523" si="25">(A491+1)</f>
        <v>325</v>
      </c>
      <c r="B492" s="179" t="s">
        <v>1696</v>
      </c>
      <c r="C492" s="8">
        <v>56.74</v>
      </c>
      <c r="D492" s="1" t="s">
        <v>884</v>
      </c>
      <c r="E492"/>
      <c r="F492" s="233"/>
      <c r="G492" s="185" t="s">
        <v>2290</v>
      </c>
      <c r="H492" s="179" t="s">
        <v>1697</v>
      </c>
      <c r="I492"/>
      <c r="J492" s="4"/>
      <c r="K492"/>
      <c r="M492" s="179" t="s">
        <v>992</v>
      </c>
      <c r="O492" s="179" t="s">
        <v>1698</v>
      </c>
      <c r="P492" s="179" t="s">
        <v>992</v>
      </c>
      <c r="R492" s="179" t="s">
        <v>992</v>
      </c>
      <c r="AG492" s="179" t="s">
        <v>2298</v>
      </c>
    </row>
    <row r="493" spans="1:33" hidden="1">
      <c r="A493" s="237">
        <f t="shared" si="25"/>
        <v>326</v>
      </c>
      <c r="B493" s="179" t="s">
        <v>1699</v>
      </c>
      <c r="C493" s="8">
        <v>56.74</v>
      </c>
      <c r="D493" s="1" t="s">
        <v>884</v>
      </c>
      <c r="E493"/>
      <c r="H493" s="179" t="s">
        <v>2308</v>
      </c>
      <c r="I493"/>
      <c r="J493" s="4"/>
      <c r="K493"/>
      <c r="M493" s="186">
        <v>8</v>
      </c>
      <c r="N493" s="179" t="s">
        <v>884</v>
      </c>
      <c r="O493" s="179" t="s">
        <v>2182</v>
      </c>
      <c r="P493" s="186">
        <f>(C43)</f>
        <v>2.2000000000000002</v>
      </c>
      <c r="Q493" s="179" t="s">
        <v>884</v>
      </c>
      <c r="R493" s="186">
        <f t="shared" ref="R493:R498" si="26">(M493*P493)</f>
        <v>17.600000000000001</v>
      </c>
      <c r="AG493" s="179" t="s">
        <v>2298</v>
      </c>
    </row>
    <row r="494" spans="1:33" hidden="1">
      <c r="A494" s="237">
        <f t="shared" si="25"/>
        <v>327</v>
      </c>
      <c r="B494" s="179" t="s">
        <v>1700</v>
      </c>
      <c r="C494"/>
      <c r="D494" s="1" t="s">
        <v>992</v>
      </c>
      <c r="E494"/>
      <c r="H494" s="183" t="s">
        <v>1615</v>
      </c>
      <c r="I494"/>
      <c r="J494" s="4"/>
      <c r="K494"/>
      <c r="M494" s="186">
        <v>8</v>
      </c>
      <c r="N494" s="179" t="s">
        <v>884</v>
      </c>
      <c r="O494" s="179" t="s">
        <v>473</v>
      </c>
      <c r="P494" s="186">
        <f>(C50)</f>
        <v>3.2</v>
      </c>
      <c r="Q494" s="179" t="s">
        <v>884</v>
      </c>
      <c r="R494" s="186">
        <f t="shared" si="26"/>
        <v>25.6</v>
      </c>
      <c r="AG494" s="179" t="s">
        <v>2298</v>
      </c>
    </row>
    <row r="495" spans="1:33" hidden="1">
      <c r="A495" s="237">
        <f t="shared" si="25"/>
        <v>328</v>
      </c>
      <c r="B495" s="179" t="s">
        <v>969</v>
      </c>
      <c r="C495" s="8">
        <v>15.6</v>
      </c>
      <c r="D495" s="1" t="s">
        <v>884</v>
      </c>
      <c r="E495"/>
      <c r="F495" s="186">
        <v>9</v>
      </c>
      <c r="G495" s="185" t="s">
        <v>885</v>
      </c>
      <c r="H495" s="179" t="s">
        <v>1701</v>
      </c>
      <c r="I495" s="8" t="e">
        <f>(C70)</f>
        <v>#REF!</v>
      </c>
      <c r="J495" s="2" t="s">
        <v>885</v>
      </c>
      <c r="K495" s="8" t="e">
        <f t="shared" ref="K495:K500" si="27">(F495*I495)</f>
        <v>#REF!</v>
      </c>
      <c r="M495" s="186">
        <v>3</v>
      </c>
      <c r="N495" s="179" t="s">
        <v>884</v>
      </c>
      <c r="O495" s="179" t="s">
        <v>1879</v>
      </c>
      <c r="P495" s="186">
        <f>(C41)</f>
        <v>110</v>
      </c>
      <c r="Q495" s="179" t="s">
        <v>884</v>
      </c>
      <c r="R495" s="186">
        <f t="shared" si="26"/>
        <v>330</v>
      </c>
      <c r="AG495" s="179" t="s">
        <v>2298</v>
      </c>
    </row>
    <row r="496" spans="1:33" hidden="1">
      <c r="A496" s="237">
        <f t="shared" si="25"/>
        <v>329</v>
      </c>
      <c r="B496" s="179" t="s">
        <v>759</v>
      </c>
      <c r="C496" s="8">
        <v>15.6</v>
      </c>
      <c r="D496" s="1" t="s">
        <v>884</v>
      </c>
      <c r="E496"/>
      <c r="F496" s="242">
        <v>3.2309999999999999</v>
      </c>
      <c r="G496" s="185" t="s">
        <v>877</v>
      </c>
      <c r="H496" s="179" t="s">
        <v>878</v>
      </c>
      <c r="I496" s="8">
        <f>(C67)</f>
        <v>3800</v>
      </c>
      <c r="J496" s="2" t="s">
        <v>877</v>
      </c>
      <c r="K496" s="8">
        <f t="shared" si="27"/>
        <v>12277.8</v>
      </c>
      <c r="M496" s="186">
        <v>1</v>
      </c>
      <c r="N496" s="179" t="s">
        <v>884</v>
      </c>
      <c r="O496" s="179" t="s">
        <v>1880</v>
      </c>
      <c r="P496" s="186">
        <f>(C10)</f>
        <v>150</v>
      </c>
      <c r="Q496" s="179" t="s">
        <v>884</v>
      </c>
      <c r="R496" s="186">
        <f t="shared" si="26"/>
        <v>150</v>
      </c>
      <c r="AG496" s="179" t="s">
        <v>2298</v>
      </c>
    </row>
    <row r="497" spans="1:33" hidden="1">
      <c r="A497" s="237">
        <f t="shared" si="25"/>
        <v>330</v>
      </c>
      <c r="B497" s="179" t="s">
        <v>1694</v>
      </c>
      <c r="C497" s="8">
        <v>15.6</v>
      </c>
      <c r="D497" s="1" t="s">
        <v>884</v>
      </c>
      <c r="E497"/>
      <c r="F497" s="186">
        <v>4.5</v>
      </c>
      <c r="G497" s="185" t="s">
        <v>885</v>
      </c>
      <c r="H497" s="179" t="s">
        <v>886</v>
      </c>
      <c r="I497" s="8" t="e">
        <f>(C78)</f>
        <v>#REF!</v>
      </c>
      <c r="J497" s="2" t="s">
        <v>885</v>
      </c>
      <c r="K497" s="8" t="e">
        <f t="shared" si="27"/>
        <v>#REF!</v>
      </c>
      <c r="M497" s="186">
        <v>2</v>
      </c>
      <c r="N497" s="179" t="s">
        <v>884</v>
      </c>
      <c r="O497" s="179" t="s">
        <v>1937</v>
      </c>
      <c r="P497" s="186">
        <f>(C12)</f>
        <v>95</v>
      </c>
      <c r="Q497" s="179" t="s">
        <v>884</v>
      </c>
      <c r="R497" s="186">
        <f t="shared" si="26"/>
        <v>190</v>
      </c>
      <c r="AG497" s="179" t="s">
        <v>2298</v>
      </c>
    </row>
    <row r="498" spans="1:33" hidden="1">
      <c r="A498" s="237">
        <f t="shared" si="25"/>
        <v>331</v>
      </c>
      <c r="B498" s="179" t="s">
        <v>1696</v>
      </c>
      <c r="C498" s="8">
        <v>100.3</v>
      </c>
      <c r="D498" s="1" t="s">
        <v>884</v>
      </c>
      <c r="E498"/>
      <c r="F498" s="186">
        <v>3.5</v>
      </c>
      <c r="G498" s="185" t="s">
        <v>884</v>
      </c>
      <c r="H498" s="179" t="s">
        <v>1744</v>
      </c>
      <c r="I498" s="8">
        <f>(C11)</f>
        <v>135</v>
      </c>
      <c r="J498" s="2" t="s">
        <v>884</v>
      </c>
      <c r="K498" s="8">
        <f t="shared" si="27"/>
        <v>472.5</v>
      </c>
      <c r="M498" s="186">
        <v>1</v>
      </c>
      <c r="N498" s="179" t="s">
        <v>884</v>
      </c>
      <c r="O498" s="179" t="s">
        <v>325</v>
      </c>
      <c r="P498" s="186">
        <f>(C13)</f>
        <v>85</v>
      </c>
      <c r="Q498" s="179" t="s">
        <v>884</v>
      </c>
      <c r="R498" s="186">
        <f t="shared" si="26"/>
        <v>85</v>
      </c>
      <c r="AG498" s="179" t="s">
        <v>326</v>
      </c>
    </row>
    <row r="499" spans="1:33" hidden="1">
      <c r="A499" s="237">
        <f t="shared" si="25"/>
        <v>332</v>
      </c>
      <c r="B499" s="179" t="s">
        <v>1699</v>
      </c>
      <c r="C499" s="8">
        <v>100.3</v>
      </c>
      <c r="D499" s="1" t="s">
        <v>884</v>
      </c>
      <c r="E499"/>
      <c r="F499" s="186">
        <v>21.2</v>
      </c>
      <c r="G499" s="185" t="s">
        <v>884</v>
      </c>
      <c r="H499" s="179" t="s">
        <v>1937</v>
      </c>
      <c r="I499" s="8">
        <f>(C12)</f>
        <v>95</v>
      </c>
      <c r="J499" s="2" t="s">
        <v>884</v>
      </c>
      <c r="K499" s="8">
        <f t="shared" si="27"/>
        <v>2014</v>
      </c>
      <c r="N499" s="179" t="s">
        <v>455</v>
      </c>
      <c r="O499" s="179" t="s">
        <v>1881</v>
      </c>
      <c r="P499" s="179" t="s">
        <v>992</v>
      </c>
      <c r="Q499" s="179" t="s">
        <v>455</v>
      </c>
      <c r="R499" s="186">
        <f>(C56)</f>
        <v>12.1</v>
      </c>
    </row>
    <row r="500" spans="1:33" hidden="1">
      <c r="A500" s="237">
        <f t="shared" si="25"/>
        <v>333</v>
      </c>
      <c r="B500" s="179" t="s">
        <v>1882</v>
      </c>
      <c r="C500"/>
      <c r="D500" s="1" t="s">
        <v>992</v>
      </c>
      <c r="E500"/>
      <c r="F500" s="186">
        <v>35.299999999999997</v>
      </c>
      <c r="G500" s="185" t="s">
        <v>884</v>
      </c>
      <c r="H500" s="179" t="s">
        <v>325</v>
      </c>
      <c r="I500" s="8">
        <f>(C13)</f>
        <v>85</v>
      </c>
      <c r="J500" s="2" t="s">
        <v>884</v>
      </c>
      <c r="K500" s="8">
        <f t="shared" si="27"/>
        <v>3000.5</v>
      </c>
      <c r="O500" s="179" t="s">
        <v>1883</v>
      </c>
      <c r="P500" s="179" t="s">
        <v>992</v>
      </c>
      <c r="R500" s="179" t="s">
        <v>992</v>
      </c>
    </row>
    <row r="501" spans="1:33" hidden="1">
      <c r="A501" s="237">
        <f t="shared" si="25"/>
        <v>334</v>
      </c>
      <c r="B501" s="179" t="s">
        <v>969</v>
      </c>
      <c r="C501" s="8">
        <v>9.4499999999999993</v>
      </c>
      <c r="D501" s="1" t="s">
        <v>884</v>
      </c>
      <c r="E501"/>
      <c r="G501" s="185" t="s">
        <v>455</v>
      </c>
      <c r="H501" s="179" t="s">
        <v>456</v>
      </c>
      <c r="I501" s="1" t="s">
        <v>992</v>
      </c>
      <c r="J501" s="2" t="s">
        <v>455</v>
      </c>
      <c r="K501" s="8">
        <v>0</v>
      </c>
      <c r="N501" s="179" t="s">
        <v>455</v>
      </c>
      <c r="O501" s="179" t="s">
        <v>456</v>
      </c>
      <c r="Q501" s="179" t="s">
        <v>455</v>
      </c>
      <c r="R501" s="186">
        <v>0</v>
      </c>
      <c r="AG501" s="179" t="s">
        <v>2298</v>
      </c>
    </row>
    <row r="502" spans="1:33" hidden="1">
      <c r="A502" s="237">
        <f t="shared" si="25"/>
        <v>335</v>
      </c>
      <c r="B502" s="179" t="s">
        <v>759</v>
      </c>
      <c r="C502" s="8">
        <v>15.6</v>
      </c>
      <c r="D502" s="1" t="s">
        <v>884</v>
      </c>
      <c r="E502"/>
      <c r="I502"/>
      <c r="J502" s="4"/>
      <c r="K502" s="5" t="s">
        <v>1615</v>
      </c>
      <c r="R502" s="183" t="s">
        <v>1615</v>
      </c>
      <c r="AG502" s="179" t="s">
        <v>2298</v>
      </c>
    </row>
    <row r="503" spans="1:33" hidden="1">
      <c r="A503" s="237">
        <f t="shared" si="25"/>
        <v>336</v>
      </c>
      <c r="B503" s="179" t="s">
        <v>1694</v>
      </c>
      <c r="C503" s="8">
        <v>15.6</v>
      </c>
      <c r="D503" s="1" t="s">
        <v>884</v>
      </c>
      <c r="E503"/>
      <c r="H503" s="179" t="s">
        <v>2210</v>
      </c>
      <c r="I503"/>
      <c r="J503" s="4"/>
      <c r="K503" s="8" t="e">
        <f>SUM(K495:K501)</f>
        <v>#REF!</v>
      </c>
      <c r="O503" s="179" t="s">
        <v>1884</v>
      </c>
      <c r="R503" s="186">
        <f>SUM(R491:R501)</f>
        <v>862.8</v>
      </c>
      <c r="AG503" s="179" t="s">
        <v>2298</v>
      </c>
    </row>
    <row r="504" spans="1:33" hidden="1">
      <c r="A504" s="237">
        <f t="shared" si="25"/>
        <v>337</v>
      </c>
      <c r="B504" s="179" t="s">
        <v>1885</v>
      </c>
      <c r="C504" s="8">
        <v>36.61</v>
      </c>
      <c r="D504" s="1" t="s">
        <v>884</v>
      </c>
      <c r="E504"/>
      <c r="I504"/>
      <c r="J504" s="4"/>
      <c r="K504" s="5" t="s">
        <v>1615</v>
      </c>
      <c r="R504" s="183" t="s">
        <v>1615</v>
      </c>
      <c r="AG504" s="179" t="s">
        <v>2298</v>
      </c>
    </row>
    <row r="505" spans="1:33" hidden="1">
      <c r="A505" s="237">
        <f t="shared" si="25"/>
        <v>338</v>
      </c>
      <c r="B505" s="179" t="s">
        <v>1696</v>
      </c>
      <c r="C505" s="8">
        <v>78.709999999999994</v>
      </c>
      <c r="D505" s="1" t="s">
        <v>884</v>
      </c>
      <c r="E505"/>
      <c r="H505" s="179" t="s">
        <v>789</v>
      </c>
      <c r="I505"/>
      <c r="J505" s="4"/>
      <c r="K505" s="8" t="e">
        <f>(K503/10)</f>
        <v>#REF!</v>
      </c>
      <c r="O505" s="179" t="s">
        <v>1573</v>
      </c>
      <c r="R505" s="186">
        <f>(R503/30)</f>
        <v>28.76</v>
      </c>
      <c r="AG505" s="179" t="s">
        <v>2298</v>
      </c>
    </row>
    <row r="506" spans="1:33" hidden="1">
      <c r="A506" s="237">
        <f t="shared" si="25"/>
        <v>339</v>
      </c>
      <c r="B506" s="179" t="s">
        <v>1699</v>
      </c>
      <c r="C506" s="8">
        <v>78.709999999999994</v>
      </c>
      <c r="D506" s="1" t="s">
        <v>884</v>
      </c>
      <c r="E506"/>
      <c r="I506"/>
      <c r="J506" s="4"/>
      <c r="K506"/>
      <c r="R506" s="183" t="s">
        <v>1615</v>
      </c>
      <c r="AG506" s="179" t="s">
        <v>2298</v>
      </c>
    </row>
    <row r="507" spans="1:33" hidden="1">
      <c r="A507" s="237">
        <f t="shared" si="25"/>
        <v>340</v>
      </c>
      <c r="B507" s="179" t="s">
        <v>1886</v>
      </c>
      <c r="C507"/>
      <c r="D507" s="1" t="s">
        <v>219</v>
      </c>
      <c r="E507"/>
      <c r="F507" s="186">
        <v>1</v>
      </c>
      <c r="G507" s="185" t="s">
        <v>885</v>
      </c>
      <c r="H507" s="179" t="s">
        <v>46</v>
      </c>
      <c r="I507"/>
      <c r="J507" s="4"/>
      <c r="K507" s="8">
        <f>(C25)</f>
        <v>20.7</v>
      </c>
      <c r="N507" s="179" t="s">
        <v>1583</v>
      </c>
      <c r="O507" s="233" t="s">
        <v>220</v>
      </c>
      <c r="AG507" s="179" t="s">
        <v>2298</v>
      </c>
    </row>
    <row r="508" spans="1:33" hidden="1">
      <c r="A508" s="237">
        <f t="shared" si="25"/>
        <v>341</v>
      </c>
      <c r="B508" s="179" t="s">
        <v>1089</v>
      </c>
      <c r="C508" s="8">
        <v>20.55</v>
      </c>
      <c r="D508" s="1" t="s">
        <v>1805</v>
      </c>
      <c r="E508"/>
      <c r="I508"/>
      <c r="J508" s="4"/>
      <c r="K508" s="5" t="s">
        <v>1615</v>
      </c>
      <c r="O508" s="183" t="s">
        <v>1615</v>
      </c>
      <c r="AG508" s="179" t="s">
        <v>2298</v>
      </c>
    </row>
    <row r="509" spans="1:33" hidden="1">
      <c r="A509" s="237">
        <f t="shared" si="25"/>
        <v>342</v>
      </c>
      <c r="B509" s="179" t="s">
        <v>1263</v>
      </c>
      <c r="C509" s="8">
        <v>32.9</v>
      </c>
      <c r="D509" s="1" t="s">
        <v>1805</v>
      </c>
      <c r="E509">
        <v>70</v>
      </c>
      <c r="H509" s="179" t="s">
        <v>1264</v>
      </c>
      <c r="I509"/>
      <c r="J509" s="4"/>
      <c r="K509" s="8" t="e">
        <f>SUM(K505:K507)</f>
        <v>#REF!</v>
      </c>
      <c r="M509" s="186">
        <v>30</v>
      </c>
      <c r="N509" s="179" t="s">
        <v>1805</v>
      </c>
      <c r="O509" s="179" t="s">
        <v>1695</v>
      </c>
      <c r="P509" s="186">
        <f>(C42)</f>
        <v>1.75</v>
      </c>
      <c r="Q509" s="179" t="s">
        <v>1805</v>
      </c>
      <c r="R509" s="186">
        <f>(M509*P509)</f>
        <v>52.5</v>
      </c>
      <c r="AG509" s="179" t="s">
        <v>2298</v>
      </c>
    </row>
    <row r="510" spans="1:33" hidden="1">
      <c r="A510" s="237">
        <f t="shared" si="25"/>
        <v>343</v>
      </c>
      <c r="B510" s="179" t="s">
        <v>1265</v>
      </c>
      <c r="C510" s="8">
        <v>48.8</v>
      </c>
      <c r="D510" s="1" t="s">
        <v>1805</v>
      </c>
      <c r="E510"/>
      <c r="I510"/>
      <c r="J510" s="4"/>
      <c r="K510" s="5" t="s">
        <v>1615</v>
      </c>
      <c r="M510" s="179" t="s">
        <v>992</v>
      </c>
      <c r="O510" s="179" t="s">
        <v>1698</v>
      </c>
      <c r="P510" s="179" t="s">
        <v>992</v>
      </c>
      <c r="R510" s="179" t="s">
        <v>992</v>
      </c>
      <c r="AG510" s="179" t="s">
        <v>2298</v>
      </c>
    </row>
    <row r="511" spans="1:33" hidden="1">
      <c r="A511" s="237">
        <f t="shared" si="25"/>
        <v>344</v>
      </c>
      <c r="B511" s="179" t="s">
        <v>1266</v>
      </c>
      <c r="C511" s="8">
        <v>65.7</v>
      </c>
      <c r="D511" s="1" t="s">
        <v>1805</v>
      </c>
      <c r="E511"/>
      <c r="G511" s="185" t="s">
        <v>1267</v>
      </c>
      <c r="H511" s="179" t="s">
        <v>391</v>
      </c>
      <c r="I511"/>
      <c r="J511" s="4"/>
      <c r="K511" s="8" t="e">
        <f>(K509+C22)</f>
        <v>#REF!</v>
      </c>
      <c r="M511" s="186">
        <v>8</v>
      </c>
      <c r="N511" s="179" t="s">
        <v>884</v>
      </c>
      <c r="O511" s="179" t="s">
        <v>2182</v>
      </c>
      <c r="P511" s="186">
        <f>(C44)</f>
        <v>2.2000000000000002</v>
      </c>
      <c r="Q511" s="179" t="s">
        <v>884</v>
      </c>
      <c r="R511" s="186">
        <f t="shared" ref="R511:R516" si="28">(M511*P511)</f>
        <v>17.600000000000001</v>
      </c>
      <c r="AG511" s="179" t="s">
        <v>2298</v>
      </c>
    </row>
    <row r="512" spans="1:33" hidden="1">
      <c r="A512" s="237">
        <f t="shared" si="25"/>
        <v>345</v>
      </c>
      <c r="B512" s="179" t="s">
        <v>1268</v>
      </c>
      <c r="C512" s="8">
        <v>69.099999999999994</v>
      </c>
      <c r="D512" s="8">
        <v>21</v>
      </c>
      <c r="E512"/>
      <c r="G512" s="185" t="s">
        <v>1269</v>
      </c>
      <c r="H512" s="179" t="s">
        <v>393</v>
      </c>
      <c r="I512"/>
      <c r="J512" s="4"/>
      <c r="K512" s="8" t="e">
        <f>(K511+C23)</f>
        <v>#REF!</v>
      </c>
      <c r="M512" s="186">
        <v>8</v>
      </c>
      <c r="N512" s="179" t="s">
        <v>884</v>
      </c>
      <c r="O512" s="179" t="s">
        <v>473</v>
      </c>
      <c r="P512" s="186">
        <f>(C51)</f>
        <v>3.2</v>
      </c>
      <c r="Q512" s="179" t="s">
        <v>884</v>
      </c>
      <c r="R512" s="186">
        <f t="shared" si="28"/>
        <v>25.6</v>
      </c>
      <c r="AG512" s="179" t="s">
        <v>2298</v>
      </c>
    </row>
    <row r="513" spans="1:33" hidden="1">
      <c r="A513" s="237">
        <f t="shared" si="25"/>
        <v>346</v>
      </c>
      <c r="B513" s="179" t="s">
        <v>381</v>
      </c>
      <c r="C513" s="8">
        <v>94.12</v>
      </c>
      <c r="D513" s="8">
        <v>37.15</v>
      </c>
      <c r="E513"/>
      <c r="G513" s="185" t="s">
        <v>431</v>
      </c>
      <c r="H513" s="179" t="s">
        <v>2271</v>
      </c>
      <c r="I513"/>
      <c r="J513" s="4"/>
      <c r="K513" s="8" t="e">
        <f>(K512+C24)</f>
        <v>#REF!</v>
      </c>
      <c r="M513" s="186">
        <v>3</v>
      </c>
      <c r="N513" s="179" t="s">
        <v>884</v>
      </c>
      <c r="O513" s="179" t="s">
        <v>1879</v>
      </c>
      <c r="P513" s="186">
        <f>(C41)</f>
        <v>110</v>
      </c>
      <c r="Q513" s="179" t="s">
        <v>884</v>
      </c>
      <c r="R513" s="186">
        <f t="shared" si="28"/>
        <v>330</v>
      </c>
      <c r="AG513" s="179" t="s">
        <v>2298</v>
      </c>
    </row>
    <row r="514" spans="1:33" hidden="1">
      <c r="A514" s="237">
        <f t="shared" si="25"/>
        <v>347</v>
      </c>
      <c r="B514" s="179" t="s">
        <v>1012</v>
      </c>
      <c r="C514"/>
      <c r="D514" s="1" t="s">
        <v>992</v>
      </c>
      <c r="E514"/>
      <c r="G514" s="185" t="s">
        <v>1013</v>
      </c>
      <c r="H514" s="179" t="s">
        <v>385</v>
      </c>
      <c r="I514"/>
      <c r="J514" s="4"/>
      <c r="K514" s="8" t="e">
        <f>(K513+C24)</f>
        <v>#REF!</v>
      </c>
      <c r="M514" s="186">
        <v>1</v>
      </c>
      <c r="N514" s="179" t="s">
        <v>884</v>
      </c>
      <c r="O514" s="179" t="s">
        <v>1880</v>
      </c>
      <c r="P514" s="186">
        <f>(C10)</f>
        <v>150</v>
      </c>
      <c r="Q514" s="179" t="s">
        <v>884</v>
      </c>
      <c r="R514" s="186">
        <f t="shared" si="28"/>
        <v>150</v>
      </c>
      <c r="AG514" s="179" t="s">
        <v>2298</v>
      </c>
    </row>
    <row r="515" spans="1:33" hidden="1">
      <c r="A515" s="237">
        <f t="shared" si="25"/>
        <v>348</v>
      </c>
      <c r="B515" s="179" t="s">
        <v>1136</v>
      </c>
      <c r="C515" s="8">
        <v>4.1900000000000004</v>
      </c>
      <c r="D515" s="1" t="s">
        <v>884</v>
      </c>
      <c r="E515"/>
      <c r="I515"/>
      <c r="J515" s="4"/>
      <c r="K515"/>
      <c r="M515" s="186">
        <v>2</v>
      </c>
      <c r="N515" s="179" t="s">
        <v>884</v>
      </c>
      <c r="O515" s="179" t="s">
        <v>1937</v>
      </c>
      <c r="P515" s="186">
        <f>(C12)</f>
        <v>95</v>
      </c>
      <c r="Q515" s="179" t="s">
        <v>884</v>
      </c>
      <c r="R515" s="186">
        <f t="shared" si="28"/>
        <v>190</v>
      </c>
      <c r="AG515" s="179" t="s">
        <v>2298</v>
      </c>
    </row>
    <row r="516" spans="1:33" hidden="1">
      <c r="A516" s="237">
        <f t="shared" si="25"/>
        <v>349</v>
      </c>
      <c r="B516" s="179" t="s">
        <v>1137</v>
      </c>
      <c r="C516" s="8">
        <v>5</v>
      </c>
      <c r="D516" s="1" t="s">
        <v>884</v>
      </c>
      <c r="E516"/>
      <c r="F516" s="233" t="s">
        <v>1014</v>
      </c>
      <c r="G516" s="185" t="s">
        <v>2290</v>
      </c>
      <c r="H516" s="179" t="s">
        <v>1015</v>
      </c>
      <c r="I516"/>
      <c r="J516" s="4"/>
      <c r="K516"/>
      <c r="M516" s="186">
        <v>1</v>
      </c>
      <c r="N516" s="179" t="s">
        <v>884</v>
      </c>
      <c r="O516" s="179" t="s">
        <v>325</v>
      </c>
      <c r="P516" s="186">
        <f>(C13)</f>
        <v>85</v>
      </c>
      <c r="Q516" s="179" t="s">
        <v>884</v>
      </c>
      <c r="R516" s="186">
        <f t="shared" si="28"/>
        <v>85</v>
      </c>
      <c r="AG516" s="179" t="s">
        <v>2298</v>
      </c>
    </row>
    <row r="517" spans="1:33" hidden="1">
      <c r="A517" s="237">
        <f t="shared" si="25"/>
        <v>350</v>
      </c>
      <c r="B517" s="179" t="s">
        <v>1138</v>
      </c>
      <c r="C517" s="8">
        <v>8.06</v>
      </c>
      <c r="D517" s="1" t="s">
        <v>884</v>
      </c>
      <c r="E517"/>
      <c r="H517" s="183" t="s">
        <v>1615</v>
      </c>
      <c r="I517"/>
      <c r="J517" s="4"/>
      <c r="K517"/>
      <c r="N517" s="179" t="s">
        <v>455</v>
      </c>
      <c r="O517" s="179" t="s">
        <v>1881</v>
      </c>
      <c r="P517" s="179" t="s">
        <v>992</v>
      </c>
      <c r="Q517" s="179" t="s">
        <v>455</v>
      </c>
      <c r="R517" s="186">
        <f>(C56)</f>
        <v>12.1</v>
      </c>
      <c r="AG517" s="179" t="s">
        <v>2298</v>
      </c>
    </row>
    <row r="518" spans="1:33" hidden="1">
      <c r="A518" s="237">
        <f t="shared" si="25"/>
        <v>351</v>
      </c>
      <c r="B518" s="179" t="s">
        <v>1139</v>
      </c>
      <c r="C518" s="8">
        <v>11.86</v>
      </c>
      <c r="D518" s="1" t="s">
        <v>884</v>
      </c>
      <c r="E518"/>
      <c r="F518" s="242">
        <v>1.4999999999999999E-2</v>
      </c>
      <c r="G518" s="185" t="s">
        <v>885</v>
      </c>
      <c r="H518" s="179" t="s">
        <v>1016</v>
      </c>
      <c r="I518" s="8" t="e">
        <f>(K505)</f>
        <v>#REF!</v>
      </c>
      <c r="J518" s="2" t="s">
        <v>885</v>
      </c>
      <c r="K518" s="8" t="e">
        <f>(F518*I518)</f>
        <v>#REF!</v>
      </c>
      <c r="O518" s="179" t="s">
        <v>1883</v>
      </c>
      <c r="P518" s="179" t="s">
        <v>992</v>
      </c>
      <c r="R518" s="179" t="s">
        <v>992</v>
      </c>
      <c r="AG518" s="179" t="s">
        <v>2298</v>
      </c>
    </row>
    <row r="519" spans="1:33" hidden="1">
      <c r="A519" s="237">
        <f t="shared" si="25"/>
        <v>352</v>
      </c>
      <c r="B519" s="179" t="s">
        <v>1141</v>
      </c>
      <c r="C519" s="8">
        <v>18.88</v>
      </c>
      <c r="D519" s="1" t="s">
        <v>884</v>
      </c>
      <c r="E519"/>
      <c r="F519" s="186">
        <v>0.5</v>
      </c>
      <c r="G519" s="185" t="s">
        <v>785</v>
      </c>
      <c r="H519" s="179" t="s">
        <v>2045</v>
      </c>
      <c r="I519" s="8">
        <f>(C10)</f>
        <v>150</v>
      </c>
      <c r="J519" s="2" t="s">
        <v>785</v>
      </c>
      <c r="K519" s="8">
        <f>(F519*I519)</f>
        <v>75</v>
      </c>
      <c r="N519" s="179" t="s">
        <v>455</v>
      </c>
      <c r="O519" s="179" t="s">
        <v>456</v>
      </c>
      <c r="Q519" s="179" t="s">
        <v>455</v>
      </c>
      <c r="R519" s="186">
        <v>0</v>
      </c>
      <c r="AG519" s="179" t="s">
        <v>2298</v>
      </c>
    </row>
    <row r="520" spans="1:33" hidden="1">
      <c r="A520" s="237">
        <f t="shared" si="25"/>
        <v>353</v>
      </c>
      <c r="B520" s="179" t="s">
        <v>243</v>
      </c>
      <c r="C520" s="8">
        <v>26</v>
      </c>
      <c r="D520" s="1" t="s">
        <v>884</v>
      </c>
      <c r="E520"/>
      <c r="F520" s="186">
        <v>0.75</v>
      </c>
      <c r="G520" s="185" t="s">
        <v>785</v>
      </c>
      <c r="H520" s="179" t="s">
        <v>1937</v>
      </c>
      <c r="I520" s="8">
        <f>(C12)</f>
        <v>95</v>
      </c>
      <c r="J520" s="2" t="s">
        <v>785</v>
      </c>
      <c r="K520" s="8">
        <f>(F520*I520)</f>
        <v>71.25</v>
      </c>
      <c r="R520" s="183" t="s">
        <v>1615</v>
      </c>
      <c r="AG520" s="179" t="s">
        <v>2298</v>
      </c>
    </row>
    <row r="521" spans="1:33" hidden="1">
      <c r="A521" s="237">
        <f t="shared" si="25"/>
        <v>354</v>
      </c>
      <c r="B521" s="179" t="s">
        <v>695</v>
      </c>
      <c r="C521"/>
      <c r="D521" s="1" t="s">
        <v>992</v>
      </c>
      <c r="E521"/>
      <c r="G521" s="185" t="s">
        <v>455</v>
      </c>
      <c r="H521" s="179" t="s">
        <v>456</v>
      </c>
      <c r="I521"/>
      <c r="J521" s="2" t="s">
        <v>455</v>
      </c>
      <c r="K521" s="8">
        <v>0</v>
      </c>
      <c r="O521" s="179" t="s">
        <v>1884</v>
      </c>
      <c r="R521" s="186">
        <f>SUM(R509:R519)</f>
        <v>862.8</v>
      </c>
      <c r="AG521" s="179" t="s">
        <v>2298</v>
      </c>
    </row>
    <row r="522" spans="1:33" hidden="1">
      <c r="A522" s="237">
        <f t="shared" si="25"/>
        <v>355</v>
      </c>
      <c r="B522" s="179" t="s">
        <v>1136</v>
      </c>
      <c r="C522" s="8">
        <v>4.62</v>
      </c>
      <c r="D522" s="1" t="s">
        <v>884</v>
      </c>
      <c r="E522"/>
      <c r="I522"/>
      <c r="J522" s="4"/>
      <c r="K522" s="5" t="s">
        <v>1615</v>
      </c>
      <c r="R522" s="183" t="s">
        <v>1615</v>
      </c>
      <c r="AG522" s="179" t="s">
        <v>2298</v>
      </c>
    </row>
    <row r="523" spans="1:33" hidden="1">
      <c r="A523" s="237">
        <f t="shared" si="25"/>
        <v>356</v>
      </c>
      <c r="B523" s="179" t="s">
        <v>1137</v>
      </c>
      <c r="C523" s="8">
        <v>7.83</v>
      </c>
      <c r="D523" s="1" t="s">
        <v>884</v>
      </c>
      <c r="E523"/>
      <c r="H523" s="179" t="s">
        <v>1782</v>
      </c>
      <c r="I523"/>
      <c r="J523" s="4"/>
      <c r="K523" s="8" t="e">
        <f>SUM(K518:K521)</f>
        <v>#REF!</v>
      </c>
      <c r="O523" s="179" t="s">
        <v>1573</v>
      </c>
      <c r="R523" s="186">
        <f>(R521/30)</f>
        <v>28.76</v>
      </c>
      <c r="AG523" s="179" t="s">
        <v>2298</v>
      </c>
    </row>
    <row r="524" spans="1:33" hidden="1">
      <c r="A524" s="237">
        <f t="shared" ref="A524:A546" si="29">(A523+1)</f>
        <v>357</v>
      </c>
      <c r="B524" s="179" t="s">
        <v>1138</v>
      </c>
      <c r="C524" s="8">
        <v>11.38</v>
      </c>
      <c r="D524" s="1" t="s">
        <v>884</v>
      </c>
      <c r="E524"/>
      <c r="I524"/>
      <c r="J524" s="4"/>
      <c r="K524" s="5" t="s">
        <v>1615</v>
      </c>
      <c r="R524" s="183" t="s">
        <v>1615</v>
      </c>
      <c r="AG524" s="179" t="s">
        <v>2298</v>
      </c>
    </row>
    <row r="525" spans="1:33" hidden="1">
      <c r="A525" s="237">
        <f t="shared" si="29"/>
        <v>358</v>
      </c>
      <c r="B525" s="179" t="s">
        <v>1139</v>
      </c>
      <c r="C525" s="8">
        <v>18.75</v>
      </c>
      <c r="D525" s="1" t="s">
        <v>884</v>
      </c>
      <c r="E525"/>
      <c r="H525" s="179" t="s">
        <v>562</v>
      </c>
      <c r="I525"/>
      <c r="J525" s="4"/>
      <c r="K525" s="8" t="e">
        <f>(K523/0.743)</f>
        <v>#REF!</v>
      </c>
      <c r="AG525" s="179" t="s">
        <v>2298</v>
      </c>
    </row>
    <row r="526" spans="1:33" hidden="1">
      <c r="A526" s="237">
        <f t="shared" si="29"/>
        <v>359</v>
      </c>
      <c r="B526" s="179" t="s">
        <v>1141</v>
      </c>
      <c r="C526" s="8">
        <v>35.1</v>
      </c>
      <c r="D526" s="1" t="s">
        <v>884</v>
      </c>
      <c r="E526"/>
      <c r="I526"/>
      <c r="J526" s="4"/>
      <c r="K526" s="5" t="s">
        <v>2091</v>
      </c>
      <c r="AG526" s="179" t="s">
        <v>2298</v>
      </c>
    </row>
    <row r="527" spans="1:33" hidden="1">
      <c r="A527" s="237">
        <f t="shared" si="29"/>
        <v>360</v>
      </c>
      <c r="B527" s="179" t="s">
        <v>243</v>
      </c>
      <c r="C527" s="8">
        <v>45.57</v>
      </c>
      <c r="D527" s="1" t="s">
        <v>884</v>
      </c>
      <c r="E527"/>
      <c r="H527" s="179" t="s">
        <v>391</v>
      </c>
      <c r="I527" s="8" t="e">
        <f>K525</f>
        <v>#REF!</v>
      </c>
      <c r="J527" s="2">
        <f>C22*0.02</f>
        <v>0.53</v>
      </c>
      <c r="K527" s="8" t="e">
        <f>I527+J527</f>
        <v>#REF!</v>
      </c>
      <c r="N527" s="179" t="s">
        <v>1991</v>
      </c>
      <c r="O527" s="233" t="s">
        <v>1296</v>
      </c>
      <c r="AG527" s="179" t="s">
        <v>2298</v>
      </c>
    </row>
    <row r="528" spans="1:33" hidden="1">
      <c r="A528" s="237">
        <f t="shared" si="29"/>
        <v>361</v>
      </c>
      <c r="B528" s="179" t="s">
        <v>1148</v>
      </c>
      <c r="C528"/>
      <c r="D528" s="1" t="s">
        <v>992</v>
      </c>
      <c r="E528"/>
      <c r="H528" s="179" t="s">
        <v>393</v>
      </c>
      <c r="I528" s="8" t="e">
        <f>K527</f>
        <v>#REF!</v>
      </c>
      <c r="J528" s="2">
        <f>C23*0.02</f>
        <v>1.06</v>
      </c>
      <c r="K528" s="8" t="e">
        <f>I528+J528</f>
        <v>#REF!</v>
      </c>
      <c r="O528" s="183" t="s">
        <v>1615</v>
      </c>
      <c r="AG528" s="179" t="s">
        <v>2298</v>
      </c>
    </row>
    <row r="529" spans="1:33" hidden="1">
      <c r="A529" s="237">
        <f t="shared" si="29"/>
        <v>362</v>
      </c>
      <c r="B529" s="179" t="s">
        <v>1136</v>
      </c>
      <c r="C529" s="8">
        <v>7.8</v>
      </c>
      <c r="D529" s="1" t="s">
        <v>884</v>
      </c>
      <c r="E529"/>
      <c r="H529" s="179" t="s">
        <v>2271</v>
      </c>
      <c r="I529" s="8" t="e">
        <f>K528</f>
        <v>#REF!</v>
      </c>
      <c r="J529" s="2">
        <f>C23*0.02</f>
        <v>1.06</v>
      </c>
      <c r="K529" s="8" t="e">
        <f>I529+J529</f>
        <v>#REF!</v>
      </c>
      <c r="M529" s="186">
        <v>30</v>
      </c>
      <c r="N529" s="179" t="s">
        <v>1805</v>
      </c>
      <c r="O529" s="179" t="s">
        <v>1695</v>
      </c>
      <c r="P529" s="186">
        <f>(C42)</f>
        <v>1.75</v>
      </c>
      <c r="Q529" s="179" t="s">
        <v>1805</v>
      </c>
      <c r="R529" s="186">
        <f>(M529*P529)</f>
        <v>52.5</v>
      </c>
      <c r="AG529" s="179" t="s">
        <v>2298</v>
      </c>
    </row>
    <row r="530" spans="1:33" hidden="1">
      <c r="A530" s="237">
        <f t="shared" si="29"/>
        <v>363</v>
      </c>
      <c r="B530" s="179" t="s">
        <v>1137</v>
      </c>
      <c r="C530" s="8">
        <v>9.49</v>
      </c>
      <c r="D530" s="1" t="s">
        <v>884</v>
      </c>
      <c r="E530"/>
      <c r="H530" s="179" t="s">
        <v>385</v>
      </c>
      <c r="I530" s="8" t="e">
        <f>K529</f>
        <v>#REF!</v>
      </c>
      <c r="J530" s="2">
        <f>C23*0.02</f>
        <v>1.06</v>
      </c>
      <c r="K530" s="8" t="e">
        <f>I530+J530</f>
        <v>#REF!</v>
      </c>
      <c r="M530" s="179" t="s">
        <v>992</v>
      </c>
      <c r="O530" s="179" t="s">
        <v>1698</v>
      </c>
      <c r="P530" s="179" t="s">
        <v>992</v>
      </c>
      <c r="R530" s="179" t="s">
        <v>992</v>
      </c>
      <c r="AG530" s="179" t="s">
        <v>2298</v>
      </c>
    </row>
    <row r="531" spans="1:33" hidden="1">
      <c r="A531" s="237">
        <f t="shared" si="29"/>
        <v>364</v>
      </c>
      <c r="B531" s="179" t="s">
        <v>1138</v>
      </c>
      <c r="C531" s="8">
        <v>13.91</v>
      </c>
      <c r="D531" s="1" t="s">
        <v>884</v>
      </c>
      <c r="E531"/>
      <c r="H531" s="179" t="s">
        <v>393</v>
      </c>
      <c r="I531" s="8" t="e">
        <f>K530</f>
        <v>#REF!</v>
      </c>
      <c r="J531" s="2">
        <f>C24*0.02</f>
        <v>1.06</v>
      </c>
      <c r="K531" s="8" t="e">
        <f>I531+J531</f>
        <v>#REF!</v>
      </c>
      <c r="M531" s="186">
        <v>8</v>
      </c>
      <c r="N531" s="179" t="s">
        <v>884</v>
      </c>
      <c r="O531" s="179" t="s">
        <v>2182</v>
      </c>
      <c r="P531" s="186">
        <f>(C45)</f>
        <v>2.7</v>
      </c>
      <c r="Q531" s="179" t="s">
        <v>884</v>
      </c>
      <c r="R531" s="186">
        <f t="shared" ref="R531:R536" si="30">(M531*P531)</f>
        <v>21.6</v>
      </c>
      <c r="AG531" s="179" t="s">
        <v>2298</v>
      </c>
    </row>
    <row r="532" spans="1:33" hidden="1">
      <c r="A532" s="237">
        <f t="shared" si="29"/>
        <v>365</v>
      </c>
      <c r="B532" s="179" t="s">
        <v>1139</v>
      </c>
      <c r="C532" s="8">
        <v>26.59</v>
      </c>
      <c r="D532" s="1" t="s">
        <v>884</v>
      </c>
      <c r="E532"/>
      <c r="F532" s="233" t="s">
        <v>1149</v>
      </c>
      <c r="G532" s="185" t="s">
        <v>2290</v>
      </c>
      <c r="H532" s="179" t="s">
        <v>260</v>
      </c>
      <c r="I532"/>
      <c r="J532" s="4"/>
      <c r="K532"/>
      <c r="M532" s="186">
        <v>8</v>
      </c>
      <c r="N532" s="179" t="s">
        <v>884</v>
      </c>
      <c r="O532" s="179" t="s">
        <v>473</v>
      </c>
      <c r="P532" s="186">
        <f>(C52)</f>
        <v>6.4</v>
      </c>
      <c r="Q532" s="179" t="s">
        <v>884</v>
      </c>
      <c r="R532" s="186">
        <f t="shared" si="30"/>
        <v>51.2</v>
      </c>
      <c r="AG532" s="179" t="s">
        <v>2298</v>
      </c>
    </row>
    <row r="533" spans="1:33" hidden="1">
      <c r="A533" s="237">
        <f t="shared" si="29"/>
        <v>366</v>
      </c>
      <c r="B533" s="179" t="s">
        <v>1141</v>
      </c>
      <c r="C533" s="8">
        <v>39.909999999999997</v>
      </c>
      <c r="D533" s="1" t="s">
        <v>884</v>
      </c>
      <c r="E533"/>
      <c r="H533" s="183" t="s">
        <v>1615</v>
      </c>
      <c r="I533"/>
      <c r="J533" s="4"/>
      <c r="K533"/>
      <c r="M533" s="186">
        <v>3</v>
      </c>
      <c r="N533" s="179" t="s">
        <v>884</v>
      </c>
      <c r="O533" s="179" t="s">
        <v>1879</v>
      </c>
      <c r="P533" s="186">
        <f>(C41)</f>
        <v>110</v>
      </c>
      <c r="Q533" s="179" t="s">
        <v>884</v>
      </c>
      <c r="R533" s="186">
        <f t="shared" si="30"/>
        <v>330</v>
      </c>
      <c r="AG533" s="179" t="s">
        <v>2298</v>
      </c>
    </row>
    <row r="534" spans="1:33" hidden="1">
      <c r="A534" s="237">
        <f t="shared" si="29"/>
        <v>367</v>
      </c>
      <c r="B534" s="179" t="s">
        <v>243</v>
      </c>
      <c r="C534" s="8">
        <v>66</v>
      </c>
      <c r="D534" s="1" t="s">
        <v>884</v>
      </c>
      <c r="E534"/>
      <c r="F534" s="186">
        <v>0.03</v>
      </c>
      <c r="G534" s="185" t="s">
        <v>885</v>
      </c>
      <c r="H534" s="179" t="s">
        <v>1016</v>
      </c>
      <c r="I534" s="8" t="e">
        <f>(K505)</f>
        <v>#REF!</v>
      </c>
      <c r="J534" s="2" t="s">
        <v>885</v>
      </c>
      <c r="K534" s="8" t="e">
        <f>(F534*I534)</f>
        <v>#REF!</v>
      </c>
      <c r="M534" s="186">
        <v>1</v>
      </c>
      <c r="N534" s="179" t="s">
        <v>884</v>
      </c>
      <c r="O534" s="179" t="s">
        <v>1880</v>
      </c>
      <c r="P534" s="186">
        <f>(C10)</f>
        <v>150</v>
      </c>
      <c r="Q534" s="179" t="s">
        <v>884</v>
      </c>
      <c r="R534" s="186">
        <f t="shared" si="30"/>
        <v>150</v>
      </c>
      <c r="AG534" s="179" t="s">
        <v>2298</v>
      </c>
    </row>
    <row r="535" spans="1:33" hidden="1">
      <c r="A535" s="237">
        <f t="shared" si="29"/>
        <v>368</v>
      </c>
      <c r="B535" s="179" t="s">
        <v>1150</v>
      </c>
      <c r="C535"/>
      <c r="D535" s="1" t="s">
        <v>992</v>
      </c>
      <c r="E535"/>
      <c r="F535" s="186">
        <v>0.5</v>
      </c>
      <c r="G535" s="185" t="s">
        <v>785</v>
      </c>
      <c r="H535" s="179" t="s">
        <v>2045</v>
      </c>
      <c r="I535" s="8">
        <f>(C10)</f>
        <v>150</v>
      </c>
      <c r="J535" s="2" t="s">
        <v>785</v>
      </c>
      <c r="K535" s="8">
        <f>(F535*I535)</f>
        <v>75</v>
      </c>
      <c r="M535" s="186">
        <v>2</v>
      </c>
      <c r="N535" s="179" t="s">
        <v>884</v>
      </c>
      <c r="O535" s="179" t="s">
        <v>1937</v>
      </c>
      <c r="P535" s="186">
        <f>(C12)</f>
        <v>95</v>
      </c>
      <c r="Q535" s="179" t="s">
        <v>884</v>
      </c>
      <c r="R535" s="186">
        <f t="shared" si="30"/>
        <v>190</v>
      </c>
      <c r="AG535" s="179" t="s">
        <v>2298</v>
      </c>
    </row>
    <row r="536" spans="1:33" hidden="1">
      <c r="A536" s="237">
        <f t="shared" si="29"/>
        <v>369</v>
      </c>
      <c r="B536" s="179" t="s">
        <v>969</v>
      </c>
      <c r="C536" s="8">
        <v>4.75</v>
      </c>
      <c r="D536" s="1" t="s">
        <v>884</v>
      </c>
      <c r="E536"/>
      <c r="F536" s="186">
        <v>0.75</v>
      </c>
      <c r="G536" s="185" t="s">
        <v>785</v>
      </c>
      <c r="H536" s="179" t="s">
        <v>1937</v>
      </c>
      <c r="I536" s="8">
        <f>(C12)</f>
        <v>95</v>
      </c>
      <c r="J536" s="2" t="s">
        <v>785</v>
      </c>
      <c r="K536" s="8">
        <f>(F536*I536)</f>
        <v>71.25</v>
      </c>
      <c r="M536" s="186">
        <v>1</v>
      </c>
      <c r="N536" s="179" t="s">
        <v>884</v>
      </c>
      <c r="O536" s="179" t="s">
        <v>325</v>
      </c>
      <c r="P536" s="186">
        <f>(C13)</f>
        <v>85</v>
      </c>
      <c r="Q536" s="179" t="s">
        <v>884</v>
      </c>
      <c r="R536" s="186">
        <f t="shared" si="30"/>
        <v>85</v>
      </c>
      <c r="AG536" s="179" t="s">
        <v>2298</v>
      </c>
    </row>
    <row r="537" spans="1:33" hidden="1">
      <c r="A537" s="237">
        <f t="shared" si="29"/>
        <v>370</v>
      </c>
      <c r="B537" s="179" t="s">
        <v>759</v>
      </c>
      <c r="C537" s="8">
        <v>6.89</v>
      </c>
      <c r="D537" s="1" t="s">
        <v>884</v>
      </c>
      <c r="E537"/>
      <c r="G537" s="185" t="s">
        <v>455</v>
      </c>
      <c r="H537" s="179" t="s">
        <v>456</v>
      </c>
      <c r="I537"/>
      <c r="J537" s="2" t="s">
        <v>455</v>
      </c>
      <c r="K537" s="8">
        <v>0</v>
      </c>
      <c r="N537" s="179" t="s">
        <v>455</v>
      </c>
      <c r="O537" s="179" t="s">
        <v>1881</v>
      </c>
      <c r="P537" s="179" t="s">
        <v>992</v>
      </c>
      <c r="Q537" s="179" t="s">
        <v>455</v>
      </c>
      <c r="R537" s="186">
        <f>(C56)</f>
        <v>12.1</v>
      </c>
      <c r="AG537" s="179" t="s">
        <v>2298</v>
      </c>
    </row>
    <row r="538" spans="1:33" hidden="1">
      <c r="A538" s="237">
        <f t="shared" si="29"/>
        <v>371</v>
      </c>
      <c r="B538" s="179" t="s">
        <v>1694</v>
      </c>
      <c r="C538" s="8">
        <v>6.18</v>
      </c>
      <c r="D538" s="1" t="s">
        <v>884</v>
      </c>
      <c r="E538"/>
      <c r="I538"/>
      <c r="J538" s="4"/>
      <c r="K538" s="5" t="s">
        <v>1615</v>
      </c>
      <c r="O538" s="179" t="s">
        <v>1883</v>
      </c>
      <c r="P538" s="179" t="s">
        <v>992</v>
      </c>
      <c r="R538" s="179" t="s">
        <v>992</v>
      </c>
      <c r="AG538" s="179" t="s">
        <v>2298</v>
      </c>
    </row>
    <row r="539" spans="1:33" hidden="1">
      <c r="A539" s="237">
        <f t="shared" si="29"/>
        <v>372</v>
      </c>
      <c r="B539" s="179" t="s">
        <v>1151</v>
      </c>
      <c r="C539" s="8">
        <v>13.29</v>
      </c>
      <c r="D539" s="1" t="s">
        <v>884</v>
      </c>
      <c r="E539"/>
      <c r="H539" s="179" t="s">
        <v>1782</v>
      </c>
      <c r="I539"/>
      <c r="J539" s="4"/>
      <c r="K539" s="8" t="e">
        <f>SUM(K534:K537)</f>
        <v>#REF!</v>
      </c>
      <c r="N539" s="179" t="s">
        <v>455</v>
      </c>
      <c r="O539" s="179" t="s">
        <v>456</v>
      </c>
      <c r="Q539" s="179" t="s">
        <v>455</v>
      </c>
      <c r="R539" s="186">
        <v>0</v>
      </c>
      <c r="AG539" s="179" t="s">
        <v>2298</v>
      </c>
    </row>
    <row r="540" spans="1:33" hidden="1">
      <c r="A540" s="237">
        <f t="shared" si="29"/>
        <v>373</v>
      </c>
      <c r="B540" s="179" t="s">
        <v>1152</v>
      </c>
      <c r="C540" s="8">
        <v>14.11</v>
      </c>
      <c r="D540" s="1" t="s">
        <v>884</v>
      </c>
      <c r="E540"/>
      <c r="I540"/>
      <c r="J540" s="4"/>
      <c r="K540" s="5" t="s">
        <v>1615</v>
      </c>
      <c r="R540" s="183" t="s">
        <v>1615</v>
      </c>
      <c r="AG540" s="179" t="s">
        <v>2298</v>
      </c>
    </row>
    <row r="541" spans="1:33" hidden="1">
      <c r="A541" s="237">
        <f t="shared" si="29"/>
        <v>374</v>
      </c>
      <c r="B541" s="179" t="s">
        <v>1153</v>
      </c>
      <c r="C541" s="8">
        <v>14.69</v>
      </c>
      <c r="D541" s="1" t="s">
        <v>884</v>
      </c>
      <c r="E541"/>
      <c r="H541" s="179" t="s">
        <v>562</v>
      </c>
      <c r="I541"/>
      <c r="J541" s="4"/>
      <c r="K541" s="8" t="e">
        <f>(K539/0.743)</f>
        <v>#REF!</v>
      </c>
      <c r="O541" s="179" t="s">
        <v>1884</v>
      </c>
      <c r="R541" s="186">
        <f>SUM(R529:R539)</f>
        <v>892.4</v>
      </c>
      <c r="AG541" s="179" t="s">
        <v>2298</v>
      </c>
    </row>
    <row r="542" spans="1:33" hidden="1">
      <c r="A542" s="237">
        <f t="shared" si="29"/>
        <v>375</v>
      </c>
      <c r="B542" s="179" t="s">
        <v>1898</v>
      </c>
      <c r="C542"/>
      <c r="D542" s="1" t="s">
        <v>992</v>
      </c>
      <c r="E542"/>
      <c r="I542"/>
      <c r="J542" s="4"/>
      <c r="K542" s="5" t="s">
        <v>2091</v>
      </c>
      <c r="R542" s="183" t="s">
        <v>1615</v>
      </c>
      <c r="AG542" s="179" t="s">
        <v>2298</v>
      </c>
    </row>
    <row r="543" spans="1:33" hidden="1">
      <c r="A543" s="237">
        <f t="shared" si="29"/>
        <v>376</v>
      </c>
      <c r="B543" s="179" t="s">
        <v>969</v>
      </c>
      <c r="C543" s="8">
        <v>10.3</v>
      </c>
      <c r="D543" s="1" t="s">
        <v>884</v>
      </c>
      <c r="E543"/>
      <c r="H543" s="179" t="s">
        <v>391</v>
      </c>
      <c r="I543" s="8" t="e">
        <f>K541</f>
        <v>#REF!</v>
      </c>
      <c r="J543" s="2">
        <f>C22*0.04</f>
        <v>1.06</v>
      </c>
      <c r="K543" s="8" t="e">
        <f>I543+J543</f>
        <v>#REF!</v>
      </c>
      <c r="O543" s="179" t="s">
        <v>1573</v>
      </c>
      <c r="R543" s="186">
        <f>(R541/30)</f>
        <v>29.75</v>
      </c>
      <c r="AG543" s="179" t="s">
        <v>2298</v>
      </c>
    </row>
    <row r="544" spans="1:33" hidden="1">
      <c r="A544" s="237">
        <f t="shared" si="29"/>
        <v>377</v>
      </c>
      <c r="B544" s="179" t="s">
        <v>759</v>
      </c>
      <c r="C544" s="8">
        <v>19.05</v>
      </c>
      <c r="D544" s="1" t="s">
        <v>884</v>
      </c>
      <c r="E544"/>
      <c r="H544" s="179" t="s">
        <v>393</v>
      </c>
      <c r="I544" s="8" t="e">
        <f>K543</f>
        <v>#REF!</v>
      </c>
      <c r="J544" s="2">
        <f>C23*0.04</f>
        <v>2.11</v>
      </c>
      <c r="K544" s="8" t="e">
        <f>I544+J544</f>
        <v>#REF!</v>
      </c>
      <c r="R544" s="183" t="s">
        <v>1615</v>
      </c>
      <c r="AG544" s="179" t="s">
        <v>2298</v>
      </c>
    </row>
    <row r="545" spans="1:33" hidden="1">
      <c r="A545" s="237">
        <f t="shared" si="29"/>
        <v>378</v>
      </c>
      <c r="B545" s="179" t="s">
        <v>1694</v>
      </c>
      <c r="C545" s="8">
        <v>15.34</v>
      </c>
      <c r="D545" s="1" t="s">
        <v>884</v>
      </c>
      <c r="E545"/>
      <c r="H545" s="179" t="s">
        <v>2271</v>
      </c>
      <c r="I545" s="8" t="e">
        <f>K544</f>
        <v>#REF!</v>
      </c>
      <c r="J545" s="2">
        <f>C23*0.04</f>
        <v>2.11</v>
      </c>
      <c r="K545" s="8" t="e">
        <f>I545+J545</f>
        <v>#REF!</v>
      </c>
      <c r="N545" s="179" t="s">
        <v>2290</v>
      </c>
      <c r="O545" s="179" t="s">
        <v>2083</v>
      </c>
      <c r="AG545" s="179" t="s">
        <v>2298</v>
      </c>
    </row>
    <row r="546" spans="1:33" hidden="1">
      <c r="A546" s="237">
        <f t="shared" si="29"/>
        <v>379</v>
      </c>
      <c r="B546" s="179" t="s">
        <v>1899</v>
      </c>
      <c r="C546" s="8">
        <v>29.41</v>
      </c>
      <c r="D546" s="1" t="s">
        <v>884</v>
      </c>
      <c r="E546"/>
      <c r="H546" s="179" t="s">
        <v>385</v>
      </c>
      <c r="I546" s="8" t="e">
        <f>K545</f>
        <v>#REF!</v>
      </c>
      <c r="J546" s="2">
        <f>C23*0.04</f>
        <v>2.11</v>
      </c>
      <c r="K546" s="8" t="e">
        <f>I546+J546</f>
        <v>#REF!</v>
      </c>
      <c r="O546" s="179" t="s">
        <v>1900</v>
      </c>
      <c r="AG546" s="179" t="s">
        <v>2298</v>
      </c>
    </row>
    <row r="547" spans="1:33" hidden="1">
      <c r="C547"/>
      <c r="D547"/>
      <c r="E547"/>
      <c r="F547" s="179" t="s">
        <v>992</v>
      </c>
      <c r="H547" s="179" t="s">
        <v>393</v>
      </c>
      <c r="I547" s="8" t="e">
        <f>K546</f>
        <v>#REF!</v>
      </c>
      <c r="J547" s="2">
        <f>C24*0.04</f>
        <v>2.11</v>
      </c>
      <c r="K547" s="8" t="e">
        <f>I547+J547</f>
        <v>#REF!</v>
      </c>
    </row>
    <row r="548" spans="1:33" hidden="1">
      <c r="A548" s="237">
        <f>(A546+1)</f>
        <v>380</v>
      </c>
      <c r="B548" s="179" t="s">
        <v>1152</v>
      </c>
      <c r="C548" s="8">
        <v>38.35</v>
      </c>
      <c r="D548" s="1" t="s">
        <v>884</v>
      </c>
      <c r="E548"/>
      <c r="I548"/>
      <c r="J548" s="4"/>
      <c r="K548"/>
      <c r="O548" s="179" t="s">
        <v>155</v>
      </c>
      <c r="AG548" s="179" t="s">
        <v>2298</v>
      </c>
    </row>
    <row r="549" spans="1:33" hidden="1">
      <c r="A549" s="237">
        <f t="shared" ref="A549:A564" si="31">(A548+1)</f>
        <v>381</v>
      </c>
      <c r="B549" s="179" t="s">
        <v>1153</v>
      </c>
      <c r="C549" s="8">
        <v>37.96</v>
      </c>
      <c r="D549" s="1" t="s">
        <v>884</v>
      </c>
      <c r="E549"/>
      <c r="F549" s="243"/>
      <c r="G549" s="185" t="s">
        <v>992</v>
      </c>
      <c r="H549" s="179" t="s">
        <v>135</v>
      </c>
      <c r="I549"/>
      <c r="J549" s="4"/>
      <c r="K549"/>
      <c r="O549" s="183" t="s">
        <v>1615</v>
      </c>
      <c r="AG549" s="179" t="s">
        <v>2298</v>
      </c>
    </row>
    <row r="550" spans="1:33" hidden="1">
      <c r="A550" s="237">
        <f t="shared" si="31"/>
        <v>382</v>
      </c>
      <c r="B550" s="179" t="s">
        <v>136</v>
      </c>
      <c r="C550"/>
      <c r="D550" s="1" t="s">
        <v>992</v>
      </c>
      <c r="E550"/>
      <c r="H550" s="179" t="s">
        <v>1289</v>
      </c>
      <c r="I550"/>
      <c r="J550" s="4"/>
      <c r="K550"/>
      <c r="AG550" s="179" t="s">
        <v>2298</v>
      </c>
    </row>
    <row r="551" spans="1:33" hidden="1">
      <c r="A551" s="237">
        <f t="shared" si="31"/>
        <v>383</v>
      </c>
      <c r="B551" s="179" t="s">
        <v>969</v>
      </c>
      <c r="C551" s="8">
        <v>6.68</v>
      </c>
      <c r="D551" s="1" t="s">
        <v>884</v>
      </c>
      <c r="E551"/>
      <c r="H551" s="179" t="s">
        <v>1290</v>
      </c>
      <c r="I551"/>
      <c r="J551" s="4"/>
      <c r="K551"/>
      <c r="N551" s="179" t="s">
        <v>156</v>
      </c>
      <c r="O551" s="179" t="s">
        <v>1042</v>
      </c>
      <c r="AG551" s="179" t="s">
        <v>2298</v>
      </c>
    </row>
    <row r="552" spans="1:33" hidden="1">
      <c r="A552" s="237">
        <f t="shared" si="31"/>
        <v>384</v>
      </c>
      <c r="B552" s="179" t="s">
        <v>759</v>
      </c>
      <c r="C552" s="8">
        <v>9.4499999999999993</v>
      </c>
      <c r="D552" s="1" t="s">
        <v>884</v>
      </c>
      <c r="E552"/>
      <c r="H552" s="179" t="s">
        <v>1043</v>
      </c>
      <c r="I552"/>
      <c r="J552" s="4"/>
      <c r="K552"/>
      <c r="O552" s="183" t="s">
        <v>1615</v>
      </c>
      <c r="AG552" s="179" t="s">
        <v>2298</v>
      </c>
    </row>
    <row r="553" spans="1:33" hidden="1">
      <c r="A553" s="237">
        <f t="shared" si="31"/>
        <v>385</v>
      </c>
      <c r="B553" s="179" t="s">
        <v>1694</v>
      </c>
      <c r="C553" s="8">
        <v>33.04</v>
      </c>
      <c r="D553" s="1" t="s">
        <v>884</v>
      </c>
      <c r="E553"/>
      <c r="H553" s="179" t="s">
        <v>1044</v>
      </c>
      <c r="I553"/>
      <c r="J553" s="4"/>
      <c r="K553"/>
      <c r="M553" s="186">
        <v>8.1</v>
      </c>
      <c r="N553" s="179" t="s">
        <v>885</v>
      </c>
      <c r="O553" s="179" t="s">
        <v>629</v>
      </c>
      <c r="P553" s="186">
        <f>(C61)*2</f>
        <v>50</v>
      </c>
      <c r="Q553" s="179" t="s">
        <v>885</v>
      </c>
      <c r="R553" s="186">
        <f>(M553*P553)</f>
        <v>405</v>
      </c>
      <c r="AG553" s="179" t="s">
        <v>2298</v>
      </c>
    </row>
    <row r="554" spans="1:33" hidden="1">
      <c r="A554" s="237">
        <f t="shared" si="31"/>
        <v>386</v>
      </c>
      <c r="B554" s="179" t="s">
        <v>1899</v>
      </c>
      <c r="C554" s="8">
        <v>33.04</v>
      </c>
      <c r="D554" s="1" t="s">
        <v>884</v>
      </c>
      <c r="E554"/>
      <c r="H554" s="179" t="s">
        <v>1272</v>
      </c>
      <c r="I554"/>
      <c r="J554" s="4"/>
      <c r="K554"/>
      <c r="M554" s="186">
        <v>8.1</v>
      </c>
      <c r="N554" s="179" t="s">
        <v>885</v>
      </c>
      <c r="O554" s="179" t="s">
        <v>2196</v>
      </c>
      <c r="P554" s="186">
        <f>(C26)</f>
        <v>8.8000000000000007</v>
      </c>
      <c r="Q554" s="179" t="s">
        <v>885</v>
      </c>
      <c r="R554" s="186">
        <f>(M554*P554)</f>
        <v>71.28</v>
      </c>
      <c r="AG554" s="179" t="s">
        <v>2298</v>
      </c>
    </row>
    <row r="555" spans="1:33" hidden="1">
      <c r="A555" s="237">
        <f t="shared" si="31"/>
        <v>387</v>
      </c>
      <c r="B555" s="179" t="s">
        <v>1273</v>
      </c>
      <c r="C555" s="8">
        <v>33.04</v>
      </c>
      <c r="D555" s="1" t="s">
        <v>884</v>
      </c>
      <c r="E555"/>
      <c r="H555" s="179" t="s">
        <v>2464</v>
      </c>
      <c r="I555"/>
      <c r="J555" s="4"/>
      <c r="K555"/>
      <c r="M555" s="186">
        <v>30</v>
      </c>
      <c r="N555" s="179" t="s">
        <v>1805</v>
      </c>
      <c r="O555" s="179" t="s">
        <v>2197</v>
      </c>
      <c r="P555" s="186">
        <f>(C639)</f>
        <v>3</v>
      </c>
      <c r="Q555" s="179" t="s">
        <v>1805</v>
      </c>
      <c r="R555" s="186">
        <f>(M555*P555)</f>
        <v>90</v>
      </c>
      <c r="AG555" s="179" t="s">
        <v>326</v>
      </c>
    </row>
    <row r="556" spans="1:33" hidden="1">
      <c r="A556" s="237">
        <f t="shared" si="31"/>
        <v>388</v>
      </c>
      <c r="B556" s="179" t="s">
        <v>1274</v>
      </c>
      <c r="C556" s="8">
        <v>33.04</v>
      </c>
      <c r="D556" s="1" t="s">
        <v>884</v>
      </c>
      <c r="E556"/>
      <c r="H556" s="183" t="s">
        <v>1615</v>
      </c>
      <c r="I556" s="5" t="s">
        <v>1615</v>
      </c>
      <c r="J556" s="4"/>
      <c r="K556"/>
      <c r="O556" s="179" t="s">
        <v>1275</v>
      </c>
    </row>
    <row r="557" spans="1:33" hidden="1">
      <c r="A557" s="237">
        <f t="shared" si="31"/>
        <v>389</v>
      </c>
      <c r="B557" s="179" t="s">
        <v>622</v>
      </c>
      <c r="C557" s="8">
        <v>538</v>
      </c>
      <c r="D557" s="1" t="s">
        <v>884</v>
      </c>
      <c r="E557"/>
      <c r="G557" s="185" t="s">
        <v>702</v>
      </c>
      <c r="H557" s="179" t="s">
        <v>623</v>
      </c>
      <c r="I557"/>
      <c r="J557" s="4"/>
      <c r="K557"/>
      <c r="O557" s="179" t="s">
        <v>2199</v>
      </c>
    </row>
    <row r="558" spans="1:33" hidden="1">
      <c r="A558" s="237">
        <f t="shared" si="31"/>
        <v>390</v>
      </c>
      <c r="B558" s="179" t="s">
        <v>2319</v>
      </c>
      <c r="C558" s="8">
        <v>340</v>
      </c>
      <c r="D558" s="1" t="s">
        <v>884</v>
      </c>
      <c r="E558"/>
      <c r="H558" s="179" t="s">
        <v>2320</v>
      </c>
      <c r="I558"/>
      <c r="J558" s="4"/>
      <c r="K558"/>
      <c r="O558" s="179" t="s">
        <v>2200</v>
      </c>
      <c r="AG558" s="179" t="s">
        <v>2298</v>
      </c>
    </row>
    <row r="559" spans="1:33" hidden="1">
      <c r="A559" s="237">
        <f t="shared" si="31"/>
        <v>391</v>
      </c>
      <c r="B559" s="179" t="s">
        <v>2321</v>
      </c>
      <c r="C559" s="8">
        <v>1039</v>
      </c>
      <c r="D559" s="1" t="s">
        <v>884</v>
      </c>
      <c r="E559"/>
      <c r="F559" s="186">
        <v>10</v>
      </c>
      <c r="G559" s="185" t="s">
        <v>2322</v>
      </c>
      <c r="H559" s="179" t="s">
        <v>568</v>
      </c>
      <c r="I559" s="8">
        <f>C721</f>
        <v>227</v>
      </c>
      <c r="J559" s="2" t="s">
        <v>2322</v>
      </c>
      <c r="K559" s="8">
        <f>(F559*I559)</f>
        <v>2270</v>
      </c>
      <c r="O559" s="179" t="s">
        <v>2203</v>
      </c>
      <c r="AG559" s="179" t="s">
        <v>2298</v>
      </c>
    </row>
    <row r="560" spans="1:33" hidden="1">
      <c r="A560" s="237">
        <f t="shared" si="31"/>
        <v>392</v>
      </c>
      <c r="B560" s="179" t="s">
        <v>569</v>
      </c>
      <c r="C560" s="8">
        <v>100.44</v>
      </c>
      <c r="D560" s="1" t="s">
        <v>884</v>
      </c>
      <c r="E560"/>
      <c r="F560" s="186">
        <v>1</v>
      </c>
      <c r="G560" s="185" t="s">
        <v>570</v>
      </c>
      <c r="H560" s="179" t="s">
        <v>571</v>
      </c>
      <c r="I560" s="8">
        <f>C10</f>
        <v>150</v>
      </c>
      <c r="J560" s="2" t="s">
        <v>1423</v>
      </c>
      <c r="K560" s="8">
        <f>(F560*I560)</f>
        <v>150</v>
      </c>
      <c r="M560" s="186">
        <v>8</v>
      </c>
      <c r="N560" s="179" t="s">
        <v>785</v>
      </c>
      <c r="O560" s="179" t="s">
        <v>2182</v>
      </c>
      <c r="P560" s="186">
        <f>(C641)</f>
        <v>2.2000000000000002</v>
      </c>
      <c r="Q560" s="179" t="s">
        <v>785</v>
      </c>
      <c r="R560" s="186">
        <f>(M560*P560)</f>
        <v>17.600000000000001</v>
      </c>
      <c r="AG560" s="179" t="s">
        <v>2298</v>
      </c>
    </row>
    <row r="561" spans="1:33" hidden="1">
      <c r="A561" s="237">
        <f t="shared" si="31"/>
        <v>393</v>
      </c>
      <c r="B561" s="179" t="s">
        <v>838</v>
      </c>
      <c r="C561" s="8">
        <v>31</v>
      </c>
      <c r="D561" s="1" t="s">
        <v>1174</v>
      </c>
      <c r="E561"/>
      <c r="F561" s="186">
        <v>1</v>
      </c>
      <c r="G561" s="185" t="s">
        <v>570</v>
      </c>
      <c r="H561" s="179" t="s">
        <v>839</v>
      </c>
      <c r="I561" s="8">
        <f>C12</f>
        <v>95</v>
      </c>
      <c r="J561" s="2" t="s">
        <v>1423</v>
      </c>
      <c r="K561" s="8">
        <f>(F561*I561)</f>
        <v>95</v>
      </c>
      <c r="M561" s="186">
        <v>8</v>
      </c>
      <c r="N561" s="179" t="s">
        <v>785</v>
      </c>
      <c r="O561" s="179" t="s">
        <v>473</v>
      </c>
      <c r="P561" s="186">
        <f>(C642)</f>
        <v>3.2</v>
      </c>
      <c r="Q561" s="179" t="s">
        <v>785</v>
      </c>
      <c r="R561" s="186">
        <f>(M561*P561)</f>
        <v>25.6</v>
      </c>
      <c r="AG561" s="179" t="s">
        <v>2298</v>
      </c>
    </row>
    <row r="562" spans="1:33" hidden="1">
      <c r="A562" s="237">
        <f t="shared" si="31"/>
        <v>394</v>
      </c>
      <c r="B562" s="179" t="s">
        <v>2983</v>
      </c>
      <c r="C562" s="8">
        <v>71.239999999999995</v>
      </c>
      <c r="D562" s="1" t="s">
        <v>884</v>
      </c>
      <c r="E562"/>
      <c r="G562" s="185" t="s">
        <v>455</v>
      </c>
      <c r="H562" s="179" t="s">
        <v>61</v>
      </c>
      <c r="I562"/>
      <c r="J562" s="2" t="s">
        <v>455</v>
      </c>
      <c r="K562" s="8">
        <v>120</v>
      </c>
      <c r="M562" s="186">
        <v>1</v>
      </c>
      <c r="N562" s="179" t="s">
        <v>455</v>
      </c>
      <c r="O562" s="179" t="s">
        <v>1716</v>
      </c>
      <c r="P562" s="186">
        <f>(C643)</f>
        <v>4</v>
      </c>
      <c r="Q562" s="179" t="s">
        <v>455</v>
      </c>
      <c r="R562" s="186">
        <f>(M562*P562)</f>
        <v>4</v>
      </c>
      <c r="AG562" s="179" t="s">
        <v>2298</v>
      </c>
    </row>
    <row r="563" spans="1:33" hidden="1">
      <c r="A563" s="237">
        <f t="shared" si="31"/>
        <v>395</v>
      </c>
      <c r="B563" s="179" t="s">
        <v>62</v>
      </c>
      <c r="C563" s="8">
        <v>82.2</v>
      </c>
      <c r="D563" s="1" t="s">
        <v>884</v>
      </c>
      <c r="E563"/>
      <c r="H563" s="179" t="s">
        <v>947</v>
      </c>
      <c r="I563"/>
      <c r="J563" s="4"/>
      <c r="K563" s="5" t="s">
        <v>1615</v>
      </c>
      <c r="M563" s="186">
        <v>1</v>
      </c>
      <c r="N563" s="179" t="s">
        <v>455</v>
      </c>
      <c r="O563" s="179" t="s">
        <v>456</v>
      </c>
      <c r="Q563" s="179" t="s">
        <v>455</v>
      </c>
      <c r="R563" s="186">
        <v>0</v>
      </c>
      <c r="AG563" s="179" t="s">
        <v>2298</v>
      </c>
    </row>
    <row r="564" spans="1:33" hidden="1">
      <c r="A564" s="237">
        <f t="shared" si="31"/>
        <v>396</v>
      </c>
      <c r="B564" s="179" t="s">
        <v>1080</v>
      </c>
      <c r="C564" s="8">
        <v>57.51</v>
      </c>
      <c r="D564" s="1" t="s">
        <v>884</v>
      </c>
      <c r="E564"/>
      <c r="H564" s="233" t="s">
        <v>1081</v>
      </c>
      <c r="I564"/>
      <c r="J564" s="4"/>
      <c r="K564" s="8">
        <f>SUM(K559:K562)</f>
        <v>2635</v>
      </c>
      <c r="R564" s="183" t="s">
        <v>1615</v>
      </c>
      <c r="AG564" s="179" t="s">
        <v>2298</v>
      </c>
    </row>
    <row r="565" spans="1:33" hidden="1">
      <c r="C565"/>
      <c r="D565"/>
      <c r="E565"/>
      <c r="F565" s="179" t="s">
        <v>992</v>
      </c>
      <c r="I565"/>
      <c r="J565" s="4"/>
      <c r="K565"/>
    </row>
    <row r="566" spans="1:33" hidden="1">
      <c r="A566" s="237">
        <f>(A564+1)</f>
        <v>397</v>
      </c>
      <c r="B566" s="179" t="s">
        <v>933</v>
      </c>
      <c r="C566" s="8">
        <v>28.5</v>
      </c>
      <c r="D566" s="1" t="s">
        <v>884</v>
      </c>
      <c r="E566"/>
      <c r="I566"/>
      <c r="J566" s="4"/>
      <c r="K566" s="5" t="s">
        <v>1615</v>
      </c>
      <c r="O566" s="179" t="s">
        <v>1572</v>
      </c>
      <c r="R566" s="186">
        <f>SUM(R553:R563)</f>
        <v>613.48</v>
      </c>
      <c r="AG566" s="179" t="s">
        <v>2298</v>
      </c>
    </row>
    <row r="567" spans="1:33" hidden="1">
      <c r="A567" s="237">
        <f>(A566+1)</f>
        <v>398</v>
      </c>
      <c r="B567" s="179" t="s">
        <v>508</v>
      </c>
      <c r="C567" s="8">
        <v>57.51</v>
      </c>
      <c r="D567" s="1" t="s">
        <v>884</v>
      </c>
      <c r="E567"/>
      <c r="H567" s="233" t="s">
        <v>509</v>
      </c>
      <c r="I567"/>
      <c r="J567" s="4"/>
      <c r="K567" s="8">
        <f>K564/10</f>
        <v>263.5</v>
      </c>
      <c r="R567" s="183" t="s">
        <v>1615</v>
      </c>
      <c r="AG567" s="179" t="s">
        <v>2298</v>
      </c>
    </row>
    <row r="568" spans="1:33" hidden="1">
      <c r="A568" s="237">
        <f>(A567+1)</f>
        <v>399</v>
      </c>
      <c r="B568" s="179" t="s">
        <v>1944</v>
      </c>
      <c r="C568" s="8">
        <v>20</v>
      </c>
      <c r="D568" s="1" t="s">
        <v>884</v>
      </c>
      <c r="E568"/>
      <c r="H568" s="179" t="s">
        <v>391</v>
      </c>
      <c r="I568" s="8">
        <f>K567</f>
        <v>263.5</v>
      </c>
      <c r="J568" s="2">
        <f>C22*0.02</f>
        <v>0.53</v>
      </c>
      <c r="K568" s="8">
        <f>I568+J568</f>
        <v>264.02999999999997</v>
      </c>
      <c r="O568" s="179" t="s">
        <v>1573</v>
      </c>
      <c r="R568" s="186">
        <f>(R566/30)</f>
        <v>20.45</v>
      </c>
      <c r="AG568" s="179" t="s">
        <v>2298</v>
      </c>
    </row>
    <row r="569" spans="1:33" hidden="1">
      <c r="A569" s="237">
        <f>(A568+1)</f>
        <v>400</v>
      </c>
      <c r="B569" s="179" t="s">
        <v>1945</v>
      </c>
      <c r="C569" s="8">
        <v>21.92</v>
      </c>
      <c r="D569" s="1" t="s">
        <v>884</v>
      </c>
      <c r="E569"/>
      <c r="H569" s="179" t="s">
        <v>393</v>
      </c>
      <c r="I569" s="8">
        <f>K568</f>
        <v>264.02999999999997</v>
      </c>
      <c r="J569" s="2">
        <f>C23*0.02</f>
        <v>1.06</v>
      </c>
      <c r="K569" s="8">
        <f>I569+J569</f>
        <v>265.08999999999997</v>
      </c>
      <c r="N569" s="179" t="s">
        <v>2290</v>
      </c>
      <c r="O569" s="179" t="s">
        <v>1946</v>
      </c>
      <c r="AG569" s="179" t="s">
        <v>2298</v>
      </c>
    </row>
    <row r="570" spans="1:33" hidden="1">
      <c r="A570" s="237">
        <f>(A569+1)</f>
        <v>401</v>
      </c>
      <c r="B570" s="179" t="s">
        <v>241</v>
      </c>
      <c r="C570" s="8">
        <v>28.5</v>
      </c>
      <c r="D570" s="1" t="s">
        <v>884</v>
      </c>
      <c r="E570"/>
      <c r="H570" s="179" t="s">
        <v>2271</v>
      </c>
      <c r="I570" s="8">
        <f>K569</f>
        <v>265.08999999999997</v>
      </c>
      <c r="J570" s="2">
        <f>C23*0.02</f>
        <v>1.06</v>
      </c>
      <c r="K570" s="8">
        <f>I570+J570</f>
        <v>266.14999999999998</v>
      </c>
      <c r="O570" s="179" t="s">
        <v>242</v>
      </c>
      <c r="AG570" s="179" t="s">
        <v>2298</v>
      </c>
    </row>
    <row r="571" spans="1:33" hidden="1">
      <c r="A571" s="237">
        <f>(A570+1)</f>
        <v>402</v>
      </c>
      <c r="B571" s="179" t="s">
        <v>2104</v>
      </c>
      <c r="C571" s="8">
        <v>535</v>
      </c>
      <c r="D571" s="1" t="s">
        <v>884</v>
      </c>
      <c r="E571"/>
      <c r="H571" s="179" t="s">
        <v>385</v>
      </c>
      <c r="I571" s="8">
        <f>K570</f>
        <v>266.14999999999998</v>
      </c>
      <c r="J571" s="2">
        <f>C23*0.02</f>
        <v>1.06</v>
      </c>
      <c r="K571" s="8">
        <f>I571+J571</f>
        <v>267.20999999999998</v>
      </c>
      <c r="O571" s="183" t="s">
        <v>1615</v>
      </c>
      <c r="AG571" s="179" t="s">
        <v>2298</v>
      </c>
    </row>
    <row r="572" spans="1:33" hidden="1">
      <c r="A572" s="237"/>
      <c r="B572" s="179"/>
      <c r="C572" s="8"/>
      <c r="D572" s="1"/>
      <c r="E572"/>
      <c r="H572" s="179" t="s">
        <v>1388</v>
      </c>
      <c r="I572" s="8">
        <f>K571</f>
        <v>267.20999999999998</v>
      </c>
      <c r="J572" s="2">
        <f>C24*0.02</f>
        <v>1.06</v>
      </c>
      <c r="K572" s="8">
        <f>I572+J572</f>
        <v>268.27</v>
      </c>
      <c r="O572" s="183"/>
      <c r="AG572" s="179"/>
    </row>
    <row r="573" spans="1:33" hidden="1">
      <c r="A573" s="237">
        <f>(A571+1)</f>
        <v>403</v>
      </c>
      <c r="B573" s="179" t="s">
        <v>552</v>
      </c>
      <c r="C573" s="8">
        <v>21</v>
      </c>
      <c r="D573" s="1" t="s">
        <v>884</v>
      </c>
      <c r="E573"/>
      <c r="F573" s="243">
        <v>15.2</v>
      </c>
      <c r="G573" s="185" t="s">
        <v>702</v>
      </c>
      <c r="H573" s="179" t="s">
        <v>802</v>
      </c>
      <c r="I573"/>
      <c r="J573" s="4"/>
      <c r="K573"/>
      <c r="M573" s="186">
        <v>1.08</v>
      </c>
      <c r="N573" s="179" t="s">
        <v>885</v>
      </c>
      <c r="O573" s="179" t="s">
        <v>803</v>
      </c>
      <c r="P573" s="186">
        <f>(K88)</f>
        <v>52.93</v>
      </c>
      <c r="Q573" s="179" t="s">
        <v>885</v>
      </c>
      <c r="R573" s="186">
        <f>(M573*P573)</f>
        <v>57.16</v>
      </c>
      <c r="AG573" s="179" t="s">
        <v>2298</v>
      </c>
    </row>
    <row r="574" spans="1:33" hidden="1">
      <c r="A574" s="237">
        <f t="shared" ref="A574:A586" si="32">(A573+1)</f>
        <v>404</v>
      </c>
      <c r="B574" s="179" t="s">
        <v>804</v>
      </c>
      <c r="C574" s="8">
        <v>150</v>
      </c>
      <c r="D574" s="1" t="s">
        <v>884</v>
      </c>
      <c r="E574"/>
      <c r="H574" s="179" t="s">
        <v>2320</v>
      </c>
      <c r="I574"/>
      <c r="J574" s="4"/>
      <c r="K574"/>
      <c r="M574" s="242">
        <v>0.216</v>
      </c>
      <c r="N574" s="179" t="s">
        <v>885</v>
      </c>
      <c r="O574" s="179" t="s">
        <v>805</v>
      </c>
      <c r="P574" s="186" t="e">
        <f>(R60)</f>
        <v>#REF!</v>
      </c>
      <c r="Q574" s="179" t="s">
        <v>885</v>
      </c>
      <c r="R574" s="186" t="e">
        <f>(M574*P574)</f>
        <v>#REF!</v>
      </c>
      <c r="AG574" s="179" t="s">
        <v>2298</v>
      </c>
    </row>
    <row r="575" spans="1:33" hidden="1">
      <c r="A575" s="237">
        <f t="shared" si="32"/>
        <v>405</v>
      </c>
      <c r="B575" s="179" t="s">
        <v>2011</v>
      </c>
      <c r="C575" s="8">
        <v>16.440000000000001</v>
      </c>
      <c r="D575" s="1" t="s">
        <v>884</v>
      </c>
      <c r="E575"/>
      <c r="F575" s="186">
        <v>1</v>
      </c>
      <c r="G575" s="185" t="s">
        <v>2322</v>
      </c>
      <c r="H575" s="179" t="s">
        <v>568</v>
      </c>
      <c r="I575" s="8">
        <f>D721</f>
        <v>247</v>
      </c>
      <c r="J575" s="2" t="s">
        <v>2322</v>
      </c>
      <c r="K575" s="8">
        <f>(F575*I575)</f>
        <v>247</v>
      </c>
      <c r="M575" s="242">
        <v>0.48699999999999999</v>
      </c>
      <c r="N575" s="179" t="s">
        <v>885</v>
      </c>
      <c r="O575" s="179" t="s">
        <v>2012</v>
      </c>
      <c r="P575" s="186" t="e">
        <f>(R89)</f>
        <v>#REF!</v>
      </c>
      <c r="Q575" s="179" t="s">
        <v>885</v>
      </c>
      <c r="R575" s="186" t="e">
        <f>(M575*P575)</f>
        <v>#REF!</v>
      </c>
      <c r="AG575" s="179" t="s">
        <v>2298</v>
      </c>
    </row>
    <row r="576" spans="1:33" hidden="1">
      <c r="A576" s="237">
        <f t="shared" si="32"/>
        <v>406</v>
      </c>
      <c r="B576" s="179" t="s">
        <v>2984</v>
      </c>
      <c r="C576" s="8">
        <v>30</v>
      </c>
      <c r="D576" s="8">
        <v>25</v>
      </c>
      <c r="E576"/>
      <c r="F576" s="186">
        <v>0.75</v>
      </c>
      <c r="G576" s="185" t="s">
        <v>570</v>
      </c>
      <c r="H576" s="179" t="s">
        <v>571</v>
      </c>
      <c r="I576" s="8">
        <f>C10</f>
        <v>150</v>
      </c>
      <c r="J576" s="2" t="s">
        <v>1423</v>
      </c>
      <c r="K576" s="8">
        <f>(F576*I576)</f>
        <v>112.5</v>
      </c>
      <c r="M576" s="242">
        <v>5.36</v>
      </c>
      <c r="N576" s="179" t="s">
        <v>621</v>
      </c>
      <c r="O576" s="179" t="s">
        <v>2013</v>
      </c>
      <c r="P576" s="186" t="e">
        <f>(R303)</f>
        <v>#REF!</v>
      </c>
      <c r="Q576" s="179" t="s">
        <v>621</v>
      </c>
      <c r="R576" s="186" t="e">
        <f>(M576*P576)</f>
        <v>#REF!</v>
      </c>
      <c r="AG576" s="179" t="s">
        <v>2298</v>
      </c>
    </row>
    <row r="577" spans="1:33" hidden="1">
      <c r="A577" s="237">
        <f t="shared" si="32"/>
        <v>407</v>
      </c>
      <c r="B577" s="179" t="s">
        <v>429</v>
      </c>
      <c r="C577" s="8">
        <v>208.5</v>
      </c>
      <c r="D577" s="1" t="s">
        <v>884</v>
      </c>
      <c r="E577"/>
      <c r="F577" s="186">
        <v>0.75</v>
      </c>
      <c r="G577" s="185" t="s">
        <v>570</v>
      </c>
      <c r="H577" s="179" t="s">
        <v>839</v>
      </c>
      <c r="I577" s="8">
        <f>C12</f>
        <v>95</v>
      </c>
      <c r="J577" s="2" t="s">
        <v>1423</v>
      </c>
      <c r="K577" s="8">
        <f>(F577*I577)</f>
        <v>71.25</v>
      </c>
      <c r="M577" s="242">
        <v>3.2000000000000001E-2</v>
      </c>
      <c r="N577" s="179" t="s">
        <v>885</v>
      </c>
      <c r="O577" s="179" t="s">
        <v>795</v>
      </c>
      <c r="P577" s="186" t="e">
        <f>(K614)</f>
        <v>#REF!</v>
      </c>
      <c r="Q577" s="179" t="s">
        <v>885</v>
      </c>
      <c r="R577" s="186" t="e">
        <f>(M577*P577)</f>
        <v>#REF!</v>
      </c>
      <c r="AG577" s="179" t="s">
        <v>2298</v>
      </c>
    </row>
    <row r="578" spans="1:33" hidden="1">
      <c r="A578" s="237">
        <f t="shared" si="32"/>
        <v>408</v>
      </c>
      <c r="B578" s="179" t="s">
        <v>2077</v>
      </c>
      <c r="C578" s="8">
        <v>95</v>
      </c>
      <c r="D578" s="1" t="s">
        <v>884</v>
      </c>
      <c r="E578"/>
      <c r="F578" s="186">
        <v>0.5</v>
      </c>
      <c r="G578" s="185" t="s">
        <v>570</v>
      </c>
      <c r="H578" s="179" t="s">
        <v>2078</v>
      </c>
      <c r="I578" s="8">
        <f>C41</f>
        <v>110</v>
      </c>
      <c r="J578" s="2" t="s">
        <v>1423</v>
      </c>
      <c r="K578" s="8">
        <f>(F578*I578)</f>
        <v>55</v>
      </c>
      <c r="O578" s="179" t="s">
        <v>292</v>
      </c>
      <c r="R578" s="179" t="s">
        <v>992</v>
      </c>
      <c r="AG578" s="179" t="s">
        <v>2298</v>
      </c>
    </row>
    <row r="579" spans="1:33" hidden="1">
      <c r="A579" s="237">
        <f t="shared" si="32"/>
        <v>409</v>
      </c>
      <c r="B579" s="179" t="s">
        <v>2985</v>
      </c>
      <c r="C579" s="6">
        <v>301</v>
      </c>
      <c r="D579" s="1" t="s">
        <v>621</v>
      </c>
      <c r="E579"/>
      <c r="G579" s="185" t="s">
        <v>455</v>
      </c>
      <c r="H579" s="179" t="s">
        <v>61</v>
      </c>
      <c r="I579"/>
      <c r="J579" s="2" t="s">
        <v>455</v>
      </c>
      <c r="K579" s="8">
        <v>53.5</v>
      </c>
      <c r="N579" s="179" t="s">
        <v>455</v>
      </c>
      <c r="O579" s="179" t="s">
        <v>345</v>
      </c>
      <c r="Q579" s="179" t="s">
        <v>455</v>
      </c>
      <c r="R579" s="186">
        <v>2.92</v>
      </c>
      <c r="AG579" s="179" t="s">
        <v>2298</v>
      </c>
    </row>
    <row r="580" spans="1:33" hidden="1">
      <c r="A580" s="237">
        <f t="shared" si="32"/>
        <v>410</v>
      </c>
      <c r="B580" s="179" t="s">
        <v>2986</v>
      </c>
      <c r="C580" s="8">
        <v>325</v>
      </c>
      <c r="D580" s="1" t="s">
        <v>621</v>
      </c>
      <c r="E580" s="1" t="s">
        <v>992</v>
      </c>
      <c r="H580" s="179" t="s">
        <v>947</v>
      </c>
      <c r="I580"/>
      <c r="J580" s="4"/>
      <c r="K580" s="5" t="s">
        <v>1615</v>
      </c>
      <c r="R580" s="183" t="s">
        <v>1615</v>
      </c>
      <c r="AG580" s="179" t="s">
        <v>2298</v>
      </c>
    </row>
    <row r="581" spans="1:33" hidden="1">
      <c r="A581" s="237">
        <f t="shared" si="32"/>
        <v>411</v>
      </c>
      <c r="B581" s="179" t="s">
        <v>346</v>
      </c>
      <c r="C581" s="8">
        <v>75</v>
      </c>
      <c r="D581" s="1" t="s">
        <v>884</v>
      </c>
      <c r="E581"/>
      <c r="H581" s="233" t="s">
        <v>1784</v>
      </c>
      <c r="I581"/>
      <c r="J581" s="4"/>
      <c r="K581" s="8">
        <f>SUM(K575:K579)</f>
        <v>539.25</v>
      </c>
      <c r="O581" s="179" t="s">
        <v>1785</v>
      </c>
      <c r="R581" s="186" t="e">
        <f>SUM(R573:R579)</f>
        <v>#REF!</v>
      </c>
      <c r="AG581" s="179" t="s">
        <v>2298</v>
      </c>
    </row>
    <row r="582" spans="1:33" hidden="1">
      <c r="A582" s="237">
        <f t="shared" si="32"/>
        <v>412</v>
      </c>
      <c r="B582" s="179" t="s">
        <v>1786</v>
      </c>
      <c r="C582" s="8">
        <v>125</v>
      </c>
      <c r="D582" s="1" t="s">
        <v>884</v>
      </c>
      <c r="E582"/>
      <c r="I582"/>
      <c r="J582" s="4"/>
      <c r="K582" s="5" t="s">
        <v>1615</v>
      </c>
      <c r="R582" s="183" t="s">
        <v>1615</v>
      </c>
      <c r="AG582" s="179" t="s">
        <v>2298</v>
      </c>
    </row>
    <row r="583" spans="1:33" hidden="1">
      <c r="A583" s="237">
        <f t="shared" si="32"/>
        <v>413</v>
      </c>
      <c r="B583" s="179" t="s">
        <v>1787</v>
      </c>
      <c r="C583" s="8">
        <v>190</v>
      </c>
      <c r="D583" s="1" t="s">
        <v>884</v>
      </c>
      <c r="E583"/>
      <c r="H583" s="179" t="s">
        <v>391</v>
      </c>
      <c r="I583" s="8">
        <f>K581</f>
        <v>539.25</v>
      </c>
      <c r="J583" s="2">
        <f>C22*0.04</f>
        <v>1.06</v>
      </c>
      <c r="K583" s="8">
        <f>(K581+C22*0.04)</f>
        <v>540.30999999999995</v>
      </c>
      <c r="N583" s="179" t="s">
        <v>2290</v>
      </c>
      <c r="O583" s="179" t="s">
        <v>1946</v>
      </c>
      <c r="AG583" s="179" t="s">
        <v>2298</v>
      </c>
    </row>
    <row r="584" spans="1:33" hidden="1">
      <c r="A584" s="237">
        <f t="shared" si="32"/>
        <v>414</v>
      </c>
      <c r="B584" s="179" t="s">
        <v>1788</v>
      </c>
      <c r="C584" s="8">
        <v>16</v>
      </c>
      <c r="D584" s="1" t="s">
        <v>884</v>
      </c>
      <c r="E584"/>
      <c r="H584" s="179" t="s">
        <v>393</v>
      </c>
      <c r="I584" s="8">
        <f>K583</f>
        <v>540.30999999999995</v>
      </c>
      <c r="J584" s="2">
        <f>C23*0.04</f>
        <v>2.11</v>
      </c>
      <c r="K584" s="8">
        <f>(K583+C23*0.04)</f>
        <v>542.41999999999996</v>
      </c>
      <c r="O584" s="179" t="s">
        <v>1789</v>
      </c>
      <c r="AG584" s="179" t="s">
        <v>2298</v>
      </c>
    </row>
    <row r="585" spans="1:33" hidden="1">
      <c r="A585" s="237">
        <f t="shared" si="32"/>
        <v>415</v>
      </c>
      <c r="B585" s="179" t="s">
        <v>1790</v>
      </c>
      <c r="C585" s="8">
        <v>7</v>
      </c>
      <c r="D585" s="1" t="s">
        <v>1676</v>
      </c>
      <c r="E585"/>
      <c r="H585" s="179" t="s">
        <v>2271</v>
      </c>
      <c r="I585" s="8">
        <f>K584</f>
        <v>542.41999999999996</v>
      </c>
      <c r="J585" s="2">
        <f>C23*0.04</f>
        <v>2.11</v>
      </c>
      <c r="K585" s="8">
        <f>(K584+C24*0.04)</f>
        <v>544.53</v>
      </c>
      <c r="O585" s="183" t="s">
        <v>1615</v>
      </c>
      <c r="AG585" s="179" t="s">
        <v>2298</v>
      </c>
    </row>
    <row r="586" spans="1:33" hidden="1">
      <c r="A586" s="237">
        <f t="shared" si="32"/>
        <v>416</v>
      </c>
      <c r="B586" s="179" t="s">
        <v>2987</v>
      </c>
      <c r="C586" s="8">
        <v>19</v>
      </c>
      <c r="D586" s="1" t="s">
        <v>1676</v>
      </c>
      <c r="E586"/>
      <c r="H586" s="179" t="s">
        <v>385</v>
      </c>
      <c r="I586" s="8">
        <f>K585</f>
        <v>544.53</v>
      </c>
      <c r="J586" s="2">
        <f>C23*0.04</f>
        <v>2.11</v>
      </c>
      <c r="K586" s="8">
        <f>(K585+C24*0.04)</f>
        <v>546.64</v>
      </c>
      <c r="M586" s="186">
        <v>1.3</v>
      </c>
      <c r="N586" s="179" t="s">
        <v>885</v>
      </c>
      <c r="O586" s="179" t="s">
        <v>803</v>
      </c>
      <c r="P586" s="186">
        <f>(K88)</f>
        <v>52.93</v>
      </c>
      <c r="Q586" s="179" t="s">
        <v>885</v>
      </c>
      <c r="R586" s="186">
        <f>(M586*P586)</f>
        <v>68.81</v>
      </c>
      <c r="AG586" s="179" t="s">
        <v>2298</v>
      </c>
    </row>
    <row r="587" spans="1:33" hidden="1">
      <c r="A587" s="237"/>
      <c r="B587" s="179"/>
      <c r="C587" s="8"/>
      <c r="D587" s="1"/>
      <c r="E587"/>
      <c r="H587" s="179" t="s">
        <v>1388</v>
      </c>
      <c r="I587" s="8">
        <f>K586</f>
        <v>546.64</v>
      </c>
      <c r="J587" s="2">
        <f>C24*0.04</f>
        <v>2.11</v>
      </c>
      <c r="K587" s="8">
        <f>(K586+C25*0.04)</f>
        <v>547.47</v>
      </c>
      <c r="M587" s="186"/>
      <c r="N587" s="179"/>
      <c r="O587" s="179"/>
      <c r="P587" s="186"/>
      <c r="Q587" s="179"/>
      <c r="R587" s="186"/>
      <c r="AG587" s="179"/>
    </row>
    <row r="588" spans="1:33" hidden="1">
      <c r="A588" s="237">
        <f>(A586+1)</f>
        <v>417</v>
      </c>
      <c r="B588" s="179" t="s">
        <v>2988</v>
      </c>
      <c r="C588" s="8">
        <v>20</v>
      </c>
      <c r="D588" s="1" t="s">
        <v>1676</v>
      </c>
      <c r="E588"/>
      <c r="F588" s="254">
        <v>15.1</v>
      </c>
      <c r="G588" s="185" t="s">
        <v>1791</v>
      </c>
      <c r="H588" s="179" t="s">
        <v>1637</v>
      </c>
      <c r="I588"/>
      <c r="J588" s="4"/>
      <c r="K588"/>
      <c r="M588" s="242">
        <v>0.216</v>
      </c>
      <c r="N588" s="179" t="s">
        <v>885</v>
      </c>
      <c r="O588" s="179" t="s">
        <v>805</v>
      </c>
      <c r="P588" s="186" t="e">
        <f>(R60)</f>
        <v>#REF!</v>
      </c>
      <c r="Q588" s="179" t="s">
        <v>885</v>
      </c>
      <c r="R588" s="186" t="e">
        <f>(M588*P588)</f>
        <v>#REF!</v>
      </c>
      <c r="AG588" s="179" t="s">
        <v>2298</v>
      </c>
    </row>
    <row r="589" spans="1:33" hidden="1">
      <c r="A589" s="237">
        <f t="shared" ref="A589:A614" si="33">(A588+1)</f>
        <v>418</v>
      </c>
      <c r="B589" s="179" t="s">
        <v>1792</v>
      </c>
      <c r="C589" s="8">
        <v>7.5</v>
      </c>
      <c r="D589" s="1" t="s">
        <v>785</v>
      </c>
      <c r="E589"/>
      <c r="H589" s="179" t="s">
        <v>2320</v>
      </c>
      <c r="I589"/>
      <c r="J589" s="4"/>
      <c r="K589"/>
      <c r="M589" s="242">
        <v>0.60099999999999998</v>
      </c>
      <c r="N589" s="179" t="s">
        <v>885</v>
      </c>
      <c r="O589" s="179" t="s">
        <v>2012</v>
      </c>
      <c r="P589" s="186" t="e">
        <f>(R89)</f>
        <v>#REF!</v>
      </c>
      <c r="Q589" s="179" t="s">
        <v>885</v>
      </c>
      <c r="R589" s="186" t="e">
        <f>(M589*P589)</f>
        <v>#REF!</v>
      </c>
      <c r="AG589" s="179" t="s">
        <v>2298</v>
      </c>
    </row>
    <row r="590" spans="1:33" hidden="1">
      <c r="A590" s="237">
        <f t="shared" si="33"/>
        <v>419</v>
      </c>
      <c r="B590" s="179" t="s">
        <v>797</v>
      </c>
      <c r="C590" s="8">
        <v>16</v>
      </c>
      <c r="D590" s="1" t="s">
        <v>785</v>
      </c>
      <c r="E590" t="s">
        <v>1588</v>
      </c>
      <c r="F590" s="186">
        <v>10</v>
      </c>
      <c r="G590" s="185" t="s">
        <v>2322</v>
      </c>
      <c r="H590" s="179" t="s">
        <v>568</v>
      </c>
      <c r="I590" s="8">
        <f>C721</f>
        <v>227</v>
      </c>
      <c r="J590" s="2" t="s">
        <v>2322</v>
      </c>
      <c r="K590" s="8">
        <f>(F590*I590)</f>
        <v>2270</v>
      </c>
      <c r="M590" s="242">
        <v>6.35</v>
      </c>
      <c r="N590" s="179" t="s">
        <v>621</v>
      </c>
      <c r="O590" s="179" t="s">
        <v>2013</v>
      </c>
      <c r="P590" s="186" t="e">
        <f>(R303)</f>
        <v>#REF!</v>
      </c>
      <c r="Q590" s="179" t="s">
        <v>621</v>
      </c>
      <c r="R590" s="186" t="e">
        <f>(M590*P590)</f>
        <v>#REF!</v>
      </c>
      <c r="AG590" s="179" t="s">
        <v>2298</v>
      </c>
    </row>
    <row r="591" spans="1:33" hidden="1">
      <c r="A591" s="237">
        <f t="shared" si="33"/>
        <v>420</v>
      </c>
      <c r="B591" s="179" t="s">
        <v>798</v>
      </c>
      <c r="C591" s="8">
        <v>1700</v>
      </c>
      <c r="D591" s="1" t="s">
        <v>799</v>
      </c>
      <c r="E591">
        <v>2000</v>
      </c>
      <c r="F591" s="186">
        <v>0.12</v>
      </c>
      <c r="G591" s="185" t="s">
        <v>885</v>
      </c>
      <c r="H591" s="179" t="s">
        <v>800</v>
      </c>
      <c r="I591" s="8" t="e">
        <f>K32</f>
        <v>#REF!</v>
      </c>
      <c r="J591" s="2" t="s">
        <v>885</v>
      </c>
      <c r="K591" s="8" t="e">
        <f>(F591*I591)</f>
        <v>#REF!</v>
      </c>
      <c r="M591" s="242">
        <v>3.2000000000000001E-2</v>
      </c>
      <c r="N591" s="179" t="s">
        <v>885</v>
      </c>
      <c r="O591" s="179" t="s">
        <v>795</v>
      </c>
      <c r="P591" s="186" t="e">
        <f>(K614)</f>
        <v>#REF!</v>
      </c>
      <c r="Q591" s="179" t="s">
        <v>885</v>
      </c>
      <c r="R591" s="186" t="e">
        <f>(M591*P591)</f>
        <v>#REF!</v>
      </c>
      <c r="AG591" s="179" t="s">
        <v>2298</v>
      </c>
    </row>
    <row r="592" spans="1:33" hidden="1">
      <c r="A592" s="237">
        <f t="shared" si="33"/>
        <v>421</v>
      </c>
      <c r="B592" s="179" t="s">
        <v>801</v>
      </c>
      <c r="C592" s="8">
        <v>805</v>
      </c>
      <c r="D592" s="1" t="s">
        <v>799</v>
      </c>
      <c r="E592"/>
      <c r="F592" s="186">
        <v>1</v>
      </c>
      <c r="G592" s="185" t="s">
        <v>570</v>
      </c>
      <c r="H592" s="179" t="s">
        <v>571</v>
      </c>
      <c r="I592" s="8">
        <f>C10</f>
        <v>150</v>
      </c>
      <c r="J592" s="2" t="s">
        <v>1423</v>
      </c>
      <c r="K592" s="8">
        <f>(F592*I592)</f>
        <v>150</v>
      </c>
      <c r="O592" s="179" t="s">
        <v>292</v>
      </c>
      <c r="R592" s="179" t="s">
        <v>992</v>
      </c>
      <c r="AG592" s="179" t="s">
        <v>2298</v>
      </c>
    </row>
    <row r="593" spans="1:33" hidden="1">
      <c r="A593" s="237">
        <f t="shared" si="33"/>
        <v>422</v>
      </c>
      <c r="B593" s="179" t="s">
        <v>2101</v>
      </c>
      <c r="C593" s="8">
        <f>204+53</f>
        <v>257</v>
      </c>
      <c r="D593" s="1" t="s">
        <v>799</v>
      </c>
      <c r="E593"/>
      <c r="F593" s="186">
        <v>1</v>
      </c>
      <c r="G593" s="185" t="s">
        <v>570</v>
      </c>
      <c r="H593" s="179" t="s">
        <v>839</v>
      </c>
      <c r="I593" s="8">
        <f>C12</f>
        <v>95</v>
      </c>
      <c r="J593" s="2" t="s">
        <v>1423</v>
      </c>
      <c r="K593" s="8">
        <f>(F593*I593)</f>
        <v>95</v>
      </c>
      <c r="N593" s="179" t="s">
        <v>455</v>
      </c>
      <c r="O593" s="179" t="s">
        <v>345</v>
      </c>
      <c r="Q593" s="179" t="s">
        <v>455</v>
      </c>
      <c r="R593" s="186">
        <v>2.1</v>
      </c>
      <c r="AG593" s="179" t="s">
        <v>2298</v>
      </c>
    </row>
    <row r="594" spans="1:33" hidden="1">
      <c r="A594" s="237">
        <f t="shared" si="33"/>
        <v>423</v>
      </c>
      <c r="B594" s="179" t="s">
        <v>2989</v>
      </c>
      <c r="C594" s="8">
        <v>53</v>
      </c>
      <c r="D594" s="1" t="s">
        <v>785</v>
      </c>
      <c r="E594"/>
      <c r="G594" s="185" t="s">
        <v>455</v>
      </c>
      <c r="H594" s="179" t="s">
        <v>61</v>
      </c>
      <c r="I594"/>
      <c r="J594" s="2" t="s">
        <v>455</v>
      </c>
      <c r="K594" s="8">
        <v>0.33</v>
      </c>
      <c r="R594" s="183" t="s">
        <v>1615</v>
      </c>
      <c r="AG594" s="179" t="s">
        <v>2298</v>
      </c>
    </row>
    <row r="595" spans="1:33" hidden="1">
      <c r="A595" s="237">
        <f t="shared" si="33"/>
        <v>424</v>
      </c>
      <c r="B595" s="179" t="s">
        <v>311</v>
      </c>
      <c r="C595" s="8">
        <v>1050</v>
      </c>
      <c r="D595" s="1" t="s">
        <v>785</v>
      </c>
      <c r="E595"/>
      <c r="H595" s="179" t="s">
        <v>947</v>
      </c>
      <c r="I595"/>
      <c r="J595" s="4"/>
      <c r="K595" s="5" t="s">
        <v>1615</v>
      </c>
      <c r="O595" s="179" t="s">
        <v>1785</v>
      </c>
      <c r="R595" s="186" t="e">
        <f>SUM(R586:R593)</f>
        <v>#REF!</v>
      </c>
      <c r="AG595" s="179" t="s">
        <v>2298</v>
      </c>
    </row>
    <row r="596" spans="1:33" hidden="1">
      <c r="A596" s="237">
        <f t="shared" si="33"/>
        <v>425</v>
      </c>
      <c r="B596" s="179" t="s">
        <v>411</v>
      </c>
      <c r="C596" s="8">
        <v>196</v>
      </c>
      <c r="D596" s="1" t="s">
        <v>785</v>
      </c>
      <c r="E596"/>
      <c r="H596" s="233" t="s">
        <v>412</v>
      </c>
      <c r="I596"/>
      <c r="J596" s="4"/>
      <c r="K596" s="8" t="e">
        <f>SUM(K590:K594)</f>
        <v>#REF!</v>
      </c>
      <c r="R596" s="183" t="s">
        <v>1615</v>
      </c>
      <c r="AG596" s="179" t="s">
        <v>2298</v>
      </c>
    </row>
    <row r="597" spans="1:33" hidden="1">
      <c r="A597" s="237">
        <f t="shared" si="33"/>
        <v>426</v>
      </c>
      <c r="B597" s="179" t="s">
        <v>413</v>
      </c>
      <c r="C597" s="8">
        <v>206.9</v>
      </c>
      <c r="D597" s="1" t="s">
        <v>785</v>
      </c>
      <c r="E597"/>
      <c r="I597"/>
      <c r="J597" s="4"/>
      <c r="K597" s="5" t="s">
        <v>1615</v>
      </c>
      <c r="N597" s="179" t="s">
        <v>2290</v>
      </c>
      <c r="O597" s="179" t="s">
        <v>414</v>
      </c>
      <c r="AG597" s="179" t="s">
        <v>2298</v>
      </c>
    </row>
    <row r="598" spans="1:33" hidden="1">
      <c r="A598" s="237">
        <f t="shared" si="33"/>
        <v>427</v>
      </c>
      <c r="B598" s="179" t="s">
        <v>415</v>
      </c>
      <c r="C598" s="8">
        <v>120</v>
      </c>
      <c r="D598" s="1" t="s">
        <v>1805</v>
      </c>
      <c r="E598"/>
      <c r="H598" s="233" t="s">
        <v>416</v>
      </c>
      <c r="I598"/>
      <c r="J598" s="4"/>
      <c r="K598" s="8" t="e">
        <f>K596/10</f>
        <v>#REF!</v>
      </c>
      <c r="O598" s="179" t="s">
        <v>417</v>
      </c>
      <c r="AG598" s="179" t="s">
        <v>2298</v>
      </c>
    </row>
    <row r="599" spans="1:33" hidden="1">
      <c r="A599" s="237">
        <f t="shared" si="33"/>
        <v>428</v>
      </c>
      <c r="B599" s="179" t="s">
        <v>418</v>
      </c>
      <c r="C599" s="8">
        <v>80</v>
      </c>
      <c r="D599" s="1" t="s">
        <v>1805</v>
      </c>
      <c r="E599"/>
      <c r="H599" s="179" t="s">
        <v>391</v>
      </c>
      <c r="I599"/>
      <c r="J599" s="4"/>
      <c r="K599" s="8" t="e">
        <f>(K598+C22*0.02)</f>
        <v>#REF!</v>
      </c>
      <c r="O599" s="183" t="s">
        <v>1615</v>
      </c>
      <c r="AG599" s="179" t="s">
        <v>2298</v>
      </c>
    </row>
    <row r="600" spans="1:33" hidden="1">
      <c r="A600" s="237">
        <f t="shared" si="33"/>
        <v>429</v>
      </c>
      <c r="B600" s="179" t="s">
        <v>419</v>
      </c>
      <c r="C600"/>
      <c r="D600" s="1" t="s">
        <v>1805</v>
      </c>
      <c r="E600"/>
      <c r="H600" s="179" t="s">
        <v>393</v>
      </c>
      <c r="I600"/>
      <c r="J600" s="4"/>
      <c r="K600" s="8" t="e">
        <f>(K599+C24*0.02)</f>
        <v>#REF!</v>
      </c>
      <c r="M600" s="186">
        <v>10.37</v>
      </c>
      <c r="N600" s="179" t="s">
        <v>885</v>
      </c>
      <c r="O600" s="179" t="s">
        <v>420</v>
      </c>
      <c r="P600" s="186">
        <f>(C61*2)</f>
        <v>50</v>
      </c>
      <c r="Q600" s="179" t="s">
        <v>885</v>
      </c>
      <c r="R600" s="186">
        <f t="shared" ref="R600:R608" si="34">(M600*P600)</f>
        <v>518.5</v>
      </c>
      <c r="AG600" s="179" t="s">
        <v>2298</v>
      </c>
    </row>
    <row r="601" spans="1:33" hidden="1">
      <c r="A601" s="237">
        <f t="shared" si="33"/>
        <v>430</v>
      </c>
      <c r="B601" s="179" t="s">
        <v>2099</v>
      </c>
      <c r="C601" s="8">
        <v>65</v>
      </c>
      <c r="D601" s="1" t="s">
        <v>884</v>
      </c>
      <c r="E601"/>
      <c r="H601" s="179" t="s">
        <v>2271</v>
      </c>
      <c r="I601"/>
      <c r="J601" s="4"/>
      <c r="K601" s="8" t="e">
        <f>(K600+C24*0.02)</f>
        <v>#REF!</v>
      </c>
      <c r="M601" s="186">
        <v>0.65</v>
      </c>
      <c r="N601" s="179" t="s">
        <v>885</v>
      </c>
      <c r="O601" s="179" t="s">
        <v>2100</v>
      </c>
      <c r="P601" s="186" t="e">
        <f>R60</f>
        <v>#REF!</v>
      </c>
      <c r="Q601" s="179" t="s">
        <v>885</v>
      </c>
      <c r="R601" s="186" t="e">
        <f t="shared" si="34"/>
        <v>#REF!</v>
      </c>
      <c r="AG601" s="179" t="s">
        <v>2298</v>
      </c>
    </row>
    <row r="602" spans="1:33" hidden="1">
      <c r="A602" s="237">
        <f t="shared" si="33"/>
        <v>431</v>
      </c>
      <c r="B602" s="179" t="s">
        <v>1816</v>
      </c>
      <c r="C602" s="8">
        <v>40</v>
      </c>
      <c r="D602" s="1" t="s">
        <v>884</v>
      </c>
      <c r="E602"/>
      <c r="H602" s="179" t="s">
        <v>385</v>
      </c>
      <c r="I602"/>
      <c r="J602" s="4"/>
      <c r="K602" s="8" t="e">
        <f>(K601+C24*0.02)</f>
        <v>#REF!</v>
      </c>
      <c r="M602" s="186">
        <v>1.1399999999999999</v>
      </c>
      <c r="N602" s="179" t="s">
        <v>885</v>
      </c>
      <c r="O602" s="179" t="s">
        <v>331</v>
      </c>
      <c r="P602" s="186" t="e">
        <f>K320</f>
        <v>#REF!</v>
      </c>
      <c r="Q602" s="179" t="s">
        <v>885</v>
      </c>
      <c r="R602" s="186" t="e">
        <f t="shared" si="34"/>
        <v>#REF!</v>
      </c>
      <c r="AG602" s="179" t="s">
        <v>2298</v>
      </c>
    </row>
    <row r="603" spans="1:33" hidden="1">
      <c r="A603" s="237">
        <f t="shared" si="33"/>
        <v>432</v>
      </c>
      <c r="B603" s="179" t="s">
        <v>333</v>
      </c>
      <c r="C603"/>
      <c r="D603" s="1" t="s">
        <v>884</v>
      </c>
      <c r="E603"/>
      <c r="H603" s="179" t="s">
        <v>1388</v>
      </c>
      <c r="I603"/>
      <c r="J603" s="4"/>
      <c r="K603" s="8" t="e">
        <f>(K602+C25*0.02)</f>
        <v>#REF!</v>
      </c>
      <c r="M603" s="186">
        <v>0.85</v>
      </c>
      <c r="N603" s="179" t="s">
        <v>885</v>
      </c>
      <c r="O603" s="179" t="s">
        <v>1639</v>
      </c>
      <c r="P603" s="186" t="e">
        <f>K320-K311/10</f>
        <v>#REF!</v>
      </c>
      <c r="Q603" s="179" t="s">
        <v>885</v>
      </c>
      <c r="R603" s="186" t="e">
        <f t="shared" si="34"/>
        <v>#REF!</v>
      </c>
      <c r="AG603" s="179" t="s">
        <v>2298</v>
      </c>
    </row>
    <row r="604" spans="1:33" hidden="1">
      <c r="A604" s="237">
        <f t="shared" si="33"/>
        <v>433</v>
      </c>
      <c r="B604" s="179" t="s">
        <v>1640</v>
      </c>
      <c r="C604" s="8">
        <v>45</v>
      </c>
      <c r="D604" s="1" t="s">
        <v>884</v>
      </c>
      <c r="E604"/>
      <c r="F604" s="233" t="s">
        <v>1641</v>
      </c>
      <c r="G604" s="185" t="s">
        <v>2290</v>
      </c>
      <c r="H604" s="179" t="s">
        <v>898</v>
      </c>
      <c r="I604"/>
      <c r="J604" s="4"/>
      <c r="K604"/>
      <c r="M604" s="186">
        <v>0.98</v>
      </c>
      <c r="N604" s="179" t="s">
        <v>885</v>
      </c>
      <c r="O604" s="179" t="s">
        <v>2257</v>
      </c>
      <c r="P604" s="186" t="e">
        <f>(C73)</f>
        <v>#REF!</v>
      </c>
      <c r="Q604" s="179" t="s">
        <v>885</v>
      </c>
      <c r="R604" s="186" t="e">
        <f t="shared" si="34"/>
        <v>#REF!</v>
      </c>
      <c r="AG604" s="179" t="s">
        <v>2298</v>
      </c>
    </row>
    <row r="605" spans="1:33" hidden="1">
      <c r="A605" s="237">
        <f t="shared" si="33"/>
        <v>434</v>
      </c>
      <c r="B605" s="179" t="s">
        <v>1115</v>
      </c>
      <c r="C605" s="8">
        <v>36.520000000000003</v>
      </c>
      <c r="D605" s="1" t="s">
        <v>884</v>
      </c>
      <c r="E605"/>
      <c r="H605" s="179" t="s">
        <v>1116</v>
      </c>
      <c r="I605"/>
      <c r="J605" s="4"/>
      <c r="K605"/>
      <c r="M605" s="186">
        <v>2.68</v>
      </c>
      <c r="N605" s="179" t="s">
        <v>885</v>
      </c>
      <c r="O605" s="179" t="s">
        <v>1055</v>
      </c>
      <c r="P605" s="186" t="e">
        <f>(C79)</f>
        <v>#REF!</v>
      </c>
      <c r="Q605" s="179" t="s">
        <v>885</v>
      </c>
      <c r="R605" s="186" t="e">
        <f t="shared" si="34"/>
        <v>#REF!</v>
      </c>
      <c r="AG605" s="179" t="s">
        <v>2298</v>
      </c>
    </row>
    <row r="606" spans="1:33" hidden="1">
      <c r="A606" s="237">
        <f t="shared" si="33"/>
        <v>435</v>
      </c>
      <c r="B606" s="179" t="s">
        <v>1642</v>
      </c>
      <c r="C606"/>
      <c r="D606" s="1" t="s">
        <v>884</v>
      </c>
      <c r="E606"/>
      <c r="H606" s="179" t="s">
        <v>1643</v>
      </c>
      <c r="I606"/>
      <c r="J606" s="4"/>
      <c r="K606"/>
      <c r="M606" s="186">
        <v>7.24</v>
      </c>
      <c r="N606" s="179" t="s">
        <v>621</v>
      </c>
      <c r="O606" s="179" t="s">
        <v>1644</v>
      </c>
      <c r="P606" s="186" t="e">
        <f>(K1332)</f>
        <v>#REF!</v>
      </c>
      <c r="Q606" s="179" t="s">
        <v>621</v>
      </c>
      <c r="R606" s="186" t="e">
        <f t="shared" si="34"/>
        <v>#REF!</v>
      </c>
      <c r="AG606" s="179" t="s">
        <v>2298</v>
      </c>
    </row>
    <row r="607" spans="1:33" hidden="1">
      <c r="A607" s="237">
        <f t="shared" si="33"/>
        <v>436</v>
      </c>
      <c r="B607" s="179" t="s">
        <v>1501</v>
      </c>
      <c r="C607" s="8">
        <v>73.48</v>
      </c>
      <c r="D607" s="8">
        <v>93.72</v>
      </c>
      <c r="E607"/>
      <c r="H607" s="183" t="s">
        <v>1615</v>
      </c>
      <c r="I607"/>
      <c r="J607" s="4"/>
      <c r="K607"/>
      <c r="M607" s="186">
        <v>1</v>
      </c>
      <c r="N607" s="179" t="s">
        <v>884</v>
      </c>
      <c r="O607" s="179" t="s">
        <v>1502</v>
      </c>
      <c r="P607" s="186">
        <f>(C202)</f>
        <v>75</v>
      </c>
      <c r="Q607" s="179" t="s">
        <v>884</v>
      </c>
      <c r="R607" s="186">
        <f t="shared" si="34"/>
        <v>75</v>
      </c>
      <c r="AG607" s="179" t="s">
        <v>2298</v>
      </c>
    </row>
    <row r="608" spans="1:33" hidden="1">
      <c r="A608" s="237">
        <f t="shared" si="33"/>
        <v>437</v>
      </c>
      <c r="B608" s="179" t="s">
        <v>1503</v>
      </c>
      <c r="C608" s="8">
        <v>43.12</v>
      </c>
      <c r="D608" s="1" t="s">
        <v>884</v>
      </c>
      <c r="E608"/>
      <c r="F608" s="186">
        <v>0.01</v>
      </c>
      <c r="G608" s="185" t="s">
        <v>885</v>
      </c>
      <c r="H608" s="179" t="s">
        <v>1504</v>
      </c>
      <c r="I608" s="8" t="e">
        <f>(K279)</f>
        <v>#REF!</v>
      </c>
      <c r="J608" s="2" t="s">
        <v>885</v>
      </c>
      <c r="K608" s="8" t="e">
        <f>(F608*I608)</f>
        <v>#REF!</v>
      </c>
      <c r="M608" s="242">
        <v>0.13600000000000001</v>
      </c>
      <c r="N608" s="179" t="s">
        <v>885</v>
      </c>
      <c r="O608" s="179" t="s">
        <v>1000</v>
      </c>
      <c r="P608" s="186" t="e">
        <f>(K614)</f>
        <v>#REF!</v>
      </c>
      <c r="Q608" s="179" t="s">
        <v>885</v>
      </c>
      <c r="R608" s="186" t="e">
        <f t="shared" si="34"/>
        <v>#REF!</v>
      </c>
      <c r="AG608" s="179" t="s">
        <v>2298</v>
      </c>
    </row>
    <row r="609" spans="1:33" hidden="1">
      <c r="A609" s="237">
        <f t="shared" si="33"/>
        <v>438</v>
      </c>
      <c r="B609" s="179" t="s">
        <v>1001</v>
      </c>
      <c r="C609"/>
      <c r="D609" s="1" t="s">
        <v>884</v>
      </c>
      <c r="E609"/>
      <c r="F609" s="186">
        <v>0.01</v>
      </c>
      <c r="G609" s="185" t="s">
        <v>885</v>
      </c>
      <c r="H609" s="179" t="s">
        <v>1002</v>
      </c>
      <c r="I609"/>
      <c r="J609" s="2" t="s">
        <v>455</v>
      </c>
      <c r="K609" s="8">
        <v>1.1499999999999999</v>
      </c>
      <c r="O609" s="179" t="s">
        <v>130</v>
      </c>
      <c r="AG609" s="179" t="s">
        <v>2298</v>
      </c>
    </row>
    <row r="610" spans="1:33" hidden="1">
      <c r="A610" s="237">
        <f t="shared" si="33"/>
        <v>439</v>
      </c>
      <c r="B610" s="179" t="s">
        <v>131</v>
      </c>
      <c r="C610" s="8">
        <v>121.88</v>
      </c>
      <c r="D610" s="1" t="s">
        <v>884</v>
      </c>
      <c r="E610"/>
      <c r="H610" s="179" t="s">
        <v>132</v>
      </c>
      <c r="I610"/>
      <c r="J610" s="4"/>
      <c r="K610"/>
      <c r="N610" s="179" t="s">
        <v>455</v>
      </c>
      <c r="O610" s="179" t="s">
        <v>345</v>
      </c>
      <c r="Q610" s="179" t="s">
        <v>455</v>
      </c>
      <c r="R610" s="186">
        <v>1.5</v>
      </c>
      <c r="AG610" s="179" t="s">
        <v>2298</v>
      </c>
    </row>
    <row r="611" spans="1:33" hidden="1">
      <c r="A611" s="237">
        <f t="shared" si="33"/>
        <v>440</v>
      </c>
      <c r="B611" s="179" t="s">
        <v>1510</v>
      </c>
      <c r="C611" s="8">
        <v>66</v>
      </c>
      <c r="D611" s="1" t="s">
        <v>884</v>
      </c>
      <c r="E611"/>
      <c r="I611"/>
      <c r="J611" s="4"/>
      <c r="K611" s="5" t="s">
        <v>1615</v>
      </c>
      <c r="R611" s="183" t="s">
        <v>1615</v>
      </c>
      <c r="AG611" s="179" t="s">
        <v>2298</v>
      </c>
    </row>
    <row r="612" spans="1:33" hidden="1">
      <c r="A612" s="237">
        <f t="shared" si="33"/>
        <v>441</v>
      </c>
      <c r="B612" s="179" t="s">
        <v>1511</v>
      </c>
      <c r="C612"/>
      <c r="D612" s="1" t="s">
        <v>884</v>
      </c>
      <c r="E612"/>
      <c r="H612" s="179" t="s">
        <v>1512</v>
      </c>
      <c r="I612"/>
      <c r="J612" s="4"/>
      <c r="K612" s="8" t="e">
        <f>SUM(K608:K610)</f>
        <v>#REF!</v>
      </c>
      <c r="O612" s="179" t="s">
        <v>1785</v>
      </c>
      <c r="R612" s="186" t="e">
        <f>SUM(R600:R610)</f>
        <v>#REF!</v>
      </c>
      <c r="AG612" s="179" t="s">
        <v>326</v>
      </c>
    </row>
    <row r="613" spans="1:33" hidden="1">
      <c r="A613" s="237">
        <f t="shared" si="33"/>
        <v>442</v>
      </c>
      <c r="B613" s="179" t="s">
        <v>439</v>
      </c>
      <c r="C613" s="8">
        <v>149.16</v>
      </c>
      <c r="D613" s="1" t="s">
        <v>884</v>
      </c>
      <c r="E613"/>
      <c r="I613"/>
      <c r="J613" s="4"/>
      <c r="K613" s="5" t="s">
        <v>1615</v>
      </c>
      <c r="R613" s="183" t="s">
        <v>1615</v>
      </c>
    </row>
    <row r="614" spans="1:33" hidden="1">
      <c r="A614" s="237">
        <f t="shared" si="33"/>
        <v>443</v>
      </c>
      <c r="B614" s="179" t="s">
        <v>440</v>
      </c>
      <c r="C614" s="8">
        <v>84.92</v>
      </c>
      <c r="D614" s="1" t="s">
        <v>884</v>
      </c>
      <c r="E614"/>
      <c r="H614" s="179" t="s">
        <v>789</v>
      </c>
      <c r="I614"/>
      <c r="J614" s="4"/>
      <c r="K614" s="8" t="e">
        <f>ROUND(K612*100,0)</f>
        <v>#REF!</v>
      </c>
      <c r="N614" s="179" t="s">
        <v>2290</v>
      </c>
      <c r="O614" s="179" t="s">
        <v>441</v>
      </c>
    </row>
    <row r="615" spans="1:33" hidden="1">
      <c r="C615"/>
      <c r="D615"/>
      <c r="E615"/>
      <c r="F615" s="179" t="s">
        <v>992</v>
      </c>
      <c r="I615"/>
      <c r="J615" s="4"/>
      <c r="K615"/>
    </row>
    <row r="616" spans="1:33" hidden="1">
      <c r="A616" s="237">
        <f>(A614+1)</f>
        <v>444</v>
      </c>
      <c r="B616" s="179" t="s">
        <v>1120</v>
      </c>
      <c r="C616"/>
      <c r="D616" s="1" t="s">
        <v>884</v>
      </c>
      <c r="E616"/>
      <c r="I616"/>
      <c r="J616" s="4"/>
      <c r="K616" s="5" t="s">
        <v>2091</v>
      </c>
      <c r="O616" s="179" t="s">
        <v>1121</v>
      </c>
      <c r="AG616" s="179" t="s">
        <v>2298</v>
      </c>
    </row>
    <row r="617" spans="1:33" hidden="1">
      <c r="A617" s="237">
        <f t="shared" ref="A617:A648" si="35">(A616+1)</f>
        <v>445</v>
      </c>
      <c r="B617" s="179" t="s">
        <v>1008</v>
      </c>
      <c r="C617" s="8">
        <v>195.36</v>
      </c>
      <c r="D617" s="1" t="s">
        <v>884</v>
      </c>
      <c r="E617"/>
      <c r="G617" s="185" t="s">
        <v>687</v>
      </c>
      <c r="H617" s="179" t="s">
        <v>1009</v>
      </c>
      <c r="I617"/>
      <c r="J617" s="4"/>
      <c r="K617"/>
      <c r="O617" s="183" t="s">
        <v>1615</v>
      </c>
      <c r="AG617" s="179" t="s">
        <v>2298</v>
      </c>
    </row>
    <row r="618" spans="1:33" hidden="1">
      <c r="A618" s="237">
        <f t="shared" si="35"/>
        <v>446</v>
      </c>
      <c r="B618" s="179" t="s">
        <v>1683</v>
      </c>
      <c r="C618" s="8">
        <v>137.28</v>
      </c>
      <c r="D618" s="1" t="s">
        <v>884</v>
      </c>
      <c r="E618"/>
      <c r="H618" s="179" t="s">
        <v>1684</v>
      </c>
      <c r="I618"/>
      <c r="J618" s="4"/>
      <c r="K618"/>
      <c r="M618" s="186">
        <v>3</v>
      </c>
      <c r="N618" s="179" t="s">
        <v>885</v>
      </c>
      <c r="O618" s="179" t="s">
        <v>1685</v>
      </c>
      <c r="P618" s="186">
        <f>(C61*2)</f>
        <v>50</v>
      </c>
      <c r="Q618" s="179" t="s">
        <v>885</v>
      </c>
      <c r="R618" s="186">
        <f>(M618*P618)</f>
        <v>150</v>
      </c>
      <c r="AG618" s="179" t="s">
        <v>2298</v>
      </c>
    </row>
    <row r="619" spans="1:33" hidden="1">
      <c r="A619" s="237">
        <f t="shared" si="35"/>
        <v>447</v>
      </c>
      <c r="B619" s="179" t="s">
        <v>634</v>
      </c>
      <c r="C619"/>
      <c r="D619" s="1" t="s">
        <v>884</v>
      </c>
      <c r="E619"/>
      <c r="H619" s="183" t="s">
        <v>1615</v>
      </c>
      <c r="I619"/>
      <c r="J619" s="4"/>
      <c r="K619"/>
      <c r="M619" s="186">
        <v>2.4</v>
      </c>
      <c r="N619" s="179" t="s">
        <v>885</v>
      </c>
      <c r="O619" s="179" t="s">
        <v>1664</v>
      </c>
      <c r="P619" s="186" t="e">
        <f>(C81)</f>
        <v>#REF!</v>
      </c>
      <c r="Q619" s="179" t="s">
        <v>885</v>
      </c>
      <c r="R619" s="186" t="e">
        <f>(M619*P619)</f>
        <v>#REF!</v>
      </c>
      <c r="AG619" s="179" t="s">
        <v>2298</v>
      </c>
    </row>
    <row r="620" spans="1:33" hidden="1">
      <c r="A620" s="237">
        <f t="shared" si="35"/>
        <v>448</v>
      </c>
      <c r="B620" s="179" t="s">
        <v>1462</v>
      </c>
      <c r="C620" s="8">
        <v>97.68</v>
      </c>
      <c r="D620" s="1" t="s">
        <v>884</v>
      </c>
      <c r="E620"/>
      <c r="F620" s="242">
        <v>1.4E-2</v>
      </c>
      <c r="G620" s="185" t="s">
        <v>885</v>
      </c>
      <c r="H620" s="179" t="s">
        <v>1349</v>
      </c>
      <c r="I620" s="8" t="e">
        <f>(K614)</f>
        <v>#REF!</v>
      </c>
      <c r="J620" s="2" t="s">
        <v>885</v>
      </c>
      <c r="K620" s="8" t="e">
        <f>(F620*I620)</f>
        <v>#REF!</v>
      </c>
      <c r="M620" s="186">
        <v>5</v>
      </c>
      <c r="N620" s="179" t="s">
        <v>884</v>
      </c>
      <c r="O620" s="179" t="s">
        <v>619</v>
      </c>
      <c r="P620" s="186">
        <f>(C203)</f>
        <v>40</v>
      </c>
      <c r="Q620" s="179" t="s">
        <v>884</v>
      </c>
      <c r="R620" s="186">
        <f>(M620*P620)</f>
        <v>200</v>
      </c>
      <c r="AG620" s="179" t="s">
        <v>2298</v>
      </c>
    </row>
    <row r="621" spans="1:33" hidden="1">
      <c r="A621" s="237">
        <f t="shared" si="35"/>
        <v>449</v>
      </c>
      <c r="B621" s="179" t="s">
        <v>1807</v>
      </c>
      <c r="C621" s="8">
        <v>54.12</v>
      </c>
      <c r="D621" s="1" t="s">
        <v>884</v>
      </c>
      <c r="E621"/>
      <c r="F621" s="242"/>
      <c r="H621" s="179" t="s">
        <v>1808</v>
      </c>
      <c r="I621"/>
      <c r="J621" s="4"/>
      <c r="K621" s="1" t="s">
        <v>992</v>
      </c>
      <c r="O621" s="179" t="s">
        <v>456</v>
      </c>
      <c r="Q621" s="179" t="s">
        <v>455</v>
      </c>
      <c r="R621" s="186">
        <v>0.08</v>
      </c>
      <c r="AG621" s="179" t="s">
        <v>2298</v>
      </c>
    </row>
    <row r="622" spans="1:33" hidden="1">
      <c r="A622" s="237">
        <f t="shared" si="35"/>
        <v>450</v>
      </c>
      <c r="B622" s="179" t="s">
        <v>1809</v>
      </c>
      <c r="C622"/>
      <c r="D622" s="1" t="s">
        <v>884</v>
      </c>
      <c r="E622"/>
      <c r="F622" s="186">
        <v>0.5</v>
      </c>
      <c r="G622" s="185" t="s">
        <v>785</v>
      </c>
      <c r="H622" s="179" t="s">
        <v>2045</v>
      </c>
      <c r="I622" s="8">
        <f>(C10)</f>
        <v>150</v>
      </c>
      <c r="J622" s="2" t="s">
        <v>785</v>
      </c>
      <c r="K622" s="8">
        <f>(F622*I622)</f>
        <v>75</v>
      </c>
      <c r="R622" s="183" t="s">
        <v>1615</v>
      </c>
      <c r="S622" s="179" t="s">
        <v>992</v>
      </c>
      <c r="AG622" s="179" t="s">
        <v>2298</v>
      </c>
    </row>
    <row r="623" spans="1:33" hidden="1">
      <c r="A623" s="237">
        <f t="shared" si="35"/>
        <v>451</v>
      </c>
      <c r="B623" s="179" t="s">
        <v>1665</v>
      </c>
      <c r="C623" s="8">
        <v>110</v>
      </c>
      <c r="D623" s="1" t="s">
        <v>884</v>
      </c>
      <c r="E623"/>
      <c r="F623" s="186">
        <v>0.75</v>
      </c>
      <c r="G623" s="185" t="s">
        <v>785</v>
      </c>
      <c r="H623" s="179" t="s">
        <v>1937</v>
      </c>
      <c r="I623" s="8">
        <f>(C12)</f>
        <v>95</v>
      </c>
      <c r="J623" s="2" t="s">
        <v>785</v>
      </c>
      <c r="K623" s="8">
        <f>(F623*I623)</f>
        <v>71.25</v>
      </c>
      <c r="O623" s="179" t="s">
        <v>1785</v>
      </c>
      <c r="R623" s="186" t="e">
        <f>SUM(R618:R621)</f>
        <v>#REF!</v>
      </c>
      <c r="AG623" s="179" t="s">
        <v>2298</v>
      </c>
    </row>
    <row r="624" spans="1:33" hidden="1">
      <c r="A624" s="237">
        <f t="shared" si="35"/>
        <v>452</v>
      </c>
      <c r="B624" s="179" t="s">
        <v>1666</v>
      </c>
      <c r="C624" s="8">
        <v>70</v>
      </c>
      <c r="D624" s="1" t="s">
        <v>884</v>
      </c>
      <c r="E624"/>
      <c r="G624" s="185" t="s">
        <v>455</v>
      </c>
      <c r="H624" s="179" t="s">
        <v>456</v>
      </c>
      <c r="I624"/>
      <c r="J624" s="2" t="s">
        <v>455</v>
      </c>
      <c r="K624" s="8">
        <v>0</v>
      </c>
      <c r="R624" s="183" t="s">
        <v>1615</v>
      </c>
      <c r="AG624" s="179" t="s">
        <v>2298</v>
      </c>
    </row>
    <row r="625" spans="1:33" hidden="1">
      <c r="A625" s="237">
        <f t="shared" si="35"/>
        <v>453</v>
      </c>
      <c r="B625" s="179" t="s">
        <v>1667</v>
      </c>
      <c r="C625"/>
      <c r="D625" s="1" t="s">
        <v>884</v>
      </c>
      <c r="E625"/>
      <c r="I625"/>
      <c r="J625" s="4"/>
      <c r="K625" s="5" t="s">
        <v>1615</v>
      </c>
      <c r="AG625" s="179" t="s">
        <v>2298</v>
      </c>
    </row>
    <row r="626" spans="1:33" hidden="1">
      <c r="A626" s="237">
        <f t="shared" si="35"/>
        <v>454</v>
      </c>
      <c r="B626" s="179" t="s">
        <v>103</v>
      </c>
      <c r="C626" s="8">
        <v>12</v>
      </c>
      <c r="D626" s="1" t="s">
        <v>884</v>
      </c>
      <c r="E626"/>
      <c r="H626" s="179" t="s">
        <v>104</v>
      </c>
      <c r="I626"/>
      <c r="J626" s="4"/>
      <c r="K626" s="8" t="e">
        <f>SUM(K620:K624)</f>
        <v>#REF!</v>
      </c>
      <c r="N626" s="179" t="s">
        <v>2290</v>
      </c>
      <c r="O626" s="179" t="s">
        <v>63</v>
      </c>
      <c r="AG626" s="179" t="s">
        <v>2298</v>
      </c>
    </row>
    <row r="627" spans="1:33" hidden="1">
      <c r="A627" s="237">
        <f t="shared" si="35"/>
        <v>455</v>
      </c>
      <c r="B627" s="179" t="s">
        <v>1996</v>
      </c>
      <c r="C627" s="8">
        <v>7.5</v>
      </c>
      <c r="D627" s="1" t="s">
        <v>884</v>
      </c>
      <c r="E627"/>
      <c r="I627"/>
      <c r="J627" s="4"/>
      <c r="K627" s="5" t="s">
        <v>1615</v>
      </c>
      <c r="O627" s="179" t="s">
        <v>1997</v>
      </c>
      <c r="AG627" s="179" t="s">
        <v>2298</v>
      </c>
    </row>
    <row r="628" spans="1:33" hidden="1">
      <c r="A628" s="237">
        <f t="shared" si="35"/>
        <v>456</v>
      </c>
      <c r="B628" s="179" t="s">
        <v>1998</v>
      </c>
      <c r="C628"/>
      <c r="D628" s="1" t="s">
        <v>884</v>
      </c>
      <c r="E628"/>
      <c r="H628" s="179" t="s">
        <v>562</v>
      </c>
      <c r="I628"/>
      <c r="J628" s="4"/>
      <c r="K628" s="8" t="e">
        <f>(K626/0.372)</f>
        <v>#REF!</v>
      </c>
      <c r="O628" s="179" t="s">
        <v>1999</v>
      </c>
      <c r="AG628" s="179" t="s">
        <v>2298</v>
      </c>
    </row>
    <row r="629" spans="1:33" hidden="1">
      <c r="A629" s="237">
        <f t="shared" si="35"/>
        <v>457</v>
      </c>
      <c r="B629" s="179" t="s">
        <v>2000</v>
      </c>
      <c r="C629" s="8">
        <v>155.32</v>
      </c>
      <c r="D629" s="1" t="s">
        <v>884</v>
      </c>
      <c r="E629"/>
      <c r="I629"/>
      <c r="J629" s="4"/>
      <c r="K629" s="5" t="s">
        <v>2091</v>
      </c>
      <c r="O629" s="183" t="s">
        <v>1615</v>
      </c>
      <c r="AG629" s="179" t="s">
        <v>2298</v>
      </c>
    </row>
    <row r="630" spans="1:33" hidden="1">
      <c r="A630" s="237">
        <f t="shared" si="35"/>
        <v>458</v>
      </c>
      <c r="B630" s="179" t="s">
        <v>1801</v>
      </c>
      <c r="C630" s="8">
        <v>91.08</v>
      </c>
      <c r="D630" s="1" t="s">
        <v>884</v>
      </c>
      <c r="E630"/>
      <c r="H630" s="179" t="s">
        <v>391</v>
      </c>
      <c r="I630"/>
      <c r="J630" s="4"/>
      <c r="K630" s="8" t="e">
        <f>(K628+C22*0.014/0.372)</f>
        <v>#REF!</v>
      </c>
      <c r="M630" s="186">
        <v>9.5</v>
      </c>
      <c r="N630" s="179" t="s">
        <v>885</v>
      </c>
      <c r="O630" s="179" t="s">
        <v>1685</v>
      </c>
      <c r="P630" s="186">
        <f>(C61*2)</f>
        <v>50</v>
      </c>
      <c r="Q630" s="179" t="s">
        <v>885</v>
      </c>
      <c r="R630" s="186">
        <f t="shared" ref="R630:R638" si="36">(M630*P630)</f>
        <v>475</v>
      </c>
      <c r="AG630" s="179" t="s">
        <v>2298</v>
      </c>
    </row>
    <row r="631" spans="1:33" hidden="1">
      <c r="A631" s="237">
        <f t="shared" si="35"/>
        <v>459</v>
      </c>
      <c r="B631" s="179" t="s">
        <v>2990</v>
      </c>
      <c r="C631" s="8">
        <v>30</v>
      </c>
      <c r="D631" s="1" t="s">
        <v>1676</v>
      </c>
      <c r="E631"/>
      <c r="H631" s="179" t="s">
        <v>393</v>
      </c>
      <c r="I631"/>
      <c r="J631" s="4"/>
      <c r="K631" s="8" t="e">
        <f>(K630+C23*0.014/0.372)</f>
        <v>#REF!</v>
      </c>
      <c r="M631" s="186">
        <v>0.47</v>
      </c>
      <c r="N631" s="179" t="s">
        <v>885</v>
      </c>
      <c r="O631" s="179" t="s">
        <v>347</v>
      </c>
      <c r="P631" s="186" t="e">
        <f>(R74)</f>
        <v>#REF!</v>
      </c>
      <c r="Q631" s="179" t="s">
        <v>885</v>
      </c>
      <c r="R631" s="186" t="e">
        <f t="shared" si="36"/>
        <v>#REF!</v>
      </c>
      <c r="AG631" s="179" t="s">
        <v>2298</v>
      </c>
    </row>
    <row r="632" spans="1:33" hidden="1">
      <c r="A632" s="237">
        <f t="shared" si="35"/>
        <v>460</v>
      </c>
      <c r="B632" s="179" t="s">
        <v>1877</v>
      </c>
      <c r="C632" s="8">
        <v>0.3</v>
      </c>
      <c r="D632" s="1" t="s">
        <v>884</v>
      </c>
      <c r="E632"/>
      <c r="H632" s="179" t="s">
        <v>2271</v>
      </c>
      <c r="I632"/>
      <c r="J632" s="4"/>
      <c r="K632" s="8" t="e">
        <f>(K631+C24*0.014/0.372)</f>
        <v>#REF!</v>
      </c>
      <c r="M632" s="186">
        <v>1.62</v>
      </c>
      <c r="N632" s="179" t="s">
        <v>885</v>
      </c>
      <c r="O632" s="179" t="s">
        <v>2012</v>
      </c>
      <c r="P632" s="186" t="e">
        <f>(R89)</f>
        <v>#REF!</v>
      </c>
      <c r="Q632" s="179" t="s">
        <v>885</v>
      </c>
      <c r="R632" s="186" t="e">
        <f t="shared" si="36"/>
        <v>#REF!</v>
      </c>
      <c r="AG632" s="179" t="s">
        <v>2298</v>
      </c>
    </row>
    <row r="633" spans="1:33" hidden="1">
      <c r="A633" s="237">
        <f t="shared" si="35"/>
        <v>461</v>
      </c>
      <c r="B633" s="179" t="s">
        <v>2991</v>
      </c>
      <c r="C633" s="8">
        <v>99</v>
      </c>
      <c r="D633" s="1" t="s">
        <v>621</v>
      </c>
      <c r="E633"/>
      <c r="H633" s="179" t="s">
        <v>385</v>
      </c>
      <c r="I633"/>
      <c r="J633" s="4"/>
      <c r="K633" s="8" t="e">
        <f>(K632+C24*0.014/0.372)</f>
        <v>#REF!</v>
      </c>
      <c r="M633" s="186">
        <v>15.22</v>
      </c>
      <c r="N633" s="179" t="s">
        <v>621</v>
      </c>
      <c r="O633" s="179" t="s">
        <v>2173</v>
      </c>
      <c r="P633" s="186" t="e">
        <f>(R303)</f>
        <v>#REF!</v>
      </c>
      <c r="Q633" s="179" t="s">
        <v>621</v>
      </c>
      <c r="R633" s="186" t="e">
        <f t="shared" si="36"/>
        <v>#REF!</v>
      </c>
      <c r="AG633" s="179" t="s">
        <v>2298</v>
      </c>
    </row>
    <row r="634" spans="1:33" hidden="1">
      <c r="A634" s="237">
        <f t="shared" si="35"/>
        <v>462</v>
      </c>
      <c r="B634" s="179" t="s">
        <v>2054</v>
      </c>
      <c r="C634" s="8">
        <v>97.31</v>
      </c>
      <c r="D634" s="1" t="s">
        <v>621</v>
      </c>
      <c r="E634"/>
      <c r="H634" s="179" t="s">
        <v>1388</v>
      </c>
      <c r="I634"/>
      <c r="J634" s="4"/>
      <c r="K634" s="8" t="e">
        <f>(K633+C25*0.014/0.372)</f>
        <v>#REF!</v>
      </c>
      <c r="M634" s="186">
        <v>0.18</v>
      </c>
      <c r="N634" s="179" t="s">
        <v>885</v>
      </c>
      <c r="O634" s="179" t="s">
        <v>1357</v>
      </c>
      <c r="P634" s="186" t="e">
        <f>(K279)</f>
        <v>#REF!</v>
      </c>
      <c r="Q634" s="179" t="s">
        <v>885</v>
      </c>
      <c r="R634" s="186" t="e">
        <f t="shared" si="36"/>
        <v>#REF!</v>
      </c>
      <c r="AG634" s="179" t="s">
        <v>2298</v>
      </c>
    </row>
    <row r="635" spans="1:33" hidden="1">
      <c r="A635" s="237">
        <f t="shared" si="35"/>
        <v>463</v>
      </c>
      <c r="B635" s="179" t="s">
        <v>2992</v>
      </c>
      <c r="C635" s="8">
        <v>105.28</v>
      </c>
      <c r="D635" s="1" t="s">
        <v>1174</v>
      </c>
      <c r="E635"/>
      <c r="F635" s="233" t="s">
        <v>1358</v>
      </c>
      <c r="H635" s="179" t="s">
        <v>775</v>
      </c>
      <c r="I635"/>
      <c r="J635" s="4"/>
      <c r="K635"/>
      <c r="M635" s="186">
        <v>0.36</v>
      </c>
      <c r="N635" s="179" t="s">
        <v>621</v>
      </c>
      <c r="O635" s="179" t="s">
        <v>776</v>
      </c>
      <c r="P635" s="186" t="e">
        <f>(K466)</f>
        <v>#REF!</v>
      </c>
      <c r="Q635" s="179" t="s">
        <v>621</v>
      </c>
      <c r="R635" s="186" t="e">
        <f t="shared" si="36"/>
        <v>#REF!</v>
      </c>
      <c r="AG635" s="179" t="s">
        <v>2298</v>
      </c>
    </row>
    <row r="636" spans="1:33" hidden="1">
      <c r="A636" s="237">
        <f t="shared" si="35"/>
        <v>464</v>
      </c>
      <c r="B636" s="179" t="s">
        <v>2993</v>
      </c>
      <c r="C636" s="8">
        <v>106.75</v>
      </c>
      <c r="D636" s="1" t="s">
        <v>1174</v>
      </c>
      <c r="E636"/>
      <c r="H636" s="179" t="s">
        <v>1434</v>
      </c>
      <c r="I636"/>
      <c r="J636" s="4"/>
      <c r="K636"/>
      <c r="M636" s="186">
        <v>1</v>
      </c>
      <c r="N636" s="179" t="s">
        <v>884</v>
      </c>
      <c r="O636" s="179" t="s">
        <v>1186</v>
      </c>
      <c r="P636" s="186">
        <f>(C202)</f>
        <v>75</v>
      </c>
      <c r="Q636" s="179" t="s">
        <v>884</v>
      </c>
      <c r="R636" s="186">
        <f t="shared" si="36"/>
        <v>75</v>
      </c>
      <c r="AG636" s="179" t="s">
        <v>2298</v>
      </c>
    </row>
    <row r="637" spans="1:33" hidden="1">
      <c r="A637" s="237">
        <f t="shared" si="35"/>
        <v>465</v>
      </c>
      <c r="B637" s="179" t="s">
        <v>1187</v>
      </c>
      <c r="C637" s="8">
        <v>1</v>
      </c>
      <c r="D637" s="1" t="s">
        <v>884</v>
      </c>
      <c r="E637" t="s">
        <v>150</v>
      </c>
      <c r="H637" s="179" t="s">
        <v>339</v>
      </c>
      <c r="I637"/>
      <c r="J637" s="4"/>
      <c r="K637"/>
      <c r="M637" s="186">
        <v>1.8</v>
      </c>
      <c r="N637" s="179" t="s">
        <v>340</v>
      </c>
      <c r="O637" s="179" t="s">
        <v>341</v>
      </c>
      <c r="P637" s="186">
        <f>(C324)</f>
        <v>14.91</v>
      </c>
      <c r="Q637" s="179" t="s">
        <v>340</v>
      </c>
      <c r="R637" s="186">
        <f t="shared" si="36"/>
        <v>26.84</v>
      </c>
      <c r="AG637" s="179" t="s">
        <v>2298</v>
      </c>
    </row>
    <row r="638" spans="1:33" hidden="1">
      <c r="A638" s="237">
        <f t="shared" si="35"/>
        <v>466</v>
      </c>
      <c r="B638" s="179" t="s">
        <v>2994</v>
      </c>
      <c r="C638" s="8">
        <v>37</v>
      </c>
      <c r="D638" s="1" t="s">
        <v>1676</v>
      </c>
      <c r="E638"/>
      <c r="H638" s="179" t="s">
        <v>1529</v>
      </c>
      <c r="I638"/>
      <c r="J638" s="4"/>
      <c r="K638"/>
      <c r="M638" s="186">
        <v>1</v>
      </c>
      <c r="N638" s="179" t="s">
        <v>884</v>
      </c>
      <c r="O638" s="179" t="s">
        <v>1948</v>
      </c>
      <c r="P638" s="186">
        <f>(C370)</f>
        <v>13.29</v>
      </c>
      <c r="Q638" s="179" t="s">
        <v>884</v>
      </c>
      <c r="R638" s="186">
        <f t="shared" si="36"/>
        <v>13.29</v>
      </c>
      <c r="AG638" s="179" t="s">
        <v>2298</v>
      </c>
    </row>
    <row r="639" spans="1:33" hidden="1">
      <c r="A639" s="237">
        <f t="shared" si="35"/>
        <v>467</v>
      </c>
      <c r="B639" s="255" t="s">
        <v>1949</v>
      </c>
      <c r="C639" s="8">
        <v>3</v>
      </c>
      <c r="D639" s="1" t="s">
        <v>1805</v>
      </c>
      <c r="E639">
        <v>5</v>
      </c>
      <c r="H639" s="179" t="s">
        <v>172</v>
      </c>
      <c r="I639"/>
      <c r="J639" s="4"/>
      <c r="K639"/>
      <c r="N639" s="179" t="s">
        <v>455</v>
      </c>
      <c r="O639" s="179" t="s">
        <v>345</v>
      </c>
      <c r="Q639" s="179" t="s">
        <v>455</v>
      </c>
      <c r="R639" s="186">
        <v>1.6</v>
      </c>
      <c r="AG639" s="179" t="s">
        <v>2298</v>
      </c>
    </row>
    <row r="640" spans="1:33" hidden="1">
      <c r="A640" s="237">
        <f t="shared" si="35"/>
        <v>468</v>
      </c>
      <c r="B640" s="255" t="s">
        <v>173</v>
      </c>
      <c r="C640" s="8">
        <v>2.2000000000000002</v>
      </c>
      <c r="D640" s="1" t="s">
        <v>1805</v>
      </c>
      <c r="E640"/>
      <c r="H640" s="179" t="s">
        <v>174</v>
      </c>
      <c r="I640"/>
      <c r="J640" s="4"/>
      <c r="K640"/>
      <c r="R640" s="179" t="s">
        <v>992</v>
      </c>
      <c r="AG640" s="179" t="s">
        <v>2298</v>
      </c>
    </row>
    <row r="641" spans="1:33" hidden="1">
      <c r="A641" s="237">
        <f t="shared" si="35"/>
        <v>469</v>
      </c>
      <c r="B641" s="179" t="s">
        <v>2995</v>
      </c>
      <c r="C641" s="8">
        <v>2.2000000000000002</v>
      </c>
      <c r="D641" s="1">
        <v>2.7</v>
      </c>
      <c r="E641">
        <v>2</v>
      </c>
      <c r="H641" s="179" t="s">
        <v>175</v>
      </c>
      <c r="I641"/>
      <c r="J641" s="4"/>
      <c r="K641"/>
      <c r="R641" s="183" t="s">
        <v>1615</v>
      </c>
      <c r="AG641" s="179" t="s">
        <v>2298</v>
      </c>
    </row>
    <row r="642" spans="1:33" hidden="1">
      <c r="A642" s="237">
        <f t="shared" si="35"/>
        <v>470</v>
      </c>
      <c r="B642" s="179" t="s">
        <v>176</v>
      </c>
      <c r="C642" s="8">
        <v>3.2</v>
      </c>
      <c r="D642" s="8">
        <v>3.2</v>
      </c>
      <c r="E642"/>
      <c r="H642" s="183" t="s">
        <v>1615</v>
      </c>
      <c r="I642" s="5" t="s">
        <v>1615</v>
      </c>
      <c r="J642" s="4"/>
      <c r="K642"/>
      <c r="O642" s="179" t="s">
        <v>1785</v>
      </c>
      <c r="R642" s="186" t="e">
        <f>SUM(R630:R640)</f>
        <v>#REF!</v>
      </c>
      <c r="AG642" s="179" t="s">
        <v>2298</v>
      </c>
    </row>
    <row r="643" spans="1:33" hidden="1">
      <c r="A643" s="237">
        <f t="shared" si="35"/>
        <v>471</v>
      </c>
      <c r="B643" s="179" t="s">
        <v>177</v>
      </c>
      <c r="C643" s="8">
        <v>4</v>
      </c>
      <c r="D643" s="1" t="s">
        <v>455</v>
      </c>
      <c r="E643"/>
      <c r="F643" s="186">
        <v>1</v>
      </c>
      <c r="G643" s="185" t="s">
        <v>621</v>
      </c>
      <c r="H643" s="179" t="s">
        <v>178</v>
      </c>
      <c r="I643" s="8">
        <f>D76</f>
        <v>240</v>
      </c>
      <c r="J643" s="2" t="s">
        <v>621</v>
      </c>
      <c r="K643" s="8">
        <f>(F643*I643)</f>
        <v>240</v>
      </c>
      <c r="R643" s="183" t="s">
        <v>1615</v>
      </c>
      <c r="AG643" s="179" t="s">
        <v>2298</v>
      </c>
    </row>
    <row r="644" spans="1:33" hidden="1">
      <c r="A644" s="237">
        <f t="shared" si="35"/>
        <v>472</v>
      </c>
      <c r="B644" s="179" t="s">
        <v>423</v>
      </c>
      <c r="C644" s="8">
        <v>5</v>
      </c>
      <c r="D644" s="1" t="s">
        <v>455</v>
      </c>
      <c r="E644"/>
      <c r="F644" s="186">
        <v>1</v>
      </c>
      <c r="G644" s="185" t="s">
        <v>621</v>
      </c>
      <c r="H644" s="179" t="s">
        <v>1463</v>
      </c>
      <c r="I644" s="8">
        <f>C75</f>
        <v>20</v>
      </c>
      <c r="J644" s="2" t="s">
        <v>621</v>
      </c>
      <c r="K644" s="8">
        <f>(F644*I644)</f>
        <v>20</v>
      </c>
      <c r="O644" s="179" t="s">
        <v>1464</v>
      </c>
      <c r="AG644" s="179" t="s">
        <v>2298</v>
      </c>
    </row>
    <row r="645" spans="1:33" hidden="1">
      <c r="A645" s="237">
        <f t="shared" si="35"/>
        <v>473</v>
      </c>
      <c r="B645" s="179" t="s">
        <v>1627</v>
      </c>
      <c r="C645" s="8">
        <v>96</v>
      </c>
      <c r="D645" s="1" t="s">
        <v>884</v>
      </c>
      <c r="E645"/>
      <c r="F645" s="186">
        <v>1</v>
      </c>
      <c r="G645" s="185" t="s">
        <v>455</v>
      </c>
      <c r="H645" s="179" t="s">
        <v>1628</v>
      </c>
      <c r="I645" s="8">
        <v>15</v>
      </c>
      <c r="J645" s="2" t="s">
        <v>455</v>
      </c>
      <c r="K645" s="8">
        <f>(F645*I645)</f>
        <v>15</v>
      </c>
      <c r="N645" s="179" t="s">
        <v>2290</v>
      </c>
      <c r="O645" s="179" t="s">
        <v>1629</v>
      </c>
      <c r="AG645" s="179" t="s">
        <v>2298</v>
      </c>
    </row>
    <row r="646" spans="1:33" hidden="1">
      <c r="A646" s="237">
        <f t="shared" si="35"/>
        <v>474</v>
      </c>
      <c r="B646" s="179" t="s">
        <v>1630</v>
      </c>
      <c r="C646" s="8">
        <v>75</v>
      </c>
      <c r="D646" s="1" t="s">
        <v>884</v>
      </c>
      <c r="E646"/>
      <c r="I646"/>
      <c r="J646" s="4"/>
      <c r="K646" s="5" t="s">
        <v>1615</v>
      </c>
      <c r="O646" s="179" t="s">
        <v>1631</v>
      </c>
      <c r="AG646" s="179" t="s">
        <v>2298</v>
      </c>
    </row>
    <row r="647" spans="1:33" hidden="1">
      <c r="A647" s="237">
        <f t="shared" si="35"/>
        <v>475</v>
      </c>
      <c r="B647" s="179" t="s">
        <v>1632</v>
      </c>
      <c r="C647" s="8">
        <v>6.4</v>
      </c>
      <c r="D647" s="8">
        <v>12.65</v>
      </c>
      <c r="E647">
        <v>3</v>
      </c>
      <c r="H647" s="179" t="s">
        <v>562</v>
      </c>
      <c r="I647"/>
      <c r="J647" s="4"/>
      <c r="K647" s="8">
        <f>SUM(K641:K645)</f>
        <v>275</v>
      </c>
      <c r="O647" s="183" t="s">
        <v>1615</v>
      </c>
      <c r="AG647" s="179" t="s">
        <v>2298</v>
      </c>
    </row>
    <row r="648" spans="1:33" hidden="1">
      <c r="A648" s="237">
        <f t="shared" si="35"/>
        <v>476</v>
      </c>
      <c r="B648" s="179" t="s">
        <v>1609</v>
      </c>
      <c r="C648" s="8">
        <v>80</v>
      </c>
      <c r="D648" s="1" t="s">
        <v>884</v>
      </c>
      <c r="E648"/>
      <c r="H648" s="179" t="s">
        <v>1610</v>
      </c>
      <c r="I648"/>
      <c r="J648" s="4"/>
      <c r="K648" s="5" t="s">
        <v>2091</v>
      </c>
      <c r="M648" s="186">
        <v>1</v>
      </c>
      <c r="N648" s="179" t="s">
        <v>884</v>
      </c>
      <c r="O648" s="179" t="s">
        <v>1611</v>
      </c>
      <c r="P648" s="186">
        <f>(C382)</f>
        <v>14.91</v>
      </c>
      <c r="Q648" s="179" t="s">
        <v>884</v>
      </c>
      <c r="R648" s="186">
        <f>(M648*P648)</f>
        <v>14.91</v>
      </c>
      <c r="AG648" s="179" t="s">
        <v>2298</v>
      </c>
    </row>
    <row r="649" spans="1:33" hidden="1">
      <c r="A649" s="237">
        <f t="shared" ref="A649:A673" si="37">(A648+1)</f>
        <v>477</v>
      </c>
      <c r="B649" s="179" t="s">
        <v>137</v>
      </c>
      <c r="C649" s="8">
        <v>64</v>
      </c>
      <c r="D649" s="1" t="s">
        <v>884</v>
      </c>
      <c r="E649"/>
      <c r="H649" s="179" t="s">
        <v>391</v>
      </c>
      <c r="I649"/>
      <c r="J649" s="4"/>
      <c r="K649" s="8">
        <f>(K647+C19*0.05)</f>
        <v>275.88</v>
      </c>
      <c r="N649" s="179" t="s">
        <v>455</v>
      </c>
      <c r="O649" s="179" t="s">
        <v>138</v>
      </c>
      <c r="Q649" s="179" t="s">
        <v>455</v>
      </c>
      <c r="R649" s="186">
        <v>2.09</v>
      </c>
      <c r="AG649" s="179" t="s">
        <v>2298</v>
      </c>
    </row>
    <row r="650" spans="1:33" hidden="1">
      <c r="A650" s="237">
        <f t="shared" si="37"/>
        <v>478</v>
      </c>
      <c r="B650" s="179" t="s">
        <v>139</v>
      </c>
      <c r="C650" s="8">
        <v>40.5</v>
      </c>
      <c r="D650" s="1" t="s">
        <v>884</v>
      </c>
      <c r="E650"/>
      <c r="H650" s="179" t="s">
        <v>393</v>
      </c>
      <c r="I650"/>
      <c r="J650" s="4"/>
      <c r="K650" s="8">
        <f>(K649+C20*0.05)</f>
        <v>277.64</v>
      </c>
      <c r="O650" s="179" t="s">
        <v>140</v>
      </c>
      <c r="R650" s="179" t="s">
        <v>992</v>
      </c>
      <c r="AG650" s="179" t="s">
        <v>2298</v>
      </c>
    </row>
    <row r="651" spans="1:33" hidden="1">
      <c r="A651" s="237">
        <f t="shared" si="37"/>
        <v>479</v>
      </c>
      <c r="B651" s="179" t="s">
        <v>1487</v>
      </c>
      <c r="C651" s="8">
        <v>92</v>
      </c>
      <c r="D651" s="1" t="s">
        <v>884</v>
      </c>
      <c r="E651"/>
      <c r="H651" s="179" t="s">
        <v>2271</v>
      </c>
      <c r="I651"/>
      <c r="J651" s="4"/>
      <c r="K651" s="8">
        <f>(K650+C21*0.05)</f>
        <v>279.39999999999998</v>
      </c>
      <c r="R651" s="183" t="s">
        <v>1615</v>
      </c>
      <c r="AG651" s="179" t="s">
        <v>2298</v>
      </c>
    </row>
    <row r="652" spans="1:33" hidden="1">
      <c r="A652" s="237">
        <f t="shared" si="37"/>
        <v>480</v>
      </c>
      <c r="B652" s="179" t="s">
        <v>1593</v>
      </c>
      <c r="C652" s="8">
        <v>60</v>
      </c>
      <c r="D652" s="1" t="s">
        <v>884</v>
      </c>
      <c r="E652"/>
      <c r="H652" s="179" t="s">
        <v>385</v>
      </c>
      <c r="I652"/>
      <c r="J652" s="4"/>
      <c r="K652" s="8">
        <f>(K651+C21*0.05)</f>
        <v>281.16000000000003</v>
      </c>
      <c r="O652" s="179" t="s">
        <v>1594</v>
      </c>
      <c r="R652" s="186">
        <f>SUM(R648:R650)</f>
        <v>17</v>
      </c>
      <c r="AG652" s="179" t="s">
        <v>2298</v>
      </c>
    </row>
    <row r="653" spans="1:33" hidden="1">
      <c r="A653" s="237">
        <f t="shared" si="37"/>
        <v>481</v>
      </c>
      <c r="B653" s="179" t="s">
        <v>1387</v>
      </c>
      <c r="C653" s="8">
        <v>49.87</v>
      </c>
      <c r="D653" s="1" t="s">
        <v>884</v>
      </c>
      <c r="E653"/>
      <c r="H653" s="179" t="s">
        <v>1388</v>
      </c>
      <c r="I653"/>
      <c r="J653" s="4"/>
      <c r="K653" s="8">
        <f>(K652+C21*0.05)</f>
        <v>282.92</v>
      </c>
      <c r="R653" s="183" t="s">
        <v>1615</v>
      </c>
      <c r="AG653" s="179" t="s">
        <v>2298</v>
      </c>
    </row>
    <row r="654" spans="1:33" hidden="1">
      <c r="A654" s="237">
        <f t="shared" si="37"/>
        <v>482</v>
      </c>
      <c r="B654" s="179" t="s">
        <v>1849</v>
      </c>
      <c r="C654" s="8">
        <v>80</v>
      </c>
      <c r="D654" s="1" t="s">
        <v>884</v>
      </c>
      <c r="E654"/>
      <c r="F654" s="233" t="s">
        <v>1850</v>
      </c>
      <c r="H654" s="179" t="s">
        <v>775</v>
      </c>
      <c r="I654"/>
      <c r="J654" s="4"/>
      <c r="K654"/>
      <c r="AG654" s="179" t="s">
        <v>2298</v>
      </c>
    </row>
    <row r="655" spans="1:33" hidden="1">
      <c r="A655" s="237">
        <f t="shared" si="37"/>
        <v>483</v>
      </c>
      <c r="B655" s="179" t="s">
        <v>1851</v>
      </c>
      <c r="C655" s="8">
        <v>52</v>
      </c>
      <c r="D655" s="1" t="s">
        <v>884</v>
      </c>
      <c r="E655"/>
      <c r="H655" s="179" t="s">
        <v>1852</v>
      </c>
      <c r="I655"/>
      <c r="J655" s="4"/>
      <c r="K655"/>
      <c r="N655" s="179" t="s">
        <v>2290</v>
      </c>
      <c r="O655" s="179" t="s">
        <v>910</v>
      </c>
      <c r="AG655" s="179" t="s">
        <v>2298</v>
      </c>
    </row>
    <row r="656" spans="1:33" hidden="1">
      <c r="A656" s="237">
        <f t="shared" si="37"/>
        <v>484</v>
      </c>
      <c r="B656" s="179" t="s">
        <v>1204</v>
      </c>
      <c r="C656" s="8">
        <v>39</v>
      </c>
      <c r="D656" s="1" t="s">
        <v>884</v>
      </c>
      <c r="E656"/>
      <c r="H656" s="179" t="s">
        <v>339</v>
      </c>
      <c r="I656"/>
      <c r="J656" s="4"/>
      <c r="K656"/>
      <c r="O656" s="179" t="s">
        <v>1631</v>
      </c>
      <c r="AG656" s="179" t="s">
        <v>2298</v>
      </c>
    </row>
    <row r="657" spans="1:33" hidden="1">
      <c r="A657" s="237">
        <f t="shared" si="37"/>
        <v>485</v>
      </c>
      <c r="B657" s="179" t="s">
        <v>1277</v>
      </c>
      <c r="C657" s="8">
        <v>90</v>
      </c>
      <c r="D657" s="1" t="s">
        <v>884</v>
      </c>
      <c r="E657"/>
      <c r="H657" s="179" t="s">
        <v>1529</v>
      </c>
      <c r="I657"/>
      <c r="J657" s="4"/>
      <c r="K657"/>
      <c r="O657" s="183" t="s">
        <v>1615</v>
      </c>
      <c r="AG657" s="179" t="s">
        <v>2298</v>
      </c>
    </row>
    <row r="658" spans="1:33" hidden="1">
      <c r="A658" s="237">
        <f t="shared" si="37"/>
        <v>486</v>
      </c>
      <c r="B658" s="179" t="s">
        <v>1278</v>
      </c>
      <c r="C658" s="8">
        <v>60</v>
      </c>
      <c r="D658" s="1" t="s">
        <v>884</v>
      </c>
      <c r="E658"/>
      <c r="H658" s="179" t="s">
        <v>172</v>
      </c>
      <c r="I658"/>
      <c r="J658" s="4"/>
      <c r="K658"/>
      <c r="M658" s="186">
        <v>1</v>
      </c>
      <c r="N658" s="179" t="s">
        <v>884</v>
      </c>
      <c r="O658" s="179" t="s">
        <v>1105</v>
      </c>
      <c r="P658" s="186">
        <f>(C383)</f>
        <v>17.579999999999998</v>
      </c>
      <c r="Q658" s="179" t="s">
        <v>884</v>
      </c>
      <c r="R658" s="186">
        <f>(M658*P658)</f>
        <v>17.579999999999998</v>
      </c>
      <c r="AG658" s="179" t="s">
        <v>2298</v>
      </c>
    </row>
    <row r="659" spans="1:33" hidden="1">
      <c r="A659" s="237">
        <f t="shared" si="37"/>
        <v>487</v>
      </c>
      <c r="B659" s="179" t="s">
        <v>1106</v>
      </c>
      <c r="C659" s="8">
        <v>43.5</v>
      </c>
      <c r="D659" s="1" t="s">
        <v>884</v>
      </c>
      <c r="E659"/>
      <c r="H659" s="179" t="s">
        <v>174</v>
      </c>
      <c r="I659"/>
      <c r="J659" s="4"/>
      <c r="K659"/>
      <c r="N659" s="179" t="s">
        <v>455</v>
      </c>
      <c r="O659" s="179" t="s">
        <v>138</v>
      </c>
      <c r="Q659" s="179" t="s">
        <v>455</v>
      </c>
      <c r="R659" s="186">
        <v>2.09</v>
      </c>
      <c r="AG659" s="179" t="s">
        <v>2298</v>
      </c>
    </row>
    <row r="660" spans="1:33" hidden="1">
      <c r="A660" s="237">
        <f t="shared" si="37"/>
        <v>488</v>
      </c>
      <c r="B660" s="179" t="s">
        <v>250</v>
      </c>
      <c r="C660" s="8">
        <v>75</v>
      </c>
      <c r="D660" s="1" t="s">
        <v>884</v>
      </c>
      <c r="E660"/>
      <c r="H660" s="179" t="s">
        <v>2107</v>
      </c>
      <c r="I660"/>
      <c r="J660" s="4"/>
      <c r="K660"/>
      <c r="O660" s="179" t="s">
        <v>140</v>
      </c>
      <c r="R660" s="179" t="s">
        <v>992</v>
      </c>
      <c r="AG660" s="179" t="s">
        <v>2298</v>
      </c>
    </row>
    <row r="661" spans="1:33" hidden="1">
      <c r="A661" s="237">
        <f t="shared" si="37"/>
        <v>489</v>
      </c>
      <c r="B661" s="179" t="s">
        <v>2061</v>
      </c>
      <c r="C661" s="8">
        <v>52</v>
      </c>
      <c r="D661" s="1" t="s">
        <v>884</v>
      </c>
      <c r="E661"/>
      <c r="H661" s="183" t="s">
        <v>1615</v>
      </c>
      <c r="I661" s="5" t="s">
        <v>1615</v>
      </c>
      <c r="J661" s="4"/>
      <c r="K661"/>
      <c r="R661" s="183" t="s">
        <v>1615</v>
      </c>
      <c r="AG661" s="179" t="s">
        <v>2298</v>
      </c>
    </row>
    <row r="662" spans="1:33" hidden="1">
      <c r="A662" s="237">
        <f t="shared" si="37"/>
        <v>490</v>
      </c>
      <c r="B662" s="179" t="s">
        <v>1204</v>
      </c>
      <c r="C662" s="8">
        <v>35.25</v>
      </c>
      <c r="D662" s="1" t="s">
        <v>884</v>
      </c>
      <c r="E662"/>
      <c r="F662" s="186">
        <v>1</v>
      </c>
      <c r="G662" s="185" t="s">
        <v>621</v>
      </c>
      <c r="H662" s="179" t="s">
        <v>942</v>
      </c>
      <c r="I662" s="8">
        <f>C76</f>
        <v>514.62</v>
      </c>
      <c r="J662" s="2" t="s">
        <v>621</v>
      </c>
      <c r="K662" s="8">
        <f>(F662*I662)</f>
        <v>514.62</v>
      </c>
      <c r="O662" s="179" t="s">
        <v>1594</v>
      </c>
      <c r="R662" s="186">
        <f>SUM(R658:R660)</f>
        <v>19.670000000000002</v>
      </c>
      <c r="AG662" s="179" t="s">
        <v>2298</v>
      </c>
    </row>
    <row r="663" spans="1:33" hidden="1">
      <c r="A663" s="237">
        <f t="shared" si="37"/>
        <v>491</v>
      </c>
      <c r="B663" s="179" t="s">
        <v>943</v>
      </c>
      <c r="C663" s="8">
        <v>37.5</v>
      </c>
      <c r="D663" s="1" t="s">
        <v>884</v>
      </c>
      <c r="E663"/>
      <c r="F663" s="186">
        <v>1</v>
      </c>
      <c r="G663" s="185" t="s">
        <v>621</v>
      </c>
      <c r="H663" s="179" t="s">
        <v>1463</v>
      </c>
      <c r="I663" s="8">
        <f>C75</f>
        <v>20</v>
      </c>
      <c r="J663" s="2" t="s">
        <v>621</v>
      </c>
      <c r="K663" s="8">
        <f>(F663*I663)</f>
        <v>20</v>
      </c>
      <c r="R663" s="183" t="s">
        <v>1615</v>
      </c>
      <c r="AG663" s="179" t="s">
        <v>2298</v>
      </c>
    </row>
    <row r="664" spans="1:33" hidden="1">
      <c r="A664" s="237">
        <f t="shared" si="37"/>
        <v>492</v>
      </c>
      <c r="B664" s="179" t="s">
        <v>944</v>
      </c>
      <c r="C664" s="8">
        <v>24</v>
      </c>
      <c r="D664" s="1" t="s">
        <v>884</v>
      </c>
      <c r="E664"/>
      <c r="F664" s="186">
        <v>1</v>
      </c>
      <c r="G664" s="185" t="s">
        <v>455</v>
      </c>
      <c r="H664" s="179" t="s">
        <v>1628</v>
      </c>
      <c r="I664" s="8">
        <v>15</v>
      </c>
      <c r="J664" s="2" t="s">
        <v>455</v>
      </c>
      <c r="K664" s="8">
        <f>(F664*I664)</f>
        <v>15</v>
      </c>
      <c r="AG664" s="179" t="s">
        <v>2298</v>
      </c>
    </row>
    <row r="665" spans="1:33" hidden="1">
      <c r="A665" s="237">
        <f t="shared" si="37"/>
        <v>493</v>
      </c>
      <c r="B665" s="179" t="s">
        <v>945</v>
      </c>
      <c r="C665" s="8">
        <v>16</v>
      </c>
      <c r="D665" s="1" t="s">
        <v>884</v>
      </c>
      <c r="E665"/>
      <c r="H665" s="179" t="s">
        <v>456</v>
      </c>
      <c r="I665"/>
      <c r="J665" s="2" t="s">
        <v>455</v>
      </c>
      <c r="K665" s="8">
        <v>0</v>
      </c>
      <c r="N665" s="179" t="s">
        <v>2290</v>
      </c>
      <c r="O665" s="179" t="s">
        <v>487</v>
      </c>
      <c r="AG665" s="179" t="s">
        <v>2298</v>
      </c>
    </row>
    <row r="666" spans="1:33" hidden="1">
      <c r="A666" s="237">
        <f t="shared" si="37"/>
        <v>494</v>
      </c>
      <c r="B666" s="179" t="s">
        <v>488</v>
      </c>
      <c r="C666" s="8">
        <v>18</v>
      </c>
      <c r="D666" s="1" t="s">
        <v>884</v>
      </c>
      <c r="E666"/>
      <c r="I666"/>
      <c r="J666" s="4"/>
      <c r="K666" s="5" t="s">
        <v>1615</v>
      </c>
      <c r="O666" s="179" t="s">
        <v>1631</v>
      </c>
      <c r="AG666" s="179" t="s">
        <v>2298</v>
      </c>
    </row>
    <row r="667" spans="1:33" hidden="1">
      <c r="A667" s="237">
        <f t="shared" si="37"/>
        <v>495</v>
      </c>
      <c r="B667" s="179" t="s">
        <v>489</v>
      </c>
      <c r="C667" s="8">
        <v>6</v>
      </c>
      <c r="D667" s="1" t="s">
        <v>884</v>
      </c>
      <c r="E667"/>
      <c r="H667" s="179" t="s">
        <v>562</v>
      </c>
      <c r="I667"/>
      <c r="J667" s="4"/>
      <c r="K667" s="8">
        <f>SUM(K662:K665)</f>
        <v>549.62</v>
      </c>
      <c r="O667" s="183" t="s">
        <v>1615</v>
      </c>
      <c r="AG667" s="179" t="s">
        <v>2298</v>
      </c>
    </row>
    <row r="668" spans="1:33" hidden="1">
      <c r="A668" s="237">
        <f t="shared" si="37"/>
        <v>496</v>
      </c>
      <c r="B668" s="179" t="s">
        <v>490</v>
      </c>
      <c r="C668" s="8">
        <v>152.5</v>
      </c>
      <c r="D668" s="1" t="s">
        <v>1805</v>
      </c>
      <c r="E668"/>
      <c r="H668" s="179" t="s">
        <v>1610</v>
      </c>
      <c r="I668"/>
      <c r="J668" s="4"/>
      <c r="K668" s="5" t="s">
        <v>2091</v>
      </c>
      <c r="M668" s="186">
        <v>1</v>
      </c>
      <c r="N668" s="179" t="s">
        <v>884</v>
      </c>
      <c r="O668" s="179" t="s">
        <v>491</v>
      </c>
      <c r="P668" s="186">
        <f>(C384)</f>
        <v>19.3</v>
      </c>
      <c r="Q668" s="179" t="s">
        <v>884</v>
      </c>
      <c r="R668" s="186">
        <f>(M668*P668)</f>
        <v>19.3</v>
      </c>
      <c r="AG668" s="179" t="s">
        <v>2298</v>
      </c>
    </row>
    <row r="669" spans="1:33" hidden="1">
      <c r="A669" s="237">
        <f t="shared" si="37"/>
        <v>497</v>
      </c>
      <c r="B669" s="179" t="s">
        <v>1027</v>
      </c>
      <c r="C669" s="8">
        <v>108.68</v>
      </c>
      <c r="D669" s="1" t="s">
        <v>884</v>
      </c>
      <c r="E669"/>
      <c r="H669" s="179" t="s">
        <v>391</v>
      </c>
      <c r="I669"/>
      <c r="J669" s="2" t="s">
        <v>992</v>
      </c>
      <c r="K669" s="8">
        <f>(K667+C19*0.11)</f>
        <v>551.55999999999995</v>
      </c>
      <c r="N669" s="179" t="s">
        <v>455</v>
      </c>
      <c r="O669" s="179" t="s">
        <v>138</v>
      </c>
      <c r="Q669" s="179" t="s">
        <v>455</v>
      </c>
      <c r="R669" s="186">
        <v>2.09</v>
      </c>
      <c r="AG669" s="179" t="s">
        <v>2298</v>
      </c>
    </row>
    <row r="670" spans="1:33" hidden="1">
      <c r="A670" s="237">
        <f t="shared" si="37"/>
        <v>498</v>
      </c>
      <c r="B670" s="179" t="s">
        <v>558</v>
      </c>
      <c r="C670" s="8">
        <v>119.89</v>
      </c>
      <c r="D670" s="1" t="s">
        <v>884</v>
      </c>
      <c r="E670"/>
      <c r="H670" s="179" t="s">
        <v>393</v>
      </c>
      <c r="I670"/>
      <c r="J670" s="4"/>
      <c r="K670" s="8">
        <f>(K669+C20*0.11)</f>
        <v>555.42999999999995</v>
      </c>
      <c r="O670" s="179" t="s">
        <v>140</v>
      </c>
      <c r="R670" s="179" t="s">
        <v>992</v>
      </c>
      <c r="AG670" s="179" t="s">
        <v>2298</v>
      </c>
    </row>
    <row r="671" spans="1:33" hidden="1">
      <c r="A671" s="237">
        <f t="shared" si="37"/>
        <v>499</v>
      </c>
      <c r="B671" s="179" t="s">
        <v>559</v>
      </c>
      <c r="C671" s="8">
        <v>297.44</v>
      </c>
      <c r="D671" s="1" t="s">
        <v>884</v>
      </c>
      <c r="E671"/>
      <c r="H671" s="179" t="s">
        <v>2271</v>
      </c>
      <c r="I671"/>
      <c r="J671" s="4"/>
      <c r="K671" s="8">
        <f>(K670+C21*0.11)</f>
        <v>559.29999999999995</v>
      </c>
      <c r="R671" s="183" t="s">
        <v>1615</v>
      </c>
      <c r="AG671" s="179" t="s">
        <v>326</v>
      </c>
    </row>
    <row r="672" spans="1:33" hidden="1">
      <c r="A672" s="237">
        <f t="shared" si="37"/>
        <v>500</v>
      </c>
      <c r="B672" s="179" t="s">
        <v>560</v>
      </c>
      <c r="C672" s="8">
        <v>28.6</v>
      </c>
      <c r="D672" s="1" t="s">
        <v>884</v>
      </c>
      <c r="E672"/>
      <c r="H672" s="179" t="s">
        <v>385</v>
      </c>
      <c r="I672"/>
      <c r="J672" s="4"/>
      <c r="K672" s="8">
        <f>(K671+C21*0.11)</f>
        <v>563.16999999999996</v>
      </c>
      <c r="O672" s="179" t="s">
        <v>1594</v>
      </c>
      <c r="R672" s="186">
        <f>SUM(R668:R670)</f>
        <v>21.39</v>
      </c>
    </row>
    <row r="673" spans="1:33" hidden="1">
      <c r="A673" s="237">
        <f t="shared" si="37"/>
        <v>501</v>
      </c>
      <c r="B673" s="179" t="s">
        <v>188</v>
      </c>
      <c r="C673" s="8">
        <v>228.86</v>
      </c>
      <c r="D673" s="1" t="s">
        <v>884</v>
      </c>
      <c r="E673"/>
      <c r="H673" s="179" t="s">
        <v>1388</v>
      </c>
      <c r="I673"/>
      <c r="J673" s="4"/>
      <c r="K673" s="8">
        <f>(K672+C21*0.11)</f>
        <v>567.04</v>
      </c>
      <c r="R673" s="183" t="s">
        <v>1615</v>
      </c>
    </row>
    <row r="674" spans="1:33" hidden="1">
      <c r="C674"/>
      <c r="D674"/>
      <c r="E674"/>
      <c r="F674" s="179" t="s">
        <v>992</v>
      </c>
      <c r="I674"/>
      <c r="J674" s="4"/>
      <c r="K674"/>
    </row>
    <row r="675" spans="1:33" hidden="1">
      <c r="A675" s="237">
        <f>(A673+1)</f>
        <v>502</v>
      </c>
      <c r="B675" s="179" t="s">
        <v>189</v>
      </c>
      <c r="C675" s="8">
        <v>70.47</v>
      </c>
      <c r="D675" s="1" t="s">
        <v>884</v>
      </c>
      <c r="E675"/>
      <c r="I675"/>
      <c r="J675" s="4"/>
      <c r="K675"/>
      <c r="AG675" s="179" t="s">
        <v>2298</v>
      </c>
    </row>
    <row r="676" spans="1:33" hidden="1">
      <c r="A676" s="237">
        <f t="shared" ref="A676:A707" si="38">(A675+1)</f>
        <v>503</v>
      </c>
      <c r="B676" s="179" t="s">
        <v>190</v>
      </c>
      <c r="C676" s="8">
        <v>133.62</v>
      </c>
      <c r="D676" s="1" t="s">
        <v>884</v>
      </c>
      <c r="E676"/>
      <c r="F676" s="233" t="s">
        <v>1379</v>
      </c>
      <c r="H676" s="179" t="s">
        <v>191</v>
      </c>
      <c r="I676"/>
      <c r="J676" s="4"/>
      <c r="K676"/>
      <c r="N676" s="179" t="s">
        <v>2290</v>
      </c>
      <c r="O676" s="179" t="s">
        <v>1478</v>
      </c>
      <c r="AG676" s="179" t="s">
        <v>2298</v>
      </c>
    </row>
    <row r="677" spans="1:33" hidden="1">
      <c r="A677" s="237">
        <f t="shared" si="38"/>
        <v>504</v>
      </c>
      <c r="B677" s="179" t="s">
        <v>1479</v>
      </c>
      <c r="C677" s="8">
        <v>133.62</v>
      </c>
      <c r="D677" s="1" t="s">
        <v>884</v>
      </c>
      <c r="E677"/>
      <c r="H677" s="179" t="s">
        <v>1480</v>
      </c>
      <c r="I677"/>
      <c r="J677" s="4"/>
      <c r="K677"/>
      <c r="O677" s="179" t="s">
        <v>1481</v>
      </c>
      <c r="AG677" s="179" t="s">
        <v>2298</v>
      </c>
    </row>
    <row r="678" spans="1:33" hidden="1">
      <c r="A678" s="237">
        <f t="shared" si="38"/>
        <v>505</v>
      </c>
      <c r="B678" s="179" t="s">
        <v>1482</v>
      </c>
      <c r="C678" s="8">
        <v>215</v>
      </c>
      <c r="D678" s="1" t="s">
        <v>884</v>
      </c>
      <c r="E678"/>
      <c r="H678" s="179" t="s">
        <v>1483</v>
      </c>
      <c r="I678"/>
      <c r="J678" s="4"/>
      <c r="K678"/>
      <c r="O678" s="183" t="s">
        <v>1615</v>
      </c>
      <c r="AG678" s="179" t="s">
        <v>2298</v>
      </c>
    </row>
    <row r="679" spans="1:33" hidden="1">
      <c r="A679" s="237">
        <f t="shared" si="38"/>
        <v>506</v>
      </c>
      <c r="B679" s="179" t="s">
        <v>1237</v>
      </c>
      <c r="C679" s="8">
        <v>215</v>
      </c>
      <c r="D679" s="1" t="s">
        <v>884</v>
      </c>
      <c r="E679"/>
      <c r="H679" s="183" t="s">
        <v>1615</v>
      </c>
      <c r="I679"/>
      <c r="J679" s="4"/>
      <c r="K679"/>
      <c r="M679" s="186">
        <v>1</v>
      </c>
      <c r="N679" s="179" t="s">
        <v>884</v>
      </c>
      <c r="O679" s="179" t="s">
        <v>1238</v>
      </c>
      <c r="P679" s="186">
        <f>(C392/1*0.3)</f>
        <v>14.61</v>
      </c>
      <c r="Q679" s="179" t="s">
        <v>884</v>
      </c>
      <c r="R679" s="186">
        <f>(M679*P679)</f>
        <v>14.61</v>
      </c>
      <c r="AG679" s="179" t="s">
        <v>2298</v>
      </c>
    </row>
    <row r="680" spans="1:33" hidden="1">
      <c r="A680" s="237">
        <f t="shared" si="38"/>
        <v>507</v>
      </c>
      <c r="B680" s="179" t="s">
        <v>1239</v>
      </c>
      <c r="C680" s="8">
        <v>107.64</v>
      </c>
      <c r="D680" s="1" t="s">
        <v>621</v>
      </c>
      <c r="E680"/>
      <c r="F680" s="186">
        <v>0.4</v>
      </c>
      <c r="G680" s="185" t="s">
        <v>885</v>
      </c>
      <c r="H680" s="179" t="s">
        <v>1240</v>
      </c>
      <c r="I680" s="8">
        <f>(C267)</f>
        <v>10705</v>
      </c>
      <c r="J680" s="2" t="s">
        <v>885</v>
      </c>
      <c r="K680" s="8">
        <f>(F680*I680)</f>
        <v>4282</v>
      </c>
      <c r="N680" s="179" t="s">
        <v>455</v>
      </c>
      <c r="O680" s="179" t="s">
        <v>138</v>
      </c>
      <c r="Q680" s="179" t="s">
        <v>455</v>
      </c>
      <c r="R680" s="186">
        <v>1.65</v>
      </c>
      <c r="AG680" s="179" t="s">
        <v>2298</v>
      </c>
    </row>
    <row r="681" spans="1:33" hidden="1">
      <c r="A681" s="237">
        <f t="shared" si="38"/>
        <v>508</v>
      </c>
      <c r="B681" s="179" t="s">
        <v>1241</v>
      </c>
      <c r="C681"/>
      <c r="D681"/>
      <c r="E681"/>
      <c r="F681" s="186">
        <v>0.12</v>
      </c>
      <c r="G681" s="185" t="s">
        <v>885</v>
      </c>
      <c r="H681" s="179" t="s">
        <v>1196</v>
      </c>
      <c r="I681" s="8">
        <f>(C268)</f>
        <v>9395</v>
      </c>
      <c r="J681" s="2" t="s">
        <v>885</v>
      </c>
      <c r="K681" s="8">
        <f>(F681*I681)</f>
        <v>1127.4000000000001</v>
      </c>
      <c r="O681" s="179" t="s">
        <v>140</v>
      </c>
      <c r="R681" s="179" t="s">
        <v>992</v>
      </c>
      <c r="AG681" s="179" t="s">
        <v>2298</v>
      </c>
    </row>
    <row r="682" spans="1:33" hidden="1">
      <c r="A682" s="237">
        <f t="shared" si="38"/>
        <v>509</v>
      </c>
      <c r="B682" s="179" t="s">
        <v>2154</v>
      </c>
      <c r="C682" s="8">
        <v>11.55</v>
      </c>
      <c r="D682" s="1" t="s">
        <v>884</v>
      </c>
      <c r="E682"/>
      <c r="H682" s="179" t="s">
        <v>2155</v>
      </c>
      <c r="I682" s="1" t="s">
        <v>992</v>
      </c>
      <c r="J682" s="4"/>
      <c r="K682" s="1" t="s">
        <v>992</v>
      </c>
      <c r="R682" s="183" t="s">
        <v>1615</v>
      </c>
      <c r="AG682" s="179" t="s">
        <v>2298</v>
      </c>
    </row>
    <row r="683" spans="1:33" hidden="1">
      <c r="A683" s="237">
        <f t="shared" si="38"/>
        <v>510</v>
      </c>
      <c r="B683" s="179" t="s">
        <v>1137</v>
      </c>
      <c r="C683" s="8">
        <v>16.399999999999999</v>
      </c>
      <c r="D683" s="1" t="s">
        <v>884</v>
      </c>
      <c r="E683"/>
      <c r="F683" s="186">
        <v>98.5</v>
      </c>
      <c r="G683" s="185" t="s">
        <v>1805</v>
      </c>
      <c r="H683" s="179" t="s">
        <v>1451</v>
      </c>
      <c r="I683" s="8">
        <f>(C269)</f>
        <v>15</v>
      </c>
      <c r="J683" s="2" t="s">
        <v>1805</v>
      </c>
      <c r="K683" s="8">
        <f>(F683*I683)</f>
        <v>1477.5</v>
      </c>
      <c r="O683" s="179" t="s">
        <v>1594</v>
      </c>
      <c r="R683" s="186">
        <f>SUM(R679:R681)</f>
        <v>16.260000000000002</v>
      </c>
      <c r="AG683" s="179" t="s">
        <v>2298</v>
      </c>
    </row>
    <row r="684" spans="1:33" hidden="1">
      <c r="A684" s="237">
        <f t="shared" si="38"/>
        <v>511</v>
      </c>
      <c r="B684" s="179" t="s">
        <v>1138</v>
      </c>
      <c r="C684" s="8">
        <v>27.85</v>
      </c>
      <c r="D684" s="1" t="s">
        <v>884</v>
      </c>
      <c r="E684"/>
      <c r="H684" s="179" t="s">
        <v>316</v>
      </c>
      <c r="I684" s="1" t="s">
        <v>992</v>
      </c>
      <c r="J684" s="4"/>
      <c r="K684" s="1" t="s">
        <v>252</v>
      </c>
      <c r="R684" s="183" t="s">
        <v>1615</v>
      </c>
      <c r="AG684" s="179" t="s">
        <v>2298</v>
      </c>
    </row>
    <row r="685" spans="1:33" hidden="1">
      <c r="A685" s="237">
        <f t="shared" si="38"/>
        <v>512</v>
      </c>
      <c r="B685" s="179" t="s">
        <v>1139</v>
      </c>
      <c r="C685" s="8">
        <v>49.9</v>
      </c>
      <c r="D685" s="1" t="s">
        <v>884</v>
      </c>
      <c r="E685"/>
      <c r="I685"/>
      <c r="J685" s="4"/>
      <c r="K685" s="5" t="s">
        <v>1615</v>
      </c>
      <c r="O685" s="233" t="s">
        <v>674</v>
      </c>
      <c r="R685" s="179" t="s">
        <v>992</v>
      </c>
      <c r="AG685" s="179" t="s">
        <v>2298</v>
      </c>
    </row>
    <row r="686" spans="1:33" hidden="1">
      <c r="A686" s="237">
        <f t="shared" si="38"/>
        <v>513</v>
      </c>
      <c r="B686" s="179" t="s">
        <v>1141</v>
      </c>
      <c r="C686" s="8">
        <v>69.25</v>
      </c>
      <c r="D686" s="1" t="s">
        <v>884</v>
      </c>
      <c r="E686"/>
      <c r="H686" s="179" t="s">
        <v>675</v>
      </c>
      <c r="I686"/>
      <c r="J686" s="4"/>
      <c r="K686" s="8">
        <f>SUM(K680:K684)</f>
        <v>6886.9</v>
      </c>
      <c r="M686" s="253"/>
      <c r="O686" s="233" t="s">
        <v>2121</v>
      </c>
      <c r="AG686" s="179" t="s">
        <v>2298</v>
      </c>
    </row>
    <row r="687" spans="1:33" hidden="1">
      <c r="A687" s="237">
        <f t="shared" si="38"/>
        <v>514</v>
      </c>
      <c r="B687" s="179" t="s">
        <v>1941</v>
      </c>
      <c r="C687"/>
      <c r="D687" s="1" t="s">
        <v>992</v>
      </c>
      <c r="E687"/>
      <c r="H687" s="179" t="s">
        <v>992</v>
      </c>
      <c r="I687"/>
      <c r="J687" s="4"/>
      <c r="K687" s="5" t="s">
        <v>1615</v>
      </c>
      <c r="M687" s="233" t="s">
        <v>1567</v>
      </c>
      <c r="N687" s="179" t="s">
        <v>1942</v>
      </c>
      <c r="O687" s="179" t="s">
        <v>2996</v>
      </c>
      <c r="AG687" s="179" t="s">
        <v>2298</v>
      </c>
    </row>
    <row r="688" spans="1:33" hidden="1">
      <c r="A688" s="237">
        <f t="shared" si="38"/>
        <v>515</v>
      </c>
      <c r="B688" s="179" t="s">
        <v>244</v>
      </c>
      <c r="C688" s="8">
        <v>20</v>
      </c>
      <c r="D688" s="1" t="s">
        <v>884</v>
      </c>
      <c r="E688"/>
      <c r="F688" s="186">
        <v>10</v>
      </c>
      <c r="G688" s="185" t="s">
        <v>621</v>
      </c>
      <c r="H688" s="179" t="s">
        <v>505</v>
      </c>
      <c r="I688" s="8">
        <f>(K686/50)</f>
        <v>137.74</v>
      </c>
      <c r="J688" s="2" t="s">
        <v>621</v>
      </c>
      <c r="K688" s="8">
        <f>(F688*I688)</f>
        <v>1377.4</v>
      </c>
      <c r="O688" s="183" t="s">
        <v>1615</v>
      </c>
      <c r="AG688" s="179" t="s">
        <v>2298</v>
      </c>
    </row>
    <row r="689" spans="1:33" hidden="1">
      <c r="A689" s="237">
        <f t="shared" si="38"/>
        <v>516</v>
      </c>
      <c r="B689" s="179" t="s">
        <v>506</v>
      </c>
      <c r="C689" s="8">
        <v>45</v>
      </c>
      <c r="D689" s="1" t="s">
        <v>884</v>
      </c>
      <c r="E689"/>
      <c r="F689" s="186">
        <v>3.8</v>
      </c>
      <c r="G689" s="185" t="s">
        <v>785</v>
      </c>
      <c r="H689" s="179" t="s">
        <v>507</v>
      </c>
      <c r="I689" s="8">
        <f>(C16)</f>
        <v>150</v>
      </c>
      <c r="J689" s="2" t="s">
        <v>785</v>
      </c>
      <c r="K689" s="8">
        <f>(F689*I689)</f>
        <v>570</v>
      </c>
      <c r="M689" s="253">
        <v>2.69E-2</v>
      </c>
      <c r="N689" s="179" t="s">
        <v>885</v>
      </c>
      <c r="O689" s="179" t="s">
        <v>1338</v>
      </c>
      <c r="P689" s="186">
        <f>C86+2500</f>
        <v>23105</v>
      </c>
      <c r="Q689" s="179" t="s">
        <v>885</v>
      </c>
      <c r="R689" s="186">
        <f t="shared" ref="R689:R695" si="39">M689*P689</f>
        <v>621.52</v>
      </c>
      <c r="AG689" s="179" t="s">
        <v>2298</v>
      </c>
    </row>
    <row r="690" spans="1:33" hidden="1">
      <c r="A690" s="237">
        <f t="shared" si="38"/>
        <v>517</v>
      </c>
      <c r="B690" s="179" t="s">
        <v>1339</v>
      </c>
      <c r="C690"/>
      <c r="D690" s="1" t="s">
        <v>252</v>
      </c>
      <c r="E690"/>
      <c r="F690" s="186">
        <v>5.4</v>
      </c>
      <c r="G690" s="185" t="s">
        <v>785</v>
      </c>
      <c r="H690" s="179" t="s">
        <v>1937</v>
      </c>
      <c r="I690" s="8">
        <f>(C12)</f>
        <v>95</v>
      </c>
      <c r="J690" s="2" t="s">
        <v>785</v>
      </c>
      <c r="K690" s="8">
        <f>(F690*I690)</f>
        <v>513</v>
      </c>
      <c r="M690" s="253">
        <v>1.2949999999999999</v>
      </c>
      <c r="N690" s="179" t="s">
        <v>621</v>
      </c>
      <c r="O690" s="179" t="s">
        <v>1321</v>
      </c>
      <c r="P690" s="186">
        <f>C753</f>
        <v>381.37</v>
      </c>
      <c r="Q690" s="179" t="s">
        <v>621</v>
      </c>
      <c r="R690" s="186">
        <f t="shared" si="39"/>
        <v>493.87</v>
      </c>
      <c r="AG690" s="179" t="s">
        <v>2298</v>
      </c>
    </row>
    <row r="691" spans="1:33" hidden="1">
      <c r="A691" s="237">
        <f t="shared" si="38"/>
        <v>518</v>
      </c>
      <c r="B691" s="179" t="s">
        <v>244</v>
      </c>
      <c r="C691" s="8">
        <v>19.09</v>
      </c>
      <c r="D691" s="1" t="s">
        <v>884</v>
      </c>
      <c r="E691"/>
      <c r="G691" s="185" t="s">
        <v>455</v>
      </c>
      <c r="H691" s="179" t="s">
        <v>1322</v>
      </c>
      <c r="I691"/>
      <c r="J691" s="2" t="s">
        <v>455</v>
      </c>
      <c r="K691" s="8">
        <v>5</v>
      </c>
      <c r="M691" s="253">
        <v>1.8149999999999999</v>
      </c>
      <c r="N691" s="179" t="s">
        <v>621</v>
      </c>
      <c r="O691" s="179" t="s">
        <v>2129</v>
      </c>
      <c r="P691" s="186">
        <f>C31</f>
        <v>342</v>
      </c>
      <c r="Q691" s="179" t="s">
        <v>621</v>
      </c>
      <c r="R691" s="186">
        <f t="shared" si="39"/>
        <v>620.73</v>
      </c>
      <c r="AG691" s="179" t="s">
        <v>2298</v>
      </c>
    </row>
    <row r="692" spans="1:33" hidden="1">
      <c r="A692" s="237">
        <f t="shared" si="38"/>
        <v>519</v>
      </c>
      <c r="B692" s="179" t="s">
        <v>506</v>
      </c>
      <c r="C692" s="8">
        <v>50.66</v>
      </c>
      <c r="D692" s="1" t="s">
        <v>884</v>
      </c>
      <c r="E692"/>
      <c r="I692"/>
      <c r="J692" s="4"/>
      <c r="K692" s="5" t="s">
        <v>1615</v>
      </c>
      <c r="M692" s="186">
        <v>2</v>
      </c>
      <c r="N692" s="179" t="s">
        <v>884</v>
      </c>
      <c r="O692" s="179" t="s">
        <v>1755</v>
      </c>
      <c r="P692" s="186">
        <f>C298</f>
        <v>10.5</v>
      </c>
      <c r="Q692" s="179" t="s">
        <v>884</v>
      </c>
      <c r="R692" s="186">
        <f t="shared" si="39"/>
        <v>21</v>
      </c>
      <c r="AG692" s="179" t="s">
        <v>2298</v>
      </c>
    </row>
    <row r="693" spans="1:33" hidden="1">
      <c r="A693" s="237">
        <f t="shared" si="38"/>
        <v>520</v>
      </c>
      <c r="B693" s="179" t="s">
        <v>1648</v>
      </c>
      <c r="C693" s="8">
        <v>1183.82</v>
      </c>
      <c r="D693" s="1" t="s">
        <v>621</v>
      </c>
      <c r="E693"/>
      <c r="H693" s="179" t="s">
        <v>447</v>
      </c>
      <c r="I693"/>
      <c r="J693" s="4"/>
      <c r="K693" s="8">
        <f>SUM(K688:K691)</f>
        <v>2465.4</v>
      </c>
      <c r="M693" s="186">
        <v>3</v>
      </c>
      <c r="N693" s="179" t="s">
        <v>884</v>
      </c>
      <c r="O693" s="179" t="s">
        <v>1649</v>
      </c>
      <c r="P693" s="186">
        <f>C294</f>
        <v>8.5</v>
      </c>
      <c r="Q693" s="179" t="s">
        <v>884</v>
      </c>
      <c r="R693" s="186">
        <f t="shared" si="39"/>
        <v>25.5</v>
      </c>
      <c r="AG693" s="179" t="s">
        <v>2298</v>
      </c>
    </row>
    <row r="694" spans="1:33" hidden="1">
      <c r="A694" s="237">
        <f t="shared" si="38"/>
        <v>521</v>
      </c>
      <c r="B694" s="179" t="s">
        <v>1650</v>
      </c>
      <c r="C694" s="8">
        <v>1605</v>
      </c>
      <c r="D694" s="1" t="s">
        <v>621</v>
      </c>
      <c r="E694"/>
      <c r="I694"/>
      <c r="J694" s="4"/>
      <c r="K694" s="5" t="s">
        <v>1615</v>
      </c>
      <c r="M694" s="186">
        <v>1</v>
      </c>
      <c r="N694" s="179" t="s">
        <v>884</v>
      </c>
      <c r="O694" s="179" t="s">
        <v>1739</v>
      </c>
      <c r="P694" s="186">
        <f>C300</f>
        <v>21</v>
      </c>
      <c r="Q694" s="179" t="s">
        <v>884</v>
      </c>
      <c r="R694" s="186">
        <f t="shared" si="39"/>
        <v>21</v>
      </c>
      <c r="AG694" s="179" t="s">
        <v>2298</v>
      </c>
    </row>
    <row r="695" spans="1:33" hidden="1">
      <c r="A695" s="237">
        <f t="shared" si="38"/>
        <v>522</v>
      </c>
      <c r="B695" s="179" t="s">
        <v>1747</v>
      </c>
      <c r="C695" s="1" t="s">
        <v>2997</v>
      </c>
      <c r="D695" s="1" t="s">
        <v>1748</v>
      </c>
      <c r="E695"/>
      <c r="H695" s="179" t="s">
        <v>562</v>
      </c>
      <c r="I695"/>
      <c r="J695" s="4"/>
      <c r="K695" s="8">
        <f>(K693/10)</f>
        <v>246.54</v>
      </c>
      <c r="M695" s="186">
        <v>1</v>
      </c>
      <c r="N695" s="179" t="s">
        <v>884</v>
      </c>
      <c r="O695" s="179" t="s">
        <v>2016</v>
      </c>
      <c r="P695" s="186">
        <f>C302</f>
        <v>4</v>
      </c>
      <c r="Q695" s="179" t="s">
        <v>884</v>
      </c>
      <c r="R695" s="186">
        <f t="shared" si="39"/>
        <v>4</v>
      </c>
      <c r="AG695" s="179" t="s">
        <v>2298</v>
      </c>
    </row>
    <row r="696" spans="1:33" hidden="1">
      <c r="A696" s="237">
        <f t="shared" si="38"/>
        <v>523</v>
      </c>
      <c r="B696" s="179" t="s">
        <v>1749</v>
      </c>
      <c r="C696" s="8">
        <v>147.6</v>
      </c>
      <c r="D696" s="1" t="s">
        <v>1805</v>
      </c>
      <c r="E696"/>
      <c r="I696"/>
      <c r="J696" s="4"/>
      <c r="K696" s="5" t="s">
        <v>2091</v>
      </c>
      <c r="N696" s="179" t="s">
        <v>455</v>
      </c>
      <c r="O696" s="179" t="s">
        <v>456</v>
      </c>
      <c r="Q696" s="179" t="s">
        <v>455</v>
      </c>
      <c r="R696" s="186">
        <v>0</v>
      </c>
      <c r="AG696" s="179" t="s">
        <v>2298</v>
      </c>
    </row>
    <row r="697" spans="1:33" hidden="1">
      <c r="A697" s="237">
        <f t="shared" si="38"/>
        <v>524</v>
      </c>
      <c r="B697" s="179" t="s">
        <v>1750</v>
      </c>
      <c r="C697" s="8">
        <v>147.6</v>
      </c>
      <c r="D697" s="1" t="s">
        <v>1805</v>
      </c>
      <c r="E697"/>
      <c r="I697"/>
      <c r="J697" s="4"/>
      <c r="K697"/>
      <c r="R697" s="183" t="s">
        <v>1615</v>
      </c>
      <c r="AG697" s="179" t="s">
        <v>2298</v>
      </c>
    </row>
    <row r="698" spans="1:33" hidden="1">
      <c r="A698" s="237">
        <f t="shared" si="38"/>
        <v>525</v>
      </c>
      <c r="B698" s="179" t="s">
        <v>1751</v>
      </c>
      <c r="C698" s="8">
        <v>147.6</v>
      </c>
      <c r="D698" s="1" t="s">
        <v>1805</v>
      </c>
      <c r="E698"/>
      <c r="F698" s="233" t="s">
        <v>2080</v>
      </c>
      <c r="G698" s="185" t="s">
        <v>2290</v>
      </c>
      <c r="H698" s="179" t="s">
        <v>11</v>
      </c>
      <c r="I698"/>
      <c r="J698" s="4"/>
      <c r="K698"/>
      <c r="O698" s="233" t="s">
        <v>12</v>
      </c>
      <c r="R698" s="186">
        <f>SUM(R689:R696)</f>
        <v>1807.62</v>
      </c>
      <c r="AG698" s="179" t="s">
        <v>2298</v>
      </c>
    </row>
    <row r="699" spans="1:33" hidden="1">
      <c r="A699" s="237">
        <f t="shared" si="38"/>
        <v>526</v>
      </c>
      <c r="B699" s="179" t="s">
        <v>660</v>
      </c>
      <c r="C699" s="8">
        <v>1250</v>
      </c>
      <c r="D699" s="1" t="s">
        <v>621</v>
      </c>
      <c r="E699"/>
      <c r="H699" s="179" t="s">
        <v>661</v>
      </c>
      <c r="I699"/>
      <c r="J699" s="4"/>
      <c r="K699"/>
      <c r="R699" s="183" t="s">
        <v>1615</v>
      </c>
      <c r="AG699" s="179" t="s">
        <v>2298</v>
      </c>
    </row>
    <row r="700" spans="1:33" hidden="1">
      <c r="A700" s="237">
        <f t="shared" si="38"/>
        <v>527</v>
      </c>
      <c r="B700" s="179" t="s">
        <v>662</v>
      </c>
      <c r="C700" s="8">
        <v>1250</v>
      </c>
      <c r="D700" s="1" t="s">
        <v>621</v>
      </c>
      <c r="E700"/>
      <c r="H700" s="179" t="s">
        <v>663</v>
      </c>
      <c r="I700"/>
      <c r="J700" s="4"/>
      <c r="K700"/>
      <c r="N700" s="179" t="s">
        <v>992</v>
      </c>
      <c r="O700" s="233" t="s">
        <v>562</v>
      </c>
      <c r="R700" s="186">
        <f>R698/M690</f>
        <v>1395.85</v>
      </c>
      <c r="AG700" s="179" t="s">
        <v>2298</v>
      </c>
    </row>
    <row r="701" spans="1:33" hidden="1">
      <c r="A701" s="237">
        <f t="shared" si="38"/>
        <v>528</v>
      </c>
      <c r="B701" s="179" t="s">
        <v>1259</v>
      </c>
      <c r="C701" s="8">
        <v>1250</v>
      </c>
      <c r="D701" s="1" t="s">
        <v>621</v>
      </c>
      <c r="E701"/>
      <c r="H701" s="179" t="s">
        <v>524</v>
      </c>
      <c r="I701"/>
      <c r="J701" s="4"/>
      <c r="K701"/>
      <c r="R701" s="183" t="s">
        <v>2091</v>
      </c>
      <c r="AG701" s="179" t="s">
        <v>2298</v>
      </c>
    </row>
    <row r="702" spans="1:33" hidden="1">
      <c r="A702" s="237">
        <f t="shared" si="38"/>
        <v>529</v>
      </c>
      <c r="B702" s="179" t="s">
        <v>525</v>
      </c>
      <c r="C702" s="8">
        <v>1250</v>
      </c>
      <c r="D702" s="1" t="s">
        <v>621</v>
      </c>
      <c r="E702"/>
      <c r="H702" s="179" t="s">
        <v>526</v>
      </c>
      <c r="I702"/>
      <c r="J702" s="4"/>
      <c r="K702"/>
      <c r="M702" s="233" t="s">
        <v>1567</v>
      </c>
      <c r="N702" s="179" t="s">
        <v>527</v>
      </c>
      <c r="O702" s="179" t="s">
        <v>528</v>
      </c>
      <c r="AG702" s="179" t="s">
        <v>2298</v>
      </c>
    </row>
    <row r="703" spans="1:33" hidden="1">
      <c r="A703" s="237">
        <f t="shared" si="38"/>
        <v>530</v>
      </c>
      <c r="B703" s="179" t="s">
        <v>529</v>
      </c>
      <c r="C703" s="8">
        <v>1250</v>
      </c>
      <c r="D703" s="1" t="s">
        <v>621</v>
      </c>
      <c r="E703"/>
      <c r="H703" s="179" t="s">
        <v>2</v>
      </c>
      <c r="I703"/>
      <c r="J703" s="4"/>
      <c r="K703"/>
      <c r="O703" s="183" t="s">
        <v>1615</v>
      </c>
      <c r="AG703" s="179" t="s">
        <v>2298</v>
      </c>
    </row>
    <row r="704" spans="1:33" hidden="1">
      <c r="A704" s="237">
        <f t="shared" si="38"/>
        <v>531</v>
      </c>
      <c r="B704" s="179" t="s">
        <v>777</v>
      </c>
      <c r="C704" s="8">
        <v>1250</v>
      </c>
      <c r="D704" s="1" t="s">
        <v>621</v>
      </c>
      <c r="E704"/>
      <c r="H704" s="179" t="s">
        <v>1250</v>
      </c>
      <c r="I704"/>
      <c r="J704" s="4"/>
      <c r="K704"/>
      <c r="M704" s="253">
        <v>2.5499999999999998E-2</v>
      </c>
      <c r="N704" s="179" t="s">
        <v>885</v>
      </c>
      <c r="O704" s="179" t="s">
        <v>1338</v>
      </c>
      <c r="P704" s="186">
        <f>C86+2500</f>
        <v>23105</v>
      </c>
      <c r="Q704" s="179" t="s">
        <v>885</v>
      </c>
      <c r="R704" s="186">
        <f t="shared" ref="R704:R710" si="40">M704*P704</f>
        <v>589.17999999999995</v>
      </c>
      <c r="AG704" s="179" t="s">
        <v>2298</v>
      </c>
    </row>
    <row r="705" spans="1:33" hidden="1">
      <c r="A705" s="237">
        <f t="shared" si="38"/>
        <v>532</v>
      </c>
      <c r="B705" s="179" t="s">
        <v>1251</v>
      </c>
      <c r="C705" s="8">
        <v>1250</v>
      </c>
      <c r="D705" s="1" t="s">
        <v>621</v>
      </c>
      <c r="E705"/>
      <c r="H705" s="183" t="s">
        <v>1615</v>
      </c>
      <c r="I705" s="5" t="s">
        <v>1615</v>
      </c>
      <c r="J705" s="2" t="s">
        <v>1615</v>
      </c>
      <c r="K705"/>
      <c r="M705" s="253">
        <v>1.1299999999999999</v>
      </c>
      <c r="N705" s="179" t="s">
        <v>621</v>
      </c>
      <c r="O705" s="179" t="s">
        <v>1321</v>
      </c>
      <c r="P705" s="186">
        <f>C753</f>
        <v>381.37</v>
      </c>
      <c r="Q705" s="179" t="s">
        <v>621</v>
      </c>
      <c r="R705" s="186">
        <f t="shared" si="40"/>
        <v>430.95</v>
      </c>
      <c r="AG705" s="179" t="s">
        <v>2298</v>
      </c>
    </row>
    <row r="706" spans="1:33" hidden="1">
      <c r="A706" s="237">
        <f t="shared" si="38"/>
        <v>533</v>
      </c>
      <c r="B706" s="179" t="s">
        <v>1252</v>
      </c>
      <c r="C706" s="8">
        <v>1250</v>
      </c>
      <c r="D706" s="1" t="s">
        <v>621</v>
      </c>
      <c r="E706"/>
      <c r="F706" s="186">
        <v>13.46</v>
      </c>
      <c r="G706" s="185" t="s">
        <v>272</v>
      </c>
      <c r="H706" s="179" t="s">
        <v>273</v>
      </c>
      <c r="I706" s="8">
        <f>C34/1000</f>
        <v>30</v>
      </c>
      <c r="J706" s="2" t="s">
        <v>272</v>
      </c>
      <c r="K706" s="8">
        <f>(F706*I706)</f>
        <v>403.8</v>
      </c>
      <c r="M706" s="253">
        <v>1.6191</v>
      </c>
      <c r="N706" s="179" t="s">
        <v>621</v>
      </c>
      <c r="O706" s="179" t="s">
        <v>2129</v>
      </c>
      <c r="P706" s="186">
        <f>C31</f>
        <v>342</v>
      </c>
      <c r="Q706" s="179" t="s">
        <v>621</v>
      </c>
      <c r="R706" s="186">
        <f t="shared" si="40"/>
        <v>553.73</v>
      </c>
      <c r="AG706" s="179" t="s">
        <v>2298</v>
      </c>
    </row>
    <row r="707" spans="1:33" hidden="1">
      <c r="A707" s="237">
        <f t="shared" si="38"/>
        <v>534</v>
      </c>
      <c r="B707" s="179" t="s">
        <v>996</v>
      </c>
      <c r="C707" s="8">
        <v>1250</v>
      </c>
      <c r="D707" s="1" t="s">
        <v>621</v>
      </c>
      <c r="E707"/>
      <c r="H707" s="179" t="s">
        <v>997</v>
      </c>
      <c r="I707"/>
      <c r="J707" s="4"/>
      <c r="K707"/>
      <c r="M707" s="186">
        <v>2</v>
      </c>
      <c r="N707" s="179" t="s">
        <v>884</v>
      </c>
      <c r="O707" s="179" t="s">
        <v>1755</v>
      </c>
      <c r="P707" s="186">
        <f>C298</f>
        <v>10.5</v>
      </c>
      <c r="Q707" s="179" t="s">
        <v>884</v>
      </c>
      <c r="R707" s="186">
        <f t="shared" si="40"/>
        <v>21</v>
      </c>
      <c r="AG707" s="179" t="s">
        <v>2298</v>
      </c>
    </row>
    <row r="708" spans="1:33" hidden="1">
      <c r="A708" s="237">
        <f t="shared" ref="A708:A733" si="41">(A707+1)</f>
        <v>535</v>
      </c>
      <c r="B708" s="179" t="s">
        <v>998</v>
      </c>
      <c r="C708" s="8">
        <v>1250</v>
      </c>
      <c r="D708" s="1" t="s">
        <v>621</v>
      </c>
      <c r="E708"/>
      <c r="F708" s="186">
        <v>4</v>
      </c>
      <c r="G708" s="185" t="s">
        <v>272</v>
      </c>
      <c r="H708" s="179" t="s">
        <v>999</v>
      </c>
      <c r="I708" s="8">
        <f>D34/1000</f>
        <v>30</v>
      </c>
      <c r="J708" s="2" t="s">
        <v>272</v>
      </c>
      <c r="K708" s="8">
        <f>(F708*I708)</f>
        <v>120</v>
      </c>
      <c r="M708" s="186">
        <v>3</v>
      </c>
      <c r="N708" s="179" t="s">
        <v>884</v>
      </c>
      <c r="O708" s="179" t="s">
        <v>1649</v>
      </c>
      <c r="P708" s="186">
        <f>C294</f>
        <v>8.5</v>
      </c>
      <c r="Q708" s="179" t="s">
        <v>884</v>
      </c>
      <c r="R708" s="186">
        <f t="shared" si="40"/>
        <v>25.5</v>
      </c>
      <c r="AG708" s="179" t="s">
        <v>2298</v>
      </c>
    </row>
    <row r="709" spans="1:33" hidden="1">
      <c r="A709" s="237">
        <f t="shared" si="41"/>
        <v>536</v>
      </c>
      <c r="B709" s="179" t="s">
        <v>959</v>
      </c>
      <c r="C709" s="8">
        <v>1250</v>
      </c>
      <c r="D709" s="1" t="s">
        <v>621</v>
      </c>
      <c r="E709"/>
      <c r="H709" s="179" t="s">
        <v>1050</v>
      </c>
      <c r="I709"/>
      <c r="J709" s="4"/>
      <c r="K709"/>
      <c r="M709" s="186">
        <v>1</v>
      </c>
      <c r="N709" s="179" t="s">
        <v>884</v>
      </c>
      <c r="O709" s="179" t="s">
        <v>1739</v>
      </c>
      <c r="P709" s="186">
        <f>C300</f>
        <v>21</v>
      </c>
      <c r="Q709" s="179" t="s">
        <v>884</v>
      </c>
      <c r="R709" s="186">
        <f t="shared" si="40"/>
        <v>21</v>
      </c>
      <c r="AG709" s="179" t="s">
        <v>2298</v>
      </c>
    </row>
    <row r="710" spans="1:33" hidden="1">
      <c r="A710" s="237">
        <f t="shared" si="41"/>
        <v>537</v>
      </c>
      <c r="B710" s="179" t="s">
        <v>1251</v>
      </c>
      <c r="C710" s="8">
        <v>1250</v>
      </c>
      <c r="D710" s="1" t="s">
        <v>621</v>
      </c>
      <c r="E710"/>
      <c r="F710" s="186"/>
      <c r="G710" s="185" t="s">
        <v>455</v>
      </c>
      <c r="H710" s="179" t="s">
        <v>1687</v>
      </c>
      <c r="I710"/>
      <c r="J710" s="2" t="s">
        <v>455</v>
      </c>
      <c r="K710" s="8">
        <v>40</v>
      </c>
      <c r="M710" s="186">
        <v>1</v>
      </c>
      <c r="N710" s="179" t="s">
        <v>884</v>
      </c>
      <c r="O710" s="179" t="s">
        <v>2016</v>
      </c>
      <c r="P710" s="186">
        <f>C302</f>
        <v>4</v>
      </c>
      <c r="Q710" s="179" t="s">
        <v>884</v>
      </c>
      <c r="R710" s="186">
        <f t="shared" si="40"/>
        <v>4</v>
      </c>
      <c r="AG710" s="179" t="s">
        <v>2298</v>
      </c>
    </row>
    <row r="711" spans="1:33" hidden="1">
      <c r="A711" s="237">
        <f t="shared" si="41"/>
        <v>538</v>
      </c>
      <c r="B711" s="179" t="s">
        <v>1688</v>
      </c>
      <c r="C711"/>
      <c r="D711" s="1" t="s">
        <v>992</v>
      </c>
      <c r="E711"/>
      <c r="H711" s="179" t="s">
        <v>1689</v>
      </c>
      <c r="I711"/>
      <c r="J711" s="4"/>
      <c r="K711" s="5" t="s">
        <v>1615</v>
      </c>
      <c r="N711" s="179" t="s">
        <v>455</v>
      </c>
      <c r="O711" s="179" t="s">
        <v>456</v>
      </c>
      <c r="Q711" s="179" t="s">
        <v>455</v>
      </c>
      <c r="R711" s="186">
        <v>0</v>
      </c>
      <c r="AG711" s="179" t="s">
        <v>2298</v>
      </c>
    </row>
    <row r="712" spans="1:33" hidden="1">
      <c r="A712" s="237">
        <f t="shared" si="41"/>
        <v>539</v>
      </c>
      <c r="B712" s="179" t="s">
        <v>1690</v>
      </c>
      <c r="C712" s="8">
        <v>65</v>
      </c>
      <c r="D712" s="1" t="s">
        <v>1748</v>
      </c>
      <c r="E712"/>
      <c r="H712" s="233" t="s">
        <v>25</v>
      </c>
      <c r="I712"/>
      <c r="J712" s="4"/>
      <c r="K712" s="8">
        <f>SUM(K706:K710)</f>
        <v>563.79999999999995</v>
      </c>
      <c r="R712" s="183" t="s">
        <v>1615</v>
      </c>
      <c r="AG712" s="179" t="s">
        <v>2298</v>
      </c>
    </row>
    <row r="713" spans="1:33" hidden="1">
      <c r="A713" s="237">
        <f t="shared" si="41"/>
        <v>540</v>
      </c>
      <c r="B713" s="179" t="s">
        <v>26</v>
      </c>
      <c r="C713" s="8">
        <v>64.55</v>
      </c>
      <c r="D713" s="1" t="s">
        <v>1748</v>
      </c>
      <c r="E713"/>
      <c r="I713"/>
      <c r="J713" s="4"/>
      <c r="K713" s="5" t="s">
        <v>1615</v>
      </c>
      <c r="O713" s="233" t="s">
        <v>27</v>
      </c>
      <c r="R713" s="186">
        <f>SUM(R704:R711)</f>
        <v>1645.36</v>
      </c>
      <c r="AG713" s="179" t="s">
        <v>2298</v>
      </c>
    </row>
    <row r="714" spans="1:33" hidden="1">
      <c r="A714" s="237">
        <f t="shared" si="41"/>
        <v>541</v>
      </c>
      <c r="B714" s="179" t="s">
        <v>28</v>
      </c>
      <c r="C714" s="8">
        <v>110.95</v>
      </c>
      <c r="D714" s="1" t="s">
        <v>1748</v>
      </c>
      <c r="E714"/>
      <c r="H714" s="233" t="s">
        <v>29</v>
      </c>
      <c r="I714"/>
      <c r="J714" s="4"/>
      <c r="K714" s="8">
        <f>K712/40</f>
        <v>14.1</v>
      </c>
      <c r="R714" s="183" t="s">
        <v>1615</v>
      </c>
      <c r="AG714" s="179" t="s">
        <v>2298</v>
      </c>
    </row>
    <row r="715" spans="1:33" hidden="1">
      <c r="A715" s="237">
        <f t="shared" si="41"/>
        <v>542</v>
      </c>
      <c r="B715" s="179" t="s">
        <v>1037</v>
      </c>
      <c r="C715" s="8">
        <v>399</v>
      </c>
      <c r="D715" s="1" t="s">
        <v>1748</v>
      </c>
      <c r="E715"/>
      <c r="I715"/>
      <c r="J715" s="4"/>
      <c r="K715" s="5" t="s">
        <v>1615</v>
      </c>
      <c r="O715" s="233" t="s">
        <v>562</v>
      </c>
      <c r="R715" s="186">
        <f>R713/M706</f>
        <v>1016.22</v>
      </c>
      <c r="AG715" s="179" t="s">
        <v>2298</v>
      </c>
    </row>
    <row r="716" spans="1:33" hidden="1">
      <c r="A716" s="237">
        <f t="shared" si="41"/>
        <v>543</v>
      </c>
      <c r="B716" s="179" t="s">
        <v>912</v>
      </c>
      <c r="C716" s="8">
        <v>92</v>
      </c>
      <c r="D716" s="1" t="s">
        <v>1748</v>
      </c>
      <c r="E716"/>
      <c r="H716" s="179" t="s">
        <v>913</v>
      </c>
      <c r="I716"/>
      <c r="J716" s="4"/>
      <c r="K716"/>
      <c r="R716" s="183" t="s">
        <v>2091</v>
      </c>
      <c r="AG716" s="179" t="s">
        <v>2298</v>
      </c>
    </row>
    <row r="717" spans="1:33" hidden="1">
      <c r="A717" s="237">
        <f t="shared" si="41"/>
        <v>544</v>
      </c>
      <c r="B717" s="179" t="s">
        <v>317</v>
      </c>
      <c r="C717" s="8">
        <v>174.24</v>
      </c>
      <c r="D717" s="1" t="s">
        <v>1748</v>
      </c>
      <c r="E717"/>
      <c r="H717" s="179" t="s">
        <v>318</v>
      </c>
      <c r="I717"/>
      <c r="J717" s="4"/>
      <c r="K717"/>
      <c r="AG717" s="179" t="s">
        <v>2298</v>
      </c>
    </row>
    <row r="718" spans="1:33" hidden="1">
      <c r="A718" s="237">
        <f t="shared" si="41"/>
        <v>545</v>
      </c>
      <c r="B718" s="179" t="s">
        <v>319</v>
      </c>
      <c r="C718" s="8">
        <v>215.06</v>
      </c>
      <c r="D718" s="1" t="s">
        <v>1748</v>
      </c>
      <c r="E718"/>
      <c r="H718" s="179" t="s">
        <v>320</v>
      </c>
      <c r="I718"/>
      <c r="J718" s="4"/>
      <c r="K718"/>
      <c r="M718" s="233" t="s">
        <v>1567</v>
      </c>
      <c r="N718" s="179" t="s">
        <v>321</v>
      </c>
      <c r="O718" s="179" t="s">
        <v>1651</v>
      </c>
      <c r="AG718" s="179" t="s">
        <v>2298</v>
      </c>
    </row>
    <row r="719" spans="1:33" hidden="1">
      <c r="A719" s="237">
        <f t="shared" si="41"/>
        <v>546</v>
      </c>
      <c r="B719" s="179" t="s">
        <v>1652</v>
      </c>
      <c r="C719" s="8">
        <v>97.24</v>
      </c>
      <c r="D719" s="1" t="s">
        <v>1748</v>
      </c>
      <c r="E719"/>
      <c r="I719"/>
      <c r="J719" s="4"/>
      <c r="K719"/>
      <c r="O719" s="183" t="s">
        <v>1615</v>
      </c>
      <c r="AG719" s="179" t="s">
        <v>2298</v>
      </c>
    </row>
    <row r="720" spans="1:33" hidden="1">
      <c r="A720" s="237">
        <f t="shared" si="41"/>
        <v>547</v>
      </c>
      <c r="B720" s="179" t="s">
        <v>1456</v>
      </c>
      <c r="C720" s="8">
        <v>168.96</v>
      </c>
      <c r="D720" s="1" t="s">
        <v>1748</v>
      </c>
      <c r="E720"/>
      <c r="F720" s="186">
        <v>19</v>
      </c>
      <c r="G720" s="185" t="s">
        <v>1457</v>
      </c>
      <c r="H720" s="179" t="s">
        <v>70</v>
      </c>
      <c r="I720" s="8">
        <f>K714</f>
        <v>14.1</v>
      </c>
      <c r="J720" s="2" t="s">
        <v>263</v>
      </c>
      <c r="K720" s="8">
        <f>(F720*I720)</f>
        <v>267.89999999999998</v>
      </c>
      <c r="M720" s="253">
        <v>2.35E-2</v>
      </c>
      <c r="N720" s="179" t="s">
        <v>885</v>
      </c>
      <c r="O720" s="179" t="s">
        <v>1338</v>
      </c>
      <c r="P720" s="186">
        <f>C86+2500</f>
        <v>23105</v>
      </c>
      <c r="Q720" s="179" t="s">
        <v>885</v>
      </c>
      <c r="R720" s="186">
        <f t="shared" ref="R720:R726" si="42">M720*P720</f>
        <v>542.97</v>
      </c>
      <c r="AG720" s="179" t="s">
        <v>2298</v>
      </c>
    </row>
    <row r="721" spans="1:33" hidden="1">
      <c r="A721" s="237">
        <f t="shared" si="41"/>
        <v>548</v>
      </c>
      <c r="B721" s="179" t="s">
        <v>2998</v>
      </c>
      <c r="C721" s="8">
        <v>227</v>
      </c>
      <c r="D721" s="8">
        <v>247</v>
      </c>
      <c r="E721"/>
      <c r="H721" s="179" t="s">
        <v>1691</v>
      </c>
      <c r="I721"/>
      <c r="J721" s="4"/>
      <c r="K721"/>
      <c r="M721" s="253">
        <v>0.872</v>
      </c>
      <c r="N721" s="179" t="s">
        <v>621</v>
      </c>
      <c r="O721" s="179" t="s">
        <v>1321</v>
      </c>
      <c r="P721" s="186">
        <f>C753</f>
        <v>381.37</v>
      </c>
      <c r="Q721" s="179" t="s">
        <v>621</v>
      </c>
      <c r="R721" s="186">
        <f t="shared" si="42"/>
        <v>332.55</v>
      </c>
      <c r="AG721" s="179" t="s">
        <v>2298</v>
      </c>
    </row>
    <row r="722" spans="1:33" hidden="1">
      <c r="A722" s="237">
        <f t="shared" si="41"/>
        <v>549</v>
      </c>
      <c r="B722" s="179" t="s">
        <v>2189</v>
      </c>
      <c r="C722" s="8">
        <v>250</v>
      </c>
      <c r="D722" s="1" t="s">
        <v>1748</v>
      </c>
      <c r="E722"/>
      <c r="F722" s="186">
        <v>0.12</v>
      </c>
      <c r="G722" s="185" t="s">
        <v>2190</v>
      </c>
      <c r="H722" s="179" t="s">
        <v>2999</v>
      </c>
      <c r="I722" s="8">
        <f>C268/5</f>
        <v>1879</v>
      </c>
      <c r="J722" s="2" t="s">
        <v>263</v>
      </c>
      <c r="K722" s="8">
        <f t="shared" ref="K722:K729" si="43">(F722*I722)</f>
        <v>225.48</v>
      </c>
      <c r="M722" s="253">
        <v>1.3247</v>
      </c>
      <c r="N722" s="179" t="s">
        <v>621</v>
      </c>
      <c r="O722" s="179" t="s">
        <v>2129</v>
      </c>
      <c r="P722" s="186">
        <f>C31</f>
        <v>342</v>
      </c>
      <c r="Q722" s="179" t="s">
        <v>621</v>
      </c>
      <c r="R722" s="186">
        <f t="shared" si="42"/>
        <v>453.05</v>
      </c>
      <c r="AG722" s="179" t="s">
        <v>2298</v>
      </c>
    </row>
    <row r="723" spans="1:33" hidden="1">
      <c r="A723" s="237">
        <f t="shared" si="41"/>
        <v>550</v>
      </c>
      <c r="B723" s="179" t="s">
        <v>841</v>
      </c>
      <c r="C723" s="8">
        <v>210</v>
      </c>
      <c r="D723" s="1" t="s">
        <v>1748</v>
      </c>
      <c r="E723"/>
      <c r="F723" s="186">
        <v>98.5</v>
      </c>
      <c r="G723" s="185" t="s">
        <v>842</v>
      </c>
      <c r="H723" s="179" t="s">
        <v>843</v>
      </c>
      <c r="I723" s="8">
        <f>C269/5</f>
        <v>3</v>
      </c>
      <c r="J723" s="2" t="s">
        <v>263</v>
      </c>
      <c r="K723" s="8">
        <f t="shared" si="43"/>
        <v>295.5</v>
      </c>
      <c r="M723" s="186">
        <v>1</v>
      </c>
      <c r="N723" s="179" t="s">
        <v>884</v>
      </c>
      <c r="O723" s="179" t="s">
        <v>1755</v>
      </c>
      <c r="P723" s="186">
        <f>C298</f>
        <v>10.5</v>
      </c>
      <c r="Q723" s="179" t="s">
        <v>884</v>
      </c>
      <c r="R723" s="186">
        <f t="shared" si="42"/>
        <v>10.5</v>
      </c>
      <c r="AG723" s="179" t="s">
        <v>2298</v>
      </c>
    </row>
    <row r="724" spans="1:33" hidden="1">
      <c r="A724" s="237">
        <f t="shared" si="41"/>
        <v>551</v>
      </c>
      <c r="B724" s="179" t="s">
        <v>3000</v>
      </c>
      <c r="C724" s="8">
        <v>1022.58</v>
      </c>
      <c r="D724" s="1" t="s">
        <v>621</v>
      </c>
      <c r="E724"/>
      <c r="F724" s="186">
        <v>1</v>
      </c>
      <c r="G724" s="185" t="s">
        <v>455</v>
      </c>
      <c r="H724" s="179" t="s">
        <v>1416</v>
      </c>
      <c r="I724" s="8">
        <v>11</v>
      </c>
      <c r="J724" s="2" t="s">
        <v>455</v>
      </c>
      <c r="K724" s="8">
        <f t="shared" si="43"/>
        <v>11</v>
      </c>
      <c r="M724" s="186">
        <v>3</v>
      </c>
      <c r="N724" s="179" t="s">
        <v>884</v>
      </c>
      <c r="O724" s="179" t="s">
        <v>1417</v>
      </c>
      <c r="P724" s="186">
        <f>C293</f>
        <v>5.75</v>
      </c>
      <c r="Q724" s="179" t="s">
        <v>884</v>
      </c>
      <c r="R724" s="186">
        <f t="shared" si="42"/>
        <v>17.25</v>
      </c>
      <c r="AG724" s="179" t="s">
        <v>2298</v>
      </c>
    </row>
    <row r="725" spans="1:33" hidden="1">
      <c r="A725" s="237">
        <f t="shared" si="41"/>
        <v>552</v>
      </c>
      <c r="B725" s="179" t="s">
        <v>1418</v>
      </c>
      <c r="C725"/>
      <c r="D725" s="1" t="s">
        <v>992</v>
      </c>
      <c r="E725"/>
      <c r="F725" s="186">
        <v>3.8</v>
      </c>
      <c r="G725" s="185" t="s">
        <v>1419</v>
      </c>
      <c r="H725" s="179" t="s">
        <v>1420</v>
      </c>
      <c r="I725" s="8">
        <f>C16</f>
        <v>150</v>
      </c>
      <c r="J725" s="2" t="s">
        <v>1423</v>
      </c>
      <c r="K725" s="8">
        <f t="shared" si="43"/>
        <v>570</v>
      </c>
      <c r="M725" s="186">
        <v>1</v>
      </c>
      <c r="N725" s="179" t="s">
        <v>884</v>
      </c>
      <c r="O725" s="179" t="s">
        <v>1421</v>
      </c>
      <c r="P725" s="186">
        <f>C301</f>
        <v>10</v>
      </c>
      <c r="Q725" s="179" t="s">
        <v>884</v>
      </c>
      <c r="R725" s="186">
        <f t="shared" si="42"/>
        <v>10</v>
      </c>
      <c r="AG725" s="179" t="s">
        <v>2298</v>
      </c>
    </row>
    <row r="726" spans="1:33" hidden="1">
      <c r="A726" s="237">
        <f t="shared" si="41"/>
        <v>553</v>
      </c>
      <c r="B726" s="179" t="s">
        <v>1422</v>
      </c>
      <c r="C726"/>
      <c r="D726"/>
      <c r="E726"/>
      <c r="F726" s="186">
        <v>5.4</v>
      </c>
      <c r="G726" s="185" t="s">
        <v>1419</v>
      </c>
      <c r="H726" s="179" t="s">
        <v>839</v>
      </c>
      <c r="I726" s="8">
        <f>C12</f>
        <v>95</v>
      </c>
      <c r="J726" s="2" t="s">
        <v>1423</v>
      </c>
      <c r="K726" s="8">
        <f t="shared" si="43"/>
        <v>513</v>
      </c>
      <c r="M726" s="186">
        <v>1</v>
      </c>
      <c r="N726" s="179" t="s">
        <v>884</v>
      </c>
      <c r="O726" s="179" t="s">
        <v>2016</v>
      </c>
      <c r="P726" s="186">
        <f>C302</f>
        <v>4</v>
      </c>
      <c r="Q726" s="179" t="s">
        <v>884</v>
      </c>
      <c r="R726" s="186">
        <f t="shared" si="42"/>
        <v>4</v>
      </c>
      <c r="AG726" s="179" t="s">
        <v>2298</v>
      </c>
    </row>
    <row r="727" spans="1:33" hidden="1">
      <c r="A727" s="237">
        <f t="shared" si="41"/>
        <v>554</v>
      </c>
      <c r="B727" s="179" t="s">
        <v>2217</v>
      </c>
      <c r="C727" s="8">
        <v>300</v>
      </c>
      <c r="D727" s="1" t="s">
        <v>2324</v>
      </c>
      <c r="E727"/>
      <c r="F727" s="186">
        <v>1</v>
      </c>
      <c r="G727" s="185" t="s">
        <v>1419</v>
      </c>
      <c r="H727" s="179" t="s">
        <v>2325</v>
      </c>
      <c r="I727" s="8">
        <f>C66</f>
        <v>120</v>
      </c>
      <c r="J727" s="2" t="s">
        <v>1423</v>
      </c>
      <c r="K727" s="8">
        <f t="shared" si="43"/>
        <v>120</v>
      </c>
      <c r="N727" s="179" t="s">
        <v>455</v>
      </c>
      <c r="O727" s="179" t="s">
        <v>456</v>
      </c>
      <c r="Q727" s="179" t="s">
        <v>455</v>
      </c>
      <c r="R727" s="186">
        <v>0</v>
      </c>
      <c r="AG727" s="179" t="s">
        <v>2298</v>
      </c>
    </row>
    <row r="728" spans="1:33" hidden="1">
      <c r="A728" s="237">
        <f t="shared" si="41"/>
        <v>555</v>
      </c>
      <c r="B728" s="233" t="s">
        <v>790</v>
      </c>
      <c r="C728" s="8">
        <v>302</v>
      </c>
      <c r="D728" s="1" t="s">
        <v>2324</v>
      </c>
      <c r="E728"/>
      <c r="F728" s="186">
        <v>1</v>
      </c>
      <c r="G728" s="185" t="s">
        <v>455</v>
      </c>
      <c r="H728" s="179" t="s">
        <v>791</v>
      </c>
      <c r="I728" s="8">
        <v>10</v>
      </c>
      <c r="J728" s="2" t="s">
        <v>455</v>
      </c>
      <c r="K728" s="8">
        <f t="shared" si="43"/>
        <v>10</v>
      </c>
      <c r="R728" s="183" t="s">
        <v>1615</v>
      </c>
      <c r="AG728" s="179" t="s">
        <v>2298</v>
      </c>
    </row>
    <row r="729" spans="1:33" hidden="1">
      <c r="A729" s="237">
        <f t="shared" si="41"/>
        <v>556</v>
      </c>
      <c r="B729" s="179" t="s">
        <v>792</v>
      </c>
      <c r="C729" s="8">
        <v>382</v>
      </c>
      <c r="D729" s="1" t="s">
        <v>2324</v>
      </c>
      <c r="E729"/>
      <c r="F729" s="186">
        <v>19</v>
      </c>
      <c r="G729" s="185" t="s">
        <v>1457</v>
      </c>
      <c r="H729" s="179" t="s">
        <v>793</v>
      </c>
      <c r="I729" s="8">
        <v>2</v>
      </c>
      <c r="J729" s="2" t="s">
        <v>1457</v>
      </c>
      <c r="K729" s="8">
        <f t="shared" si="43"/>
        <v>38</v>
      </c>
      <c r="O729" s="233" t="s">
        <v>760</v>
      </c>
      <c r="R729" s="186">
        <f>SUM(R720:R727)</f>
        <v>1370.32</v>
      </c>
      <c r="AG729" s="179" t="s">
        <v>2298</v>
      </c>
    </row>
    <row r="730" spans="1:33" hidden="1">
      <c r="A730" s="237">
        <f t="shared" si="41"/>
        <v>557</v>
      </c>
      <c r="B730" s="179" t="s">
        <v>580</v>
      </c>
      <c r="C730" s="8">
        <v>140</v>
      </c>
      <c r="D730" s="1" t="s">
        <v>2324</v>
      </c>
      <c r="E730"/>
      <c r="H730" s="179" t="s">
        <v>510</v>
      </c>
      <c r="I730"/>
      <c r="J730" s="4"/>
      <c r="K730" s="5" t="s">
        <v>1615</v>
      </c>
      <c r="R730" s="183" t="s">
        <v>1615</v>
      </c>
      <c r="AG730" s="179" t="s">
        <v>326</v>
      </c>
    </row>
    <row r="731" spans="1:33" hidden="1">
      <c r="A731" s="237">
        <f t="shared" si="41"/>
        <v>558</v>
      </c>
      <c r="B731" s="179" t="s">
        <v>854</v>
      </c>
      <c r="C731" s="8">
        <v>222</v>
      </c>
      <c r="D731" s="1" t="s">
        <v>2324</v>
      </c>
      <c r="E731"/>
      <c r="H731" s="233" t="s">
        <v>447</v>
      </c>
      <c r="I731"/>
      <c r="J731" s="4"/>
      <c r="K731" s="8">
        <f>SUM(K720:K729)</f>
        <v>2050.88</v>
      </c>
      <c r="O731" s="233" t="s">
        <v>562</v>
      </c>
      <c r="R731" s="186">
        <f>R729/1.3247</f>
        <v>1034.44</v>
      </c>
    </row>
    <row r="732" spans="1:33" hidden="1">
      <c r="A732" s="237">
        <f t="shared" si="41"/>
        <v>559</v>
      </c>
      <c r="B732" s="179" t="s">
        <v>624</v>
      </c>
      <c r="C732" s="8">
        <v>505</v>
      </c>
      <c r="D732" s="1" t="s">
        <v>2324</v>
      </c>
      <c r="E732"/>
      <c r="I732"/>
      <c r="J732" s="4"/>
      <c r="K732" s="5" t="s">
        <v>1615</v>
      </c>
      <c r="R732" s="183" t="s">
        <v>2091</v>
      </c>
    </row>
    <row r="733" spans="1:33" hidden="1">
      <c r="A733" s="237">
        <f t="shared" si="41"/>
        <v>560</v>
      </c>
      <c r="B733" s="179" t="s">
        <v>753</v>
      </c>
      <c r="C733" s="8">
        <v>75</v>
      </c>
      <c r="D733" s="1" t="s">
        <v>1748</v>
      </c>
      <c r="E733"/>
      <c r="H733" s="233" t="s">
        <v>562</v>
      </c>
      <c r="I733"/>
      <c r="J733" s="4"/>
      <c r="K733" s="8">
        <f>(K731/10)</f>
        <v>205.09</v>
      </c>
      <c r="N733" s="179" t="s">
        <v>2290</v>
      </c>
      <c r="O733" s="179" t="s">
        <v>2323</v>
      </c>
      <c r="AG733" s="179" t="s">
        <v>2298</v>
      </c>
    </row>
    <row r="734" spans="1:33" hidden="1">
      <c r="C734"/>
      <c r="D734"/>
      <c r="E734"/>
      <c r="F734" s="179" t="s">
        <v>992</v>
      </c>
      <c r="I734"/>
      <c r="J734" s="4"/>
      <c r="K734"/>
    </row>
    <row r="735" spans="1:33" hidden="1">
      <c r="A735" s="237">
        <f>(A733+1)</f>
        <v>561</v>
      </c>
      <c r="B735" s="179" t="s">
        <v>102</v>
      </c>
      <c r="C735" s="8">
        <v>43.3</v>
      </c>
      <c r="D735" s="1" t="s">
        <v>1805</v>
      </c>
      <c r="E735"/>
      <c r="I735"/>
      <c r="J735" s="4"/>
      <c r="K735" s="5" t="s">
        <v>2091</v>
      </c>
      <c r="O735" s="179" t="s">
        <v>2150</v>
      </c>
      <c r="AG735" s="179" t="s">
        <v>2298</v>
      </c>
    </row>
    <row r="736" spans="1:33" hidden="1">
      <c r="A736" s="237">
        <f t="shared" ref="A736:A753" si="44">(A735+1)</f>
        <v>562</v>
      </c>
      <c r="B736" s="179" t="s">
        <v>2151</v>
      </c>
      <c r="C736" s="8">
        <v>218</v>
      </c>
      <c r="D736" s="1" t="s">
        <v>1748</v>
      </c>
      <c r="E736"/>
      <c r="F736" s="233" t="s">
        <v>1516</v>
      </c>
      <c r="G736" s="185" t="s">
        <v>2290</v>
      </c>
      <c r="H736" s="179" t="s">
        <v>729</v>
      </c>
      <c r="I736"/>
      <c r="J736" s="4"/>
      <c r="K736"/>
      <c r="O736" s="179" t="s">
        <v>730</v>
      </c>
      <c r="AG736" s="179" t="s">
        <v>2298</v>
      </c>
    </row>
    <row r="737" spans="1:33" hidden="1">
      <c r="A737" s="237">
        <f t="shared" si="44"/>
        <v>563</v>
      </c>
      <c r="B737" s="179" t="s">
        <v>731</v>
      </c>
      <c r="C737" s="8">
        <v>926</v>
      </c>
      <c r="D737" s="1" t="s">
        <v>1748</v>
      </c>
      <c r="E737"/>
      <c r="H737" s="179" t="s">
        <v>732</v>
      </c>
      <c r="I737"/>
      <c r="J737" s="4"/>
      <c r="K737"/>
      <c r="O737" s="179" t="s">
        <v>88</v>
      </c>
      <c r="AG737" s="179" t="s">
        <v>2298</v>
      </c>
    </row>
    <row r="738" spans="1:33" hidden="1">
      <c r="A738" s="237">
        <f t="shared" si="44"/>
        <v>564</v>
      </c>
      <c r="B738" s="179" t="s">
        <v>89</v>
      </c>
      <c r="C738" s="8">
        <v>5.15</v>
      </c>
      <c r="D738" s="1" t="s">
        <v>1805</v>
      </c>
      <c r="E738"/>
      <c r="H738" s="179" t="s">
        <v>2312</v>
      </c>
      <c r="I738"/>
      <c r="J738" s="4"/>
      <c r="K738"/>
      <c r="O738" s="183" t="s">
        <v>1615</v>
      </c>
      <c r="AG738" s="179" t="s">
        <v>2298</v>
      </c>
    </row>
    <row r="739" spans="1:33" hidden="1">
      <c r="A739" s="237">
        <f t="shared" si="44"/>
        <v>565</v>
      </c>
      <c r="B739" s="179" t="s">
        <v>577</v>
      </c>
      <c r="C739" s="8">
        <v>550</v>
      </c>
      <c r="D739" s="1" t="s">
        <v>1748</v>
      </c>
      <c r="E739"/>
      <c r="H739" s="183" t="s">
        <v>1615</v>
      </c>
      <c r="I739"/>
      <c r="J739" s="4"/>
      <c r="K739"/>
      <c r="AG739" s="179" t="s">
        <v>2298</v>
      </c>
    </row>
    <row r="740" spans="1:33" hidden="1">
      <c r="A740" s="237">
        <f t="shared" si="44"/>
        <v>566</v>
      </c>
      <c r="B740" s="179" t="s">
        <v>995</v>
      </c>
      <c r="C740" s="8">
        <v>286</v>
      </c>
      <c r="D740" s="1" t="s">
        <v>1748</v>
      </c>
      <c r="E740"/>
      <c r="F740" s="186">
        <v>10</v>
      </c>
      <c r="G740" s="185" t="s">
        <v>621</v>
      </c>
      <c r="H740" s="179" t="s">
        <v>914</v>
      </c>
      <c r="I740" s="8">
        <f>(K720)*1.2</f>
        <v>321.48</v>
      </c>
      <c r="J740" s="2" t="s">
        <v>263</v>
      </c>
      <c r="K740" s="8">
        <f>(F740*I740)/10</f>
        <v>321.48</v>
      </c>
      <c r="O740" s="179" t="s">
        <v>915</v>
      </c>
      <c r="R740" s="186">
        <f>(C693)</f>
        <v>1183.82</v>
      </c>
      <c r="AG740" s="179" t="s">
        <v>2298</v>
      </c>
    </row>
    <row r="741" spans="1:33" hidden="1">
      <c r="A741" s="237">
        <f t="shared" si="44"/>
        <v>567</v>
      </c>
      <c r="B741" s="179" t="s">
        <v>916</v>
      </c>
      <c r="C741" s="8">
        <v>96.3</v>
      </c>
      <c r="D741" s="1" t="s">
        <v>1805</v>
      </c>
      <c r="E741"/>
      <c r="H741" s="179" t="s">
        <v>917</v>
      </c>
      <c r="I741"/>
      <c r="J741" s="4"/>
      <c r="K741"/>
      <c r="R741" s="183" t="s">
        <v>2091</v>
      </c>
      <c r="AG741" s="179" t="s">
        <v>2298</v>
      </c>
    </row>
    <row r="742" spans="1:33" hidden="1">
      <c r="A742" s="237">
        <f t="shared" si="44"/>
        <v>568</v>
      </c>
      <c r="B742" s="179" t="s">
        <v>855</v>
      </c>
      <c r="C742" s="8">
        <v>51</v>
      </c>
      <c r="D742" s="1" t="s">
        <v>1748</v>
      </c>
      <c r="E742"/>
      <c r="H742" s="179" t="s">
        <v>856</v>
      </c>
      <c r="I742"/>
      <c r="J742" s="4"/>
      <c r="K742"/>
      <c r="AG742" s="179" t="s">
        <v>2298</v>
      </c>
    </row>
    <row r="743" spans="1:33" hidden="1">
      <c r="A743" s="237">
        <f t="shared" si="44"/>
        <v>569</v>
      </c>
      <c r="B743" s="179" t="s">
        <v>564</v>
      </c>
      <c r="C743" s="8">
        <v>181</v>
      </c>
      <c r="D743" s="1" t="s">
        <v>799</v>
      </c>
      <c r="E743"/>
      <c r="F743" s="186">
        <v>10</v>
      </c>
      <c r="G743" s="185" t="s">
        <v>621</v>
      </c>
      <c r="H743" s="179" t="s">
        <v>565</v>
      </c>
      <c r="I743" s="8">
        <f>K722*1.2</f>
        <v>270.58</v>
      </c>
      <c r="J743" s="2" t="s">
        <v>263</v>
      </c>
      <c r="K743" s="8">
        <f>(F743*I743)/10</f>
        <v>270.58</v>
      </c>
      <c r="N743" s="179" t="s">
        <v>2290</v>
      </c>
      <c r="O743" s="179" t="s">
        <v>566</v>
      </c>
      <c r="AG743" s="179" t="s">
        <v>2298</v>
      </c>
    </row>
    <row r="744" spans="1:33" hidden="1">
      <c r="A744" s="237">
        <f t="shared" si="44"/>
        <v>570</v>
      </c>
      <c r="B744" s="179" t="s">
        <v>567</v>
      </c>
      <c r="C744" s="8">
        <v>36.200000000000003</v>
      </c>
      <c r="D744" s="1" t="s">
        <v>1805</v>
      </c>
      <c r="E744"/>
      <c r="H744" s="179" t="s">
        <v>1020</v>
      </c>
      <c r="I744"/>
      <c r="J744" s="4"/>
      <c r="K744"/>
      <c r="O744" s="183" t="s">
        <v>2091</v>
      </c>
      <c r="P744" s="183" t="s">
        <v>2091</v>
      </c>
      <c r="Q744" s="183" t="s">
        <v>2091</v>
      </c>
      <c r="R744" s="179" t="s">
        <v>1021</v>
      </c>
      <c r="AG744" s="179" t="s">
        <v>2298</v>
      </c>
    </row>
    <row r="745" spans="1:33" hidden="1">
      <c r="A745" s="237">
        <f t="shared" si="44"/>
        <v>571</v>
      </c>
      <c r="B745" s="179" t="s">
        <v>670</v>
      </c>
      <c r="C745" s="8">
        <v>98</v>
      </c>
      <c r="D745" s="1" t="s">
        <v>1748</v>
      </c>
      <c r="E745"/>
      <c r="H745" s="179" t="s">
        <v>832</v>
      </c>
      <c r="I745"/>
      <c r="J745" s="4"/>
      <c r="K745"/>
      <c r="O745" s="179" t="s">
        <v>1458</v>
      </c>
      <c r="Q745" s="233" t="s">
        <v>842</v>
      </c>
      <c r="R745" s="186">
        <f>(C696)</f>
        <v>147.6</v>
      </c>
      <c r="AG745" s="179" t="s">
        <v>2298</v>
      </c>
    </row>
    <row r="746" spans="1:33" hidden="1">
      <c r="A746" s="237">
        <f t="shared" si="44"/>
        <v>572</v>
      </c>
      <c r="B746" s="179" t="s">
        <v>1995</v>
      </c>
      <c r="C746" s="8">
        <v>92</v>
      </c>
      <c r="D746" s="1" t="s">
        <v>1805</v>
      </c>
      <c r="E746"/>
      <c r="F746" s="186">
        <v>98.5</v>
      </c>
      <c r="G746" s="185" t="s">
        <v>842</v>
      </c>
      <c r="H746" s="179" t="s">
        <v>843</v>
      </c>
      <c r="I746" s="8">
        <f>C269/5</f>
        <v>3</v>
      </c>
      <c r="J746" s="2" t="s">
        <v>263</v>
      </c>
      <c r="K746" s="8">
        <f t="shared" ref="K746:K752" si="45">(F746*I746)</f>
        <v>295.5</v>
      </c>
      <c r="O746" s="179" t="s">
        <v>2120</v>
      </c>
      <c r="AG746" s="179" t="s">
        <v>2298</v>
      </c>
    </row>
    <row r="747" spans="1:33" hidden="1">
      <c r="A747" s="237">
        <f t="shared" si="44"/>
        <v>573</v>
      </c>
      <c r="B747" s="179" t="s">
        <v>329</v>
      </c>
      <c r="C747" s="8">
        <v>49.42</v>
      </c>
      <c r="D747" s="1" t="s">
        <v>1748</v>
      </c>
      <c r="E747"/>
      <c r="F747" s="186">
        <v>3.8</v>
      </c>
      <c r="G747" s="185" t="s">
        <v>785</v>
      </c>
      <c r="H747" s="179" t="s">
        <v>507</v>
      </c>
      <c r="I747" s="8">
        <f>(C16)</f>
        <v>150</v>
      </c>
      <c r="J747" s="2" t="s">
        <v>785</v>
      </c>
      <c r="K747" s="8">
        <f t="shared" si="45"/>
        <v>570</v>
      </c>
      <c r="O747" s="179" t="s">
        <v>330</v>
      </c>
      <c r="AG747" s="179" t="s">
        <v>2298</v>
      </c>
    </row>
    <row r="748" spans="1:33" hidden="1">
      <c r="A748" s="237">
        <f t="shared" si="44"/>
        <v>574</v>
      </c>
      <c r="B748" s="179" t="s">
        <v>728</v>
      </c>
      <c r="C748" s="8">
        <v>53.2</v>
      </c>
      <c r="D748" s="1" t="s">
        <v>1748</v>
      </c>
      <c r="E748"/>
      <c r="F748" s="186">
        <v>5.4</v>
      </c>
      <c r="G748" s="185" t="s">
        <v>785</v>
      </c>
      <c r="H748" s="179" t="s">
        <v>1937</v>
      </c>
      <c r="I748" s="8">
        <f>(C12)</f>
        <v>95</v>
      </c>
      <c r="J748" s="2" t="s">
        <v>785</v>
      </c>
      <c r="K748" s="8">
        <f t="shared" si="45"/>
        <v>513</v>
      </c>
      <c r="O748" s="179" t="s">
        <v>1063</v>
      </c>
      <c r="AG748" s="179" t="s">
        <v>2298</v>
      </c>
    </row>
    <row r="749" spans="1:33" hidden="1">
      <c r="A749" s="237">
        <f t="shared" si="44"/>
        <v>575</v>
      </c>
      <c r="B749" s="179" t="s">
        <v>1064</v>
      </c>
      <c r="C749" s="8">
        <v>59</v>
      </c>
      <c r="D749" s="1" t="s">
        <v>1748</v>
      </c>
      <c r="E749"/>
      <c r="F749" s="186">
        <v>1</v>
      </c>
      <c r="G749" s="185" t="s">
        <v>785</v>
      </c>
      <c r="H749" s="179" t="s">
        <v>2325</v>
      </c>
      <c r="I749" s="8">
        <f>C66</f>
        <v>120</v>
      </c>
      <c r="J749" s="2" t="s">
        <v>1423</v>
      </c>
      <c r="K749" s="8">
        <f t="shared" si="45"/>
        <v>120</v>
      </c>
      <c r="O749" s="179" t="s">
        <v>1122</v>
      </c>
      <c r="AG749" s="179" t="s">
        <v>2298</v>
      </c>
    </row>
    <row r="750" spans="1:33" hidden="1">
      <c r="A750" s="237">
        <f t="shared" si="44"/>
        <v>576</v>
      </c>
      <c r="B750" s="179" t="s">
        <v>978</v>
      </c>
      <c r="C750" s="8">
        <v>100</v>
      </c>
      <c r="D750" s="1" t="s">
        <v>1748</v>
      </c>
      <c r="E750"/>
      <c r="F750" s="186">
        <v>1</v>
      </c>
      <c r="G750" s="185" t="s">
        <v>455</v>
      </c>
      <c r="H750" s="179" t="s">
        <v>979</v>
      </c>
      <c r="I750" s="8">
        <v>11</v>
      </c>
      <c r="J750" s="2" t="s">
        <v>1423</v>
      </c>
      <c r="K750" s="8">
        <f t="shared" si="45"/>
        <v>11</v>
      </c>
      <c r="O750" s="179" t="s">
        <v>1131</v>
      </c>
      <c r="R750" s="179" t="s">
        <v>992</v>
      </c>
      <c r="AG750" s="179" t="s">
        <v>2298</v>
      </c>
    </row>
    <row r="751" spans="1:33" hidden="1">
      <c r="A751" s="237">
        <f t="shared" si="44"/>
        <v>577</v>
      </c>
      <c r="B751" s="179" t="s">
        <v>1132</v>
      </c>
      <c r="C751" s="8">
        <v>49.52</v>
      </c>
      <c r="D751" s="1" t="s">
        <v>1805</v>
      </c>
      <c r="E751"/>
      <c r="F751" s="186">
        <v>1</v>
      </c>
      <c r="G751" s="185" t="s">
        <v>455</v>
      </c>
      <c r="H751" s="179" t="s">
        <v>1322</v>
      </c>
      <c r="I751" s="8">
        <v>10</v>
      </c>
      <c r="J751" s="2" t="s">
        <v>455</v>
      </c>
      <c r="K751" s="8">
        <f t="shared" si="45"/>
        <v>10</v>
      </c>
      <c r="O751" s="179" t="s">
        <v>992</v>
      </c>
      <c r="AG751" s="179" t="s">
        <v>2298</v>
      </c>
    </row>
    <row r="752" spans="1:33" hidden="1">
      <c r="A752" s="237">
        <f t="shared" si="44"/>
        <v>578</v>
      </c>
      <c r="B752" s="179" t="s">
        <v>2163</v>
      </c>
      <c r="C752" s="8">
        <v>1080</v>
      </c>
      <c r="D752" s="1" t="s">
        <v>1748</v>
      </c>
      <c r="E752"/>
      <c r="F752" s="186">
        <v>19</v>
      </c>
      <c r="G752" s="185" t="s">
        <v>1457</v>
      </c>
      <c r="H752" s="179" t="s">
        <v>2164</v>
      </c>
      <c r="I752" s="8">
        <v>2</v>
      </c>
      <c r="J752" s="4" t="s">
        <v>1457</v>
      </c>
      <c r="K752" s="8">
        <f t="shared" si="45"/>
        <v>38</v>
      </c>
      <c r="AG752" s="179" t="s">
        <v>2298</v>
      </c>
    </row>
    <row r="753" spans="1:33" hidden="1">
      <c r="A753" s="237">
        <f t="shared" si="44"/>
        <v>579</v>
      </c>
      <c r="B753" s="179" t="s">
        <v>3001</v>
      </c>
      <c r="C753" s="8">
        <v>381.37</v>
      </c>
      <c r="D753" s="1" t="s">
        <v>621</v>
      </c>
      <c r="E753"/>
      <c r="H753" s="179" t="s">
        <v>77</v>
      </c>
      <c r="I753"/>
      <c r="J753" s="4"/>
      <c r="K753"/>
      <c r="N753" s="179" t="s">
        <v>2290</v>
      </c>
      <c r="O753" s="179" t="s">
        <v>2165</v>
      </c>
      <c r="Q753" s="233" t="s">
        <v>2322</v>
      </c>
      <c r="R753" s="186">
        <f>(C700)</f>
        <v>1250</v>
      </c>
      <c r="AG753" s="179" t="s">
        <v>2298</v>
      </c>
    </row>
    <row r="754" spans="1:33" hidden="1">
      <c r="A754" s="237" t="e">
        <f>(#REF!+1)</f>
        <v>#REF!</v>
      </c>
      <c r="B754" s="179" t="s">
        <v>1422</v>
      </c>
      <c r="C754"/>
      <c r="D754"/>
      <c r="E754"/>
      <c r="I754"/>
      <c r="J754" s="4"/>
      <c r="K754" s="5" t="s">
        <v>1615</v>
      </c>
      <c r="O754" s="179" t="s">
        <v>1715</v>
      </c>
      <c r="AG754" s="179" t="s">
        <v>2298</v>
      </c>
    </row>
    <row r="755" spans="1:33" hidden="1">
      <c r="A755" s="237"/>
      <c r="B755" s="179" t="s">
        <v>2217</v>
      </c>
      <c r="C755" s="8">
        <v>300</v>
      </c>
      <c r="D755"/>
      <c r="E755"/>
      <c r="H755" s="179" t="s">
        <v>447</v>
      </c>
      <c r="I755"/>
      <c r="J755" s="4"/>
      <c r="K755" s="8">
        <f>SUM(K740:K753)</f>
        <v>2149.56</v>
      </c>
      <c r="O755" s="179" t="s">
        <v>322</v>
      </c>
      <c r="AG755" s="179" t="s">
        <v>2298</v>
      </c>
    </row>
    <row r="756" spans="1:33" hidden="1">
      <c r="A756" s="237"/>
      <c r="B756" s="233" t="s">
        <v>790</v>
      </c>
      <c r="C756" s="8">
        <v>302</v>
      </c>
      <c r="D756"/>
      <c r="E756"/>
      <c r="I756"/>
      <c r="J756" s="4"/>
      <c r="K756" s="5" t="s">
        <v>1615</v>
      </c>
      <c r="O756" s="179" t="s">
        <v>1291</v>
      </c>
      <c r="AG756" s="179" t="s">
        <v>2298</v>
      </c>
    </row>
    <row r="757" spans="1:33" hidden="1">
      <c r="A757" s="237"/>
      <c r="B757" s="179" t="s">
        <v>1292</v>
      </c>
      <c r="C757" s="8">
        <v>324</v>
      </c>
      <c r="D757"/>
      <c r="E757"/>
      <c r="H757" s="179" t="s">
        <v>562</v>
      </c>
      <c r="I757"/>
      <c r="J757" s="4"/>
      <c r="K757" s="8">
        <f>(K755/10)</f>
        <v>214.96</v>
      </c>
      <c r="AG757" s="179" t="s">
        <v>2298</v>
      </c>
    </row>
    <row r="758" spans="1:33" hidden="1">
      <c r="A758" s="237"/>
      <c r="B758" s="179" t="s">
        <v>792</v>
      </c>
      <c r="C758" s="8">
        <v>382</v>
      </c>
      <c r="D758"/>
      <c r="E758"/>
      <c r="I758"/>
      <c r="J758" s="4"/>
      <c r="K758" s="5" t="s">
        <v>2091</v>
      </c>
      <c r="N758" s="179" t="s">
        <v>2290</v>
      </c>
      <c r="O758" s="179" t="s">
        <v>604</v>
      </c>
      <c r="AG758" s="179" t="s">
        <v>2298</v>
      </c>
    </row>
    <row r="759" spans="1:33" hidden="1">
      <c r="A759" s="237"/>
      <c r="B759" s="179" t="s">
        <v>624</v>
      </c>
      <c r="C759" s="8">
        <v>505</v>
      </c>
      <c r="D759"/>
      <c r="E759"/>
      <c r="I759"/>
      <c r="J759" s="4"/>
      <c r="K759"/>
      <c r="O759" s="179" t="s">
        <v>2126</v>
      </c>
      <c r="R759" s="179" t="s">
        <v>992</v>
      </c>
      <c r="AG759" s="179" t="s">
        <v>2298</v>
      </c>
    </row>
    <row r="760" spans="1:33" hidden="1">
      <c r="A760" s="237"/>
      <c r="B760" s="179" t="s">
        <v>580</v>
      </c>
      <c r="C760" s="8">
        <v>140</v>
      </c>
      <c r="D760"/>
      <c r="E760"/>
      <c r="F760" s="233" t="s">
        <v>901</v>
      </c>
      <c r="G760" s="185" t="s">
        <v>2290</v>
      </c>
      <c r="H760" s="179" t="s">
        <v>729</v>
      </c>
      <c r="I760"/>
      <c r="J760" s="4"/>
      <c r="K760"/>
      <c r="O760" s="179" t="s">
        <v>2127</v>
      </c>
      <c r="AG760" s="179" t="s">
        <v>2298</v>
      </c>
    </row>
    <row r="761" spans="1:33" hidden="1">
      <c r="A761" s="237"/>
      <c r="B761" s="179" t="s">
        <v>854</v>
      </c>
      <c r="C761" s="8">
        <v>222</v>
      </c>
      <c r="D761"/>
      <c r="E761"/>
      <c r="H761" s="179" t="s">
        <v>732</v>
      </c>
      <c r="I761"/>
      <c r="J761" s="4"/>
      <c r="K761"/>
      <c r="O761" s="183" t="s">
        <v>1615</v>
      </c>
      <c r="AG761" s="179" t="s">
        <v>2298</v>
      </c>
    </row>
    <row r="762" spans="1:33" hidden="1">
      <c r="A762" s="237"/>
      <c r="B762" s="179" t="s">
        <v>745</v>
      </c>
      <c r="C762" s="8">
        <v>100</v>
      </c>
      <c r="D762"/>
      <c r="E762"/>
      <c r="H762" s="179" t="s">
        <v>281</v>
      </c>
      <c r="I762"/>
      <c r="J762" s="4"/>
      <c r="K762"/>
      <c r="N762" s="179" t="s">
        <v>236</v>
      </c>
      <c r="O762" s="179" t="s">
        <v>503</v>
      </c>
      <c r="P762" s="186">
        <f>(C271)</f>
        <v>160</v>
      </c>
      <c r="Q762" s="179" t="s">
        <v>236</v>
      </c>
      <c r="R762" s="186" t="e">
        <f>(#VALUE!*P762)</f>
        <v>#VALUE!</v>
      </c>
      <c r="AG762" s="179" t="s">
        <v>2298</v>
      </c>
    </row>
    <row r="763" spans="1:33" hidden="1">
      <c r="A763" s="237"/>
      <c r="B763" s="179" t="s">
        <v>504</v>
      </c>
      <c r="C763" s="8">
        <v>75</v>
      </c>
      <c r="D763"/>
      <c r="E763"/>
      <c r="H763" s="183" t="s">
        <v>1615</v>
      </c>
      <c r="I763"/>
      <c r="J763" s="4"/>
      <c r="K763"/>
      <c r="AG763" s="179" t="s">
        <v>2298</v>
      </c>
    </row>
    <row r="764" spans="1:33" hidden="1">
      <c r="A764" s="237"/>
      <c r="B764" s="179" t="s">
        <v>1178</v>
      </c>
      <c r="C764" s="8">
        <v>218</v>
      </c>
      <c r="D764"/>
      <c r="E764"/>
      <c r="H764" s="179" t="s">
        <v>1179</v>
      </c>
      <c r="I764"/>
      <c r="J764" s="4"/>
      <c r="K764" s="8">
        <f>(K695/2)</f>
        <v>123.27</v>
      </c>
      <c r="N764" s="179" t="s">
        <v>1180</v>
      </c>
      <c r="O764" s="179" t="s">
        <v>278</v>
      </c>
      <c r="P764" s="186">
        <f>(C16)</f>
        <v>150</v>
      </c>
      <c r="Q764" s="179" t="s">
        <v>1180</v>
      </c>
      <c r="R764" s="186" t="e">
        <f>(#VALUE!*P764)</f>
        <v>#VALUE!</v>
      </c>
      <c r="AG764" s="179" t="s">
        <v>2298</v>
      </c>
    </row>
    <row r="765" spans="1:33" hidden="1">
      <c r="A765" s="237"/>
      <c r="B765" s="179" t="s">
        <v>279</v>
      </c>
      <c r="C765" s="8">
        <v>1854</v>
      </c>
      <c r="D765"/>
      <c r="E765"/>
      <c r="H765" s="179" t="s">
        <v>280</v>
      </c>
      <c r="I765"/>
      <c r="J765" s="4"/>
      <c r="K765" s="5" t="s">
        <v>2091</v>
      </c>
      <c r="AG765" s="179" t="s">
        <v>2298</v>
      </c>
    </row>
    <row r="766" spans="1:33" hidden="1">
      <c r="C766"/>
      <c r="D766"/>
      <c r="E766"/>
      <c r="I766"/>
      <c r="J766" s="4"/>
      <c r="K766"/>
    </row>
    <row r="767" spans="1:33" hidden="1">
      <c r="A767" s="237"/>
      <c r="B767" s="179" t="s">
        <v>164</v>
      </c>
      <c r="C767" s="8">
        <v>51</v>
      </c>
      <c r="D767"/>
      <c r="E767"/>
      <c r="F767" s="233" t="s">
        <v>165</v>
      </c>
      <c r="G767" s="185" t="s">
        <v>2290</v>
      </c>
      <c r="H767" s="179" t="s">
        <v>166</v>
      </c>
      <c r="I767"/>
      <c r="J767" s="4"/>
      <c r="K767"/>
      <c r="O767" s="179" t="s">
        <v>1350</v>
      </c>
      <c r="P767" s="187" t="s">
        <v>455</v>
      </c>
      <c r="R767" s="186">
        <v>0.64</v>
      </c>
      <c r="AG767" s="179" t="s">
        <v>2298</v>
      </c>
    </row>
    <row r="768" spans="1:33" hidden="1">
      <c r="A768" s="237"/>
      <c r="B768" s="179" t="s">
        <v>1406</v>
      </c>
      <c r="C768" s="8">
        <v>915</v>
      </c>
      <c r="D768"/>
      <c r="E768"/>
      <c r="H768" s="179" t="s">
        <v>1407</v>
      </c>
      <c r="I768"/>
      <c r="J768" s="4"/>
      <c r="K768"/>
      <c r="R768" s="183" t="s">
        <v>1615</v>
      </c>
      <c r="AG768" s="179" t="s">
        <v>2298</v>
      </c>
    </row>
    <row r="769" spans="1:33" hidden="1">
      <c r="A769" s="237"/>
      <c r="B769" s="179" t="s">
        <v>133</v>
      </c>
      <c r="C769" s="8">
        <v>890</v>
      </c>
      <c r="D769"/>
      <c r="E769"/>
      <c r="H769" s="179" t="s">
        <v>134</v>
      </c>
      <c r="I769"/>
      <c r="J769" s="4"/>
      <c r="K769"/>
      <c r="O769" s="179" t="s">
        <v>1966</v>
      </c>
      <c r="R769" s="186" t="e">
        <f>SUM(R762:R767)</f>
        <v>#VALUE!</v>
      </c>
      <c r="AG769" s="179" t="s">
        <v>2298</v>
      </c>
    </row>
    <row r="770" spans="1:33" hidden="1">
      <c r="A770" s="237"/>
      <c r="B770" s="179" t="s">
        <v>1967</v>
      </c>
      <c r="C770" s="8">
        <v>5.15</v>
      </c>
      <c r="D770"/>
      <c r="E770"/>
      <c r="H770" s="183" t="s">
        <v>1615</v>
      </c>
      <c r="I770"/>
      <c r="J770" s="4"/>
      <c r="K770"/>
      <c r="R770" s="183" t="s">
        <v>1615</v>
      </c>
      <c r="AG770" s="179" t="s">
        <v>2298</v>
      </c>
    </row>
    <row r="771" spans="1:33" hidden="1">
      <c r="A771" s="237"/>
      <c r="B771" s="179" t="s">
        <v>1435</v>
      </c>
      <c r="C771" s="8">
        <v>43.3</v>
      </c>
      <c r="D771"/>
      <c r="E771"/>
      <c r="F771" s="242">
        <v>9</v>
      </c>
      <c r="G771" s="185" t="s">
        <v>885</v>
      </c>
      <c r="H771" s="179" t="s">
        <v>1436</v>
      </c>
      <c r="I771" s="8" t="e">
        <f>C73</f>
        <v>#REF!</v>
      </c>
      <c r="J771" s="2" t="s">
        <v>885</v>
      </c>
      <c r="K771" s="8" t="e">
        <f t="shared" ref="K771:K776" si="46">F771*I771</f>
        <v>#REF!</v>
      </c>
      <c r="O771" s="179" t="s">
        <v>1437</v>
      </c>
      <c r="R771" s="186" t="e">
        <f>(R769/0.4)</f>
        <v>#VALUE!</v>
      </c>
      <c r="AG771" s="179" t="s">
        <v>2298</v>
      </c>
    </row>
    <row r="772" spans="1:33" hidden="1">
      <c r="A772" s="237"/>
      <c r="B772" s="179" t="s">
        <v>81</v>
      </c>
      <c r="C772" s="8">
        <v>920</v>
      </c>
      <c r="D772"/>
      <c r="E772"/>
      <c r="F772" s="242">
        <v>4.3079999999999998</v>
      </c>
      <c r="G772" s="185" t="s">
        <v>877</v>
      </c>
      <c r="H772" s="179" t="s">
        <v>878</v>
      </c>
      <c r="I772" s="8">
        <f>C67</f>
        <v>3800</v>
      </c>
      <c r="J772" s="2" t="s">
        <v>877</v>
      </c>
      <c r="K772" s="8">
        <f t="shared" si="46"/>
        <v>16370.4</v>
      </c>
      <c r="R772" s="183" t="s">
        <v>2091</v>
      </c>
      <c r="AG772" s="179" t="s">
        <v>2298</v>
      </c>
    </row>
    <row r="773" spans="1:33" hidden="1">
      <c r="A773" s="237"/>
      <c r="B773" s="179" t="s">
        <v>82</v>
      </c>
      <c r="C773" s="8">
        <v>98</v>
      </c>
      <c r="D773"/>
      <c r="E773"/>
      <c r="F773" s="242">
        <v>4.5</v>
      </c>
      <c r="G773" s="185" t="s">
        <v>885</v>
      </c>
      <c r="H773" s="179" t="s">
        <v>886</v>
      </c>
      <c r="I773" s="8" t="e">
        <f>C78</f>
        <v>#REF!</v>
      </c>
      <c r="J773" s="2" t="s">
        <v>885</v>
      </c>
      <c r="K773" s="8" t="e">
        <f t="shared" si="46"/>
        <v>#REF!</v>
      </c>
      <c r="N773" s="179" t="s">
        <v>2290</v>
      </c>
      <c r="O773" s="179" t="s">
        <v>2152</v>
      </c>
      <c r="AG773" s="179" t="s">
        <v>2298</v>
      </c>
    </row>
    <row r="774" spans="1:33" hidden="1">
      <c r="A774" s="237"/>
      <c r="B774" s="179" t="s">
        <v>2153</v>
      </c>
      <c r="C774" s="8">
        <v>181</v>
      </c>
      <c r="D774"/>
      <c r="E774"/>
      <c r="F774" s="242">
        <v>3.5</v>
      </c>
      <c r="G774" s="185" t="s">
        <v>884</v>
      </c>
      <c r="H774" s="179" t="s">
        <v>1744</v>
      </c>
      <c r="I774" s="8">
        <f>C11</f>
        <v>135</v>
      </c>
      <c r="J774" s="2" t="s">
        <v>884</v>
      </c>
      <c r="K774" s="8">
        <f t="shared" si="46"/>
        <v>472.5</v>
      </c>
      <c r="O774" s="179" t="s">
        <v>724</v>
      </c>
      <c r="AG774" s="179" t="s">
        <v>2298</v>
      </c>
    </row>
    <row r="775" spans="1:33" hidden="1">
      <c r="A775" s="237"/>
      <c r="B775" s="179" t="s">
        <v>93</v>
      </c>
      <c r="C775" s="8">
        <v>1148.76</v>
      </c>
      <c r="D775"/>
      <c r="E775"/>
      <c r="F775" s="242">
        <v>21.2</v>
      </c>
      <c r="G775" s="185" t="s">
        <v>884</v>
      </c>
      <c r="H775" s="179" t="s">
        <v>1937</v>
      </c>
      <c r="I775" s="8">
        <f>C12</f>
        <v>95</v>
      </c>
      <c r="J775" s="2" t="s">
        <v>884</v>
      </c>
      <c r="K775" s="8">
        <f t="shared" si="46"/>
        <v>2014</v>
      </c>
      <c r="O775" s="179" t="s">
        <v>94</v>
      </c>
      <c r="AG775" s="179" t="s">
        <v>2298</v>
      </c>
    </row>
    <row r="776" spans="1:33" hidden="1">
      <c r="A776" s="237"/>
      <c r="B776" s="179" t="s">
        <v>1577</v>
      </c>
      <c r="C776" s="8">
        <v>967</v>
      </c>
      <c r="D776"/>
      <c r="E776"/>
      <c r="F776" s="242">
        <v>35.299999999999997</v>
      </c>
      <c r="G776" s="185" t="s">
        <v>884</v>
      </c>
      <c r="H776" s="179" t="s">
        <v>325</v>
      </c>
      <c r="I776" s="8">
        <f>C13</f>
        <v>85</v>
      </c>
      <c r="J776" s="2" t="s">
        <v>884</v>
      </c>
      <c r="K776" s="8">
        <f t="shared" si="46"/>
        <v>3000.5</v>
      </c>
      <c r="O776" s="183" t="s">
        <v>1615</v>
      </c>
      <c r="AG776" s="179" t="s">
        <v>2298</v>
      </c>
    </row>
    <row r="777" spans="1:33" hidden="1">
      <c r="A777" s="237"/>
      <c r="B777" s="179" t="s">
        <v>2095</v>
      </c>
      <c r="C777" s="8">
        <v>30</v>
      </c>
      <c r="D777"/>
      <c r="E777"/>
      <c r="F777" s="187" t="s">
        <v>455</v>
      </c>
      <c r="H777" s="179" t="s">
        <v>456</v>
      </c>
      <c r="I777"/>
      <c r="J777" s="2" t="s">
        <v>455</v>
      </c>
      <c r="K777" s="8">
        <v>0</v>
      </c>
      <c r="N777" s="187" t="s">
        <v>1942</v>
      </c>
      <c r="O777" s="179" t="s">
        <v>871</v>
      </c>
      <c r="AG777" s="179" t="s">
        <v>2298</v>
      </c>
    </row>
    <row r="778" spans="1:33" hidden="1">
      <c r="A778" s="237"/>
      <c r="B778" s="179" t="s">
        <v>1796</v>
      </c>
      <c r="C778" s="8">
        <v>2107</v>
      </c>
      <c r="D778"/>
      <c r="E778"/>
      <c r="I778"/>
      <c r="J778" s="4"/>
      <c r="K778" s="5" t="s">
        <v>1615</v>
      </c>
      <c r="O778" s="179" t="s">
        <v>1797</v>
      </c>
      <c r="AG778" s="179" t="s">
        <v>2298</v>
      </c>
    </row>
    <row r="779" spans="1:33" hidden="1">
      <c r="A779" s="237"/>
      <c r="B779" s="179" t="s">
        <v>1798</v>
      </c>
      <c r="C779" s="8">
        <v>650</v>
      </c>
      <c r="D779"/>
      <c r="E779"/>
      <c r="H779" s="233" t="s">
        <v>626</v>
      </c>
      <c r="I779"/>
      <c r="J779" s="4"/>
      <c r="K779" s="8" t="e">
        <f>SUM(K771:K777)</f>
        <v>#REF!</v>
      </c>
      <c r="N779" s="179" t="s">
        <v>272</v>
      </c>
      <c r="O779" s="179" t="s">
        <v>1799</v>
      </c>
      <c r="P779" s="186">
        <v>43</v>
      </c>
      <c r="R779" s="186" t="e">
        <f>(#VALUE!*P779)</f>
        <v>#VALUE!</v>
      </c>
      <c r="AG779" s="179" t="s">
        <v>2298</v>
      </c>
    </row>
    <row r="780" spans="1:33" hidden="1">
      <c r="A780" s="237"/>
      <c r="B780" s="179" t="s">
        <v>1308</v>
      </c>
      <c r="C780" s="51">
        <v>160</v>
      </c>
      <c r="D780"/>
      <c r="E780"/>
      <c r="I780"/>
      <c r="J780" s="4"/>
      <c r="K780" s="5" t="s">
        <v>2091</v>
      </c>
      <c r="O780" s="179" t="s">
        <v>1955</v>
      </c>
      <c r="AG780" s="179" t="s">
        <v>2298</v>
      </c>
    </row>
    <row r="781" spans="1:33" hidden="1">
      <c r="A781" s="237"/>
      <c r="B781" s="179" t="s">
        <v>1309</v>
      </c>
      <c r="C781" s="51">
        <v>110</v>
      </c>
      <c r="D781"/>
      <c r="E781"/>
      <c r="H781" s="179" t="s">
        <v>789</v>
      </c>
      <c r="I781"/>
      <c r="J781" s="4"/>
      <c r="K781" s="8" t="e">
        <f>K779/10</f>
        <v>#REF!</v>
      </c>
      <c r="O781" s="179" t="s">
        <v>1003</v>
      </c>
      <c r="AG781" s="179" t="s">
        <v>2298</v>
      </c>
    </row>
    <row r="782" spans="1:33" hidden="1">
      <c r="A782" s="237"/>
      <c r="C782"/>
      <c r="D782"/>
      <c r="E782"/>
      <c r="I782"/>
      <c r="J782" s="4"/>
      <c r="K782"/>
      <c r="N782" s="179" t="s">
        <v>621</v>
      </c>
      <c r="O782" s="179" t="s">
        <v>1004</v>
      </c>
      <c r="P782" s="186">
        <f>C271</f>
        <v>160</v>
      </c>
      <c r="R782" s="186" t="e">
        <f>(#VALUE!*P782)</f>
        <v>#VALUE!</v>
      </c>
      <c r="AG782" s="179" t="s">
        <v>2298</v>
      </c>
    </row>
    <row r="783" spans="1:33" hidden="1">
      <c r="A783" s="237"/>
      <c r="C783">
        <v>3.05</v>
      </c>
      <c r="D783"/>
      <c r="E783"/>
      <c r="F783" s="186">
        <v>1</v>
      </c>
      <c r="G783" s="185" t="s">
        <v>885</v>
      </c>
      <c r="H783" s="179" t="s">
        <v>46</v>
      </c>
      <c r="I783" s="8">
        <f>C25</f>
        <v>20.7</v>
      </c>
      <c r="J783" s="4"/>
      <c r="K783" s="8">
        <f>F783*I783</f>
        <v>20.7</v>
      </c>
      <c r="N783" s="179" t="s">
        <v>884</v>
      </c>
      <c r="O783" s="179" t="s">
        <v>151</v>
      </c>
      <c r="P783" s="186">
        <v>5</v>
      </c>
      <c r="R783" s="186" t="e">
        <f>(#VALUE!*P783)</f>
        <v>#VALUE!</v>
      </c>
      <c r="AG783" s="179" t="s">
        <v>2298</v>
      </c>
    </row>
    <row r="784" spans="1:33" hidden="1">
      <c r="A784" s="237"/>
      <c r="C784">
        <v>30</v>
      </c>
      <c r="D784"/>
      <c r="E784"/>
      <c r="I784"/>
      <c r="J784" s="4"/>
      <c r="K784" s="5" t="s">
        <v>1615</v>
      </c>
      <c r="N784" s="179" t="s">
        <v>884</v>
      </c>
      <c r="O784" s="179" t="s">
        <v>152</v>
      </c>
      <c r="P784" s="186">
        <v>10</v>
      </c>
      <c r="R784" s="186" t="e">
        <f>(#VALUE!*P784)</f>
        <v>#VALUE!</v>
      </c>
      <c r="AG784" s="179" t="s">
        <v>2298</v>
      </c>
    </row>
    <row r="785" spans="1:33" hidden="1">
      <c r="A785" s="237"/>
      <c r="C785">
        <v>35</v>
      </c>
      <c r="D785"/>
      <c r="E785"/>
      <c r="I785"/>
      <c r="J785" s="4"/>
      <c r="K785" s="8" t="e">
        <f>SUM(K781:K783)</f>
        <v>#REF!</v>
      </c>
      <c r="N785" s="179" t="s">
        <v>884</v>
      </c>
      <c r="O785" s="179" t="s">
        <v>1781</v>
      </c>
      <c r="P785" s="186">
        <v>8</v>
      </c>
      <c r="R785" s="186" t="e">
        <f>(#VALUE!*P785)</f>
        <v>#VALUE!</v>
      </c>
      <c r="AG785" s="179" t="s">
        <v>2298</v>
      </c>
    </row>
    <row r="786" spans="1:33" hidden="1">
      <c r="A786" s="237"/>
      <c r="C786">
        <v>125</v>
      </c>
      <c r="D786"/>
      <c r="E786"/>
      <c r="I786"/>
      <c r="J786" s="4"/>
      <c r="K786" s="5" t="s">
        <v>1615</v>
      </c>
      <c r="N786" s="179" t="s">
        <v>842</v>
      </c>
      <c r="O786" s="179" t="s">
        <v>1525</v>
      </c>
      <c r="P786" s="186">
        <v>13.66</v>
      </c>
      <c r="R786" s="186" t="e">
        <f>(#VALUE!*P786)</f>
        <v>#VALUE!</v>
      </c>
      <c r="AG786" s="179" t="s">
        <v>2298</v>
      </c>
    </row>
    <row r="787" spans="1:33" hidden="1">
      <c r="A787" s="237"/>
      <c r="B787" s="180" t="s">
        <v>3002</v>
      </c>
      <c r="C787" s="105">
        <v>162</v>
      </c>
      <c r="D787" s="105">
        <v>179</v>
      </c>
      <c r="E787"/>
      <c r="I787"/>
      <c r="J787" s="4"/>
      <c r="K787" s="5"/>
      <c r="N787" s="179"/>
      <c r="O787" s="179"/>
      <c r="P787" s="186"/>
      <c r="R787" s="186"/>
      <c r="AG787" s="179"/>
    </row>
    <row r="788" spans="1:33" hidden="1">
      <c r="A788" s="237"/>
      <c r="B788" s="180" t="s">
        <v>3003</v>
      </c>
      <c r="C788" s="165">
        <v>185</v>
      </c>
      <c r="D788"/>
      <c r="E788"/>
      <c r="H788" s="179" t="s">
        <v>391</v>
      </c>
      <c r="I788"/>
      <c r="J788" s="4"/>
      <c r="K788" s="8" t="e">
        <f>(K785+C22)</f>
        <v>#REF!</v>
      </c>
      <c r="N788" s="179" t="s">
        <v>621</v>
      </c>
      <c r="O788" s="179" t="s">
        <v>1526</v>
      </c>
      <c r="P788" s="186">
        <v>25.46</v>
      </c>
      <c r="R788" s="186" t="e">
        <f>(#VALUE!*P788)</f>
        <v>#VALUE!</v>
      </c>
      <c r="AG788" s="179" t="s">
        <v>2298</v>
      </c>
    </row>
    <row r="789" spans="1:33" hidden="1">
      <c r="A789" s="237"/>
      <c r="B789" s="180" t="s">
        <v>3004</v>
      </c>
      <c r="C789" s="165">
        <v>170</v>
      </c>
      <c r="D789"/>
      <c r="E789"/>
      <c r="H789" s="179" t="s">
        <v>393</v>
      </c>
      <c r="I789"/>
      <c r="J789" s="4"/>
      <c r="K789" s="8" t="e">
        <f>(K788+C23)</f>
        <v>#REF!</v>
      </c>
      <c r="N789" s="179" t="s">
        <v>884</v>
      </c>
      <c r="O789" s="179" t="s">
        <v>1343</v>
      </c>
      <c r="P789" s="186">
        <v>0.5</v>
      </c>
      <c r="R789" s="186" t="e">
        <f>(#VALUE!*P789)</f>
        <v>#VALUE!</v>
      </c>
      <c r="AG789" s="179" t="s">
        <v>2298</v>
      </c>
    </row>
    <row r="790" spans="1:33" hidden="1">
      <c r="A790" s="237"/>
      <c r="B790" s="180" t="s">
        <v>3005</v>
      </c>
      <c r="C790" s="165">
        <v>160</v>
      </c>
      <c r="D790"/>
      <c r="E790"/>
      <c r="H790" s="179" t="s">
        <v>2271</v>
      </c>
      <c r="I790"/>
      <c r="J790" s="4"/>
      <c r="K790" s="8" t="e">
        <f>(K789+C24)</f>
        <v>#REF!</v>
      </c>
      <c r="R790" s="186">
        <v>0.54</v>
      </c>
      <c r="AG790" s="179" t="s">
        <v>326</v>
      </c>
    </row>
    <row r="791" spans="1:33" hidden="1">
      <c r="A791" s="237"/>
      <c r="B791" s="153" t="s">
        <v>1309</v>
      </c>
      <c r="C791" s="165">
        <v>121</v>
      </c>
      <c r="D791"/>
      <c r="E791"/>
      <c r="H791" s="179" t="s">
        <v>385</v>
      </c>
      <c r="I791"/>
      <c r="J791" s="4"/>
      <c r="K791" s="8" t="e">
        <f>(K790+C24)</f>
        <v>#REF!</v>
      </c>
      <c r="R791" s="183" t="s">
        <v>1615</v>
      </c>
    </row>
    <row r="792" spans="1:33" hidden="1">
      <c r="A792" s="237"/>
      <c r="B792" s="153" t="s">
        <v>3006</v>
      </c>
      <c r="C792" s="105">
        <v>120</v>
      </c>
      <c r="D792"/>
      <c r="E792"/>
      <c r="H792" s="179" t="s">
        <v>1560</v>
      </c>
      <c r="I792"/>
      <c r="J792" s="4"/>
      <c r="K792" s="8" t="e">
        <f>(K791+C24)</f>
        <v>#REF!</v>
      </c>
      <c r="O792" s="233" t="s">
        <v>1344</v>
      </c>
      <c r="R792" s="186" t="e">
        <f>SUM(R779:R790)</f>
        <v>#VALUE!</v>
      </c>
    </row>
    <row r="793" spans="1:33" hidden="1">
      <c r="B793" s="153" t="s">
        <v>3007</v>
      </c>
      <c r="C793" s="105">
        <v>70</v>
      </c>
      <c r="D793"/>
      <c r="E793"/>
      <c r="F793" s="179" t="s">
        <v>992</v>
      </c>
      <c r="I793"/>
      <c r="J793" s="4"/>
      <c r="K793"/>
    </row>
    <row r="794" spans="1:33" hidden="1">
      <c r="A794" s="237"/>
      <c r="B794" s="153" t="s">
        <v>3008</v>
      </c>
      <c r="C794">
        <v>35</v>
      </c>
      <c r="D794"/>
      <c r="E794"/>
      <c r="F794" s="179" t="s">
        <v>992</v>
      </c>
      <c r="G794" s="185" t="s">
        <v>2290</v>
      </c>
      <c r="H794" s="233" t="s">
        <v>1345</v>
      </c>
      <c r="I794"/>
      <c r="J794" s="4"/>
      <c r="K794"/>
      <c r="R794" s="183" t="s">
        <v>1615</v>
      </c>
      <c r="AG794" s="179" t="s">
        <v>2298</v>
      </c>
    </row>
    <row r="795" spans="1:33" hidden="1">
      <c r="A795" s="237"/>
      <c r="B795" s="153" t="s">
        <v>3009</v>
      </c>
      <c r="C795">
        <v>90</v>
      </c>
      <c r="D795"/>
      <c r="E795"/>
      <c r="H795" s="183" t="s">
        <v>2091</v>
      </c>
      <c r="I795"/>
      <c r="J795" s="4"/>
      <c r="K795"/>
      <c r="AG795" s="179" t="s">
        <v>2298</v>
      </c>
    </row>
    <row r="796" spans="1:33" hidden="1">
      <c r="A796" s="237"/>
      <c r="B796" s="153" t="s">
        <v>3014</v>
      </c>
      <c r="C796" s="105">
        <v>140</v>
      </c>
      <c r="D796"/>
      <c r="E796"/>
      <c r="I796"/>
      <c r="J796" s="4"/>
      <c r="K796"/>
      <c r="N796" s="179" t="s">
        <v>527</v>
      </c>
      <c r="O796" s="179" t="s">
        <v>1346</v>
      </c>
      <c r="AG796" s="179" t="s">
        <v>2298</v>
      </c>
    </row>
    <row r="797" spans="1:33" ht="31.5" hidden="1">
      <c r="A797" s="256">
        <v>1</v>
      </c>
      <c r="B797" s="257" t="s">
        <v>3223</v>
      </c>
      <c r="C797"/>
      <c r="D797"/>
      <c r="E797"/>
      <c r="F797" s="233" t="s">
        <v>1347</v>
      </c>
      <c r="G797" s="185" t="s">
        <v>2290</v>
      </c>
      <c r="H797" s="179" t="s">
        <v>2067</v>
      </c>
      <c r="I797"/>
      <c r="J797" s="4"/>
      <c r="K797"/>
      <c r="O797" s="179" t="s">
        <v>1797</v>
      </c>
      <c r="AG797" s="179" t="s">
        <v>2298</v>
      </c>
    </row>
    <row r="798" spans="1:33" hidden="1">
      <c r="A798" s="256"/>
      <c r="B798" s="153" t="s">
        <v>3224</v>
      </c>
      <c r="C798" s="162">
        <v>11</v>
      </c>
      <c r="D798"/>
      <c r="E798"/>
      <c r="H798" s="179" t="s">
        <v>2068</v>
      </c>
      <c r="I798"/>
      <c r="J798" s="4"/>
      <c r="K798"/>
      <c r="N798" s="179" t="s">
        <v>272</v>
      </c>
      <c r="O798" s="179" t="s">
        <v>1799</v>
      </c>
      <c r="P798" s="186">
        <v>43</v>
      </c>
      <c r="R798" s="186" t="e">
        <f>(#VALUE!*P798)</f>
        <v>#VALUE!</v>
      </c>
      <c r="AG798" s="179" t="s">
        <v>2298</v>
      </c>
    </row>
    <row r="799" spans="1:33" hidden="1">
      <c r="A799" s="258"/>
      <c r="B799" s="153" t="s">
        <v>3225</v>
      </c>
      <c r="C799" s="162">
        <v>11</v>
      </c>
      <c r="D799"/>
      <c r="E799"/>
      <c r="H799" s="179" t="s">
        <v>2069</v>
      </c>
      <c r="I799"/>
      <c r="J799" s="4"/>
      <c r="K799"/>
      <c r="O799" s="179" t="s">
        <v>1955</v>
      </c>
      <c r="AG799" s="179" t="s">
        <v>2298</v>
      </c>
    </row>
    <row r="800" spans="1:33" hidden="1">
      <c r="A800" s="256"/>
      <c r="B800" s="153" t="s">
        <v>3226</v>
      </c>
      <c r="C800" s="162">
        <v>11</v>
      </c>
      <c r="D800"/>
      <c r="E800"/>
      <c r="H800" s="179" t="s">
        <v>907</v>
      </c>
      <c r="I800"/>
      <c r="J800" s="4"/>
      <c r="K800"/>
      <c r="O800" s="179" t="s">
        <v>1003</v>
      </c>
      <c r="AG800" s="179" t="s">
        <v>2298</v>
      </c>
    </row>
    <row r="801" spans="1:33" hidden="1">
      <c r="A801" s="258"/>
      <c r="B801" s="153" t="s">
        <v>3227</v>
      </c>
      <c r="C801" s="162">
        <v>11</v>
      </c>
      <c r="D801"/>
      <c r="E801"/>
      <c r="H801" s="179" t="s">
        <v>908</v>
      </c>
      <c r="I801"/>
      <c r="J801" s="4"/>
      <c r="K801"/>
      <c r="N801" s="179" t="s">
        <v>621</v>
      </c>
      <c r="O801" s="179" t="s">
        <v>1004</v>
      </c>
      <c r="P801" s="186">
        <f>C271</f>
        <v>160</v>
      </c>
      <c r="R801" s="186" t="e">
        <f t="shared" ref="R801:R807" si="47">(#VALUE!*P801)</f>
        <v>#VALUE!</v>
      </c>
      <c r="AG801" s="179" t="s">
        <v>2298</v>
      </c>
    </row>
    <row r="802" spans="1:33" hidden="1">
      <c r="A802" s="256"/>
      <c r="B802" s="153" t="s">
        <v>3228</v>
      </c>
      <c r="C802" s="162">
        <v>12</v>
      </c>
      <c r="D802"/>
      <c r="E802"/>
      <c r="H802" s="179" t="s">
        <v>1753</v>
      </c>
      <c r="I802"/>
      <c r="J802" s="4"/>
      <c r="K802"/>
      <c r="N802" s="179" t="s">
        <v>884</v>
      </c>
      <c r="O802" s="179" t="s">
        <v>151</v>
      </c>
      <c r="P802" s="186">
        <v>5</v>
      </c>
      <c r="R802" s="186" t="e">
        <f t="shared" si="47"/>
        <v>#VALUE!</v>
      </c>
      <c r="AG802" s="179" t="s">
        <v>2298</v>
      </c>
    </row>
    <row r="803" spans="1:33" hidden="1">
      <c r="A803" s="258"/>
      <c r="B803" s="153" t="s">
        <v>3229</v>
      </c>
      <c r="C803" s="32" t="s">
        <v>3230</v>
      </c>
      <c r="D803"/>
      <c r="E803"/>
      <c r="H803" s="179" t="s">
        <v>95</v>
      </c>
      <c r="I803"/>
      <c r="J803" s="4"/>
      <c r="K803"/>
      <c r="N803" s="179" t="s">
        <v>884</v>
      </c>
      <c r="O803" s="179" t="s">
        <v>152</v>
      </c>
      <c r="P803" s="186">
        <v>10</v>
      </c>
      <c r="R803" s="186" t="e">
        <f t="shared" si="47"/>
        <v>#VALUE!</v>
      </c>
      <c r="AG803" s="179" t="s">
        <v>2298</v>
      </c>
    </row>
    <row r="804" spans="1:33" hidden="1">
      <c r="A804" s="256"/>
      <c r="B804" s="153" t="s">
        <v>3231</v>
      </c>
      <c r="C804" s="105">
        <v>25</v>
      </c>
      <c r="D804"/>
      <c r="E804"/>
      <c r="H804" s="179" t="s">
        <v>96</v>
      </c>
      <c r="I804"/>
      <c r="J804" s="4"/>
      <c r="K804"/>
      <c r="N804" s="179" t="s">
        <v>884</v>
      </c>
      <c r="O804" s="179" t="s">
        <v>1781</v>
      </c>
      <c r="P804" s="186">
        <v>8</v>
      </c>
      <c r="R804" s="186" t="e">
        <f t="shared" si="47"/>
        <v>#VALUE!</v>
      </c>
      <c r="AG804" s="179" t="s">
        <v>2298</v>
      </c>
    </row>
    <row r="805" spans="1:33" hidden="1">
      <c r="A805" s="258"/>
      <c r="B805" s="153" t="s">
        <v>3232</v>
      </c>
      <c r="C805" s="32" t="s">
        <v>3230</v>
      </c>
      <c r="D805"/>
      <c r="E805"/>
      <c r="H805" s="179" t="s">
        <v>97</v>
      </c>
      <c r="I805"/>
      <c r="J805" s="4"/>
      <c r="K805"/>
      <c r="N805" s="179" t="s">
        <v>842</v>
      </c>
      <c r="O805" s="179" t="s">
        <v>1525</v>
      </c>
      <c r="P805" s="186">
        <v>13.66</v>
      </c>
      <c r="R805" s="186" t="e">
        <f t="shared" si="47"/>
        <v>#VALUE!</v>
      </c>
      <c r="AG805" s="179" t="s">
        <v>2298</v>
      </c>
    </row>
    <row r="806" spans="1:33" hidden="1">
      <c r="A806" s="256"/>
      <c r="B806" s="153" t="s">
        <v>3233</v>
      </c>
      <c r="C806" s="32" t="s">
        <v>3230</v>
      </c>
      <c r="D806"/>
      <c r="E806"/>
      <c r="H806" s="179" t="s">
        <v>98</v>
      </c>
      <c r="I806"/>
      <c r="J806" s="4"/>
      <c r="K806"/>
      <c r="N806" s="179" t="s">
        <v>621</v>
      </c>
      <c r="O806" s="179" t="s">
        <v>1526</v>
      </c>
      <c r="P806" s="186">
        <v>25.46</v>
      </c>
      <c r="R806" s="186" t="e">
        <f t="shared" si="47"/>
        <v>#VALUE!</v>
      </c>
      <c r="AG806" s="179" t="s">
        <v>2298</v>
      </c>
    </row>
    <row r="807" spans="1:33" hidden="1">
      <c r="A807" s="258"/>
      <c r="B807" s="153" t="s">
        <v>3234</v>
      </c>
      <c r="C807" s="32" t="s">
        <v>3230</v>
      </c>
      <c r="D807"/>
      <c r="E807"/>
      <c r="H807" s="179" t="s">
        <v>2089</v>
      </c>
      <c r="I807"/>
      <c r="J807" s="4"/>
      <c r="K807"/>
      <c r="N807" s="179" t="s">
        <v>884</v>
      </c>
      <c r="O807" s="179" t="s">
        <v>1343</v>
      </c>
      <c r="P807" s="186">
        <v>0.5</v>
      </c>
      <c r="R807" s="186" t="e">
        <f t="shared" si="47"/>
        <v>#VALUE!</v>
      </c>
      <c r="AG807" s="179" t="s">
        <v>2298</v>
      </c>
    </row>
    <row r="808" spans="1:33" ht="31.5" hidden="1">
      <c r="A808" s="256">
        <v>2</v>
      </c>
      <c r="B808" s="257" t="s">
        <v>3235</v>
      </c>
      <c r="C808"/>
      <c r="D808"/>
      <c r="E808"/>
      <c r="H808" s="179" t="s">
        <v>1049</v>
      </c>
      <c r="I808"/>
      <c r="J808" s="4"/>
      <c r="K808"/>
      <c r="R808" s="186">
        <v>0.7</v>
      </c>
      <c r="AG808" s="179" t="s">
        <v>2298</v>
      </c>
    </row>
    <row r="809" spans="1:33" hidden="1">
      <c r="A809" s="258"/>
      <c r="B809" s="153" t="s">
        <v>3236</v>
      </c>
      <c r="C809" s="162">
        <v>12.5</v>
      </c>
      <c r="D809"/>
      <c r="E809"/>
      <c r="H809" s="179" t="s">
        <v>1812</v>
      </c>
      <c r="I809"/>
      <c r="J809" s="4"/>
      <c r="K809"/>
      <c r="R809" s="183" t="s">
        <v>1615</v>
      </c>
      <c r="AG809" s="179" t="s">
        <v>2298</v>
      </c>
    </row>
    <row r="810" spans="1:33" hidden="1">
      <c r="A810" s="256">
        <v>3</v>
      </c>
      <c r="B810" s="153" t="s">
        <v>3237</v>
      </c>
      <c r="C810" s="105">
        <v>242</v>
      </c>
      <c r="D810"/>
      <c r="E810"/>
      <c r="H810" s="179" t="s">
        <v>1813</v>
      </c>
      <c r="I810"/>
      <c r="J810" s="4"/>
      <c r="K810"/>
      <c r="O810" s="233" t="s">
        <v>1344</v>
      </c>
      <c r="R810" s="186" t="e">
        <f>SUM(R798:R808)</f>
        <v>#VALUE!</v>
      </c>
      <c r="AG810" s="179" t="s">
        <v>2298</v>
      </c>
    </row>
    <row r="811" spans="1:33" hidden="1">
      <c r="A811" s="258" t="s">
        <v>3238</v>
      </c>
      <c r="B811" s="259" t="s">
        <v>3239</v>
      </c>
      <c r="C811"/>
      <c r="D811"/>
      <c r="E811"/>
      <c r="I811"/>
      <c r="J811" s="4"/>
      <c r="K811"/>
      <c r="R811" s="183" t="s">
        <v>1615</v>
      </c>
      <c r="AG811" s="179" t="s">
        <v>2298</v>
      </c>
    </row>
    <row r="812" spans="1:33" hidden="1">
      <c r="A812" s="256"/>
      <c r="B812" s="153" t="s">
        <v>2588</v>
      </c>
      <c r="C812" s="260">
        <v>75</v>
      </c>
      <c r="D812"/>
      <c r="E812"/>
      <c r="I812"/>
      <c r="J812" s="4"/>
      <c r="K812"/>
      <c r="R812" s="183"/>
      <c r="AG812" s="179"/>
    </row>
    <row r="813" spans="1:33" hidden="1">
      <c r="A813" s="258"/>
      <c r="B813" s="261" t="s">
        <v>2589</v>
      </c>
      <c r="C813" s="260">
        <v>80</v>
      </c>
      <c r="D813"/>
      <c r="E813"/>
      <c r="G813" s="185" t="s">
        <v>321</v>
      </c>
      <c r="H813" s="233" t="s">
        <v>1810</v>
      </c>
      <c r="I813"/>
      <c r="J813" s="4"/>
      <c r="K813"/>
      <c r="R813" s="183"/>
      <c r="AG813" s="179"/>
    </row>
    <row r="814" spans="1:33" ht="31.5" hidden="1">
      <c r="A814" s="256">
        <v>4</v>
      </c>
      <c r="B814" s="257" t="s">
        <v>2621</v>
      </c>
      <c r="C814"/>
      <c r="D814"/>
      <c r="E814"/>
      <c r="H814" s="233" t="s">
        <v>1815</v>
      </c>
      <c r="I814"/>
      <c r="J814" s="4"/>
      <c r="K814"/>
      <c r="R814" s="183"/>
      <c r="AG814" s="179"/>
    </row>
    <row r="815" spans="1:33" hidden="1">
      <c r="A815" s="258"/>
      <c r="B815" s="153" t="s">
        <v>2622</v>
      </c>
      <c r="C815" s="105">
        <v>42</v>
      </c>
      <c r="D815"/>
      <c r="E815"/>
      <c r="F815" s="252">
        <v>3.8800000000000001E-2</v>
      </c>
      <c r="G815" s="185" t="s">
        <v>885</v>
      </c>
      <c r="H815" s="179" t="s">
        <v>2110</v>
      </c>
      <c r="I815" s="8" t="e">
        <f>K781</f>
        <v>#REF!</v>
      </c>
      <c r="J815" s="2" t="s">
        <v>885</v>
      </c>
      <c r="K815" s="8" t="e">
        <f>F815*I815</f>
        <v>#REF!</v>
      </c>
      <c r="R815" s="183"/>
      <c r="AG815" s="179"/>
    </row>
    <row r="816" spans="1:33" hidden="1">
      <c r="A816" s="256"/>
      <c r="B816" s="153" t="s">
        <v>2623</v>
      </c>
      <c r="C816" s="105">
        <v>46</v>
      </c>
      <c r="D816"/>
      <c r="E816"/>
      <c r="F816" s="186">
        <v>5.01</v>
      </c>
      <c r="G816" s="185" t="s">
        <v>1676</v>
      </c>
      <c r="H816" s="179" t="s">
        <v>2111</v>
      </c>
      <c r="I816" s="8">
        <f>K1513</f>
        <v>33174.400000000001</v>
      </c>
      <c r="J816" s="2" t="s">
        <v>877</v>
      </c>
      <c r="K816" s="8">
        <f>F816*I816/1000</f>
        <v>166.2</v>
      </c>
      <c r="R816" s="183"/>
      <c r="AG816" s="179"/>
    </row>
    <row r="817" spans="1:33" hidden="1">
      <c r="A817" s="258"/>
      <c r="B817" s="153" t="s">
        <v>3089</v>
      </c>
      <c r="C817" s="105">
        <v>42</v>
      </c>
      <c r="D817"/>
      <c r="E817"/>
      <c r="F817" s="186">
        <v>3</v>
      </c>
      <c r="G817" s="185" t="s">
        <v>884</v>
      </c>
      <c r="H817" s="179" t="s">
        <v>1208</v>
      </c>
      <c r="I817" s="8">
        <v>16.5</v>
      </c>
      <c r="J817" s="2" t="s">
        <v>884</v>
      </c>
      <c r="K817" s="8">
        <f t="shared" ref="K817:K824" si="48">F817*I817</f>
        <v>49.5</v>
      </c>
      <c r="R817" s="183"/>
      <c r="AG817" s="179"/>
    </row>
    <row r="818" spans="1:33" ht="31.5" hidden="1">
      <c r="A818" s="256">
        <v>5</v>
      </c>
      <c r="B818" s="257" t="s">
        <v>3090</v>
      </c>
      <c r="C818"/>
      <c r="D818"/>
      <c r="E818"/>
      <c r="F818" s="186">
        <v>12</v>
      </c>
      <c r="G818" s="185" t="s">
        <v>884</v>
      </c>
      <c r="H818" s="179" t="s">
        <v>1209</v>
      </c>
      <c r="I818" s="8">
        <v>3.85</v>
      </c>
      <c r="J818" s="2" t="s">
        <v>884</v>
      </c>
      <c r="K818" s="8">
        <f t="shared" si="48"/>
        <v>46.2</v>
      </c>
      <c r="R818" s="183"/>
      <c r="AG818" s="179"/>
    </row>
    <row r="819" spans="1:33" hidden="1">
      <c r="A819" s="258"/>
      <c r="B819" s="153" t="s">
        <v>3091</v>
      </c>
      <c r="C819" s="105">
        <v>174</v>
      </c>
      <c r="D819"/>
      <c r="E819"/>
      <c r="F819" s="186">
        <v>2</v>
      </c>
      <c r="G819" s="185" t="s">
        <v>884</v>
      </c>
      <c r="H819" s="179" t="s">
        <v>1210</v>
      </c>
      <c r="I819" s="8">
        <v>5</v>
      </c>
      <c r="J819" s="2" t="s">
        <v>884</v>
      </c>
      <c r="K819" s="8">
        <f t="shared" si="48"/>
        <v>10</v>
      </c>
      <c r="R819" s="183"/>
      <c r="AG819" s="179"/>
    </row>
    <row r="820" spans="1:33" hidden="1">
      <c r="A820" s="256"/>
      <c r="B820" s="153" t="s">
        <v>3092</v>
      </c>
      <c r="C820" s="105">
        <v>182</v>
      </c>
      <c r="D820"/>
      <c r="E820"/>
      <c r="F820" s="186">
        <v>6</v>
      </c>
      <c r="G820" s="185" t="s">
        <v>884</v>
      </c>
      <c r="H820" s="179" t="s">
        <v>2259</v>
      </c>
      <c r="I820" s="8">
        <v>3.85</v>
      </c>
      <c r="J820" s="2" t="s">
        <v>884</v>
      </c>
      <c r="K820" s="8">
        <f t="shared" si="48"/>
        <v>23.1</v>
      </c>
      <c r="R820" s="183"/>
      <c r="AG820" s="179"/>
    </row>
    <row r="821" spans="1:33" hidden="1">
      <c r="A821" s="258"/>
      <c r="B821" s="153" t="s">
        <v>3093</v>
      </c>
      <c r="C821" s="105">
        <v>444</v>
      </c>
      <c r="D821"/>
      <c r="E821"/>
      <c r="F821" s="186">
        <v>1</v>
      </c>
      <c r="G821" s="185" t="s">
        <v>884</v>
      </c>
      <c r="H821" s="179" t="s">
        <v>1215</v>
      </c>
      <c r="I821" s="8">
        <f>C10</f>
        <v>150</v>
      </c>
      <c r="J821" s="2" t="s">
        <v>884</v>
      </c>
      <c r="K821" s="8">
        <f t="shared" si="48"/>
        <v>150</v>
      </c>
      <c r="R821" s="183"/>
      <c r="AG821" s="179"/>
    </row>
    <row r="822" spans="1:33" hidden="1">
      <c r="A822" s="256"/>
      <c r="B822" s="153" t="s">
        <v>3094</v>
      </c>
      <c r="C822" s="105">
        <v>626</v>
      </c>
      <c r="D822"/>
      <c r="E822"/>
      <c r="F822" s="186">
        <v>1</v>
      </c>
      <c r="G822" s="185" t="s">
        <v>884</v>
      </c>
      <c r="H822" s="179" t="s">
        <v>1216</v>
      </c>
      <c r="I822" s="8">
        <f>C12</f>
        <v>95</v>
      </c>
      <c r="J822" s="2" t="s">
        <v>884</v>
      </c>
      <c r="K822" s="8">
        <f t="shared" si="48"/>
        <v>95</v>
      </c>
      <c r="R822" s="183"/>
      <c r="AG822" s="179"/>
    </row>
    <row r="823" spans="1:33" ht="47.25" hidden="1">
      <c r="A823" s="258">
        <v>6</v>
      </c>
      <c r="B823" s="257" t="s">
        <v>3095</v>
      </c>
      <c r="C823"/>
      <c r="D823"/>
      <c r="E823"/>
      <c r="F823" s="186">
        <v>1</v>
      </c>
      <c r="G823" s="185" t="s">
        <v>884</v>
      </c>
      <c r="H823" s="179" t="s">
        <v>1217</v>
      </c>
      <c r="I823" s="8">
        <v>25</v>
      </c>
      <c r="J823" s="2" t="s">
        <v>884</v>
      </c>
      <c r="K823" s="8">
        <f t="shared" si="48"/>
        <v>25</v>
      </c>
      <c r="R823" s="183"/>
      <c r="AG823" s="179"/>
    </row>
    <row r="824" spans="1:33" hidden="1">
      <c r="A824" s="256"/>
      <c r="B824" s="153" t="s">
        <v>3096</v>
      </c>
      <c r="C824" s="32" t="s">
        <v>3230</v>
      </c>
      <c r="D824"/>
      <c r="E824"/>
      <c r="F824" s="186">
        <v>0.5</v>
      </c>
      <c r="G824" s="185" t="s">
        <v>884</v>
      </c>
      <c r="H824" s="179" t="s">
        <v>1218</v>
      </c>
      <c r="I824" s="8">
        <f>C13</f>
        <v>85</v>
      </c>
      <c r="J824" s="2" t="s">
        <v>884</v>
      </c>
      <c r="K824" s="8">
        <f t="shared" si="48"/>
        <v>42.5</v>
      </c>
      <c r="R824" s="183"/>
      <c r="AG824" s="179"/>
    </row>
    <row r="825" spans="1:33" hidden="1">
      <c r="A825" s="258"/>
      <c r="B825" s="153" t="s">
        <v>3097</v>
      </c>
      <c r="C825" s="105">
        <v>306</v>
      </c>
      <c r="D825"/>
      <c r="E825"/>
      <c r="G825" s="185" t="s">
        <v>455</v>
      </c>
      <c r="H825" s="179" t="s">
        <v>2177</v>
      </c>
      <c r="I825"/>
      <c r="J825" s="2" t="s">
        <v>455</v>
      </c>
      <c r="K825" s="8">
        <v>0.5</v>
      </c>
      <c r="R825" s="183"/>
      <c r="AG825" s="179"/>
    </row>
    <row r="826" spans="1:33" ht="31.5" hidden="1">
      <c r="A826" s="256"/>
      <c r="B826" s="262" t="s">
        <v>3098</v>
      </c>
      <c r="C826" s="105">
        <v>450</v>
      </c>
      <c r="D826"/>
      <c r="E826"/>
      <c r="I826"/>
      <c r="J826" s="4"/>
      <c r="K826" s="5" t="s">
        <v>1615</v>
      </c>
      <c r="R826" s="183"/>
      <c r="AG826" s="179"/>
    </row>
    <row r="827" spans="1:33" ht="47.25" hidden="1">
      <c r="A827" s="258">
        <v>7</v>
      </c>
      <c r="B827" s="257" t="s">
        <v>2603</v>
      </c>
      <c r="C827"/>
      <c r="D827"/>
      <c r="E827"/>
      <c r="H827" s="233" t="s">
        <v>287</v>
      </c>
      <c r="I827"/>
      <c r="J827" s="4"/>
      <c r="K827" s="8" t="e">
        <f>SUM(K815:K825)</f>
        <v>#REF!</v>
      </c>
      <c r="R827" s="183"/>
      <c r="AG827" s="179"/>
    </row>
    <row r="828" spans="1:33" hidden="1">
      <c r="A828" s="256"/>
      <c r="B828" s="153" t="s">
        <v>3097</v>
      </c>
      <c r="C828" s="105">
        <v>575</v>
      </c>
      <c r="D828"/>
      <c r="E828"/>
      <c r="I828"/>
      <c r="J828" s="4"/>
      <c r="K828" s="5" t="s">
        <v>1615</v>
      </c>
      <c r="R828" s="183"/>
      <c r="AG828" s="179"/>
    </row>
    <row r="829" spans="1:33" ht="31.5" hidden="1">
      <c r="A829" s="258"/>
      <c r="B829" s="262" t="s">
        <v>3098</v>
      </c>
      <c r="C829" s="105">
        <v>750</v>
      </c>
      <c r="D829"/>
      <c r="E829"/>
      <c r="I829"/>
      <c r="J829" s="4"/>
      <c r="K829"/>
      <c r="R829" s="183"/>
      <c r="AG829" s="179"/>
    </row>
    <row r="830" spans="1:33" ht="47.25" hidden="1">
      <c r="A830" s="256">
        <v>8</v>
      </c>
      <c r="B830" s="257" t="s">
        <v>2604</v>
      </c>
      <c r="C830"/>
      <c r="D830"/>
      <c r="E830"/>
      <c r="I830"/>
      <c r="J830" s="4"/>
      <c r="K830"/>
      <c r="R830" s="183"/>
      <c r="AG830" s="179"/>
    </row>
    <row r="831" spans="1:33" hidden="1">
      <c r="A831" s="258"/>
      <c r="B831" s="180" t="s">
        <v>3534</v>
      </c>
      <c r="C831" s="105">
        <v>850</v>
      </c>
      <c r="D831"/>
      <c r="E831"/>
      <c r="G831" s="185" t="s">
        <v>1942</v>
      </c>
      <c r="H831" s="233" t="s">
        <v>1814</v>
      </c>
      <c r="I831"/>
      <c r="J831" s="4"/>
      <c r="K831"/>
      <c r="R831" s="179" t="s">
        <v>992</v>
      </c>
      <c r="AG831" s="179" t="s">
        <v>2298</v>
      </c>
    </row>
    <row r="832" spans="1:33" hidden="1">
      <c r="A832" s="256"/>
      <c r="B832" s="180" t="s">
        <v>2614</v>
      </c>
      <c r="C832" s="105">
        <v>1050</v>
      </c>
      <c r="D832"/>
      <c r="E832"/>
      <c r="H832" s="233" t="s">
        <v>1815</v>
      </c>
      <c r="I832"/>
      <c r="J832" s="4"/>
      <c r="K832"/>
      <c r="N832" s="179" t="s">
        <v>321</v>
      </c>
      <c r="O832" s="179" t="s">
        <v>40</v>
      </c>
      <c r="AG832" s="179" t="s">
        <v>2298</v>
      </c>
    </row>
    <row r="833" spans="1:33" ht="69" hidden="1" customHeight="1">
      <c r="A833" s="258">
        <v>9</v>
      </c>
      <c r="B833" s="257" t="s">
        <v>2615</v>
      </c>
      <c r="C833"/>
      <c r="D833"/>
      <c r="E833"/>
      <c r="F833" s="252">
        <v>3.7600000000000001E-2</v>
      </c>
      <c r="G833" s="185" t="s">
        <v>885</v>
      </c>
      <c r="H833" s="179" t="s">
        <v>2110</v>
      </c>
      <c r="I833" s="8" t="e">
        <f>K781</f>
        <v>#REF!</v>
      </c>
      <c r="J833" s="2" t="s">
        <v>885</v>
      </c>
      <c r="K833" s="8" t="e">
        <f>F833*I833</f>
        <v>#REF!</v>
      </c>
      <c r="O833" s="179" t="s">
        <v>1797</v>
      </c>
      <c r="AG833" s="179" t="s">
        <v>2298</v>
      </c>
    </row>
    <row r="834" spans="1:33" hidden="1">
      <c r="A834" s="256"/>
      <c r="B834" s="180" t="s">
        <v>2616</v>
      </c>
      <c r="C834" s="32" t="s">
        <v>3230</v>
      </c>
      <c r="D834"/>
      <c r="E834"/>
      <c r="F834" s="186">
        <v>4.87</v>
      </c>
      <c r="G834" s="185" t="s">
        <v>1676</v>
      </c>
      <c r="H834" s="179" t="s">
        <v>2111</v>
      </c>
      <c r="I834" s="8">
        <f>K1513</f>
        <v>33174.400000000001</v>
      </c>
      <c r="J834" s="2" t="s">
        <v>877</v>
      </c>
      <c r="K834" s="8">
        <f>F834*I834/1000</f>
        <v>161.56</v>
      </c>
      <c r="N834" s="179" t="s">
        <v>272</v>
      </c>
      <c r="O834" s="179" t="s">
        <v>1799</v>
      </c>
      <c r="P834" s="186">
        <v>43</v>
      </c>
      <c r="R834" s="186" t="e">
        <f>(#VALUE!*P834)</f>
        <v>#VALUE!</v>
      </c>
      <c r="AG834" s="179" t="s">
        <v>2298</v>
      </c>
    </row>
    <row r="835" spans="1:33" hidden="1">
      <c r="A835" s="258"/>
      <c r="B835" s="153" t="s">
        <v>2617</v>
      </c>
      <c r="C835" s="260" t="s">
        <v>3230</v>
      </c>
      <c r="D835"/>
      <c r="E835"/>
      <c r="F835" s="186">
        <v>3</v>
      </c>
      <c r="G835" s="185" t="s">
        <v>884</v>
      </c>
      <c r="H835" s="179" t="s">
        <v>1208</v>
      </c>
      <c r="I835" s="8">
        <v>16.5</v>
      </c>
      <c r="J835" s="2" t="s">
        <v>884</v>
      </c>
      <c r="K835" s="8">
        <f t="shared" ref="K835:K841" si="49">F835*I835</f>
        <v>49.5</v>
      </c>
      <c r="O835" s="179" t="s">
        <v>1955</v>
      </c>
      <c r="AG835" s="179" t="s">
        <v>2298</v>
      </c>
    </row>
    <row r="836" spans="1:33" ht="70.5" hidden="1" customHeight="1">
      <c r="A836" s="256">
        <v>10</v>
      </c>
      <c r="B836" s="257" t="s">
        <v>3099</v>
      </c>
      <c r="C836"/>
      <c r="D836"/>
      <c r="E836"/>
      <c r="F836" s="186">
        <v>12</v>
      </c>
      <c r="G836" s="185" t="s">
        <v>884</v>
      </c>
      <c r="H836" s="179" t="s">
        <v>1209</v>
      </c>
      <c r="I836" s="8">
        <v>3.85</v>
      </c>
      <c r="J836" s="2" t="s">
        <v>884</v>
      </c>
      <c r="K836" s="8">
        <f t="shared" si="49"/>
        <v>46.2</v>
      </c>
      <c r="O836" s="179" t="s">
        <v>1003</v>
      </c>
      <c r="AG836" s="179" t="s">
        <v>2298</v>
      </c>
    </row>
    <row r="837" spans="1:33" hidden="1">
      <c r="A837" s="258"/>
      <c r="B837" s="153" t="s">
        <v>3100</v>
      </c>
      <c r="C837" s="105" t="s">
        <v>3230</v>
      </c>
      <c r="D837"/>
      <c r="E837"/>
      <c r="F837" s="186">
        <v>2</v>
      </c>
      <c r="G837" s="185" t="s">
        <v>884</v>
      </c>
      <c r="H837" s="179" t="s">
        <v>1210</v>
      </c>
      <c r="I837" s="8">
        <v>5</v>
      </c>
      <c r="J837" s="2" t="s">
        <v>884</v>
      </c>
      <c r="K837" s="8">
        <f t="shared" si="49"/>
        <v>10</v>
      </c>
      <c r="N837" s="179" t="s">
        <v>621</v>
      </c>
      <c r="O837" s="179" t="s">
        <v>1004</v>
      </c>
      <c r="P837" s="186">
        <f>C271</f>
        <v>160</v>
      </c>
      <c r="R837" s="186" t="e">
        <f>(#VALUE!*P837)</f>
        <v>#VALUE!</v>
      </c>
      <c r="AG837" s="179" t="s">
        <v>2298</v>
      </c>
    </row>
    <row r="838" spans="1:33" hidden="1">
      <c r="A838" s="256"/>
      <c r="B838" s="153" t="s">
        <v>2617</v>
      </c>
      <c r="C838" s="105" t="s">
        <v>3230</v>
      </c>
      <c r="D838"/>
      <c r="E838"/>
      <c r="F838" s="186">
        <v>6</v>
      </c>
      <c r="G838" s="185" t="s">
        <v>884</v>
      </c>
      <c r="H838" s="179" t="s">
        <v>2259</v>
      </c>
      <c r="I838" s="8">
        <v>3.85</v>
      </c>
      <c r="J838" s="2" t="s">
        <v>884</v>
      </c>
      <c r="K838" s="8">
        <f t="shared" si="49"/>
        <v>23.1</v>
      </c>
      <c r="N838" s="179" t="s">
        <v>884</v>
      </c>
      <c r="O838" s="179" t="s">
        <v>151</v>
      </c>
      <c r="P838" s="186">
        <v>5</v>
      </c>
      <c r="R838" s="186" t="e">
        <f>(#VALUE!*P838)</f>
        <v>#VALUE!</v>
      </c>
      <c r="AG838" s="179" t="s">
        <v>2298</v>
      </c>
    </row>
    <row r="839" spans="1:33" hidden="1">
      <c r="A839" s="258"/>
      <c r="B839" s="153" t="s">
        <v>3101</v>
      </c>
      <c r="C839" s="105" t="s">
        <v>3230</v>
      </c>
      <c r="D839"/>
      <c r="E839"/>
      <c r="F839" s="186">
        <v>1</v>
      </c>
      <c r="G839" s="185" t="s">
        <v>884</v>
      </c>
      <c r="H839" s="179" t="s">
        <v>1215</v>
      </c>
      <c r="I839" s="8">
        <f>C10</f>
        <v>150</v>
      </c>
      <c r="J839" s="2" t="s">
        <v>884</v>
      </c>
      <c r="K839" s="8">
        <f t="shared" si="49"/>
        <v>150</v>
      </c>
      <c r="N839" s="179" t="s">
        <v>884</v>
      </c>
      <c r="O839" s="179" t="s">
        <v>152</v>
      </c>
      <c r="P839" s="186">
        <v>10</v>
      </c>
      <c r="R839" s="186" t="e">
        <f>(#VALUE!*P839)</f>
        <v>#VALUE!</v>
      </c>
      <c r="AG839" s="179" t="s">
        <v>2298</v>
      </c>
    </row>
    <row r="840" spans="1:33" hidden="1">
      <c r="A840" s="256"/>
      <c r="B840" s="153" t="s">
        <v>3102</v>
      </c>
      <c r="C840" s="32" t="s">
        <v>3230</v>
      </c>
      <c r="D840"/>
      <c r="E840"/>
      <c r="F840" s="186">
        <v>1</v>
      </c>
      <c r="G840" s="185" t="s">
        <v>884</v>
      </c>
      <c r="H840" s="179" t="s">
        <v>1216</v>
      </c>
      <c r="I840" s="8">
        <f>C12</f>
        <v>95</v>
      </c>
      <c r="J840" s="2" t="s">
        <v>884</v>
      </c>
      <c r="K840" s="8">
        <f t="shared" si="49"/>
        <v>95</v>
      </c>
      <c r="N840" s="179" t="s">
        <v>884</v>
      </c>
      <c r="O840" s="179" t="s">
        <v>1781</v>
      </c>
      <c r="P840" s="186">
        <v>8</v>
      </c>
      <c r="R840" s="186" t="e">
        <f>(#VALUE!*P840)</f>
        <v>#VALUE!</v>
      </c>
      <c r="AG840" s="179" t="s">
        <v>2298</v>
      </c>
    </row>
    <row r="841" spans="1:33" hidden="1">
      <c r="A841" s="258"/>
      <c r="B841" s="153" t="s">
        <v>3103</v>
      </c>
      <c r="C841" s="105">
        <v>1459</v>
      </c>
      <c r="D841"/>
      <c r="E841"/>
      <c r="F841" s="186">
        <v>1</v>
      </c>
      <c r="G841" s="185" t="s">
        <v>884</v>
      </c>
      <c r="H841" s="179" t="s">
        <v>1217</v>
      </c>
      <c r="I841" s="8">
        <v>25</v>
      </c>
      <c r="J841" s="2" t="s">
        <v>884</v>
      </c>
      <c r="K841" s="8">
        <f t="shared" si="49"/>
        <v>25</v>
      </c>
      <c r="N841" s="179" t="s">
        <v>842</v>
      </c>
      <c r="O841" s="179" t="s">
        <v>1525</v>
      </c>
      <c r="P841" s="186">
        <v>13.66</v>
      </c>
      <c r="R841" s="186" t="e">
        <f>(#VALUE!*P841)</f>
        <v>#VALUE!</v>
      </c>
      <c r="AG841" s="179" t="s">
        <v>2298</v>
      </c>
    </row>
    <row r="842" spans="1:33" ht="33" hidden="1" customHeight="1">
      <c r="A842" s="258"/>
      <c r="B842" s="262" t="s">
        <v>3104</v>
      </c>
      <c r="C842" s="105">
        <v>1930</v>
      </c>
      <c r="D842"/>
      <c r="E842"/>
      <c r="F842" s="186"/>
      <c r="G842" s="185"/>
      <c r="H842" s="179"/>
      <c r="I842" s="8"/>
      <c r="J842" s="2"/>
      <c r="K842" s="8"/>
      <c r="N842" s="179"/>
      <c r="O842" s="179"/>
      <c r="P842" s="186"/>
      <c r="R842" s="186"/>
      <c r="AG842" s="179"/>
    </row>
    <row r="843" spans="1:33" ht="37.5" hidden="1" customHeight="1">
      <c r="A843" s="256"/>
      <c r="B843" s="263" t="s">
        <v>2909</v>
      </c>
      <c r="C843" s="105">
        <v>2630</v>
      </c>
      <c r="D843"/>
      <c r="E843"/>
      <c r="F843" s="186">
        <v>0.5</v>
      </c>
      <c r="G843" s="185" t="s">
        <v>884</v>
      </c>
      <c r="H843" s="179" t="s">
        <v>1218</v>
      </c>
      <c r="I843" s="8">
        <f>C13</f>
        <v>85</v>
      </c>
      <c r="J843" s="2" t="s">
        <v>884</v>
      </c>
      <c r="K843" s="8">
        <f>F843*I843</f>
        <v>42.5</v>
      </c>
      <c r="N843" s="179" t="s">
        <v>621</v>
      </c>
      <c r="O843" s="179" t="s">
        <v>1526</v>
      </c>
      <c r="P843" s="186">
        <v>25.46</v>
      </c>
      <c r="R843" s="186" t="e">
        <f>(#VALUE!*P843)</f>
        <v>#VALUE!</v>
      </c>
      <c r="AG843" s="179" t="s">
        <v>2298</v>
      </c>
    </row>
    <row r="844" spans="1:33" ht="70.5" hidden="1" customHeight="1">
      <c r="A844" s="258">
        <v>11</v>
      </c>
      <c r="B844" s="257" t="s">
        <v>2728</v>
      </c>
      <c r="C844"/>
      <c r="D844"/>
      <c r="E844"/>
      <c r="G844" s="185" t="s">
        <v>455</v>
      </c>
      <c r="H844" s="179" t="s">
        <v>2177</v>
      </c>
      <c r="I844"/>
      <c r="J844" s="2" t="s">
        <v>455</v>
      </c>
      <c r="K844" s="8">
        <v>0.5</v>
      </c>
      <c r="N844" s="179" t="s">
        <v>884</v>
      </c>
      <c r="O844" s="179" t="s">
        <v>1343</v>
      </c>
      <c r="P844" s="186">
        <v>0.5</v>
      </c>
      <c r="R844" s="186" t="e">
        <f>(#VALUE!*P844)</f>
        <v>#VALUE!</v>
      </c>
      <c r="AG844" s="179" t="s">
        <v>2298</v>
      </c>
    </row>
    <row r="845" spans="1:33" hidden="1">
      <c r="A845" s="256"/>
      <c r="B845" s="153" t="s">
        <v>2729</v>
      </c>
      <c r="C845" s="105">
        <v>642</v>
      </c>
      <c r="D845"/>
      <c r="E845"/>
      <c r="I845"/>
      <c r="J845" s="4"/>
      <c r="K845" s="5" t="s">
        <v>1615</v>
      </c>
      <c r="R845" s="186">
        <v>0.97</v>
      </c>
      <c r="AG845" s="179" t="s">
        <v>2298</v>
      </c>
    </row>
    <row r="846" spans="1:33" ht="70.5" hidden="1" customHeight="1">
      <c r="A846" s="258">
        <v>12</v>
      </c>
      <c r="B846" s="257" t="s">
        <v>2730</v>
      </c>
      <c r="C846"/>
      <c r="D846"/>
      <c r="E846"/>
      <c r="H846" s="233" t="s">
        <v>287</v>
      </c>
      <c r="I846"/>
      <c r="J846" s="4"/>
      <c r="K846" s="8" t="e">
        <f>SUM(K833:K844)</f>
        <v>#REF!</v>
      </c>
      <c r="R846" s="183" t="s">
        <v>1615</v>
      </c>
      <c r="AG846" s="179" t="s">
        <v>2298</v>
      </c>
    </row>
    <row r="847" spans="1:33" hidden="1">
      <c r="A847" s="256"/>
      <c r="B847" s="153" t="s">
        <v>2729</v>
      </c>
      <c r="C847" s="105">
        <v>864</v>
      </c>
      <c r="D847"/>
      <c r="E847"/>
      <c r="I847"/>
      <c r="J847" s="4"/>
      <c r="K847" s="5" t="s">
        <v>1615</v>
      </c>
      <c r="O847" s="233" t="s">
        <v>1344</v>
      </c>
      <c r="R847" s="186" t="e">
        <f>SUM(R834:R845)</f>
        <v>#VALUE!</v>
      </c>
      <c r="AG847" s="179" t="s">
        <v>2298</v>
      </c>
    </row>
    <row r="848" spans="1:33" ht="97.5" hidden="1" customHeight="1">
      <c r="A848" s="258">
        <v>13</v>
      </c>
      <c r="B848" s="257" t="s">
        <v>2731</v>
      </c>
      <c r="C848"/>
      <c r="D848"/>
      <c r="E848"/>
      <c r="F848" s="233"/>
      <c r="G848" s="185" t="s">
        <v>527</v>
      </c>
      <c r="H848" s="233" t="s">
        <v>573</v>
      </c>
      <c r="I848"/>
      <c r="J848" s="4"/>
      <c r="K848"/>
      <c r="R848" s="183" t="s">
        <v>1615</v>
      </c>
      <c r="AG848" s="179" t="s">
        <v>2298</v>
      </c>
    </row>
    <row r="849" spans="1:18" hidden="1">
      <c r="A849" s="256"/>
      <c r="B849" s="153" t="s">
        <v>2732</v>
      </c>
      <c r="C849" s="105">
        <v>3100</v>
      </c>
      <c r="D849"/>
      <c r="E849"/>
      <c r="H849" s="233" t="s">
        <v>1815</v>
      </c>
      <c r="I849"/>
      <c r="J849" s="4"/>
      <c r="K849"/>
    </row>
    <row r="850" spans="1:18" hidden="1">
      <c r="A850" s="258"/>
      <c r="B850" s="261" t="s">
        <v>2733</v>
      </c>
      <c r="C850" s="105">
        <v>3267</v>
      </c>
      <c r="D850"/>
      <c r="E850"/>
      <c r="F850" s="252">
        <v>3.5299999999999998E-2</v>
      </c>
      <c r="G850" s="185" t="s">
        <v>885</v>
      </c>
      <c r="H850" s="179" t="s">
        <v>2110</v>
      </c>
      <c r="I850" s="8" t="e">
        <f>K781</f>
        <v>#REF!</v>
      </c>
      <c r="J850" s="2" t="s">
        <v>885</v>
      </c>
      <c r="K850" s="8" t="e">
        <f>F850*I850</f>
        <v>#REF!</v>
      </c>
      <c r="M850" s="233" t="s">
        <v>1126</v>
      </c>
      <c r="N850" s="179" t="s">
        <v>2290</v>
      </c>
      <c r="O850" s="179" t="s">
        <v>1127</v>
      </c>
    </row>
    <row r="851" spans="1:18" ht="33" hidden="1" customHeight="1">
      <c r="A851" s="256"/>
      <c r="B851" s="263" t="s">
        <v>2734</v>
      </c>
      <c r="C851" s="105">
        <v>1790</v>
      </c>
      <c r="D851"/>
      <c r="E851"/>
      <c r="F851" s="186">
        <v>4.59</v>
      </c>
      <c r="G851" s="185" t="s">
        <v>1676</v>
      </c>
      <c r="H851" s="179" t="s">
        <v>2111</v>
      </c>
      <c r="I851" s="8">
        <f>K1513</f>
        <v>33174.400000000001</v>
      </c>
      <c r="J851" s="2" t="s">
        <v>877</v>
      </c>
      <c r="K851" s="8">
        <f>F851*I851/1000</f>
        <v>152.27000000000001</v>
      </c>
      <c r="O851" s="179" t="s">
        <v>590</v>
      </c>
    </row>
    <row r="852" spans="1:18" ht="33" hidden="1" customHeight="1">
      <c r="A852" s="258">
        <v>14</v>
      </c>
      <c r="B852" s="264" t="s">
        <v>2905</v>
      </c>
      <c r="C852"/>
      <c r="D852"/>
      <c r="E852"/>
      <c r="F852" s="186"/>
      <c r="G852" s="185"/>
      <c r="H852" s="179"/>
      <c r="I852" s="8"/>
      <c r="J852" s="2"/>
      <c r="K852" s="8"/>
      <c r="O852" s="179"/>
    </row>
    <row r="853" spans="1:18" hidden="1">
      <c r="A853" s="256"/>
      <c r="B853" s="261" t="s">
        <v>2906</v>
      </c>
      <c r="C853" s="32" t="s">
        <v>3230</v>
      </c>
      <c r="D853"/>
      <c r="E853"/>
      <c r="F853" s="186">
        <v>3</v>
      </c>
      <c r="G853" s="185" t="s">
        <v>884</v>
      </c>
      <c r="H853" s="179" t="s">
        <v>1208</v>
      </c>
      <c r="I853" s="8">
        <v>16.5</v>
      </c>
      <c r="J853" s="2" t="s">
        <v>884</v>
      </c>
      <c r="K853" s="8">
        <f t="shared" ref="K853:K860" si="50">F853*I853</f>
        <v>49.5</v>
      </c>
      <c r="O853" s="183" t="s">
        <v>1615</v>
      </c>
      <c r="P853" s="183" t="s">
        <v>1615</v>
      </c>
    </row>
    <row r="854" spans="1:18" hidden="1">
      <c r="A854" s="258"/>
      <c r="B854" s="180" t="s">
        <v>2515</v>
      </c>
      <c r="C854" s="32" t="s">
        <v>3230</v>
      </c>
      <c r="D854"/>
      <c r="E854"/>
      <c r="F854" s="186">
        <v>12</v>
      </c>
      <c r="G854" s="185" t="s">
        <v>884</v>
      </c>
      <c r="H854" s="179" t="s">
        <v>1209</v>
      </c>
      <c r="I854" s="8">
        <v>3.85</v>
      </c>
      <c r="J854" s="2" t="s">
        <v>884</v>
      </c>
      <c r="K854" s="8">
        <f t="shared" si="50"/>
        <v>46.2</v>
      </c>
      <c r="O854" s="179" t="s">
        <v>591</v>
      </c>
    </row>
    <row r="855" spans="1:18" hidden="1">
      <c r="A855" s="256"/>
      <c r="B855" s="180" t="s">
        <v>2516</v>
      </c>
      <c r="C855" s="32" t="s">
        <v>3230</v>
      </c>
      <c r="D855"/>
      <c r="E855"/>
      <c r="F855" s="186">
        <v>2</v>
      </c>
      <c r="G855" s="185" t="s">
        <v>884</v>
      </c>
      <c r="H855" s="186" t="str">
        <f>H837</f>
        <v>TOWER BOLT RECEIVER</v>
      </c>
      <c r="I855" s="8">
        <v>5</v>
      </c>
      <c r="J855" s="2" t="s">
        <v>884</v>
      </c>
      <c r="K855" s="8">
        <f t="shared" si="50"/>
        <v>10</v>
      </c>
      <c r="M855" s="186">
        <v>0.5</v>
      </c>
      <c r="N855" s="233" t="s">
        <v>785</v>
      </c>
      <c r="O855" s="179" t="s">
        <v>76</v>
      </c>
      <c r="P855" s="186">
        <f>C16</f>
        <v>150</v>
      </c>
      <c r="Q855" s="233" t="s">
        <v>1748</v>
      </c>
      <c r="R855" s="186">
        <f>(M855*P855)</f>
        <v>75</v>
      </c>
    </row>
    <row r="856" spans="1:18" ht="52.5" hidden="1" customHeight="1">
      <c r="A856" s="258">
        <v>15</v>
      </c>
      <c r="B856" s="264" t="s">
        <v>2517</v>
      </c>
      <c r="C856" s="32"/>
      <c r="D856"/>
      <c r="E856"/>
      <c r="F856" s="186">
        <v>6</v>
      </c>
      <c r="G856" s="185" t="s">
        <v>884</v>
      </c>
      <c r="H856" s="179" t="s">
        <v>2259</v>
      </c>
      <c r="I856" s="8">
        <v>3.85</v>
      </c>
      <c r="J856" s="2" t="s">
        <v>884</v>
      </c>
      <c r="K856" s="8">
        <f t="shared" si="50"/>
        <v>23.1</v>
      </c>
      <c r="M856" s="186">
        <v>0.25</v>
      </c>
      <c r="N856" s="233" t="s">
        <v>785</v>
      </c>
      <c r="O856" s="179" t="s">
        <v>894</v>
      </c>
      <c r="P856" s="186">
        <f>C13</f>
        <v>85</v>
      </c>
      <c r="Q856" s="233" t="s">
        <v>1748</v>
      </c>
      <c r="R856" s="186">
        <f>(M856*P856)</f>
        <v>21.25</v>
      </c>
    </row>
    <row r="857" spans="1:18" hidden="1">
      <c r="A857" s="256"/>
      <c r="B857" s="180" t="s">
        <v>2518</v>
      </c>
      <c r="C857" s="32" t="s">
        <v>3230</v>
      </c>
      <c r="D857"/>
      <c r="E857"/>
      <c r="F857" s="186">
        <v>1</v>
      </c>
      <c r="G857" s="185" t="s">
        <v>884</v>
      </c>
      <c r="H857" s="179" t="s">
        <v>1215</v>
      </c>
      <c r="I857" s="8">
        <f>C10</f>
        <v>150</v>
      </c>
      <c r="J857" s="2" t="s">
        <v>884</v>
      </c>
      <c r="K857" s="8">
        <f t="shared" si="50"/>
        <v>150</v>
      </c>
      <c r="R857" s="183" t="s">
        <v>1615</v>
      </c>
    </row>
    <row r="858" spans="1:18" hidden="1">
      <c r="A858" s="258"/>
      <c r="B858" s="180" t="s">
        <v>2519</v>
      </c>
      <c r="C858" s="32" t="s">
        <v>3230</v>
      </c>
      <c r="D858"/>
      <c r="E858"/>
      <c r="F858" s="186">
        <v>1</v>
      </c>
      <c r="G858" s="185" t="s">
        <v>884</v>
      </c>
      <c r="H858" s="179" t="s">
        <v>1216</v>
      </c>
      <c r="I858" s="8">
        <f>C12</f>
        <v>95</v>
      </c>
      <c r="J858" s="2" t="s">
        <v>884</v>
      </c>
      <c r="K858" s="8">
        <f t="shared" si="50"/>
        <v>95</v>
      </c>
      <c r="O858" s="233" t="s">
        <v>1184</v>
      </c>
      <c r="R858" s="186">
        <f>SUM(R855:R856)</f>
        <v>96.25</v>
      </c>
    </row>
    <row r="859" spans="1:18" hidden="1">
      <c r="A859" s="256"/>
      <c r="B859" s="261" t="s">
        <v>2520</v>
      </c>
      <c r="C859" s="32" t="s">
        <v>3230</v>
      </c>
      <c r="D859"/>
      <c r="E859"/>
      <c r="F859" s="186">
        <v>1</v>
      </c>
      <c r="G859" s="185" t="s">
        <v>884</v>
      </c>
      <c r="H859" s="186" t="str">
        <f>H841</f>
        <v>MOULDING CHARGES</v>
      </c>
      <c r="I859" s="8">
        <v>25</v>
      </c>
      <c r="J859" s="2" t="s">
        <v>884</v>
      </c>
      <c r="K859" s="8">
        <f t="shared" si="50"/>
        <v>25</v>
      </c>
      <c r="R859" s="183" t="s">
        <v>1615</v>
      </c>
    </row>
    <row r="860" spans="1:18" hidden="1">
      <c r="A860" s="258">
        <v>16</v>
      </c>
      <c r="B860" s="264" t="s">
        <v>2521</v>
      </c>
      <c r="C860"/>
      <c r="D860"/>
      <c r="E860"/>
      <c r="F860" s="186">
        <v>0.5</v>
      </c>
      <c r="G860" s="185" t="s">
        <v>884</v>
      </c>
      <c r="H860" s="179" t="s">
        <v>1218</v>
      </c>
      <c r="I860" s="8">
        <f>C13</f>
        <v>85</v>
      </c>
      <c r="J860" s="2" t="s">
        <v>884</v>
      </c>
      <c r="K860" s="8">
        <f t="shared" si="50"/>
        <v>42.5</v>
      </c>
      <c r="O860" s="233" t="s">
        <v>1185</v>
      </c>
      <c r="R860" s="186">
        <f>R858/0.0283</f>
        <v>3401.06</v>
      </c>
    </row>
    <row r="861" spans="1:18" hidden="1">
      <c r="A861" s="265"/>
      <c r="B861" s="153" t="s">
        <v>2436</v>
      </c>
      <c r="C861" s="105">
        <v>10</v>
      </c>
      <c r="D861"/>
      <c r="E861"/>
      <c r="G861" s="185" t="s">
        <v>455</v>
      </c>
      <c r="H861" s="179" t="s">
        <v>2177</v>
      </c>
      <c r="I861"/>
      <c r="J861" s="2" t="s">
        <v>455</v>
      </c>
      <c r="K861" s="8">
        <v>0.5</v>
      </c>
      <c r="R861" s="183" t="s">
        <v>1615</v>
      </c>
    </row>
    <row r="862" spans="1:18" hidden="1">
      <c r="A862" s="265"/>
      <c r="B862" s="153" t="s">
        <v>2437</v>
      </c>
      <c r="C862" s="105">
        <v>10</v>
      </c>
      <c r="D862"/>
      <c r="E862"/>
      <c r="I862"/>
      <c r="J862" s="4"/>
      <c r="K862" s="5" t="s">
        <v>1615</v>
      </c>
    </row>
    <row r="863" spans="1:18" ht="31.5" hidden="1">
      <c r="A863" s="258">
        <v>17</v>
      </c>
      <c r="B863" s="264" t="s">
        <v>2438</v>
      </c>
      <c r="C863"/>
      <c r="D863"/>
      <c r="E863"/>
      <c r="H863" s="233" t="s">
        <v>287</v>
      </c>
      <c r="I863"/>
      <c r="J863" s="4"/>
      <c r="K863" s="8" t="e">
        <f>SUM(K850:K861)</f>
        <v>#REF!</v>
      </c>
    </row>
    <row r="864" spans="1:18" hidden="1">
      <c r="A864" s="258"/>
      <c r="B864" s="180" t="s">
        <v>2439</v>
      </c>
      <c r="C864" s="105">
        <v>170</v>
      </c>
      <c r="D864"/>
      <c r="E864"/>
      <c r="I864"/>
      <c r="J864" s="4"/>
      <c r="K864" s="5" t="s">
        <v>1615</v>
      </c>
    </row>
    <row r="865" spans="1:33" hidden="1">
      <c r="A865" s="258"/>
      <c r="B865" s="153" t="s">
        <v>2440</v>
      </c>
      <c r="C865" s="105">
        <v>170</v>
      </c>
      <c r="D865"/>
      <c r="E865"/>
      <c r="I865"/>
      <c r="J865" s="4"/>
      <c r="K865"/>
    </row>
    <row r="866" spans="1:33" hidden="1">
      <c r="A866" s="258"/>
      <c r="B866" s="153" t="s">
        <v>3302</v>
      </c>
      <c r="C866" s="105">
        <v>295</v>
      </c>
      <c r="D866"/>
      <c r="E866"/>
      <c r="I866"/>
      <c r="J866" s="4"/>
      <c r="K866"/>
    </row>
    <row r="867" spans="1:33" ht="31.5" hidden="1">
      <c r="A867" s="258"/>
      <c r="B867" s="262" t="s">
        <v>3303</v>
      </c>
      <c r="C867" s="105">
        <v>240</v>
      </c>
      <c r="D867"/>
      <c r="E867"/>
      <c r="I867"/>
      <c r="J867" s="4"/>
      <c r="K867"/>
    </row>
    <row r="868" spans="1:33" ht="142.5" hidden="1" customHeight="1">
      <c r="A868" s="258"/>
      <c r="C868"/>
      <c r="D868"/>
      <c r="E868"/>
      <c r="F868" s="266">
        <v>21.3</v>
      </c>
      <c r="G868" s="185" t="s">
        <v>2290</v>
      </c>
      <c r="H868" s="267" t="s">
        <v>1759</v>
      </c>
      <c r="I868"/>
      <c r="J868" s="4"/>
      <c r="K868"/>
      <c r="AG868" s="179" t="s">
        <v>2298</v>
      </c>
    </row>
    <row r="869" spans="1:33" hidden="1">
      <c r="A869" s="258"/>
      <c r="B869" s="153" t="s">
        <v>3304</v>
      </c>
      <c r="C869" s="32" t="s">
        <v>3305</v>
      </c>
      <c r="D869"/>
      <c r="E869"/>
      <c r="H869" s="179" t="s">
        <v>2299</v>
      </c>
      <c r="I869"/>
      <c r="J869" s="4"/>
      <c r="K869"/>
      <c r="M869" s="186">
        <v>11.64</v>
      </c>
      <c r="N869" s="179" t="s">
        <v>842</v>
      </c>
      <c r="O869" s="179" t="s">
        <v>1525</v>
      </c>
      <c r="P869" s="186">
        <v>13.66</v>
      </c>
      <c r="R869" s="186">
        <f>(M869*P869)</f>
        <v>159</v>
      </c>
      <c r="AG869" s="179" t="s">
        <v>2298</v>
      </c>
    </row>
    <row r="870" spans="1:33" hidden="1">
      <c r="A870" s="258"/>
      <c r="B870" s="153" t="s">
        <v>3306</v>
      </c>
      <c r="C870" s="32" t="s">
        <v>3305</v>
      </c>
      <c r="D870"/>
      <c r="E870"/>
      <c r="H870" s="183" t="s">
        <v>1615</v>
      </c>
      <c r="I870"/>
      <c r="J870" s="4"/>
      <c r="K870"/>
      <c r="M870" s="253">
        <v>1.62</v>
      </c>
      <c r="N870" s="179" t="s">
        <v>621</v>
      </c>
      <c r="O870" s="179" t="s">
        <v>1526</v>
      </c>
      <c r="P870" s="186">
        <v>25.46</v>
      </c>
      <c r="R870" s="186">
        <f>(M870*P870)</f>
        <v>41.25</v>
      </c>
      <c r="AG870" s="179" t="s">
        <v>2298</v>
      </c>
    </row>
    <row r="871" spans="1:33" hidden="1">
      <c r="A871" s="258"/>
      <c r="B871" s="153" t="s">
        <v>3307</v>
      </c>
      <c r="C871" s="32" t="s">
        <v>3305</v>
      </c>
      <c r="D871"/>
      <c r="E871"/>
      <c r="I871"/>
      <c r="J871" s="4"/>
      <c r="K871"/>
      <c r="M871" s="186">
        <v>48</v>
      </c>
      <c r="N871" s="179" t="s">
        <v>884</v>
      </c>
      <c r="O871" s="179" t="s">
        <v>1343</v>
      </c>
      <c r="P871" s="186">
        <v>0.5</v>
      </c>
      <c r="R871" s="186">
        <f>(M871*P871)</f>
        <v>24</v>
      </c>
      <c r="AG871" s="179" t="s">
        <v>2298</v>
      </c>
    </row>
    <row r="872" spans="1:33" hidden="1">
      <c r="A872" s="258"/>
      <c r="B872" s="153" t="s">
        <v>3308</v>
      </c>
      <c r="C872" s="32" t="s">
        <v>3305</v>
      </c>
      <c r="D872"/>
      <c r="E872"/>
      <c r="H872" s="179" t="s">
        <v>2299</v>
      </c>
      <c r="I872"/>
      <c r="J872" s="2" t="s">
        <v>621</v>
      </c>
      <c r="K872" s="8">
        <v>1450</v>
      </c>
      <c r="R872" s="186">
        <v>0.23</v>
      </c>
      <c r="AG872" s="179" t="s">
        <v>2298</v>
      </c>
    </row>
    <row r="873" spans="1:33" hidden="1">
      <c r="A873" s="258">
        <v>18</v>
      </c>
      <c r="B873" s="259" t="s">
        <v>3309</v>
      </c>
      <c r="C873"/>
      <c r="D873"/>
      <c r="E873"/>
      <c r="F873" s="179" t="s">
        <v>992</v>
      </c>
      <c r="I873"/>
      <c r="J873" s="4"/>
      <c r="K873"/>
    </row>
    <row r="874" spans="1:33" hidden="1">
      <c r="A874" s="258"/>
      <c r="B874" s="153" t="s">
        <v>3310</v>
      </c>
      <c r="C874" s="105">
        <v>113</v>
      </c>
      <c r="D874"/>
      <c r="E874"/>
      <c r="H874" s="233" t="s">
        <v>2300</v>
      </c>
      <c r="I874"/>
      <c r="J874" s="4"/>
      <c r="K874" s="5" t="s">
        <v>2091</v>
      </c>
      <c r="R874" s="183" t="s">
        <v>1615</v>
      </c>
      <c r="AG874" s="179" t="s">
        <v>2298</v>
      </c>
    </row>
    <row r="875" spans="1:33" hidden="1">
      <c r="A875" s="258"/>
      <c r="B875" s="153" t="s">
        <v>3311</v>
      </c>
      <c r="C875" s="105">
        <v>135</v>
      </c>
      <c r="D875"/>
      <c r="E875"/>
      <c r="H875" s="233" t="s">
        <v>1392</v>
      </c>
      <c r="I875"/>
      <c r="J875" s="4"/>
      <c r="K875"/>
      <c r="O875" s="233" t="s">
        <v>1344</v>
      </c>
      <c r="R875" s="186">
        <f>SUM(R869:R872)</f>
        <v>224.48</v>
      </c>
      <c r="AG875" s="179" t="s">
        <v>2298</v>
      </c>
    </row>
    <row r="876" spans="1:33" hidden="1">
      <c r="A876" s="258"/>
      <c r="B876" s="153" t="s">
        <v>3312</v>
      </c>
      <c r="C876" s="105">
        <v>180</v>
      </c>
      <c r="D876"/>
      <c r="E876"/>
      <c r="F876" s="254">
        <v>21.2</v>
      </c>
      <c r="H876" s="189" t="s">
        <v>1760</v>
      </c>
      <c r="I876"/>
      <c r="J876" s="4"/>
      <c r="K876"/>
      <c r="AG876" s="179" t="s">
        <v>2298</v>
      </c>
    </row>
    <row r="877" spans="1:33" hidden="1">
      <c r="A877" s="258"/>
      <c r="B877" s="153" t="s">
        <v>3313</v>
      </c>
      <c r="C877" s="105">
        <v>248</v>
      </c>
      <c r="D877"/>
      <c r="E877"/>
      <c r="F877" s="254"/>
      <c r="H877" s="183" t="s">
        <v>1615</v>
      </c>
      <c r="I877"/>
      <c r="J877" s="4"/>
      <c r="K877"/>
      <c r="AG877" s="179"/>
    </row>
    <row r="878" spans="1:33" hidden="1">
      <c r="A878" s="258">
        <v>19</v>
      </c>
      <c r="B878" s="153" t="s">
        <v>3314</v>
      </c>
      <c r="C878" s="32" t="s">
        <v>3305</v>
      </c>
      <c r="D878"/>
      <c r="E878"/>
      <c r="G878" s="185" t="s">
        <v>156</v>
      </c>
      <c r="H878" s="179" t="s">
        <v>1393</v>
      </c>
      <c r="I878"/>
      <c r="J878" s="4"/>
      <c r="K878" s="1" t="s">
        <v>992</v>
      </c>
      <c r="AG878" s="179" t="s">
        <v>2298</v>
      </c>
    </row>
    <row r="879" spans="1:33" hidden="1">
      <c r="A879" s="258"/>
      <c r="B879" s="153" t="s">
        <v>3315</v>
      </c>
      <c r="C879" s="32" t="s">
        <v>3305</v>
      </c>
      <c r="D879"/>
      <c r="E879"/>
      <c r="H879" s="183" t="s">
        <v>1615</v>
      </c>
      <c r="I879"/>
      <c r="J879" s="4"/>
      <c r="K879" s="1" t="s">
        <v>992</v>
      </c>
      <c r="AG879" s="179" t="s">
        <v>2298</v>
      </c>
    </row>
    <row r="880" spans="1:33" hidden="1">
      <c r="A880" s="258">
        <v>20</v>
      </c>
      <c r="B880" s="153" t="s">
        <v>2735</v>
      </c>
      <c r="C880" s="32" t="s">
        <v>3305</v>
      </c>
      <c r="D880"/>
      <c r="E880"/>
      <c r="F880" s="186">
        <v>1</v>
      </c>
      <c r="G880" s="185" t="s">
        <v>885</v>
      </c>
      <c r="H880" s="179" t="s">
        <v>1597</v>
      </c>
      <c r="I880" s="8">
        <f>C30</f>
        <v>3035</v>
      </c>
      <c r="J880" s="2" t="s">
        <v>885</v>
      </c>
      <c r="K880" s="8">
        <f>(F880*I880)</f>
        <v>3035</v>
      </c>
      <c r="AG880" s="179" t="s">
        <v>2298</v>
      </c>
    </row>
    <row r="881" spans="1:33" hidden="1">
      <c r="A881" s="258">
        <v>21</v>
      </c>
      <c r="B881" s="153" t="s">
        <v>2736</v>
      </c>
      <c r="C881" s="260" t="s">
        <v>3305</v>
      </c>
      <c r="D881"/>
      <c r="E881"/>
      <c r="F881" s="186">
        <v>1</v>
      </c>
      <c r="G881" s="185" t="s">
        <v>885</v>
      </c>
      <c r="H881" s="179" t="s">
        <v>1393</v>
      </c>
      <c r="I881" s="8">
        <f>C88</f>
        <v>65420</v>
      </c>
      <c r="J881" s="2" t="s">
        <v>885</v>
      </c>
      <c r="K881" s="8">
        <f>(F881*I881)</f>
        <v>65420</v>
      </c>
      <c r="AG881" s="179" t="s">
        <v>2298</v>
      </c>
    </row>
    <row r="882" spans="1:33" hidden="1">
      <c r="A882" s="258">
        <v>22</v>
      </c>
      <c r="B882" s="153" t="s">
        <v>2737</v>
      </c>
      <c r="C882" s="260" t="s">
        <v>3305</v>
      </c>
      <c r="D882"/>
      <c r="E882"/>
      <c r="I882"/>
      <c r="J882" s="4"/>
      <c r="K882" s="5" t="s">
        <v>2091</v>
      </c>
      <c r="AG882" s="179" t="s">
        <v>2298</v>
      </c>
    </row>
    <row r="883" spans="1:33" hidden="1">
      <c r="A883" s="258">
        <v>23</v>
      </c>
      <c r="B883" s="259" t="s">
        <v>2738</v>
      </c>
      <c r="C883"/>
      <c r="D883"/>
      <c r="E883"/>
      <c r="H883" s="179" t="s">
        <v>1598</v>
      </c>
      <c r="I883"/>
      <c r="J883" s="4"/>
      <c r="K883" s="8">
        <f>SUM(K880:K881)</f>
        <v>68455</v>
      </c>
      <c r="AG883" s="179" t="s">
        <v>2298</v>
      </c>
    </row>
    <row r="884" spans="1:33" hidden="1">
      <c r="A884" s="258"/>
      <c r="B884" s="153" t="s">
        <v>2739</v>
      </c>
      <c r="C884" s="32" t="s">
        <v>3305</v>
      </c>
      <c r="D884"/>
      <c r="E884"/>
      <c r="I884"/>
      <c r="J884" s="4"/>
      <c r="K884" s="5" t="s">
        <v>2091</v>
      </c>
      <c r="AG884" s="179" t="s">
        <v>2298</v>
      </c>
    </row>
    <row r="885" spans="1:33" hidden="1">
      <c r="A885" s="258"/>
      <c r="B885" s="153" t="s">
        <v>2740</v>
      </c>
      <c r="C885" s="32" t="s">
        <v>3305</v>
      </c>
      <c r="D885"/>
      <c r="E885"/>
      <c r="G885" s="185" t="s">
        <v>1583</v>
      </c>
      <c r="H885" s="179" t="s">
        <v>1599</v>
      </c>
      <c r="I885"/>
      <c r="J885" s="4"/>
      <c r="K885" s="1" t="s">
        <v>992</v>
      </c>
      <c r="AG885" s="179" t="s">
        <v>2298</v>
      </c>
    </row>
    <row r="886" spans="1:33" hidden="1">
      <c r="A886" s="258">
        <v>24</v>
      </c>
      <c r="B886" s="259" t="s">
        <v>2741</v>
      </c>
      <c r="C886" s="105">
        <v>18</v>
      </c>
      <c r="D886"/>
      <c r="E886"/>
      <c r="H886" s="183" t="s">
        <v>1615</v>
      </c>
      <c r="I886"/>
      <c r="J886" s="4"/>
      <c r="K886"/>
      <c r="AG886" s="179" t="s">
        <v>2298</v>
      </c>
    </row>
    <row r="887" spans="1:33" ht="51" hidden="1" customHeight="1">
      <c r="A887" s="258">
        <v>25</v>
      </c>
      <c r="B887" s="263" t="s">
        <v>2742</v>
      </c>
      <c r="C887" s="105">
        <v>300</v>
      </c>
      <c r="D887"/>
      <c r="E887"/>
      <c r="F887" s="186">
        <v>1</v>
      </c>
      <c r="G887" s="185" t="s">
        <v>885</v>
      </c>
      <c r="H887" s="179" t="s">
        <v>1597</v>
      </c>
      <c r="I887" s="8">
        <f>C30</f>
        <v>3035</v>
      </c>
      <c r="J887" s="2" t="s">
        <v>885</v>
      </c>
      <c r="K887" s="8">
        <f>(F887*I887)</f>
        <v>3035</v>
      </c>
      <c r="AG887" s="179" t="s">
        <v>2298</v>
      </c>
    </row>
    <row r="888" spans="1:33" hidden="1">
      <c r="A888" s="258">
        <v>26</v>
      </c>
      <c r="B888" s="180" t="s">
        <v>2743</v>
      </c>
      <c r="C888" s="105">
        <v>15</v>
      </c>
      <c r="D888"/>
      <c r="E888"/>
      <c r="F888" s="186">
        <v>1</v>
      </c>
      <c r="G888" s="185" t="s">
        <v>885</v>
      </c>
      <c r="H888" s="179" t="s">
        <v>1393</v>
      </c>
      <c r="I888" s="8">
        <f>C89</f>
        <v>57165</v>
      </c>
      <c r="J888" s="2" t="s">
        <v>885</v>
      </c>
      <c r="K888" s="8">
        <f>(F888*I888)</f>
        <v>57165</v>
      </c>
      <c r="AG888" s="179" t="s">
        <v>2298</v>
      </c>
    </row>
    <row r="889" spans="1:33" ht="36" hidden="1" customHeight="1">
      <c r="A889" s="258">
        <v>27</v>
      </c>
      <c r="B889" s="263" t="s">
        <v>2744</v>
      </c>
      <c r="C889" s="105">
        <v>178</v>
      </c>
      <c r="D889"/>
      <c r="E889"/>
      <c r="I889"/>
      <c r="J889" s="4"/>
      <c r="K889" s="5" t="s">
        <v>2091</v>
      </c>
      <c r="AG889" s="179" t="s">
        <v>2298</v>
      </c>
    </row>
    <row r="890" spans="1:33" ht="41.25" hidden="1" customHeight="1">
      <c r="A890" s="258"/>
      <c r="B890" s="263" t="s">
        <v>2745</v>
      </c>
      <c r="C890" s="105">
        <v>1120</v>
      </c>
      <c r="D890"/>
      <c r="E890"/>
      <c r="H890" s="179" t="s">
        <v>1600</v>
      </c>
      <c r="I890"/>
      <c r="J890" s="4"/>
      <c r="K890" s="8">
        <f>SUM(K887:K888)</f>
        <v>60200</v>
      </c>
      <c r="AG890" s="179" t="s">
        <v>2298</v>
      </c>
    </row>
    <row r="891" spans="1:33" ht="39" hidden="1" customHeight="1">
      <c r="A891" s="258"/>
      <c r="B891" s="264" t="s">
        <v>2746</v>
      </c>
      <c r="C891"/>
      <c r="D891"/>
      <c r="E891"/>
      <c r="I891"/>
      <c r="J891" s="4"/>
      <c r="K891" s="5" t="s">
        <v>2091</v>
      </c>
      <c r="AG891" s="179" t="s">
        <v>2298</v>
      </c>
    </row>
    <row r="892" spans="1:33" hidden="1">
      <c r="A892" s="258"/>
      <c r="B892" s="263" t="s">
        <v>3490</v>
      </c>
      <c r="C892" s="32" t="s">
        <v>3305</v>
      </c>
      <c r="D892"/>
      <c r="E892"/>
      <c r="I892"/>
      <c r="J892" s="4"/>
      <c r="K892"/>
      <c r="AG892" s="179" t="s">
        <v>2298</v>
      </c>
    </row>
    <row r="893" spans="1:33" hidden="1">
      <c r="A893" s="258"/>
      <c r="B893" s="263" t="s">
        <v>2605</v>
      </c>
      <c r="C893" s="32" t="s">
        <v>3305</v>
      </c>
      <c r="D893"/>
      <c r="E893"/>
      <c r="F893" s="233" t="s">
        <v>574</v>
      </c>
      <c r="G893" s="185" t="s">
        <v>2290</v>
      </c>
      <c r="H893" s="179" t="s">
        <v>258</v>
      </c>
      <c r="I893"/>
      <c r="J893" s="4"/>
      <c r="K893"/>
      <c r="AG893" s="179" t="s">
        <v>2298</v>
      </c>
    </row>
    <row r="894" spans="1:33" hidden="1">
      <c r="A894" s="258"/>
      <c r="B894" s="263" t="s">
        <v>2606</v>
      </c>
      <c r="C894" s="32" t="s">
        <v>3305</v>
      </c>
      <c r="D894"/>
      <c r="E894"/>
      <c r="H894" s="179" t="s">
        <v>259</v>
      </c>
      <c r="I894"/>
      <c r="J894" s="4"/>
      <c r="K894"/>
      <c r="AG894" s="179" t="s">
        <v>2298</v>
      </c>
    </row>
    <row r="895" spans="1:33" ht="31.5" hidden="1">
      <c r="A895" s="258"/>
      <c r="B895" s="263" t="s">
        <v>2607</v>
      </c>
      <c r="C895" s="105">
        <v>120</v>
      </c>
      <c r="D895"/>
      <c r="E895"/>
      <c r="H895" s="179" t="s">
        <v>1496</v>
      </c>
      <c r="I895"/>
      <c r="J895" s="4"/>
      <c r="K895"/>
      <c r="AG895" s="179" t="s">
        <v>2298</v>
      </c>
    </row>
    <row r="896" spans="1:33" hidden="1">
      <c r="A896" s="258"/>
      <c r="B896" s="264" t="s">
        <v>2608</v>
      </c>
      <c r="C896"/>
      <c r="D896"/>
      <c r="E896"/>
      <c r="H896" s="183" t="s">
        <v>1615</v>
      </c>
      <c r="I896"/>
      <c r="J896" s="4"/>
      <c r="K896"/>
      <c r="AG896" s="179" t="s">
        <v>2298</v>
      </c>
    </row>
    <row r="897" spans="1:33" hidden="1">
      <c r="A897" s="258"/>
      <c r="B897" s="263" t="s">
        <v>2609</v>
      </c>
      <c r="C897" s="105">
        <v>45</v>
      </c>
      <c r="D897"/>
      <c r="E897"/>
      <c r="H897" s="179" t="s">
        <v>91</v>
      </c>
      <c r="I897"/>
      <c r="J897" s="4"/>
      <c r="K897"/>
    </row>
    <row r="898" spans="1:33" hidden="1">
      <c r="A898" s="258"/>
      <c r="B898" s="263" t="s">
        <v>2610</v>
      </c>
      <c r="C898" s="105">
        <v>18</v>
      </c>
      <c r="D898"/>
      <c r="E898"/>
      <c r="H898" s="179" t="s">
        <v>92</v>
      </c>
      <c r="I898"/>
      <c r="J898" s="4"/>
      <c r="K898"/>
    </row>
    <row r="899" spans="1:33" hidden="1">
      <c r="A899" s="258"/>
      <c r="B899" s="263" t="s">
        <v>2611</v>
      </c>
      <c r="C899" s="105">
        <v>450</v>
      </c>
      <c r="D899"/>
      <c r="E899"/>
      <c r="I899"/>
      <c r="J899" s="2" t="s">
        <v>1615</v>
      </c>
      <c r="K899"/>
    </row>
    <row r="900" spans="1:33" hidden="1">
      <c r="A900" s="258"/>
      <c r="B900" s="263" t="s">
        <v>2612</v>
      </c>
      <c r="C900" s="105">
        <v>650</v>
      </c>
      <c r="D900"/>
      <c r="E900"/>
      <c r="H900" s="179" t="s">
        <v>1194</v>
      </c>
      <c r="I900"/>
      <c r="J900" s="4"/>
      <c r="K900"/>
    </row>
    <row r="901" spans="1:33" ht="47.25" hidden="1">
      <c r="A901" s="258"/>
      <c r="B901" s="263" t="s">
        <v>2613</v>
      </c>
      <c r="C901" s="105">
        <v>5000</v>
      </c>
      <c r="D901"/>
      <c r="E901"/>
      <c r="H901" s="179" t="s">
        <v>2042</v>
      </c>
      <c r="I901"/>
      <c r="J901" s="4"/>
      <c r="K901" s="14">
        <v>2.4299999999999999E-2</v>
      </c>
    </row>
    <row r="902" spans="1:33" ht="63" hidden="1">
      <c r="A902" s="258"/>
      <c r="B902" s="263" t="s">
        <v>2632</v>
      </c>
      <c r="C902" s="105">
        <v>6750</v>
      </c>
      <c r="D902"/>
      <c r="E902"/>
      <c r="I902"/>
      <c r="J902" s="2" t="s">
        <v>992</v>
      </c>
      <c r="K902" s="5" t="s">
        <v>1615</v>
      </c>
    </row>
    <row r="903" spans="1:33" ht="47.25" hidden="1">
      <c r="A903" s="258"/>
      <c r="B903" s="263" t="s">
        <v>2512</v>
      </c>
      <c r="C903" s="105">
        <v>5800</v>
      </c>
      <c r="D903"/>
      <c r="E903"/>
      <c r="H903" s="179" t="s">
        <v>2043</v>
      </c>
      <c r="I903"/>
      <c r="J903" s="268" t="s">
        <v>992</v>
      </c>
      <c r="K903" s="14">
        <v>1.47E-2</v>
      </c>
    </row>
    <row r="904" spans="1:33" hidden="1">
      <c r="A904" s="258"/>
      <c r="B904" s="263" t="s">
        <v>2513</v>
      </c>
      <c r="C904"/>
      <c r="D904"/>
      <c r="E904"/>
      <c r="H904" s="179" t="s">
        <v>1800</v>
      </c>
      <c r="I904"/>
      <c r="J904" s="2" t="s">
        <v>992</v>
      </c>
      <c r="K904" s="14">
        <v>4.5999999999999999E-3</v>
      </c>
    </row>
    <row r="905" spans="1:33" ht="47.25" hidden="1">
      <c r="A905" s="258"/>
      <c r="B905" s="263" t="s">
        <v>2514</v>
      </c>
      <c r="C905"/>
      <c r="D905"/>
      <c r="E905"/>
      <c r="I905"/>
      <c r="J905" s="4"/>
      <c r="K905" s="5" t="s">
        <v>1615</v>
      </c>
    </row>
    <row r="906" spans="1:33" ht="47.25" hidden="1">
      <c r="A906" s="258"/>
      <c r="B906" s="263" t="s">
        <v>2514</v>
      </c>
      <c r="C906"/>
      <c r="D906"/>
      <c r="E906"/>
      <c r="I906"/>
      <c r="J906" s="4"/>
      <c r="K906" s="14">
        <v>1.9300000000000001E-2</v>
      </c>
    </row>
    <row r="907" spans="1:33" ht="47.25" hidden="1">
      <c r="A907" s="258"/>
      <c r="B907" s="263" t="s">
        <v>2527</v>
      </c>
      <c r="C907"/>
      <c r="D907"/>
      <c r="E907"/>
      <c r="I907"/>
      <c r="J907" s="4"/>
      <c r="K907" s="5" t="s">
        <v>1615</v>
      </c>
    </row>
    <row r="908" spans="1:33" hidden="1">
      <c r="A908" s="258"/>
      <c r="B908" s="263" t="s">
        <v>2528</v>
      </c>
      <c r="C908"/>
      <c r="D908"/>
      <c r="E908"/>
      <c r="I908"/>
      <c r="J908" s="4"/>
      <c r="K908"/>
    </row>
    <row r="909" spans="1:33" hidden="1">
      <c r="A909" s="258"/>
      <c r="B909" s="263" t="s">
        <v>2576</v>
      </c>
      <c r="C909"/>
      <c r="D909"/>
      <c r="E909"/>
      <c r="I909"/>
      <c r="J909" s="4"/>
      <c r="K909"/>
    </row>
    <row r="910" spans="1:33" hidden="1">
      <c r="A910" s="258"/>
      <c r="B910" s="263" t="s">
        <v>3506</v>
      </c>
      <c r="C910"/>
      <c r="D910"/>
      <c r="E910"/>
      <c r="F910" s="252">
        <v>1.14E-2</v>
      </c>
      <c r="G910" s="185" t="s">
        <v>885</v>
      </c>
      <c r="H910" s="179" t="s">
        <v>313</v>
      </c>
      <c r="I910" s="8">
        <f>C88</f>
        <v>65420</v>
      </c>
      <c r="J910" s="2" t="s">
        <v>885</v>
      </c>
      <c r="K910" s="8">
        <f>(F910*I910)</f>
        <v>745.79</v>
      </c>
      <c r="AG910" s="179" t="s">
        <v>2298</v>
      </c>
    </row>
    <row r="911" spans="1:33" hidden="1">
      <c r="A911" s="258"/>
      <c r="B911" s="263" t="s">
        <v>2590</v>
      </c>
      <c r="C911"/>
      <c r="D911"/>
      <c r="E911"/>
      <c r="F911" s="252">
        <v>2.4299999999999999E-2</v>
      </c>
      <c r="G911" s="185" t="s">
        <v>885</v>
      </c>
      <c r="H911" s="179" t="s">
        <v>314</v>
      </c>
      <c r="I911" s="8">
        <f>C89</f>
        <v>57165</v>
      </c>
      <c r="J911" s="2" t="s">
        <v>885</v>
      </c>
      <c r="K911" s="8">
        <f>(F911*I911)</f>
        <v>1389.11</v>
      </c>
      <c r="AG911" s="179" t="s">
        <v>2298</v>
      </c>
    </row>
    <row r="912" spans="1:33" hidden="1">
      <c r="A912" s="258"/>
      <c r="B912" s="263" t="s">
        <v>2591</v>
      </c>
      <c r="C912"/>
      <c r="D912"/>
      <c r="E912"/>
      <c r="F912" s="252">
        <v>1.9300000000000001E-2</v>
      </c>
      <c r="G912" s="185" t="s">
        <v>885</v>
      </c>
      <c r="H912" s="179" t="s">
        <v>315</v>
      </c>
      <c r="I912" s="8">
        <f>C90</f>
        <v>63870</v>
      </c>
      <c r="J912" s="2" t="s">
        <v>885</v>
      </c>
      <c r="K912" s="8">
        <f>(F912*I912)</f>
        <v>1232.69</v>
      </c>
      <c r="AG912" s="179" t="s">
        <v>2298</v>
      </c>
    </row>
    <row r="913" spans="1:33" hidden="1">
      <c r="A913" s="258"/>
      <c r="B913" s="263" t="s">
        <v>2592</v>
      </c>
      <c r="C913"/>
      <c r="D913"/>
      <c r="E913"/>
      <c r="F913" s="253"/>
      <c r="H913" s="179" t="s">
        <v>452</v>
      </c>
      <c r="I913" s="1" t="s">
        <v>992</v>
      </c>
      <c r="J913" s="4"/>
      <c r="K913" s="1" t="s">
        <v>992</v>
      </c>
      <c r="AG913" s="179" t="s">
        <v>2298</v>
      </c>
    </row>
    <row r="914" spans="1:33" hidden="1">
      <c r="A914" s="258"/>
      <c r="B914" s="263" t="s">
        <v>2593</v>
      </c>
      <c r="C914"/>
      <c r="D914"/>
      <c r="E914"/>
      <c r="F914" s="253">
        <v>1.823</v>
      </c>
      <c r="G914" s="185" t="s">
        <v>621</v>
      </c>
      <c r="H914" s="179" t="s">
        <v>453</v>
      </c>
      <c r="I914" s="8">
        <f>C31</f>
        <v>342</v>
      </c>
      <c r="J914" s="2" t="s">
        <v>621</v>
      </c>
      <c r="K914" s="8">
        <f t="shared" ref="K914:K920" si="51">(F914*I914)</f>
        <v>623.47</v>
      </c>
      <c r="AG914" s="179" t="s">
        <v>2298</v>
      </c>
    </row>
    <row r="915" spans="1:33" hidden="1">
      <c r="A915" s="258"/>
      <c r="B915" s="263" t="s">
        <v>2594</v>
      </c>
      <c r="C915"/>
      <c r="D915"/>
      <c r="E915"/>
      <c r="F915" s="186">
        <v>1</v>
      </c>
      <c r="G915" s="185" t="s">
        <v>785</v>
      </c>
      <c r="H915" s="179" t="s">
        <v>1489</v>
      </c>
      <c r="I915" s="8">
        <f>C576</f>
        <v>30</v>
      </c>
      <c r="J915" s="2" t="s">
        <v>884</v>
      </c>
      <c r="K915" s="8">
        <f t="shared" si="51"/>
        <v>30</v>
      </c>
      <c r="AG915" s="179" t="s">
        <v>2298</v>
      </c>
    </row>
    <row r="916" spans="1:33" ht="31.5" hidden="1">
      <c r="A916" s="258"/>
      <c r="B916" s="263" t="s">
        <v>2595</v>
      </c>
      <c r="C916"/>
      <c r="D916"/>
      <c r="E916"/>
      <c r="F916" s="186">
        <v>3</v>
      </c>
      <c r="G916" s="185" t="s">
        <v>884</v>
      </c>
      <c r="H916" s="179" t="s">
        <v>1490</v>
      </c>
      <c r="I916" s="8">
        <f>C278</f>
        <v>45</v>
      </c>
      <c r="J916" s="2" t="s">
        <v>884</v>
      </c>
      <c r="K916" s="8">
        <f t="shared" si="51"/>
        <v>135</v>
      </c>
      <c r="AG916" s="179" t="s">
        <v>2298</v>
      </c>
    </row>
    <row r="917" spans="1:33" ht="31.5" hidden="1">
      <c r="A917" s="258"/>
      <c r="B917" s="263" t="s">
        <v>2596</v>
      </c>
      <c r="C917"/>
      <c r="D917"/>
      <c r="E917"/>
      <c r="F917" s="186">
        <v>2</v>
      </c>
      <c r="G917" s="185" t="s">
        <v>884</v>
      </c>
      <c r="H917" s="179" t="s">
        <v>1491</v>
      </c>
      <c r="I917" s="8">
        <f>C283</f>
        <v>30</v>
      </c>
      <c r="J917" s="2" t="s">
        <v>884</v>
      </c>
      <c r="K917" s="8">
        <f t="shared" si="51"/>
        <v>60</v>
      </c>
      <c r="AG917" s="179" t="s">
        <v>2298</v>
      </c>
    </row>
    <row r="918" spans="1:33" ht="31.5" hidden="1">
      <c r="A918" s="258"/>
      <c r="B918" s="263" t="s">
        <v>2597</v>
      </c>
      <c r="C918"/>
      <c r="D918"/>
      <c r="E918"/>
      <c r="F918" s="186">
        <v>1</v>
      </c>
      <c r="G918" s="185" t="s">
        <v>884</v>
      </c>
      <c r="H918" s="179" t="s">
        <v>1492</v>
      </c>
      <c r="I918" s="8">
        <f>C285</f>
        <v>95</v>
      </c>
      <c r="J918" s="2" t="s">
        <v>884</v>
      </c>
      <c r="K918" s="8">
        <f t="shared" si="51"/>
        <v>95</v>
      </c>
      <c r="AG918" s="179" t="s">
        <v>2298</v>
      </c>
    </row>
    <row r="919" spans="1:33" hidden="1">
      <c r="A919" s="258"/>
      <c r="B919" s="263" t="s">
        <v>2598</v>
      </c>
      <c r="C919"/>
      <c r="D919"/>
      <c r="E919"/>
      <c r="F919" s="186">
        <v>1</v>
      </c>
      <c r="G919" s="185" t="s">
        <v>884</v>
      </c>
      <c r="H919" s="179" t="s">
        <v>1493</v>
      </c>
      <c r="I919" s="8">
        <f>C287</f>
        <v>8</v>
      </c>
      <c r="J919" s="2" t="s">
        <v>884</v>
      </c>
      <c r="K919" s="8">
        <f t="shared" si="51"/>
        <v>8</v>
      </c>
      <c r="AG919" s="179" t="s">
        <v>2298</v>
      </c>
    </row>
    <row r="920" spans="1:33" hidden="1">
      <c r="A920" s="258"/>
      <c r="B920" s="263" t="s">
        <v>2627</v>
      </c>
      <c r="C920"/>
      <c r="D920"/>
      <c r="E920"/>
      <c r="F920" s="186">
        <v>1</v>
      </c>
      <c r="G920" s="185" t="s">
        <v>884</v>
      </c>
      <c r="H920" s="179" t="s">
        <v>2018</v>
      </c>
      <c r="I920" s="8">
        <f>D576</f>
        <v>25</v>
      </c>
      <c r="J920" s="2" t="s">
        <v>884</v>
      </c>
      <c r="K920" s="8">
        <f t="shared" si="51"/>
        <v>25</v>
      </c>
      <c r="AG920" s="179" t="s">
        <v>2298</v>
      </c>
    </row>
    <row r="921" spans="1:33" hidden="1">
      <c r="A921" s="258"/>
      <c r="B921" s="263" t="s">
        <v>2628</v>
      </c>
      <c r="C921"/>
      <c r="D921"/>
      <c r="E921"/>
      <c r="I921"/>
      <c r="J921" s="4"/>
      <c r="K921" s="5" t="s">
        <v>1615</v>
      </c>
      <c r="AG921" s="179" t="s">
        <v>2298</v>
      </c>
    </row>
    <row r="922" spans="1:33" ht="31.5" hidden="1">
      <c r="A922" s="258"/>
      <c r="B922" s="263" t="s">
        <v>2629</v>
      </c>
      <c r="C922"/>
      <c r="D922"/>
      <c r="E922"/>
      <c r="H922" s="179" t="s">
        <v>1494</v>
      </c>
      <c r="I922"/>
      <c r="J922" s="4"/>
      <c r="K922" s="8">
        <f>SUM(K910:K920)</f>
        <v>4344.0600000000004</v>
      </c>
      <c r="AG922" s="179" t="s">
        <v>2298</v>
      </c>
    </row>
    <row r="923" spans="1:33" hidden="1">
      <c r="A923" s="258"/>
      <c r="B923" s="263" t="s">
        <v>3047</v>
      </c>
      <c r="C923"/>
      <c r="D923"/>
      <c r="E923"/>
      <c r="I923"/>
      <c r="J923" s="4"/>
      <c r="K923" s="5" t="s">
        <v>1615</v>
      </c>
      <c r="AG923" s="179" t="s">
        <v>2298</v>
      </c>
    </row>
    <row r="924" spans="1:33" hidden="1">
      <c r="A924" s="258"/>
      <c r="B924" s="263" t="s">
        <v>3048</v>
      </c>
      <c r="C924"/>
      <c r="D924"/>
      <c r="E924"/>
      <c r="H924" s="179" t="s">
        <v>562</v>
      </c>
      <c r="I924"/>
      <c r="J924" s="4"/>
      <c r="K924" s="8">
        <f>K922/F914</f>
        <v>2382.92</v>
      </c>
      <c r="AG924" s="179" t="s">
        <v>2298</v>
      </c>
    </row>
    <row r="925" spans="1:33" hidden="1">
      <c r="A925" s="258"/>
      <c r="B925" s="263" t="s">
        <v>3049</v>
      </c>
      <c r="C925"/>
      <c r="D925"/>
      <c r="E925"/>
      <c r="F925" s="179" t="s">
        <v>992</v>
      </c>
      <c r="I925"/>
      <c r="J925" s="4"/>
      <c r="K925"/>
    </row>
    <row r="926" spans="1:33" hidden="1">
      <c r="A926" s="258"/>
      <c r="B926" s="263" t="s">
        <v>3050</v>
      </c>
      <c r="C926"/>
      <c r="D926"/>
      <c r="E926"/>
      <c r="I926"/>
      <c r="J926" s="4"/>
      <c r="K926" s="5" t="s">
        <v>2091</v>
      </c>
      <c r="AG926" s="179" t="s">
        <v>2298</v>
      </c>
    </row>
    <row r="927" spans="1:33" hidden="1">
      <c r="A927" s="258"/>
      <c r="B927" s="263" t="s">
        <v>3051</v>
      </c>
      <c r="C927"/>
      <c r="D927"/>
      <c r="E927"/>
      <c r="I927"/>
      <c r="J927" s="4"/>
      <c r="K927"/>
    </row>
    <row r="928" spans="1:33" hidden="1">
      <c r="A928" s="258"/>
      <c r="B928" s="263" t="s">
        <v>3052</v>
      </c>
      <c r="C928"/>
      <c r="D928"/>
      <c r="E928"/>
      <c r="I928"/>
      <c r="J928" s="4"/>
      <c r="K928"/>
    </row>
    <row r="929" spans="1:33" hidden="1">
      <c r="A929" s="258"/>
      <c r="B929" s="263" t="s">
        <v>3053</v>
      </c>
      <c r="C929"/>
      <c r="D929"/>
      <c r="E929"/>
      <c r="F929" s="233" t="s">
        <v>1362</v>
      </c>
      <c r="G929" s="185" t="s">
        <v>2290</v>
      </c>
      <c r="H929" s="179" t="s">
        <v>258</v>
      </c>
      <c r="I929"/>
      <c r="J929" s="4"/>
      <c r="K929"/>
      <c r="AG929" s="179" t="s">
        <v>2298</v>
      </c>
    </row>
    <row r="930" spans="1:33" ht="16.5" hidden="1" customHeight="1">
      <c r="A930" s="258"/>
      <c r="B930" s="263" t="s">
        <v>3054</v>
      </c>
      <c r="C930"/>
      <c r="D930"/>
      <c r="E930"/>
      <c r="H930" s="179" t="s">
        <v>259</v>
      </c>
      <c r="I930"/>
      <c r="J930" s="4"/>
      <c r="K930"/>
      <c r="AG930" s="179" t="s">
        <v>2298</v>
      </c>
    </row>
    <row r="931" spans="1:33" ht="15.75" hidden="1" customHeight="1">
      <c r="A931" s="258"/>
      <c r="B931" s="263" t="s">
        <v>3055</v>
      </c>
      <c r="C931"/>
      <c r="D931"/>
      <c r="E931"/>
      <c r="H931" s="179" t="s">
        <v>1497</v>
      </c>
      <c r="I931"/>
      <c r="J931" s="4"/>
      <c r="K931"/>
      <c r="AG931" s="179" t="s">
        <v>2298</v>
      </c>
    </row>
    <row r="932" spans="1:33" hidden="1">
      <c r="A932" s="258"/>
      <c r="B932" s="263" t="s">
        <v>3056</v>
      </c>
      <c r="C932"/>
      <c r="D932"/>
      <c r="E932"/>
      <c r="H932" s="183" t="s">
        <v>1615</v>
      </c>
      <c r="I932"/>
      <c r="J932" s="4"/>
      <c r="K932"/>
      <c r="AG932" s="179" t="s">
        <v>2298</v>
      </c>
    </row>
    <row r="933" spans="1:33" hidden="1">
      <c r="A933" s="258"/>
      <c r="B933" s="263" t="s">
        <v>3057</v>
      </c>
      <c r="C933"/>
      <c r="D933"/>
      <c r="E933"/>
      <c r="I933"/>
      <c r="J933" s="4"/>
      <c r="K933"/>
    </row>
    <row r="934" spans="1:33" ht="20.25" hidden="1" customHeight="1">
      <c r="A934" s="258"/>
      <c r="B934" s="263" t="s">
        <v>3058</v>
      </c>
      <c r="C934"/>
      <c r="D934"/>
      <c r="E934"/>
      <c r="H934" s="179" t="s">
        <v>656</v>
      </c>
      <c r="I934"/>
      <c r="J934" s="4"/>
      <c r="K934"/>
    </row>
    <row r="935" spans="1:33" hidden="1">
      <c r="A935" s="258"/>
      <c r="B935" s="263" t="s">
        <v>2663</v>
      </c>
      <c r="C935"/>
      <c r="D935"/>
      <c r="E935"/>
      <c r="H935" s="179" t="s">
        <v>657</v>
      </c>
      <c r="I935"/>
      <c r="J935" s="4"/>
      <c r="K935"/>
    </row>
    <row r="936" spans="1:33" hidden="1">
      <c r="A936" s="258"/>
      <c r="B936" s="263" t="s">
        <v>2664</v>
      </c>
      <c r="C936"/>
      <c r="D936"/>
      <c r="E936"/>
      <c r="I936"/>
      <c r="J936" s="2" t="s">
        <v>1615</v>
      </c>
      <c r="K936"/>
    </row>
    <row r="937" spans="1:33" hidden="1">
      <c r="A937" s="258"/>
      <c r="B937" s="263" t="s">
        <v>2665</v>
      </c>
      <c r="C937"/>
      <c r="D937"/>
      <c r="E937"/>
      <c r="H937" s="179" t="s">
        <v>658</v>
      </c>
      <c r="I937"/>
      <c r="J937" s="4"/>
      <c r="K937"/>
    </row>
    <row r="938" spans="1:33" hidden="1">
      <c r="A938" s="258"/>
      <c r="B938" s="263" t="s">
        <v>2666</v>
      </c>
      <c r="C938"/>
      <c r="D938"/>
      <c r="E938"/>
      <c r="H938" s="179" t="s">
        <v>659</v>
      </c>
      <c r="I938"/>
      <c r="J938" s="4"/>
      <c r="K938" s="14">
        <v>2.1999999999999999E-2</v>
      </c>
    </row>
    <row r="939" spans="1:33" hidden="1">
      <c r="A939" s="258"/>
      <c r="B939" s="263" t="s">
        <v>2667</v>
      </c>
      <c r="C939"/>
      <c r="D939"/>
      <c r="E939"/>
      <c r="I939"/>
      <c r="J939" s="2" t="s">
        <v>992</v>
      </c>
      <c r="K939" s="5" t="s">
        <v>1615</v>
      </c>
    </row>
    <row r="940" spans="1:33" ht="31.5" hidden="1">
      <c r="A940" s="258"/>
      <c r="B940" s="263" t="s">
        <v>2727</v>
      </c>
      <c r="C940"/>
      <c r="D940"/>
      <c r="E940"/>
      <c r="H940" s="179" t="s">
        <v>875</v>
      </c>
      <c r="I940"/>
      <c r="J940" s="268" t="s">
        <v>992</v>
      </c>
      <c r="K940" s="14">
        <v>1.3100000000000001E-2</v>
      </c>
    </row>
    <row r="941" spans="1:33" ht="31.5" hidden="1">
      <c r="A941" s="258"/>
      <c r="B941" s="263" t="s">
        <v>3198</v>
      </c>
      <c r="C941"/>
      <c r="D941"/>
      <c r="E941"/>
      <c r="H941" s="179" t="s">
        <v>2191</v>
      </c>
      <c r="I941"/>
      <c r="J941" s="2" t="s">
        <v>992</v>
      </c>
      <c r="K941" s="14">
        <v>3.3999999999999998E-3</v>
      </c>
    </row>
    <row r="942" spans="1:33" ht="31.5" hidden="1">
      <c r="A942" s="258"/>
      <c r="B942" s="263" t="s">
        <v>3027</v>
      </c>
      <c r="C942"/>
      <c r="D942"/>
      <c r="E942"/>
      <c r="I942"/>
      <c r="J942" s="4"/>
      <c r="K942" s="5" t="s">
        <v>1615</v>
      </c>
    </row>
    <row r="943" spans="1:33" ht="31.5" hidden="1">
      <c r="A943" s="258"/>
      <c r="B943" s="263" t="s">
        <v>3028</v>
      </c>
      <c r="C943"/>
      <c r="D943"/>
      <c r="E943"/>
      <c r="I943"/>
      <c r="J943" s="4"/>
      <c r="K943" s="14">
        <v>1.6500000000000001E-2</v>
      </c>
    </row>
    <row r="944" spans="1:33" hidden="1">
      <c r="A944" s="258"/>
      <c r="B944" s="263" t="s">
        <v>3029</v>
      </c>
      <c r="C944"/>
      <c r="D944"/>
      <c r="E944"/>
      <c r="I944"/>
      <c r="J944" s="4"/>
      <c r="K944" s="5" t="s">
        <v>1615</v>
      </c>
    </row>
    <row r="945" spans="1:33" hidden="1">
      <c r="A945" s="258"/>
      <c r="B945" s="263" t="s">
        <v>3030</v>
      </c>
      <c r="C945"/>
      <c r="D945"/>
      <c r="E945"/>
      <c r="F945" s="252">
        <v>1.15E-2</v>
      </c>
      <c r="G945" s="185" t="s">
        <v>885</v>
      </c>
      <c r="H945" s="179" t="s">
        <v>313</v>
      </c>
      <c r="I945" s="8">
        <f>C88</f>
        <v>65420</v>
      </c>
      <c r="J945" s="2" t="s">
        <v>885</v>
      </c>
      <c r="K945" s="8">
        <f>(F945*I945)</f>
        <v>752.33</v>
      </c>
      <c r="AG945" s="179" t="s">
        <v>2298</v>
      </c>
    </row>
    <row r="946" spans="1:33" hidden="1">
      <c r="A946" s="258"/>
      <c r="B946" s="263" t="s">
        <v>3031</v>
      </c>
      <c r="C946"/>
      <c r="D946"/>
      <c r="E946"/>
      <c r="F946" s="252">
        <v>2.1999999999999999E-2</v>
      </c>
      <c r="G946" s="185" t="s">
        <v>885</v>
      </c>
      <c r="H946" s="179" t="s">
        <v>314</v>
      </c>
      <c r="I946" s="8">
        <f>C89</f>
        <v>57165</v>
      </c>
      <c r="J946" s="2" t="s">
        <v>885</v>
      </c>
      <c r="K946" s="8">
        <f>(F946*I946)</f>
        <v>1257.6300000000001</v>
      </c>
      <c r="AG946" s="179" t="s">
        <v>2298</v>
      </c>
    </row>
    <row r="947" spans="1:33" hidden="1">
      <c r="A947" s="258"/>
      <c r="B947" s="263" t="s">
        <v>3032</v>
      </c>
      <c r="C947"/>
      <c r="D947"/>
      <c r="E947"/>
      <c r="F947" s="252">
        <v>1.6500000000000001E-2</v>
      </c>
      <c r="G947" s="185" t="s">
        <v>885</v>
      </c>
      <c r="H947" s="179" t="s">
        <v>315</v>
      </c>
      <c r="I947" s="8">
        <f>C90</f>
        <v>63870</v>
      </c>
      <c r="J947" s="2" t="s">
        <v>885</v>
      </c>
      <c r="K947" s="8">
        <f>(F947*I947)</f>
        <v>1053.8599999999999</v>
      </c>
      <c r="AG947" s="179" t="s">
        <v>2298</v>
      </c>
    </row>
    <row r="948" spans="1:33" ht="31.5" hidden="1">
      <c r="A948" s="258"/>
      <c r="B948" s="263" t="s">
        <v>2461</v>
      </c>
      <c r="C948"/>
      <c r="D948"/>
      <c r="E948"/>
      <c r="F948" s="252"/>
      <c r="H948" s="179" t="s">
        <v>452</v>
      </c>
      <c r="I948" s="1" t="s">
        <v>992</v>
      </c>
      <c r="J948" s="4"/>
      <c r="K948" s="1" t="s">
        <v>992</v>
      </c>
      <c r="AG948" s="179" t="s">
        <v>2298</v>
      </c>
    </row>
    <row r="949" spans="1:33" ht="31.5" hidden="1">
      <c r="A949" s="258"/>
      <c r="B949" s="263" t="s">
        <v>2462</v>
      </c>
      <c r="C949"/>
      <c r="D949"/>
      <c r="E949"/>
      <c r="F949" s="252">
        <v>1.64</v>
      </c>
      <c r="G949" s="185" t="s">
        <v>621</v>
      </c>
      <c r="H949" s="179" t="s">
        <v>453</v>
      </c>
      <c r="I949" s="8">
        <f>C31</f>
        <v>342</v>
      </c>
      <c r="J949" s="2" t="s">
        <v>621</v>
      </c>
      <c r="K949" s="8">
        <f t="shared" ref="K949:K955" si="52">(F949*I949)</f>
        <v>560.88</v>
      </c>
      <c r="AG949" s="179" t="s">
        <v>2298</v>
      </c>
    </row>
    <row r="950" spans="1:33" ht="31.5" hidden="1">
      <c r="A950" s="258"/>
      <c r="B950" s="263" t="s">
        <v>3199</v>
      </c>
      <c r="C950"/>
      <c r="D950"/>
      <c r="E950"/>
      <c r="F950" s="186">
        <v>1</v>
      </c>
      <c r="G950" s="185" t="s">
        <v>785</v>
      </c>
      <c r="H950" s="179" t="s">
        <v>1489</v>
      </c>
      <c r="I950" s="8">
        <f>C576</f>
        <v>30</v>
      </c>
      <c r="J950" s="2" t="s">
        <v>884</v>
      </c>
      <c r="K950" s="8">
        <f t="shared" si="52"/>
        <v>30</v>
      </c>
      <c r="AG950" s="179" t="s">
        <v>2298</v>
      </c>
    </row>
    <row r="951" spans="1:33" ht="31.5" hidden="1">
      <c r="A951" s="258"/>
      <c r="B951" s="263" t="s">
        <v>3200</v>
      </c>
      <c r="C951"/>
      <c r="D951"/>
      <c r="E951"/>
      <c r="F951" s="186">
        <v>3</v>
      </c>
      <c r="G951" s="185" t="s">
        <v>884</v>
      </c>
      <c r="H951" s="179" t="s">
        <v>1490</v>
      </c>
      <c r="I951" s="8">
        <f>C278</f>
        <v>45</v>
      </c>
      <c r="J951" s="2" t="s">
        <v>884</v>
      </c>
      <c r="K951" s="8">
        <f t="shared" si="52"/>
        <v>135</v>
      </c>
      <c r="AG951" s="179" t="s">
        <v>2298</v>
      </c>
    </row>
    <row r="952" spans="1:33" ht="31.5" hidden="1">
      <c r="A952" s="258"/>
      <c r="B952" s="263" t="s">
        <v>3210</v>
      </c>
      <c r="C952"/>
      <c r="D952"/>
      <c r="E952"/>
      <c r="F952" s="186">
        <v>2</v>
      </c>
      <c r="G952" s="185" t="s">
        <v>884</v>
      </c>
      <c r="H952" s="179" t="s">
        <v>1491</v>
      </c>
      <c r="I952" s="8">
        <f>C283</f>
        <v>30</v>
      </c>
      <c r="J952" s="2" t="s">
        <v>884</v>
      </c>
      <c r="K952" s="8">
        <f t="shared" si="52"/>
        <v>60</v>
      </c>
      <c r="AG952" s="179" t="s">
        <v>326</v>
      </c>
    </row>
    <row r="953" spans="1:33" ht="31.5" hidden="1">
      <c r="A953" s="258"/>
      <c r="B953" s="263" t="s">
        <v>3211</v>
      </c>
      <c r="C953"/>
      <c r="D953"/>
      <c r="E953"/>
      <c r="F953" s="186">
        <v>1</v>
      </c>
      <c r="G953" s="185" t="s">
        <v>884</v>
      </c>
      <c r="H953" s="179" t="s">
        <v>1492</v>
      </c>
      <c r="I953" s="8">
        <f>C285</f>
        <v>95</v>
      </c>
      <c r="J953" s="2" t="s">
        <v>884</v>
      </c>
      <c r="K953" s="8">
        <f t="shared" si="52"/>
        <v>95</v>
      </c>
    </row>
    <row r="954" spans="1:33" ht="31.5" hidden="1">
      <c r="A954" s="258"/>
      <c r="B954" s="263" t="s">
        <v>3212</v>
      </c>
      <c r="C954"/>
      <c r="D954"/>
      <c r="E954"/>
      <c r="F954" s="186">
        <v>1</v>
      </c>
      <c r="G954" s="185" t="s">
        <v>884</v>
      </c>
      <c r="H954" s="179" t="s">
        <v>1493</v>
      </c>
      <c r="I954" s="8">
        <f>C287</f>
        <v>8</v>
      </c>
      <c r="J954" s="2" t="s">
        <v>884</v>
      </c>
      <c r="K954" s="8">
        <f t="shared" si="52"/>
        <v>8</v>
      </c>
    </row>
    <row r="955" spans="1:33" ht="31.5" hidden="1">
      <c r="A955" s="258"/>
      <c r="B955" s="263" t="s">
        <v>3213</v>
      </c>
      <c r="C955"/>
      <c r="D955"/>
      <c r="E955"/>
      <c r="F955" s="186">
        <v>1</v>
      </c>
      <c r="G955" s="185" t="s">
        <v>884</v>
      </c>
      <c r="H955" s="179" t="s">
        <v>2018</v>
      </c>
      <c r="I955" s="8">
        <f>D576</f>
        <v>25</v>
      </c>
      <c r="J955" s="2" t="s">
        <v>884</v>
      </c>
      <c r="K955" s="8">
        <f t="shared" si="52"/>
        <v>25</v>
      </c>
      <c r="AG955" s="179" t="s">
        <v>2298</v>
      </c>
    </row>
    <row r="956" spans="1:33" ht="31.5" hidden="1">
      <c r="A956" s="258"/>
      <c r="B956" s="263" t="s">
        <v>3214</v>
      </c>
      <c r="C956"/>
      <c r="D956"/>
      <c r="E956"/>
      <c r="I956"/>
      <c r="J956" s="4"/>
      <c r="K956" s="5" t="s">
        <v>1615</v>
      </c>
      <c r="AG956" s="179" t="s">
        <v>2298</v>
      </c>
    </row>
    <row r="957" spans="1:33" ht="31.5" hidden="1">
      <c r="A957" s="258"/>
      <c r="B957" s="263" t="s">
        <v>3215</v>
      </c>
      <c r="C957"/>
      <c r="D957"/>
      <c r="E957"/>
      <c r="H957" s="179" t="s">
        <v>2192</v>
      </c>
      <c r="I957"/>
      <c r="J957" s="4"/>
      <c r="K957" s="8">
        <f>SUM(K945:K955)</f>
        <v>3977.7</v>
      </c>
      <c r="AG957" s="179" t="s">
        <v>2298</v>
      </c>
    </row>
    <row r="958" spans="1:33" ht="31.5" hidden="1">
      <c r="A958" s="258"/>
      <c r="B958" s="263" t="s">
        <v>3216</v>
      </c>
      <c r="C958"/>
      <c r="D958"/>
      <c r="E958"/>
      <c r="I958"/>
      <c r="J958" s="4"/>
      <c r="K958" s="5" t="s">
        <v>1615</v>
      </c>
      <c r="AG958" s="179" t="s">
        <v>2298</v>
      </c>
    </row>
    <row r="959" spans="1:33" ht="31.5" hidden="1">
      <c r="A959" s="258"/>
      <c r="B959" s="263" t="s">
        <v>3266</v>
      </c>
      <c r="C959"/>
      <c r="D959"/>
      <c r="E959"/>
      <c r="H959" s="179" t="s">
        <v>562</v>
      </c>
      <c r="I959"/>
      <c r="J959" s="4"/>
      <c r="K959" s="8">
        <f>K957/F949</f>
        <v>2425.4299999999998</v>
      </c>
      <c r="AG959" s="179" t="s">
        <v>2298</v>
      </c>
    </row>
    <row r="960" spans="1:33" ht="31.5" hidden="1">
      <c r="A960" s="258"/>
      <c r="B960" s="263" t="s">
        <v>3267</v>
      </c>
      <c r="C960"/>
      <c r="D960"/>
      <c r="E960"/>
      <c r="I960"/>
      <c r="J960" s="4"/>
      <c r="K960" s="5" t="s">
        <v>2091</v>
      </c>
      <c r="AG960" s="179" t="s">
        <v>2298</v>
      </c>
    </row>
    <row r="961" spans="1:11" ht="31.5" hidden="1">
      <c r="A961" s="258"/>
      <c r="B961" s="263" t="s">
        <v>3268</v>
      </c>
      <c r="C961"/>
      <c r="D961"/>
      <c r="E961"/>
      <c r="F961" s="233" t="s">
        <v>1361</v>
      </c>
      <c r="G961" s="185" t="s">
        <v>2290</v>
      </c>
      <c r="H961" s="179" t="s">
        <v>258</v>
      </c>
      <c r="I961"/>
      <c r="J961" s="4"/>
      <c r="K961"/>
    </row>
    <row r="962" spans="1:11" ht="31.5" hidden="1">
      <c r="A962" s="258"/>
      <c r="B962" s="263" t="s">
        <v>3022</v>
      </c>
      <c r="C962"/>
      <c r="D962"/>
      <c r="E962"/>
      <c r="H962" s="179" t="s">
        <v>259</v>
      </c>
      <c r="I962"/>
      <c r="J962" s="4"/>
      <c r="K962"/>
    </row>
    <row r="963" spans="1:11" hidden="1">
      <c r="A963" s="258"/>
      <c r="B963" s="263" t="s">
        <v>3023</v>
      </c>
      <c r="C963"/>
      <c r="D963"/>
      <c r="E963"/>
      <c r="H963" s="179" t="s">
        <v>1498</v>
      </c>
      <c r="I963"/>
      <c r="J963" s="4"/>
      <c r="K963"/>
    </row>
    <row r="964" spans="1:11" hidden="1">
      <c r="A964" s="258"/>
      <c r="B964" s="263" t="s">
        <v>3024</v>
      </c>
      <c r="C964"/>
      <c r="D964"/>
      <c r="E964"/>
      <c r="H964" s="183" t="s">
        <v>1615</v>
      </c>
      <c r="I964"/>
      <c r="J964" s="4"/>
      <c r="K964"/>
    </row>
    <row r="965" spans="1:11" hidden="1">
      <c r="A965" s="258"/>
      <c r="B965" s="263" t="s">
        <v>3025</v>
      </c>
      <c r="C965"/>
      <c r="D965"/>
      <c r="E965"/>
      <c r="H965" s="179" t="s">
        <v>2193</v>
      </c>
      <c r="I965"/>
      <c r="J965" s="4"/>
      <c r="K965"/>
    </row>
    <row r="966" spans="1:11" hidden="1">
      <c r="A966" s="258"/>
      <c r="B966" s="263" t="s">
        <v>3026</v>
      </c>
      <c r="C966"/>
      <c r="D966"/>
      <c r="E966"/>
      <c r="H966" s="179" t="s">
        <v>92</v>
      </c>
      <c r="I966"/>
      <c r="J966" s="4"/>
      <c r="K966"/>
    </row>
    <row r="967" spans="1:11" hidden="1">
      <c r="A967" s="258"/>
      <c r="B967" s="263" t="s">
        <v>3241</v>
      </c>
      <c r="C967"/>
      <c r="D967"/>
      <c r="E967"/>
      <c r="I967"/>
      <c r="J967" s="2" t="s">
        <v>1615</v>
      </c>
      <c r="K967"/>
    </row>
    <row r="968" spans="1:11" hidden="1">
      <c r="A968" s="258"/>
      <c r="B968" s="263" t="s">
        <v>3242</v>
      </c>
      <c r="C968"/>
      <c r="D968"/>
      <c r="E968"/>
      <c r="H968" s="179" t="s">
        <v>2194</v>
      </c>
      <c r="I968"/>
      <c r="J968" s="4"/>
      <c r="K968"/>
    </row>
    <row r="969" spans="1:11" hidden="1">
      <c r="A969" s="258"/>
      <c r="B969" s="263" t="s">
        <v>3243</v>
      </c>
      <c r="C969"/>
      <c r="D969"/>
      <c r="E969"/>
      <c r="H969" s="179" t="s">
        <v>465</v>
      </c>
      <c r="I969"/>
      <c r="J969" s="4"/>
      <c r="K969" s="14">
        <v>1.1900000000000001E-2</v>
      </c>
    </row>
    <row r="970" spans="1:11" ht="31.5" hidden="1">
      <c r="A970" s="258"/>
      <c r="B970" s="263" t="s">
        <v>3244</v>
      </c>
      <c r="C970"/>
      <c r="D970"/>
      <c r="E970"/>
      <c r="I970"/>
      <c r="J970" s="2" t="s">
        <v>992</v>
      </c>
      <c r="K970" s="5" t="s">
        <v>1615</v>
      </c>
    </row>
    <row r="971" spans="1:11" ht="31.5" hidden="1">
      <c r="A971" s="258"/>
      <c r="B971" s="263" t="s">
        <v>2807</v>
      </c>
      <c r="C971"/>
      <c r="D971"/>
      <c r="E971"/>
      <c r="H971" s="179" t="s">
        <v>466</v>
      </c>
      <c r="I971"/>
      <c r="J971" s="268" t="s">
        <v>992</v>
      </c>
      <c r="K971" s="14">
        <v>1.18E-2</v>
      </c>
    </row>
    <row r="972" spans="1:11" ht="31.5" hidden="1">
      <c r="A972" s="258"/>
      <c r="B972" s="263" t="s">
        <v>2808</v>
      </c>
      <c r="C972"/>
      <c r="D972"/>
      <c r="E972"/>
      <c r="H972" s="179" t="s">
        <v>252</v>
      </c>
      <c r="I972"/>
      <c r="J972" s="2" t="s">
        <v>992</v>
      </c>
      <c r="K972" s="16" t="s">
        <v>1615</v>
      </c>
    </row>
    <row r="973" spans="1:11" hidden="1">
      <c r="A973" s="258"/>
      <c r="B973" s="263" t="s">
        <v>3171</v>
      </c>
      <c r="C973"/>
      <c r="D973"/>
      <c r="E973"/>
      <c r="I973"/>
      <c r="J973" s="4"/>
      <c r="K973"/>
    </row>
    <row r="974" spans="1:11" hidden="1">
      <c r="A974" s="258"/>
      <c r="B974" s="263" t="s">
        <v>3172</v>
      </c>
      <c r="C974"/>
      <c r="D974"/>
      <c r="E974"/>
      <c r="F974" s="252">
        <v>1.14E-2</v>
      </c>
      <c r="G974" s="185" t="s">
        <v>885</v>
      </c>
      <c r="H974" s="179" t="s">
        <v>313</v>
      </c>
      <c r="I974" s="8">
        <f>C88</f>
        <v>65420</v>
      </c>
      <c r="J974" s="2" t="s">
        <v>885</v>
      </c>
      <c r="K974" s="8">
        <f>(F974*I974)</f>
        <v>745.79</v>
      </c>
    </row>
    <row r="975" spans="1:11" hidden="1">
      <c r="A975" s="258"/>
      <c r="B975" s="263" t="s">
        <v>3173</v>
      </c>
      <c r="C975"/>
      <c r="D975"/>
      <c r="E975"/>
      <c r="F975" s="252">
        <v>1.1900000000000001E-2</v>
      </c>
      <c r="G975" s="185" t="s">
        <v>885</v>
      </c>
      <c r="H975" s="179" t="s">
        <v>314</v>
      </c>
      <c r="I975" s="8">
        <f>C89</f>
        <v>57165</v>
      </c>
      <c r="J975" s="2" t="s">
        <v>885</v>
      </c>
      <c r="K975" s="8">
        <f>(F975*I975)</f>
        <v>680.26</v>
      </c>
    </row>
    <row r="976" spans="1:11" hidden="1">
      <c r="A976" s="258"/>
      <c r="B976" s="263" t="s">
        <v>3431</v>
      </c>
      <c r="C976"/>
      <c r="D976"/>
      <c r="E976"/>
      <c r="F976" s="252">
        <v>1.18E-2</v>
      </c>
      <c r="G976" s="185" t="s">
        <v>885</v>
      </c>
      <c r="H976" s="179" t="s">
        <v>315</v>
      </c>
      <c r="I976" s="8">
        <f>C90</f>
        <v>63870</v>
      </c>
      <c r="J976" s="2" t="s">
        <v>885</v>
      </c>
      <c r="K976" s="8">
        <f>(F976*I976)</f>
        <v>753.67</v>
      </c>
    </row>
    <row r="977" spans="1:33" hidden="1">
      <c r="A977" s="258"/>
      <c r="B977" s="263" t="s">
        <v>3432</v>
      </c>
      <c r="C977"/>
      <c r="D977"/>
      <c r="E977"/>
      <c r="F977" s="252"/>
      <c r="H977" s="179" t="s">
        <v>452</v>
      </c>
      <c r="I977" s="1" t="s">
        <v>992</v>
      </c>
      <c r="J977" s="4"/>
      <c r="K977" s="1" t="s">
        <v>992</v>
      </c>
    </row>
    <row r="978" spans="1:33" hidden="1">
      <c r="A978" s="258"/>
      <c r="B978" s="263" t="s">
        <v>2393</v>
      </c>
      <c r="C978"/>
      <c r="D978"/>
      <c r="E978"/>
      <c r="F978" s="252">
        <v>1.2150000000000001</v>
      </c>
      <c r="G978" s="185" t="s">
        <v>621</v>
      </c>
      <c r="H978" s="179" t="s">
        <v>453</v>
      </c>
      <c r="I978" s="8">
        <f>C31</f>
        <v>342</v>
      </c>
      <c r="J978" s="2" t="s">
        <v>621</v>
      </c>
      <c r="K978" s="8">
        <f t="shared" ref="K978:K984" si="53">(F978*I978)</f>
        <v>415.53</v>
      </c>
    </row>
    <row r="979" spans="1:33" hidden="1">
      <c r="A979" s="258"/>
      <c r="B979" s="263" t="s">
        <v>2394</v>
      </c>
      <c r="C979"/>
      <c r="D979"/>
      <c r="E979"/>
      <c r="F979" s="186">
        <v>1</v>
      </c>
      <c r="G979" s="185" t="s">
        <v>785</v>
      </c>
      <c r="H979" s="179" t="s">
        <v>1489</v>
      </c>
      <c r="I979" s="8">
        <f>C576</f>
        <v>30</v>
      </c>
      <c r="J979" s="2" t="s">
        <v>884</v>
      </c>
      <c r="K979" s="8">
        <f t="shared" si="53"/>
        <v>30</v>
      </c>
    </row>
    <row r="980" spans="1:33" hidden="1">
      <c r="A980" s="258"/>
      <c r="B980" s="263" t="s">
        <v>2395</v>
      </c>
      <c r="C980"/>
      <c r="D980"/>
      <c r="E980"/>
      <c r="F980" s="186">
        <v>3</v>
      </c>
      <c r="G980" s="185" t="s">
        <v>884</v>
      </c>
      <c r="H980" s="179" t="s">
        <v>1490</v>
      </c>
      <c r="I980" s="8">
        <f>C278</f>
        <v>45</v>
      </c>
      <c r="J980" s="2" t="s">
        <v>884</v>
      </c>
      <c r="K980" s="8">
        <f t="shared" si="53"/>
        <v>135</v>
      </c>
    </row>
    <row r="981" spans="1:33" hidden="1">
      <c r="A981" s="258"/>
      <c r="B981" s="263" t="s">
        <v>2396</v>
      </c>
      <c r="C981"/>
      <c r="D981"/>
      <c r="E981"/>
      <c r="F981" s="186">
        <v>2</v>
      </c>
      <c r="G981" s="185" t="s">
        <v>884</v>
      </c>
      <c r="H981" s="179" t="s">
        <v>1491</v>
      </c>
      <c r="I981" s="8">
        <f>C283</f>
        <v>30</v>
      </c>
      <c r="J981" s="2" t="s">
        <v>884</v>
      </c>
      <c r="K981" s="8">
        <f t="shared" si="53"/>
        <v>60</v>
      </c>
    </row>
    <row r="982" spans="1:33" hidden="1">
      <c r="A982" s="258"/>
      <c r="B982" s="263" t="s">
        <v>2959</v>
      </c>
      <c r="C982"/>
      <c r="D982"/>
      <c r="E982"/>
      <c r="F982" s="186">
        <v>1</v>
      </c>
      <c r="G982" s="185" t="s">
        <v>884</v>
      </c>
      <c r="H982" s="179" t="s">
        <v>1492</v>
      </c>
      <c r="I982" s="8">
        <f>C285</f>
        <v>95</v>
      </c>
      <c r="J982" s="2" t="s">
        <v>884</v>
      </c>
      <c r="K982" s="8">
        <f t="shared" si="53"/>
        <v>95</v>
      </c>
    </row>
    <row r="983" spans="1:33" ht="31.5" hidden="1">
      <c r="A983" s="258"/>
      <c r="B983" s="263" t="s">
        <v>2960</v>
      </c>
      <c r="C983"/>
      <c r="D983"/>
      <c r="E983"/>
      <c r="F983" s="186">
        <v>1</v>
      </c>
      <c r="G983" s="185" t="s">
        <v>884</v>
      </c>
      <c r="H983" s="179" t="s">
        <v>1493</v>
      </c>
      <c r="I983" s="8">
        <f>C287</f>
        <v>8</v>
      </c>
      <c r="J983" s="2" t="s">
        <v>884</v>
      </c>
      <c r="K983" s="8">
        <f t="shared" si="53"/>
        <v>8</v>
      </c>
    </row>
    <row r="984" spans="1:33" hidden="1">
      <c r="A984" s="258"/>
      <c r="B984" s="263" t="s">
        <v>2970</v>
      </c>
      <c r="C984"/>
      <c r="D984"/>
      <c r="E984"/>
      <c r="F984" s="186">
        <v>1</v>
      </c>
      <c r="G984" s="185" t="s">
        <v>884</v>
      </c>
      <c r="H984" s="179" t="s">
        <v>2018</v>
      </c>
      <c r="I984" s="8">
        <f>D576</f>
        <v>25</v>
      </c>
      <c r="J984" s="2" t="s">
        <v>884</v>
      </c>
      <c r="K984" s="8">
        <f t="shared" si="53"/>
        <v>25</v>
      </c>
    </row>
    <row r="985" spans="1:33" hidden="1">
      <c r="A985" s="258"/>
      <c r="B985" s="263" t="s">
        <v>2971</v>
      </c>
      <c r="C985"/>
      <c r="D985"/>
      <c r="E985"/>
      <c r="I985"/>
      <c r="J985" s="4"/>
      <c r="K985" s="5" t="s">
        <v>1615</v>
      </c>
    </row>
    <row r="986" spans="1:33" hidden="1">
      <c r="A986" s="258"/>
      <c r="B986" s="263" t="s">
        <v>3508</v>
      </c>
      <c r="C986"/>
      <c r="D986"/>
      <c r="E986"/>
      <c r="H986" s="179" t="s">
        <v>467</v>
      </c>
      <c r="I986"/>
      <c r="J986" s="4"/>
      <c r="K986" s="8">
        <f>SUM(K974:K984)</f>
        <v>2948.25</v>
      </c>
    </row>
    <row r="987" spans="1:33" hidden="1">
      <c r="A987" s="258"/>
      <c r="B987" s="263" t="s">
        <v>3509</v>
      </c>
      <c r="C987"/>
      <c r="D987"/>
      <c r="E987"/>
      <c r="I987"/>
      <c r="J987" s="4"/>
      <c r="K987" s="5" t="s">
        <v>1615</v>
      </c>
    </row>
    <row r="988" spans="1:33" hidden="1">
      <c r="A988" s="258"/>
      <c r="B988" s="263" t="s">
        <v>3510</v>
      </c>
      <c r="C988"/>
      <c r="D988"/>
      <c r="E988"/>
      <c r="H988" s="179" t="s">
        <v>562</v>
      </c>
      <c r="I988"/>
      <c r="J988" s="4"/>
      <c r="K988" s="8">
        <f>K986/F978</f>
        <v>2426.54</v>
      </c>
    </row>
    <row r="989" spans="1:33" ht="31.5" hidden="1">
      <c r="A989" s="258"/>
      <c r="B989" s="263" t="s">
        <v>3269</v>
      </c>
      <c r="C989"/>
      <c r="D989"/>
      <c r="E989"/>
      <c r="I989"/>
      <c r="J989" s="4"/>
      <c r="K989" s="5" t="s">
        <v>2091</v>
      </c>
    </row>
    <row r="990" spans="1:33" hidden="1">
      <c r="A990" s="258"/>
      <c r="B990" s="263" t="s">
        <v>3270</v>
      </c>
      <c r="C990"/>
      <c r="D990"/>
      <c r="E990"/>
      <c r="I990"/>
      <c r="J990" s="4"/>
      <c r="K990"/>
    </row>
    <row r="991" spans="1:33" hidden="1">
      <c r="A991" s="258"/>
      <c r="B991" s="263" t="s">
        <v>3271</v>
      </c>
      <c r="C991"/>
      <c r="D991"/>
      <c r="E991"/>
      <c r="F991" s="233" t="s">
        <v>468</v>
      </c>
      <c r="G991" s="185" t="s">
        <v>2290</v>
      </c>
      <c r="H991" s="179" t="s">
        <v>2216</v>
      </c>
      <c r="I991"/>
      <c r="J991" s="4"/>
      <c r="K991"/>
      <c r="AG991" s="179" t="s">
        <v>2298</v>
      </c>
    </row>
    <row r="992" spans="1:33" hidden="1">
      <c r="A992" s="258"/>
      <c r="B992" s="263" t="s">
        <v>3272</v>
      </c>
      <c r="C992"/>
      <c r="D992"/>
      <c r="E992"/>
      <c r="H992" s="179" t="s">
        <v>2218</v>
      </c>
      <c r="I992"/>
      <c r="J992" s="4"/>
      <c r="K992"/>
      <c r="AG992" s="179" t="s">
        <v>2298</v>
      </c>
    </row>
    <row r="993" spans="1:33" hidden="1">
      <c r="A993" s="258"/>
      <c r="B993" s="263" t="s">
        <v>3273</v>
      </c>
      <c r="C993"/>
      <c r="D993"/>
      <c r="E993"/>
      <c r="H993" s="179" t="s">
        <v>2219</v>
      </c>
      <c r="I993"/>
      <c r="J993" s="4"/>
      <c r="K993"/>
      <c r="AG993" s="179" t="s">
        <v>2298</v>
      </c>
    </row>
    <row r="994" spans="1:33" hidden="1">
      <c r="A994" s="258"/>
      <c r="B994" s="263" t="s">
        <v>3274</v>
      </c>
      <c r="C994"/>
      <c r="D994"/>
      <c r="E994"/>
      <c r="H994" s="179" t="s">
        <v>2220</v>
      </c>
      <c r="I994"/>
      <c r="J994" s="4"/>
      <c r="K994"/>
      <c r="AG994" s="179" t="s">
        <v>2298</v>
      </c>
    </row>
    <row r="995" spans="1:33" hidden="1">
      <c r="A995" s="258"/>
      <c r="B995" s="263" t="s">
        <v>3275</v>
      </c>
      <c r="C995"/>
      <c r="D995"/>
      <c r="E995"/>
      <c r="H995" s="179" t="s">
        <v>2221</v>
      </c>
      <c r="I995"/>
      <c r="J995" s="4"/>
      <c r="K995"/>
      <c r="AG995" s="179" t="s">
        <v>2298</v>
      </c>
    </row>
    <row r="996" spans="1:33" hidden="1">
      <c r="A996" s="258"/>
      <c r="B996" s="263" t="s">
        <v>2635</v>
      </c>
      <c r="C996"/>
      <c r="D996"/>
      <c r="E996"/>
      <c r="H996" s="179" t="s">
        <v>2222</v>
      </c>
      <c r="I996"/>
      <c r="J996" s="4"/>
      <c r="K996"/>
      <c r="AG996" s="179" t="s">
        <v>2298</v>
      </c>
    </row>
    <row r="997" spans="1:33" hidden="1">
      <c r="A997" s="258"/>
      <c r="B997" s="263" t="s">
        <v>2636</v>
      </c>
      <c r="C997"/>
      <c r="D997"/>
      <c r="E997"/>
      <c r="H997" s="183" t="s">
        <v>1615</v>
      </c>
      <c r="I997"/>
      <c r="J997" s="4"/>
      <c r="K997"/>
      <c r="AG997" s="179" t="s">
        <v>2298</v>
      </c>
    </row>
    <row r="998" spans="1:33" hidden="1">
      <c r="A998" s="258"/>
      <c r="B998" s="263" t="s">
        <v>2637</v>
      </c>
      <c r="C998"/>
      <c r="D998"/>
      <c r="E998"/>
      <c r="H998" s="179" t="s">
        <v>656</v>
      </c>
      <c r="I998"/>
      <c r="J998" s="4"/>
      <c r="K998"/>
      <c r="AG998" s="179" t="s">
        <v>2298</v>
      </c>
    </row>
    <row r="999" spans="1:33" ht="31.5" hidden="1">
      <c r="A999" s="258"/>
      <c r="B999" s="263" t="s">
        <v>2638</v>
      </c>
      <c r="C999"/>
      <c r="D999"/>
      <c r="E999"/>
      <c r="H999" s="179" t="s">
        <v>2223</v>
      </c>
      <c r="I999"/>
      <c r="J999" s="4"/>
      <c r="K999"/>
      <c r="AG999" s="179" t="s">
        <v>2298</v>
      </c>
    </row>
    <row r="1000" spans="1:33" ht="31.5" hidden="1">
      <c r="A1000" s="258"/>
      <c r="B1000" s="263" t="s">
        <v>2639</v>
      </c>
      <c r="C1000"/>
      <c r="D1000"/>
      <c r="E1000"/>
      <c r="I1000"/>
      <c r="J1000" s="2" t="s">
        <v>1615</v>
      </c>
      <c r="K1000"/>
      <c r="AG1000" s="179" t="s">
        <v>2298</v>
      </c>
    </row>
    <row r="1001" spans="1:33" ht="31.5" hidden="1">
      <c r="A1001" s="258"/>
      <c r="B1001" s="263" t="s">
        <v>2640</v>
      </c>
      <c r="C1001"/>
      <c r="D1001"/>
      <c r="E1001"/>
      <c r="H1001" s="179" t="s">
        <v>2224</v>
      </c>
      <c r="I1001"/>
      <c r="J1001" s="4"/>
      <c r="K1001"/>
      <c r="AG1001" s="179" t="s">
        <v>2298</v>
      </c>
    </row>
    <row r="1002" spans="1:33" ht="47.25" hidden="1">
      <c r="A1002" s="258"/>
      <c r="B1002" s="263" t="s">
        <v>2641</v>
      </c>
      <c r="C1002"/>
      <c r="D1002"/>
      <c r="E1002"/>
      <c r="H1002" s="179" t="s">
        <v>992</v>
      </c>
      <c r="I1002" s="1" t="s">
        <v>992</v>
      </c>
      <c r="J1002" s="4"/>
      <c r="K1002" s="17" t="s">
        <v>992</v>
      </c>
      <c r="AG1002" s="179" t="s">
        <v>2298</v>
      </c>
    </row>
    <row r="1003" spans="1:33" hidden="1">
      <c r="A1003" s="258"/>
      <c r="B1003" s="263" t="s">
        <v>2642</v>
      </c>
      <c r="C1003"/>
      <c r="D1003"/>
      <c r="E1003"/>
      <c r="I1003"/>
      <c r="J1003" s="2" t="s">
        <v>992</v>
      </c>
      <c r="K1003" s="1" t="s">
        <v>992</v>
      </c>
      <c r="AG1003" s="179" t="s">
        <v>2298</v>
      </c>
    </row>
    <row r="1004" spans="1:33" hidden="1">
      <c r="A1004" s="258"/>
      <c r="B1004" s="263" t="s">
        <v>2643</v>
      </c>
      <c r="C1004"/>
      <c r="D1004"/>
      <c r="E1004"/>
      <c r="H1004" s="179" t="s">
        <v>2148</v>
      </c>
      <c r="I1004"/>
      <c r="J1004" s="268" t="s">
        <v>992</v>
      </c>
      <c r="K1004" s="17" t="s">
        <v>992</v>
      </c>
      <c r="AG1004" s="179" t="s">
        <v>2298</v>
      </c>
    </row>
    <row r="1005" spans="1:33" hidden="1">
      <c r="A1005" s="258"/>
      <c r="B1005" s="263" t="s">
        <v>2624</v>
      </c>
      <c r="C1005"/>
      <c r="D1005"/>
      <c r="E1005"/>
      <c r="H1005" s="179" t="s">
        <v>113</v>
      </c>
      <c r="I1005"/>
      <c r="J1005" s="4"/>
      <c r="K1005" s="17" t="s">
        <v>1774</v>
      </c>
      <c r="AG1005" s="179" t="s">
        <v>2298</v>
      </c>
    </row>
    <row r="1006" spans="1:33" hidden="1">
      <c r="A1006" s="258"/>
      <c r="B1006" s="263" t="s">
        <v>2625</v>
      </c>
      <c r="C1006"/>
      <c r="D1006"/>
      <c r="E1006"/>
      <c r="I1006"/>
      <c r="J1006" s="4"/>
      <c r="K1006" s="1" t="s">
        <v>992</v>
      </c>
      <c r="AG1006" s="179" t="s">
        <v>2298</v>
      </c>
    </row>
    <row r="1007" spans="1:33" hidden="1">
      <c r="A1007" s="258"/>
      <c r="B1007" s="263" t="s">
        <v>2626</v>
      </c>
      <c r="C1007"/>
      <c r="D1007"/>
      <c r="E1007"/>
      <c r="I1007"/>
      <c r="J1007" s="4"/>
      <c r="K1007" s="17" t="s">
        <v>992</v>
      </c>
      <c r="AG1007" s="179" t="s">
        <v>2298</v>
      </c>
    </row>
    <row r="1008" spans="1:33" hidden="1">
      <c r="A1008" s="258"/>
      <c r="B1008" s="263" t="s">
        <v>3059</v>
      </c>
      <c r="C1008"/>
      <c r="D1008"/>
      <c r="E1008"/>
      <c r="I1008"/>
      <c r="J1008" s="4"/>
      <c r="K1008" s="1" t="s">
        <v>992</v>
      </c>
      <c r="AG1008" s="179" t="s">
        <v>2298</v>
      </c>
    </row>
    <row r="1009" spans="1:33" hidden="1">
      <c r="A1009" s="258"/>
      <c r="B1009" s="263" t="s">
        <v>3060</v>
      </c>
      <c r="C1009"/>
      <c r="D1009"/>
      <c r="E1009"/>
      <c r="F1009" s="233" t="s">
        <v>1499</v>
      </c>
      <c r="G1009" s="185"/>
      <c r="H1009" s="179" t="s">
        <v>733</v>
      </c>
      <c r="I1009"/>
      <c r="J1009" s="4"/>
      <c r="K1009" s="1" t="s">
        <v>992</v>
      </c>
      <c r="AG1009" s="179" t="s">
        <v>2298</v>
      </c>
    </row>
    <row r="1010" spans="1:33" hidden="1">
      <c r="A1010" s="258"/>
      <c r="B1010" s="263" t="s">
        <v>3061</v>
      </c>
      <c r="C1010"/>
      <c r="D1010"/>
      <c r="E1010"/>
      <c r="H1010" s="183" t="s">
        <v>1615</v>
      </c>
      <c r="I1010"/>
      <c r="J1010" s="4"/>
      <c r="K1010"/>
      <c r="AG1010" s="179" t="s">
        <v>2298</v>
      </c>
    </row>
    <row r="1011" spans="1:33" hidden="1">
      <c r="A1011" s="265"/>
      <c r="B1011" s="263" t="s">
        <v>3062</v>
      </c>
      <c r="C1011"/>
      <c r="D1011"/>
      <c r="E1011"/>
      <c r="F1011" s="269">
        <v>1.153E-2</v>
      </c>
      <c r="G1011" s="185" t="s">
        <v>885</v>
      </c>
      <c r="H1011" s="179" t="s">
        <v>705</v>
      </c>
      <c r="I1011" s="8">
        <f>C88</f>
        <v>65420</v>
      </c>
      <c r="J1011" s="2" t="s">
        <v>885</v>
      </c>
      <c r="K1011" s="8">
        <f t="shared" ref="K1011:K1020" si="54">(F1011*I1011)</f>
        <v>754.29</v>
      </c>
      <c r="AG1011" s="179" t="s">
        <v>2298</v>
      </c>
    </row>
    <row r="1012" spans="1:33" hidden="1">
      <c r="A1012" s="265"/>
      <c r="B1012" s="263" t="s">
        <v>3063</v>
      </c>
      <c r="C1012"/>
      <c r="D1012"/>
      <c r="E1012"/>
      <c r="F1012" s="269">
        <v>1.35E-2</v>
      </c>
      <c r="G1012" s="185" t="s">
        <v>885</v>
      </c>
      <c r="H1012" s="179" t="s">
        <v>706</v>
      </c>
      <c r="I1012" s="8">
        <f>C89</f>
        <v>57165</v>
      </c>
      <c r="J1012" s="2" t="s">
        <v>885</v>
      </c>
      <c r="K1012" s="8">
        <f t="shared" si="54"/>
        <v>771.73</v>
      </c>
      <c r="AG1012" s="179" t="s">
        <v>2298</v>
      </c>
    </row>
    <row r="1013" spans="1:33" hidden="1">
      <c r="A1013" s="265"/>
      <c r="B1013" s="263" t="s">
        <v>3064</v>
      </c>
      <c r="C1013"/>
      <c r="D1013"/>
      <c r="E1013"/>
      <c r="F1013" s="269">
        <v>1.016</v>
      </c>
      <c r="G1013" s="185" t="s">
        <v>621</v>
      </c>
      <c r="H1013" s="179" t="s">
        <v>2128</v>
      </c>
      <c r="I1013" s="8">
        <f>C753</f>
        <v>381.37</v>
      </c>
      <c r="J1013" s="2" t="s">
        <v>621</v>
      </c>
      <c r="K1013" s="8">
        <f t="shared" si="54"/>
        <v>387.47</v>
      </c>
      <c r="AG1013" s="179" t="s">
        <v>2298</v>
      </c>
    </row>
    <row r="1014" spans="1:33" hidden="1">
      <c r="A1014" s="265"/>
      <c r="B1014" s="263" t="s">
        <v>3065</v>
      </c>
      <c r="C1014"/>
      <c r="D1014"/>
      <c r="E1014"/>
      <c r="F1014" s="269">
        <v>1.64</v>
      </c>
      <c r="G1014" s="185" t="s">
        <v>621</v>
      </c>
      <c r="H1014" s="179" t="s">
        <v>2129</v>
      </c>
      <c r="I1014" s="8">
        <f>D30</f>
        <v>287</v>
      </c>
      <c r="J1014" s="2" t="s">
        <v>621</v>
      </c>
      <c r="K1014" s="8">
        <f t="shared" si="54"/>
        <v>470.68</v>
      </c>
      <c r="AG1014" s="179" t="s">
        <v>2298</v>
      </c>
    </row>
    <row r="1015" spans="1:33" hidden="1">
      <c r="A1015" s="265"/>
      <c r="B1015" s="263" t="s">
        <v>2657</v>
      </c>
      <c r="C1015"/>
      <c r="D1015"/>
      <c r="E1015"/>
      <c r="F1015" s="186">
        <v>2</v>
      </c>
      <c r="G1015" s="185" t="s">
        <v>884</v>
      </c>
      <c r="H1015" s="179" t="s">
        <v>2130</v>
      </c>
      <c r="I1015" s="8">
        <f>C283</f>
        <v>30</v>
      </c>
      <c r="J1015" s="2" t="s">
        <v>884</v>
      </c>
      <c r="K1015" s="8">
        <f t="shared" si="54"/>
        <v>60</v>
      </c>
      <c r="AG1015" s="179" t="s">
        <v>2298</v>
      </c>
    </row>
    <row r="1016" spans="1:33" hidden="1">
      <c r="A1016" s="265"/>
      <c r="B1016" s="263" t="s">
        <v>2658</v>
      </c>
      <c r="C1016"/>
      <c r="D1016"/>
      <c r="E1016"/>
      <c r="F1016" s="186">
        <v>3</v>
      </c>
      <c r="G1016" s="185" t="s">
        <v>884</v>
      </c>
      <c r="H1016" s="179" t="s">
        <v>1543</v>
      </c>
      <c r="I1016" s="8">
        <f>C278</f>
        <v>45</v>
      </c>
      <c r="J1016" s="2" t="s">
        <v>884</v>
      </c>
      <c r="K1016" s="8">
        <f t="shared" si="54"/>
        <v>135</v>
      </c>
      <c r="AG1016" s="179" t="s">
        <v>2298</v>
      </c>
    </row>
    <row r="1017" spans="1:33" hidden="1">
      <c r="A1017" s="265"/>
      <c r="B1017" s="263" t="s">
        <v>2659</v>
      </c>
      <c r="C1017"/>
      <c r="D1017"/>
      <c r="E1017"/>
      <c r="F1017" s="186">
        <v>1</v>
      </c>
      <c r="G1017" s="185" t="s">
        <v>884</v>
      </c>
      <c r="H1017" s="179" t="s">
        <v>2015</v>
      </c>
      <c r="I1017" s="8">
        <f>C285</f>
        <v>95</v>
      </c>
      <c r="J1017" s="2" t="s">
        <v>884</v>
      </c>
      <c r="K1017" s="8">
        <f t="shared" si="54"/>
        <v>95</v>
      </c>
      <c r="AG1017" s="179" t="s">
        <v>2298</v>
      </c>
    </row>
    <row r="1018" spans="1:33" hidden="1">
      <c r="A1018" s="265"/>
      <c r="B1018" s="263" t="s">
        <v>2660</v>
      </c>
      <c r="C1018"/>
      <c r="D1018"/>
      <c r="E1018"/>
      <c r="F1018" s="186">
        <v>1</v>
      </c>
      <c r="G1018" s="185" t="s">
        <v>884</v>
      </c>
      <c r="H1018" s="179" t="s">
        <v>2016</v>
      </c>
      <c r="I1018" s="8">
        <f>C287</f>
        <v>8</v>
      </c>
      <c r="J1018" s="2" t="s">
        <v>884</v>
      </c>
      <c r="K1018" s="8">
        <f t="shared" si="54"/>
        <v>8</v>
      </c>
      <c r="AG1018" s="179" t="s">
        <v>2298</v>
      </c>
    </row>
    <row r="1019" spans="1:33" hidden="1">
      <c r="A1019" s="265"/>
      <c r="B1019" s="263" t="s">
        <v>2852</v>
      </c>
      <c r="C1019"/>
      <c r="D1019"/>
      <c r="E1019"/>
      <c r="F1019" s="186">
        <v>1</v>
      </c>
      <c r="G1019" s="185" t="s">
        <v>884</v>
      </c>
      <c r="H1019" s="179" t="s">
        <v>2017</v>
      </c>
      <c r="I1019" s="8">
        <f>C576</f>
        <v>30</v>
      </c>
      <c r="J1019" s="2" t="s">
        <v>884</v>
      </c>
      <c r="K1019" s="8">
        <f t="shared" si="54"/>
        <v>30</v>
      </c>
      <c r="AG1019" s="179" t="s">
        <v>2298</v>
      </c>
    </row>
    <row r="1020" spans="1:33" hidden="1">
      <c r="A1020" s="265"/>
      <c r="B1020" s="263" t="s">
        <v>2853</v>
      </c>
      <c r="C1020"/>
      <c r="D1020"/>
      <c r="E1020"/>
      <c r="F1020" s="186">
        <v>1</v>
      </c>
      <c r="G1020" s="185" t="s">
        <v>884</v>
      </c>
      <c r="H1020" s="179" t="s">
        <v>2018</v>
      </c>
      <c r="I1020" s="8">
        <f>D576</f>
        <v>25</v>
      </c>
      <c r="J1020" s="2" t="s">
        <v>884</v>
      </c>
      <c r="K1020" s="8">
        <f t="shared" si="54"/>
        <v>25</v>
      </c>
      <c r="AG1020" s="179" t="s">
        <v>2298</v>
      </c>
    </row>
    <row r="1021" spans="1:33" hidden="1">
      <c r="A1021" s="265"/>
      <c r="B1021" s="263" t="s">
        <v>2854</v>
      </c>
      <c r="C1021"/>
      <c r="D1021"/>
      <c r="E1021"/>
      <c r="I1021"/>
      <c r="J1021" s="4"/>
      <c r="K1021" s="5" t="s">
        <v>1615</v>
      </c>
      <c r="AG1021" s="179" t="s">
        <v>2298</v>
      </c>
    </row>
    <row r="1022" spans="1:33" hidden="1">
      <c r="A1022" s="265"/>
      <c r="B1022" s="263" t="s">
        <v>2855</v>
      </c>
      <c r="C1022"/>
      <c r="D1022"/>
      <c r="E1022"/>
      <c r="H1022" s="233" t="s">
        <v>1544</v>
      </c>
      <c r="I1022"/>
      <c r="J1022" s="4"/>
      <c r="K1022" s="8">
        <f>SUM(K1011:K1020)</f>
        <v>2737.17</v>
      </c>
      <c r="AG1022" s="179" t="s">
        <v>2298</v>
      </c>
    </row>
    <row r="1023" spans="1:33" ht="31.5" hidden="1">
      <c r="A1023" s="265"/>
      <c r="B1023" s="263" t="s">
        <v>2856</v>
      </c>
      <c r="C1023"/>
      <c r="D1023"/>
      <c r="E1023"/>
      <c r="G1023" s="185" t="s">
        <v>992</v>
      </c>
      <c r="I1023"/>
      <c r="J1023" s="4"/>
      <c r="K1023" s="5" t="s">
        <v>1615</v>
      </c>
      <c r="AG1023" s="179" t="s">
        <v>2298</v>
      </c>
    </row>
    <row r="1024" spans="1:33" hidden="1">
      <c r="A1024" s="265"/>
      <c r="B1024" s="263" t="s">
        <v>2857</v>
      </c>
      <c r="C1024"/>
      <c r="D1024"/>
      <c r="E1024"/>
      <c r="H1024" s="233" t="s">
        <v>562</v>
      </c>
      <c r="I1024"/>
      <c r="J1024" s="4"/>
      <c r="K1024" s="8">
        <f>K1022/F1014</f>
        <v>1669.01</v>
      </c>
      <c r="AG1024" s="179" t="s">
        <v>2298</v>
      </c>
    </row>
    <row r="1025" spans="1:33" hidden="1">
      <c r="A1025" s="265"/>
      <c r="B1025" s="263" t="s">
        <v>3494</v>
      </c>
      <c r="C1025"/>
      <c r="D1025"/>
      <c r="E1025"/>
      <c r="I1025"/>
      <c r="J1025" s="4"/>
      <c r="K1025" s="5" t="s">
        <v>2091</v>
      </c>
      <c r="AG1025" s="179" t="s">
        <v>2298</v>
      </c>
    </row>
    <row r="1026" spans="1:33" hidden="1">
      <c r="A1026" s="265"/>
      <c r="B1026" s="263" t="s">
        <v>3495</v>
      </c>
      <c r="C1026"/>
      <c r="D1026"/>
      <c r="E1026"/>
      <c r="F1026" s="233" t="s">
        <v>1601</v>
      </c>
      <c r="H1026" s="179" t="s">
        <v>1363</v>
      </c>
      <c r="I1026"/>
      <c r="J1026" s="4"/>
      <c r="K1026"/>
    </row>
    <row r="1027" spans="1:33" hidden="1">
      <c r="A1027" s="265"/>
      <c r="B1027" s="263" t="s">
        <v>3496</v>
      </c>
      <c r="C1027"/>
      <c r="D1027"/>
      <c r="E1027"/>
      <c r="H1027" s="179" t="s">
        <v>1364</v>
      </c>
      <c r="I1027"/>
      <c r="J1027" s="4"/>
      <c r="K1027"/>
    </row>
    <row r="1028" spans="1:33" hidden="1">
      <c r="A1028" s="265"/>
      <c r="B1028" s="263" t="s">
        <v>3497</v>
      </c>
      <c r="C1028"/>
      <c r="D1028"/>
      <c r="E1028"/>
      <c r="H1028" s="183" t="s">
        <v>1615</v>
      </c>
      <c r="I1028"/>
      <c r="J1028" s="4"/>
      <c r="K1028"/>
    </row>
    <row r="1029" spans="1:33" hidden="1">
      <c r="A1029" s="265"/>
      <c r="B1029" s="263" t="s">
        <v>3498</v>
      </c>
      <c r="C1029"/>
      <c r="D1029"/>
      <c r="E1029"/>
      <c r="F1029" s="269">
        <v>6.6499999999999997E-3</v>
      </c>
      <c r="G1029" s="185" t="s">
        <v>1365</v>
      </c>
      <c r="H1029" s="179" t="s">
        <v>1366</v>
      </c>
      <c r="I1029" s="8">
        <f>C89</f>
        <v>57165</v>
      </c>
      <c r="J1029" s="2" t="s">
        <v>885</v>
      </c>
      <c r="K1029" s="8">
        <f t="shared" ref="K1029:K1035" si="55">(F1029*I1029)</f>
        <v>380.15</v>
      </c>
    </row>
    <row r="1030" spans="1:33" hidden="1">
      <c r="A1030" s="265"/>
      <c r="B1030" s="263" t="s">
        <v>3499</v>
      </c>
      <c r="C1030"/>
      <c r="D1030"/>
      <c r="E1030"/>
      <c r="F1030" s="269">
        <v>0.32346000000000003</v>
      </c>
      <c r="G1030" s="185" t="s">
        <v>621</v>
      </c>
      <c r="H1030" s="179" t="s">
        <v>3500</v>
      </c>
      <c r="I1030" s="8">
        <f>C271</f>
        <v>160</v>
      </c>
      <c r="J1030" s="2" t="s">
        <v>885</v>
      </c>
      <c r="K1030" s="8">
        <f t="shared" si="55"/>
        <v>51.75</v>
      </c>
    </row>
    <row r="1031" spans="1:33" ht="31.5" hidden="1">
      <c r="A1031" s="265"/>
      <c r="B1031" s="263" t="s">
        <v>3501</v>
      </c>
      <c r="C1031"/>
      <c r="D1031"/>
      <c r="E1031"/>
      <c r="F1031" s="269">
        <v>0.47660000000000002</v>
      </c>
      <c r="G1031" s="185" t="s">
        <v>621</v>
      </c>
      <c r="H1031" s="179" t="s">
        <v>2129</v>
      </c>
      <c r="I1031" s="8">
        <f>D31</f>
        <v>320</v>
      </c>
      <c r="J1031" s="2" t="s">
        <v>621</v>
      </c>
      <c r="K1031" s="8">
        <f t="shared" si="55"/>
        <v>152.51</v>
      </c>
    </row>
    <row r="1032" spans="1:33" ht="21.75" hidden="1" customHeight="1">
      <c r="A1032" s="265"/>
      <c r="B1032" s="263" t="s">
        <v>3502</v>
      </c>
      <c r="C1032"/>
      <c r="D1032"/>
      <c r="E1032"/>
      <c r="F1032" s="186">
        <v>3</v>
      </c>
      <c r="G1032" s="185" t="s">
        <v>884</v>
      </c>
      <c r="H1032" s="179" t="s">
        <v>1367</v>
      </c>
      <c r="I1032" s="8">
        <f>C281</f>
        <v>25</v>
      </c>
      <c r="J1032" s="2" t="s">
        <v>884</v>
      </c>
      <c r="K1032" s="8">
        <f t="shared" si="55"/>
        <v>75</v>
      </c>
    </row>
    <row r="1033" spans="1:33" ht="20.25" hidden="1" customHeight="1">
      <c r="A1033" s="263"/>
      <c r="B1033" s="263" t="s">
        <v>3019</v>
      </c>
      <c r="C1033"/>
      <c r="D1033"/>
      <c r="E1033"/>
      <c r="F1033" s="186">
        <v>2</v>
      </c>
      <c r="G1033" s="185" t="s">
        <v>884</v>
      </c>
      <c r="H1033" s="179" t="s">
        <v>2144</v>
      </c>
      <c r="I1033" s="8">
        <f>C284</f>
        <v>20</v>
      </c>
      <c r="J1033" s="2" t="s">
        <v>884</v>
      </c>
      <c r="K1033" s="8">
        <f t="shared" si="55"/>
        <v>40</v>
      </c>
    </row>
    <row r="1034" spans="1:33" ht="19.5" hidden="1" customHeight="1">
      <c r="A1034" s="265"/>
      <c r="B1034" s="263" t="s">
        <v>2805</v>
      </c>
      <c r="C1034"/>
      <c r="D1034"/>
      <c r="E1034"/>
      <c r="F1034" s="186">
        <v>1</v>
      </c>
      <c r="G1034" s="185" t="s">
        <v>884</v>
      </c>
      <c r="H1034" s="179" t="s">
        <v>2145</v>
      </c>
      <c r="I1034" s="8">
        <f>C303</f>
        <v>8</v>
      </c>
      <c r="J1034" s="2" t="s">
        <v>884</v>
      </c>
      <c r="K1034" s="8">
        <f t="shared" si="55"/>
        <v>8</v>
      </c>
    </row>
    <row r="1035" spans="1:33" ht="18.75" hidden="1" customHeight="1">
      <c r="A1035" s="265"/>
      <c r="B1035" s="263" t="s">
        <v>2806</v>
      </c>
      <c r="C1035"/>
      <c r="D1035"/>
      <c r="E1035"/>
      <c r="F1035" s="186">
        <v>1</v>
      </c>
      <c r="G1035" s="185" t="s">
        <v>884</v>
      </c>
      <c r="H1035" s="179" t="s">
        <v>2146</v>
      </c>
      <c r="I1035" s="8">
        <f>C291</f>
        <v>15.6</v>
      </c>
      <c r="J1035" s="2" t="s">
        <v>884</v>
      </c>
      <c r="K1035" s="8">
        <f t="shared" si="55"/>
        <v>15.6</v>
      </c>
    </row>
    <row r="1036" spans="1:33" ht="18" hidden="1" customHeight="1">
      <c r="A1036" s="265"/>
      <c r="B1036" s="263" t="s">
        <v>3021</v>
      </c>
      <c r="C1036"/>
      <c r="D1036"/>
      <c r="E1036"/>
      <c r="I1036"/>
      <c r="J1036" s="4"/>
      <c r="K1036" s="5" t="s">
        <v>1615</v>
      </c>
    </row>
    <row r="1037" spans="1:33" ht="20.25" hidden="1" customHeight="1">
      <c r="A1037" s="265"/>
      <c r="B1037" s="263" t="s">
        <v>2582</v>
      </c>
      <c r="C1037"/>
      <c r="D1037"/>
      <c r="E1037"/>
      <c r="H1037" s="233" t="s">
        <v>2147</v>
      </c>
      <c r="I1037"/>
      <c r="J1037" s="4"/>
      <c r="K1037" s="8">
        <f>SUM(K1025:K1035)</f>
        <v>723.01</v>
      </c>
    </row>
    <row r="1038" spans="1:33" ht="21.75" hidden="1" customHeight="1">
      <c r="A1038" s="265"/>
      <c r="B1038" s="263" t="s">
        <v>2583</v>
      </c>
      <c r="C1038"/>
      <c r="D1038"/>
      <c r="E1038"/>
      <c r="I1038"/>
      <c r="J1038" s="4"/>
      <c r="K1038" s="5" t="s">
        <v>1615</v>
      </c>
    </row>
    <row r="1039" spans="1:33" ht="24" hidden="1" customHeight="1">
      <c r="A1039" s="265"/>
      <c r="B1039" s="263" t="s">
        <v>2583</v>
      </c>
      <c r="C1039"/>
      <c r="D1039"/>
      <c r="E1039"/>
      <c r="H1039" s="233" t="s">
        <v>562</v>
      </c>
      <c r="I1039" s="1" t="s">
        <v>992</v>
      </c>
      <c r="J1039" s="4"/>
      <c r="K1039" s="8">
        <f>K1037/F1031</f>
        <v>1517.02</v>
      </c>
    </row>
    <row r="1040" spans="1:33" ht="31.5" hidden="1">
      <c r="A1040" s="265"/>
      <c r="B1040" s="263" t="s">
        <v>2584</v>
      </c>
      <c r="C1040"/>
      <c r="D1040"/>
      <c r="E1040"/>
      <c r="I1040"/>
      <c r="J1040" s="4"/>
      <c r="K1040" s="5" t="s">
        <v>2091</v>
      </c>
    </row>
    <row r="1041" spans="1:11" ht="31.5" hidden="1">
      <c r="A1041" s="265"/>
      <c r="B1041" s="263" t="s">
        <v>2585</v>
      </c>
      <c r="C1041"/>
      <c r="D1041"/>
      <c r="E1041"/>
      <c r="F1041" s="233" t="s">
        <v>1645</v>
      </c>
      <c r="G1041" s="185" t="s">
        <v>2290</v>
      </c>
      <c r="H1041" s="179" t="s">
        <v>1363</v>
      </c>
      <c r="I1041"/>
      <c r="J1041" s="4"/>
      <c r="K1041"/>
    </row>
    <row r="1042" spans="1:11" hidden="1">
      <c r="A1042" s="265"/>
      <c r="H1042" s="179" t="s">
        <v>722</v>
      </c>
      <c r="I1042"/>
      <c r="J1042" s="4"/>
      <c r="K1042"/>
    </row>
    <row r="1043" spans="1:11" hidden="1">
      <c r="A1043" s="265"/>
      <c r="H1043" s="183" t="s">
        <v>1615</v>
      </c>
      <c r="I1043"/>
      <c r="J1043" s="4"/>
      <c r="K1043"/>
    </row>
    <row r="1044" spans="1:11" hidden="1">
      <c r="A1044" s="265"/>
      <c r="F1044" s="269">
        <v>5.4000000000000003E-3</v>
      </c>
      <c r="G1044" s="185" t="s">
        <v>1365</v>
      </c>
      <c r="H1044" s="179" t="s">
        <v>1366</v>
      </c>
      <c r="I1044" s="8">
        <f>C89</f>
        <v>57165</v>
      </c>
      <c r="J1044" s="2" t="s">
        <v>885</v>
      </c>
      <c r="K1044" s="8">
        <f t="shared" ref="K1044:K1050" si="56">(F1044*I1044)</f>
        <v>308.69</v>
      </c>
    </row>
    <row r="1045" spans="1:11" hidden="1">
      <c r="A1045" s="265"/>
      <c r="F1045" s="269">
        <v>0.23871000000000001</v>
      </c>
      <c r="G1045" s="185" t="s">
        <v>621</v>
      </c>
      <c r="H1045" s="179" t="s">
        <v>3500</v>
      </c>
      <c r="I1045" s="8">
        <f>C271</f>
        <v>160</v>
      </c>
      <c r="J1045" s="2" t="s">
        <v>885</v>
      </c>
      <c r="K1045" s="8">
        <f t="shared" si="56"/>
        <v>38.19</v>
      </c>
    </row>
    <row r="1046" spans="1:11" hidden="1">
      <c r="A1046" s="265"/>
      <c r="F1046" s="269">
        <v>0.36199999999999999</v>
      </c>
      <c r="G1046" s="185" t="s">
        <v>621</v>
      </c>
      <c r="H1046" s="179" t="s">
        <v>2129</v>
      </c>
      <c r="I1046" s="8">
        <f>D31</f>
        <v>320</v>
      </c>
      <c r="J1046" s="2" t="s">
        <v>621</v>
      </c>
      <c r="K1046" s="8">
        <f t="shared" si="56"/>
        <v>115.84</v>
      </c>
    </row>
    <row r="1047" spans="1:11" hidden="1">
      <c r="A1047" s="265"/>
      <c r="F1047" s="186">
        <v>3</v>
      </c>
      <c r="G1047" s="185" t="s">
        <v>884</v>
      </c>
      <c r="H1047" s="179" t="s">
        <v>1367</v>
      </c>
      <c r="I1047" s="8">
        <f>C281</f>
        <v>25</v>
      </c>
      <c r="J1047" s="2" t="s">
        <v>884</v>
      </c>
      <c r="K1047" s="8">
        <f t="shared" si="56"/>
        <v>75</v>
      </c>
    </row>
    <row r="1048" spans="1:11" hidden="1">
      <c r="A1048" s="265"/>
      <c r="F1048" s="186">
        <v>2</v>
      </c>
      <c r="G1048" s="185" t="s">
        <v>884</v>
      </c>
      <c r="H1048" s="179" t="s">
        <v>2144</v>
      </c>
      <c r="I1048" s="8">
        <f>C284</f>
        <v>20</v>
      </c>
      <c r="J1048" s="2" t="s">
        <v>884</v>
      </c>
      <c r="K1048" s="8">
        <f t="shared" si="56"/>
        <v>40</v>
      </c>
    </row>
    <row r="1049" spans="1:11" hidden="1">
      <c r="A1049" s="265"/>
      <c r="F1049" s="186">
        <v>1</v>
      </c>
      <c r="G1049" s="185" t="s">
        <v>884</v>
      </c>
      <c r="H1049" s="179" t="s">
        <v>2145</v>
      </c>
      <c r="I1049" s="8">
        <f>C303</f>
        <v>8</v>
      </c>
      <c r="J1049" s="2" t="s">
        <v>884</v>
      </c>
      <c r="K1049" s="8">
        <f t="shared" si="56"/>
        <v>8</v>
      </c>
    </row>
    <row r="1050" spans="1:11" hidden="1">
      <c r="A1050" s="265"/>
      <c r="F1050" s="186">
        <v>1</v>
      </c>
      <c r="G1050" s="185" t="s">
        <v>884</v>
      </c>
      <c r="H1050" s="179" t="s">
        <v>2146</v>
      </c>
      <c r="I1050" s="8">
        <f>C291</f>
        <v>15.6</v>
      </c>
      <c r="J1050" s="2" t="s">
        <v>884</v>
      </c>
      <c r="K1050" s="8">
        <f t="shared" si="56"/>
        <v>15.6</v>
      </c>
    </row>
    <row r="1051" spans="1:11" hidden="1">
      <c r="A1051" s="265"/>
      <c r="I1051"/>
      <c r="J1051" s="4"/>
      <c r="K1051" s="5" t="s">
        <v>1615</v>
      </c>
    </row>
    <row r="1052" spans="1:11" hidden="1">
      <c r="A1052" s="265"/>
      <c r="H1052" s="233" t="s">
        <v>905</v>
      </c>
      <c r="I1052"/>
      <c r="J1052" s="4"/>
      <c r="K1052" s="8">
        <f>SUM(K1040:K1050)</f>
        <v>601.32000000000005</v>
      </c>
    </row>
    <row r="1053" spans="1:11" hidden="1">
      <c r="A1053" s="265"/>
      <c r="I1053"/>
      <c r="J1053" s="4"/>
      <c r="K1053" s="5" t="s">
        <v>1615</v>
      </c>
    </row>
    <row r="1054" spans="1:11" hidden="1">
      <c r="A1054" s="265"/>
      <c r="H1054" s="233" t="s">
        <v>562</v>
      </c>
      <c r="I1054" s="1" t="s">
        <v>992</v>
      </c>
      <c r="J1054" s="4"/>
      <c r="K1054" s="8">
        <f>K1052/F1046</f>
        <v>1661.1</v>
      </c>
    </row>
    <row r="1055" spans="1:11" hidden="1">
      <c r="A1055" s="265"/>
      <c r="I1055"/>
      <c r="J1055" s="4"/>
      <c r="K1055" s="5" t="s">
        <v>2091</v>
      </c>
    </row>
    <row r="1056" spans="1:11" hidden="1">
      <c r="A1056" s="265"/>
      <c r="F1056" s="233" t="s">
        <v>1646</v>
      </c>
      <c r="G1056" s="185" t="s">
        <v>2290</v>
      </c>
      <c r="H1056" s="179" t="s">
        <v>906</v>
      </c>
      <c r="I1056"/>
      <c r="J1056" s="4"/>
      <c r="K1056"/>
    </row>
    <row r="1057" spans="1:11" hidden="1">
      <c r="A1057" s="265"/>
      <c r="H1057" s="179" t="s">
        <v>2030</v>
      </c>
      <c r="I1057"/>
      <c r="J1057" s="4"/>
      <c r="K1057"/>
    </row>
    <row r="1058" spans="1:11" hidden="1">
      <c r="A1058" s="265"/>
      <c r="H1058" s="183" t="s">
        <v>1615</v>
      </c>
      <c r="I1058"/>
      <c r="J1058" s="4"/>
      <c r="K1058"/>
    </row>
    <row r="1059" spans="1:11" hidden="1">
      <c r="A1059" s="265"/>
      <c r="F1059" s="269">
        <v>5.3E-3</v>
      </c>
      <c r="G1059" s="185" t="s">
        <v>1365</v>
      </c>
      <c r="H1059" s="179" t="s">
        <v>1366</v>
      </c>
      <c r="I1059" s="8">
        <f>C89</f>
        <v>57165</v>
      </c>
      <c r="J1059" s="2" t="s">
        <v>885</v>
      </c>
      <c r="K1059" s="8">
        <f t="shared" ref="K1059:K1064" si="57">(F1059*I1059)</f>
        <v>302.97000000000003</v>
      </c>
    </row>
    <row r="1060" spans="1:11" hidden="1">
      <c r="A1060" s="265"/>
      <c r="F1060" s="269">
        <v>0.27450000000000002</v>
      </c>
      <c r="G1060" s="185" t="s">
        <v>621</v>
      </c>
      <c r="H1060" s="179" t="s">
        <v>3500</v>
      </c>
      <c r="I1060" s="8">
        <f>C271</f>
        <v>160</v>
      </c>
      <c r="J1060" s="2" t="s">
        <v>885</v>
      </c>
      <c r="K1060" s="8">
        <f t="shared" si="57"/>
        <v>43.92</v>
      </c>
    </row>
    <row r="1061" spans="1:11" hidden="1">
      <c r="A1061" s="265"/>
      <c r="F1061" s="269">
        <v>0.4</v>
      </c>
      <c r="G1061" s="185" t="s">
        <v>621</v>
      </c>
      <c r="H1061" s="179" t="s">
        <v>2129</v>
      </c>
      <c r="I1061" s="8">
        <f>D32</f>
        <v>267</v>
      </c>
      <c r="J1061" s="2" t="s">
        <v>621</v>
      </c>
      <c r="K1061" s="8">
        <f t="shared" si="57"/>
        <v>106.8</v>
      </c>
    </row>
    <row r="1062" spans="1:11" hidden="1">
      <c r="A1062" s="265"/>
      <c r="F1062" s="186">
        <v>2</v>
      </c>
      <c r="G1062" s="185" t="s">
        <v>2031</v>
      </c>
      <c r="H1062" s="179" t="s">
        <v>2032</v>
      </c>
      <c r="I1062" s="8">
        <f>C304</f>
        <v>8.5</v>
      </c>
      <c r="J1062" s="2" t="s">
        <v>2031</v>
      </c>
      <c r="K1062" s="8">
        <f t="shared" si="57"/>
        <v>17</v>
      </c>
    </row>
    <row r="1063" spans="1:11" hidden="1">
      <c r="A1063" s="265"/>
      <c r="F1063" s="186">
        <v>1</v>
      </c>
      <c r="G1063" s="185" t="s">
        <v>884</v>
      </c>
      <c r="H1063" s="179" t="s">
        <v>2033</v>
      </c>
      <c r="I1063" s="8">
        <f>C292</f>
        <v>12.6</v>
      </c>
      <c r="J1063" s="2" t="s">
        <v>884</v>
      </c>
      <c r="K1063" s="8">
        <f t="shared" si="57"/>
        <v>12.6</v>
      </c>
    </row>
    <row r="1064" spans="1:11" hidden="1">
      <c r="A1064" s="265"/>
      <c r="F1064" s="186">
        <v>1</v>
      </c>
      <c r="G1064" s="185" t="s">
        <v>884</v>
      </c>
      <c r="H1064" s="179" t="s">
        <v>2034</v>
      </c>
      <c r="I1064" s="8">
        <f>C290</f>
        <v>20.6</v>
      </c>
      <c r="J1064" s="2" t="s">
        <v>884</v>
      </c>
      <c r="K1064" s="8">
        <f t="shared" si="57"/>
        <v>20.6</v>
      </c>
    </row>
    <row r="1065" spans="1:11" hidden="1">
      <c r="A1065" s="265"/>
      <c r="I1065"/>
      <c r="J1065" s="4"/>
      <c r="K1065" s="5" t="s">
        <v>1615</v>
      </c>
    </row>
    <row r="1066" spans="1:11" hidden="1">
      <c r="A1066" s="265"/>
      <c r="H1066" s="233" t="s">
        <v>905</v>
      </c>
      <c r="I1066"/>
      <c r="J1066" s="4"/>
      <c r="K1066" s="8">
        <f>SUM(K1055:K1064)</f>
        <v>503.89</v>
      </c>
    </row>
    <row r="1067" spans="1:11" hidden="1">
      <c r="A1067" s="265"/>
      <c r="I1067"/>
      <c r="J1067" s="4"/>
      <c r="K1067" s="5" t="s">
        <v>1615</v>
      </c>
    </row>
    <row r="1068" spans="1:11" hidden="1">
      <c r="A1068" s="265"/>
      <c r="H1068" s="233" t="s">
        <v>562</v>
      </c>
      <c r="I1068" s="1" t="s">
        <v>992</v>
      </c>
      <c r="J1068" s="4"/>
      <c r="K1068" s="8">
        <f>K1066/F1061</f>
        <v>1259.73</v>
      </c>
    </row>
    <row r="1069" spans="1:11" hidden="1">
      <c r="A1069" s="265"/>
      <c r="F1069" s="179" t="s">
        <v>992</v>
      </c>
      <c r="I1069"/>
      <c r="J1069" s="4"/>
      <c r="K1069"/>
    </row>
    <row r="1070" spans="1:11" hidden="1">
      <c r="A1070" s="265"/>
      <c r="I1070"/>
      <c r="J1070" s="4"/>
      <c r="K1070" s="5" t="s">
        <v>2091</v>
      </c>
    </row>
    <row r="1071" spans="1:11" hidden="1">
      <c r="A1071" s="265"/>
      <c r="F1071" s="243">
        <v>22.3</v>
      </c>
      <c r="H1071" s="179" t="s">
        <v>2035</v>
      </c>
      <c r="I1071"/>
      <c r="J1071" s="4"/>
      <c r="K1071"/>
    </row>
    <row r="1072" spans="1:11" hidden="1">
      <c r="A1072" s="265"/>
      <c r="H1072" s="183" t="s">
        <v>1615</v>
      </c>
      <c r="I1072" s="5" t="s">
        <v>1615</v>
      </c>
      <c r="J1072" s="2" t="s">
        <v>1615</v>
      </c>
      <c r="K1072"/>
    </row>
    <row r="1073" spans="1:12" hidden="1">
      <c r="A1073" s="265"/>
      <c r="I1073"/>
      <c r="J1073" s="4"/>
      <c r="K1073"/>
    </row>
    <row r="1074" spans="1:12" hidden="1">
      <c r="A1074" s="265"/>
      <c r="H1074" s="179" t="s">
        <v>2036</v>
      </c>
      <c r="I1074"/>
      <c r="J1074" s="4"/>
      <c r="K1074"/>
    </row>
    <row r="1075" spans="1:12" hidden="1">
      <c r="A1075" s="265"/>
      <c r="H1075" s="179" t="s">
        <v>2037</v>
      </c>
      <c r="I1075"/>
      <c r="J1075" s="4"/>
      <c r="K1075"/>
    </row>
    <row r="1076" spans="1:12" hidden="1">
      <c r="A1076" s="265"/>
      <c r="H1076" s="179" t="s">
        <v>460</v>
      </c>
      <c r="I1076"/>
      <c r="J1076" s="4"/>
      <c r="K1076"/>
    </row>
    <row r="1077" spans="1:12" hidden="1">
      <c r="A1077" s="265"/>
      <c r="H1077" s="179" t="s">
        <v>461</v>
      </c>
      <c r="I1077"/>
      <c r="J1077" s="4"/>
      <c r="K1077"/>
    </row>
    <row r="1078" spans="1:12" hidden="1">
      <c r="A1078" s="265"/>
      <c r="H1078" s="179" t="s">
        <v>462</v>
      </c>
      <c r="I1078"/>
      <c r="J1078" s="4"/>
      <c r="K1078"/>
      <c r="L1078" s="179" t="s">
        <v>992</v>
      </c>
    </row>
    <row r="1079" spans="1:12" hidden="1">
      <c r="A1079" s="265"/>
      <c r="I1079"/>
      <c r="J1079" s="2" t="s">
        <v>992</v>
      </c>
      <c r="K1079" s="14">
        <v>3.32E-2</v>
      </c>
    </row>
    <row r="1080" spans="1:12" hidden="1">
      <c r="A1080" s="265"/>
      <c r="H1080" s="179" t="s">
        <v>2195</v>
      </c>
      <c r="I1080"/>
      <c r="J1080" s="268" t="s">
        <v>992</v>
      </c>
      <c r="K1080" s="17" t="s">
        <v>992</v>
      </c>
    </row>
    <row r="1081" spans="1:12" hidden="1">
      <c r="A1081" s="265"/>
      <c r="H1081" s="179" t="s">
        <v>1864</v>
      </c>
      <c r="I1081"/>
      <c r="J1081" s="4"/>
      <c r="K1081" s="17" t="s">
        <v>992</v>
      </c>
    </row>
    <row r="1082" spans="1:12" hidden="1">
      <c r="A1082" s="265"/>
      <c r="I1082"/>
      <c r="J1082" s="4"/>
      <c r="K1082"/>
    </row>
    <row r="1083" spans="1:12" hidden="1">
      <c r="A1083" s="265"/>
      <c r="F1083" s="269">
        <v>1.18E-2</v>
      </c>
      <c r="G1083" s="185" t="s">
        <v>885</v>
      </c>
      <c r="H1083" s="179" t="s">
        <v>705</v>
      </c>
      <c r="I1083" s="8">
        <f>C88</f>
        <v>65420</v>
      </c>
      <c r="J1083" s="2" t="s">
        <v>885</v>
      </c>
      <c r="K1083" s="8">
        <f t="shared" ref="K1083:K1092" si="58">(F1083*I1083)</f>
        <v>771.96</v>
      </c>
    </row>
    <row r="1084" spans="1:12" hidden="1">
      <c r="A1084" s="265"/>
      <c r="F1084" s="269">
        <v>3.32E-2</v>
      </c>
      <c r="G1084" s="185" t="s">
        <v>885</v>
      </c>
      <c r="H1084" s="179" t="s">
        <v>706</v>
      </c>
      <c r="I1084" s="8">
        <f>C89</f>
        <v>57165</v>
      </c>
      <c r="J1084" s="2" t="s">
        <v>885</v>
      </c>
      <c r="K1084" s="8">
        <f t="shared" si="58"/>
        <v>1897.88</v>
      </c>
    </row>
    <row r="1085" spans="1:12" hidden="1">
      <c r="A1085" s="265"/>
      <c r="F1085" s="269">
        <v>1.8550000000000001E-2</v>
      </c>
      <c r="G1085" s="185" t="s">
        <v>885</v>
      </c>
      <c r="H1085" s="179" t="s">
        <v>902</v>
      </c>
      <c r="I1085" s="8">
        <f>C30</f>
        <v>3035</v>
      </c>
      <c r="J1085" s="2" t="s">
        <v>885</v>
      </c>
      <c r="K1085" s="8">
        <f t="shared" si="58"/>
        <v>56.3</v>
      </c>
    </row>
    <row r="1086" spans="1:12" hidden="1">
      <c r="A1086" s="265"/>
      <c r="F1086" s="269">
        <v>1.46</v>
      </c>
      <c r="G1086" s="185" t="s">
        <v>621</v>
      </c>
      <c r="H1086" s="179" t="s">
        <v>903</v>
      </c>
      <c r="I1086" s="8">
        <v>385.89</v>
      </c>
      <c r="J1086" s="2" t="s">
        <v>621</v>
      </c>
      <c r="K1086" s="8">
        <f t="shared" si="58"/>
        <v>563.4</v>
      </c>
    </row>
    <row r="1087" spans="1:12" hidden="1">
      <c r="A1087" s="265"/>
      <c r="F1087" s="269">
        <v>2.0499999999999998</v>
      </c>
      <c r="G1087" s="185" t="s">
        <v>621</v>
      </c>
      <c r="H1087" s="179" t="s">
        <v>1532</v>
      </c>
      <c r="I1087" s="8">
        <f>D30</f>
        <v>287</v>
      </c>
      <c r="J1087" s="2" t="s">
        <v>621</v>
      </c>
      <c r="K1087" s="8">
        <f t="shared" si="58"/>
        <v>588.35</v>
      </c>
    </row>
    <row r="1088" spans="1:12" hidden="1">
      <c r="A1088" s="265"/>
      <c r="F1088" s="186">
        <v>2</v>
      </c>
      <c r="G1088" s="185" t="s">
        <v>884</v>
      </c>
      <c r="H1088" s="179" t="s">
        <v>1533</v>
      </c>
      <c r="I1088" s="8">
        <v>7.5</v>
      </c>
      <c r="J1088" s="2" t="s">
        <v>884</v>
      </c>
      <c r="K1088" s="8">
        <f t="shared" si="58"/>
        <v>15</v>
      </c>
    </row>
    <row r="1089" spans="1:11" hidden="1">
      <c r="A1089" s="265"/>
      <c r="F1089" s="186">
        <v>6</v>
      </c>
      <c r="G1089" s="185" t="s">
        <v>884</v>
      </c>
      <c r="H1089" s="179" t="s">
        <v>1367</v>
      </c>
      <c r="I1089" s="8">
        <f>C281</f>
        <v>25</v>
      </c>
      <c r="J1089" s="2" t="s">
        <v>884</v>
      </c>
      <c r="K1089" s="8">
        <f t="shared" si="58"/>
        <v>150</v>
      </c>
    </row>
    <row r="1090" spans="1:11" hidden="1">
      <c r="A1090" s="265"/>
      <c r="F1090" s="186">
        <v>2</v>
      </c>
      <c r="G1090" s="185" t="s">
        <v>884</v>
      </c>
      <c r="H1090" s="179" t="s">
        <v>2463</v>
      </c>
      <c r="I1090" s="8">
        <v>50</v>
      </c>
      <c r="J1090" s="2" t="s">
        <v>884</v>
      </c>
      <c r="K1090" s="8">
        <f t="shared" si="58"/>
        <v>100</v>
      </c>
    </row>
    <row r="1091" spans="1:11" hidden="1">
      <c r="A1091" s="265"/>
      <c r="F1091" s="186">
        <v>1</v>
      </c>
      <c r="G1091" s="185" t="s">
        <v>884</v>
      </c>
      <c r="H1091" s="179" t="s">
        <v>1442</v>
      </c>
      <c r="I1091" s="8">
        <v>50</v>
      </c>
      <c r="J1091" s="2" t="s">
        <v>884</v>
      </c>
      <c r="K1091" s="8">
        <f t="shared" si="58"/>
        <v>50</v>
      </c>
    </row>
    <row r="1092" spans="1:11" hidden="1">
      <c r="A1092" s="265"/>
      <c r="F1092" s="186">
        <v>2.52</v>
      </c>
      <c r="G1092" s="185" t="s">
        <v>621</v>
      </c>
      <c r="H1092" s="179" t="s">
        <v>1745</v>
      </c>
      <c r="I1092" s="8">
        <f>K1122</f>
        <v>51.25</v>
      </c>
      <c r="J1092" s="2" t="s">
        <v>621</v>
      </c>
      <c r="K1092" s="8">
        <f t="shared" si="58"/>
        <v>129.15</v>
      </c>
    </row>
    <row r="1093" spans="1:11" hidden="1">
      <c r="A1093" s="265"/>
      <c r="H1093" s="179" t="s">
        <v>1439</v>
      </c>
      <c r="I1093" s="2" t="s">
        <v>455</v>
      </c>
      <c r="J1093" s="4"/>
      <c r="K1093" s="8">
        <v>0.21</v>
      </c>
    </row>
    <row r="1094" spans="1:11" hidden="1">
      <c r="A1094" s="265"/>
      <c r="I1094"/>
      <c r="J1094" s="4"/>
      <c r="K1094" s="5" t="s">
        <v>1615</v>
      </c>
    </row>
    <row r="1095" spans="1:11" hidden="1">
      <c r="A1095" s="265"/>
      <c r="H1095" s="233" t="s">
        <v>1440</v>
      </c>
      <c r="I1095"/>
      <c r="J1095" s="4"/>
      <c r="K1095" s="8">
        <f>SUM(K1083:K1093)</f>
        <v>4322.25</v>
      </c>
    </row>
    <row r="1096" spans="1:11" hidden="1">
      <c r="A1096" s="265"/>
      <c r="G1096" s="185" t="s">
        <v>992</v>
      </c>
      <c r="I1096"/>
      <c r="J1096" s="4"/>
      <c r="K1096" s="5" t="s">
        <v>1615</v>
      </c>
    </row>
    <row r="1097" spans="1:11" hidden="1">
      <c r="A1097" s="265"/>
      <c r="H1097" s="233" t="s">
        <v>562</v>
      </c>
      <c r="I1097"/>
      <c r="J1097" s="4"/>
      <c r="K1097" s="8">
        <f>K1095/2.52</f>
        <v>1715.18</v>
      </c>
    </row>
    <row r="1098" spans="1:11" hidden="1">
      <c r="A1098" s="265"/>
      <c r="I1098"/>
      <c r="J1098" s="4"/>
      <c r="K1098" s="5" t="s">
        <v>2091</v>
      </c>
    </row>
    <row r="1099" spans="1:11" hidden="1">
      <c r="A1099" s="265"/>
      <c r="G1099" s="185" t="s">
        <v>2290</v>
      </c>
      <c r="H1099" s="179" t="s">
        <v>184</v>
      </c>
      <c r="I1099"/>
      <c r="J1099" s="4"/>
      <c r="K1099"/>
    </row>
    <row r="1100" spans="1:11" hidden="1">
      <c r="A1100" s="265"/>
      <c r="H1100" s="183" t="s">
        <v>1615</v>
      </c>
      <c r="I1100" s="5" t="s">
        <v>1615</v>
      </c>
      <c r="J1100" s="4"/>
      <c r="K1100"/>
    </row>
    <row r="1101" spans="1:11" hidden="1">
      <c r="A1101" s="265"/>
      <c r="F1101" s="186">
        <v>0.77</v>
      </c>
      <c r="G1101" s="185" t="s">
        <v>185</v>
      </c>
      <c r="H1101" s="179" t="s">
        <v>186</v>
      </c>
      <c r="I1101" s="8">
        <f>C193</f>
        <v>210</v>
      </c>
      <c r="J1101" s="2" t="s">
        <v>185</v>
      </c>
      <c r="K1101" s="8">
        <f>(F1101*I1101)</f>
        <v>161.69999999999999</v>
      </c>
    </row>
    <row r="1102" spans="1:11" hidden="1">
      <c r="A1102" s="265"/>
      <c r="F1102" s="186">
        <v>0.61</v>
      </c>
      <c r="G1102" s="185" t="s">
        <v>185</v>
      </c>
      <c r="H1102" s="179" t="s">
        <v>187</v>
      </c>
      <c r="I1102" s="8">
        <f>C192</f>
        <v>25</v>
      </c>
      <c r="J1102" s="2" t="s">
        <v>185</v>
      </c>
      <c r="K1102" s="8">
        <f>(F1102*I1102)</f>
        <v>15.25</v>
      </c>
    </row>
    <row r="1103" spans="1:11" hidden="1">
      <c r="A1103" s="265"/>
      <c r="F1103" s="186">
        <v>0.7</v>
      </c>
      <c r="G1103" s="185" t="s">
        <v>570</v>
      </c>
      <c r="H1103" s="179" t="s">
        <v>1540</v>
      </c>
      <c r="I1103" s="8">
        <f>C14</f>
        <v>120</v>
      </c>
      <c r="J1103" s="2" t="s">
        <v>1748</v>
      </c>
      <c r="K1103" s="8">
        <f>(F1103*I1103)</f>
        <v>84</v>
      </c>
    </row>
    <row r="1104" spans="1:11" hidden="1">
      <c r="A1104" s="265"/>
      <c r="F1104" s="186">
        <v>0.7</v>
      </c>
      <c r="G1104" s="185" t="s">
        <v>570</v>
      </c>
      <c r="H1104" s="179" t="s">
        <v>894</v>
      </c>
      <c r="I1104" s="8">
        <f>C12</f>
        <v>95</v>
      </c>
      <c r="J1104" s="2" t="s">
        <v>1748</v>
      </c>
      <c r="K1104" s="8">
        <f>(F1104*I1104)</f>
        <v>66.5</v>
      </c>
    </row>
    <row r="1105" spans="1:11" hidden="1">
      <c r="A1105" s="265"/>
      <c r="G1105" s="185" t="s">
        <v>455</v>
      </c>
      <c r="H1105" s="179" t="s">
        <v>1203</v>
      </c>
      <c r="I1105"/>
      <c r="J1105" s="2" t="s">
        <v>455</v>
      </c>
      <c r="K1105" s="8">
        <v>1.5</v>
      </c>
    </row>
    <row r="1106" spans="1:11" hidden="1">
      <c r="A1106" s="265"/>
      <c r="I1106"/>
      <c r="J1106" s="4"/>
      <c r="K1106" s="5" t="s">
        <v>1615</v>
      </c>
    </row>
    <row r="1107" spans="1:11" hidden="1">
      <c r="A1107" s="265"/>
      <c r="H1107" s="233" t="s">
        <v>1465</v>
      </c>
      <c r="I1107"/>
      <c r="J1107" s="4"/>
      <c r="K1107" s="8">
        <f>SUM(K1101:K1105)</f>
        <v>328.95</v>
      </c>
    </row>
    <row r="1108" spans="1:11" hidden="1">
      <c r="A1108" s="265"/>
      <c r="I1108"/>
      <c r="J1108" s="4"/>
      <c r="K1108" s="5" t="s">
        <v>1615</v>
      </c>
    </row>
    <row r="1109" spans="1:11" hidden="1">
      <c r="A1109" s="265"/>
      <c r="H1109" s="233" t="s">
        <v>562</v>
      </c>
      <c r="I1109"/>
      <c r="J1109" s="4"/>
      <c r="K1109" s="8">
        <f>(K1107/10)</f>
        <v>32.9</v>
      </c>
    </row>
    <row r="1110" spans="1:11" hidden="1">
      <c r="A1110" s="265"/>
      <c r="I1110"/>
      <c r="J1110" s="4"/>
      <c r="K1110" s="5" t="s">
        <v>2091</v>
      </c>
    </row>
    <row r="1111" spans="1:11" hidden="1">
      <c r="A1111" s="265"/>
      <c r="I1111"/>
      <c r="J1111" s="4"/>
      <c r="K1111"/>
    </row>
    <row r="1112" spans="1:11" hidden="1">
      <c r="A1112" s="265"/>
      <c r="F1112" s="179" t="s">
        <v>992</v>
      </c>
      <c r="G1112" s="185" t="s">
        <v>2290</v>
      </c>
      <c r="H1112" s="179" t="s">
        <v>1466</v>
      </c>
      <c r="I1112"/>
      <c r="J1112" s="4"/>
      <c r="K1112"/>
    </row>
    <row r="1113" spans="1:11" hidden="1">
      <c r="A1113" s="265"/>
      <c r="H1113" s="183" t="s">
        <v>1615</v>
      </c>
      <c r="I1113" s="5" t="s">
        <v>1615</v>
      </c>
      <c r="J1113" s="4"/>
      <c r="K1113"/>
    </row>
    <row r="1114" spans="1:11" hidden="1">
      <c r="A1114" s="265"/>
      <c r="F1114" s="186">
        <v>1.2</v>
      </c>
      <c r="G1114" s="185" t="s">
        <v>185</v>
      </c>
      <c r="H1114" s="179" t="s">
        <v>186</v>
      </c>
      <c r="I1114" s="8">
        <f>C193</f>
        <v>210</v>
      </c>
      <c r="J1114" s="2" t="s">
        <v>185</v>
      </c>
      <c r="K1114" s="8">
        <f>(F1114*I1114)</f>
        <v>252</v>
      </c>
    </row>
    <row r="1115" spans="1:11" hidden="1">
      <c r="A1115" s="265"/>
      <c r="F1115" s="186">
        <v>0.9</v>
      </c>
      <c r="G1115" s="185" t="s">
        <v>185</v>
      </c>
      <c r="H1115" s="179" t="s">
        <v>187</v>
      </c>
      <c r="I1115" s="8">
        <f>C192</f>
        <v>25</v>
      </c>
      <c r="J1115" s="2" t="s">
        <v>185</v>
      </c>
      <c r="K1115" s="8">
        <f>(F1115*I1115)</f>
        <v>22.5</v>
      </c>
    </row>
    <row r="1116" spans="1:11" hidden="1">
      <c r="A1116" s="265"/>
      <c r="F1116" s="186">
        <v>1.1000000000000001</v>
      </c>
      <c r="G1116" s="185" t="s">
        <v>570</v>
      </c>
      <c r="H1116" s="179" t="s">
        <v>1540</v>
      </c>
      <c r="I1116" s="8">
        <f>C14</f>
        <v>120</v>
      </c>
      <c r="J1116" s="2" t="s">
        <v>1748</v>
      </c>
      <c r="K1116" s="8">
        <f>(F1116*I1116)</f>
        <v>132</v>
      </c>
    </row>
    <row r="1117" spans="1:11" hidden="1">
      <c r="A1117" s="265"/>
      <c r="F1117" s="186">
        <v>1.1000000000000001</v>
      </c>
      <c r="G1117" s="185" t="s">
        <v>570</v>
      </c>
      <c r="H1117" s="179" t="s">
        <v>894</v>
      </c>
      <c r="I1117" s="8">
        <f>C12</f>
        <v>95</v>
      </c>
      <c r="J1117" s="2" t="s">
        <v>1748</v>
      </c>
      <c r="K1117" s="8">
        <f>(F1117*I1117)</f>
        <v>104.5</v>
      </c>
    </row>
    <row r="1118" spans="1:11" hidden="1">
      <c r="A1118" s="265"/>
      <c r="G1118" s="185" t="s">
        <v>455</v>
      </c>
      <c r="H1118" s="179" t="s">
        <v>1203</v>
      </c>
      <c r="I1118"/>
      <c r="J1118" s="2" t="s">
        <v>455</v>
      </c>
      <c r="K1118" s="8">
        <v>1.5</v>
      </c>
    </row>
    <row r="1119" spans="1:11" hidden="1">
      <c r="A1119" s="265"/>
      <c r="I1119"/>
      <c r="J1119" s="4"/>
      <c r="K1119" s="5" t="s">
        <v>1615</v>
      </c>
    </row>
    <row r="1120" spans="1:11" hidden="1">
      <c r="A1120" s="265"/>
      <c r="H1120" s="233" t="s">
        <v>1465</v>
      </c>
      <c r="I1120"/>
      <c r="J1120" s="4"/>
      <c r="K1120" s="8">
        <f>SUM(K1114:K1118)</f>
        <v>512.5</v>
      </c>
    </row>
    <row r="1121" spans="1:33" hidden="1">
      <c r="A1121" s="265"/>
      <c r="I1121"/>
      <c r="J1121" s="4"/>
      <c r="K1121" s="5" t="s">
        <v>1615</v>
      </c>
    </row>
    <row r="1122" spans="1:33" hidden="1">
      <c r="A1122" s="265"/>
      <c r="H1122" s="233" t="s">
        <v>562</v>
      </c>
      <c r="I1122"/>
      <c r="J1122" s="4"/>
      <c r="K1122" s="8">
        <f>(K1120/10)</f>
        <v>51.25</v>
      </c>
    </row>
    <row r="1123" spans="1:33" hidden="1">
      <c r="A1123" s="265"/>
      <c r="I1123"/>
      <c r="J1123" s="4"/>
      <c r="K1123" s="5" t="s">
        <v>2091</v>
      </c>
    </row>
    <row r="1124" spans="1:33" hidden="1">
      <c r="A1124" s="265"/>
      <c r="I1124"/>
      <c r="J1124" s="4"/>
      <c r="K1124"/>
    </row>
    <row r="1125" spans="1:33" hidden="1">
      <c r="A1125" s="265"/>
      <c r="F1125" s="254">
        <v>23.3</v>
      </c>
      <c r="H1125" s="180" t="s">
        <v>2326</v>
      </c>
      <c r="I1125"/>
      <c r="J1125" s="4"/>
      <c r="K1125">
        <v>35</v>
      </c>
    </row>
    <row r="1126" spans="1:33" hidden="1">
      <c r="A1126" s="265"/>
      <c r="I1126"/>
      <c r="J1126" s="4"/>
      <c r="K1126"/>
    </row>
    <row r="1127" spans="1:33" hidden="1">
      <c r="A1127" s="265"/>
      <c r="I1127"/>
      <c r="J1127" s="4"/>
      <c r="K1127"/>
    </row>
    <row r="1128" spans="1:33" hidden="1">
      <c r="A1128" s="265"/>
      <c r="F1128" s="233" t="s">
        <v>1467</v>
      </c>
      <c r="G1128" s="185" t="s">
        <v>2290</v>
      </c>
      <c r="H1128" s="179" t="s">
        <v>2455</v>
      </c>
      <c r="I1128"/>
      <c r="J1128" s="4"/>
      <c r="K1128"/>
      <c r="AG1128" s="179" t="s">
        <v>2298</v>
      </c>
    </row>
    <row r="1129" spans="1:33" hidden="1">
      <c r="A1129" s="265"/>
      <c r="H1129" s="179" t="s">
        <v>1468</v>
      </c>
      <c r="I1129"/>
      <c r="J1129" s="4"/>
      <c r="K1129"/>
      <c r="AG1129" s="179" t="s">
        <v>2298</v>
      </c>
    </row>
    <row r="1130" spans="1:33" hidden="1">
      <c r="A1130" s="265"/>
      <c r="H1130" s="183" t="s">
        <v>1615</v>
      </c>
      <c r="I1130" s="5" t="s">
        <v>1615</v>
      </c>
      <c r="J1130" s="4"/>
      <c r="K1130"/>
      <c r="AG1130" s="179" t="s">
        <v>2298</v>
      </c>
    </row>
    <row r="1131" spans="1:33" hidden="1">
      <c r="A1131" s="265"/>
      <c r="F1131" s="253">
        <v>0.53339999999999999</v>
      </c>
      <c r="G1131" s="185" t="s">
        <v>2322</v>
      </c>
      <c r="H1131" s="179" t="s">
        <v>2456</v>
      </c>
      <c r="I1131" s="8">
        <f>C271</f>
        <v>160</v>
      </c>
      <c r="J1131" s="2" t="s">
        <v>2322</v>
      </c>
      <c r="K1131" s="8">
        <f>(F1131*I1131)</f>
        <v>85.34</v>
      </c>
      <c r="AG1131" s="179" t="s">
        <v>2298</v>
      </c>
    </row>
    <row r="1132" spans="1:33" hidden="1">
      <c r="A1132" s="265"/>
      <c r="F1132" s="186">
        <v>4.24</v>
      </c>
      <c r="G1132" s="185" t="s">
        <v>842</v>
      </c>
      <c r="H1132" s="179" t="s">
        <v>718</v>
      </c>
      <c r="I1132" s="8">
        <v>13.66</v>
      </c>
      <c r="J1132" s="2" t="s">
        <v>842</v>
      </c>
      <c r="K1132" s="8">
        <f>(F1132*I1132)</f>
        <v>57.92</v>
      </c>
      <c r="AG1132" s="179" t="s">
        <v>2298</v>
      </c>
    </row>
    <row r="1133" spans="1:33" hidden="1">
      <c r="A1133" s="265"/>
      <c r="F1133" s="186">
        <v>16</v>
      </c>
      <c r="G1133" s="185" t="s">
        <v>570</v>
      </c>
      <c r="H1133" s="179" t="s">
        <v>719</v>
      </c>
      <c r="I1133" s="8">
        <v>0.5</v>
      </c>
      <c r="J1133" s="2" t="s">
        <v>1423</v>
      </c>
      <c r="K1133" s="8">
        <f>(F1133*I1133)</f>
        <v>8</v>
      </c>
      <c r="AG1133" s="179" t="s">
        <v>326</v>
      </c>
    </row>
    <row r="1134" spans="1:33" hidden="1">
      <c r="A1134" s="265"/>
      <c r="F1134" s="253">
        <v>0.53339999999999999</v>
      </c>
      <c r="G1134" s="185" t="s">
        <v>2322</v>
      </c>
      <c r="H1134" s="179" t="s">
        <v>720</v>
      </c>
      <c r="I1134" s="8">
        <f>0.25/1.08*D16</f>
        <v>31.25</v>
      </c>
      <c r="J1134" s="2" t="s">
        <v>2322</v>
      </c>
      <c r="K1134" s="8">
        <f>(F1134*I1134)</f>
        <v>16.670000000000002</v>
      </c>
    </row>
    <row r="1135" spans="1:33" hidden="1">
      <c r="A1135" s="265"/>
      <c r="G1135" s="185" t="s">
        <v>455</v>
      </c>
      <c r="H1135" s="179" t="s">
        <v>2310</v>
      </c>
      <c r="I1135"/>
      <c r="J1135" s="2" t="s">
        <v>455</v>
      </c>
      <c r="K1135" s="8">
        <v>0</v>
      </c>
    </row>
    <row r="1136" spans="1:33" hidden="1">
      <c r="A1136" s="265"/>
      <c r="H1136" s="179" t="s">
        <v>2311</v>
      </c>
      <c r="I1136"/>
      <c r="J1136" s="4"/>
      <c r="K1136"/>
      <c r="AG1136" s="179" t="s">
        <v>2298</v>
      </c>
    </row>
    <row r="1137" spans="1:33" hidden="1">
      <c r="A1137" s="265"/>
      <c r="I1137"/>
      <c r="J1137" s="4"/>
      <c r="K1137" s="5" t="s">
        <v>1615</v>
      </c>
      <c r="AG1137" s="179" t="s">
        <v>2298</v>
      </c>
    </row>
    <row r="1138" spans="1:33" hidden="1">
      <c r="A1138" s="265"/>
      <c r="H1138" s="233" t="s">
        <v>1726</v>
      </c>
      <c r="I1138"/>
      <c r="J1138" s="4"/>
      <c r="K1138" s="8">
        <f>SUM(K1131:K1135)</f>
        <v>167.93</v>
      </c>
      <c r="AG1138" s="179" t="s">
        <v>2298</v>
      </c>
    </row>
    <row r="1139" spans="1:33" hidden="1">
      <c r="A1139" s="265"/>
      <c r="I1139"/>
      <c r="J1139" s="4"/>
      <c r="K1139" s="5" t="s">
        <v>1615</v>
      </c>
      <c r="AG1139" s="179" t="s">
        <v>2298</v>
      </c>
    </row>
    <row r="1140" spans="1:33" hidden="1">
      <c r="A1140" s="265"/>
      <c r="H1140" s="233" t="s">
        <v>1727</v>
      </c>
      <c r="I1140"/>
      <c r="J1140" s="4"/>
      <c r="K1140" s="8">
        <f>ROUND(K1138/0.5334,1)</f>
        <v>314.8</v>
      </c>
      <c r="AG1140" s="179" t="s">
        <v>2298</v>
      </c>
    </row>
    <row r="1141" spans="1:33" hidden="1">
      <c r="A1141" s="265"/>
      <c r="F1141" s="179" t="s">
        <v>992</v>
      </c>
      <c r="I1141"/>
      <c r="J1141" s="4"/>
      <c r="K1141" s="5" t="s">
        <v>2091</v>
      </c>
    </row>
    <row r="1142" spans="1:33" hidden="1">
      <c r="A1142" s="265"/>
      <c r="F1142" s="179" t="s">
        <v>992</v>
      </c>
      <c r="G1142" s="185" t="s">
        <v>992</v>
      </c>
      <c r="H1142" s="179" t="s">
        <v>992</v>
      </c>
      <c r="I1142"/>
      <c r="J1142" s="4"/>
      <c r="K1142"/>
    </row>
    <row r="1143" spans="1:33" hidden="1">
      <c r="A1143" s="265"/>
      <c r="F1143" s="233" t="s">
        <v>1832</v>
      </c>
      <c r="G1143" s="185" t="s">
        <v>2290</v>
      </c>
      <c r="H1143" s="179" t="s">
        <v>1518</v>
      </c>
      <c r="I1143"/>
      <c r="J1143" s="4"/>
      <c r="K1143"/>
      <c r="AG1143" s="179" t="s">
        <v>2298</v>
      </c>
    </row>
    <row r="1144" spans="1:33" hidden="1">
      <c r="A1144" s="265"/>
      <c r="H1144" s="179" t="s">
        <v>1519</v>
      </c>
      <c r="I1144"/>
      <c r="J1144" s="4"/>
      <c r="K1144"/>
      <c r="AG1144" s="179" t="s">
        <v>2298</v>
      </c>
    </row>
    <row r="1145" spans="1:33" hidden="1">
      <c r="A1145" s="265"/>
      <c r="H1145" s="183" t="s">
        <v>1615</v>
      </c>
      <c r="I1145"/>
      <c r="J1145" s="4"/>
      <c r="K1145"/>
      <c r="AG1145" s="179" t="s">
        <v>2298</v>
      </c>
    </row>
    <row r="1146" spans="1:33" hidden="1">
      <c r="A1146" s="265"/>
      <c r="F1146" s="186">
        <v>1</v>
      </c>
      <c r="G1146" s="185" t="s">
        <v>1676</v>
      </c>
      <c r="H1146" s="179" t="s">
        <v>2457</v>
      </c>
      <c r="I1146" s="8">
        <f>(C638)</f>
        <v>37</v>
      </c>
      <c r="J1146" s="2" t="s">
        <v>1676</v>
      </c>
      <c r="K1146" s="8">
        <f>(F1146*I1146)</f>
        <v>37</v>
      </c>
      <c r="AG1146" s="179" t="s">
        <v>2298</v>
      </c>
    </row>
    <row r="1147" spans="1:33" hidden="1">
      <c r="A1147" s="265"/>
      <c r="I1147"/>
      <c r="J1147" s="4"/>
      <c r="K1147" s="5" t="s">
        <v>2091</v>
      </c>
      <c r="AG1147" s="179" t="s">
        <v>2298</v>
      </c>
    </row>
    <row r="1148" spans="1:33" hidden="1">
      <c r="A1148" s="265"/>
      <c r="I1148"/>
      <c r="J1148" s="4"/>
      <c r="K1148"/>
      <c r="AG1148" s="179" t="s">
        <v>2298</v>
      </c>
    </row>
    <row r="1149" spans="1:33" hidden="1">
      <c r="A1149" s="265"/>
      <c r="F1149" s="233" t="s">
        <v>451</v>
      </c>
      <c r="G1149" s="185" t="s">
        <v>2290</v>
      </c>
      <c r="H1149" s="179" t="s">
        <v>265</v>
      </c>
      <c r="I1149" s="1" t="s">
        <v>992</v>
      </c>
      <c r="J1149" s="2" t="s">
        <v>1748</v>
      </c>
      <c r="K1149" s="8">
        <v>3.7</v>
      </c>
      <c r="AG1149" s="179" t="s">
        <v>2298</v>
      </c>
    </row>
    <row r="1150" spans="1:33" hidden="1">
      <c r="A1150" s="265"/>
      <c r="H1150" s="179" t="s">
        <v>266</v>
      </c>
      <c r="I1150"/>
      <c r="J1150" s="4"/>
      <c r="K1150" s="5" t="s">
        <v>2091</v>
      </c>
      <c r="AG1150" s="179" t="s">
        <v>2298</v>
      </c>
    </row>
    <row r="1151" spans="1:33" hidden="1">
      <c r="A1151" s="265"/>
      <c r="I1151"/>
      <c r="J1151" s="4"/>
      <c r="K1151"/>
      <c r="AG1151" s="179" t="s">
        <v>2298</v>
      </c>
    </row>
    <row r="1152" spans="1:33" hidden="1">
      <c r="A1152" s="265"/>
      <c r="F1152" s="233" t="s">
        <v>228</v>
      </c>
      <c r="G1152" s="185" t="s">
        <v>2290</v>
      </c>
      <c r="H1152" s="179" t="s">
        <v>1958</v>
      </c>
      <c r="I1152"/>
      <c r="J1152" s="4"/>
      <c r="K1152"/>
      <c r="AG1152" s="179" t="s">
        <v>2298</v>
      </c>
    </row>
    <row r="1153" spans="1:33" hidden="1">
      <c r="A1153" s="265"/>
      <c r="H1153" s="179" t="s">
        <v>949</v>
      </c>
      <c r="I1153"/>
      <c r="J1153" s="4"/>
      <c r="K1153"/>
      <c r="AG1153" s="179" t="s">
        <v>2298</v>
      </c>
    </row>
    <row r="1154" spans="1:33" hidden="1">
      <c r="A1154" s="265"/>
      <c r="H1154" s="183" t="s">
        <v>1615</v>
      </c>
      <c r="I1154"/>
      <c r="J1154" s="4"/>
      <c r="K1154"/>
      <c r="AG1154" s="179" t="s">
        <v>2298</v>
      </c>
    </row>
    <row r="1155" spans="1:33" hidden="1">
      <c r="A1155" s="265"/>
      <c r="F1155" s="186">
        <v>0.22</v>
      </c>
      <c r="G1155" s="185" t="s">
        <v>885</v>
      </c>
      <c r="H1155" s="179" t="s">
        <v>1331</v>
      </c>
      <c r="I1155" s="8" t="e">
        <f>(K40)</f>
        <v>#REF!</v>
      </c>
      <c r="J1155" s="2" t="s">
        <v>885</v>
      </c>
      <c r="K1155" s="8" t="e">
        <f>(F1155*I1155)</f>
        <v>#REF!</v>
      </c>
      <c r="AG1155" s="179" t="s">
        <v>2298</v>
      </c>
    </row>
    <row r="1156" spans="1:33" hidden="1">
      <c r="A1156" s="265"/>
      <c r="F1156" s="186">
        <v>2.2000000000000002</v>
      </c>
      <c r="G1156" s="185" t="s">
        <v>785</v>
      </c>
      <c r="H1156" s="179" t="s">
        <v>2045</v>
      </c>
      <c r="I1156" s="8">
        <f>(C10)</f>
        <v>150</v>
      </c>
      <c r="J1156" s="2" t="s">
        <v>785</v>
      </c>
      <c r="K1156" s="8">
        <f>(F1156*I1156)</f>
        <v>330</v>
      </c>
      <c r="AG1156" s="179" t="s">
        <v>2298</v>
      </c>
    </row>
    <row r="1157" spans="1:33" hidden="1">
      <c r="A1157" s="265"/>
      <c r="F1157" s="186">
        <v>0.5</v>
      </c>
      <c r="G1157" s="185" t="s">
        <v>785</v>
      </c>
      <c r="H1157" s="179" t="s">
        <v>950</v>
      </c>
      <c r="I1157" s="8">
        <f>(C12)</f>
        <v>95</v>
      </c>
      <c r="J1157" s="2" t="s">
        <v>785</v>
      </c>
      <c r="K1157" s="8">
        <f>(F1157*I1157)</f>
        <v>47.5</v>
      </c>
      <c r="AG1157" s="179" t="s">
        <v>2298</v>
      </c>
    </row>
    <row r="1158" spans="1:33" hidden="1">
      <c r="A1158" s="265"/>
      <c r="F1158" s="186">
        <v>3.2</v>
      </c>
      <c r="G1158" s="185" t="s">
        <v>785</v>
      </c>
      <c r="H1158" s="179" t="s">
        <v>325</v>
      </c>
      <c r="I1158" s="8">
        <f>(C13)</f>
        <v>85</v>
      </c>
      <c r="J1158" s="2" t="s">
        <v>785</v>
      </c>
      <c r="K1158" s="8">
        <f>(F1158*I1158)</f>
        <v>272</v>
      </c>
      <c r="AG1158" s="179" t="s">
        <v>2298</v>
      </c>
    </row>
    <row r="1159" spans="1:33" hidden="1">
      <c r="A1159" s="265"/>
      <c r="G1159" s="185" t="s">
        <v>455</v>
      </c>
      <c r="H1159" s="179" t="s">
        <v>456</v>
      </c>
      <c r="I1159" s="1" t="s">
        <v>992</v>
      </c>
      <c r="J1159" s="2" t="s">
        <v>455</v>
      </c>
      <c r="K1159" s="8">
        <v>0</v>
      </c>
      <c r="AG1159" s="179" t="s">
        <v>2298</v>
      </c>
    </row>
    <row r="1160" spans="1:33" hidden="1">
      <c r="A1160" s="265"/>
      <c r="I1160"/>
      <c r="J1160" s="4"/>
      <c r="K1160" s="5" t="s">
        <v>1615</v>
      </c>
      <c r="AG1160" s="179" t="s">
        <v>2298</v>
      </c>
    </row>
    <row r="1161" spans="1:33" hidden="1">
      <c r="A1161" s="265"/>
      <c r="H1161" s="179" t="s">
        <v>447</v>
      </c>
      <c r="I1161"/>
      <c r="J1161" s="4"/>
      <c r="K1161" s="8" t="e">
        <f>SUM(K1155:K1159)</f>
        <v>#REF!</v>
      </c>
      <c r="AG1161" s="179" t="s">
        <v>2298</v>
      </c>
    </row>
    <row r="1162" spans="1:33" hidden="1">
      <c r="A1162" s="265"/>
      <c r="I1162"/>
      <c r="J1162" s="4"/>
      <c r="K1162" s="5" t="s">
        <v>1615</v>
      </c>
      <c r="AG1162" s="179" t="s">
        <v>2298</v>
      </c>
    </row>
    <row r="1163" spans="1:33" hidden="1">
      <c r="A1163" s="265"/>
      <c r="H1163" s="179" t="s">
        <v>562</v>
      </c>
      <c r="I1163"/>
      <c r="J1163" s="4"/>
      <c r="K1163" s="8" t="e">
        <f>(K1161/10)</f>
        <v>#REF!</v>
      </c>
      <c r="AG1163" s="179" t="s">
        <v>2298</v>
      </c>
    </row>
    <row r="1164" spans="1:33" hidden="1">
      <c r="A1164" s="265"/>
      <c r="I1164"/>
      <c r="J1164" s="4"/>
      <c r="K1164" s="5" t="s">
        <v>2091</v>
      </c>
      <c r="AG1164" s="179" t="s">
        <v>2298</v>
      </c>
    </row>
    <row r="1165" spans="1:33" hidden="1">
      <c r="A1165" s="265"/>
      <c r="F1165" s="233" t="s">
        <v>951</v>
      </c>
      <c r="G1165" s="185" t="s">
        <v>2290</v>
      </c>
      <c r="H1165" s="179" t="s">
        <v>1878</v>
      </c>
      <c r="I1165"/>
      <c r="J1165" s="4"/>
      <c r="K1165"/>
      <c r="AG1165" s="179" t="s">
        <v>2298</v>
      </c>
    </row>
    <row r="1166" spans="1:33" hidden="1">
      <c r="A1166" s="265"/>
      <c r="H1166" s="179" t="s">
        <v>1906</v>
      </c>
      <c r="I1166"/>
      <c r="J1166" s="4"/>
      <c r="K1166"/>
      <c r="AG1166" s="179" t="s">
        <v>2298</v>
      </c>
    </row>
    <row r="1167" spans="1:33" hidden="1">
      <c r="A1167" s="265"/>
      <c r="H1167" s="183" t="s">
        <v>1615</v>
      </c>
      <c r="I1167"/>
      <c r="J1167" s="4"/>
      <c r="K1167"/>
      <c r="AG1167" s="179" t="s">
        <v>2298</v>
      </c>
    </row>
    <row r="1168" spans="1:33" hidden="1">
      <c r="A1168" s="265"/>
      <c r="F1168" s="186">
        <v>160</v>
      </c>
      <c r="G1168" s="185" t="s">
        <v>1907</v>
      </c>
      <c r="H1168" s="179" t="s">
        <v>1908</v>
      </c>
      <c r="I1168" s="8">
        <f>(C136)</f>
        <v>8240</v>
      </c>
      <c r="J1168" s="2" t="s">
        <v>1507</v>
      </c>
      <c r="K1168" s="8">
        <f>(F1168*I1168)/1000</f>
        <v>1318.4</v>
      </c>
      <c r="AG1168" s="179" t="s">
        <v>326</v>
      </c>
    </row>
    <row r="1169" spans="1:33" hidden="1">
      <c r="A1169" s="265"/>
      <c r="H1169" s="179" t="s">
        <v>1909</v>
      </c>
      <c r="I1169" s="1" t="s">
        <v>992</v>
      </c>
      <c r="J1169" s="4"/>
      <c r="K1169" s="1" t="s">
        <v>992</v>
      </c>
    </row>
    <row r="1170" spans="1:33" hidden="1">
      <c r="A1170" s="265"/>
      <c r="F1170" s="186">
        <v>0.21</v>
      </c>
      <c r="G1170" s="185" t="s">
        <v>885</v>
      </c>
      <c r="H1170" s="179" t="s">
        <v>1910</v>
      </c>
      <c r="I1170" s="8" t="e">
        <f>(K32)</f>
        <v>#REF!</v>
      </c>
      <c r="J1170" s="2" t="s">
        <v>885</v>
      </c>
      <c r="K1170" s="8" t="e">
        <f>(F1170*I1170)</f>
        <v>#REF!</v>
      </c>
    </row>
    <row r="1171" spans="1:33" hidden="1">
      <c r="A1171" s="265"/>
      <c r="H1171" s="179" t="s">
        <v>1911</v>
      </c>
      <c r="I1171" s="1" t="s">
        <v>992</v>
      </c>
      <c r="J1171" s="4"/>
      <c r="K1171" s="1" t="s">
        <v>992</v>
      </c>
      <c r="AG1171" s="179" t="s">
        <v>2298</v>
      </c>
    </row>
    <row r="1172" spans="1:33" hidden="1">
      <c r="A1172" s="265"/>
      <c r="F1172" s="186">
        <v>1.1000000000000001</v>
      </c>
      <c r="G1172" s="185" t="s">
        <v>785</v>
      </c>
      <c r="H1172" s="179" t="s">
        <v>2045</v>
      </c>
      <c r="I1172" s="8">
        <f>(C10)</f>
        <v>150</v>
      </c>
      <c r="J1172" s="2" t="s">
        <v>785</v>
      </c>
      <c r="K1172" s="8">
        <f>(F1172*I1172)</f>
        <v>165</v>
      </c>
      <c r="AG1172" s="179" t="s">
        <v>2298</v>
      </c>
    </row>
    <row r="1173" spans="1:33" hidden="1">
      <c r="A1173" s="265"/>
      <c r="F1173" s="186">
        <v>1.1000000000000001</v>
      </c>
      <c r="G1173" s="185" t="s">
        <v>785</v>
      </c>
      <c r="H1173" s="179" t="s">
        <v>1744</v>
      </c>
      <c r="I1173" s="8">
        <f>(C11)</f>
        <v>135</v>
      </c>
      <c r="J1173" s="2" t="s">
        <v>785</v>
      </c>
      <c r="K1173" s="8">
        <f>(F1173*I1173)</f>
        <v>148.5</v>
      </c>
      <c r="AG1173" s="179" t="s">
        <v>2298</v>
      </c>
    </row>
    <row r="1174" spans="1:33" hidden="1">
      <c r="A1174" s="265"/>
      <c r="F1174" s="186">
        <v>2.2000000000000002</v>
      </c>
      <c r="G1174" s="185" t="s">
        <v>785</v>
      </c>
      <c r="H1174" s="179" t="s">
        <v>1937</v>
      </c>
      <c r="I1174" s="8">
        <f>(C12)</f>
        <v>95</v>
      </c>
      <c r="J1174" s="2" t="s">
        <v>785</v>
      </c>
      <c r="K1174" s="8">
        <f>(F1174*I1174)</f>
        <v>209</v>
      </c>
      <c r="AG1174" s="179" t="s">
        <v>2298</v>
      </c>
    </row>
    <row r="1175" spans="1:33" hidden="1">
      <c r="A1175" s="265"/>
      <c r="F1175" s="186">
        <v>2.2000000000000002</v>
      </c>
      <c r="G1175" s="185" t="s">
        <v>785</v>
      </c>
      <c r="H1175" s="179" t="s">
        <v>325</v>
      </c>
      <c r="I1175" s="8">
        <f>(C13)</f>
        <v>85</v>
      </c>
      <c r="J1175" s="2" t="s">
        <v>785</v>
      </c>
      <c r="K1175" s="8">
        <f>(F1175*I1175)</f>
        <v>187</v>
      </c>
      <c r="AG1175" s="179" t="s">
        <v>2298</v>
      </c>
    </row>
    <row r="1176" spans="1:33" hidden="1">
      <c r="A1176" s="265"/>
      <c r="F1176" s="242">
        <v>22</v>
      </c>
      <c r="G1176" s="185" t="s">
        <v>1676</v>
      </c>
      <c r="H1176" s="179" t="s">
        <v>878</v>
      </c>
      <c r="I1176" s="8">
        <f>(C67)</f>
        <v>3800</v>
      </c>
      <c r="J1176" s="2" t="s">
        <v>877</v>
      </c>
      <c r="K1176" s="8">
        <f>(F1176*I1176)/1000</f>
        <v>83.6</v>
      </c>
      <c r="AG1176" s="179" t="s">
        <v>2298</v>
      </c>
    </row>
    <row r="1177" spans="1:33" hidden="1">
      <c r="A1177" s="265"/>
      <c r="F1177" s="186">
        <v>1.6</v>
      </c>
      <c r="G1177" s="185" t="s">
        <v>785</v>
      </c>
      <c r="H1177" s="179" t="s">
        <v>1744</v>
      </c>
      <c r="I1177" s="8">
        <f>(C11)</f>
        <v>135</v>
      </c>
      <c r="J1177" s="2" t="s">
        <v>785</v>
      </c>
      <c r="K1177" s="8">
        <f>(F1177*I1177)</f>
        <v>216</v>
      </c>
      <c r="AG1177" s="179" t="s">
        <v>2298</v>
      </c>
    </row>
    <row r="1178" spans="1:33" hidden="1">
      <c r="A1178" s="265"/>
      <c r="F1178" s="186">
        <v>0.5</v>
      </c>
      <c r="G1178" s="185" t="s">
        <v>785</v>
      </c>
      <c r="H1178" s="179" t="s">
        <v>1937</v>
      </c>
      <c r="I1178" s="8">
        <f>(C12)</f>
        <v>95</v>
      </c>
      <c r="J1178" s="2" t="s">
        <v>785</v>
      </c>
      <c r="K1178" s="8">
        <f>(F1178*I1178)</f>
        <v>47.5</v>
      </c>
      <c r="AG1178" s="179" t="s">
        <v>2298</v>
      </c>
    </row>
    <row r="1179" spans="1:33" hidden="1">
      <c r="A1179" s="265"/>
      <c r="F1179" s="186">
        <v>1.1000000000000001</v>
      </c>
      <c r="G1179" s="185" t="s">
        <v>785</v>
      </c>
      <c r="H1179" s="179" t="s">
        <v>325</v>
      </c>
      <c r="I1179" s="8">
        <f>(C13)</f>
        <v>85</v>
      </c>
      <c r="J1179" s="2" t="s">
        <v>785</v>
      </c>
      <c r="K1179" s="8">
        <f>(F1179*I1179)</f>
        <v>93.5</v>
      </c>
      <c r="AG1179" s="179" t="s">
        <v>2298</v>
      </c>
    </row>
    <row r="1180" spans="1:33" hidden="1">
      <c r="A1180" s="265"/>
      <c r="F1180" s="179" t="s">
        <v>252</v>
      </c>
      <c r="H1180" s="179" t="s">
        <v>1912</v>
      </c>
      <c r="I1180" s="1" t="s">
        <v>992</v>
      </c>
      <c r="J1180" s="4"/>
      <c r="K1180" s="1" t="s">
        <v>992</v>
      </c>
      <c r="AG1180" s="179" t="s">
        <v>2298</v>
      </c>
    </row>
    <row r="1181" spans="1:33" hidden="1">
      <c r="A1181" s="265"/>
      <c r="F1181" s="186">
        <v>1</v>
      </c>
      <c r="G1181" s="185" t="s">
        <v>455</v>
      </c>
      <c r="H1181" s="179" t="s">
        <v>1913</v>
      </c>
      <c r="I1181" s="8">
        <f>(C57)</f>
        <v>35</v>
      </c>
      <c r="J1181" s="2" t="s">
        <v>455</v>
      </c>
      <c r="K1181" s="8">
        <f>(F1181*I1181)</f>
        <v>35</v>
      </c>
      <c r="AG1181" s="179" t="s">
        <v>2298</v>
      </c>
    </row>
    <row r="1182" spans="1:33" hidden="1">
      <c r="A1182" s="265"/>
      <c r="F1182" s="186">
        <v>1</v>
      </c>
      <c r="G1182" s="185" t="s">
        <v>455</v>
      </c>
      <c r="H1182" s="179" t="s">
        <v>1914</v>
      </c>
      <c r="I1182" s="8">
        <f>(C58)</f>
        <v>15</v>
      </c>
      <c r="J1182" s="2" t="s">
        <v>455</v>
      </c>
      <c r="K1182" s="8">
        <f>(F1182*I1182)</f>
        <v>15</v>
      </c>
      <c r="AG1182" s="179" t="s">
        <v>2298</v>
      </c>
    </row>
    <row r="1183" spans="1:33" hidden="1">
      <c r="A1183" s="265"/>
      <c r="F1183" s="186">
        <v>1</v>
      </c>
      <c r="G1183" s="185" t="s">
        <v>455</v>
      </c>
      <c r="H1183" s="179" t="s">
        <v>179</v>
      </c>
      <c r="I1183" s="8">
        <f>(C28)</f>
        <v>58.33</v>
      </c>
      <c r="J1183" s="2" t="s">
        <v>455</v>
      </c>
      <c r="K1183" s="8">
        <f>(F1183*I1183)</f>
        <v>58.33</v>
      </c>
      <c r="AG1183" s="179" t="s">
        <v>2298</v>
      </c>
    </row>
    <row r="1184" spans="1:33" hidden="1">
      <c r="A1184" s="265"/>
      <c r="F1184" s="186">
        <v>1.1000000000000001</v>
      </c>
      <c r="G1184" s="185" t="s">
        <v>785</v>
      </c>
      <c r="H1184" s="179" t="s">
        <v>872</v>
      </c>
      <c r="I1184" s="8">
        <f>(C29)</f>
        <v>120</v>
      </c>
      <c r="J1184" s="2" t="s">
        <v>785</v>
      </c>
      <c r="K1184" s="8">
        <f>(F1184*I1184)</f>
        <v>132</v>
      </c>
      <c r="AG1184" s="179" t="s">
        <v>2298</v>
      </c>
    </row>
    <row r="1185" spans="1:33" hidden="1">
      <c r="A1185" s="265"/>
      <c r="F1185" s="186">
        <v>2.2000000000000002</v>
      </c>
      <c r="G1185" s="185" t="s">
        <v>785</v>
      </c>
      <c r="H1185" s="179" t="s">
        <v>873</v>
      </c>
      <c r="I1185" s="8">
        <f>(C13)</f>
        <v>85</v>
      </c>
      <c r="J1185" s="2" t="s">
        <v>785</v>
      </c>
      <c r="K1185" s="8">
        <f>(F1185*I1185)</f>
        <v>187</v>
      </c>
      <c r="AG1185" s="179" t="s">
        <v>2298</v>
      </c>
    </row>
    <row r="1186" spans="1:33" hidden="1">
      <c r="A1186" s="265"/>
      <c r="G1186" s="185" t="s">
        <v>455</v>
      </c>
      <c r="H1186" s="179" t="s">
        <v>456</v>
      </c>
      <c r="I1186"/>
      <c r="J1186" s="2" t="s">
        <v>455</v>
      </c>
      <c r="K1186" s="8">
        <v>0</v>
      </c>
      <c r="AG1186" s="179" t="s">
        <v>2298</v>
      </c>
    </row>
    <row r="1187" spans="1:33" hidden="1">
      <c r="A1187" s="265"/>
      <c r="I1187"/>
      <c r="J1187" s="4"/>
      <c r="K1187" s="5" t="s">
        <v>1615</v>
      </c>
      <c r="AG1187" s="179" t="s">
        <v>2298</v>
      </c>
    </row>
    <row r="1188" spans="1:33" hidden="1">
      <c r="A1188" s="265"/>
      <c r="H1188" s="179" t="s">
        <v>447</v>
      </c>
      <c r="I1188"/>
      <c r="J1188" s="4"/>
      <c r="K1188" s="8" t="e">
        <f>SUM(K1168:K1186)</f>
        <v>#REF!</v>
      </c>
      <c r="AG1188" s="179" t="s">
        <v>2298</v>
      </c>
    </row>
    <row r="1189" spans="1:33" hidden="1">
      <c r="A1189" s="265"/>
      <c r="I1189"/>
      <c r="J1189" s="4"/>
      <c r="K1189" s="5" t="s">
        <v>1615</v>
      </c>
      <c r="AG1189" s="179" t="s">
        <v>2298</v>
      </c>
    </row>
    <row r="1190" spans="1:33" hidden="1">
      <c r="A1190" s="265"/>
      <c r="F1190" s="179" t="s">
        <v>992</v>
      </c>
      <c r="I1190"/>
      <c r="J1190" s="4"/>
      <c r="K1190"/>
    </row>
    <row r="1191" spans="1:33" hidden="1">
      <c r="A1191" s="265"/>
      <c r="H1191" s="179" t="s">
        <v>562</v>
      </c>
      <c r="I1191"/>
      <c r="J1191" s="4"/>
      <c r="K1191" s="8" t="e">
        <f>(K1188/10)</f>
        <v>#REF!</v>
      </c>
      <c r="AG1191" s="179" t="s">
        <v>2298</v>
      </c>
    </row>
    <row r="1192" spans="1:33" hidden="1">
      <c r="A1192" s="265"/>
      <c r="F1192" s="179" t="s">
        <v>992</v>
      </c>
      <c r="I1192"/>
      <c r="J1192" s="4"/>
      <c r="K1192"/>
    </row>
    <row r="1193" spans="1:33" hidden="1">
      <c r="A1193" s="265"/>
      <c r="I1193"/>
      <c r="J1193" s="4"/>
      <c r="K1193" s="5" t="s">
        <v>2091</v>
      </c>
      <c r="AG1193" s="179" t="s">
        <v>2298</v>
      </c>
    </row>
    <row r="1194" spans="1:33" hidden="1">
      <c r="A1194" s="265"/>
      <c r="F1194" s="243">
        <v>29.5</v>
      </c>
      <c r="G1194" s="185" t="s">
        <v>2290</v>
      </c>
      <c r="H1194" s="179" t="s">
        <v>1847</v>
      </c>
      <c r="I1194"/>
      <c r="J1194" s="4"/>
      <c r="K1194"/>
      <c r="AG1194" s="179" t="s">
        <v>2298</v>
      </c>
    </row>
    <row r="1195" spans="1:33" hidden="1">
      <c r="A1195" s="265"/>
      <c r="H1195" s="179" t="s">
        <v>874</v>
      </c>
      <c r="I1195"/>
      <c r="J1195" s="4"/>
      <c r="K1195"/>
      <c r="AG1195" s="179" t="s">
        <v>2298</v>
      </c>
    </row>
    <row r="1196" spans="1:33" hidden="1">
      <c r="A1196" s="265"/>
      <c r="H1196" s="179" t="s">
        <v>1972</v>
      </c>
      <c r="I1196"/>
      <c r="J1196" s="4"/>
      <c r="K1196"/>
      <c r="AG1196" s="179" t="s">
        <v>2298</v>
      </c>
    </row>
    <row r="1197" spans="1:33" hidden="1">
      <c r="A1197" s="265"/>
      <c r="H1197" s="183" t="s">
        <v>1615</v>
      </c>
      <c r="I1197" s="5" t="s">
        <v>1615</v>
      </c>
      <c r="J1197" s="4"/>
      <c r="K1197"/>
      <c r="AG1197" s="179" t="s">
        <v>2298</v>
      </c>
    </row>
    <row r="1198" spans="1:33" hidden="1">
      <c r="A1198" s="265"/>
      <c r="F1198" s="186">
        <v>10</v>
      </c>
      <c r="G1198" s="185" t="s">
        <v>621</v>
      </c>
      <c r="H1198" s="179" t="s">
        <v>1973</v>
      </c>
      <c r="I1198" s="8">
        <f>(C579)</f>
        <v>301</v>
      </c>
      <c r="J1198" s="2" t="s">
        <v>621</v>
      </c>
      <c r="K1198" s="8">
        <f>(F1198*I1198)</f>
        <v>3010</v>
      </c>
      <c r="AG1198" s="179" t="s">
        <v>2298</v>
      </c>
    </row>
    <row r="1199" spans="1:33" hidden="1">
      <c r="A1199" s="265"/>
      <c r="F1199" s="186">
        <v>0.21</v>
      </c>
      <c r="G1199" s="185" t="s">
        <v>885</v>
      </c>
      <c r="H1199" s="179" t="s">
        <v>1910</v>
      </c>
      <c r="I1199" s="8" t="e">
        <f>(K32)</f>
        <v>#REF!</v>
      </c>
      <c r="J1199" s="2" t="s">
        <v>885</v>
      </c>
      <c r="K1199" s="8" t="e">
        <f>(F1199*I1199)</f>
        <v>#REF!</v>
      </c>
      <c r="AG1199" s="179" t="s">
        <v>2298</v>
      </c>
    </row>
    <row r="1200" spans="1:33" hidden="1">
      <c r="A1200" s="265"/>
      <c r="H1200" s="179" t="s">
        <v>1911</v>
      </c>
      <c r="I1200" s="1" t="s">
        <v>992</v>
      </c>
      <c r="J1200" s="4"/>
      <c r="K1200" s="1" t="s">
        <v>992</v>
      </c>
      <c r="AG1200" s="179" t="s">
        <v>2298</v>
      </c>
    </row>
    <row r="1201" spans="1:33" hidden="1">
      <c r="A1201" s="265"/>
      <c r="F1201" s="186">
        <v>1.1000000000000001</v>
      </c>
      <c r="G1201" s="185" t="s">
        <v>785</v>
      </c>
      <c r="H1201" s="179" t="s">
        <v>2045</v>
      </c>
      <c r="I1201" s="8">
        <f>(C10)</f>
        <v>150</v>
      </c>
      <c r="J1201" s="2" t="s">
        <v>785</v>
      </c>
      <c r="K1201" s="8">
        <f>(F1201*I1201)</f>
        <v>165</v>
      </c>
      <c r="AG1201" s="179" t="s">
        <v>2298</v>
      </c>
    </row>
    <row r="1202" spans="1:33" hidden="1">
      <c r="A1202" s="265"/>
      <c r="F1202" s="186">
        <v>1.1000000000000001</v>
      </c>
      <c r="G1202" s="185" t="s">
        <v>785</v>
      </c>
      <c r="H1202" s="179" t="s">
        <v>1744</v>
      </c>
      <c r="I1202" s="8">
        <f>(C11)</f>
        <v>135</v>
      </c>
      <c r="J1202" s="2" t="s">
        <v>785</v>
      </c>
      <c r="K1202" s="8">
        <f>(F1202*I1202)</f>
        <v>148.5</v>
      </c>
      <c r="AG1202" s="179" t="s">
        <v>2298</v>
      </c>
    </row>
    <row r="1203" spans="1:33" hidden="1">
      <c r="A1203" s="265"/>
      <c r="F1203" s="186">
        <v>2.2000000000000002</v>
      </c>
      <c r="G1203" s="185" t="s">
        <v>785</v>
      </c>
      <c r="H1203" s="179" t="s">
        <v>1937</v>
      </c>
      <c r="I1203" s="8">
        <f>(C12)</f>
        <v>95</v>
      </c>
      <c r="J1203" s="2" t="s">
        <v>785</v>
      </c>
      <c r="K1203" s="8">
        <f>(F1203*I1203)</f>
        <v>209</v>
      </c>
      <c r="AG1203" s="179" t="s">
        <v>2298</v>
      </c>
    </row>
    <row r="1204" spans="1:33" hidden="1">
      <c r="A1204" s="265"/>
      <c r="F1204" s="186">
        <v>2.2000000000000002</v>
      </c>
      <c r="G1204" s="185" t="s">
        <v>785</v>
      </c>
      <c r="H1204" s="179" t="s">
        <v>325</v>
      </c>
      <c r="I1204" s="8">
        <f>(C13)</f>
        <v>85</v>
      </c>
      <c r="J1204" s="2" t="s">
        <v>785</v>
      </c>
      <c r="K1204" s="8">
        <f>(F1204*I1204)</f>
        <v>187</v>
      </c>
    </row>
    <row r="1205" spans="1:33" hidden="1">
      <c r="A1205" s="265"/>
      <c r="F1205" s="242">
        <v>20</v>
      </c>
      <c r="G1205" s="185" t="s">
        <v>1676</v>
      </c>
      <c r="H1205" s="179" t="s">
        <v>878</v>
      </c>
      <c r="I1205" s="8">
        <f>(C67)</f>
        <v>3800</v>
      </c>
      <c r="J1205" s="2" t="s">
        <v>877</v>
      </c>
      <c r="K1205" s="8">
        <f>(F1205*I1205)/1000</f>
        <v>76</v>
      </c>
    </row>
    <row r="1206" spans="1:33" hidden="1">
      <c r="A1206" s="265"/>
      <c r="F1206" s="242">
        <v>2</v>
      </c>
      <c r="G1206" s="185" t="s">
        <v>1676</v>
      </c>
      <c r="H1206" s="179" t="s">
        <v>2458</v>
      </c>
      <c r="I1206" s="8">
        <f>C586</f>
        <v>19</v>
      </c>
      <c r="J1206" s="2" t="s">
        <v>1676</v>
      </c>
      <c r="K1206" s="8">
        <f>(F1206*I1206)</f>
        <v>38</v>
      </c>
      <c r="AG1206" s="179" t="s">
        <v>992</v>
      </c>
    </row>
    <row r="1207" spans="1:33" hidden="1">
      <c r="A1207" s="265"/>
      <c r="F1207" s="186">
        <v>1.6</v>
      </c>
      <c r="G1207" s="185" t="s">
        <v>785</v>
      </c>
      <c r="H1207" s="179" t="s">
        <v>1744</v>
      </c>
      <c r="I1207" s="8">
        <f>(C11)</f>
        <v>135</v>
      </c>
      <c r="J1207" s="2" t="s">
        <v>785</v>
      </c>
      <c r="K1207" s="8">
        <f>(F1207*I1207)</f>
        <v>216</v>
      </c>
    </row>
    <row r="1208" spans="1:33" hidden="1">
      <c r="A1208" s="265"/>
      <c r="F1208" s="186">
        <v>0.5</v>
      </c>
      <c r="G1208" s="185" t="s">
        <v>785</v>
      </c>
      <c r="H1208" s="179" t="s">
        <v>1937</v>
      </c>
      <c r="I1208" s="8">
        <f>(C12)</f>
        <v>95</v>
      </c>
      <c r="J1208" s="2" t="s">
        <v>785</v>
      </c>
      <c r="K1208" s="8">
        <f>(F1208*I1208)</f>
        <v>47.5</v>
      </c>
    </row>
    <row r="1209" spans="1:33" hidden="1">
      <c r="A1209" s="265"/>
      <c r="F1209" s="186">
        <v>1.1000000000000001</v>
      </c>
      <c r="G1209" s="185" t="s">
        <v>785</v>
      </c>
      <c r="H1209" s="179" t="s">
        <v>325</v>
      </c>
      <c r="I1209" s="8">
        <f>(C13)</f>
        <v>85</v>
      </c>
      <c r="J1209" s="2" t="s">
        <v>785</v>
      </c>
      <c r="K1209" s="8">
        <f>(F1209*I1209)</f>
        <v>93.5</v>
      </c>
    </row>
    <row r="1210" spans="1:33" hidden="1">
      <c r="A1210" s="265"/>
      <c r="G1210" s="185" t="s">
        <v>455</v>
      </c>
      <c r="H1210" s="179" t="s">
        <v>456</v>
      </c>
      <c r="I1210"/>
      <c r="J1210" s="2" t="s">
        <v>455</v>
      </c>
      <c r="K1210" s="8">
        <v>0</v>
      </c>
    </row>
    <row r="1211" spans="1:33" hidden="1">
      <c r="A1211" s="265"/>
      <c r="I1211"/>
      <c r="J1211" s="4"/>
      <c r="K1211" s="5" t="s">
        <v>1615</v>
      </c>
    </row>
    <row r="1212" spans="1:33" hidden="1">
      <c r="A1212" s="265"/>
      <c r="H1212" s="179" t="s">
        <v>447</v>
      </c>
      <c r="I1212"/>
      <c r="J1212" s="4"/>
      <c r="K1212" s="8" t="e">
        <f>SUM(K1198:K1210)</f>
        <v>#REF!</v>
      </c>
    </row>
    <row r="1213" spans="1:33" hidden="1">
      <c r="A1213" s="265"/>
      <c r="I1213"/>
      <c r="J1213" s="4"/>
      <c r="K1213" s="5" t="s">
        <v>1615</v>
      </c>
    </row>
    <row r="1214" spans="1:33" hidden="1">
      <c r="A1214" s="265"/>
      <c r="H1214" s="179" t="s">
        <v>562</v>
      </c>
      <c r="I1214"/>
      <c r="J1214" s="4"/>
      <c r="K1214" s="8" t="e">
        <f>(K1212/10)</f>
        <v>#REF!</v>
      </c>
    </row>
    <row r="1215" spans="1:33" hidden="1">
      <c r="A1215" s="265"/>
      <c r="I1215"/>
      <c r="J1215" s="4"/>
      <c r="K1215" s="5" t="s">
        <v>2091</v>
      </c>
    </row>
    <row r="1216" spans="1:33" hidden="1">
      <c r="A1216" s="265"/>
      <c r="F1216" s="243">
        <v>29.4</v>
      </c>
      <c r="G1216" s="185" t="s">
        <v>2290</v>
      </c>
      <c r="H1216" s="179" t="s">
        <v>1112</v>
      </c>
      <c r="I1216"/>
      <c r="J1216" s="4"/>
      <c r="K1216"/>
    </row>
    <row r="1217" spans="1:11" hidden="1">
      <c r="A1217" s="265"/>
      <c r="H1217" s="179" t="s">
        <v>1113</v>
      </c>
      <c r="I1217"/>
      <c r="J1217" s="4"/>
      <c r="K1217"/>
    </row>
    <row r="1218" spans="1:11" hidden="1">
      <c r="A1218" s="265"/>
      <c r="H1218" s="183" t="s">
        <v>1615</v>
      </c>
      <c r="I1218"/>
      <c r="J1218" s="4"/>
      <c r="K1218"/>
    </row>
    <row r="1219" spans="1:11" hidden="1">
      <c r="A1219" s="265"/>
      <c r="F1219" s="186">
        <v>1.86</v>
      </c>
      <c r="G1219" s="185" t="s">
        <v>621</v>
      </c>
      <c r="H1219" s="179" t="s">
        <v>1114</v>
      </c>
      <c r="I1219" s="8">
        <f>C580</f>
        <v>325</v>
      </c>
      <c r="J1219" s="2" t="s">
        <v>621</v>
      </c>
      <c r="K1219" s="8">
        <f>(F1219*I1219)</f>
        <v>604.5</v>
      </c>
    </row>
    <row r="1220" spans="1:11" hidden="1">
      <c r="A1220" s="265"/>
      <c r="F1220" s="186">
        <v>0.4</v>
      </c>
      <c r="G1220" s="185" t="s">
        <v>1676</v>
      </c>
      <c r="H1220" s="179" t="s">
        <v>2459</v>
      </c>
      <c r="I1220" s="8">
        <f>C586</f>
        <v>19</v>
      </c>
      <c r="J1220" s="2" t="s">
        <v>1676</v>
      </c>
      <c r="K1220" s="8">
        <f>(F1220*I1220)</f>
        <v>7.6</v>
      </c>
    </row>
    <row r="1221" spans="1:11" hidden="1">
      <c r="A1221" s="265"/>
      <c r="F1221" s="186">
        <v>0.02</v>
      </c>
      <c r="G1221" s="185" t="s">
        <v>885</v>
      </c>
      <c r="H1221" s="179" t="s">
        <v>422</v>
      </c>
      <c r="I1221" s="8" t="e">
        <f>K23</f>
        <v>#REF!</v>
      </c>
      <c r="J1221" s="2" t="s">
        <v>885</v>
      </c>
      <c r="K1221" s="8" t="e">
        <f>(F1221*I1221)</f>
        <v>#REF!</v>
      </c>
    </row>
    <row r="1222" spans="1:11" hidden="1">
      <c r="A1222" s="265"/>
      <c r="F1222" s="186">
        <v>1</v>
      </c>
      <c r="G1222" s="185" t="s">
        <v>785</v>
      </c>
      <c r="H1222" s="179" t="s">
        <v>2045</v>
      </c>
      <c r="I1222" s="8">
        <f>C10</f>
        <v>150</v>
      </c>
      <c r="J1222" s="2" t="s">
        <v>785</v>
      </c>
      <c r="K1222" s="8">
        <f>(F1222*I1222)</f>
        <v>150</v>
      </c>
    </row>
    <row r="1223" spans="1:11" hidden="1">
      <c r="A1223" s="265"/>
      <c r="F1223" s="186">
        <v>1</v>
      </c>
      <c r="G1223" s="185" t="s">
        <v>785</v>
      </c>
      <c r="H1223" s="179" t="s">
        <v>1720</v>
      </c>
      <c r="I1223" s="8">
        <f>C12</f>
        <v>95</v>
      </c>
      <c r="J1223" s="2" t="s">
        <v>785</v>
      </c>
      <c r="K1223" s="8">
        <f>(F1223*I1223)</f>
        <v>95</v>
      </c>
    </row>
    <row r="1224" spans="1:11" hidden="1">
      <c r="A1224" s="265"/>
      <c r="G1224" s="185" t="s">
        <v>455</v>
      </c>
      <c r="H1224" s="179" t="s">
        <v>456</v>
      </c>
      <c r="I1224"/>
      <c r="J1224" s="2" t="s">
        <v>455</v>
      </c>
      <c r="K1224" s="8">
        <v>0</v>
      </c>
    </row>
    <row r="1225" spans="1:11" hidden="1">
      <c r="A1225" s="265"/>
      <c r="I1225"/>
      <c r="J1225" s="4"/>
      <c r="K1225" s="5" t="s">
        <v>1615</v>
      </c>
    </row>
    <row r="1226" spans="1:11" hidden="1">
      <c r="A1226" s="265"/>
      <c r="H1226" s="179" t="s">
        <v>1721</v>
      </c>
      <c r="I1226"/>
      <c r="J1226" s="4"/>
      <c r="K1226" s="8" t="e">
        <f>SUM(K1219:K1224)</f>
        <v>#REF!</v>
      </c>
    </row>
    <row r="1227" spans="1:11" hidden="1">
      <c r="A1227" s="265"/>
      <c r="I1227"/>
      <c r="J1227" s="4"/>
      <c r="K1227" s="5" t="s">
        <v>1615</v>
      </c>
    </row>
    <row r="1228" spans="1:11" hidden="1">
      <c r="A1228" s="265"/>
      <c r="H1228" s="179" t="s">
        <v>562</v>
      </c>
      <c r="I1228"/>
      <c r="J1228" s="4"/>
      <c r="K1228" s="8" t="e">
        <f>(K1226/1.86)</f>
        <v>#REF!</v>
      </c>
    </row>
    <row r="1229" spans="1:11" hidden="1">
      <c r="A1229" s="265"/>
      <c r="I1229"/>
      <c r="J1229" s="4"/>
      <c r="K1229" s="5" t="s">
        <v>2091</v>
      </c>
    </row>
    <row r="1230" spans="1:11" hidden="1">
      <c r="A1230" s="265"/>
      <c r="F1230" s="233" t="s">
        <v>209</v>
      </c>
      <c r="G1230" s="185" t="s">
        <v>2290</v>
      </c>
      <c r="H1230" s="179" t="s">
        <v>1958</v>
      </c>
      <c r="I1230"/>
      <c r="J1230" s="4"/>
      <c r="K1230"/>
    </row>
    <row r="1231" spans="1:11" hidden="1">
      <c r="A1231" s="265"/>
      <c r="H1231" s="179" t="s">
        <v>949</v>
      </c>
      <c r="I1231"/>
      <c r="J1231" s="4"/>
      <c r="K1231"/>
    </row>
    <row r="1232" spans="1:11" hidden="1">
      <c r="A1232" s="265"/>
      <c r="H1232" s="179" t="s">
        <v>1722</v>
      </c>
      <c r="I1232"/>
      <c r="J1232" s="4"/>
      <c r="K1232"/>
    </row>
    <row r="1233" spans="1:11" hidden="1">
      <c r="A1233" s="265"/>
      <c r="H1233" s="179" t="s">
        <v>734</v>
      </c>
      <c r="I1233"/>
      <c r="J1233" s="4"/>
      <c r="K1233"/>
    </row>
    <row r="1234" spans="1:11" hidden="1">
      <c r="A1234" s="265"/>
      <c r="H1234" s="183" t="s">
        <v>1615</v>
      </c>
      <c r="I1234"/>
      <c r="J1234" s="4"/>
      <c r="K1234"/>
    </row>
    <row r="1235" spans="1:11" hidden="1">
      <c r="A1235" s="265"/>
      <c r="F1235" s="186">
        <v>0.24</v>
      </c>
      <c r="G1235" s="185" t="s">
        <v>885</v>
      </c>
      <c r="H1235" s="179" t="s">
        <v>1723</v>
      </c>
      <c r="I1235" s="8" t="e">
        <f>(C70)</f>
        <v>#REF!</v>
      </c>
      <c r="J1235" s="2" t="s">
        <v>885</v>
      </c>
      <c r="K1235" s="8" t="e">
        <f>(F1235*I1235)</f>
        <v>#REF!</v>
      </c>
    </row>
    <row r="1236" spans="1:11" hidden="1">
      <c r="A1236" s="265"/>
      <c r="F1236" s="242">
        <v>0.11700000000000001</v>
      </c>
      <c r="G1236" s="185" t="s">
        <v>877</v>
      </c>
      <c r="H1236" s="179" t="s">
        <v>878</v>
      </c>
      <c r="I1236" s="8">
        <f>(C67)</f>
        <v>3800</v>
      </c>
      <c r="J1236" s="2" t="s">
        <v>877</v>
      </c>
      <c r="K1236" s="8">
        <f>(F1236*I1236)</f>
        <v>444.6</v>
      </c>
    </row>
    <row r="1237" spans="1:11" hidden="1">
      <c r="A1237" s="265"/>
      <c r="F1237" s="186">
        <v>0.5</v>
      </c>
      <c r="G1237" s="185" t="s">
        <v>785</v>
      </c>
      <c r="H1237" s="179" t="s">
        <v>2045</v>
      </c>
      <c r="I1237" s="8">
        <f>(C10)</f>
        <v>150</v>
      </c>
      <c r="J1237" s="2" t="s">
        <v>785</v>
      </c>
      <c r="K1237" s="8">
        <f>(F1237*I1237)</f>
        <v>75</v>
      </c>
    </row>
    <row r="1238" spans="1:11" hidden="1">
      <c r="A1238" s="265"/>
      <c r="F1238" s="186">
        <v>1.1000000000000001</v>
      </c>
      <c r="G1238" s="185" t="s">
        <v>785</v>
      </c>
      <c r="H1238" s="179" t="s">
        <v>950</v>
      </c>
      <c r="I1238" s="8">
        <f>(C12)</f>
        <v>95</v>
      </c>
      <c r="J1238" s="2" t="s">
        <v>785</v>
      </c>
      <c r="K1238" s="8">
        <f>(F1238*I1238)</f>
        <v>104.5</v>
      </c>
    </row>
    <row r="1239" spans="1:11" hidden="1">
      <c r="A1239" s="265"/>
      <c r="F1239" s="186">
        <v>4.3</v>
      </c>
      <c r="G1239" s="185" t="s">
        <v>785</v>
      </c>
      <c r="H1239" s="179" t="s">
        <v>325</v>
      </c>
      <c r="I1239" s="8">
        <f>(C13)</f>
        <v>85</v>
      </c>
      <c r="J1239" s="2" t="s">
        <v>785</v>
      </c>
      <c r="K1239" s="8">
        <f>(F1239*I1239)</f>
        <v>365.5</v>
      </c>
    </row>
    <row r="1240" spans="1:11" hidden="1">
      <c r="A1240" s="265"/>
      <c r="G1240" s="185" t="s">
        <v>455</v>
      </c>
      <c r="H1240" s="179" t="s">
        <v>456</v>
      </c>
      <c r="I1240"/>
      <c r="J1240" s="2" t="s">
        <v>455</v>
      </c>
      <c r="K1240" s="8">
        <v>0</v>
      </c>
    </row>
    <row r="1241" spans="1:11" hidden="1">
      <c r="A1241" s="265"/>
      <c r="I1241"/>
      <c r="J1241" s="4"/>
      <c r="K1241" s="5" t="s">
        <v>1615</v>
      </c>
    </row>
    <row r="1242" spans="1:11" hidden="1">
      <c r="A1242" s="265"/>
      <c r="H1242" s="179" t="s">
        <v>447</v>
      </c>
      <c r="I1242"/>
      <c r="J1242" s="4"/>
      <c r="K1242" s="8" t="e">
        <f>SUM(K1235:K1240)</f>
        <v>#REF!</v>
      </c>
    </row>
    <row r="1243" spans="1:11" hidden="1">
      <c r="A1243" s="265"/>
      <c r="I1243"/>
      <c r="J1243" s="4"/>
      <c r="K1243" s="5" t="s">
        <v>1615</v>
      </c>
    </row>
    <row r="1244" spans="1:11" hidden="1">
      <c r="A1244" s="265"/>
      <c r="H1244" s="179" t="s">
        <v>562</v>
      </c>
      <c r="I1244"/>
      <c r="J1244" s="4"/>
      <c r="K1244" s="8" t="e">
        <f>(K1242/10)</f>
        <v>#REF!</v>
      </c>
    </row>
    <row r="1245" spans="1:11" hidden="1">
      <c r="A1245" s="265"/>
      <c r="F1245" s="179" t="s">
        <v>992</v>
      </c>
      <c r="I1245"/>
      <c r="J1245" s="4"/>
      <c r="K1245"/>
    </row>
    <row r="1246" spans="1:11" hidden="1">
      <c r="A1246" s="265"/>
      <c r="I1246"/>
      <c r="J1246" s="4"/>
      <c r="K1246" s="5" t="s">
        <v>2091</v>
      </c>
    </row>
    <row r="1247" spans="1:11" hidden="1">
      <c r="A1247" s="265"/>
      <c r="F1247" s="233" t="s">
        <v>1974</v>
      </c>
      <c r="G1247" s="185" t="s">
        <v>2290</v>
      </c>
      <c r="H1247" s="245" t="s">
        <v>735</v>
      </c>
      <c r="I1247"/>
      <c r="J1247" s="4"/>
      <c r="K1247"/>
    </row>
    <row r="1248" spans="1:11" hidden="1">
      <c r="A1248" s="265"/>
      <c r="H1248" s="179" t="s">
        <v>1975</v>
      </c>
      <c r="I1248"/>
      <c r="J1248" s="4"/>
      <c r="K1248"/>
    </row>
    <row r="1249" spans="1:11" hidden="1">
      <c r="A1249" s="265"/>
      <c r="H1249" s="179" t="s">
        <v>1976</v>
      </c>
      <c r="I1249"/>
      <c r="J1249" s="4"/>
      <c r="K1249"/>
    </row>
    <row r="1250" spans="1:11" hidden="1">
      <c r="A1250" s="265"/>
      <c r="H1250" s="179" t="s">
        <v>772</v>
      </c>
      <c r="I1250"/>
      <c r="J1250" s="4"/>
      <c r="K1250"/>
    </row>
    <row r="1251" spans="1:11" hidden="1">
      <c r="A1251" s="265"/>
      <c r="H1251" s="179" t="s">
        <v>764</v>
      </c>
      <c r="I1251"/>
      <c r="J1251" s="4"/>
      <c r="K1251"/>
    </row>
    <row r="1252" spans="1:11" hidden="1">
      <c r="A1252" s="265"/>
      <c r="H1252" s="183" t="s">
        <v>1615</v>
      </c>
      <c r="I1252"/>
      <c r="J1252" s="4"/>
      <c r="K1252"/>
    </row>
    <row r="1253" spans="1:11" hidden="1">
      <c r="A1253" s="265"/>
      <c r="F1253" s="186">
        <v>12.8</v>
      </c>
      <c r="G1253" s="185" t="s">
        <v>885</v>
      </c>
      <c r="H1253" s="179" t="s">
        <v>765</v>
      </c>
      <c r="I1253" s="8" t="e">
        <f>(C82)</f>
        <v>#REF!</v>
      </c>
      <c r="J1253" s="2" t="s">
        <v>885</v>
      </c>
      <c r="K1253" s="8" t="e">
        <f>(F1253*I1253)</f>
        <v>#REF!</v>
      </c>
    </row>
    <row r="1254" spans="1:11" hidden="1">
      <c r="A1254" s="265"/>
      <c r="F1254" s="186">
        <v>5</v>
      </c>
      <c r="G1254" s="185" t="s">
        <v>885</v>
      </c>
      <c r="H1254" s="179" t="s">
        <v>766</v>
      </c>
      <c r="I1254" s="8" t="e">
        <f>(C85)</f>
        <v>#REF!</v>
      </c>
      <c r="J1254" s="2" t="s">
        <v>885</v>
      </c>
      <c r="K1254" s="8" t="e">
        <f>(F1254*I1254)</f>
        <v>#REF!</v>
      </c>
    </row>
    <row r="1255" spans="1:11" hidden="1">
      <c r="A1255" s="265"/>
      <c r="F1255" s="186">
        <v>1.8</v>
      </c>
      <c r="G1255" s="185" t="s">
        <v>785</v>
      </c>
      <c r="H1255" s="179" t="s">
        <v>2045</v>
      </c>
      <c r="I1255" s="8">
        <f>(C10)</f>
        <v>150</v>
      </c>
      <c r="J1255" s="2" t="s">
        <v>785</v>
      </c>
      <c r="K1255" s="8">
        <f>(F1255*I1255)</f>
        <v>270</v>
      </c>
    </row>
    <row r="1256" spans="1:11" hidden="1">
      <c r="A1256" s="265"/>
      <c r="F1256" s="186">
        <v>17.7</v>
      </c>
      <c r="G1256" s="185" t="s">
        <v>785</v>
      </c>
      <c r="H1256" s="179" t="s">
        <v>950</v>
      </c>
      <c r="I1256" s="8">
        <f>(C12)</f>
        <v>95</v>
      </c>
      <c r="J1256" s="2" t="s">
        <v>785</v>
      </c>
      <c r="K1256" s="8">
        <f>(F1256*I1256)</f>
        <v>1681.5</v>
      </c>
    </row>
    <row r="1257" spans="1:11" hidden="1">
      <c r="A1257" s="265"/>
      <c r="F1257" s="186">
        <v>14.1</v>
      </c>
      <c r="G1257" s="185" t="s">
        <v>785</v>
      </c>
      <c r="H1257" s="179" t="s">
        <v>325</v>
      </c>
      <c r="I1257" s="8">
        <f>(C13)</f>
        <v>85</v>
      </c>
      <c r="J1257" s="2" t="s">
        <v>785</v>
      </c>
      <c r="K1257" s="8">
        <f>(F1257*I1257)</f>
        <v>1198.5</v>
      </c>
    </row>
    <row r="1258" spans="1:11" hidden="1">
      <c r="A1258" s="265"/>
      <c r="G1258" s="185" t="s">
        <v>455</v>
      </c>
      <c r="H1258" s="179" t="s">
        <v>456</v>
      </c>
      <c r="I1258"/>
      <c r="J1258" s="2" t="s">
        <v>455</v>
      </c>
      <c r="K1258" s="8">
        <v>0</v>
      </c>
    </row>
    <row r="1259" spans="1:11" hidden="1">
      <c r="A1259" s="265"/>
      <c r="I1259"/>
      <c r="J1259" s="4"/>
      <c r="K1259" s="5" t="s">
        <v>1615</v>
      </c>
    </row>
    <row r="1260" spans="1:11" hidden="1">
      <c r="A1260" s="265"/>
      <c r="H1260" s="179" t="s">
        <v>626</v>
      </c>
      <c r="I1260"/>
      <c r="J1260" s="4"/>
      <c r="K1260" s="8" t="e">
        <f>SUM(K1253:K1258)</f>
        <v>#REF!</v>
      </c>
    </row>
    <row r="1261" spans="1:11" hidden="1">
      <c r="A1261" s="265"/>
      <c r="I1261"/>
      <c r="J1261" s="4"/>
      <c r="K1261" s="5" t="s">
        <v>1615</v>
      </c>
    </row>
    <row r="1262" spans="1:11" hidden="1">
      <c r="A1262" s="265"/>
      <c r="H1262" s="179" t="s">
        <v>789</v>
      </c>
      <c r="I1262"/>
      <c r="J1262" s="4"/>
      <c r="K1262" s="8" t="e">
        <f>(K1260/10)</f>
        <v>#REF!</v>
      </c>
    </row>
    <row r="1263" spans="1:11" hidden="1">
      <c r="A1263" s="265"/>
      <c r="I1263"/>
      <c r="J1263" s="4"/>
      <c r="K1263" s="5" t="s">
        <v>2091</v>
      </c>
    </row>
    <row r="1264" spans="1:11" hidden="1">
      <c r="A1264" s="265"/>
      <c r="I1264"/>
      <c r="J1264" s="4"/>
      <c r="K1264"/>
    </row>
    <row r="1265" spans="1:11" hidden="1">
      <c r="A1265" s="265"/>
      <c r="G1265" s="185" t="s">
        <v>687</v>
      </c>
      <c r="H1265" s="179" t="s">
        <v>767</v>
      </c>
      <c r="I1265"/>
      <c r="J1265" s="4"/>
      <c r="K1265"/>
    </row>
    <row r="1266" spans="1:11" hidden="1">
      <c r="A1266" s="265"/>
      <c r="H1266" s="179" t="s">
        <v>768</v>
      </c>
      <c r="I1266"/>
      <c r="J1266" s="4"/>
      <c r="K1266"/>
    </row>
    <row r="1267" spans="1:11" hidden="1">
      <c r="A1267" s="265"/>
      <c r="H1267" s="183" t="s">
        <v>1615</v>
      </c>
      <c r="I1267"/>
      <c r="J1267" s="4"/>
      <c r="K1267"/>
    </row>
    <row r="1268" spans="1:11" hidden="1">
      <c r="A1268" s="265"/>
      <c r="F1268" s="186">
        <v>0.04</v>
      </c>
      <c r="G1268" s="185" t="s">
        <v>885</v>
      </c>
      <c r="H1268" s="179" t="s">
        <v>769</v>
      </c>
      <c r="I1268" s="8" t="e">
        <f>(K32)</f>
        <v>#REF!</v>
      </c>
      <c r="J1268" s="2" t="s">
        <v>885</v>
      </c>
      <c r="K1268" s="8" t="e">
        <f>(F1268*I1268)</f>
        <v>#REF!</v>
      </c>
    </row>
    <row r="1269" spans="1:11" hidden="1">
      <c r="A1269" s="265"/>
      <c r="F1269" s="186">
        <v>2.2000000000000002</v>
      </c>
      <c r="G1269" s="185" t="s">
        <v>785</v>
      </c>
      <c r="H1269" s="179" t="s">
        <v>1744</v>
      </c>
      <c r="I1269" s="8">
        <f>(C11)</f>
        <v>135</v>
      </c>
      <c r="J1269" s="2" t="s">
        <v>785</v>
      </c>
      <c r="K1269" s="8">
        <f>(F1269*I1269)</f>
        <v>297</v>
      </c>
    </row>
    <row r="1270" spans="1:11" hidden="1">
      <c r="A1270" s="265"/>
      <c r="F1270" s="186">
        <v>0.5</v>
      </c>
      <c r="G1270" s="185" t="s">
        <v>785</v>
      </c>
      <c r="H1270" s="179" t="s">
        <v>1937</v>
      </c>
      <c r="I1270" s="8">
        <f>(C12)</f>
        <v>95</v>
      </c>
      <c r="J1270" s="2" t="s">
        <v>785</v>
      </c>
      <c r="K1270" s="8">
        <f>(F1270*I1270)</f>
        <v>47.5</v>
      </c>
    </row>
    <row r="1271" spans="1:11" hidden="1">
      <c r="A1271" s="265"/>
      <c r="F1271" s="186">
        <v>1.1000000000000001</v>
      </c>
      <c r="G1271" s="185" t="s">
        <v>785</v>
      </c>
      <c r="H1271" s="179" t="s">
        <v>325</v>
      </c>
      <c r="I1271" s="8">
        <f>(C13)</f>
        <v>85</v>
      </c>
      <c r="J1271" s="2" t="s">
        <v>785</v>
      </c>
      <c r="K1271" s="8">
        <f>(F1271*I1271)</f>
        <v>93.5</v>
      </c>
    </row>
    <row r="1272" spans="1:11" hidden="1">
      <c r="A1272" s="265"/>
      <c r="G1272" s="185" t="s">
        <v>455</v>
      </c>
      <c r="H1272" s="179" t="s">
        <v>456</v>
      </c>
      <c r="I1272"/>
      <c r="J1272" s="2" t="s">
        <v>455</v>
      </c>
      <c r="K1272" s="8">
        <v>0</v>
      </c>
    </row>
    <row r="1273" spans="1:11" hidden="1">
      <c r="A1273" s="265"/>
      <c r="I1273"/>
      <c r="J1273" s="4"/>
      <c r="K1273" s="5" t="s">
        <v>1615</v>
      </c>
    </row>
    <row r="1274" spans="1:11" hidden="1">
      <c r="A1274" s="265"/>
      <c r="H1274" s="179" t="s">
        <v>447</v>
      </c>
      <c r="I1274"/>
      <c r="J1274" s="4"/>
      <c r="K1274" s="8" t="e">
        <f>SUM(K1268:K1272)</f>
        <v>#REF!</v>
      </c>
    </row>
    <row r="1275" spans="1:11" hidden="1">
      <c r="A1275" s="265"/>
      <c r="I1275"/>
      <c r="J1275" s="4"/>
      <c r="K1275" s="5" t="s">
        <v>1615</v>
      </c>
    </row>
    <row r="1276" spans="1:11" hidden="1">
      <c r="A1276" s="265"/>
      <c r="H1276" s="179" t="s">
        <v>562</v>
      </c>
      <c r="I1276"/>
      <c r="J1276" s="4"/>
      <c r="K1276" s="8" t="e">
        <f>(K1274/10)</f>
        <v>#REF!</v>
      </c>
    </row>
    <row r="1277" spans="1:11" hidden="1">
      <c r="A1277" s="265"/>
      <c r="I1277"/>
      <c r="J1277" s="4"/>
      <c r="K1277" s="5" t="s">
        <v>2091</v>
      </c>
    </row>
    <row r="1278" spans="1:11" hidden="1">
      <c r="A1278" s="265"/>
      <c r="I1278"/>
      <c r="J1278" s="4"/>
      <c r="K1278"/>
    </row>
    <row r="1279" spans="1:11" hidden="1">
      <c r="A1279" s="265"/>
      <c r="F1279" s="243">
        <v>32.1</v>
      </c>
      <c r="G1279" s="185" t="s">
        <v>2290</v>
      </c>
      <c r="H1279" s="179" t="s">
        <v>770</v>
      </c>
      <c r="I1279"/>
      <c r="J1279" s="4"/>
      <c r="K1279"/>
    </row>
    <row r="1280" spans="1:11" hidden="1">
      <c r="A1280" s="265"/>
      <c r="H1280" s="179" t="s">
        <v>1509</v>
      </c>
      <c r="I1280"/>
      <c r="J1280" s="4"/>
      <c r="K1280"/>
    </row>
    <row r="1281" spans="1:11" hidden="1">
      <c r="A1281" s="265"/>
      <c r="H1281" s="179" t="s">
        <v>696</v>
      </c>
      <c r="I1281"/>
      <c r="J1281" s="4"/>
      <c r="K1281"/>
    </row>
    <row r="1282" spans="1:11" hidden="1">
      <c r="A1282" s="265"/>
      <c r="H1282" s="179" t="s">
        <v>3184</v>
      </c>
      <c r="I1282"/>
      <c r="J1282" s="4"/>
      <c r="K1282"/>
    </row>
    <row r="1283" spans="1:11" hidden="1">
      <c r="A1283" s="265"/>
      <c r="H1283" s="179" t="s">
        <v>1317</v>
      </c>
      <c r="I1283"/>
      <c r="J1283" s="4"/>
      <c r="K1283"/>
    </row>
    <row r="1284" spans="1:11" hidden="1">
      <c r="A1284" s="265"/>
      <c r="H1284" s="183" t="s">
        <v>1615</v>
      </c>
      <c r="I1284"/>
      <c r="J1284" s="4"/>
      <c r="K1284"/>
    </row>
    <row r="1285" spans="1:11" hidden="1">
      <c r="A1285" s="265"/>
      <c r="F1285" s="186">
        <v>190</v>
      </c>
      <c r="G1285" s="185" t="s">
        <v>1907</v>
      </c>
      <c r="H1285" s="179" t="s">
        <v>2048</v>
      </c>
      <c r="I1285" s="8">
        <f>(C83)</f>
        <v>4500</v>
      </c>
      <c r="J1285" s="2" t="s">
        <v>1507</v>
      </c>
      <c r="K1285" s="8">
        <f>(F1285*I1285)/1000</f>
        <v>855</v>
      </c>
    </row>
    <row r="1286" spans="1:11" hidden="1">
      <c r="A1286" s="265"/>
      <c r="F1286" s="186">
        <v>0.12</v>
      </c>
      <c r="G1286" s="185" t="s">
        <v>885</v>
      </c>
      <c r="H1286" s="179" t="s">
        <v>1910</v>
      </c>
      <c r="I1286" s="8" t="e">
        <f>(K32)</f>
        <v>#REF!</v>
      </c>
      <c r="J1286" s="2" t="s">
        <v>885</v>
      </c>
      <c r="K1286" s="8" t="e">
        <f t="shared" ref="K1286:K1292" si="59">(F1286*I1286)</f>
        <v>#REF!</v>
      </c>
    </row>
    <row r="1287" spans="1:11" hidden="1">
      <c r="A1287" s="265"/>
      <c r="F1287" s="186">
        <v>10</v>
      </c>
      <c r="G1287" s="185" t="s">
        <v>621</v>
      </c>
      <c r="H1287" s="179" t="s">
        <v>1319</v>
      </c>
      <c r="I1287" s="8" t="e">
        <f>(K1276)</f>
        <v>#REF!</v>
      </c>
      <c r="J1287" s="2" t="s">
        <v>621</v>
      </c>
      <c r="K1287" s="8" t="e">
        <f t="shared" si="59"/>
        <v>#REF!</v>
      </c>
    </row>
    <row r="1288" spans="1:11" hidden="1">
      <c r="A1288" s="265"/>
      <c r="F1288" s="186">
        <v>1.54</v>
      </c>
      <c r="G1288" s="185" t="s">
        <v>1676</v>
      </c>
      <c r="H1288" s="179" t="s">
        <v>981</v>
      </c>
      <c r="I1288" s="8">
        <f>C631</f>
        <v>30</v>
      </c>
      <c r="J1288" s="2" t="s">
        <v>1676</v>
      </c>
      <c r="K1288" s="8">
        <f t="shared" si="59"/>
        <v>46.2</v>
      </c>
    </row>
    <row r="1289" spans="1:11" hidden="1">
      <c r="A1289" s="265"/>
      <c r="F1289" s="186">
        <v>1.1000000000000001</v>
      </c>
      <c r="G1289" s="185" t="s">
        <v>785</v>
      </c>
      <c r="H1289" s="179" t="s">
        <v>2045</v>
      </c>
      <c r="I1289" s="8">
        <f>(C10)</f>
        <v>150</v>
      </c>
      <c r="J1289" s="2" t="s">
        <v>785</v>
      </c>
      <c r="K1289" s="8">
        <f t="shared" si="59"/>
        <v>165</v>
      </c>
    </row>
    <row r="1290" spans="1:11" hidden="1">
      <c r="A1290" s="265"/>
      <c r="F1290" s="186">
        <v>2.1</v>
      </c>
      <c r="G1290" s="185" t="s">
        <v>785</v>
      </c>
      <c r="H1290" s="179" t="s">
        <v>1744</v>
      </c>
      <c r="I1290" s="8">
        <f>(C11)</f>
        <v>135</v>
      </c>
      <c r="J1290" s="2" t="s">
        <v>785</v>
      </c>
      <c r="K1290" s="8">
        <f t="shared" si="59"/>
        <v>283.5</v>
      </c>
    </row>
    <row r="1291" spans="1:11" hidden="1">
      <c r="A1291" s="265"/>
      <c r="F1291" s="186">
        <v>2.2000000000000002</v>
      </c>
      <c r="G1291" s="185" t="s">
        <v>785</v>
      </c>
      <c r="H1291" s="179" t="s">
        <v>1937</v>
      </c>
      <c r="I1291" s="8">
        <f>(C12)</f>
        <v>95</v>
      </c>
      <c r="J1291" s="2" t="s">
        <v>785</v>
      </c>
      <c r="K1291" s="8">
        <f t="shared" si="59"/>
        <v>209</v>
      </c>
    </row>
    <row r="1292" spans="1:11" hidden="1">
      <c r="A1292" s="265"/>
      <c r="F1292" s="186">
        <v>1.1000000000000001</v>
      </c>
      <c r="G1292" s="185" t="s">
        <v>785</v>
      </c>
      <c r="H1292" s="179" t="s">
        <v>325</v>
      </c>
      <c r="I1292" s="8">
        <f>(C13)</f>
        <v>85</v>
      </c>
      <c r="J1292" s="2" t="s">
        <v>785</v>
      </c>
      <c r="K1292" s="8">
        <f t="shared" si="59"/>
        <v>93.5</v>
      </c>
    </row>
    <row r="1293" spans="1:11" hidden="1">
      <c r="A1293" s="265"/>
      <c r="G1293" s="185" t="s">
        <v>455</v>
      </c>
      <c r="H1293" s="179" t="s">
        <v>456</v>
      </c>
      <c r="I1293"/>
      <c r="J1293" s="2" t="s">
        <v>455</v>
      </c>
      <c r="K1293" s="8">
        <v>0</v>
      </c>
    </row>
    <row r="1294" spans="1:11" hidden="1">
      <c r="A1294" s="265"/>
      <c r="I1294"/>
      <c r="J1294" s="4"/>
      <c r="K1294" s="5" t="s">
        <v>1615</v>
      </c>
    </row>
    <row r="1295" spans="1:11" hidden="1">
      <c r="A1295" s="265"/>
      <c r="H1295" s="179" t="s">
        <v>447</v>
      </c>
      <c r="I1295"/>
      <c r="J1295" s="4"/>
      <c r="K1295" s="8" t="e">
        <f>SUM(K1285:K1293)</f>
        <v>#REF!</v>
      </c>
    </row>
    <row r="1296" spans="1:11" hidden="1">
      <c r="A1296" s="265"/>
      <c r="I1296"/>
      <c r="J1296" s="4"/>
      <c r="K1296" s="5" t="s">
        <v>1615</v>
      </c>
    </row>
    <row r="1297" spans="1:11" hidden="1">
      <c r="A1297" s="265"/>
      <c r="H1297" s="179" t="s">
        <v>562</v>
      </c>
      <c r="I1297"/>
      <c r="J1297" s="4"/>
      <c r="K1297" s="8" t="e">
        <f>(K1295/10)</f>
        <v>#REF!</v>
      </c>
    </row>
    <row r="1298" spans="1:11" hidden="1">
      <c r="A1298" s="265"/>
      <c r="I1298"/>
      <c r="J1298" s="4"/>
      <c r="K1298" s="5" t="s">
        <v>2091</v>
      </c>
    </row>
    <row r="1299" spans="1:11" hidden="1">
      <c r="A1299" s="265"/>
      <c r="I1299"/>
      <c r="J1299" s="4"/>
      <c r="K1299" s="5"/>
    </row>
    <row r="1300" spans="1:11" hidden="1">
      <c r="A1300" s="265"/>
      <c r="I1300"/>
      <c r="J1300" s="4"/>
      <c r="K1300" s="5"/>
    </row>
    <row r="1301" spans="1:11" hidden="1">
      <c r="A1301" s="265"/>
      <c r="F1301" s="243">
        <v>32.200000000000003</v>
      </c>
      <c r="G1301" s="185" t="s">
        <v>2290</v>
      </c>
      <c r="H1301" s="179" t="s">
        <v>770</v>
      </c>
      <c r="I1301"/>
      <c r="J1301" s="4"/>
      <c r="K1301" s="5"/>
    </row>
    <row r="1302" spans="1:11" hidden="1">
      <c r="A1302" s="265"/>
      <c r="H1302" s="179" t="s">
        <v>1509</v>
      </c>
      <c r="I1302"/>
      <c r="J1302" s="4"/>
      <c r="K1302" s="5"/>
    </row>
    <row r="1303" spans="1:11" hidden="1">
      <c r="A1303" s="265"/>
      <c r="H1303" s="179" t="s">
        <v>696</v>
      </c>
      <c r="I1303"/>
      <c r="J1303" s="4"/>
      <c r="K1303" s="5"/>
    </row>
    <row r="1304" spans="1:11" hidden="1">
      <c r="A1304" s="265"/>
      <c r="H1304" s="179" t="s">
        <v>3184</v>
      </c>
      <c r="I1304"/>
      <c r="J1304" s="4"/>
      <c r="K1304" s="5"/>
    </row>
    <row r="1305" spans="1:11" hidden="1">
      <c r="A1305" s="265"/>
      <c r="H1305" s="179" t="s">
        <v>1317</v>
      </c>
      <c r="I1305"/>
      <c r="J1305" s="4"/>
      <c r="K1305" s="5"/>
    </row>
    <row r="1306" spans="1:11" hidden="1">
      <c r="A1306" s="265"/>
      <c r="H1306" s="183" t="s">
        <v>1615</v>
      </c>
      <c r="I1306"/>
      <c r="J1306" s="4"/>
      <c r="K1306" s="5"/>
    </row>
    <row r="1307" spans="1:11" hidden="1">
      <c r="A1307" s="265"/>
      <c r="F1307" s="186">
        <v>190</v>
      </c>
      <c r="G1307" s="185" t="s">
        <v>1907</v>
      </c>
      <c r="H1307" s="179" t="s">
        <v>1596</v>
      </c>
      <c r="I1307">
        <f>E83</f>
        <v>3550</v>
      </c>
      <c r="J1307" s="2" t="s">
        <v>1507</v>
      </c>
      <c r="K1307" s="8">
        <f>(F1307*I1307)/1000</f>
        <v>674.5</v>
      </c>
    </row>
    <row r="1308" spans="1:11" hidden="1">
      <c r="A1308" s="265"/>
      <c r="F1308" s="186">
        <v>0.12</v>
      </c>
      <c r="G1308" s="185" t="s">
        <v>885</v>
      </c>
      <c r="H1308" s="179" t="s">
        <v>1910</v>
      </c>
      <c r="I1308" t="e">
        <f>K32</f>
        <v>#REF!</v>
      </c>
      <c r="J1308" s="2" t="s">
        <v>885</v>
      </c>
      <c r="K1308" s="8" t="e">
        <f t="shared" ref="K1308:K1314" si="60">(F1308*I1308)</f>
        <v>#REF!</v>
      </c>
    </row>
    <row r="1309" spans="1:11" hidden="1">
      <c r="A1309" s="265"/>
      <c r="F1309" s="186">
        <v>10</v>
      </c>
      <c r="G1309" s="185" t="s">
        <v>621</v>
      </c>
      <c r="H1309" s="179" t="s">
        <v>1319</v>
      </c>
      <c r="I1309" t="e">
        <f>K1276</f>
        <v>#REF!</v>
      </c>
      <c r="J1309" s="2" t="s">
        <v>621</v>
      </c>
      <c r="K1309" s="8" t="e">
        <f t="shared" si="60"/>
        <v>#REF!</v>
      </c>
    </row>
    <row r="1310" spans="1:11" hidden="1">
      <c r="A1310" s="265"/>
      <c r="F1310" s="186">
        <v>5.8</v>
      </c>
      <c r="G1310" s="185" t="s">
        <v>1676</v>
      </c>
      <c r="H1310" s="179" t="s">
        <v>981</v>
      </c>
      <c r="I1310">
        <f>C631</f>
        <v>30</v>
      </c>
      <c r="J1310" s="2" t="s">
        <v>1676</v>
      </c>
      <c r="K1310" s="8">
        <f t="shared" si="60"/>
        <v>174</v>
      </c>
    </row>
    <row r="1311" spans="1:11" hidden="1">
      <c r="A1311" s="265"/>
      <c r="F1311" s="186">
        <v>1.1000000000000001</v>
      </c>
      <c r="G1311" s="185" t="s">
        <v>785</v>
      </c>
      <c r="H1311" s="179" t="s">
        <v>2045</v>
      </c>
      <c r="I1311">
        <f>C10</f>
        <v>150</v>
      </c>
      <c r="J1311" s="2" t="s">
        <v>785</v>
      </c>
      <c r="K1311" s="8">
        <f t="shared" si="60"/>
        <v>165</v>
      </c>
    </row>
    <row r="1312" spans="1:11" hidden="1">
      <c r="A1312" s="265"/>
      <c r="F1312" s="186">
        <v>2.1</v>
      </c>
      <c r="G1312" s="185" t="s">
        <v>785</v>
      </c>
      <c r="H1312" s="179" t="s">
        <v>1744</v>
      </c>
      <c r="I1312">
        <f>C11</f>
        <v>135</v>
      </c>
      <c r="J1312" s="2" t="s">
        <v>785</v>
      </c>
      <c r="K1312" s="8">
        <f t="shared" si="60"/>
        <v>283.5</v>
      </c>
    </row>
    <row r="1313" spans="1:11" hidden="1">
      <c r="A1313" s="265"/>
      <c r="F1313" s="186">
        <v>2.2000000000000002</v>
      </c>
      <c r="G1313" s="185" t="s">
        <v>785</v>
      </c>
      <c r="H1313" s="179" t="s">
        <v>1937</v>
      </c>
      <c r="I1313">
        <f>C12</f>
        <v>95</v>
      </c>
      <c r="J1313" s="2" t="s">
        <v>785</v>
      </c>
      <c r="K1313" s="8">
        <f t="shared" si="60"/>
        <v>209</v>
      </c>
    </row>
    <row r="1314" spans="1:11" hidden="1">
      <c r="A1314" s="265"/>
      <c r="F1314" s="186">
        <v>1.1000000000000001</v>
      </c>
      <c r="G1314" s="185" t="s">
        <v>785</v>
      </c>
      <c r="H1314" s="179" t="s">
        <v>325</v>
      </c>
      <c r="I1314">
        <f>C13</f>
        <v>85</v>
      </c>
      <c r="J1314" s="2" t="s">
        <v>785</v>
      </c>
      <c r="K1314" s="8">
        <f t="shared" si="60"/>
        <v>93.5</v>
      </c>
    </row>
    <row r="1315" spans="1:11" hidden="1">
      <c r="A1315" s="265"/>
      <c r="G1315" s="185" t="s">
        <v>455</v>
      </c>
      <c r="H1315" s="179" t="s">
        <v>456</v>
      </c>
      <c r="I1315"/>
      <c r="J1315" s="2" t="s">
        <v>455</v>
      </c>
      <c r="K1315" s="8">
        <v>0</v>
      </c>
    </row>
    <row r="1316" spans="1:11" hidden="1">
      <c r="A1316" s="265"/>
      <c r="I1316"/>
      <c r="J1316" s="4"/>
      <c r="K1316" s="5" t="s">
        <v>1615</v>
      </c>
    </row>
    <row r="1317" spans="1:11" hidden="1">
      <c r="A1317" s="265"/>
      <c r="H1317" s="179" t="s">
        <v>447</v>
      </c>
      <c r="I1317"/>
      <c r="J1317" s="4"/>
      <c r="K1317" s="8" t="e">
        <f>SUM(K1307:K1315)</f>
        <v>#REF!</v>
      </c>
    </row>
    <row r="1318" spans="1:11" hidden="1">
      <c r="A1318" s="265"/>
      <c r="I1318"/>
      <c r="J1318" s="4"/>
      <c r="K1318" s="5" t="s">
        <v>1615</v>
      </c>
    </row>
    <row r="1319" spans="1:11" hidden="1">
      <c r="A1319" s="265"/>
      <c r="H1319" s="179" t="s">
        <v>562</v>
      </c>
      <c r="I1319"/>
      <c r="J1319" s="4"/>
      <c r="K1319" s="8" t="e">
        <f>(K1317/10)</f>
        <v>#REF!</v>
      </c>
    </row>
    <row r="1320" spans="1:11" hidden="1">
      <c r="A1320" s="265"/>
      <c r="I1320"/>
      <c r="J1320" s="4"/>
      <c r="K1320" s="5" t="s">
        <v>2091</v>
      </c>
    </row>
    <row r="1321" spans="1:11" hidden="1">
      <c r="A1321" s="265"/>
      <c r="I1321"/>
      <c r="J1321" s="4"/>
      <c r="K1321" s="5"/>
    </row>
    <row r="1322" spans="1:11" hidden="1">
      <c r="A1322" s="265"/>
      <c r="F1322" s="233" t="s">
        <v>1320</v>
      </c>
      <c r="G1322" s="185" t="s">
        <v>2290</v>
      </c>
      <c r="H1322" s="179" t="s">
        <v>6</v>
      </c>
      <c r="I1322"/>
      <c r="J1322" s="4"/>
      <c r="K1322"/>
    </row>
    <row r="1323" spans="1:11" hidden="1">
      <c r="A1323" s="265"/>
      <c r="H1323" s="183" t="s">
        <v>1615</v>
      </c>
      <c r="I1323"/>
      <c r="J1323" s="4"/>
      <c r="K1323"/>
    </row>
    <row r="1324" spans="1:11" hidden="1">
      <c r="A1324" s="265"/>
      <c r="F1324" s="186">
        <v>0.14000000000000001</v>
      </c>
      <c r="G1324" s="185" t="s">
        <v>885</v>
      </c>
      <c r="H1324" s="179" t="s">
        <v>1656</v>
      </c>
      <c r="I1324" s="8" t="e">
        <f>(K49)</f>
        <v>#REF!</v>
      </c>
      <c r="J1324" s="2" t="s">
        <v>885</v>
      </c>
      <c r="K1324" s="8" t="e">
        <f>(F1324*I1324)</f>
        <v>#REF!</v>
      </c>
    </row>
    <row r="1325" spans="1:11" hidden="1">
      <c r="A1325" s="265"/>
      <c r="F1325" s="186">
        <v>1.1000000000000001</v>
      </c>
      <c r="G1325" s="185" t="s">
        <v>884</v>
      </c>
      <c r="H1325" s="179" t="s">
        <v>2045</v>
      </c>
      <c r="I1325" s="8">
        <f>(C10)</f>
        <v>150</v>
      </c>
      <c r="J1325" s="2" t="s">
        <v>884</v>
      </c>
      <c r="K1325" s="8">
        <f>(F1325*I1325)</f>
        <v>165</v>
      </c>
    </row>
    <row r="1326" spans="1:11" hidden="1">
      <c r="A1326" s="265"/>
      <c r="F1326" s="186">
        <v>0.5</v>
      </c>
      <c r="G1326" s="185" t="s">
        <v>884</v>
      </c>
      <c r="H1326" s="179" t="s">
        <v>1937</v>
      </c>
      <c r="I1326" s="8">
        <f>(C12)</f>
        <v>95</v>
      </c>
      <c r="J1326" s="2" t="s">
        <v>884</v>
      </c>
      <c r="K1326" s="8">
        <f>(F1326*I1326)</f>
        <v>47.5</v>
      </c>
    </row>
    <row r="1327" spans="1:11" hidden="1">
      <c r="A1327" s="265"/>
      <c r="F1327" s="186">
        <v>1.1000000000000001</v>
      </c>
      <c r="G1327" s="185" t="s">
        <v>884</v>
      </c>
      <c r="H1327" s="179" t="s">
        <v>325</v>
      </c>
      <c r="I1327" s="8">
        <f>(C13)</f>
        <v>85</v>
      </c>
      <c r="J1327" s="2" t="s">
        <v>884</v>
      </c>
      <c r="K1327" s="8">
        <f>(F1327*I1327)</f>
        <v>93.5</v>
      </c>
    </row>
    <row r="1328" spans="1:11" hidden="1">
      <c r="A1328" s="265"/>
      <c r="G1328" s="185" t="s">
        <v>455</v>
      </c>
      <c r="H1328" s="179" t="s">
        <v>456</v>
      </c>
      <c r="I1328" s="1" t="s">
        <v>992</v>
      </c>
      <c r="J1328" s="2" t="s">
        <v>455</v>
      </c>
      <c r="K1328" s="8">
        <v>0</v>
      </c>
    </row>
    <row r="1329" spans="1:11" hidden="1">
      <c r="A1329" s="265"/>
      <c r="I1329"/>
      <c r="J1329" s="4"/>
      <c r="K1329" s="5" t="s">
        <v>1615</v>
      </c>
    </row>
    <row r="1330" spans="1:11" hidden="1">
      <c r="A1330" s="265"/>
      <c r="H1330" s="179" t="s">
        <v>447</v>
      </c>
      <c r="I1330"/>
      <c r="J1330" s="4"/>
      <c r="K1330" s="8" t="e">
        <f>SUM(K1324:K1328)</f>
        <v>#REF!</v>
      </c>
    </row>
    <row r="1331" spans="1:11" hidden="1">
      <c r="A1331" s="265"/>
      <c r="I1331"/>
      <c r="J1331" s="4"/>
      <c r="K1331" s="5" t="s">
        <v>1615</v>
      </c>
    </row>
    <row r="1332" spans="1:11" hidden="1">
      <c r="A1332" s="265"/>
      <c r="H1332" s="179" t="s">
        <v>562</v>
      </c>
      <c r="I1332"/>
      <c r="J1332" s="4"/>
      <c r="K1332" s="8" t="e">
        <f>(K1330/10)</f>
        <v>#REF!</v>
      </c>
    </row>
    <row r="1333" spans="1:11" hidden="1">
      <c r="A1333" s="265"/>
      <c r="F1333" s="179" t="s">
        <v>992</v>
      </c>
      <c r="I1333"/>
      <c r="J1333" s="4"/>
      <c r="K1333"/>
    </row>
    <row r="1334" spans="1:11" hidden="1">
      <c r="A1334" s="265"/>
      <c r="I1334"/>
      <c r="J1334" s="4"/>
      <c r="K1334" s="5" t="s">
        <v>2091</v>
      </c>
    </row>
    <row r="1335" spans="1:11" hidden="1">
      <c r="A1335" s="265"/>
      <c r="F1335" s="233" t="s">
        <v>7</v>
      </c>
      <c r="G1335" s="185" t="s">
        <v>2290</v>
      </c>
      <c r="H1335" s="179" t="s">
        <v>8</v>
      </c>
      <c r="I1335"/>
      <c r="J1335" s="4"/>
      <c r="K1335"/>
    </row>
    <row r="1336" spans="1:11" hidden="1">
      <c r="A1336" s="265"/>
      <c r="H1336" s="183" t="s">
        <v>1615</v>
      </c>
      <c r="I1336"/>
      <c r="J1336" s="4"/>
      <c r="K1336"/>
    </row>
    <row r="1337" spans="1:11" hidden="1">
      <c r="A1337" s="265"/>
      <c r="F1337" s="186">
        <v>0.14000000000000001</v>
      </c>
      <c r="G1337" s="185" t="s">
        <v>885</v>
      </c>
      <c r="H1337" s="179" t="s">
        <v>1331</v>
      </c>
      <c r="I1337" s="8" t="e">
        <f>(K40)</f>
        <v>#REF!</v>
      </c>
      <c r="J1337" s="2" t="s">
        <v>885</v>
      </c>
      <c r="K1337" s="8" t="e">
        <f>(F1337*I1337)</f>
        <v>#REF!</v>
      </c>
    </row>
    <row r="1338" spans="1:11" hidden="1">
      <c r="A1338" s="265"/>
      <c r="F1338" s="186">
        <v>1.1000000000000001</v>
      </c>
      <c r="G1338" s="185" t="s">
        <v>884</v>
      </c>
      <c r="H1338" s="179" t="s">
        <v>2045</v>
      </c>
      <c r="I1338" s="8">
        <f>(C10)</f>
        <v>150</v>
      </c>
      <c r="J1338" s="2" t="s">
        <v>884</v>
      </c>
      <c r="K1338" s="8">
        <f>(F1338*I1338)</f>
        <v>165</v>
      </c>
    </row>
    <row r="1339" spans="1:11" hidden="1">
      <c r="A1339" s="265"/>
      <c r="F1339" s="186">
        <v>0.5</v>
      </c>
      <c r="G1339" s="185" t="s">
        <v>884</v>
      </c>
      <c r="H1339" s="179" t="s">
        <v>1937</v>
      </c>
      <c r="I1339" s="8">
        <f>(C12)</f>
        <v>95</v>
      </c>
      <c r="J1339" s="2" t="s">
        <v>884</v>
      </c>
      <c r="K1339" s="8">
        <f>(F1339*I1339)</f>
        <v>47.5</v>
      </c>
    </row>
    <row r="1340" spans="1:11" hidden="1">
      <c r="A1340" s="265"/>
      <c r="F1340" s="186">
        <v>1.1000000000000001</v>
      </c>
      <c r="G1340" s="185" t="s">
        <v>884</v>
      </c>
      <c r="H1340" s="179" t="s">
        <v>325</v>
      </c>
      <c r="I1340" s="8">
        <f>(C13)</f>
        <v>85</v>
      </c>
      <c r="J1340" s="2" t="s">
        <v>884</v>
      </c>
      <c r="K1340" s="8">
        <f>(F1340*I1340)</f>
        <v>93.5</v>
      </c>
    </row>
    <row r="1341" spans="1:11" hidden="1">
      <c r="A1341" s="265"/>
      <c r="G1341" s="185" t="s">
        <v>455</v>
      </c>
      <c r="H1341" s="179" t="s">
        <v>456</v>
      </c>
      <c r="I1341" s="1" t="s">
        <v>992</v>
      </c>
      <c r="J1341" s="2" t="s">
        <v>455</v>
      </c>
      <c r="K1341" s="8">
        <v>0</v>
      </c>
    </row>
    <row r="1342" spans="1:11" hidden="1">
      <c r="A1342" s="265"/>
      <c r="I1342"/>
      <c r="J1342" s="4"/>
      <c r="K1342" s="5" t="s">
        <v>1615</v>
      </c>
    </row>
    <row r="1343" spans="1:11" hidden="1">
      <c r="A1343" s="265"/>
      <c r="H1343" s="179" t="s">
        <v>447</v>
      </c>
      <c r="I1343"/>
      <c r="J1343" s="4"/>
      <c r="K1343" s="8" t="e">
        <f>SUM(K1337:K1341)</f>
        <v>#REF!</v>
      </c>
    </row>
    <row r="1344" spans="1:11" hidden="1">
      <c r="A1344" s="265"/>
      <c r="I1344"/>
      <c r="J1344" s="4"/>
      <c r="K1344" s="5" t="s">
        <v>1615</v>
      </c>
    </row>
    <row r="1345" spans="1:11" hidden="1">
      <c r="A1345" s="265"/>
      <c r="H1345" s="179" t="s">
        <v>562</v>
      </c>
      <c r="I1345"/>
      <c r="J1345" s="4"/>
      <c r="K1345" s="8" t="e">
        <f>(K1343/10)</f>
        <v>#REF!</v>
      </c>
    </row>
    <row r="1346" spans="1:11" hidden="1">
      <c r="A1346" s="265"/>
      <c r="I1346"/>
      <c r="J1346" s="4"/>
      <c r="K1346" s="5" t="s">
        <v>2091</v>
      </c>
    </row>
    <row r="1347" spans="1:11" hidden="1">
      <c r="A1347" s="265"/>
      <c r="F1347" s="233" t="s">
        <v>9</v>
      </c>
      <c r="G1347" s="185" t="s">
        <v>2290</v>
      </c>
      <c r="H1347" s="179" t="s">
        <v>10</v>
      </c>
      <c r="I1347"/>
      <c r="J1347" s="4"/>
      <c r="K1347"/>
    </row>
    <row r="1348" spans="1:11" hidden="1">
      <c r="A1348" s="265"/>
      <c r="H1348" s="183" t="s">
        <v>1615</v>
      </c>
      <c r="I1348"/>
      <c r="J1348" s="4"/>
      <c r="K1348"/>
    </row>
    <row r="1349" spans="1:11" hidden="1">
      <c r="A1349" s="265"/>
      <c r="F1349" s="186">
        <v>0.1</v>
      </c>
      <c r="G1349" s="185" t="s">
        <v>885</v>
      </c>
      <c r="H1349" s="179" t="s">
        <v>1377</v>
      </c>
      <c r="I1349" s="8" t="e">
        <f>(K32)</f>
        <v>#REF!</v>
      </c>
      <c r="J1349" s="2" t="s">
        <v>885</v>
      </c>
      <c r="K1349" s="8" t="e">
        <f>(F1349*I1349)</f>
        <v>#REF!</v>
      </c>
    </row>
    <row r="1350" spans="1:11" hidden="1">
      <c r="A1350" s="265"/>
      <c r="F1350" s="186">
        <v>1.1000000000000001</v>
      </c>
      <c r="G1350" s="185" t="s">
        <v>884</v>
      </c>
      <c r="H1350" s="179" t="s">
        <v>2045</v>
      </c>
      <c r="I1350" s="8">
        <f>(C10)</f>
        <v>150</v>
      </c>
      <c r="J1350" s="2" t="s">
        <v>884</v>
      </c>
      <c r="K1350" s="8">
        <f>(F1350*I1350)</f>
        <v>165</v>
      </c>
    </row>
    <row r="1351" spans="1:11" hidden="1">
      <c r="A1351" s="265"/>
      <c r="F1351" s="186">
        <v>1.1000000000000001</v>
      </c>
      <c r="G1351" s="185" t="s">
        <v>884</v>
      </c>
      <c r="H1351" s="179" t="s">
        <v>1937</v>
      </c>
      <c r="I1351" s="8">
        <f>(C12)</f>
        <v>95</v>
      </c>
      <c r="J1351" s="2" t="s">
        <v>884</v>
      </c>
      <c r="K1351" s="8">
        <f>(F1351*I1351)</f>
        <v>104.5</v>
      </c>
    </row>
    <row r="1352" spans="1:11" hidden="1">
      <c r="A1352" s="265"/>
      <c r="F1352" s="186">
        <v>1.1000000000000001</v>
      </c>
      <c r="G1352" s="185" t="s">
        <v>884</v>
      </c>
      <c r="H1352" s="179" t="s">
        <v>325</v>
      </c>
      <c r="I1352" s="8">
        <f>(C13)</f>
        <v>85</v>
      </c>
      <c r="J1352" s="2" t="s">
        <v>884</v>
      </c>
      <c r="K1352" s="8">
        <f>(F1352*I1352)</f>
        <v>93.5</v>
      </c>
    </row>
    <row r="1353" spans="1:11" hidden="1">
      <c r="A1353" s="265"/>
      <c r="G1353" s="185" t="s">
        <v>455</v>
      </c>
      <c r="H1353" s="179" t="s">
        <v>456</v>
      </c>
      <c r="I1353" s="1" t="s">
        <v>992</v>
      </c>
      <c r="J1353" s="2" t="s">
        <v>455</v>
      </c>
      <c r="K1353" s="8">
        <v>0</v>
      </c>
    </row>
    <row r="1354" spans="1:11" hidden="1">
      <c r="A1354" s="265"/>
      <c r="I1354"/>
      <c r="J1354" s="4"/>
      <c r="K1354" s="5" t="s">
        <v>1615</v>
      </c>
    </row>
    <row r="1355" spans="1:11" hidden="1">
      <c r="A1355" s="265"/>
      <c r="H1355" s="179" t="s">
        <v>447</v>
      </c>
      <c r="I1355"/>
      <c r="J1355" s="4"/>
      <c r="K1355" s="8" t="e">
        <f>SUM(K1349:K1353)</f>
        <v>#REF!</v>
      </c>
    </row>
    <row r="1356" spans="1:11" hidden="1">
      <c r="A1356" s="265"/>
      <c r="I1356"/>
      <c r="J1356" s="4"/>
      <c r="K1356" s="5" t="s">
        <v>1615</v>
      </c>
    </row>
    <row r="1357" spans="1:11" hidden="1">
      <c r="A1357" s="265"/>
      <c r="H1357" s="179" t="s">
        <v>562</v>
      </c>
      <c r="I1357"/>
      <c r="J1357" s="4"/>
      <c r="K1357" s="8" t="e">
        <f>(K1355/10)</f>
        <v>#REF!</v>
      </c>
    </row>
    <row r="1358" spans="1:11" hidden="1">
      <c r="A1358" s="265"/>
      <c r="I1358"/>
      <c r="J1358" s="4"/>
      <c r="K1358" s="5" t="s">
        <v>2091</v>
      </c>
    </row>
    <row r="1359" spans="1:11" hidden="1">
      <c r="A1359" s="265"/>
      <c r="I1359"/>
      <c r="J1359" s="4"/>
      <c r="K1359"/>
    </row>
    <row r="1360" spans="1:11" hidden="1">
      <c r="A1360" s="265"/>
      <c r="G1360" s="185" t="s">
        <v>2290</v>
      </c>
      <c r="H1360" s="179" t="s">
        <v>858</v>
      </c>
      <c r="I1360"/>
      <c r="J1360" s="4"/>
      <c r="K1360"/>
    </row>
    <row r="1361" spans="1:11" hidden="1">
      <c r="A1361" s="265"/>
      <c r="H1361" s="179" t="s">
        <v>859</v>
      </c>
      <c r="I1361"/>
      <c r="J1361" s="4"/>
      <c r="K1361"/>
    </row>
    <row r="1362" spans="1:11" hidden="1">
      <c r="A1362" s="265"/>
      <c r="H1362" s="179" t="s">
        <v>860</v>
      </c>
      <c r="I1362"/>
      <c r="J1362" s="4"/>
      <c r="K1362"/>
    </row>
    <row r="1363" spans="1:11" hidden="1">
      <c r="A1363" s="265"/>
      <c r="H1363" s="183" t="s">
        <v>1615</v>
      </c>
      <c r="I1363"/>
      <c r="J1363" s="4"/>
      <c r="K1363"/>
    </row>
    <row r="1364" spans="1:11" hidden="1">
      <c r="A1364" s="265"/>
      <c r="F1364" s="186">
        <v>0.14000000000000001</v>
      </c>
      <c r="G1364" s="185" t="s">
        <v>885</v>
      </c>
      <c r="H1364" s="179" t="s">
        <v>1377</v>
      </c>
      <c r="I1364" s="8" t="e">
        <f>(K32)</f>
        <v>#REF!</v>
      </c>
      <c r="J1364" s="2" t="s">
        <v>885</v>
      </c>
      <c r="K1364" s="8" t="e">
        <f>(F1364*I1364)</f>
        <v>#REF!</v>
      </c>
    </row>
    <row r="1365" spans="1:11" hidden="1">
      <c r="A1365" s="265"/>
      <c r="F1365" s="186">
        <v>1.1000000000000001</v>
      </c>
      <c r="G1365" s="185" t="s">
        <v>884</v>
      </c>
      <c r="H1365" s="179" t="s">
        <v>2045</v>
      </c>
      <c r="I1365" s="8">
        <f>(C10)</f>
        <v>150</v>
      </c>
      <c r="J1365" s="2" t="s">
        <v>884</v>
      </c>
      <c r="K1365" s="8">
        <f>(F1365*I1365)</f>
        <v>165</v>
      </c>
    </row>
    <row r="1366" spans="1:11" hidden="1">
      <c r="A1366" s="265"/>
      <c r="F1366" s="186">
        <v>0.5</v>
      </c>
      <c r="G1366" s="185" t="s">
        <v>884</v>
      </c>
      <c r="H1366" s="179" t="s">
        <v>1937</v>
      </c>
      <c r="I1366" s="8">
        <f>(C12)</f>
        <v>95</v>
      </c>
      <c r="J1366" s="2" t="s">
        <v>884</v>
      </c>
      <c r="K1366" s="8">
        <f>(F1366*I1366)</f>
        <v>47.5</v>
      </c>
    </row>
    <row r="1367" spans="1:11" hidden="1">
      <c r="A1367" s="265"/>
      <c r="F1367" s="186">
        <v>1.1000000000000001</v>
      </c>
      <c r="G1367" s="185" t="s">
        <v>884</v>
      </c>
      <c r="H1367" s="179" t="s">
        <v>325</v>
      </c>
      <c r="I1367" s="8">
        <f>(C13)</f>
        <v>85</v>
      </c>
      <c r="J1367" s="2" t="s">
        <v>884</v>
      </c>
      <c r="K1367" s="8">
        <f>(F1367*I1367)</f>
        <v>93.5</v>
      </c>
    </row>
    <row r="1368" spans="1:11" hidden="1">
      <c r="A1368" s="265"/>
      <c r="F1368" s="186">
        <v>2</v>
      </c>
      <c r="G1368" s="185" t="s">
        <v>1676</v>
      </c>
      <c r="H1368" s="179" t="s">
        <v>861</v>
      </c>
      <c r="I1368" s="8">
        <f>(C631)</f>
        <v>30</v>
      </c>
      <c r="J1368" s="2" t="s">
        <v>1676</v>
      </c>
      <c r="K1368" s="8">
        <f>(F1368*I1368)</f>
        <v>60</v>
      </c>
    </row>
    <row r="1369" spans="1:11" hidden="1">
      <c r="A1369" s="265"/>
      <c r="G1369" s="185" t="s">
        <v>455</v>
      </c>
      <c r="H1369" s="179" t="s">
        <v>456</v>
      </c>
      <c r="I1369" s="1" t="s">
        <v>992</v>
      </c>
      <c r="J1369" s="2" t="s">
        <v>455</v>
      </c>
      <c r="K1369" s="8">
        <v>0</v>
      </c>
    </row>
    <row r="1370" spans="1:11" hidden="1">
      <c r="A1370" s="265"/>
      <c r="I1370"/>
      <c r="J1370" s="4"/>
      <c r="K1370" s="5" t="s">
        <v>1615</v>
      </c>
    </row>
    <row r="1371" spans="1:11" hidden="1">
      <c r="A1371" s="265"/>
      <c r="F1371" s="179" t="s">
        <v>992</v>
      </c>
      <c r="H1371" s="179" t="s">
        <v>447</v>
      </c>
      <c r="I1371"/>
      <c r="J1371" s="4"/>
      <c r="K1371" s="8" t="e">
        <f>SUM(K1364:K1369)</f>
        <v>#REF!</v>
      </c>
    </row>
    <row r="1372" spans="1:11" hidden="1">
      <c r="A1372" s="265"/>
      <c r="I1372"/>
      <c r="J1372" s="4"/>
      <c r="K1372" s="5" t="s">
        <v>1615</v>
      </c>
    </row>
    <row r="1373" spans="1:11" hidden="1">
      <c r="A1373" s="265"/>
      <c r="H1373" s="179" t="s">
        <v>562</v>
      </c>
      <c r="I1373"/>
      <c r="J1373" s="4"/>
      <c r="K1373" s="8" t="e">
        <f>(K1371/10)</f>
        <v>#REF!</v>
      </c>
    </row>
    <row r="1374" spans="1:11" hidden="1">
      <c r="A1374" s="265"/>
      <c r="I1374"/>
      <c r="J1374" s="4"/>
      <c r="K1374" s="5" t="s">
        <v>2091</v>
      </c>
    </row>
    <row r="1375" spans="1:11" hidden="1">
      <c r="A1375" s="265"/>
      <c r="H1375" s="179" t="s">
        <v>992</v>
      </c>
      <c r="I1375"/>
      <c r="J1375" s="4"/>
      <c r="K1375"/>
    </row>
    <row r="1376" spans="1:11" hidden="1">
      <c r="A1376" s="265"/>
      <c r="I1376"/>
      <c r="J1376" s="4"/>
      <c r="K1376"/>
    </row>
    <row r="1377" spans="1:11" hidden="1">
      <c r="A1377" s="265"/>
      <c r="F1377" s="233" t="s">
        <v>862</v>
      </c>
      <c r="G1377" s="185" t="s">
        <v>2290</v>
      </c>
      <c r="H1377" s="179" t="s">
        <v>863</v>
      </c>
      <c r="I1377"/>
      <c r="J1377" s="4"/>
      <c r="K1377"/>
    </row>
    <row r="1378" spans="1:11" hidden="1">
      <c r="A1378" s="265"/>
      <c r="H1378" s="179" t="s">
        <v>1384</v>
      </c>
      <c r="I1378"/>
      <c r="J1378" s="4"/>
      <c r="K1378"/>
    </row>
    <row r="1379" spans="1:11" hidden="1">
      <c r="A1379" s="265"/>
      <c r="H1379" s="179" t="s">
        <v>1385</v>
      </c>
      <c r="I1379"/>
      <c r="J1379" s="4"/>
      <c r="K1379"/>
    </row>
    <row r="1380" spans="1:11" hidden="1">
      <c r="A1380" s="265"/>
      <c r="H1380" s="179" t="s">
        <v>711</v>
      </c>
      <c r="I1380"/>
      <c r="J1380" s="4"/>
      <c r="K1380"/>
    </row>
    <row r="1381" spans="1:11" hidden="1">
      <c r="A1381" s="265"/>
      <c r="H1381" s="183" t="s">
        <v>1615</v>
      </c>
      <c r="I1381" s="5" t="s">
        <v>1615</v>
      </c>
      <c r="J1381" s="4"/>
      <c r="K1381"/>
    </row>
    <row r="1382" spans="1:11" hidden="1">
      <c r="A1382" s="265"/>
      <c r="G1382" s="185" t="s">
        <v>1942</v>
      </c>
      <c r="H1382" s="179" t="s">
        <v>712</v>
      </c>
      <c r="I1382"/>
      <c r="J1382" s="4"/>
      <c r="K1382"/>
    </row>
    <row r="1383" spans="1:11" hidden="1">
      <c r="A1383" s="265"/>
      <c r="G1383" s="185" t="s">
        <v>1615</v>
      </c>
      <c r="H1383" s="183" t="s">
        <v>1615</v>
      </c>
      <c r="I1383"/>
      <c r="J1383" s="4"/>
      <c r="K1383"/>
    </row>
    <row r="1384" spans="1:11" hidden="1">
      <c r="A1384" s="265"/>
      <c r="F1384" s="253">
        <v>1.4E-2</v>
      </c>
      <c r="G1384" s="185" t="s">
        <v>2190</v>
      </c>
      <c r="H1384" s="179" t="s">
        <v>713</v>
      </c>
      <c r="I1384" s="8" t="e">
        <f>K49</f>
        <v>#REF!</v>
      </c>
      <c r="J1384" s="2" t="s">
        <v>2190</v>
      </c>
      <c r="K1384" s="8" t="e">
        <f>(F1384*I1384)</f>
        <v>#REF!</v>
      </c>
    </row>
    <row r="1385" spans="1:11" hidden="1">
      <c r="A1385" s="265"/>
      <c r="F1385" s="186">
        <v>0.3</v>
      </c>
      <c r="G1385" s="185" t="s">
        <v>570</v>
      </c>
      <c r="H1385" s="179" t="s">
        <v>714</v>
      </c>
      <c r="I1385" s="8">
        <f>C10</f>
        <v>150</v>
      </c>
      <c r="J1385" s="2" t="s">
        <v>570</v>
      </c>
      <c r="K1385" s="8">
        <f>(F1385*I1385)</f>
        <v>45</v>
      </c>
    </row>
    <row r="1386" spans="1:11" hidden="1">
      <c r="A1386" s="265"/>
      <c r="F1386" s="186">
        <v>0.3</v>
      </c>
      <c r="G1386" s="185" t="s">
        <v>570</v>
      </c>
      <c r="H1386" s="179" t="s">
        <v>839</v>
      </c>
      <c r="I1386" s="8">
        <f>C12</f>
        <v>95</v>
      </c>
      <c r="J1386" s="2" t="s">
        <v>570</v>
      </c>
      <c r="K1386" s="8">
        <f>(F1386*I1386)</f>
        <v>28.5</v>
      </c>
    </row>
    <row r="1387" spans="1:11" hidden="1">
      <c r="A1387" s="265"/>
      <c r="G1387" s="185" t="s">
        <v>455</v>
      </c>
      <c r="H1387" s="179" t="s">
        <v>2310</v>
      </c>
      <c r="I1387"/>
      <c r="J1387" s="2" t="s">
        <v>455</v>
      </c>
      <c r="K1387">
        <v>0</v>
      </c>
    </row>
    <row r="1388" spans="1:11" hidden="1">
      <c r="A1388" s="265"/>
      <c r="I1388"/>
      <c r="J1388" s="4"/>
      <c r="K1388" s="5" t="s">
        <v>1615</v>
      </c>
    </row>
    <row r="1389" spans="1:11" hidden="1">
      <c r="A1389" s="265"/>
      <c r="H1389" s="233" t="s">
        <v>715</v>
      </c>
      <c r="I1389"/>
      <c r="J1389" s="4"/>
      <c r="K1389" s="8" t="e">
        <f>SUM(K1384:K1387)</f>
        <v>#REF!</v>
      </c>
    </row>
    <row r="1390" spans="1:11" hidden="1">
      <c r="A1390" s="265"/>
      <c r="I1390"/>
      <c r="J1390" s="4"/>
      <c r="K1390" s="5" t="s">
        <v>1615</v>
      </c>
    </row>
    <row r="1391" spans="1:11" hidden="1">
      <c r="A1391" s="265"/>
      <c r="H1391" s="233" t="s">
        <v>716</v>
      </c>
      <c r="I1391"/>
      <c r="J1391" s="4"/>
      <c r="K1391" s="8" t="e">
        <f>K1389/6.77</f>
        <v>#REF!</v>
      </c>
    </row>
    <row r="1392" spans="1:11" hidden="1">
      <c r="A1392" s="265"/>
      <c r="F1392" s="179" t="s">
        <v>992</v>
      </c>
      <c r="I1392"/>
      <c r="J1392" s="4"/>
      <c r="K1392"/>
    </row>
    <row r="1393" spans="1:11" hidden="1">
      <c r="A1393" s="265"/>
      <c r="I1393"/>
      <c r="J1393" s="4"/>
      <c r="K1393" s="5" t="s">
        <v>2091</v>
      </c>
    </row>
    <row r="1394" spans="1:11" hidden="1">
      <c r="A1394" s="265"/>
      <c r="G1394" s="185" t="s">
        <v>527</v>
      </c>
      <c r="H1394" s="179" t="s">
        <v>717</v>
      </c>
      <c r="I1394"/>
      <c r="J1394" s="4"/>
      <c r="K1394"/>
    </row>
    <row r="1395" spans="1:11" hidden="1">
      <c r="A1395" s="265"/>
      <c r="G1395" s="185" t="s">
        <v>1615</v>
      </c>
      <c r="H1395" s="183" t="s">
        <v>1615</v>
      </c>
      <c r="I1395"/>
      <c r="J1395" s="4"/>
      <c r="K1395"/>
    </row>
    <row r="1396" spans="1:11" hidden="1">
      <c r="A1396" s="265"/>
      <c r="F1396" s="253">
        <v>7.0000000000000001E-3</v>
      </c>
      <c r="G1396" s="185" t="s">
        <v>2190</v>
      </c>
      <c r="H1396" s="179" t="s">
        <v>713</v>
      </c>
      <c r="I1396" s="8" t="e">
        <f>K49</f>
        <v>#REF!</v>
      </c>
      <c r="J1396" s="2" t="s">
        <v>2190</v>
      </c>
      <c r="K1396" s="8" t="e">
        <f>(F1396*I1396)</f>
        <v>#REF!</v>
      </c>
    </row>
    <row r="1397" spans="1:11" hidden="1">
      <c r="A1397" s="265"/>
      <c r="F1397" s="186">
        <v>0.2</v>
      </c>
      <c r="G1397" s="185" t="s">
        <v>570</v>
      </c>
      <c r="H1397" s="179" t="s">
        <v>714</v>
      </c>
      <c r="I1397" s="8">
        <f>C10</f>
        <v>150</v>
      </c>
      <c r="J1397" s="2" t="s">
        <v>570</v>
      </c>
      <c r="K1397" s="8">
        <f>(F1397*I1397)</f>
        <v>30</v>
      </c>
    </row>
    <row r="1398" spans="1:11" hidden="1">
      <c r="A1398" s="265"/>
      <c r="F1398" s="186">
        <v>0.2</v>
      </c>
      <c r="G1398" s="185" t="s">
        <v>570</v>
      </c>
      <c r="H1398" s="179" t="s">
        <v>839</v>
      </c>
      <c r="I1398" s="8">
        <f>C12</f>
        <v>95</v>
      </c>
      <c r="J1398" s="2" t="s">
        <v>570</v>
      </c>
      <c r="K1398" s="8">
        <f>(F1398*I1398)</f>
        <v>19</v>
      </c>
    </row>
    <row r="1399" spans="1:11" hidden="1">
      <c r="A1399" s="265"/>
      <c r="H1399" s="179" t="s">
        <v>2310</v>
      </c>
      <c r="I1399"/>
      <c r="J1399" s="4"/>
      <c r="K1399">
        <v>0</v>
      </c>
    </row>
    <row r="1400" spans="1:11" hidden="1">
      <c r="A1400" s="265"/>
      <c r="I1400"/>
      <c r="J1400" s="4"/>
      <c r="K1400" s="5" t="s">
        <v>1615</v>
      </c>
    </row>
    <row r="1401" spans="1:11" hidden="1">
      <c r="A1401" s="265"/>
      <c r="H1401" s="233" t="s">
        <v>715</v>
      </c>
      <c r="I1401"/>
      <c r="J1401" s="4"/>
      <c r="K1401" s="8" t="e">
        <f>SUM(K1396:K1399)</f>
        <v>#REF!</v>
      </c>
    </row>
    <row r="1402" spans="1:11" hidden="1">
      <c r="A1402" s="265"/>
      <c r="I1402"/>
      <c r="J1402" s="4"/>
      <c r="K1402" s="5" t="s">
        <v>1615</v>
      </c>
    </row>
    <row r="1403" spans="1:11" hidden="1">
      <c r="A1403" s="265"/>
      <c r="H1403" s="233" t="s">
        <v>716</v>
      </c>
      <c r="I1403"/>
      <c r="J1403" s="4"/>
      <c r="K1403" s="8" t="e">
        <f>K1401/6.77</f>
        <v>#REF!</v>
      </c>
    </row>
    <row r="1404" spans="1:11" hidden="1">
      <c r="A1404" s="265"/>
      <c r="I1404"/>
      <c r="J1404" s="4"/>
      <c r="K1404" s="5" t="s">
        <v>2091</v>
      </c>
    </row>
    <row r="1405" spans="1:11" hidden="1">
      <c r="A1405" s="265"/>
      <c r="I1405"/>
      <c r="J1405" s="4"/>
      <c r="K1405" s="5"/>
    </row>
    <row r="1406" spans="1:11" hidden="1">
      <c r="A1406" s="265"/>
      <c r="I1406"/>
      <c r="J1406" s="4"/>
      <c r="K1406" s="5"/>
    </row>
    <row r="1407" spans="1:11" hidden="1">
      <c r="A1407" s="265"/>
      <c r="G1407" s="185" t="s">
        <v>321</v>
      </c>
      <c r="H1407" s="179" t="s">
        <v>955</v>
      </c>
      <c r="I1407"/>
      <c r="J1407" s="4"/>
      <c r="K1407" s="5"/>
    </row>
    <row r="1408" spans="1:11" hidden="1">
      <c r="A1408" s="265"/>
      <c r="G1408" s="185" t="s">
        <v>1615</v>
      </c>
      <c r="H1408" s="183" t="s">
        <v>1615</v>
      </c>
      <c r="I1408"/>
      <c r="J1408" s="4"/>
      <c r="K1408" s="5"/>
    </row>
    <row r="1409" spans="1:11" hidden="1">
      <c r="A1409" s="265"/>
      <c r="F1409" s="253">
        <v>4.7000000000000002E-3</v>
      </c>
      <c r="G1409" s="185" t="s">
        <v>2190</v>
      </c>
      <c r="H1409" s="179" t="s">
        <v>713</v>
      </c>
      <c r="I1409" t="e">
        <f>K49</f>
        <v>#REF!</v>
      </c>
      <c r="J1409" s="2" t="s">
        <v>2190</v>
      </c>
      <c r="K1409" s="8" t="e">
        <f>(F1409*I1409)</f>
        <v>#REF!</v>
      </c>
    </row>
    <row r="1410" spans="1:11" hidden="1">
      <c r="A1410" s="265"/>
      <c r="F1410" s="186">
        <v>0.15</v>
      </c>
      <c r="G1410" s="185" t="s">
        <v>570</v>
      </c>
      <c r="H1410" s="179" t="s">
        <v>714</v>
      </c>
      <c r="I1410">
        <f>C10</f>
        <v>150</v>
      </c>
      <c r="J1410" s="2" t="s">
        <v>570</v>
      </c>
      <c r="K1410" s="8">
        <f>(F1410*I1410)</f>
        <v>22.5</v>
      </c>
    </row>
    <row r="1411" spans="1:11" hidden="1">
      <c r="A1411" s="265"/>
      <c r="F1411" s="186">
        <v>0.15</v>
      </c>
      <c r="G1411" s="185" t="s">
        <v>570</v>
      </c>
      <c r="H1411" s="179" t="s">
        <v>839</v>
      </c>
      <c r="I1411">
        <f>C12</f>
        <v>95</v>
      </c>
      <c r="J1411" s="2" t="s">
        <v>570</v>
      </c>
      <c r="K1411" s="8">
        <f>(F1411*I1411)</f>
        <v>14.25</v>
      </c>
    </row>
    <row r="1412" spans="1:11" hidden="1">
      <c r="A1412" s="265"/>
      <c r="H1412" s="179" t="s">
        <v>2310</v>
      </c>
      <c r="I1412"/>
      <c r="J1412" s="4"/>
      <c r="K1412">
        <v>0</v>
      </c>
    </row>
    <row r="1413" spans="1:11" hidden="1">
      <c r="A1413" s="265"/>
      <c r="I1413"/>
      <c r="J1413" s="4"/>
      <c r="K1413" s="5" t="s">
        <v>1615</v>
      </c>
    </row>
    <row r="1414" spans="1:11" hidden="1">
      <c r="A1414" s="265"/>
      <c r="H1414" s="233" t="s">
        <v>715</v>
      </c>
      <c r="I1414"/>
      <c r="J1414" s="4"/>
      <c r="K1414" s="8" t="e">
        <f>SUM(K1409:K1412)</f>
        <v>#REF!</v>
      </c>
    </row>
    <row r="1415" spans="1:11" hidden="1">
      <c r="A1415" s="265"/>
      <c r="I1415"/>
      <c r="J1415" s="4"/>
      <c r="K1415" s="5" t="s">
        <v>1615</v>
      </c>
    </row>
    <row r="1416" spans="1:11" hidden="1">
      <c r="A1416" s="265"/>
      <c r="H1416" s="233" t="s">
        <v>716</v>
      </c>
      <c r="I1416"/>
      <c r="J1416" s="4"/>
      <c r="K1416" s="8" t="e">
        <f>K1414/6.77</f>
        <v>#REF!</v>
      </c>
    </row>
    <row r="1417" spans="1:11" hidden="1">
      <c r="A1417" s="265"/>
      <c r="I1417"/>
      <c r="J1417" s="4"/>
      <c r="K1417" s="5" t="s">
        <v>2091</v>
      </c>
    </row>
    <row r="1418" spans="1:11" hidden="1">
      <c r="A1418" s="265"/>
      <c r="I1418"/>
      <c r="J1418" s="4"/>
      <c r="K1418" s="5"/>
    </row>
    <row r="1419" spans="1:11" hidden="1">
      <c r="A1419" s="265"/>
      <c r="F1419" s="243">
        <v>37.1</v>
      </c>
      <c r="G1419" s="185" t="s">
        <v>2290</v>
      </c>
      <c r="H1419" s="179" t="s">
        <v>400</v>
      </c>
      <c r="I1419"/>
      <c r="J1419" s="4"/>
      <c r="K1419"/>
    </row>
    <row r="1420" spans="1:11" hidden="1">
      <c r="A1420" s="265"/>
      <c r="H1420" s="183" t="s">
        <v>1615</v>
      </c>
      <c r="I1420"/>
      <c r="J1420" s="4"/>
      <c r="K1420"/>
    </row>
    <row r="1421" spans="1:11" hidden="1">
      <c r="A1421" s="265"/>
      <c r="F1421" s="186">
        <v>0.09</v>
      </c>
      <c r="G1421" s="185" t="s">
        <v>885</v>
      </c>
      <c r="H1421" s="179" t="s">
        <v>2040</v>
      </c>
      <c r="I1421" s="8">
        <f>(C84)</f>
        <v>773</v>
      </c>
      <c r="J1421" s="2" t="s">
        <v>885</v>
      </c>
      <c r="K1421" s="8">
        <f>(F1421*I1421)</f>
        <v>69.569999999999993</v>
      </c>
    </row>
    <row r="1422" spans="1:11" hidden="1">
      <c r="A1422" s="265"/>
      <c r="F1422" s="186">
        <v>2.2000000000000002</v>
      </c>
      <c r="G1422" s="185" t="s">
        <v>884</v>
      </c>
      <c r="H1422" s="179" t="s">
        <v>1744</v>
      </c>
      <c r="I1422" s="8">
        <f>(C11)</f>
        <v>135</v>
      </c>
      <c r="J1422" s="2" t="s">
        <v>884</v>
      </c>
      <c r="K1422" s="8">
        <f>(F1422*I1422)</f>
        <v>297</v>
      </c>
    </row>
    <row r="1423" spans="1:11" hidden="1">
      <c r="A1423" s="265"/>
      <c r="F1423" s="186">
        <v>0.5</v>
      </c>
      <c r="G1423" s="185" t="s">
        <v>884</v>
      </c>
      <c r="H1423" s="179" t="s">
        <v>1937</v>
      </c>
      <c r="I1423" s="8">
        <f>(C12)</f>
        <v>95</v>
      </c>
      <c r="J1423" s="2" t="s">
        <v>884</v>
      </c>
      <c r="K1423" s="8">
        <f>(F1423*I1423)</f>
        <v>47.5</v>
      </c>
    </row>
    <row r="1424" spans="1:11" hidden="1">
      <c r="A1424" s="265"/>
      <c r="F1424" s="186">
        <v>3.8</v>
      </c>
      <c r="G1424" s="185" t="s">
        <v>884</v>
      </c>
      <c r="H1424" s="179" t="s">
        <v>325</v>
      </c>
      <c r="I1424" s="8">
        <f>(C13)</f>
        <v>85</v>
      </c>
      <c r="J1424" s="2" t="s">
        <v>884</v>
      </c>
      <c r="K1424" s="8">
        <f>(F1424*I1424)</f>
        <v>323</v>
      </c>
    </row>
    <row r="1425" spans="1:11" hidden="1">
      <c r="A1425" s="265"/>
      <c r="G1425" s="185" t="s">
        <v>455</v>
      </c>
      <c r="H1425" s="179" t="s">
        <v>511</v>
      </c>
      <c r="I1425" s="1" t="s">
        <v>992</v>
      </c>
      <c r="J1425" s="2" t="s">
        <v>455</v>
      </c>
      <c r="K1425" s="8">
        <v>1.5</v>
      </c>
    </row>
    <row r="1426" spans="1:11" hidden="1">
      <c r="A1426" s="265"/>
      <c r="I1426"/>
      <c r="J1426" s="4"/>
      <c r="K1426" s="5" t="s">
        <v>1615</v>
      </c>
    </row>
    <row r="1427" spans="1:11" hidden="1">
      <c r="A1427" s="265"/>
      <c r="H1427" s="179" t="s">
        <v>1872</v>
      </c>
      <c r="I1427"/>
      <c r="J1427" s="4"/>
      <c r="K1427" s="8">
        <f>SUM(K1420:K1425)</f>
        <v>738.57</v>
      </c>
    </row>
    <row r="1428" spans="1:11" hidden="1">
      <c r="A1428" s="265"/>
      <c r="I1428"/>
      <c r="J1428" s="4"/>
      <c r="K1428" s="5" t="s">
        <v>1615</v>
      </c>
    </row>
    <row r="1429" spans="1:11" hidden="1">
      <c r="A1429" s="265"/>
      <c r="H1429" s="179" t="s">
        <v>562</v>
      </c>
      <c r="I1429"/>
      <c r="J1429" s="4"/>
      <c r="K1429" s="8">
        <f>(K1427/100)</f>
        <v>7.39</v>
      </c>
    </row>
    <row r="1430" spans="1:11" hidden="1">
      <c r="A1430" s="265"/>
      <c r="I1430"/>
      <c r="J1430" s="4"/>
      <c r="K1430" s="5" t="s">
        <v>2091</v>
      </c>
    </row>
    <row r="1431" spans="1:11" hidden="1">
      <c r="A1431" s="265"/>
      <c r="F1431" s="233" t="s">
        <v>864</v>
      </c>
      <c r="G1431" s="185" t="s">
        <v>2290</v>
      </c>
      <c r="H1431" s="179" t="s">
        <v>1017</v>
      </c>
      <c r="I1431"/>
      <c r="J1431" s="4"/>
      <c r="K1431"/>
    </row>
    <row r="1432" spans="1:11" hidden="1">
      <c r="A1432" s="265"/>
      <c r="H1432" s="179" t="s">
        <v>1018</v>
      </c>
      <c r="I1432"/>
      <c r="J1432" s="4"/>
      <c r="K1432"/>
    </row>
    <row r="1433" spans="1:11" hidden="1">
      <c r="A1433" s="265"/>
      <c r="H1433" s="179" t="s">
        <v>1019</v>
      </c>
      <c r="I1433"/>
      <c r="J1433" s="4"/>
      <c r="K1433"/>
    </row>
    <row r="1434" spans="1:11" hidden="1">
      <c r="A1434" s="265"/>
      <c r="H1434" s="179" t="s">
        <v>30</v>
      </c>
      <c r="I1434"/>
      <c r="J1434" s="4"/>
      <c r="K1434"/>
    </row>
    <row r="1435" spans="1:11" hidden="1">
      <c r="A1435" s="265"/>
      <c r="H1435" s="183" t="s">
        <v>1615</v>
      </c>
      <c r="I1435"/>
      <c r="J1435" s="4"/>
      <c r="K1435"/>
    </row>
    <row r="1436" spans="1:11" hidden="1">
      <c r="A1436" s="265"/>
      <c r="F1436" s="186">
        <v>4.8</v>
      </c>
      <c r="G1436" s="185" t="s">
        <v>1676</v>
      </c>
      <c r="H1436" s="179" t="s">
        <v>446</v>
      </c>
      <c r="I1436" s="8">
        <f>(C270)</f>
        <v>35</v>
      </c>
      <c r="J1436" s="2" t="s">
        <v>1676</v>
      </c>
      <c r="K1436" s="8">
        <f>(F1436*I1436)</f>
        <v>168</v>
      </c>
    </row>
    <row r="1437" spans="1:11" hidden="1">
      <c r="A1437" s="265"/>
      <c r="F1437" s="186">
        <v>0.75</v>
      </c>
      <c r="G1437" s="185" t="s">
        <v>884</v>
      </c>
      <c r="H1437" s="179" t="s">
        <v>31</v>
      </c>
      <c r="I1437" s="8">
        <f>(C14)</f>
        <v>120</v>
      </c>
      <c r="J1437" s="2" t="s">
        <v>884</v>
      </c>
      <c r="K1437" s="8">
        <f>(F1437*I1437)</f>
        <v>90</v>
      </c>
    </row>
    <row r="1438" spans="1:11" hidden="1">
      <c r="A1438" s="265"/>
      <c r="F1438" s="186">
        <v>0.75</v>
      </c>
      <c r="G1438" s="185" t="s">
        <v>884</v>
      </c>
      <c r="H1438" s="179" t="s">
        <v>950</v>
      </c>
      <c r="I1438" s="8">
        <f>(C12)</f>
        <v>95</v>
      </c>
      <c r="J1438" s="2" t="s">
        <v>884</v>
      </c>
      <c r="K1438" s="8">
        <f>(F1438*I1438)</f>
        <v>71.25</v>
      </c>
    </row>
    <row r="1439" spans="1:11" hidden="1">
      <c r="A1439" s="265"/>
      <c r="F1439" s="186">
        <v>1.2</v>
      </c>
      <c r="G1439" s="185" t="s">
        <v>884</v>
      </c>
      <c r="H1439" s="179" t="s">
        <v>325</v>
      </c>
      <c r="I1439" s="8">
        <f>(C13)</f>
        <v>85</v>
      </c>
      <c r="J1439" s="2" t="s">
        <v>884</v>
      </c>
      <c r="K1439" s="8">
        <f>(F1439*I1439)</f>
        <v>102</v>
      </c>
    </row>
    <row r="1440" spans="1:11" hidden="1">
      <c r="A1440" s="265"/>
      <c r="G1440" s="185" t="s">
        <v>455</v>
      </c>
      <c r="H1440" s="179" t="s">
        <v>1870</v>
      </c>
      <c r="I1440" s="1" t="s">
        <v>992</v>
      </c>
      <c r="J1440" s="2" t="s">
        <v>455</v>
      </c>
      <c r="K1440" s="8">
        <v>1.45</v>
      </c>
    </row>
    <row r="1441" spans="1:11" hidden="1">
      <c r="A1441" s="265"/>
      <c r="I1441"/>
      <c r="J1441" s="4"/>
      <c r="K1441" s="5" t="s">
        <v>1615</v>
      </c>
    </row>
    <row r="1442" spans="1:11" hidden="1">
      <c r="A1442" s="265"/>
      <c r="H1442" s="179" t="s">
        <v>447</v>
      </c>
      <c r="I1442"/>
      <c r="J1442" s="4"/>
      <c r="K1442" s="8">
        <f>SUM(K1436:K1440)</f>
        <v>432.7</v>
      </c>
    </row>
    <row r="1443" spans="1:11" hidden="1">
      <c r="A1443" s="265"/>
      <c r="I1443"/>
      <c r="J1443" s="4"/>
      <c r="K1443" s="5" t="s">
        <v>1615</v>
      </c>
    </row>
    <row r="1444" spans="1:11" hidden="1">
      <c r="A1444" s="265"/>
      <c r="H1444" s="179" t="s">
        <v>562</v>
      </c>
      <c r="I1444"/>
      <c r="J1444" s="4"/>
      <c r="K1444" s="8">
        <f>(K1442/10)</f>
        <v>43.27</v>
      </c>
    </row>
    <row r="1445" spans="1:11" hidden="1">
      <c r="A1445" s="265"/>
      <c r="I1445"/>
      <c r="J1445" s="4"/>
      <c r="K1445" s="5" t="s">
        <v>2091</v>
      </c>
    </row>
    <row r="1446" spans="1:11" hidden="1">
      <c r="A1446" s="265"/>
      <c r="F1446" s="233" t="s">
        <v>32</v>
      </c>
      <c r="G1446" s="185" t="s">
        <v>2290</v>
      </c>
      <c r="H1446" s="233" t="s">
        <v>33</v>
      </c>
      <c r="I1446"/>
      <c r="J1446" s="4"/>
      <c r="K1446"/>
    </row>
    <row r="1447" spans="1:11" hidden="1">
      <c r="A1447" s="265"/>
      <c r="H1447" s="233" t="s">
        <v>34</v>
      </c>
      <c r="I1447"/>
      <c r="J1447" s="4"/>
      <c r="K1447"/>
    </row>
    <row r="1448" spans="1:11" hidden="1">
      <c r="A1448" s="265"/>
      <c r="F1448" s="186">
        <v>3.08</v>
      </c>
      <c r="G1448" s="185" t="s">
        <v>1394</v>
      </c>
      <c r="H1448" s="179" t="s">
        <v>33</v>
      </c>
      <c r="I1448" s="8">
        <v>120</v>
      </c>
      <c r="J1448" s="2" t="s">
        <v>1394</v>
      </c>
      <c r="K1448" s="8">
        <f>(F1448*I1448)</f>
        <v>369.6</v>
      </c>
    </row>
    <row r="1449" spans="1:11" hidden="1">
      <c r="A1449" s="265"/>
      <c r="F1449" s="186">
        <v>0.5</v>
      </c>
      <c r="G1449" s="185" t="s">
        <v>570</v>
      </c>
      <c r="H1449" s="179" t="s">
        <v>1395</v>
      </c>
      <c r="I1449" s="8">
        <f>C14</f>
        <v>120</v>
      </c>
      <c r="J1449" s="2" t="s">
        <v>570</v>
      </c>
      <c r="K1449" s="8">
        <f>(F1449*I1449)</f>
        <v>60</v>
      </c>
    </row>
    <row r="1450" spans="1:11" hidden="1">
      <c r="A1450" s="265"/>
      <c r="F1450" s="186">
        <v>0.5</v>
      </c>
      <c r="G1450" s="185" t="s">
        <v>570</v>
      </c>
      <c r="H1450" s="179" t="s">
        <v>839</v>
      </c>
      <c r="I1450" s="8">
        <f>C12</f>
        <v>95</v>
      </c>
      <c r="J1450" s="2" t="s">
        <v>570</v>
      </c>
      <c r="K1450" s="8">
        <f>(F1450*I1450)</f>
        <v>47.5</v>
      </c>
    </row>
    <row r="1451" spans="1:11" hidden="1">
      <c r="A1451" s="265"/>
      <c r="F1451" s="186">
        <v>0.8</v>
      </c>
      <c r="G1451" s="185" t="s">
        <v>570</v>
      </c>
      <c r="H1451" s="179" t="s">
        <v>1396</v>
      </c>
      <c r="I1451" s="8">
        <f>C13</f>
        <v>85</v>
      </c>
      <c r="J1451" s="2" t="s">
        <v>570</v>
      </c>
      <c r="K1451" s="8">
        <f>(F1451*I1451)</f>
        <v>68</v>
      </c>
    </row>
    <row r="1452" spans="1:11" hidden="1">
      <c r="A1452" s="265"/>
      <c r="G1452" s="185" t="s">
        <v>455</v>
      </c>
      <c r="H1452" s="179" t="s">
        <v>1870</v>
      </c>
      <c r="I1452"/>
      <c r="J1452" s="2" t="s">
        <v>455</v>
      </c>
      <c r="K1452" s="8">
        <v>1.5</v>
      </c>
    </row>
    <row r="1453" spans="1:11" hidden="1">
      <c r="A1453" s="265"/>
      <c r="I1453"/>
      <c r="J1453" s="4"/>
      <c r="K1453"/>
    </row>
    <row r="1454" spans="1:11" hidden="1">
      <c r="A1454" s="265"/>
      <c r="I1454"/>
      <c r="J1454" s="4"/>
      <c r="K1454" s="5" t="s">
        <v>1615</v>
      </c>
    </row>
    <row r="1455" spans="1:11" hidden="1">
      <c r="A1455" s="265"/>
      <c r="H1455" s="233" t="s">
        <v>1397</v>
      </c>
      <c r="I1455"/>
      <c r="J1455" s="4"/>
      <c r="K1455" s="8">
        <f>SUM(K1448:K1452)</f>
        <v>546.6</v>
      </c>
    </row>
    <row r="1456" spans="1:11" hidden="1">
      <c r="A1456" s="265"/>
      <c r="I1456"/>
      <c r="J1456" s="4"/>
      <c r="K1456" s="5" t="s">
        <v>1615</v>
      </c>
    </row>
    <row r="1457" spans="1:11" hidden="1">
      <c r="A1457" s="265"/>
      <c r="F1457" s="179" t="s">
        <v>992</v>
      </c>
      <c r="G1457" s="185" t="s">
        <v>992</v>
      </c>
      <c r="H1457" s="233" t="s">
        <v>1727</v>
      </c>
      <c r="I1457" s="1" t="s">
        <v>992</v>
      </c>
      <c r="J1457" s="2" t="s">
        <v>992</v>
      </c>
      <c r="K1457" s="8">
        <f>K1455/10</f>
        <v>54.66</v>
      </c>
    </row>
    <row r="1458" spans="1:11" hidden="1">
      <c r="A1458" s="265"/>
      <c r="I1458"/>
      <c r="J1458" s="4"/>
      <c r="K1458" s="5" t="s">
        <v>2091</v>
      </c>
    </row>
    <row r="1459" spans="1:11" hidden="1">
      <c r="A1459" s="265"/>
      <c r="F1459" s="233" t="s">
        <v>1398</v>
      </c>
      <c r="G1459" s="185" t="s">
        <v>2290</v>
      </c>
      <c r="H1459" s="179" t="s">
        <v>1399</v>
      </c>
      <c r="I1459"/>
      <c r="J1459" s="4"/>
      <c r="K1459"/>
    </row>
    <row r="1460" spans="1:11" hidden="1">
      <c r="A1460" s="265"/>
      <c r="H1460" s="179" t="s">
        <v>1400</v>
      </c>
      <c r="I1460"/>
      <c r="J1460" s="4"/>
      <c r="K1460"/>
    </row>
    <row r="1461" spans="1:11" hidden="1">
      <c r="A1461" s="265"/>
      <c r="H1461" s="179" t="s">
        <v>1261</v>
      </c>
      <c r="I1461"/>
      <c r="J1461" s="4"/>
      <c r="K1461"/>
    </row>
    <row r="1462" spans="1:11" hidden="1">
      <c r="A1462" s="265"/>
      <c r="H1462" s="183" t="s">
        <v>1615</v>
      </c>
      <c r="I1462"/>
      <c r="J1462" s="4"/>
      <c r="K1462"/>
    </row>
    <row r="1463" spans="1:11" hidden="1">
      <c r="A1463" s="265"/>
      <c r="F1463" s="186">
        <v>1.44</v>
      </c>
      <c r="G1463" s="185" t="s">
        <v>1262</v>
      </c>
      <c r="H1463" s="179" t="s">
        <v>1200</v>
      </c>
      <c r="I1463" s="8">
        <f>(C195)</f>
        <v>100</v>
      </c>
      <c r="J1463" s="2" t="s">
        <v>1262</v>
      </c>
      <c r="K1463" s="8">
        <f>(F1463*I1463)</f>
        <v>144</v>
      </c>
    </row>
    <row r="1464" spans="1:11" hidden="1">
      <c r="A1464" s="265"/>
      <c r="F1464" s="186">
        <v>0.7</v>
      </c>
      <c r="G1464" s="185" t="s">
        <v>785</v>
      </c>
      <c r="H1464" s="179" t="s">
        <v>1201</v>
      </c>
      <c r="I1464" s="8">
        <f>(C14)</f>
        <v>120</v>
      </c>
      <c r="J1464" s="2" t="s">
        <v>785</v>
      </c>
      <c r="K1464" s="8">
        <f>(F1464*I1464)</f>
        <v>84</v>
      </c>
    </row>
    <row r="1465" spans="1:11" hidden="1">
      <c r="A1465" s="265"/>
      <c r="F1465" s="186">
        <v>2.5499999999999998</v>
      </c>
      <c r="G1465" s="185" t="s">
        <v>1262</v>
      </c>
      <c r="H1465" s="179" t="s">
        <v>1202</v>
      </c>
      <c r="I1465" s="8">
        <f>(C194)</f>
        <v>160</v>
      </c>
      <c r="J1465" s="2" t="s">
        <v>1262</v>
      </c>
      <c r="K1465" s="8">
        <f>(F1465*I1465)</f>
        <v>408</v>
      </c>
    </row>
    <row r="1466" spans="1:11" hidden="1">
      <c r="A1466" s="265"/>
      <c r="F1466" s="186">
        <v>1.2</v>
      </c>
      <c r="G1466" s="185" t="s">
        <v>785</v>
      </c>
      <c r="H1466" s="179" t="s">
        <v>1201</v>
      </c>
      <c r="I1466" s="8">
        <f>(C14)</f>
        <v>120</v>
      </c>
      <c r="J1466" s="2" t="s">
        <v>785</v>
      </c>
      <c r="K1466" s="8">
        <f>(F1466*I1466)</f>
        <v>144</v>
      </c>
    </row>
    <row r="1467" spans="1:11" hidden="1">
      <c r="A1467" s="265"/>
      <c r="G1467" s="185" t="s">
        <v>455</v>
      </c>
      <c r="H1467" s="179" t="s">
        <v>1203</v>
      </c>
      <c r="I1467" s="1" t="s">
        <v>992</v>
      </c>
      <c r="J1467" s="2" t="s">
        <v>455</v>
      </c>
      <c r="K1467" s="8">
        <v>1.5</v>
      </c>
    </row>
    <row r="1468" spans="1:11" hidden="1">
      <c r="A1468" s="265"/>
      <c r="I1468"/>
      <c r="J1468" s="4"/>
      <c r="K1468" s="5" t="s">
        <v>1615</v>
      </c>
    </row>
    <row r="1469" spans="1:11" hidden="1">
      <c r="A1469" s="265"/>
      <c r="H1469" s="179" t="s">
        <v>447</v>
      </c>
      <c r="I1469"/>
      <c r="J1469" s="4"/>
      <c r="K1469" s="8">
        <f>SUM(K1463:K1467)</f>
        <v>781.5</v>
      </c>
    </row>
    <row r="1470" spans="1:11" hidden="1">
      <c r="A1470" s="265"/>
      <c r="I1470"/>
      <c r="J1470" s="4"/>
      <c r="K1470" s="5" t="s">
        <v>1615</v>
      </c>
    </row>
    <row r="1471" spans="1:11" hidden="1">
      <c r="A1471" s="265"/>
      <c r="H1471" s="179" t="s">
        <v>562</v>
      </c>
      <c r="I1471"/>
      <c r="J1471" s="4"/>
      <c r="K1471" s="8">
        <f>(K1469/10)</f>
        <v>78.150000000000006</v>
      </c>
    </row>
    <row r="1472" spans="1:11" hidden="1">
      <c r="A1472" s="265"/>
      <c r="F1472" s="179" t="s">
        <v>992</v>
      </c>
      <c r="I1472"/>
      <c r="J1472" s="4"/>
      <c r="K1472"/>
    </row>
    <row r="1473" spans="1:11" hidden="1">
      <c r="A1473" s="265"/>
      <c r="I1473"/>
      <c r="J1473" s="4"/>
      <c r="K1473" s="5" t="s">
        <v>2091</v>
      </c>
    </row>
    <row r="1474" spans="1:11" hidden="1">
      <c r="A1474" s="265"/>
      <c r="F1474" s="239">
        <v>41</v>
      </c>
      <c r="G1474" s="185" t="s">
        <v>2290</v>
      </c>
      <c r="H1474" s="179" t="s">
        <v>1399</v>
      </c>
      <c r="I1474"/>
      <c r="J1474" s="4"/>
      <c r="K1474"/>
    </row>
    <row r="1475" spans="1:11" hidden="1">
      <c r="A1475" s="265"/>
      <c r="H1475" s="179" t="s">
        <v>1066</v>
      </c>
      <c r="I1475"/>
      <c r="J1475" s="4"/>
      <c r="K1475"/>
    </row>
    <row r="1476" spans="1:11" hidden="1">
      <c r="A1476" s="265"/>
      <c r="H1476" s="179" t="s">
        <v>1261</v>
      </c>
      <c r="I1476"/>
      <c r="J1476" s="4"/>
      <c r="K1476"/>
    </row>
    <row r="1477" spans="1:11" hidden="1">
      <c r="A1477" s="265"/>
      <c r="H1477" s="183" t="s">
        <v>1615</v>
      </c>
      <c r="I1477"/>
      <c r="J1477" s="4"/>
      <c r="K1477"/>
    </row>
    <row r="1478" spans="1:11" hidden="1">
      <c r="A1478" s="265"/>
      <c r="F1478" s="186">
        <v>2.2200000000000002</v>
      </c>
      <c r="G1478" s="185" t="s">
        <v>1262</v>
      </c>
      <c r="H1478" s="179" t="s">
        <v>1202</v>
      </c>
      <c r="I1478" s="8">
        <f>(C206)</f>
        <v>150</v>
      </c>
      <c r="J1478" s="2" t="s">
        <v>1262</v>
      </c>
      <c r="K1478" s="8">
        <f>(F1478*I1478)</f>
        <v>333</v>
      </c>
    </row>
    <row r="1479" spans="1:11" hidden="1">
      <c r="A1479" s="265"/>
      <c r="F1479" s="186">
        <v>1.1000000000000001</v>
      </c>
      <c r="G1479" s="185" t="s">
        <v>785</v>
      </c>
      <c r="H1479" s="179" t="s">
        <v>1201</v>
      </c>
      <c r="I1479" s="8">
        <f>(C14)</f>
        <v>120</v>
      </c>
      <c r="J1479" s="2" t="s">
        <v>785</v>
      </c>
      <c r="K1479" s="8">
        <f>(F1479*I1479)</f>
        <v>132</v>
      </c>
    </row>
    <row r="1480" spans="1:11" hidden="1">
      <c r="A1480" s="265"/>
      <c r="G1480" s="185" t="s">
        <v>455</v>
      </c>
      <c r="H1480" s="179" t="s">
        <v>1203</v>
      </c>
      <c r="I1480" s="1" t="s">
        <v>992</v>
      </c>
      <c r="J1480" s="2" t="s">
        <v>455</v>
      </c>
      <c r="K1480" s="8">
        <v>1.5</v>
      </c>
    </row>
    <row r="1481" spans="1:11" hidden="1">
      <c r="A1481" s="265"/>
      <c r="I1481"/>
      <c r="J1481" s="4"/>
      <c r="K1481" s="5" t="s">
        <v>1615</v>
      </c>
    </row>
    <row r="1482" spans="1:11" hidden="1">
      <c r="A1482" s="265"/>
      <c r="H1482" s="179" t="s">
        <v>447</v>
      </c>
      <c r="I1482"/>
      <c r="J1482" s="4"/>
      <c r="K1482" s="8">
        <f>SUM(K1478:K1480)</f>
        <v>466.5</v>
      </c>
    </row>
    <row r="1483" spans="1:11" hidden="1">
      <c r="A1483" s="265"/>
      <c r="I1483"/>
      <c r="J1483" s="4"/>
      <c r="K1483" s="5" t="s">
        <v>1615</v>
      </c>
    </row>
    <row r="1484" spans="1:11" hidden="1">
      <c r="A1484" s="265"/>
      <c r="H1484" s="179" t="s">
        <v>562</v>
      </c>
      <c r="I1484"/>
      <c r="J1484" s="4"/>
      <c r="K1484" s="8">
        <f>(K1482/10)</f>
        <v>46.65</v>
      </c>
    </row>
    <row r="1485" spans="1:11" hidden="1">
      <c r="A1485" s="265"/>
      <c r="H1485" s="179"/>
      <c r="I1485"/>
      <c r="J1485" s="4"/>
      <c r="K1485" s="8"/>
    </row>
    <row r="1486" spans="1:11" hidden="1">
      <c r="A1486" s="265"/>
      <c r="H1486" s="179"/>
      <c r="I1486"/>
      <c r="J1486" s="4"/>
      <c r="K1486" s="8"/>
    </row>
    <row r="1487" spans="1:11" hidden="1">
      <c r="A1487" s="265"/>
      <c r="F1487" s="239">
        <v>238</v>
      </c>
      <c r="G1487" s="185" t="s">
        <v>2290</v>
      </c>
      <c r="H1487" s="179" t="s">
        <v>596</v>
      </c>
      <c r="I1487"/>
      <c r="J1487" s="4"/>
      <c r="K1487"/>
    </row>
    <row r="1488" spans="1:11" hidden="1">
      <c r="A1488" s="265"/>
      <c r="H1488" s="179" t="s">
        <v>3185</v>
      </c>
      <c r="I1488"/>
      <c r="J1488" s="4"/>
      <c r="K1488"/>
    </row>
    <row r="1489" spans="1:11" hidden="1">
      <c r="A1489" s="265"/>
      <c r="H1489" s="183" t="s">
        <v>1615</v>
      </c>
      <c r="I1489"/>
      <c r="J1489" s="4"/>
      <c r="K1489"/>
    </row>
    <row r="1490" spans="1:11" hidden="1">
      <c r="A1490" s="265"/>
      <c r="F1490" s="186">
        <v>20</v>
      </c>
      <c r="G1490" s="185" t="s">
        <v>1262</v>
      </c>
      <c r="H1490" s="179" t="s">
        <v>597</v>
      </c>
      <c r="I1490" s="8">
        <f>D40</f>
        <v>105.45</v>
      </c>
      <c r="J1490" s="2" t="s">
        <v>1262</v>
      </c>
      <c r="K1490" s="8">
        <f>(F1490*I1490)</f>
        <v>2109</v>
      </c>
    </row>
    <row r="1491" spans="1:11" hidden="1">
      <c r="A1491" s="265"/>
      <c r="H1491" s="179" t="s">
        <v>598</v>
      </c>
      <c r="I1491"/>
      <c r="J1491" s="4"/>
      <c r="K1491" s="1" t="s">
        <v>992</v>
      </c>
    </row>
    <row r="1492" spans="1:11" hidden="1">
      <c r="A1492" s="265"/>
      <c r="F1492" s="186">
        <v>50</v>
      </c>
      <c r="G1492" s="185" t="s">
        <v>1676</v>
      </c>
      <c r="H1492" s="179" t="s">
        <v>878</v>
      </c>
      <c r="I1492" s="8">
        <f>C67/1000</f>
        <v>3.8</v>
      </c>
      <c r="J1492" s="2" t="s">
        <v>1676</v>
      </c>
      <c r="K1492" s="8">
        <f>(F1492*I1492)</f>
        <v>190</v>
      </c>
    </row>
    <row r="1493" spans="1:11" hidden="1">
      <c r="A1493" s="265"/>
      <c r="F1493" s="186">
        <v>1</v>
      </c>
      <c r="G1493" s="185" t="s">
        <v>455</v>
      </c>
      <c r="H1493" s="179" t="s">
        <v>599</v>
      </c>
      <c r="I1493" s="8">
        <v>75</v>
      </c>
      <c r="J1493" s="2" t="s">
        <v>455</v>
      </c>
      <c r="K1493" s="8">
        <f>(F1493*I1493)</f>
        <v>75</v>
      </c>
    </row>
    <row r="1494" spans="1:11" hidden="1">
      <c r="A1494" s="265"/>
      <c r="F1494" s="186">
        <v>1</v>
      </c>
      <c r="G1494" s="185" t="s">
        <v>455</v>
      </c>
      <c r="H1494" s="179" t="s">
        <v>600</v>
      </c>
      <c r="I1494" s="8">
        <f>C38</f>
        <v>40</v>
      </c>
      <c r="J1494" s="2" t="s">
        <v>455</v>
      </c>
      <c r="K1494" s="8">
        <f>(F1494*I1494)</f>
        <v>40</v>
      </c>
    </row>
    <row r="1495" spans="1:11" hidden="1">
      <c r="A1495" s="265"/>
      <c r="F1495" s="186">
        <v>2.5</v>
      </c>
      <c r="G1495" s="185" t="s">
        <v>455</v>
      </c>
      <c r="H1495" s="179" t="s">
        <v>601</v>
      </c>
      <c r="I1495" s="8">
        <f>D14</f>
        <v>110</v>
      </c>
      <c r="J1495" s="2" t="s">
        <v>455</v>
      </c>
      <c r="K1495" s="8">
        <f>(F1495*I1495)</f>
        <v>275</v>
      </c>
    </row>
    <row r="1496" spans="1:11" hidden="1">
      <c r="A1496" s="265"/>
      <c r="G1496" s="185" t="s">
        <v>455</v>
      </c>
      <c r="H1496" s="179" t="s">
        <v>512</v>
      </c>
      <c r="I1496"/>
      <c r="J1496" s="2" t="s">
        <v>455</v>
      </c>
      <c r="K1496" s="6">
        <v>1.5</v>
      </c>
    </row>
    <row r="1497" spans="1:11" hidden="1">
      <c r="A1497" s="265"/>
      <c r="I1497"/>
      <c r="J1497" s="4"/>
      <c r="K1497" s="5" t="s">
        <v>1615</v>
      </c>
    </row>
    <row r="1498" spans="1:11" hidden="1">
      <c r="A1498" s="265"/>
      <c r="H1498" s="179" t="s">
        <v>602</v>
      </c>
      <c r="I1498"/>
      <c r="J1498" s="4"/>
      <c r="K1498" s="8">
        <f>SUM(K1490:K1496)</f>
        <v>2690.5</v>
      </c>
    </row>
    <row r="1499" spans="1:11" hidden="1">
      <c r="A1499" s="265"/>
      <c r="H1499" s="179"/>
      <c r="I1499"/>
      <c r="J1499" s="4"/>
      <c r="K1499" s="5" t="s">
        <v>1615</v>
      </c>
    </row>
    <row r="1500" spans="1:11" hidden="1">
      <c r="A1500" s="265"/>
      <c r="I1500"/>
      <c r="J1500" s="4"/>
      <c r="K1500" s="5"/>
    </row>
    <row r="1501" spans="1:11" hidden="1">
      <c r="A1501" s="265"/>
      <c r="F1501" s="233" t="s">
        <v>1067</v>
      </c>
      <c r="G1501" s="185" t="s">
        <v>2290</v>
      </c>
      <c r="H1501" s="179" t="s">
        <v>561</v>
      </c>
      <c r="I1501"/>
      <c r="J1501" s="4"/>
      <c r="K1501"/>
    </row>
    <row r="1502" spans="1:11" hidden="1">
      <c r="A1502" s="265"/>
      <c r="H1502" s="179" t="s">
        <v>2172</v>
      </c>
      <c r="I1502"/>
      <c r="J1502" s="4"/>
      <c r="K1502"/>
    </row>
    <row r="1503" spans="1:11" hidden="1">
      <c r="A1503" s="265"/>
      <c r="H1503" s="183" t="s">
        <v>1615</v>
      </c>
      <c r="I1503"/>
      <c r="J1503" s="4"/>
      <c r="K1503"/>
    </row>
    <row r="1504" spans="1:11" hidden="1">
      <c r="A1504" s="265"/>
      <c r="F1504" s="186">
        <v>1</v>
      </c>
      <c r="G1504" s="185" t="s">
        <v>533</v>
      </c>
      <c r="H1504" s="179" t="s">
        <v>534</v>
      </c>
      <c r="I1504" s="8">
        <f>(C138)</f>
        <v>28000</v>
      </c>
      <c r="J1504" s="2" t="s">
        <v>535</v>
      </c>
      <c r="K1504" s="8">
        <f>(F1504*I1504)/10</f>
        <v>2800</v>
      </c>
    </row>
    <row r="1505" spans="1:15" hidden="1">
      <c r="A1505" s="265"/>
      <c r="F1505" s="242">
        <v>0.01</v>
      </c>
      <c r="G1505" s="185" t="s">
        <v>533</v>
      </c>
      <c r="H1505" s="179" t="s">
        <v>194</v>
      </c>
      <c r="I1505" s="8">
        <f>(C142)</f>
        <v>30000</v>
      </c>
      <c r="J1505" s="2" t="s">
        <v>535</v>
      </c>
      <c r="K1505" s="8">
        <f>(F1505*I1505)/10</f>
        <v>30</v>
      </c>
    </row>
    <row r="1506" spans="1:15" hidden="1">
      <c r="A1506" s="265"/>
      <c r="F1506" s="242">
        <v>3.5</v>
      </c>
      <c r="G1506" s="185" t="s">
        <v>785</v>
      </c>
      <c r="H1506" s="179" t="s">
        <v>536</v>
      </c>
      <c r="I1506" s="8">
        <f>(C17)</f>
        <v>130</v>
      </c>
      <c r="J1506" s="2" t="s">
        <v>1423</v>
      </c>
      <c r="K1506" s="8">
        <f>(F1506*I1506)</f>
        <v>455</v>
      </c>
      <c r="O1506" s="180">
        <f>92+18.4</f>
        <v>110.4</v>
      </c>
    </row>
    <row r="1507" spans="1:15" hidden="1">
      <c r="A1507" s="265"/>
      <c r="F1507" s="186">
        <v>1.3</v>
      </c>
      <c r="G1507" s="185" t="s">
        <v>1676</v>
      </c>
      <c r="H1507" s="179" t="s">
        <v>537</v>
      </c>
      <c r="I1507" s="8">
        <f>C67/1000</f>
        <v>3.8</v>
      </c>
      <c r="J1507" s="2" t="s">
        <v>1676</v>
      </c>
      <c r="K1507" s="8">
        <f>(F1507*I1507)</f>
        <v>4.9400000000000004</v>
      </c>
      <c r="O1507" s="180">
        <f>95+19</f>
        <v>114</v>
      </c>
    </row>
    <row r="1508" spans="1:15" hidden="1">
      <c r="A1508" s="265"/>
      <c r="F1508" s="186">
        <v>0.25</v>
      </c>
      <c r="G1508" s="185" t="s">
        <v>785</v>
      </c>
      <c r="H1508" s="179" t="s">
        <v>538</v>
      </c>
      <c r="I1508" s="8">
        <f>D14</f>
        <v>110</v>
      </c>
      <c r="J1508" s="2" t="s">
        <v>1423</v>
      </c>
      <c r="K1508" s="8">
        <f>(F1508*I1508)</f>
        <v>27.5</v>
      </c>
    </row>
    <row r="1509" spans="1:15" hidden="1">
      <c r="A1509" s="265"/>
      <c r="F1509" s="242"/>
      <c r="G1509" s="185" t="s">
        <v>455</v>
      </c>
      <c r="H1509" s="179" t="s">
        <v>456</v>
      </c>
      <c r="I1509"/>
      <c r="J1509" s="2" t="s">
        <v>455</v>
      </c>
      <c r="K1509" s="8">
        <f>(F1509*I1509)</f>
        <v>0</v>
      </c>
    </row>
    <row r="1510" spans="1:15" hidden="1">
      <c r="A1510" s="265"/>
      <c r="F1510" s="242"/>
      <c r="I1510"/>
      <c r="J1510" s="4"/>
      <c r="K1510" s="5" t="s">
        <v>1615</v>
      </c>
    </row>
    <row r="1511" spans="1:15" hidden="1">
      <c r="A1511" s="265"/>
      <c r="F1511" s="242"/>
      <c r="H1511" s="179" t="s">
        <v>539</v>
      </c>
      <c r="I1511"/>
      <c r="J1511" s="4"/>
      <c r="K1511" s="8">
        <f>SUM(K1504:K1509)</f>
        <v>3317.44</v>
      </c>
    </row>
    <row r="1512" spans="1:15" hidden="1">
      <c r="A1512" s="265"/>
      <c r="F1512" s="242"/>
      <c r="I1512"/>
      <c r="J1512" s="4"/>
      <c r="K1512" s="5" t="s">
        <v>1615</v>
      </c>
    </row>
    <row r="1513" spans="1:15" hidden="1">
      <c r="A1513" s="265"/>
      <c r="F1513" s="242"/>
      <c r="H1513" s="179" t="s">
        <v>540</v>
      </c>
      <c r="I1513"/>
      <c r="J1513" s="4"/>
      <c r="K1513" s="8">
        <f>(K1511*10)</f>
        <v>33174.400000000001</v>
      </c>
    </row>
    <row r="1514" spans="1:15" hidden="1">
      <c r="A1514" s="265"/>
      <c r="F1514" s="242"/>
      <c r="I1514"/>
      <c r="J1514" s="4"/>
      <c r="K1514" s="5" t="s">
        <v>2091</v>
      </c>
    </row>
    <row r="1515" spans="1:15" hidden="1">
      <c r="A1515" s="265"/>
      <c r="F1515" s="242"/>
      <c r="I1515"/>
      <c r="J1515" s="4"/>
      <c r="K1515" s="5"/>
    </row>
    <row r="1516" spans="1:15" hidden="1">
      <c r="A1516" s="265"/>
      <c r="F1516" s="242"/>
      <c r="H1516" s="270" t="s">
        <v>541</v>
      </c>
      <c r="I1516"/>
      <c r="J1516" s="4"/>
      <c r="K1516" s="5"/>
    </row>
    <row r="1517" spans="1:15" hidden="1">
      <c r="A1517" s="265"/>
      <c r="F1517" s="186">
        <v>1</v>
      </c>
      <c r="G1517" s="185" t="s">
        <v>533</v>
      </c>
      <c r="H1517" s="179" t="s">
        <v>542</v>
      </c>
      <c r="I1517">
        <f>C137</f>
        <v>26500</v>
      </c>
      <c r="J1517" s="2" t="s">
        <v>535</v>
      </c>
      <c r="K1517" s="8">
        <f>(F1517*I1517)/10</f>
        <v>2650</v>
      </c>
    </row>
    <row r="1518" spans="1:15" hidden="1">
      <c r="A1518" s="265"/>
      <c r="F1518" s="242">
        <v>0.01</v>
      </c>
      <c r="G1518" s="185" t="s">
        <v>533</v>
      </c>
      <c r="H1518" s="179" t="s">
        <v>194</v>
      </c>
      <c r="I1518">
        <f>C142</f>
        <v>30000</v>
      </c>
      <c r="J1518" s="2" t="s">
        <v>535</v>
      </c>
      <c r="K1518" s="8">
        <f>(F1518*I1518)/10</f>
        <v>30</v>
      </c>
    </row>
    <row r="1519" spans="1:15" hidden="1">
      <c r="A1519" s="265"/>
      <c r="F1519" s="242">
        <v>3.5</v>
      </c>
      <c r="G1519" s="185" t="s">
        <v>785</v>
      </c>
      <c r="H1519" s="179" t="s">
        <v>536</v>
      </c>
      <c r="I1519">
        <f>C17</f>
        <v>130</v>
      </c>
      <c r="J1519" s="2" t="s">
        <v>1423</v>
      </c>
      <c r="K1519" s="8">
        <f>(F1519*I1519)</f>
        <v>455</v>
      </c>
    </row>
    <row r="1520" spans="1:15" hidden="1">
      <c r="A1520" s="265"/>
      <c r="F1520" s="186">
        <v>1.3</v>
      </c>
      <c r="G1520" s="185" t="s">
        <v>1676</v>
      </c>
      <c r="H1520" s="179" t="s">
        <v>537</v>
      </c>
      <c r="I1520">
        <f>C67/1000</f>
        <v>3.8</v>
      </c>
      <c r="J1520" s="2" t="s">
        <v>1676</v>
      </c>
      <c r="K1520" s="8">
        <f>(F1520*I1520)</f>
        <v>4.9400000000000004</v>
      </c>
    </row>
    <row r="1521" spans="1:11" hidden="1">
      <c r="A1521" s="265"/>
      <c r="F1521" s="186">
        <v>0.25</v>
      </c>
      <c r="G1521" s="185" t="s">
        <v>785</v>
      </c>
      <c r="H1521" s="179" t="s">
        <v>538</v>
      </c>
      <c r="I1521">
        <f>D14</f>
        <v>110</v>
      </c>
      <c r="J1521" s="2" t="s">
        <v>1423</v>
      </c>
      <c r="K1521" s="8">
        <f>(F1521*I1521)</f>
        <v>27.5</v>
      </c>
    </row>
    <row r="1522" spans="1:11" hidden="1">
      <c r="A1522" s="265"/>
      <c r="F1522" s="242"/>
      <c r="G1522" s="185" t="s">
        <v>455</v>
      </c>
      <c r="H1522" s="179" t="s">
        <v>456</v>
      </c>
      <c r="I1522"/>
      <c r="J1522" s="2" t="s">
        <v>455</v>
      </c>
      <c r="K1522" s="8">
        <f>(F1522*I1522)</f>
        <v>0</v>
      </c>
    </row>
    <row r="1523" spans="1:11" hidden="1">
      <c r="A1523" s="265"/>
      <c r="F1523" s="242"/>
      <c r="I1523"/>
      <c r="J1523" s="4"/>
      <c r="K1523" s="5" t="s">
        <v>1615</v>
      </c>
    </row>
    <row r="1524" spans="1:11" hidden="1">
      <c r="A1524" s="265"/>
      <c r="F1524" s="242"/>
      <c r="H1524" s="179" t="s">
        <v>539</v>
      </c>
      <c r="I1524"/>
      <c r="J1524" s="4"/>
      <c r="K1524" s="8">
        <f>SUM(K1517:K1522)</f>
        <v>3167.44</v>
      </c>
    </row>
    <row r="1525" spans="1:11" hidden="1">
      <c r="A1525" s="265"/>
      <c r="F1525" s="242"/>
      <c r="I1525"/>
      <c r="J1525" s="4"/>
      <c r="K1525" s="5" t="s">
        <v>1615</v>
      </c>
    </row>
    <row r="1526" spans="1:11" hidden="1">
      <c r="A1526" s="265"/>
      <c r="F1526" s="242"/>
      <c r="H1526" s="179" t="s">
        <v>540</v>
      </c>
      <c r="I1526"/>
      <c r="J1526" s="4"/>
      <c r="K1526" s="8">
        <f>(K1524*10)</f>
        <v>31674.400000000001</v>
      </c>
    </row>
    <row r="1527" spans="1:11" hidden="1">
      <c r="A1527" s="265"/>
      <c r="F1527" s="242"/>
      <c r="I1527"/>
      <c r="J1527" s="4"/>
      <c r="K1527" s="5" t="s">
        <v>2091</v>
      </c>
    </row>
    <row r="1528" spans="1:11" hidden="1">
      <c r="A1528" s="265"/>
      <c r="F1528" s="242"/>
      <c r="H1528" s="179" t="s">
        <v>992</v>
      </c>
      <c r="I1528"/>
      <c r="J1528" s="4"/>
      <c r="K1528" s="1" t="s">
        <v>992</v>
      </c>
    </row>
    <row r="1529" spans="1:11" hidden="1">
      <c r="A1529" s="265"/>
      <c r="F1529" s="271" t="s">
        <v>543</v>
      </c>
      <c r="G1529" s="185" t="s">
        <v>1942</v>
      </c>
      <c r="H1529" s="179" t="s">
        <v>561</v>
      </c>
      <c r="I1529"/>
      <c r="J1529" s="4"/>
      <c r="K1529"/>
    </row>
    <row r="1530" spans="1:11" hidden="1">
      <c r="A1530" s="265"/>
      <c r="F1530" s="242"/>
      <c r="H1530" s="179" t="s">
        <v>544</v>
      </c>
      <c r="I1530"/>
      <c r="J1530" s="4"/>
      <c r="K1530"/>
    </row>
    <row r="1531" spans="1:11" hidden="1">
      <c r="A1531" s="265"/>
      <c r="F1531" s="242"/>
      <c r="H1531" s="183" t="s">
        <v>1615</v>
      </c>
      <c r="I1531"/>
      <c r="J1531" s="4"/>
      <c r="K1531"/>
    </row>
    <row r="1532" spans="1:11" hidden="1">
      <c r="A1532" s="265"/>
      <c r="F1532" s="186">
        <v>1</v>
      </c>
      <c r="G1532" s="185" t="s">
        <v>533</v>
      </c>
      <c r="H1532" s="179" t="s">
        <v>534</v>
      </c>
      <c r="I1532" s="8">
        <f>(C138)</f>
        <v>28000</v>
      </c>
      <c r="J1532" s="2" t="s">
        <v>535</v>
      </c>
      <c r="K1532" s="8">
        <f>(F1532*I1532)/10</f>
        <v>2800</v>
      </c>
    </row>
    <row r="1533" spans="1:11" hidden="1">
      <c r="A1533" s="265"/>
      <c r="F1533" s="242">
        <v>0.01</v>
      </c>
      <c r="G1533" s="185" t="s">
        <v>533</v>
      </c>
      <c r="H1533" s="179" t="s">
        <v>194</v>
      </c>
      <c r="I1533" s="8">
        <f>(C142)</f>
        <v>30000</v>
      </c>
      <c r="J1533" s="2" t="s">
        <v>535</v>
      </c>
      <c r="K1533" s="8">
        <f>(F1533*I1533)/10</f>
        <v>30</v>
      </c>
    </row>
    <row r="1534" spans="1:11" hidden="1">
      <c r="A1534" s="265"/>
      <c r="F1534" s="242">
        <v>3.5</v>
      </c>
      <c r="G1534" s="185" t="s">
        <v>785</v>
      </c>
      <c r="H1534" s="179" t="s">
        <v>536</v>
      </c>
      <c r="I1534" s="8">
        <f>(C17)</f>
        <v>130</v>
      </c>
      <c r="J1534" s="2" t="s">
        <v>785</v>
      </c>
      <c r="K1534" s="8">
        <f>(F1534*I1534)</f>
        <v>455</v>
      </c>
    </row>
    <row r="1535" spans="1:11" hidden="1">
      <c r="A1535" s="265"/>
      <c r="F1535" s="242"/>
      <c r="G1535" s="185" t="s">
        <v>455</v>
      </c>
      <c r="H1535" s="179" t="s">
        <v>456</v>
      </c>
      <c r="I1535"/>
      <c r="J1535" s="2" t="s">
        <v>455</v>
      </c>
      <c r="K1535" s="8">
        <v>0</v>
      </c>
    </row>
    <row r="1536" spans="1:11" hidden="1">
      <c r="A1536" s="265"/>
      <c r="I1536"/>
      <c r="J1536" s="4"/>
      <c r="K1536" s="5" t="s">
        <v>1615</v>
      </c>
    </row>
    <row r="1537" spans="1:11" hidden="1">
      <c r="A1537" s="265"/>
      <c r="H1537" s="179" t="s">
        <v>539</v>
      </c>
      <c r="I1537"/>
      <c r="J1537" s="4"/>
      <c r="K1537" s="8">
        <f>SUM(K1532:K1535)</f>
        <v>3285</v>
      </c>
    </row>
    <row r="1538" spans="1:11" hidden="1">
      <c r="A1538" s="265"/>
      <c r="I1538"/>
      <c r="J1538" s="4"/>
      <c r="K1538" s="5" t="s">
        <v>1615</v>
      </c>
    </row>
    <row r="1539" spans="1:11" hidden="1">
      <c r="A1539" s="265"/>
      <c r="H1539" s="179" t="s">
        <v>540</v>
      </c>
      <c r="I1539"/>
      <c r="J1539" s="4"/>
      <c r="K1539" s="8">
        <f>(K1537*10)</f>
        <v>32850</v>
      </c>
    </row>
    <row r="1540" spans="1:11" hidden="1">
      <c r="A1540" s="265"/>
      <c r="H1540" s="179" t="s">
        <v>992</v>
      </c>
      <c r="I1540"/>
      <c r="J1540" s="4"/>
      <c r="K1540" s="1" t="s">
        <v>992</v>
      </c>
    </row>
    <row r="1541" spans="1:11" hidden="1">
      <c r="A1541" s="265"/>
      <c r="G1541" s="178" t="s">
        <v>527</v>
      </c>
      <c r="H1541" s="179" t="s">
        <v>561</v>
      </c>
      <c r="I1541"/>
      <c r="J1541" s="4"/>
      <c r="K1541" s="1"/>
    </row>
    <row r="1542" spans="1:11" hidden="1">
      <c r="A1542" s="265"/>
      <c r="H1542" s="179" t="s">
        <v>1624</v>
      </c>
      <c r="I1542"/>
      <c r="J1542" s="4"/>
      <c r="K1542" s="1"/>
    </row>
    <row r="1543" spans="1:11" hidden="1">
      <c r="A1543" s="265"/>
      <c r="F1543" s="242"/>
      <c r="H1543" s="183" t="s">
        <v>1615</v>
      </c>
      <c r="I1543"/>
      <c r="J1543" s="4"/>
      <c r="K1543" s="1"/>
    </row>
    <row r="1544" spans="1:11" hidden="1">
      <c r="A1544" s="265"/>
      <c r="F1544" s="186">
        <v>1</v>
      </c>
      <c r="G1544" s="185" t="s">
        <v>533</v>
      </c>
      <c r="H1544" s="179" t="s">
        <v>542</v>
      </c>
      <c r="I1544">
        <f>C137</f>
        <v>26500</v>
      </c>
      <c r="J1544" s="2" t="s">
        <v>535</v>
      </c>
      <c r="K1544" s="8">
        <f>(F1544*I1544)/10</f>
        <v>2650</v>
      </c>
    </row>
    <row r="1545" spans="1:11" hidden="1">
      <c r="A1545" s="265"/>
      <c r="F1545" s="242">
        <v>0.01</v>
      </c>
      <c r="G1545" s="185" t="s">
        <v>533</v>
      </c>
      <c r="H1545" s="179" t="s">
        <v>194</v>
      </c>
      <c r="I1545">
        <f>C142</f>
        <v>30000</v>
      </c>
      <c r="J1545" s="2" t="s">
        <v>535</v>
      </c>
      <c r="K1545" s="8">
        <f>(F1545*I1545)/10</f>
        <v>30</v>
      </c>
    </row>
    <row r="1546" spans="1:11" hidden="1">
      <c r="A1546" s="265"/>
      <c r="F1546" s="242">
        <v>3.5</v>
      </c>
      <c r="G1546" s="185" t="s">
        <v>785</v>
      </c>
      <c r="H1546" s="179" t="s">
        <v>536</v>
      </c>
      <c r="I1546">
        <f>C17</f>
        <v>130</v>
      </c>
      <c r="J1546" s="2" t="s">
        <v>785</v>
      </c>
      <c r="K1546" s="8">
        <f>(F1546*I1546)</f>
        <v>455</v>
      </c>
    </row>
    <row r="1547" spans="1:11" hidden="1">
      <c r="A1547" s="265"/>
      <c r="F1547" s="242"/>
      <c r="G1547" s="185" t="s">
        <v>455</v>
      </c>
      <c r="H1547" s="179" t="s">
        <v>456</v>
      </c>
      <c r="I1547"/>
      <c r="J1547" s="2" t="s">
        <v>455</v>
      </c>
      <c r="K1547" s="8">
        <v>0</v>
      </c>
    </row>
    <row r="1548" spans="1:11" hidden="1">
      <c r="A1548" s="265"/>
      <c r="I1548"/>
      <c r="J1548" s="4"/>
      <c r="K1548" s="5" t="s">
        <v>1615</v>
      </c>
    </row>
    <row r="1549" spans="1:11" hidden="1">
      <c r="A1549" s="265"/>
      <c r="H1549" s="179" t="s">
        <v>539</v>
      </c>
      <c r="I1549"/>
      <c r="J1549" s="4"/>
      <c r="K1549" s="8">
        <f>SUM(K1544:K1547)</f>
        <v>3135</v>
      </c>
    </row>
    <row r="1550" spans="1:11" hidden="1">
      <c r="A1550" s="265"/>
      <c r="I1550"/>
      <c r="J1550" s="4"/>
      <c r="K1550" s="5" t="s">
        <v>1615</v>
      </c>
    </row>
    <row r="1551" spans="1:11" hidden="1">
      <c r="A1551" s="265"/>
      <c r="H1551" s="179" t="s">
        <v>540</v>
      </c>
      <c r="I1551"/>
      <c r="J1551" s="4"/>
      <c r="K1551" s="8">
        <f>(K1549*10)</f>
        <v>31350</v>
      </c>
    </row>
    <row r="1552" spans="1:11" hidden="1">
      <c r="A1552" s="265"/>
      <c r="H1552" s="179" t="s">
        <v>992</v>
      </c>
      <c r="I1552"/>
      <c r="J1552" s="4"/>
      <c r="K1552"/>
    </row>
    <row r="1553" spans="1:11" hidden="1">
      <c r="A1553" s="265"/>
      <c r="F1553" s="243">
        <v>44.1</v>
      </c>
      <c r="G1553" s="185" t="s">
        <v>2290</v>
      </c>
      <c r="H1553" s="179" t="s">
        <v>1625</v>
      </c>
      <c r="I1553"/>
      <c r="J1553" s="4"/>
      <c r="K1553"/>
    </row>
    <row r="1554" spans="1:11" hidden="1">
      <c r="A1554" s="265"/>
      <c r="H1554" s="179" t="s">
        <v>1626</v>
      </c>
      <c r="I1554"/>
      <c r="J1554" s="4"/>
      <c r="K1554"/>
    </row>
    <row r="1555" spans="1:11" hidden="1">
      <c r="A1555" s="265"/>
      <c r="H1555" s="179" t="s">
        <v>3186</v>
      </c>
      <c r="I1555"/>
      <c r="J1555" s="4"/>
      <c r="K1555"/>
    </row>
    <row r="1556" spans="1:11" hidden="1">
      <c r="A1556" s="265"/>
      <c r="H1556" s="183" t="s">
        <v>1615</v>
      </c>
      <c r="I1556"/>
      <c r="J1556" s="4"/>
      <c r="K1556"/>
    </row>
    <row r="1557" spans="1:11" hidden="1">
      <c r="A1557" s="265"/>
      <c r="F1557" s="186">
        <v>3</v>
      </c>
      <c r="G1557" s="185" t="s">
        <v>1805</v>
      </c>
      <c r="H1557" s="179" t="s">
        <v>2082</v>
      </c>
      <c r="I1557" s="8">
        <f>(C598)</f>
        <v>120</v>
      </c>
      <c r="J1557" s="2" t="s">
        <v>1805</v>
      </c>
      <c r="K1557" s="8">
        <f t="shared" ref="K1557:K1562" si="61">(F1557*I1557)</f>
        <v>360</v>
      </c>
    </row>
    <row r="1558" spans="1:11" hidden="1">
      <c r="A1558" s="265"/>
      <c r="F1558" s="186">
        <v>1</v>
      </c>
      <c r="G1558" s="185" t="s">
        <v>884</v>
      </c>
      <c r="H1558" s="179" t="s">
        <v>2136</v>
      </c>
      <c r="I1558" s="8">
        <f>(C601)</f>
        <v>65</v>
      </c>
      <c r="J1558" s="2" t="s">
        <v>884</v>
      </c>
      <c r="K1558" s="8">
        <f t="shared" si="61"/>
        <v>65</v>
      </c>
    </row>
    <row r="1559" spans="1:11" hidden="1">
      <c r="A1559" s="265"/>
      <c r="F1559" s="186">
        <v>1</v>
      </c>
      <c r="G1559" s="185" t="s">
        <v>884</v>
      </c>
      <c r="H1559" s="179" t="s">
        <v>2137</v>
      </c>
      <c r="I1559" s="8">
        <f>(C604)</f>
        <v>45</v>
      </c>
      <c r="J1559" s="2" t="s">
        <v>884</v>
      </c>
      <c r="K1559" s="8">
        <f t="shared" si="61"/>
        <v>45</v>
      </c>
    </row>
    <row r="1560" spans="1:11" hidden="1">
      <c r="A1560" s="265"/>
      <c r="F1560" s="186">
        <v>2</v>
      </c>
      <c r="G1560" s="185" t="s">
        <v>884</v>
      </c>
      <c r="H1560" s="179" t="s">
        <v>2138</v>
      </c>
      <c r="I1560" s="8">
        <f>C575</f>
        <v>16.440000000000001</v>
      </c>
      <c r="J1560" s="2" t="s">
        <v>884</v>
      </c>
      <c r="K1560" s="8">
        <f t="shared" si="61"/>
        <v>32.880000000000003</v>
      </c>
    </row>
    <row r="1561" spans="1:11" hidden="1">
      <c r="A1561" s="265"/>
      <c r="F1561" s="186">
        <v>1</v>
      </c>
      <c r="G1561" s="185" t="s">
        <v>884</v>
      </c>
      <c r="H1561" s="179" t="s">
        <v>2139</v>
      </c>
      <c r="I1561" s="8">
        <f>(C666)</f>
        <v>18</v>
      </c>
      <c r="J1561" s="2" t="s">
        <v>884</v>
      </c>
      <c r="K1561" s="8">
        <f t="shared" si="61"/>
        <v>18</v>
      </c>
    </row>
    <row r="1562" spans="1:11" hidden="1">
      <c r="A1562" s="265"/>
      <c r="F1562" s="186">
        <v>0.5</v>
      </c>
      <c r="G1562" s="185" t="s">
        <v>884</v>
      </c>
      <c r="H1562" s="179" t="s">
        <v>2140</v>
      </c>
      <c r="I1562" s="8">
        <f>(C15)</f>
        <v>130</v>
      </c>
      <c r="J1562" s="2" t="s">
        <v>884</v>
      </c>
      <c r="K1562" s="8">
        <f t="shared" si="61"/>
        <v>65</v>
      </c>
    </row>
    <row r="1563" spans="1:11" hidden="1">
      <c r="A1563" s="265"/>
      <c r="G1563" s="185" t="s">
        <v>455</v>
      </c>
      <c r="H1563" s="179" t="s">
        <v>617</v>
      </c>
      <c r="I1563"/>
      <c r="J1563" s="2" t="s">
        <v>455</v>
      </c>
      <c r="K1563" s="8">
        <v>0.75</v>
      </c>
    </row>
    <row r="1564" spans="1:11" hidden="1">
      <c r="A1564" s="265"/>
      <c r="H1564" s="179" t="s">
        <v>22</v>
      </c>
      <c r="I1564"/>
      <c r="J1564" s="4"/>
      <c r="K1564"/>
    </row>
    <row r="1565" spans="1:11" hidden="1">
      <c r="A1565" s="265"/>
      <c r="I1565"/>
      <c r="J1565" s="4"/>
      <c r="K1565" s="5" t="s">
        <v>1615</v>
      </c>
    </row>
    <row r="1566" spans="1:11" hidden="1">
      <c r="A1566" s="265"/>
      <c r="H1566" s="179" t="s">
        <v>1341</v>
      </c>
      <c r="I1566"/>
      <c r="J1566" s="4"/>
      <c r="K1566" s="8">
        <f>SUM(K1557:K1563)</f>
        <v>586.63</v>
      </c>
    </row>
    <row r="1567" spans="1:11" hidden="1">
      <c r="A1567" s="265"/>
      <c r="F1567" s="179" t="s">
        <v>992</v>
      </c>
      <c r="I1567"/>
      <c r="J1567" s="4"/>
      <c r="K1567"/>
    </row>
    <row r="1568" spans="1:11" hidden="1">
      <c r="A1568" s="265"/>
      <c r="I1568"/>
      <c r="J1568" s="4"/>
      <c r="K1568" s="5" t="s">
        <v>1615</v>
      </c>
    </row>
    <row r="1569" spans="1:11" hidden="1">
      <c r="A1569" s="265"/>
      <c r="H1569" s="179" t="s">
        <v>1573</v>
      </c>
      <c r="I1569"/>
      <c r="J1569" s="4"/>
      <c r="K1569" s="8">
        <f>(K1566/3)</f>
        <v>195.54</v>
      </c>
    </row>
    <row r="1570" spans="1:11" hidden="1">
      <c r="A1570" s="265"/>
      <c r="H1570" s="179"/>
      <c r="I1570"/>
      <c r="J1570" s="4"/>
      <c r="K1570" s="5" t="s">
        <v>2091</v>
      </c>
    </row>
    <row r="1571" spans="1:11" hidden="1">
      <c r="A1571" s="265"/>
      <c r="F1571" s="233" t="s">
        <v>1342</v>
      </c>
      <c r="H1571" s="179" t="s">
        <v>16</v>
      </c>
      <c r="I1571"/>
      <c r="J1571" s="4"/>
      <c r="K1571"/>
    </row>
    <row r="1572" spans="1:11" hidden="1">
      <c r="A1572" s="265"/>
      <c r="H1572" s="179" t="s">
        <v>17</v>
      </c>
      <c r="I1572"/>
      <c r="J1572" s="4"/>
      <c r="K1572"/>
    </row>
    <row r="1573" spans="1:11" hidden="1">
      <c r="A1573" s="265"/>
      <c r="H1573" s="179" t="s">
        <v>2072</v>
      </c>
      <c r="I1573"/>
      <c r="J1573" s="4"/>
      <c r="K1573"/>
    </row>
    <row r="1574" spans="1:11" hidden="1">
      <c r="A1574" s="265"/>
      <c r="H1574" s="183" t="s">
        <v>1615</v>
      </c>
      <c r="I1574"/>
      <c r="J1574" s="4"/>
      <c r="K1574"/>
    </row>
    <row r="1575" spans="1:11" hidden="1">
      <c r="A1575" s="265"/>
      <c r="F1575" s="186">
        <v>0.15</v>
      </c>
      <c r="G1575" s="185" t="s">
        <v>885</v>
      </c>
      <c r="H1575" s="179" t="s">
        <v>2073</v>
      </c>
      <c r="I1575" s="8" t="e">
        <f>(C70)</f>
        <v>#REF!</v>
      </c>
      <c r="J1575" s="2" t="s">
        <v>885</v>
      </c>
      <c r="K1575" s="8" t="e">
        <f>(F1575*I1575)</f>
        <v>#REF!</v>
      </c>
    </row>
    <row r="1576" spans="1:11" hidden="1">
      <c r="A1576" s="265"/>
      <c r="F1576" s="253">
        <v>8.6499999999999994E-2</v>
      </c>
      <c r="G1576" s="185" t="s">
        <v>877</v>
      </c>
      <c r="H1576" s="179" t="s">
        <v>878</v>
      </c>
      <c r="I1576" s="8">
        <f>(C67)</f>
        <v>3800</v>
      </c>
      <c r="J1576" s="2" t="s">
        <v>877</v>
      </c>
      <c r="K1576" s="8">
        <f>(F1576*I1576)</f>
        <v>328.7</v>
      </c>
    </row>
    <row r="1577" spans="1:11" hidden="1">
      <c r="A1577" s="265"/>
      <c r="F1577" s="186">
        <v>1.6</v>
      </c>
      <c r="G1577" s="185" t="s">
        <v>785</v>
      </c>
      <c r="H1577" s="179" t="s">
        <v>2045</v>
      </c>
      <c r="I1577" s="8">
        <f>(C10)</f>
        <v>150</v>
      </c>
      <c r="J1577" s="2" t="s">
        <v>785</v>
      </c>
      <c r="K1577" s="8">
        <f>(F1577*I1577)</f>
        <v>240</v>
      </c>
    </row>
    <row r="1578" spans="1:11" hidden="1">
      <c r="A1578" s="265"/>
      <c r="F1578" s="186">
        <v>0.5</v>
      </c>
      <c r="G1578" s="185" t="s">
        <v>785</v>
      </c>
      <c r="H1578" s="179" t="s">
        <v>1937</v>
      </c>
      <c r="I1578" s="8">
        <f>(C12)</f>
        <v>95</v>
      </c>
      <c r="J1578" s="2" t="s">
        <v>785</v>
      </c>
      <c r="K1578" s="8">
        <f>(F1578*I1578)</f>
        <v>47.5</v>
      </c>
    </row>
    <row r="1579" spans="1:11" hidden="1">
      <c r="A1579" s="265"/>
      <c r="F1579" s="186">
        <v>1.1000000000000001</v>
      </c>
      <c r="G1579" s="185" t="s">
        <v>785</v>
      </c>
      <c r="H1579" s="179" t="s">
        <v>325</v>
      </c>
      <c r="I1579" s="8">
        <f>(C13)</f>
        <v>85</v>
      </c>
      <c r="J1579" s="2" t="s">
        <v>785</v>
      </c>
      <c r="K1579" s="8">
        <f>(F1579*I1579)</f>
        <v>93.5</v>
      </c>
    </row>
    <row r="1580" spans="1:11" hidden="1">
      <c r="A1580" s="265"/>
      <c r="G1580" s="185" t="s">
        <v>455</v>
      </c>
      <c r="H1580" s="179" t="s">
        <v>456</v>
      </c>
      <c r="I1580" s="1" t="s">
        <v>992</v>
      </c>
      <c r="J1580" s="2" t="s">
        <v>455</v>
      </c>
      <c r="K1580" s="8">
        <v>0</v>
      </c>
    </row>
    <row r="1581" spans="1:11" hidden="1">
      <c r="A1581" s="265"/>
      <c r="I1581"/>
      <c r="J1581" s="4"/>
      <c r="K1581" s="5" t="s">
        <v>1615</v>
      </c>
    </row>
    <row r="1582" spans="1:11" hidden="1">
      <c r="A1582" s="265"/>
      <c r="H1582" s="179" t="s">
        <v>447</v>
      </c>
      <c r="I1582"/>
      <c r="J1582" s="4"/>
      <c r="K1582" s="8" t="e">
        <f>SUM(K1575:K1580)</f>
        <v>#REF!</v>
      </c>
    </row>
    <row r="1583" spans="1:11" hidden="1">
      <c r="A1583" s="265"/>
      <c r="I1583"/>
      <c r="J1583" s="4"/>
      <c r="K1583" s="5" t="s">
        <v>1615</v>
      </c>
    </row>
    <row r="1584" spans="1:11" hidden="1">
      <c r="A1584" s="265"/>
      <c r="H1584" s="179" t="s">
        <v>562</v>
      </c>
      <c r="I1584"/>
      <c r="J1584" s="4"/>
      <c r="K1584" s="8" t="e">
        <f>(K1582/10)</f>
        <v>#REF!</v>
      </c>
    </row>
    <row r="1585" spans="1:11" hidden="1">
      <c r="A1585" s="265"/>
      <c r="I1585"/>
      <c r="J1585" s="4"/>
      <c r="K1585" s="5" t="s">
        <v>2091</v>
      </c>
    </row>
    <row r="1586" spans="1:11" hidden="1">
      <c r="A1586" s="265"/>
      <c r="F1586" s="233" t="s">
        <v>2074</v>
      </c>
      <c r="G1586" s="185" t="s">
        <v>2290</v>
      </c>
      <c r="H1586" s="179" t="s">
        <v>2075</v>
      </c>
      <c r="I1586"/>
      <c r="J1586" s="4"/>
      <c r="K1586"/>
    </row>
    <row r="1587" spans="1:11" hidden="1">
      <c r="A1587" s="265"/>
      <c r="H1587" s="179" t="s">
        <v>1235</v>
      </c>
      <c r="I1587"/>
      <c r="J1587" s="4"/>
      <c r="K1587"/>
    </row>
    <row r="1588" spans="1:11" hidden="1">
      <c r="A1588" s="265"/>
      <c r="H1588" s="179" t="s">
        <v>1236</v>
      </c>
      <c r="I1588"/>
      <c r="J1588" s="2" t="s">
        <v>992</v>
      </c>
      <c r="K1588"/>
    </row>
    <row r="1589" spans="1:11" hidden="1">
      <c r="A1589" s="265"/>
      <c r="H1589" s="179" t="s">
        <v>1128</v>
      </c>
      <c r="I1589"/>
      <c r="J1589" s="4"/>
      <c r="K1589"/>
    </row>
    <row r="1590" spans="1:11" hidden="1">
      <c r="A1590" s="265"/>
      <c r="H1590" s="179" t="s">
        <v>1045</v>
      </c>
      <c r="I1590"/>
      <c r="J1590" s="4"/>
      <c r="K1590"/>
    </row>
    <row r="1591" spans="1:11" hidden="1">
      <c r="A1591" s="265"/>
      <c r="H1591" s="179" t="s">
        <v>1846</v>
      </c>
      <c r="I1591"/>
      <c r="J1591" s="4"/>
      <c r="K1591"/>
    </row>
    <row r="1592" spans="1:11" hidden="1">
      <c r="A1592" s="265"/>
      <c r="H1592" s="179" t="s">
        <v>282</v>
      </c>
      <c r="I1592"/>
      <c r="J1592" s="4"/>
      <c r="K1592"/>
    </row>
    <row r="1593" spans="1:11" hidden="1">
      <c r="A1593" s="265"/>
      <c r="H1593" s="179" t="s">
        <v>283</v>
      </c>
      <c r="I1593"/>
      <c r="J1593" s="4"/>
      <c r="K1593"/>
    </row>
    <row r="1594" spans="1:11" hidden="1">
      <c r="A1594" s="265"/>
      <c r="H1594" s="179" t="s">
        <v>284</v>
      </c>
      <c r="I1594"/>
      <c r="J1594" s="4"/>
      <c r="K1594"/>
    </row>
    <row r="1595" spans="1:11" hidden="1">
      <c r="A1595" s="265"/>
      <c r="H1595" s="183" t="s">
        <v>2091</v>
      </c>
      <c r="I1595"/>
      <c r="J1595" s="4"/>
      <c r="K1595"/>
    </row>
    <row r="1596" spans="1:11" hidden="1">
      <c r="A1596" s="265"/>
      <c r="I1596"/>
      <c r="J1596" s="4"/>
      <c r="K1596"/>
    </row>
    <row r="1597" spans="1:11" hidden="1">
      <c r="A1597" s="265"/>
      <c r="F1597" s="186">
        <v>1</v>
      </c>
      <c r="G1597" s="185" t="s">
        <v>842</v>
      </c>
      <c r="H1597" s="179" t="s">
        <v>285</v>
      </c>
      <c r="I1597" s="8">
        <v>50</v>
      </c>
      <c r="J1597" s="2" t="s">
        <v>842</v>
      </c>
      <c r="K1597" s="8">
        <f>(F1597*I1597)</f>
        <v>50</v>
      </c>
    </row>
    <row r="1598" spans="1:11" hidden="1">
      <c r="A1598" s="265"/>
      <c r="F1598" s="186">
        <v>1</v>
      </c>
      <c r="G1598" s="185" t="s">
        <v>286</v>
      </c>
      <c r="H1598" s="179" t="s">
        <v>1177</v>
      </c>
      <c r="I1598" s="8">
        <v>9</v>
      </c>
      <c r="J1598" s="2" t="s">
        <v>286</v>
      </c>
      <c r="K1598" s="8">
        <f>(F1598*I1598)</f>
        <v>9</v>
      </c>
    </row>
    <row r="1599" spans="1:11" hidden="1">
      <c r="A1599" s="265"/>
      <c r="G1599" s="185" t="s">
        <v>455</v>
      </c>
      <c r="H1599" s="179" t="s">
        <v>513</v>
      </c>
      <c r="I1599"/>
      <c r="J1599" s="2" t="s">
        <v>455</v>
      </c>
      <c r="K1599" s="8">
        <v>7</v>
      </c>
    </row>
    <row r="1600" spans="1:11" hidden="1">
      <c r="A1600" s="265"/>
      <c r="I1600"/>
      <c r="J1600" s="4"/>
      <c r="K1600" s="5" t="s">
        <v>1615</v>
      </c>
    </row>
    <row r="1601" spans="1:11" hidden="1">
      <c r="A1601" s="265"/>
      <c r="H1601" s="233" t="s">
        <v>1670</v>
      </c>
      <c r="I1601"/>
      <c r="J1601" s="4"/>
      <c r="K1601" s="8">
        <f>SUM(K1597:K1599)</f>
        <v>66</v>
      </c>
    </row>
    <row r="1602" spans="1:11" hidden="1">
      <c r="A1602" s="265"/>
      <c r="I1602"/>
      <c r="J1602" s="4"/>
      <c r="K1602" s="5" t="s">
        <v>2091</v>
      </c>
    </row>
    <row r="1603" spans="1:11" hidden="1">
      <c r="A1603" s="265"/>
      <c r="F1603" s="233" t="s">
        <v>1671</v>
      </c>
      <c r="G1603" s="185" t="s">
        <v>2290</v>
      </c>
      <c r="H1603" s="179" t="s">
        <v>771</v>
      </c>
      <c r="I1603"/>
      <c r="J1603" s="4"/>
      <c r="K1603"/>
    </row>
    <row r="1604" spans="1:11" hidden="1">
      <c r="A1604" s="265"/>
      <c r="H1604" s="179" t="s">
        <v>407</v>
      </c>
      <c r="I1604"/>
      <c r="J1604" s="4"/>
      <c r="K1604"/>
    </row>
    <row r="1605" spans="1:11" hidden="1">
      <c r="A1605" s="265"/>
      <c r="H1605" s="179" t="s">
        <v>408</v>
      </c>
      <c r="I1605"/>
      <c r="J1605" s="4"/>
      <c r="K1605"/>
    </row>
    <row r="1606" spans="1:11" hidden="1">
      <c r="A1606" s="265"/>
      <c r="H1606" s="179" t="s">
        <v>405</v>
      </c>
      <c r="I1606"/>
      <c r="J1606" s="4"/>
      <c r="K1606"/>
    </row>
    <row r="1607" spans="1:11" hidden="1">
      <c r="A1607" s="265"/>
      <c r="H1607" s="179" t="s">
        <v>1793</v>
      </c>
      <c r="I1607"/>
      <c r="J1607" s="4"/>
      <c r="K1607"/>
    </row>
    <row r="1608" spans="1:11" hidden="1">
      <c r="A1608" s="265"/>
      <c r="H1608" s="183" t="s">
        <v>1615</v>
      </c>
      <c r="I1608" s="5" t="s">
        <v>1615</v>
      </c>
      <c r="J1608" s="4"/>
      <c r="K1608"/>
    </row>
    <row r="1609" spans="1:11" hidden="1">
      <c r="A1609" s="265"/>
      <c r="F1609" s="186">
        <v>1</v>
      </c>
      <c r="G1609" s="185" t="s">
        <v>1794</v>
      </c>
      <c r="H1609" s="179" t="s">
        <v>1580</v>
      </c>
      <c r="I1609" s="8">
        <v>27.3</v>
      </c>
      <c r="J1609" s="2" t="s">
        <v>1423</v>
      </c>
      <c r="K1609" s="8">
        <f>(F1609*I1609)</f>
        <v>27.3</v>
      </c>
    </row>
    <row r="1610" spans="1:11" hidden="1">
      <c r="A1610" s="265"/>
      <c r="G1610" s="185" t="s">
        <v>455</v>
      </c>
      <c r="H1610" s="179" t="s">
        <v>1581</v>
      </c>
      <c r="I1610"/>
      <c r="J1610" s="2" t="s">
        <v>455</v>
      </c>
      <c r="K1610" s="8">
        <v>7.5</v>
      </c>
    </row>
    <row r="1611" spans="1:11" hidden="1">
      <c r="A1611" s="265"/>
      <c r="G1611" s="185" t="s">
        <v>455</v>
      </c>
      <c r="H1611" s="179" t="s">
        <v>635</v>
      </c>
      <c r="I1611"/>
      <c r="J1611" s="2" t="s">
        <v>455</v>
      </c>
      <c r="K1611" s="8">
        <v>1.2</v>
      </c>
    </row>
    <row r="1612" spans="1:11" hidden="1">
      <c r="A1612" s="265"/>
      <c r="H1612" s="179" t="s">
        <v>636</v>
      </c>
      <c r="I1612"/>
      <c r="J1612" s="4"/>
      <c r="K1612" s="5" t="s">
        <v>1615</v>
      </c>
    </row>
    <row r="1613" spans="1:11" hidden="1">
      <c r="A1613" s="265"/>
      <c r="H1613" s="233" t="s">
        <v>1670</v>
      </c>
      <c r="I1613"/>
      <c r="J1613" s="4"/>
      <c r="K1613" s="8">
        <f>SUM(K1609:K1611)</f>
        <v>36</v>
      </c>
    </row>
    <row r="1614" spans="1:11" hidden="1">
      <c r="A1614" s="265"/>
      <c r="I1614"/>
      <c r="J1614" s="4"/>
      <c r="K1614" s="5" t="s">
        <v>2091</v>
      </c>
    </row>
    <row r="1615" spans="1:11" hidden="1">
      <c r="A1615" s="265"/>
      <c r="F1615" s="233" t="s">
        <v>637</v>
      </c>
      <c r="G1615" s="185" t="s">
        <v>2290</v>
      </c>
      <c r="H1615" s="179" t="s">
        <v>549</v>
      </c>
      <c r="I1615"/>
      <c r="J1615" s="4"/>
      <c r="K1615"/>
    </row>
    <row r="1616" spans="1:11" hidden="1">
      <c r="A1616" s="265"/>
      <c r="H1616" s="179" t="s">
        <v>638</v>
      </c>
      <c r="I1616"/>
      <c r="J1616" s="4"/>
      <c r="K1616" s="1" t="s">
        <v>992</v>
      </c>
    </row>
    <row r="1617" spans="1:11" hidden="1">
      <c r="A1617" s="265"/>
      <c r="H1617" s="183" t="s">
        <v>1615</v>
      </c>
      <c r="I1617"/>
      <c r="J1617" s="4"/>
      <c r="K1617"/>
    </row>
    <row r="1618" spans="1:11" hidden="1">
      <c r="A1618" s="265"/>
      <c r="F1618" s="186">
        <v>1</v>
      </c>
      <c r="G1618" s="185" t="s">
        <v>1794</v>
      </c>
      <c r="H1618" s="179" t="s">
        <v>639</v>
      </c>
      <c r="I1618" s="8">
        <v>20</v>
      </c>
      <c r="J1618" s="2" t="s">
        <v>1423</v>
      </c>
      <c r="K1618" s="8">
        <f>(F1618*I1618)</f>
        <v>20</v>
      </c>
    </row>
    <row r="1619" spans="1:11" hidden="1">
      <c r="A1619" s="265"/>
      <c r="G1619" s="185" t="s">
        <v>455</v>
      </c>
      <c r="H1619" s="179" t="s">
        <v>640</v>
      </c>
      <c r="I1619"/>
      <c r="J1619" s="2" t="s">
        <v>455</v>
      </c>
      <c r="K1619" s="8">
        <v>5</v>
      </c>
    </row>
    <row r="1620" spans="1:11" hidden="1">
      <c r="A1620" s="265"/>
      <c r="I1620"/>
      <c r="J1620" s="4"/>
      <c r="K1620" s="5" t="s">
        <v>1615</v>
      </c>
    </row>
    <row r="1621" spans="1:11" hidden="1">
      <c r="A1621" s="265"/>
      <c r="H1621" s="233" t="s">
        <v>641</v>
      </c>
      <c r="I1621"/>
      <c r="J1621" s="4"/>
      <c r="K1621" s="8">
        <f>SUM(K1617:K1619)</f>
        <v>25</v>
      </c>
    </row>
    <row r="1622" spans="1:11" hidden="1">
      <c r="A1622" s="265"/>
      <c r="I1622"/>
      <c r="J1622" s="4"/>
      <c r="K1622" s="5" t="s">
        <v>2091</v>
      </c>
    </row>
    <row r="1623" spans="1:11" hidden="1">
      <c r="A1623" s="265"/>
      <c r="F1623" s="233" t="s">
        <v>2187</v>
      </c>
      <c r="G1623" s="185" t="s">
        <v>2290</v>
      </c>
      <c r="H1623" s="179" t="s">
        <v>550</v>
      </c>
      <c r="I1623"/>
      <c r="J1623" s="4"/>
      <c r="K1623"/>
    </row>
    <row r="1624" spans="1:11" hidden="1">
      <c r="A1624" s="265"/>
      <c r="H1624" s="183" t="s">
        <v>1615</v>
      </c>
      <c r="I1624" s="5" t="s">
        <v>1615</v>
      </c>
      <c r="J1624" s="4"/>
      <c r="K1624"/>
    </row>
    <row r="1625" spans="1:11" hidden="1">
      <c r="A1625" s="265"/>
      <c r="F1625" s="186">
        <v>1</v>
      </c>
      <c r="G1625" s="185" t="s">
        <v>1794</v>
      </c>
      <c r="H1625" s="179" t="s">
        <v>2188</v>
      </c>
      <c r="I1625" s="8">
        <v>1</v>
      </c>
      <c r="J1625" s="2" t="s">
        <v>1423</v>
      </c>
      <c r="K1625" s="8">
        <f>(F1625*I1625)</f>
        <v>1</v>
      </c>
    </row>
    <row r="1626" spans="1:11" hidden="1">
      <c r="A1626" s="265"/>
      <c r="G1626" s="185" t="s">
        <v>455</v>
      </c>
      <c r="H1626" s="179" t="s">
        <v>640</v>
      </c>
      <c r="I1626"/>
      <c r="J1626" s="2" t="s">
        <v>455</v>
      </c>
      <c r="K1626" s="8">
        <v>0.25</v>
      </c>
    </row>
    <row r="1627" spans="1:11" hidden="1">
      <c r="A1627" s="265"/>
      <c r="I1627"/>
      <c r="J1627" s="4"/>
      <c r="K1627" s="5" t="s">
        <v>1615</v>
      </c>
    </row>
    <row r="1628" spans="1:11" hidden="1">
      <c r="A1628" s="265"/>
      <c r="H1628" s="233" t="s">
        <v>641</v>
      </c>
      <c r="I1628"/>
      <c r="J1628" s="4"/>
      <c r="K1628" s="8">
        <f>SUM(K1623:K1626)</f>
        <v>1.25</v>
      </c>
    </row>
    <row r="1629" spans="1:11" hidden="1">
      <c r="A1629" s="265"/>
      <c r="F1629" s="179" t="s">
        <v>992</v>
      </c>
      <c r="I1629"/>
      <c r="J1629" s="4"/>
      <c r="K1629" s="5" t="s">
        <v>1615</v>
      </c>
    </row>
    <row r="1630" spans="1:11" hidden="1">
      <c r="A1630" s="265"/>
      <c r="F1630" s="243">
        <v>50.1</v>
      </c>
      <c r="G1630" s="185" t="s">
        <v>2290</v>
      </c>
      <c r="H1630" s="179" t="s">
        <v>2204</v>
      </c>
      <c r="I1630"/>
      <c r="J1630" s="4"/>
      <c r="K1630"/>
    </row>
    <row r="1631" spans="1:11" hidden="1">
      <c r="A1631" s="265"/>
      <c r="H1631" s="179" t="s">
        <v>14</v>
      </c>
      <c r="I1631"/>
      <c r="J1631" s="4"/>
      <c r="K1631"/>
    </row>
    <row r="1632" spans="1:11" hidden="1">
      <c r="A1632" s="265"/>
      <c r="H1632" s="179" t="s">
        <v>43</v>
      </c>
      <c r="I1632"/>
      <c r="J1632" s="4"/>
      <c r="K1632"/>
    </row>
    <row r="1633" spans="1:11" hidden="1">
      <c r="A1633" s="265"/>
      <c r="H1633" s="179" t="s">
        <v>44</v>
      </c>
      <c r="I1633"/>
      <c r="J1633" s="4"/>
      <c r="K1633"/>
    </row>
    <row r="1634" spans="1:11" hidden="1">
      <c r="A1634" s="265"/>
      <c r="H1634" s="179" t="s">
        <v>45</v>
      </c>
      <c r="I1634"/>
      <c r="J1634" s="4"/>
      <c r="K1634"/>
    </row>
    <row r="1635" spans="1:11" hidden="1">
      <c r="A1635" s="265"/>
      <c r="H1635" s="183" t="s">
        <v>1615</v>
      </c>
      <c r="I1635" s="5" t="s">
        <v>1615</v>
      </c>
      <c r="J1635" s="4"/>
      <c r="K1635"/>
    </row>
    <row r="1636" spans="1:11" hidden="1">
      <c r="A1636" s="265"/>
      <c r="F1636" s="186">
        <v>9</v>
      </c>
      <c r="G1636" s="185" t="s">
        <v>2190</v>
      </c>
      <c r="H1636" s="179" t="s">
        <v>1603</v>
      </c>
      <c r="I1636" s="8" t="e">
        <f>C73</f>
        <v>#REF!</v>
      </c>
      <c r="J1636" s="2" t="s">
        <v>2190</v>
      </c>
      <c r="K1636" s="8" t="e">
        <f>(F1636*I1636)</f>
        <v>#REF!</v>
      </c>
    </row>
    <row r="1637" spans="1:11" hidden="1">
      <c r="A1637" s="265"/>
      <c r="F1637" s="186">
        <v>4.5</v>
      </c>
      <c r="G1637" s="185" t="s">
        <v>2190</v>
      </c>
      <c r="H1637" s="179" t="s">
        <v>1604</v>
      </c>
      <c r="I1637" s="8" t="e">
        <f>K32</f>
        <v>#REF!</v>
      </c>
      <c r="J1637" s="2" t="s">
        <v>2190</v>
      </c>
      <c r="K1637" s="8" t="e">
        <f>(F1637*I1637)</f>
        <v>#REF!</v>
      </c>
    </row>
    <row r="1638" spans="1:11" hidden="1">
      <c r="A1638" s="265"/>
      <c r="F1638" s="186">
        <v>1.8</v>
      </c>
      <c r="G1638" s="185" t="s">
        <v>570</v>
      </c>
      <c r="H1638" s="179" t="s">
        <v>1605</v>
      </c>
      <c r="I1638" s="8">
        <f>C11</f>
        <v>135</v>
      </c>
      <c r="J1638" s="2" t="s">
        <v>1423</v>
      </c>
      <c r="K1638" s="8">
        <f>(F1638*I1638)</f>
        <v>243</v>
      </c>
    </row>
    <row r="1639" spans="1:11" hidden="1">
      <c r="A1639" s="265"/>
      <c r="F1639" s="186">
        <v>17.7</v>
      </c>
      <c r="G1639" s="185" t="s">
        <v>570</v>
      </c>
      <c r="H1639" s="179" t="s">
        <v>839</v>
      </c>
      <c r="I1639" s="8">
        <f>C12</f>
        <v>95</v>
      </c>
      <c r="J1639" s="2" t="s">
        <v>1423</v>
      </c>
      <c r="K1639" s="8">
        <f>(F1639*I1639)</f>
        <v>1681.5</v>
      </c>
    </row>
    <row r="1640" spans="1:11" hidden="1">
      <c r="A1640" s="265"/>
      <c r="F1640" s="186">
        <v>14.1</v>
      </c>
      <c r="G1640" s="185" t="s">
        <v>570</v>
      </c>
      <c r="H1640" s="179" t="s">
        <v>1396</v>
      </c>
      <c r="I1640" s="8">
        <f>C13</f>
        <v>85</v>
      </c>
      <c r="J1640" s="2" t="s">
        <v>1423</v>
      </c>
      <c r="K1640" s="8">
        <f>(F1640*I1640)</f>
        <v>1198.5</v>
      </c>
    </row>
    <row r="1641" spans="1:11" hidden="1">
      <c r="A1641" s="265"/>
      <c r="I1641"/>
      <c r="J1641" s="4"/>
      <c r="K1641" s="5" t="s">
        <v>1615</v>
      </c>
    </row>
    <row r="1642" spans="1:11" hidden="1">
      <c r="A1642" s="265"/>
      <c r="H1642" s="233" t="s">
        <v>1606</v>
      </c>
      <c r="I1642"/>
      <c r="J1642" s="4"/>
      <c r="K1642" s="8" t="e">
        <f>SUM(K1636:K1640)</f>
        <v>#REF!</v>
      </c>
    </row>
    <row r="1643" spans="1:11" hidden="1">
      <c r="A1643" s="265"/>
      <c r="I1643"/>
      <c r="J1643" s="4"/>
      <c r="K1643" s="5" t="s">
        <v>1615</v>
      </c>
    </row>
    <row r="1644" spans="1:11" hidden="1">
      <c r="A1644" s="265"/>
      <c r="H1644" s="233" t="s">
        <v>1607</v>
      </c>
      <c r="I1644"/>
      <c r="J1644" s="4"/>
      <c r="K1644" s="8" t="e">
        <f>(K1642/10)</f>
        <v>#REF!</v>
      </c>
    </row>
    <row r="1645" spans="1:11" hidden="1">
      <c r="A1645" s="265"/>
      <c r="I1645"/>
      <c r="J1645" s="4"/>
      <c r="K1645" s="5" t="s">
        <v>2091</v>
      </c>
    </row>
    <row r="1646" spans="1:11" hidden="1">
      <c r="A1646" s="265"/>
      <c r="I1646"/>
      <c r="J1646" s="4"/>
      <c r="K1646"/>
    </row>
    <row r="1647" spans="1:11" hidden="1">
      <c r="A1647" s="265"/>
      <c r="G1647" s="185" t="s">
        <v>687</v>
      </c>
      <c r="H1647" s="179" t="s">
        <v>1169</v>
      </c>
      <c r="I1647"/>
      <c r="J1647" s="4"/>
      <c r="K1647"/>
    </row>
    <row r="1648" spans="1:11" hidden="1">
      <c r="A1648" s="265"/>
      <c r="H1648" s="179" t="s">
        <v>612</v>
      </c>
      <c r="I1648"/>
      <c r="J1648" s="4"/>
      <c r="K1648"/>
    </row>
    <row r="1649" spans="1:11" hidden="1">
      <c r="A1649" s="265"/>
      <c r="H1649" s="183" t="s">
        <v>1615</v>
      </c>
      <c r="I1649" s="5" t="s">
        <v>1615</v>
      </c>
      <c r="J1649" s="4"/>
      <c r="K1649"/>
    </row>
    <row r="1650" spans="1:11" hidden="1">
      <c r="A1650" s="265"/>
      <c r="I1650"/>
      <c r="J1650" s="4"/>
      <c r="K1650"/>
    </row>
    <row r="1651" spans="1:11" hidden="1">
      <c r="A1651" s="265"/>
      <c r="F1651" s="242">
        <v>0.314</v>
      </c>
      <c r="G1651" s="185" t="s">
        <v>2190</v>
      </c>
      <c r="H1651" s="179" t="s">
        <v>448</v>
      </c>
      <c r="I1651" s="8" t="e">
        <f>K1644</f>
        <v>#REF!</v>
      </c>
      <c r="J1651" s="2" t="s">
        <v>2190</v>
      </c>
      <c r="K1651" s="8" t="e">
        <f>(F1651*I1651)</f>
        <v>#REF!</v>
      </c>
    </row>
    <row r="1652" spans="1:11" hidden="1">
      <c r="A1652" s="265"/>
      <c r="F1652" s="186">
        <v>18</v>
      </c>
      <c r="G1652" s="185" t="s">
        <v>570</v>
      </c>
      <c r="H1652" s="179" t="s">
        <v>545</v>
      </c>
      <c r="I1652" s="8">
        <v>2</v>
      </c>
      <c r="J1652" s="2" t="s">
        <v>1423</v>
      </c>
      <c r="K1652" s="8">
        <f>(F1652*I1652)</f>
        <v>36</v>
      </c>
    </row>
    <row r="1653" spans="1:11" hidden="1">
      <c r="A1653" s="265"/>
      <c r="F1653" s="186">
        <v>18</v>
      </c>
      <c r="G1653" s="185" t="s">
        <v>570</v>
      </c>
      <c r="H1653" s="179" t="s">
        <v>546</v>
      </c>
      <c r="I1653" s="8">
        <v>1</v>
      </c>
      <c r="J1653" s="2" t="s">
        <v>1423</v>
      </c>
      <c r="K1653" s="8">
        <f>(F1653*I1653)</f>
        <v>18</v>
      </c>
    </row>
    <row r="1654" spans="1:11" hidden="1">
      <c r="A1654" s="265"/>
      <c r="F1654" s="186">
        <v>18</v>
      </c>
      <c r="G1654" s="185" t="s">
        <v>570</v>
      </c>
      <c r="H1654" s="179" t="s">
        <v>547</v>
      </c>
      <c r="I1654" s="8">
        <v>2</v>
      </c>
      <c r="J1654" s="2" t="s">
        <v>1423</v>
      </c>
      <c r="K1654" s="8">
        <f>(F1654*I1654)</f>
        <v>36</v>
      </c>
    </row>
    <row r="1655" spans="1:11" hidden="1">
      <c r="A1655" s="265"/>
      <c r="I1655"/>
      <c r="J1655" s="4"/>
      <c r="K1655" s="5" t="s">
        <v>1615</v>
      </c>
    </row>
    <row r="1656" spans="1:11" hidden="1">
      <c r="A1656" s="265"/>
      <c r="H1656" s="233" t="s">
        <v>1985</v>
      </c>
      <c r="I1656"/>
      <c r="J1656" s="4"/>
      <c r="K1656" s="8" t="e">
        <f>SUM(K1650:K1654)</f>
        <v>#REF!</v>
      </c>
    </row>
    <row r="1657" spans="1:11" hidden="1">
      <c r="A1657" s="265"/>
      <c r="I1657"/>
      <c r="J1657" s="4"/>
      <c r="K1657" s="5" t="s">
        <v>1615</v>
      </c>
    </row>
    <row r="1658" spans="1:11" hidden="1">
      <c r="A1658" s="265"/>
      <c r="H1658" s="233" t="s">
        <v>1986</v>
      </c>
      <c r="I1658"/>
      <c r="J1658" s="4"/>
      <c r="K1658" s="8" t="e">
        <f>(K1656/6.28)</f>
        <v>#REF!</v>
      </c>
    </row>
    <row r="1659" spans="1:11" hidden="1">
      <c r="A1659" s="265"/>
      <c r="I1659"/>
      <c r="J1659" s="4"/>
      <c r="K1659" s="5" t="s">
        <v>2091</v>
      </c>
    </row>
    <row r="1660" spans="1:11" hidden="1">
      <c r="A1660" s="265"/>
      <c r="F1660" s="179" t="s">
        <v>992</v>
      </c>
      <c r="H1660" s="179" t="s">
        <v>746</v>
      </c>
      <c r="I1660"/>
      <c r="J1660" s="4"/>
      <c r="K1660"/>
    </row>
    <row r="1661" spans="1:11" hidden="1">
      <c r="A1661" s="265"/>
      <c r="H1661" s="183" t="s">
        <v>1615</v>
      </c>
      <c r="I1661"/>
      <c r="J1661" s="4"/>
      <c r="K1661"/>
    </row>
    <row r="1662" spans="1:11" hidden="1">
      <c r="A1662" s="265"/>
      <c r="F1662" s="242">
        <v>0.01</v>
      </c>
      <c r="G1662" s="185" t="s">
        <v>2190</v>
      </c>
      <c r="H1662" s="179" t="s">
        <v>448</v>
      </c>
      <c r="I1662" s="8" t="e">
        <f>K1644</f>
        <v>#REF!</v>
      </c>
      <c r="J1662" s="2" t="s">
        <v>2190</v>
      </c>
      <c r="K1662" s="8" t="e">
        <f>(F1662*I1662)</f>
        <v>#REF!</v>
      </c>
    </row>
    <row r="1663" spans="1:11" hidden="1">
      <c r="A1663" s="265"/>
      <c r="F1663" s="186">
        <v>0.01</v>
      </c>
      <c r="G1663" s="185" t="s">
        <v>1365</v>
      </c>
      <c r="H1663" s="179" t="s">
        <v>747</v>
      </c>
      <c r="I1663" s="6" t="s">
        <v>669</v>
      </c>
      <c r="J1663" s="4"/>
      <c r="K1663" s="8">
        <v>1.2</v>
      </c>
    </row>
    <row r="1664" spans="1:11" hidden="1">
      <c r="A1664" s="265"/>
      <c r="I1664" s="32"/>
      <c r="J1664" s="4"/>
      <c r="K1664" s="5" t="s">
        <v>1615</v>
      </c>
    </row>
    <row r="1665" spans="1:11" hidden="1">
      <c r="A1665" s="265"/>
      <c r="H1665" s="233" t="s">
        <v>755</v>
      </c>
      <c r="I1665"/>
      <c r="J1665" s="4"/>
      <c r="K1665" s="8" t="e">
        <f>SUM(K1659:K1663)</f>
        <v>#REF!</v>
      </c>
    </row>
    <row r="1666" spans="1:11" hidden="1">
      <c r="A1666" s="265"/>
      <c r="I1666"/>
      <c r="J1666" s="4"/>
      <c r="K1666" s="5" t="s">
        <v>1615</v>
      </c>
    </row>
    <row r="1667" spans="1:11" hidden="1">
      <c r="A1667" s="265"/>
      <c r="H1667" s="233" t="s">
        <v>2214</v>
      </c>
      <c r="I1667"/>
      <c r="J1667" s="4"/>
      <c r="K1667" s="8" t="e">
        <f>K1665/0.01</f>
        <v>#REF!</v>
      </c>
    </row>
    <row r="1668" spans="1:11" hidden="1">
      <c r="A1668" s="265"/>
      <c r="I1668"/>
      <c r="J1668" s="4"/>
      <c r="K1668" s="5" t="s">
        <v>2091</v>
      </c>
    </row>
    <row r="1669" spans="1:11" hidden="1">
      <c r="A1669" s="265"/>
      <c r="F1669" s="233" t="s">
        <v>2215</v>
      </c>
      <c r="G1669" s="185" t="s">
        <v>687</v>
      </c>
      <c r="H1669" s="179" t="s">
        <v>1169</v>
      </c>
      <c r="I1669"/>
      <c r="J1669" s="4"/>
      <c r="K1669"/>
    </row>
    <row r="1670" spans="1:11" hidden="1">
      <c r="A1670" s="265"/>
      <c r="H1670" s="245" t="s">
        <v>613</v>
      </c>
      <c r="I1670"/>
      <c r="J1670" s="4"/>
      <c r="K1670"/>
    </row>
    <row r="1671" spans="1:11" hidden="1">
      <c r="A1671" s="265"/>
      <c r="H1671" s="183" t="s">
        <v>1615</v>
      </c>
      <c r="I1671" s="5" t="s">
        <v>1615</v>
      </c>
      <c r="J1671" s="4"/>
      <c r="K1671"/>
    </row>
    <row r="1672" spans="1:11" hidden="1">
      <c r="A1672" s="265"/>
      <c r="F1672" s="242">
        <v>0.40500000000000003</v>
      </c>
      <c r="G1672" s="185" t="s">
        <v>2190</v>
      </c>
      <c r="H1672" s="179" t="s">
        <v>448</v>
      </c>
      <c r="I1672" s="8" t="e">
        <f>K1667</f>
        <v>#REF!</v>
      </c>
      <c r="J1672" s="2" t="s">
        <v>2190</v>
      </c>
      <c r="K1672" s="8" t="e">
        <f>(F1672*I1672)</f>
        <v>#REF!</v>
      </c>
    </row>
    <row r="1673" spans="1:11" hidden="1">
      <c r="A1673" s="265"/>
      <c r="F1673" s="179" t="s">
        <v>992</v>
      </c>
      <c r="G1673" s="185" t="s">
        <v>992</v>
      </c>
      <c r="H1673" s="179" t="s">
        <v>1679</v>
      </c>
      <c r="I1673" s="6" t="s">
        <v>669</v>
      </c>
      <c r="J1673" s="4"/>
      <c r="K1673" s="1" t="s">
        <v>992</v>
      </c>
    </row>
    <row r="1674" spans="1:11" hidden="1">
      <c r="A1674" s="265"/>
      <c r="I1674"/>
      <c r="J1674" s="4"/>
      <c r="K1674" s="5" t="s">
        <v>1615</v>
      </c>
    </row>
    <row r="1675" spans="1:11" hidden="1">
      <c r="A1675" s="265"/>
      <c r="H1675" s="233" t="s">
        <v>1680</v>
      </c>
      <c r="I1675"/>
      <c r="J1675" s="4"/>
      <c r="K1675" s="8" t="e">
        <f>SUM(K1669:K1673)</f>
        <v>#REF!</v>
      </c>
    </row>
    <row r="1676" spans="1:11" hidden="1">
      <c r="A1676" s="265"/>
      <c r="I1676"/>
      <c r="J1676" s="4"/>
      <c r="K1676" s="5" t="s">
        <v>1615</v>
      </c>
    </row>
    <row r="1677" spans="1:11" hidden="1">
      <c r="A1677" s="265"/>
      <c r="H1677" s="233" t="s">
        <v>1681</v>
      </c>
      <c r="I1677"/>
      <c r="J1677" s="4"/>
      <c r="K1677" s="8" t="e">
        <f>K1675/9</f>
        <v>#REF!</v>
      </c>
    </row>
    <row r="1678" spans="1:11" hidden="1">
      <c r="A1678" s="265"/>
      <c r="I1678"/>
      <c r="J1678" s="4"/>
      <c r="K1678" s="5" t="s">
        <v>2091</v>
      </c>
    </row>
    <row r="1679" spans="1:11" hidden="1">
      <c r="A1679" s="265"/>
      <c r="F1679" s="233" t="s">
        <v>1430</v>
      </c>
      <c r="H1679" s="179" t="s">
        <v>475</v>
      </c>
      <c r="I1679"/>
      <c r="J1679" s="4"/>
      <c r="K1679"/>
    </row>
    <row r="1680" spans="1:11" hidden="1">
      <c r="A1680" s="265"/>
      <c r="H1680" s="183" t="s">
        <v>1615</v>
      </c>
      <c r="I1680"/>
      <c r="J1680" s="4"/>
      <c r="K1680"/>
    </row>
    <row r="1681" spans="1:11" hidden="1">
      <c r="A1681" s="265"/>
      <c r="F1681" s="186">
        <v>4.32</v>
      </c>
      <c r="G1681" s="185" t="s">
        <v>885</v>
      </c>
      <c r="H1681" s="179" t="s">
        <v>362</v>
      </c>
      <c r="I1681" s="8">
        <f>C61</f>
        <v>25</v>
      </c>
      <c r="J1681" s="2" t="s">
        <v>885</v>
      </c>
      <c r="K1681" s="8">
        <f t="shared" ref="K1681:K1688" si="62">(F1681*I1681)</f>
        <v>108</v>
      </c>
    </row>
    <row r="1682" spans="1:11" hidden="1">
      <c r="A1682" s="265"/>
      <c r="F1682" s="186">
        <v>1.44</v>
      </c>
      <c r="G1682" s="185" t="s">
        <v>885</v>
      </c>
      <c r="H1682" s="179" t="s">
        <v>476</v>
      </c>
      <c r="I1682" s="8">
        <v>60.5</v>
      </c>
      <c r="J1682" s="2" t="s">
        <v>885</v>
      </c>
      <c r="K1682" s="8">
        <f t="shared" si="62"/>
        <v>87.12</v>
      </c>
    </row>
    <row r="1683" spans="1:11" hidden="1">
      <c r="A1683" s="265"/>
      <c r="F1683" s="186">
        <v>1.44</v>
      </c>
      <c r="G1683" s="185" t="s">
        <v>885</v>
      </c>
      <c r="H1683" s="179" t="s">
        <v>477</v>
      </c>
      <c r="I1683" s="8">
        <f>C35</f>
        <v>169</v>
      </c>
      <c r="J1683" s="2" t="s">
        <v>885</v>
      </c>
      <c r="K1683" s="8">
        <f t="shared" si="62"/>
        <v>243.36</v>
      </c>
    </row>
    <row r="1684" spans="1:11" hidden="1">
      <c r="A1684" s="265"/>
      <c r="F1684" s="186">
        <v>1.44</v>
      </c>
      <c r="G1684" s="185" t="s">
        <v>885</v>
      </c>
      <c r="H1684" s="179" t="s">
        <v>478</v>
      </c>
      <c r="I1684" s="8" t="e">
        <f>C78</f>
        <v>#REF!</v>
      </c>
      <c r="J1684" s="2" t="s">
        <v>885</v>
      </c>
      <c r="K1684" s="8" t="e">
        <f t="shared" si="62"/>
        <v>#REF!</v>
      </c>
    </row>
    <row r="1685" spans="1:11" hidden="1">
      <c r="A1685" s="265"/>
      <c r="F1685" s="186">
        <v>2.88</v>
      </c>
      <c r="G1685" s="185" t="s">
        <v>885</v>
      </c>
      <c r="H1685" s="179" t="s">
        <v>479</v>
      </c>
      <c r="I1685" s="8">
        <v>10</v>
      </c>
      <c r="J1685" s="2" t="s">
        <v>885</v>
      </c>
      <c r="K1685" s="8">
        <f t="shared" si="62"/>
        <v>28.8</v>
      </c>
    </row>
    <row r="1686" spans="1:11" hidden="1">
      <c r="A1686" s="265"/>
      <c r="F1686" s="186">
        <v>20</v>
      </c>
      <c r="G1686" s="185" t="s">
        <v>262</v>
      </c>
      <c r="H1686" s="179" t="s">
        <v>1655</v>
      </c>
      <c r="I1686" s="8">
        <v>40</v>
      </c>
      <c r="J1686" s="2" t="s">
        <v>262</v>
      </c>
      <c r="K1686" s="8">
        <f t="shared" si="62"/>
        <v>800</v>
      </c>
    </row>
    <row r="1687" spans="1:11" hidden="1">
      <c r="A1687" s="265"/>
      <c r="F1687" s="186">
        <v>42</v>
      </c>
      <c r="G1687" s="185" t="s">
        <v>2235</v>
      </c>
      <c r="H1687" s="179" t="s">
        <v>3187</v>
      </c>
      <c r="I1687" s="8">
        <v>10</v>
      </c>
      <c r="J1687" s="2" t="s">
        <v>2235</v>
      </c>
      <c r="K1687" s="8">
        <f t="shared" si="62"/>
        <v>420</v>
      </c>
    </row>
    <row r="1688" spans="1:11" hidden="1">
      <c r="A1688" s="265"/>
      <c r="F1688" s="186">
        <v>4.32</v>
      </c>
      <c r="G1688" s="185" t="s">
        <v>885</v>
      </c>
      <c r="H1688" s="179" t="s">
        <v>1647</v>
      </c>
      <c r="I1688" s="8">
        <f>C27</f>
        <v>7.8</v>
      </c>
      <c r="J1688" s="2" t="s">
        <v>885</v>
      </c>
      <c r="K1688" s="8">
        <f t="shared" si="62"/>
        <v>33.700000000000003</v>
      </c>
    </row>
    <row r="1689" spans="1:11" hidden="1">
      <c r="A1689" s="265"/>
      <c r="F1689" s="233" t="s">
        <v>748</v>
      </c>
      <c r="H1689" s="179" t="s">
        <v>1039</v>
      </c>
      <c r="I1689"/>
      <c r="J1689" s="4"/>
      <c r="K1689" s="8">
        <v>2000</v>
      </c>
    </row>
    <row r="1690" spans="1:11" hidden="1">
      <c r="A1690" s="265"/>
      <c r="I1690"/>
      <c r="J1690" s="4"/>
      <c r="K1690" s="5" t="s">
        <v>1615</v>
      </c>
    </row>
    <row r="1691" spans="1:11" hidden="1">
      <c r="A1691" s="265"/>
      <c r="H1691" s="179" t="s">
        <v>1040</v>
      </c>
      <c r="I1691"/>
      <c r="J1691" s="4"/>
      <c r="K1691" s="8" t="e">
        <f>SUM(K1681:K1689)</f>
        <v>#REF!</v>
      </c>
    </row>
    <row r="1692" spans="1:11" hidden="1">
      <c r="A1692" s="265"/>
      <c r="I1692"/>
      <c r="J1692" s="4"/>
      <c r="K1692" s="5" t="s">
        <v>1615</v>
      </c>
    </row>
    <row r="1693" spans="1:11" hidden="1">
      <c r="A1693" s="265"/>
      <c r="H1693" s="179" t="s">
        <v>1426</v>
      </c>
      <c r="I1693"/>
      <c r="J1693" s="4"/>
      <c r="K1693" s="8" t="e">
        <f>K1691/20</f>
        <v>#REF!</v>
      </c>
    </row>
    <row r="1694" spans="1:11" hidden="1">
      <c r="A1694" s="265"/>
      <c r="I1694"/>
      <c r="J1694" s="4"/>
      <c r="K1694" s="5" t="s">
        <v>2091</v>
      </c>
    </row>
    <row r="1695" spans="1:11" hidden="1">
      <c r="A1695" s="265"/>
      <c r="I1695"/>
      <c r="J1695" s="4"/>
      <c r="K1695"/>
    </row>
    <row r="1696" spans="1:11" hidden="1">
      <c r="A1696" s="265"/>
      <c r="F1696" s="233" t="s">
        <v>1041</v>
      </c>
      <c r="H1696" s="179" t="s">
        <v>1340</v>
      </c>
      <c r="I1696"/>
      <c r="J1696" s="4"/>
      <c r="K1696"/>
    </row>
    <row r="1697" spans="1:11" hidden="1">
      <c r="A1697" s="265"/>
      <c r="H1697" s="183" t="s">
        <v>1615</v>
      </c>
      <c r="I1697"/>
      <c r="J1697" s="4"/>
      <c r="K1697"/>
    </row>
    <row r="1698" spans="1:11" hidden="1">
      <c r="A1698" s="265"/>
      <c r="F1698" s="186">
        <v>0.1</v>
      </c>
      <c r="G1698" s="185" t="s">
        <v>885</v>
      </c>
      <c r="H1698" s="179" t="s">
        <v>362</v>
      </c>
      <c r="I1698" s="8">
        <f>K90</f>
        <v>50</v>
      </c>
      <c r="J1698" s="2" t="s">
        <v>885</v>
      </c>
      <c r="K1698" s="8">
        <f t="shared" ref="K1698:K1703" si="63">(F1698*I1698)</f>
        <v>5</v>
      </c>
    </row>
    <row r="1699" spans="1:11" hidden="1">
      <c r="A1699" s="265"/>
      <c r="F1699" s="186">
        <v>6.3</v>
      </c>
      <c r="G1699" s="185" t="s">
        <v>2235</v>
      </c>
      <c r="H1699" s="179" t="s">
        <v>647</v>
      </c>
      <c r="I1699" s="51">
        <v>21</v>
      </c>
      <c r="J1699" s="2" t="s">
        <v>2235</v>
      </c>
      <c r="K1699" s="8">
        <f t="shared" si="63"/>
        <v>132.30000000000001</v>
      </c>
    </row>
    <row r="1700" spans="1:11" hidden="1">
      <c r="A1700" s="265"/>
      <c r="F1700" s="186">
        <v>6.3</v>
      </c>
      <c r="G1700" s="185" t="s">
        <v>2235</v>
      </c>
      <c r="H1700" s="179" t="s">
        <v>3187</v>
      </c>
      <c r="I1700" s="8">
        <v>10</v>
      </c>
      <c r="J1700" s="2" t="s">
        <v>2235</v>
      </c>
      <c r="K1700" s="8">
        <f t="shared" si="63"/>
        <v>63</v>
      </c>
    </row>
    <row r="1701" spans="1:11" hidden="1">
      <c r="A1701" s="265"/>
      <c r="F1701" s="186">
        <v>3.15</v>
      </c>
      <c r="G1701" s="185" t="s">
        <v>236</v>
      </c>
      <c r="H1701" s="179" t="s">
        <v>648</v>
      </c>
      <c r="I1701" s="51">
        <v>22.6</v>
      </c>
      <c r="J1701" s="2" t="s">
        <v>236</v>
      </c>
      <c r="K1701" s="8">
        <f t="shared" si="63"/>
        <v>71.19</v>
      </c>
    </row>
    <row r="1702" spans="1:11" hidden="1">
      <c r="A1702" s="265"/>
      <c r="F1702" s="186">
        <v>0.25</v>
      </c>
      <c r="G1702" s="185" t="s">
        <v>1794</v>
      </c>
      <c r="H1702" s="179" t="s">
        <v>649</v>
      </c>
      <c r="I1702" s="8">
        <f>D16</f>
        <v>135</v>
      </c>
      <c r="J1702" s="2" t="s">
        <v>1794</v>
      </c>
      <c r="K1702" s="8">
        <f t="shared" si="63"/>
        <v>33.75</v>
      </c>
    </row>
    <row r="1703" spans="1:11" hidden="1">
      <c r="A1703" s="265"/>
      <c r="F1703" s="186">
        <v>0.2</v>
      </c>
      <c r="G1703" s="185" t="s">
        <v>1794</v>
      </c>
      <c r="H1703" s="179" t="s">
        <v>650</v>
      </c>
      <c r="I1703" s="8">
        <f>C17</f>
        <v>130</v>
      </c>
      <c r="J1703" s="2" t="s">
        <v>1794</v>
      </c>
      <c r="K1703" s="8">
        <f t="shared" si="63"/>
        <v>26</v>
      </c>
    </row>
    <row r="1704" spans="1:11" hidden="1">
      <c r="A1704" s="265"/>
      <c r="H1704" s="179" t="s">
        <v>514</v>
      </c>
      <c r="I1704" s="1" t="s">
        <v>992</v>
      </c>
      <c r="J1704" s="2" t="s">
        <v>992</v>
      </c>
      <c r="K1704" s="8">
        <v>0</v>
      </c>
    </row>
    <row r="1705" spans="1:11" hidden="1">
      <c r="A1705" s="265"/>
      <c r="I1705"/>
      <c r="J1705" s="2" t="s">
        <v>992</v>
      </c>
      <c r="K1705" s="5" t="s">
        <v>1615</v>
      </c>
    </row>
    <row r="1706" spans="1:11" hidden="1">
      <c r="A1706" s="265"/>
      <c r="F1706" s="179" t="s">
        <v>992</v>
      </c>
      <c r="G1706" s="185" t="s">
        <v>992</v>
      </c>
      <c r="H1706" s="179" t="s">
        <v>1426</v>
      </c>
      <c r="I1706"/>
      <c r="J1706" s="4"/>
      <c r="K1706" s="8">
        <f>SUM(K1698:K1704)</f>
        <v>331.24</v>
      </c>
    </row>
    <row r="1707" spans="1:11" hidden="1">
      <c r="A1707" s="265"/>
      <c r="H1707" s="179" t="s">
        <v>992</v>
      </c>
      <c r="I1707"/>
      <c r="J1707" s="4"/>
      <c r="K1707" s="5" t="s">
        <v>1615</v>
      </c>
    </row>
    <row r="1708" spans="1:11" hidden="1">
      <c r="A1708" s="265"/>
      <c r="I1708"/>
      <c r="J1708" s="4"/>
      <c r="K1708" s="5"/>
    </row>
    <row r="1709" spans="1:11" hidden="1">
      <c r="A1709" s="265"/>
      <c r="F1709" s="233" t="s">
        <v>603</v>
      </c>
      <c r="H1709" s="179" t="s">
        <v>946</v>
      </c>
      <c r="I1709"/>
      <c r="J1709" s="4"/>
      <c r="K1709"/>
    </row>
    <row r="1710" spans="1:11" hidden="1">
      <c r="A1710" s="265"/>
      <c r="H1710" s="183" t="s">
        <v>1615</v>
      </c>
      <c r="I1710"/>
      <c r="J1710" s="4"/>
      <c r="K1710"/>
    </row>
    <row r="1711" spans="1:11" hidden="1">
      <c r="A1711" s="265"/>
      <c r="F1711" s="253">
        <v>0.48599999999999999</v>
      </c>
      <c r="G1711" s="185" t="s">
        <v>1365</v>
      </c>
      <c r="H1711" s="179" t="s">
        <v>362</v>
      </c>
      <c r="I1711" s="8">
        <f>C61</f>
        <v>25</v>
      </c>
      <c r="J1711" s="2" t="s">
        <v>1365</v>
      </c>
      <c r="K1711" s="8">
        <f t="shared" ref="K1711:K1717" si="64">(F1711*I1711)</f>
        <v>12.15</v>
      </c>
    </row>
    <row r="1712" spans="1:11" hidden="1">
      <c r="A1712" s="265"/>
      <c r="F1712" s="253">
        <v>0.48599999999999999</v>
      </c>
      <c r="G1712" s="185" t="s">
        <v>1365</v>
      </c>
      <c r="H1712" s="179" t="s">
        <v>363</v>
      </c>
      <c r="I1712" s="8" t="e">
        <f>K203</f>
        <v>#REF!</v>
      </c>
      <c r="J1712" s="2" t="s">
        <v>1365</v>
      </c>
      <c r="K1712" s="8" t="e">
        <f t="shared" si="64"/>
        <v>#REF!</v>
      </c>
    </row>
    <row r="1713" spans="1:11" hidden="1">
      <c r="A1713" s="265"/>
      <c r="F1713" s="186">
        <v>81.75</v>
      </c>
      <c r="G1713" s="185" t="s">
        <v>364</v>
      </c>
      <c r="H1713" s="179" t="s">
        <v>365</v>
      </c>
      <c r="I1713" s="8">
        <v>30</v>
      </c>
      <c r="J1713" s="2" t="s">
        <v>364</v>
      </c>
      <c r="K1713" s="8">
        <f t="shared" si="64"/>
        <v>2452.5</v>
      </c>
    </row>
    <row r="1714" spans="1:11" hidden="1">
      <c r="A1714" s="265"/>
      <c r="F1714" s="186">
        <v>7.2</v>
      </c>
      <c r="G1714" s="185" t="s">
        <v>364</v>
      </c>
      <c r="H1714" s="179" t="s">
        <v>366</v>
      </c>
      <c r="I1714" s="8">
        <v>30</v>
      </c>
      <c r="J1714" s="2" t="s">
        <v>364</v>
      </c>
      <c r="K1714" s="8">
        <f t="shared" si="64"/>
        <v>216</v>
      </c>
    </row>
    <row r="1715" spans="1:11" hidden="1">
      <c r="A1715" s="265"/>
      <c r="F1715" s="186">
        <v>43.68</v>
      </c>
      <c r="G1715" s="185" t="s">
        <v>364</v>
      </c>
      <c r="H1715" s="179" t="s">
        <v>1584</v>
      </c>
      <c r="I1715" s="8">
        <f>I1713</f>
        <v>30</v>
      </c>
      <c r="J1715" s="2" t="s">
        <v>364</v>
      </c>
      <c r="K1715" s="8">
        <f t="shared" si="64"/>
        <v>1310.4000000000001</v>
      </c>
    </row>
    <row r="1716" spans="1:11" hidden="1">
      <c r="A1716" s="265"/>
      <c r="F1716" s="186">
        <v>132.63</v>
      </c>
      <c r="G1716" s="185" t="s">
        <v>364</v>
      </c>
      <c r="H1716" s="179" t="s">
        <v>1585</v>
      </c>
      <c r="I1716" s="51">
        <v>12.3</v>
      </c>
      <c r="J1716" s="2" t="s">
        <v>364</v>
      </c>
      <c r="K1716" s="8">
        <f t="shared" si="64"/>
        <v>1631.35</v>
      </c>
    </row>
    <row r="1717" spans="1:11" hidden="1">
      <c r="A1717" s="265"/>
      <c r="F1717" s="186">
        <v>2.2000000000000002</v>
      </c>
      <c r="G1717" s="185" t="s">
        <v>236</v>
      </c>
      <c r="H1717" s="179" t="s">
        <v>2460</v>
      </c>
      <c r="I1717" s="8">
        <v>360</v>
      </c>
      <c r="J1717" s="2" t="s">
        <v>236</v>
      </c>
      <c r="K1717" s="8">
        <f t="shared" si="64"/>
        <v>792</v>
      </c>
    </row>
    <row r="1718" spans="1:11" hidden="1">
      <c r="A1718" s="265"/>
      <c r="F1718" s="187" t="s">
        <v>669</v>
      </c>
      <c r="H1718" s="179" t="s">
        <v>1586</v>
      </c>
      <c r="I1718" s="6" t="s">
        <v>669</v>
      </c>
      <c r="J1718" s="4"/>
      <c r="K1718" s="8">
        <v>250</v>
      </c>
    </row>
    <row r="1719" spans="1:11" hidden="1">
      <c r="A1719" s="265"/>
      <c r="F1719" s="187" t="s">
        <v>669</v>
      </c>
      <c r="H1719" s="179" t="s">
        <v>1425</v>
      </c>
      <c r="I1719" s="6" t="s">
        <v>669</v>
      </c>
      <c r="J1719" s="4"/>
      <c r="K1719" s="8">
        <v>20</v>
      </c>
    </row>
    <row r="1720" spans="1:11" hidden="1">
      <c r="A1720" s="265"/>
      <c r="I1720"/>
      <c r="J1720" s="4"/>
      <c r="K1720" s="5" t="s">
        <v>1615</v>
      </c>
    </row>
    <row r="1721" spans="1:11" hidden="1">
      <c r="A1721" s="265"/>
      <c r="I1721"/>
      <c r="J1721" s="4"/>
      <c r="K1721" s="8" t="e">
        <f>SUM(K1711:K1720)</f>
        <v>#REF!</v>
      </c>
    </row>
    <row r="1722" spans="1:11" hidden="1">
      <c r="A1722" s="265"/>
      <c r="I1722"/>
      <c r="J1722" s="4"/>
      <c r="K1722" s="5" t="s">
        <v>1615</v>
      </c>
    </row>
    <row r="1723" spans="1:11" hidden="1">
      <c r="A1723" s="265"/>
      <c r="I1723"/>
      <c r="J1723" s="4"/>
      <c r="K1723" s="5"/>
    </row>
    <row r="1724" spans="1:11" hidden="1">
      <c r="A1724" s="265"/>
      <c r="F1724" s="239">
        <v>86</v>
      </c>
      <c r="H1724" s="179" t="s">
        <v>2095</v>
      </c>
      <c r="I1724"/>
      <c r="J1724" s="4"/>
      <c r="K1724" s="8">
        <f>C777</f>
        <v>30</v>
      </c>
    </row>
    <row r="1725" spans="1:11" hidden="1">
      <c r="A1725" s="265"/>
      <c r="F1725" s="243"/>
      <c r="H1725" s="179"/>
      <c r="I1725"/>
      <c r="J1725" s="4"/>
      <c r="K1725" s="8"/>
    </row>
    <row r="1726" spans="1:11" hidden="1">
      <c r="A1726" s="265"/>
      <c r="F1726" s="233" t="s">
        <v>1682</v>
      </c>
      <c r="H1726" s="179" t="s">
        <v>2314</v>
      </c>
      <c r="I1726"/>
      <c r="J1726" s="4"/>
      <c r="K1726" s="1">
        <v>3135</v>
      </c>
    </row>
    <row r="1727" spans="1:11" hidden="1">
      <c r="A1727" s="265"/>
      <c r="H1727" s="179" t="s">
        <v>2315</v>
      </c>
      <c r="I1727"/>
      <c r="J1727" s="4"/>
      <c r="K1727">
        <f>K1726</f>
        <v>3135</v>
      </c>
    </row>
    <row r="1728" spans="1:11" hidden="1">
      <c r="A1728" s="265"/>
      <c r="F1728" s="179" t="s">
        <v>992</v>
      </c>
      <c r="I1728"/>
      <c r="J1728" s="4"/>
      <c r="K1728"/>
    </row>
    <row r="1729" spans="1:11" hidden="1">
      <c r="A1729" s="265"/>
      <c r="F1729" s="243"/>
      <c r="G1729" s="185" t="s">
        <v>2290</v>
      </c>
      <c r="H1729" s="179" t="s">
        <v>2083</v>
      </c>
      <c r="I1729"/>
      <c r="J1729" s="4"/>
      <c r="K1729"/>
    </row>
    <row r="1730" spans="1:11" hidden="1">
      <c r="A1730" s="265"/>
      <c r="H1730" s="179" t="s">
        <v>2316</v>
      </c>
      <c r="I1730"/>
      <c r="J1730" s="4"/>
      <c r="K1730"/>
    </row>
    <row r="1731" spans="1:11" hidden="1">
      <c r="A1731" s="265"/>
      <c r="H1731" s="179" t="s">
        <v>965</v>
      </c>
      <c r="I1731"/>
      <c r="J1731" s="4"/>
      <c r="K1731"/>
    </row>
    <row r="1732" spans="1:11" hidden="1">
      <c r="A1732" s="265"/>
      <c r="H1732" s="183" t="s">
        <v>1615</v>
      </c>
      <c r="I1732"/>
      <c r="J1732" s="4"/>
      <c r="K1732"/>
    </row>
    <row r="1733" spans="1:11" hidden="1">
      <c r="A1733" s="265"/>
      <c r="G1733" s="185" t="s">
        <v>2317</v>
      </c>
      <c r="H1733" s="179" t="s">
        <v>965</v>
      </c>
      <c r="I1733"/>
      <c r="J1733" s="4"/>
      <c r="K1733" s="1" t="s">
        <v>1477</v>
      </c>
    </row>
    <row r="1734" spans="1:11" hidden="1">
      <c r="A1734" s="265"/>
      <c r="H1734" s="183" t="s">
        <v>1615</v>
      </c>
      <c r="I1734"/>
      <c r="J1734" s="4"/>
      <c r="K1734" s="5" t="s">
        <v>2091</v>
      </c>
    </row>
    <row r="1735" spans="1:11" hidden="1">
      <c r="A1735" s="265"/>
      <c r="F1735" s="186">
        <v>30</v>
      </c>
      <c r="G1735" s="185" t="s">
        <v>1805</v>
      </c>
      <c r="H1735" s="179" t="s">
        <v>1695</v>
      </c>
      <c r="I1735" s="8">
        <f>(C639)</f>
        <v>3</v>
      </c>
      <c r="J1735" s="2" t="s">
        <v>1805</v>
      </c>
      <c r="K1735" s="8">
        <f>(F1735*I1735)</f>
        <v>90</v>
      </c>
    </row>
    <row r="1736" spans="1:11" hidden="1">
      <c r="A1736" s="265"/>
      <c r="F1736" s="179" t="s">
        <v>992</v>
      </c>
      <c r="H1736" s="179" t="s">
        <v>1698</v>
      </c>
      <c r="I1736" s="1" t="s">
        <v>992</v>
      </c>
      <c r="J1736" s="4"/>
      <c r="K1736" s="1" t="s">
        <v>992</v>
      </c>
    </row>
    <row r="1737" spans="1:11" hidden="1">
      <c r="A1737" s="265"/>
      <c r="F1737" s="186">
        <v>8</v>
      </c>
      <c r="G1737" s="185" t="s">
        <v>884</v>
      </c>
      <c r="H1737" s="179" t="s">
        <v>2182</v>
      </c>
      <c r="I1737" s="8">
        <f>(C641)</f>
        <v>2.2000000000000002</v>
      </c>
      <c r="J1737" s="2" t="s">
        <v>884</v>
      </c>
      <c r="K1737" s="8">
        <f t="shared" ref="K1737:K1742" si="65">(F1737*I1737)</f>
        <v>17.600000000000001</v>
      </c>
    </row>
    <row r="1738" spans="1:11" hidden="1">
      <c r="A1738" s="265"/>
      <c r="F1738" s="186">
        <v>8</v>
      </c>
      <c r="G1738" s="185" t="s">
        <v>884</v>
      </c>
      <c r="H1738" s="179" t="s">
        <v>473</v>
      </c>
      <c r="I1738" s="8">
        <f>(C642)</f>
        <v>3.2</v>
      </c>
      <c r="J1738" s="2" t="s">
        <v>884</v>
      </c>
      <c r="K1738" s="8">
        <f t="shared" si="65"/>
        <v>25.6</v>
      </c>
    </row>
    <row r="1739" spans="1:11" hidden="1">
      <c r="A1739" s="265"/>
      <c r="F1739" s="186">
        <v>3</v>
      </c>
      <c r="G1739" s="185" t="s">
        <v>884</v>
      </c>
      <c r="H1739" s="179" t="s">
        <v>1879</v>
      </c>
      <c r="I1739" s="8">
        <f>(C41)</f>
        <v>110</v>
      </c>
      <c r="J1739" s="2" t="s">
        <v>884</v>
      </c>
      <c r="K1739" s="8">
        <f t="shared" si="65"/>
        <v>330</v>
      </c>
    </row>
    <row r="1740" spans="1:11" hidden="1">
      <c r="A1740" s="265"/>
      <c r="F1740" s="186">
        <v>1</v>
      </c>
      <c r="G1740" s="185" t="s">
        <v>884</v>
      </c>
      <c r="H1740" s="179" t="s">
        <v>1404</v>
      </c>
      <c r="I1740" s="8">
        <f>(C10)</f>
        <v>150</v>
      </c>
      <c r="J1740" s="2" t="s">
        <v>884</v>
      </c>
      <c r="K1740" s="8">
        <f t="shared" si="65"/>
        <v>150</v>
      </c>
    </row>
    <row r="1741" spans="1:11" hidden="1">
      <c r="A1741" s="265"/>
      <c r="F1741" s="186">
        <v>2</v>
      </c>
      <c r="G1741" s="185" t="s">
        <v>884</v>
      </c>
      <c r="H1741" s="179" t="s">
        <v>1937</v>
      </c>
      <c r="I1741" s="8">
        <f>(C12)</f>
        <v>95</v>
      </c>
      <c r="J1741" s="2" t="s">
        <v>884</v>
      </c>
      <c r="K1741" s="8">
        <f t="shared" si="65"/>
        <v>190</v>
      </c>
    </row>
    <row r="1742" spans="1:11" hidden="1">
      <c r="A1742" s="265"/>
      <c r="F1742" s="186">
        <v>1</v>
      </c>
      <c r="G1742" s="185" t="s">
        <v>884</v>
      </c>
      <c r="H1742" s="179" t="s">
        <v>325</v>
      </c>
      <c r="I1742" s="8">
        <f>(C13)</f>
        <v>85</v>
      </c>
      <c r="J1742" s="2" t="s">
        <v>884</v>
      </c>
      <c r="K1742" s="8">
        <f t="shared" si="65"/>
        <v>85</v>
      </c>
    </row>
    <row r="1743" spans="1:11" hidden="1">
      <c r="A1743" s="265"/>
      <c r="G1743" s="185" t="s">
        <v>455</v>
      </c>
      <c r="H1743" s="179" t="s">
        <v>1405</v>
      </c>
      <c r="I1743" s="1" t="s">
        <v>992</v>
      </c>
      <c r="J1743" s="2" t="s">
        <v>455</v>
      </c>
      <c r="K1743" s="8">
        <v>5</v>
      </c>
    </row>
    <row r="1744" spans="1:11" hidden="1">
      <c r="A1744" s="265"/>
      <c r="H1744" s="179" t="s">
        <v>948</v>
      </c>
      <c r="I1744" s="1" t="s">
        <v>992</v>
      </c>
      <c r="J1744" s="4"/>
      <c r="K1744" s="1" t="s">
        <v>992</v>
      </c>
    </row>
    <row r="1745" spans="1:11" hidden="1">
      <c r="A1745" s="265"/>
      <c r="G1745" s="185" t="s">
        <v>455</v>
      </c>
      <c r="H1745" s="179" t="s">
        <v>456</v>
      </c>
      <c r="I1745"/>
      <c r="J1745" s="2" t="s">
        <v>455</v>
      </c>
      <c r="K1745" s="8">
        <v>0</v>
      </c>
    </row>
    <row r="1746" spans="1:11" hidden="1">
      <c r="A1746" s="265"/>
      <c r="I1746"/>
      <c r="J1746" s="4"/>
      <c r="K1746" s="5" t="s">
        <v>1615</v>
      </c>
    </row>
    <row r="1747" spans="1:11" hidden="1">
      <c r="A1747" s="265"/>
      <c r="H1747" s="179" t="s">
        <v>1884</v>
      </c>
      <c r="I1747"/>
      <c r="J1747" s="4"/>
      <c r="K1747" s="8">
        <f>SUM(K1735:K1745)</f>
        <v>893.2</v>
      </c>
    </row>
    <row r="1748" spans="1:11" hidden="1">
      <c r="A1748" s="265"/>
      <c r="I1748"/>
      <c r="J1748" s="4"/>
      <c r="K1748" s="5" t="s">
        <v>1615</v>
      </c>
    </row>
    <row r="1749" spans="1:11" hidden="1">
      <c r="A1749" s="265"/>
      <c r="H1749" s="179" t="s">
        <v>1573</v>
      </c>
      <c r="I1749"/>
      <c r="J1749" s="4"/>
      <c r="K1749" s="8">
        <f>(K1747/30)</f>
        <v>29.77</v>
      </c>
    </row>
    <row r="1750" spans="1:11" hidden="1">
      <c r="A1750" s="265"/>
      <c r="I1750"/>
      <c r="J1750" s="4"/>
      <c r="K1750" s="5" t="s">
        <v>1615</v>
      </c>
    </row>
    <row r="1751" spans="1:11" hidden="1">
      <c r="A1751" s="265"/>
      <c r="G1751" s="185" t="s">
        <v>527</v>
      </c>
      <c r="H1751" s="179" t="s">
        <v>965</v>
      </c>
      <c r="I1751"/>
      <c r="J1751" s="4"/>
      <c r="K1751" s="1" t="s">
        <v>23</v>
      </c>
    </row>
    <row r="1752" spans="1:11" hidden="1">
      <c r="A1752" s="265"/>
      <c r="H1752" s="183" t="s">
        <v>1615</v>
      </c>
      <c r="I1752"/>
      <c r="J1752" s="4"/>
      <c r="K1752" s="5" t="s">
        <v>2091</v>
      </c>
    </row>
    <row r="1753" spans="1:11" hidden="1">
      <c r="A1753" s="265"/>
      <c r="F1753" s="186">
        <v>30</v>
      </c>
      <c r="G1753" s="185" t="s">
        <v>1805</v>
      </c>
      <c r="H1753" s="179" t="s">
        <v>1695</v>
      </c>
      <c r="I1753" s="8">
        <f>(C639)</f>
        <v>3</v>
      </c>
      <c r="J1753" s="2" t="s">
        <v>1805</v>
      </c>
      <c r="K1753" s="8">
        <f>(F1753*I1753)</f>
        <v>90</v>
      </c>
    </row>
    <row r="1754" spans="1:11" hidden="1">
      <c r="A1754" s="265"/>
      <c r="F1754" s="179" t="s">
        <v>992</v>
      </c>
      <c r="H1754" s="179" t="s">
        <v>1698</v>
      </c>
      <c r="I1754" s="1" t="s">
        <v>992</v>
      </c>
      <c r="J1754" s="4"/>
      <c r="K1754" s="1" t="s">
        <v>992</v>
      </c>
    </row>
    <row r="1755" spans="1:11" hidden="1">
      <c r="A1755" s="265"/>
      <c r="F1755" s="186">
        <v>8</v>
      </c>
      <c r="G1755" s="185" t="s">
        <v>884</v>
      </c>
      <c r="H1755" s="179" t="s">
        <v>2182</v>
      </c>
      <c r="I1755" s="8">
        <f>(C641)</f>
        <v>2.2000000000000002</v>
      </c>
      <c r="J1755" s="2" t="s">
        <v>884</v>
      </c>
      <c r="K1755" s="8">
        <f t="shared" ref="K1755:K1760" si="66">(F1755*I1755)</f>
        <v>17.600000000000001</v>
      </c>
    </row>
    <row r="1756" spans="1:11" hidden="1">
      <c r="A1756" s="265"/>
      <c r="F1756" s="186">
        <v>8</v>
      </c>
      <c r="G1756" s="185" t="s">
        <v>884</v>
      </c>
      <c r="H1756" s="179" t="s">
        <v>473</v>
      </c>
      <c r="I1756" s="8">
        <f>(D642)</f>
        <v>3.2</v>
      </c>
      <c r="J1756" s="2" t="s">
        <v>884</v>
      </c>
      <c r="K1756" s="8">
        <f t="shared" si="66"/>
        <v>25.6</v>
      </c>
    </row>
    <row r="1757" spans="1:11" hidden="1">
      <c r="A1757" s="265"/>
      <c r="F1757" s="186">
        <v>3</v>
      </c>
      <c r="G1757" s="185" t="s">
        <v>884</v>
      </c>
      <c r="H1757" s="179" t="s">
        <v>1879</v>
      </c>
      <c r="I1757" s="8">
        <f>(C41)</f>
        <v>110</v>
      </c>
      <c r="J1757" s="2" t="s">
        <v>884</v>
      </c>
      <c r="K1757" s="8">
        <f t="shared" si="66"/>
        <v>330</v>
      </c>
    </row>
    <row r="1758" spans="1:11" hidden="1">
      <c r="A1758" s="265"/>
      <c r="F1758" s="186">
        <v>1</v>
      </c>
      <c r="G1758" s="185" t="s">
        <v>884</v>
      </c>
      <c r="H1758" s="179" t="s">
        <v>1404</v>
      </c>
      <c r="I1758" s="8">
        <f>(C10)</f>
        <v>150</v>
      </c>
      <c r="J1758" s="2" t="s">
        <v>884</v>
      </c>
      <c r="K1758" s="8">
        <f t="shared" si="66"/>
        <v>150</v>
      </c>
    </row>
    <row r="1759" spans="1:11" hidden="1">
      <c r="A1759" s="265"/>
      <c r="F1759" s="186">
        <v>2</v>
      </c>
      <c r="G1759" s="185" t="s">
        <v>884</v>
      </c>
      <c r="H1759" s="179" t="s">
        <v>1937</v>
      </c>
      <c r="I1759" s="8">
        <f>(C12)</f>
        <v>95</v>
      </c>
      <c r="J1759" s="2" t="s">
        <v>884</v>
      </c>
      <c r="K1759" s="8">
        <f t="shared" si="66"/>
        <v>190</v>
      </c>
    </row>
    <row r="1760" spans="1:11" hidden="1">
      <c r="A1760" s="265"/>
      <c r="F1760" s="186">
        <v>1</v>
      </c>
      <c r="G1760" s="185" t="s">
        <v>884</v>
      </c>
      <c r="H1760" s="179" t="s">
        <v>325</v>
      </c>
      <c r="I1760" s="8">
        <f>(C13)</f>
        <v>85</v>
      </c>
      <c r="J1760" s="2" t="s">
        <v>884</v>
      </c>
      <c r="K1760" s="8">
        <f t="shared" si="66"/>
        <v>85</v>
      </c>
    </row>
    <row r="1761" spans="1:11" hidden="1">
      <c r="A1761" s="265"/>
      <c r="G1761" s="185" t="s">
        <v>455</v>
      </c>
      <c r="H1761" s="179" t="s">
        <v>1405</v>
      </c>
      <c r="I1761" s="1" t="s">
        <v>992</v>
      </c>
      <c r="J1761" s="2" t="s">
        <v>455</v>
      </c>
      <c r="K1761" s="8">
        <v>5</v>
      </c>
    </row>
    <row r="1762" spans="1:11" hidden="1">
      <c r="A1762" s="265"/>
      <c r="H1762" s="179" t="s">
        <v>948</v>
      </c>
      <c r="I1762" s="1" t="s">
        <v>992</v>
      </c>
      <c r="J1762" s="4"/>
      <c r="K1762" s="1" t="s">
        <v>992</v>
      </c>
    </row>
    <row r="1763" spans="1:11" hidden="1">
      <c r="A1763" s="265"/>
      <c r="G1763" s="185" t="s">
        <v>455</v>
      </c>
      <c r="H1763" s="179" t="s">
        <v>456</v>
      </c>
      <c r="I1763"/>
      <c r="J1763" s="2" t="s">
        <v>455</v>
      </c>
      <c r="K1763" s="8">
        <v>0</v>
      </c>
    </row>
    <row r="1764" spans="1:11" hidden="1">
      <c r="A1764" s="265"/>
      <c r="I1764"/>
      <c r="J1764" s="4"/>
      <c r="K1764" s="5" t="s">
        <v>1615</v>
      </c>
    </row>
    <row r="1765" spans="1:11" hidden="1">
      <c r="A1765" s="265"/>
      <c r="H1765" s="179" t="s">
        <v>1884</v>
      </c>
      <c r="I1765"/>
      <c r="J1765" s="4"/>
      <c r="K1765" s="8">
        <f>SUM(K1753:K1763)</f>
        <v>893.2</v>
      </c>
    </row>
    <row r="1766" spans="1:11" hidden="1">
      <c r="A1766" s="265"/>
      <c r="I1766"/>
      <c r="J1766" s="4"/>
      <c r="K1766" s="5" t="s">
        <v>1615</v>
      </c>
    </row>
    <row r="1767" spans="1:11" hidden="1">
      <c r="A1767" s="265"/>
      <c r="H1767" s="179" t="s">
        <v>1573</v>
      </c>
      <c r="I1767"/>
      <c r="J1767" s="4"/>
      <c r="K1767" s="8">
        <f>(K1765/30)</f>
        <v>29.77</v>
      </c>
    </row>
    <row r="1768" spans="1:11" hidden="1">
      <c r="A1768" s="265"/>
      <c r="I1768"/>
      <c r="J1768" s="4"/>
      <c r="K1768" s="5" t="s">
        <v>1615</v>
      </c>
    </row>
    <row r="1769" spans="1:11" hidden="1">
      <c r="A1769" s="265"/>
      <c r="G1769" s="185" t="s">
        <v>1942</v>
      </c>
      <c r="H1769" s="179" t="s">
        <v>965</v>
      </c>
      <c r="I1769"/>
      <c r="J1769" s="4"/>
      <c r="K1769" s="1" t="s">
        <v>24</v>
      </c>
    </row>
    <row r="1770" spans="1:11" hidden="1">
      <c r="A1770" s="265"/>
      <c r="H1770" s="183" t="s">
        <v>1615</v>
      </c>
      <c r="I1770"/>
      <c r="J1770" s="4"/>
      <c r="K1770" s="5" t="s">
        <v>2091</v>
      </c>
    </row>
    <row r="1771" spans="1:11" hidden="1">
      <c r="A1771" s="265"/>
      <c r="F1771" s="186">
        <v>30</v>
      </c>
      <c r="G1771" s="185" t="s">
        <v>1805</v>
      </c>
      <c r="H1771" s="179" t="s">
        <v>1695</v>
      </c>
      <c r="I1771" s="8">
        <f>(C639)</f>
        <v>3</v>
      </c>
      <c r="J1771" s="2" t="s">
        <v>1805</v>
      </c>
      <c r="K1771" s="8">
        <f>(F1771*I1771)</f>
        <v>90</v>
      </c>
    </row>
    <row r="1772" spans="1:11" hidden="1">
      <c r="A1772" s="265"/>
      <c r="F1772" s="179" t="s">
        <v>992</v>
      </c>
      <c r="H1772" s="179" t="s">
        <v>1698</v>
      </c>
      <c r="I1772" s="1" t="s">
        <v>992</v>
      </c>
      <c r="J1772" s="4"/>
      <c r="K1772" s="1" t="s">
        <v>992</v>
      </c>
    </row>
    <row r="1773" spans="1:11" hidden="1">
      <c r="A1773" s="265"/>
      <c r="F1773" s="186">
        <v>8</v>
      </c>
      <c r="G1773" s="185" t="s">
        <v>884</v>
      </c>
      <c r="H1773" s="179" t="s">
        <v>2182</v>
      </c>
      <c r="I1773" s="8">
        <f>(D641)</f>
        <v>2.7</v>
      </c>
      <c r="J1773" s="2" t="s">
        <v>884</v>
      </c>
      <c r="K1773" s="8">
        <f t="shared" ref="K1773:K1778" si="67">(F1773*I1773)</f>
        <v>21.6</v>
      </c>
    </row>
    <row r="1774" spans="1:11" hidden="1">
      <c r="A1774" s="265"/>
      <c r="F1774" s="186">
        <v>8</v>
      </c>
      <c r="G1774" s="185" t="s">
        <v>884</v>
      </c>
      <c r="H1774" s="179" t="s">
        <v>473</v>
      </c>
      <c r="I1774" s="8">
        <f>(C647)</f>
        <v>6.4</v>
      </c>
      <c r="J1774" s="2" t="s">
        <v>884</v>
      </c>
      <c r="K1774" s="8">
        <f t="shared" si="67"/>
        <v>51.2</v>
      </c>
    </row>
    <row r="1775" spans="1:11" hidden="1">
      <c r="A1775" s="265"/>
      <c r="F1775" s="186">
        <v>3</v>
      </c>
      <c r="G1775" s="185" t="s">
        <v>884</v>
      </c>
      <c r="H1775" s="179" t="s">
        <v>1879</v>
      </c>
      <c r="I1775" s="8">
        <f>(C41)</f>
        <v>110</v>
      </c>
      <c r="J1775" s="2" t="s">
        <v>884</v>
      </c>
      <c r="K1775" s="8">
        <f t="shared" si="67"/>
        <v>330</v>
      </c>
    </row>
    <row r="1776" spans="1:11" hidden="1">
      <c r="A1776" s="265"/>
      <c r="F1776" s="186">
        <v>1</v>
      </c>
      <c r="G1776" s="185" t="s">
        <v>884</v>
      </c>
      <c r="H1776" s="179" t="s">
        <v>1404</v>
      </c>
      <c r="I1776" s="8">
        <f>(C10)</f>
        <v>150</v>
      </c>
      <c r="J1776" s="2" t="s">
        <v>884</v>
      </c>
      <c r="K1776" s="8">
        <f t="shared" si="67"/>
        <v>150</v>
      </c>
    </row>
    <row r="1777" spans="1:11" hidden="1">
      <c r="A1777" s="265"/>
      <c r="F1777" s="186">
        <v>2</v>
      </c>
      <c r="G1777" s="185" t="s">
        <v>884</v>
      </c>
      <c r="H1777" s="179" t="s">
        <v>1937</v>
      </c>
      <c r="I1777" s="8">
        <f>(C12)</f>
        <v>95</v>
      </c>
      <c r="J1777" s="2" t="s">
        <v>884</v>
      </c>
      <c r="K1777" s="8">
        <f t="shared" si="67"/>
        <v>190</v>
      </c>
    </row>
    <row r="1778" spans="1:11" hidden="1">
      <c r="A1778" s="265"/>
      <c r="F1778" s="186">
        <v>1</v>
      </c>
      <c r="G1778" s="185" t="s">
        <v>884</v>
      </c>
      <c r="H1778" s="179" t="s">
        <v>325</v>
      </c>
      <c r="I1778" s="8">
        <f>(C13)</f>
        <v>85</v>
      </c>
      <c r="J1778" s="2" t="s">
        <v>884</v>
      </c>
      <c r="K1778" s="8">
        <f t="shared" si="67"/>
        <v>85</v>
      </c>
    </row>
    <row r="1779" spans="1:11" hidden="1">
      <c r="A1779" s="265"/>
      <c r="G1779" s="185" t="s">
        <v>455</v>
      </c>
      <c r="H1779" s="179" t="s">
        <v>1405</v>
      </c>
      <c r="I1779" s="1" t="s">
        <v>992</v>
      </c>
      <c r="J1779" s="2" t="s">
        <v>455</v>
      </c>
      <c r="K1779" s="8">
        <v>5</v>
      </c>
    </row>
    <row r="1780" spans="1:11" hidden="1">
      <c r="A1780" s="265"/>
      <c r="H1780" s="179" t="s">
        <v>948</v>
      </c>
      <c r="I1780" s="1" t="s">
        <v>992</v>
      </c>
      <c r="J1780" s="4"/>
      <c r="K1780" s="1" t="s">
        <v>992</v>
      </c>
    </row>
    <row r="1781" spans="1:11" hidden="1">
      <c r="A1781" s="265"/>
      <c r="G1781" s="185" t="s">
        <v>455</v>
      </c>
      <c r="H1781" s="179" t="s">
        <v>456</v>
      </c>
      <c r="I1781"/>
      <c r="J1781" s="2" t="s">
        <v>455</v>
      </c>
      <c r="K1781" s="8">
        <v>0</v>
      </c>
    </row>
    <row r="1782" spans="1:11" hidden="1">
      <c r="A1782" s="265"/>
      <c r="I1782"/>
      <c r="J1782" s="4"/>
      <c r="K1782" s="5" t="s">
        <v>1615</v>
      </c>
    </row>
    <row r="1783" spans="1:11" hidden="1">
      <c r="A1783" s="265"/>
      <c r="H1783" s="179" t="s">
        <v>1884</v>
      </c>
      <c r="I1783"/>
      <c r="J1783" s="4"/>
      <c r="K1783" s="8">
        <f>SUM(K1771:K1781)</f>
        <v>922.8</v>
      </c>
    </row>
    <row r="1784" spans="1:11" hidden="1">
      <c r="A1784" s="265"/>
      <c r="I1784"/>
      <c r="J1784" s="4"/>
      <c r="K1784" s="5" t="s">
        <v>1615</v>
      </c>
    </row>
    <row r="1785" spans="1:11" hidden="1">
      <c r="A1785" s="265"/>
      <c r="H1785" s="179" t="s">
        <v>1573</v>
      </c>
      <c r="I1785"/>
      <c r="J1785" s="4"/>
      <c r="K1785" s="8">
        <f>(K1783/30)</f>
        <v>30.76</v>
      </c>
    </row>
    <row r="1786" spans="1:11" hidden="1">
      <c r="A1786" s="265"/>
      <c r="I1786"/>
      <c r="J1786" s="4"/>
      <c r="K1786" s="5" t="s">
        <v>1615</v>
      </c>
    </row>
    <row r="1787" spans="1:11" hidden="1">
      <c r="A1787" s="265"/>
      <c r="I1787"/>
      <c r="J1787" s="4"/>
      <c r="K1787"/>
    </row>
    <row r="1788" spans="1:11" hidden="1">
      <c r="A1788" s="265"/>
      <c r="F1788" s="272">
        <v>52</v>
      </c>
      <c r="G1788" s="185" t="s">
        <v>2290</v>
      </c>
      <c r="H1788" s="179" t="s">
        <v>101</v>
      </c>
      <c r="I1788"/>
      <c r="J1788" s="4"/>
      <c r="K1788"/>
    </row>
    <row r="1789" spans="1:11" hidden="1">
      <c r="A1789" s="265"/>
      <c r="H1789" s="179" t="s">
        <v>2208</v>
      </c>
      <c r="I1789"/>
      <c r="J1789" s="4"/>
      <c r="K1789"/>
    </row>
    <row r="1790" spans="1:11" hidden="1">
      <c r="A1790" s="265"/>
      <c r="H1790" s="179" t="s">
        <v>2209</v>
      </c>
      <c r="I1790"/>
      <c r="J1790" s="4"/>
      <c r="K1790"/>
    </row>
    <row r="1791" spans="1:11" hidden="1">
      <c r="A1791" s="265"/>
      <c r="H1791" s="179" t="s">
        <v>1431</v>
      </c>
      <c r="I1791"/>
      <c r="J1791" s="4"/>
      <c r="K1791"/>
    </row>
    <row r="1792" spans="1:11" hidden="1">
      <c r="A1792" s="265"/>
      <c r="H1792" s="179" t="s">
        <v>1432</v>
      </c>
      <c r="I1792"/>
      <c r="J1792" s="4"/>
      <c r="K1792"/>
    </row>
    <row r="1793" spans="1:11" hidden="1">
      <c r="A1793" s="265"/>
      <c r="H1793" s="179" t="s">
        <v>1375</v>
      </c>
      <c r="I1793"/>
      <c r="J1793" s="4"/>
      <c r="K1793"/>
    </row>
    <row r="1794" spans="1:11" hidden="1">
      <c r="A1794" s="265"/>
      <c r="H1794" s="179" t="s">
        <v>1376</v>
      </c>
      <c r="I1794"/>
      <c r="J1794" s="4"/>
      <c r="K1794"/>
    </row>
    <row r="1795" spans="1:11" hidden="1">
      <c r="A1795" s="265"/>
      <c r="H1795" s="179" t="s">
        <v>723</v>
      </c>
      <c r="I1795"/>
      <c r="J1795" s="4"/>
      <c r="K1795"/>
    </row>
    <row r="1796" spans="1:11" hidden="1">
      <c r="A1796" s="265"/>
      <c r="H1796" s="183" t="s">
        <v>2091</v>
      </c>
      <c r="I1796" s="5" t="s">
        <v>2091</v>
      </c>
      <c r="J1796" s="4"/>
      <c r="K1796"/>
    </row>
    <row r="1797" spans="1:11" hidden="1">
      <c r="A1797" s="265"/>
      <c r="G1797" s="185" t="s">
        <v>2290</v>
      </c>
      <c r="H1797" s="179" t="s">
        <v>934</v>
      </c>
      <c r="I1797"/>
      <c r="J1797" s="4"/>
      <c r="K1797"/>
    </row>
    <row r="1798" spans="1:11" hidden="1">
      <c r="A1798" s="265"/>
      <c r="H1798" s="179" t="s">
        <v>822</v>
      </c>
      <c r="I1798"/>
      <c r="J1798" s="4"/>
      <c r="K1798"/>
    </row>
    <row r="1799" spans="1:11" hidden="1">
      <c r="A1799" s="265"/>
      <c r="G1799" s="185" t="s">
        <v>321</v>
      </c>
      <c r="H1799" s="179" t="s">
        <v>823</v>
      </c>
      <c r="I1799"/>
      <c r="J1799" s="4"/>
      <c r="K1799"/>
    </row>
    <row r="1800" spans="1:11" hidden="1">
      <c r="A1800" s="265"/>
      <c r="H1800" s="183" t="s">
        <v>1615</v>
      </c>
      <c r="I1800"/>
      <c r="J1800" s="4"/>
      <c r="K1800"/>
    </row>
    <row r="1801" spans="1:11" hidden="1">
      <c r="A1801" s="265"/>
      <c r="F1801" s="186">
        <v>1</v>
      </c>
      <c r="G1801" s="185" t="s">
        <v>842</v>
      </c>
      <c r="H1801" s="179" t="s">
        <v>630</v>
      </c>
      <c r="I1801" s="8">
        <f>C509</f>
        <v>32.9</v>
      </c>
      <c r="J1801" s="2" t="s">
        <v>842</v>
      </c>
      <c r="K1801" s="8">
        <f>(F1801*I1801)</f>
        <v>32.9</v>
      </c>
    </row>
    <row r="1802" spans="1:11" hidden="1">
      <c r="A1802" s="265"/>
      <c r="F1802" s="186">
        <v>1</v>
      </c>
      <c r="G1802" s="185" t="s">
        <v>455</v>
      </c>
      <c r="H1802" s="179" t="s">
        <v>1835</v>
      </c>
      <c r="I1802" s="8">
        <f>I1801*0.7</f>
        <v>23.03</v>
      </c>
      <c r="J1802" s="2" t="s">
        <v>455</v>
      </c>
      <c r="K1802" s="8">
        <f>(F1802*I1802)</f>
        <v>23.03</v>
      </c>
    </row>
    <row r="1803" spans="1:11" hidden="1">
      <c r="A1803" s="265"/>
      <c r="F1803" s="186">
        <v>1</v>
      </c>
      <c r="G1803" s="185" t="s">
        <v>842</v>
      </c>
      <c r="H1803" s="179" t="s">
        <v>163</v>
      </c>
      <c r="I1803" s="8">
        <f>K1749</f>
        <v>29.77</v>
      </c>
      <c r="J1803" s="2" t="s">
        <v>842</v>
      </c>
      <c r="K1803" s="8">
        <f>(F1803*I1803)</f>
        <v>29.77</v>
      </c>
    </row>
    <row r="1804" spans="1:11" hidden="1">
      <c r="A1804" s="265"/>
      <c r="I1804" s="1" t="s">
        <v>992</v>
      </c>
      <c r="J1804" s="4"/>
      <c r="K1804" s="5" t="s">
        <v>1615</v>
      </c>
    </row>
    <row r="1805" spans="1:11" hidden="1">
      <c r="A1805" s="265"/>
      <c r="H1805" s="179" t="s">
        <v>382</v>
      </c>
      <c r="I1805"/>
      <c r="J1805" s="4"/>
      <c r="K1805" s="8">
        <f>SUM(K1801:K1803)</f>
        <v>85.7</v>
      </c>
    </row>
    <row r="1806" spans="1:11" hidden="1">
      <c r="A1806" s="265"/>
      <c r="H1806" s="179" t="s">
        <v>992</v>
      </c>
      <c r="I1806" s="1" t="s">
        <v>992</v>
      </c>
      <c r="J1806" s="4"/>
      <c r="K1806" s="5" t="s">
        <v>2091</v>
      </c>
    </row>
    <row r="1807" spans="1:11" hidden="1">
      <c r="A1807" s="265"/>
      <c r="G1807" s="185" t="s">
        <v>527</v>
      </c>
      <c r="H1807" s="179" t="s">
        <v>757</v>
      </c>
      <c r="I1807"/>
      <c r="J1807" s="4"/>
      <c r="K1807"/>
    </row>
    <row r="1808" spans="1:11" hidden="1">
      <c r="A1808" s="265"/>
      <c r="H1808" s="183" t="s">
        <v>1615</v>
      </c>
      <c r="I1808"/>
      <c r="J1808" s="4"/>
      <c r="K1808"/>
    </row>
    <row r="1809" spans="1:11" hidden="1">
      <c r="A1809" s="265"/>
      <c r="F1809" s="186">
        <v>1</v>
      </c>
      <c r="G1809" s="185" t="s">
        <v>842</v>
      </c>
      <c r="H1809" s="179" t="s">
        <v>758</v>
      </c>
      <c r="I1809" s="8">
        <f>C510</f>
        <v>48.8</v>
      </c>
      <c r="J1809" s="2" t="s">
        <v>842</v>
      </c>
      <c r="K1809" s="8">
        <f>(F1809*I1809)</f>
        <v>48.8</v>
      </c>
    </row>
    <row r="1810" spans="1:11" hidden="1">
      <c r="A1810" s="265"/>
      <c r="F1810" s="186">
        <v>1</v>
      </c>
      <c r="G1810" s="185" t="s">
        <v>455</v>
      </c>
      <c r="H1810" s="179" t="s">
        <v>909</v>
      </c>
      <c r="I1810" s="8">
        <f>I1809*0.4</f>
        <v>19.52</v>
      </c>
      <c r="J1810" s="2" t="s">
        <v>455</v>
      </c>
      <c r="K1810" s="8">
        <f>(F1810*I1810)</f>
        <v>19.52</v>
      </c>
    </row>
    <row r="1811" spans="1:11" hidden="1">
      <c r="A1811" s="265"/>
      <c r="F1811" s="186">
        <v>1</v>
      </c>
      <c r="G1811" s="185" t="s">
        <v>842</v>
      </c>
      <c r="H1811" s="179" t="s">
        <v>163</v>
      </c>
      <c r="I1811" s="8">
        <f>K1767</f>
        <v>29.77</v>
      </c>
      <c r="J1811" s="2" t="s">
        <v>842</v>
      </c>
      <c r="K1811" s="8">
        <f>(F1811*I1811)</f>
        <v>29.77</v>
      </c>
    </row>
    <row r="1812" spans="1:11" hidden="1">
      <c r="A1812" s="265"/>
      <c r="I1812" s="1" t="s">
        <v>992</v>
      </c>
      <c r="J1812" s="4"/>
      <c r="K1812" s="5" t="s">
        <v>1615</v>
      </c>
    </row>
    <row r="1813" spans="1:11" hidden="1">
      <c r="A1813" s="265"/>
      <c r="H1813" s="179" t="s">
        <v>382</v>
      </c>
      <c r="I1813"/>
      <c r="J1813" s="4"/>
      <c r="K1813" s="8">
        <f>SUM(K1809:K1811)</f>
        <v>98.09</v>
      </c>
    </row>
    <row r="1814" spans="1:11" hidden="1">
      <c r="A1814" s="265"/>
      <c r="I1814" s="1" t="s">
        <v>992</v>
      </c>
      <c r="J1814" s="4"/>
      <c r="K1814" s="5" t="s">
        <v>2091</v>
      </c>
    </row>
    <row r="1815" spans="1:11" hidden="1">
      <c r="A1815" s="265"/>
      <c r="G1815" s="185" t="s">
        <v>1942</v>
      </c>
      <c r="H1815" s="179" t="s">
        <v>380</v>
      </c>
      <c r="I1815"/>
      <c r="J1815" s="4"/>
      <c r="K1815"/>
    </row>
    <row r="1816" spans="1:11" hidden="1">
      <c r="A1816" s="265"/>
      <c r="H1816" s="183" t="s">
        <v>1615</v>
      </c>
      <c r="I1816"/>
      <c r="J1816" s="4"/>
      <c r="K1816"/>
    </row>
    <row r="1817" spans="1:11" hidden="1">
      <c r="A1817" s="265"/>
      <c r="F1817" s="186">
        <v>1</v>
      </c>
      <c r="G1817" s="185" t="s">
        <v>842</v>
      </c>
      <c r="H1817" s="179" t="s">
        <v>1702</v>
      </c>
      <c r="I1817" s="8">
        <f>C511</f>
        <v>65.7</v>
      </c>
      <c r="J1817" s="2" t="s">
        <v>842</v>
      </c>
      <c r="K1817" s="8">
        <f>(F1817*I1817)</f>
        <v>65.7</v>
      </c>
    </row>
    <row r="1818" spans="1:11" hidden="1">
      <c r="A1818" s="265"/>
      <c r="F1818" s="186">
        <v>1</v>
      </c>
      <c r="G1818" s="185" t="s">
        <v>455</v>
      </c>
      <c r="H1818" s="179" t="s">
        <v>1703</v>
      </c>
      <c r="I1818" s="8">
        <f>I1817*0.2</f>
        <v>13.14</v>
      </c>
      <c r="J1818" s="2" t="s">
        <v>455</v>
      </c>
      <c r="K1818" s="8">
        <f>(F1818*I1818)</f>
        <v>13.14</v>
      </c>
    </row>
    <row r="1819" spans="1:11" hidden="1">
      <c r="A1819" s="265"/>
      <c r="F1819" s="186">
        <v>1</v>
      </c>
      <c r="G1819" s="185" t="s">
        <v>842</v>
      </c>
      <c r="H1819" s="179" t="s">
        <v>163</v>
      </c>
      <c r="I1819" s="8">
        <f>K1785</f>
        <v>30.76</v>
      </c>
      <c r="J1819" s="2" t="s">
        <v>842</v>
      </c>
      <c r="K1819" s="8">
        <f>(F1819*I1819)</f>
        <v>30.76</v>
      </c>
    </row>
    <row r="1820" spans="1:11" hidden="1">
      <c r="A1820" s="265"/>
      <c r="I1820" s="1" t="s">
        <v>992</v>
      </c>
      <c r="J1820" s="4"/>
      <c r="K1820" s="5" t="s">
        <v>1615</v>
      </c>
    </row>
    <row r="1821" spans="1:11" hidden="1">
      <c r="A1821" s="265"/>
      <c r="H1821" s="179" t="s">
        <v>382</v>
      </c>
      <c r="I1821"/>
      <c r="J1821" s="4"/>
      <c r="K1821" s="8">
        <f>SUM(K1817:K1819)</f>
        <v>109.6</v>
      </c>
    </row>
    <row r="1822" spans="1:11" hidden="1">
      <c r="A1822" s="265"/>
      <c r="I1822" s="1" t="s">
        <v>992</v>
      </c>
      <c r="J1822" s="4"/>
      <c r="K1822" s="5" t="s">
        <v>2091</v>
      </c>
    </row>
    <row r="1823" spans="1:11" hidden="1">
      <c r="A1823" s="265"/>
      <c r="I1823" s="1"/>
      <c r="J1823" s="4"/>
      <c r="K1823" s="5"/>
    </row>
    <row r="1824" spans="1:11" ht="31.5" hidden="1">
      <c r="A1824" s="265"/>
      <c r="F1824" s="251">
        <v>52.1</v>
      </c>
      <c r="H1824" s="273" t="s">
        <v>2240</v>
      </c>
      <c r="I1824" s="1"/>
      <c r="J1824" s="4"/>
      <c r="K1824" s="5"/>
    </row>
    <row r="1825" spans="1:11" hidden="1">
      <c r="A1825" s="265"/>
      <c r="I1825" s="1"/>
      <c r="J1825" s="4"/>
      <c r="K1825" s="5"/>
    </row>
    <row r="1826" spans="1:11" hidden="1">
      <c r="A1826" s="265"/>
      <c r="F1826" s="233"/>
      <c r="G1826" s="185"/>
      <c r="H1826" s="179" t="s">
        <v>2083</v>
      </c>
      <c r="I1826" s="1"/>
      <c r="J1826" s="4"/>
      <c r="K1826" s="5"/>
    </row>
    <row r="1827" spans="1:11" hidden="1">
      <c r="A1827" s="265"/>
      <c r="G1827" s="185"/>
      <c r="H1827" s="179" t="s">
        <v>2241</v>
      </c>
      <c r="I1827" s="1"/>
      <c r="J1827" s="4"/>
      <c r="K1827" s="5"/>
    </row>
    <row r="1828" spans="1:11" hidden="1">
      <c r="A1828" s="265"/>
      <c r="H1828" s="183" t="s">
        <v>1615</v>
      </c>
      <c r="I1828" s="1"/>
      <c r="J1828" s="4"/>
      <c r="K1828" s="5"/>
    </row>
    <row r="1829" spans="1:11" hidden="1">
      <c r="A1829" s="265"/>
      <c r="F1829" s="186">
        <v>30</v>
      </c>
      <c r="G1829" s="185" t="s">
        <v>1805</v>
      </c>
      <c r="H1829" s="179" t="s">
        <v>149</v>
      </c>
      <c r="I1829" s="6">
        <f>E639</f>
        <v>5</v>
      </c>
      <c r="J1829" s="2" t="s">
        <v>1805</v>
      </c>
      <c r="K1829" s="8">
        <f t="shared" ref="K1829:K1835" si="68">(F1829*I1829)</f>
        <v>150</v>
      </c>
    </row>
    <row r="1830" spans="1:11" hidden="1">
      <c r="A1830" s="265"/>
      <c r="F1830" s="186">
        <v>8</v>
      </c>
      <c r="G1830" s="185" t="s">
        <v>884</v>
      </c>
      <c r="H1830" s="179" t="s">
        <v>2182</v>
      </c>
      <c r="I1830" s="6">
        <f>I1737</f>
        <v>2.2000000000000002</v>
      </c>
      <c r="J1830" s="2" t="s">
        <v>884</v>
      </c>
      <c r="K1830" s="8">
        <f t="shared" si="68"/>
        <v>17.600000000000001</v>
      </c>
    </row>
    <row r="1831" spans="1:11" hidden="1">
      <c r="A1831" s="265"/>
      <c r="F1831" s="186">
        <v>8</v>
      </c>
      <c r="G1831" s="185" t="s">
        <v>884</v>
      </c>
      <c r="H1831" s="179" t="s">
        <v>473</v>
      </c>
      <c r="I1831" s="6">
        <f>I1738</f>
        <v>3.2</v>
      </c>
      <c r="J1831" s="2" t="s">
        <v>884</v>
      </c>
      <c r="K1831" s="8">
        <f t="shared" si="68"/>
        <v>25.6</v>
      </c>
    </row>
    <row r="1832" spans="1:11" hidden="1">
      <c r="A1832" s="265"/>
      <c r="F1832" s="186">
        <v>3</v>
      </c>
      <c r="G1832" s="185" t="s">
        <v>884</v>
      </c>
      <c r="H1832" s="179" t="s">
        <v>1879</v>
      </c>
      <c r="I1832" s="6">
        <f>C41</f>
        <v>110</v>
      </c>
      <c r="J1832" s="2" t="s">
        <v>884</v>
      </c>
      <c r="K1832" s="8">
        <f t="shared" si="68"/>
        <v>330</v>
      </c>
    </row>
    <row r="1833" spans="1:11" hidden="1">
      <c r="A1833" s="265"/>
      <c r="F1833" s="186">
        <v>1</v>
      </c>
      <c r="G1833" s="185" t="s">
        <v>884</v>
      </c>
      <c r="H1833" s="179" t="s">
        <v>1404</v>
      </c>
      <c r="I1833" s="6">
        <f>C10</f>
        <v>150</v>
      </c>
      <c r="J1833" s="2" t="s">
        <v>884</v>
      </c>
      <c r="K1833" s="8">
        <f t="shared" si="68"/>
        <v>150</v>
      </c>
    </row>
    <row r="1834" spans="1:11" hidden="1">
      <c r="A1834" s="265"/>
      <c r="F1834" s="186">
        <v>2</v>
      </c>
      <c r="G1834" s="185" t="s">
        <v>884</v>
      </c>
      <c r="H1834" s="179" t="s">
        <v>1937</v>
      </c>
      <c r="I1834" s="6">
        <f>C12</f>
        <v>95</v>
      </c>
      <c r="J1834" s="2" t="s">
        <v>884</v>
      </c>
      <c r="K1834" s="8">
        <f t="shared" si="68"/>
        <v>190</v>
      </c>
    </row>
    <row r="1835" spans="1:11" hidden="1">
      <c r="A1835" s="265"/>
      <c r="F1835" s="186">
        <v>1</v>
      </c>
      <c r="G1835" s="185" t="s">
        <v>884</v>
      </c>
      <c r="H1835" s="179" t="s">
        <v>325</v>
      </c>
      <c r="I1835" s="6">
        <f>C13</f>
        <v>85</v>
      </c>
      <c r="J1835" s="2" t="s">
        <v>884</v>
      </c>
      <c r="K1835" s="8">
        <f t="shared" si="68"/>
        <v>85</v>
      </c>
    </row>
    <row r="1836" spans="1:11" hidden="1">
      <c r="A1836" s="265"/>
      <c r="I1836"/>
      <c r="J1836" s="4"/>
      <c r="K1836" s="5" t="s">
        <v>1615</v>
      </c>
    </row>
    <row r="1837" spans="1:11" hidden="1">
      <c r="A1837" s="265"/>
      <c r="H1837" s="179" t="s">
        <v>1884</v>
      </c>
      <c r="I1837"/>
      <c r="J1837" s="4"/>
      <c r="K1837" s="8">
        <f>SUM(K1829:K1835)</f>
        <v>948.2</v>
      </c>
    </row>
    <row r="1838" spans="1:11" hidden="1">
      <c r="A1838" s="265"/>
      <c r="I1838"/>
      <c r="J1838" s="4"/>
      <c r="K1838" s="5" t="s">
        <v>1615</v>
      </c>
    </row>
    <row r="1839" spans="1:11" hidden="1">
      <c r="A1839" s="265"/>
      <c r="H1839" s="179" t="s">
        <v>1573</v>
      </c>
      <c r="I1839"/>
      <c r="J1839" s="4"/>
      <c r="K1839" s="8">
        <f>(K1837/30)</f>
        <v>31.61</v>
      </c>
    </row>
    <row r="1840" spans="1:11" hidden="1">
      <c r="A1840" s="265"/>
      <c r="I1840"/>
      <c r="J1840" s="4"/>
      <c r="K1840" s="5" t="s">
        <v>1615</v>
      </c>
    </row>
    <row r="1841" spans="1:11" hidden="1">
      <c r="A1841" s="265"/>
      <c r="I1841" s="1"/>
      <c r="J1841" s="4"/>
      <c r="K1841" s="5"/>
    </row>
    <row r="1842" spans="1:11" hidden="1">
      <c r="A1842" s="265"/>
      <c r="H1842" s="180" t="s">
        <v>342</v>
      </c>
      <c r="I1842" s="1"/>
      <c r="J1842" s="4"/>
      <c r="K1842" s="5"/>
    </row>
    <row r="1843" spans="1:11" hidden="1">
      <c r="A1843" s="265"/>
      <c r="H1843" s="183" t="s">
        <v>1615</v>
      </c>
      <c r="I1843" s="1"/>
      <c r="J1843" s="4"/>
      <c r="K1843" s="5"/>
    </row>
    <row r="1844" spans="1:11" hidden="1">
      <c r="A1844" s="265"/>
      <c r="F1844" s="186">
        <v>1</v>
      </c>
      <c r="G1844" s="185" t="s">
        <v>842</v>
      </c>
      <c r="H1844" s="179" t="s">
        <v>343</v>
      </c>
      <c r="I1844" s="6">
        <f>E509</f>
        <v>70</v>
      </c>
      <c r="J1844" s="2" t="s">
        <v>842</v>
      </c>
      <c r="K1844" s="8">
        <f>(F1844*I1844)</f>
        <v>70</v>
      </c>
    </row>
    <row r="1845" spans="1:11" hidden="1">
      <c r="A1845" s="265"/>
      <c r="F1845" s="186">
        <v>1</v>
      </c>
      <c r="G1845" s="185" t="s">
        <v>455</v>
      </c>
      <c r="H1845" s="179" t="s">
        <v>344</v>
      </c>
      <c r="I1845" s="6">
        <f>I1844*0.2</f>
        <v>14</v>
      </c>
      <c r="J1845" s="2" t="s">
        <v>455</v>
      </c>
      <c r="K1845" s="8">
        <f>(F1845*I1845)</f>
        <v>14</v>
      </c>
    </row>
    <row r="1846" spans="1:11" hidden="1">
      <c r="A1846" s="265"/>
      <c r="F1846" s="186">
        <v>1</v>
      </c>
      <c r="G1846" s="185" t="s">
        <v>842</v>
      </c>
      <c r="H1846" s="179" t="s">
        <v>163</v>
      </c>
      <c r="I1846" s="6">
        <f>K1839</f>
        <v>31.61</v>
      </c>
      <c r="J1846" s="2" t="s">
        <v>842</v>
      </c>
      <c r="K1846" s="8">
        <f>(F1846*I1846)</f>
        <v>31.61</v>
      </c>
    </row>
    <row r="1847" spans="1:11" ht="31.5" hidden="1">
      <c r="A1847" s="265"/>
      <c r="F1847" s="186"/>
      <c r="G1847" s="185"/>
      <c r="H1847" s="247" t="s">
        <v>1097</v>
      </c>
      <c r="I1847" s="6"/>
      <c r="J1847" s="2" t="s">
        <v>455</v>
      </c>
      <c r="K1847" s="8">
        <v>1.25</v>
      </c>
    </row>
    <row r="1848" spans="1:11" hidden="1">
      <c r="A1848" s="265"/>
      <c r="I1848" s="1"/>
      <c r="J1848" s="4"/>
      <c r="K1848" s="5" t="s">
        <v>1615</v>
      </c>
    </row>
    <row r="1849" spans="1:11" hidden="1">
      <c r="A1849" s="265"/>
      <c r="H1849" s="179" t="s">
        <v>382</v>
      </c>
      <c r="I1849" s="1"/>
      <c r="J1849" s="4"/>
      <c r="K1849" s="8">
        <f>SUM(K1844:K1847)</f>
        <v>116.86</v>
      </c>
    </row>
    <row r="1850" spans="1:11" hidden="1">
      <c r="A1850" s="265"/>
      <c r="I1850" s="1"/>
      <c r="J1850" s="4"/>
      <c r="K1850" s="5" t="s">
        <v>2091</v>
      </c>
    </row>
    <row r="1851" spans="1:11" hidden="1">
      <c r="A1851" s="265"/>
      <c r="I1851" s="1"/>
      <c r="J1851" s="4"/>
      <c r="K1851" s="5"/>
    </row>
    <row r="1852" spans="1:11" hidden="1">
      <c r="A1852" s="265"/>
      <c r="I1852" s="1"/>
      <c r="J1852" s="4"/>
      <c r="K1852" s="5"/>
    </row>
    <row r="1853" spans="1:11" hidden="1">
      <c r="A1853" s="265"/>
      <c r="F1853" s="243">
        <v>53.1</v>
      </c>
      <c r="G1853" s="185" t="s">
        <v>2290</v>
      </c>
      <c r="H1853" s="179" t="s">
        <v>2258</v>
      </c>
      <c r="I1853"/>
      <c r="J1853" s="4"/>
      <c r="K1853"/>
    </row>
    <row r="1854" spans="1:11" hidden="1">
      <c r="A1854" s="265"/>
      <c r="H1854" s="245" t="s">
        <v>1474</v>
      </c>
      <c r="I1854"/>
      <c r="J1854" s="4"/>
      <c r="K1854"/>
    </row>
    <row r="1855" spans="1:11" hidden="1">
      <c r="A1855" s="265"/>
      <c r="H1855" s="179" t="s">
        <v>1164</v>
      </c>
      <c r="I1855"/>
      <c r="J1855" s="4"/>
      <c r="K1855"/>
    </row>
    <row r="1856" spans="1:11" hidden="1">
      <c r="A1856" s="265"/>
      <c r="H1856" s="179" t="s">
        <v>1165</v>
      </c>
      <c r="I1856"/>
      <c r="J1856" s="4"/>
      <c r="K1856"/>
    </row>
    <row r="1857" spans="1:11" hidden="1">
      <c r="A1857" s="265"/>
      <c r="H1857" s="183" t="s">
        <v>1615</v>
      </c>
      <c r="I1857"/>
      <c r="J1857" s="4"/>
      <c r="K1857"/>
    </row>
    <row r="1858" spans="1:11" ht="57" hidden="1" customHeight="1">
      <c r="A1858" s="265"/>
      <c r="F1858" s="274">
        <v>1</v>
      </c>
      <c r="G1858" s="274" t="s">
        <v>884</v>
      </c>
      <c r="H1858" s="247" t="s">
        <v>2711</v>
      </c>
      <c r="I1858" s="21">
        <f>(C595)</f>
        <v>1050</v>
      </c>
      <c r="J1858" s="21" t="s">
        <v>884</v>
      </c>
      <c r="K1858" s="21">
        <f>(F1858*I1858)</f>
        <v>1050</v>
      </c>
    </row>
    <row r="1859" spans="1:11" hidden="1">
      <c r="A1859" s="265"/>
      <c r="F1859" s="186"/>
      <c r="G1859" s="185"/>
      <c r="H1859" s="179"/>
      <c r="I1859" s="8"/>
      <c r="J1859" s="2"/>
      <c r="K1859" s="8"/>
    </row>
    <row r="1860" spans="1:11" hidden="1">
      <c r="A1860" s="265"/>
      <c r="F1860" s="186"/>
      <c r="G1860" s="185"/>
      <c r="H1860" s="179"/>
      <c r="I1860" s="8"/>
      <c r="J1860" s="2"/>
      <c r="K1860" s="8"/>
    </row>
    <row r="1861" spans="1:11" hidden="1">
      <c r="A1861" s="265"/>
      <c r="F1861" s="186"/>
      <c r="G1861" s="185"/>
      <c r="H1861" s="179"/>
      <c r="I1861" s="8"/>
      <c r="J1861" s="2"/>
      <c r="K1861" s="8"/>
    </row>
    <row r="1862" spans="1:11" hidden="1">
      <c r="A1862" s="265"/>
      <c r="F1862" s="186"/>
      <c r="G1862" s="185"/>
      <c r="H1862" s="179"/>
      <c r="I1862" s="8"/>
      <c r="J1862" s="2"/>
      <c r="K1862" s="8"/>
    </row>
    <row r="1863" spans="1:11" hidden="1">
      <c r="A1863" s="265"/>
      <c r="F1863" s="186"/>
      <c r="G1863" s="185"/>
      <c r="H1863" s="179"/>
      <c r="I1863" s="8"/>
      <c r="J1863" s="2"/>
      <c r="K1863" s="8"/>
    </row>
    <row r="1864" spans="1:11" hidden="1">
      <c r="A1864" s="265"/>
      <c r="F1864" s="186"/>
      <c r="G1864" s="185"/>
      <c r="H1864" s="179"/>
      <c r="I1864" s="8"/>
      <c r="J1864" s="2"/>
      <c r="K1864" s="8"/>
    </row>
    <row r="1865" spans="1:11" hidden="1">
      <c r="A1865" s="265"/>
      <c r="F1865" s="186">
        <v>0.5</v>
      </c>
      <c r="G1865" s="185" t="s">
        <v>884</v>
      </c>
      <c r="H1865" s="179" t="s">
        <v>2140</v>
      </c>
      <c r="I1865" s="8">
        <f>(C15)</f>
        <v>130</v>
      </c>
      <c r="J1865" s="2" t="s">
        <v>884</v>
      </c>
      <c r="K1865" s="8">
        <f>(F1865*I1865)</f>
        <v>65</v>
      </c>
    </row>
    <row r="1866" spans="1:11" hidden="1">
      <c r="A1866" s="265"/>
      <c r="F1866" s="186">
        <v>1</v>
      </c>
      <c r="G1866" s="185" t="s">
        <v>884</v>
      </c>
      <c r="H1866" s="179" t="s">
        <v>1937</v>
      </c>
      <c r="I1866" s="8">
        <f>(C12)</f>
        <v>95</v>
      </c>
      <c r="J1866" s="2" t="s">
        <v>884</v>
      </c>
      <c r="K1866" s="8">
        <f>(F1866*I1866)</f>
        <v>95</v>
      </c>
    </row>
    <row r="1867" spans="1:11" hidden="1">
      <c r="A1867" s="265"/>
      <c r="F1867" s="186">
        <v>0.5</v>
      </c>
      <c r="G1867" s="185" t="s">
        <v>884</v>
      </c>
      <c r="H1867" s="179" t="s">
        <v>2045</v>
      </c>
      <c r="I1867" s="8">
        <f>(C10)</f>
        <v>150</v>
      </c>
      <c r="J1867" s="2" t="s">
        <v>884</v>
      </c>
      <c r="K1867" s="8">
        <f>(F1867*I1867)</f>
        <v>75</v>
      </c>
    </row>
    <row r="1868" spans="1:11" hidden="1">
      <c r="A1868" s="265"/>
      <c r="G1868" s="185" t="s">
        <v>455</v>
      </c>
      <c r="H1868" s="179" t="s">
        <v>1166</v>
      </c>
      <c r="I1868"/>
      <c r="J1868" s="2" t="s">
        <v>455</v>
      </c>
      <c r="K1868" s="8">
        <v>0.5</v>
      </c>
    </row>
    <row r="1869" spans="1:11" hidden="1">
      <c r="A1869" s="265"/>
      <c r="I1869"/>
      <c r="J1869" s="4"/>
      <c r="K1869" s="5" t="s">
        <v>1615</v>
      </c>
    </row>
    <row r="1870" spans="1:11" hidden="1">
      <c r="A1870" s="265"/>
      <c r="H1870" s="179" t="s">
        <v>1785</v>
      </c>
      <c r="I1870"/>
      <c r="J1870" s="4"/>
      <c r="K1870" s="8">
        <f>SUM(K1858:K1868)</f>
        <v>1285.5</v>
      </c>
    </row>
    <row r="1871" spans="1:11" hidden="1">
      <c r="A1871" s="265"/>
      <c r="I1871"/>
      <c r="J1871" s="4"/>
      <c r="K1871" s="5" t="s">
        <v>1615</v>
      </c>
    </row>
    <row r="1872" spans="1:11" hidden="1">
      <c r="A1872" s="265"/>
      <c r="F1872" s="233" t="s">
        <v>1427</v>
      </c>
      <c r="H1872" s="179" t="s">
        <v>1428</v>
      </c>
      <c r="I1872"/>
      <c r="J1872" s="4"/>
      <c r="K1872" s="1" t="s">
        <v>2712</v>
      </c>
    </row>
    <row r="1873" spans="1:11" hidden="1">
      <c r="A1873" s="265"/>
      <c r="I1873"/>
      <c r="J1873" s="4"/>
      <c r="K1873"/>
    </row>
    <row r="1874" spans="1:11" hidden="1">
      <c r="A1874" s="265"/>
      <c r="F1874" s="233" t="s">
        <v>1429</v>
      </c>
      <c r="H1874" s="179" t="s">
        <v>2713</v>
      </c>
      <c r="I1874"/>
      <c r="J1874" s="4"/>
      <c r="K1874" s="1" t="s">
        <v>2714</v>
      </c>
    </row>
    <row r="1875" spans="1:11" hidden="1">
      <c r="A1875" s="265"/>
      <c r="F1875" s="233"/>
      <c r="H1875" s="179"/>
      <c r="I1875"/>
      <c r="J1875" s="4"/>
      <c r="K1875" s="1"/>
    </row>
    <row r="1876" spans="1:11" hidden="1">
      <c r="A1876" s="265"/>
      <c r="F1876" s="239">
        <v>54</v>
      </c>
      <c r="G1876" s="185" t="s">
        <v>2290</v>
      </c>
      <c r="H1876" s="179" t="s">
        <v>1161</v>
      </c>
      <c r="I1876"/>
      <c r="J1876" s="2" t="s">
        <v>1423</v>
      </c>
      <c r="K1876" s="8">
        <v>140</v>
      </c>
    </row>
    <row r="1877" spans="1:11" hidden="1">
      <c r="A1877" s="265"/>
      <c r="I1877"/>
      <c r="J1877" s="4"/>
      <c r="K1877" s="5" t="s">
        <v>2091</v>
      </c>
    </row>
    <row r="1878" spans="1:11" hidden="1">
      <c r="A1878" s="265"/>
      <c r="I1878"/>
      <c r="J1878" s="4"/>
      <c r="K1878"/>
    </row>
    <row r="1879" spans="1:11" hidden="1">
      <c r="A1879" s="265"/>
      <c r="F1879" s="243">
        <v>54.1</v>
      </c>
      <c r="G1879" s="185" t="s">
        <v>2290</v>
      </c>
      <c r="H1879" s="179" t="s">
        <v>1318</v>
      </c>
      <c r="I1879"/>
      <c r="J1879" s="2" t="s">
        <v>1423</v>
      </c>
      <c r="K1879" s="8">
        <v>240</v>
      </c>
    </row>
    <row r="1880" spans="1:11" hidden="1">
      <c r="A1880" s="265"/>
      <c r="I1880"/>
      <c r="J1880" s="4"/>
      <c r="K1880" s="5" t="s">
        <v>2091</v>
      </c>
    </row>
    <row r="1881" spans="1:11" hidden="1">
      <c r="A1881" s="265"/>
      <c r="I1881"/>
      <c r="J1881" s="4"/>
      <c r="K1881"/>
    </row>
    <row r="1882" spans="1:11" hidden="1">
      <c r="A1882" s="265"/>
      <c r="F1882" s="243">
        <v>54.2</v>
      </c>
      <c r="G1882" s="185" t="s">
        <v>2290</v>
      </c>
      <c r="H1882" s="179" t="s">
        <v>954</v>
      </c>
      <c r="I1882"/>
      <c r="J1882" s="2" t="s">
        <v>1423</v>
      </c>
      <c r="K1882" s="8">
        <v>270</v>
      </c>
    </row>
    <row r="1883" spans="1:11" hidden="1">
      <c r="A1883" s="265"/>
      <c r="I1883"/>
      <c r="J1883" s="4"/>
      <c r="K1883" s="5" t="s">
        <v>2091</v>
      </c>
    </row>
    <row r="1884" spans="1:11" hidden="1">
      <c r="A1884" s="265"/>
      <c r="I1884"/>
      <c r="J1884" s="4"/>
      <c r="K1884"/>
    </row>
    <row r="1885" spans="1:11" hidden="1">
      <c r="A1885" s="265"/>
      <c r="F1885" s="233" t="s">
        <v>1162</v>
      </c>
      <c r="G1885" s="185" t="s">
        <v>2290</v>
      </c>
      <c r="H1885" s="179" t="s">
        <v>83</v>
      </c>
      <c r="I1885"/>
      <c r="J1885" s="4"/>
      <c r="K1885"/>
    </row>
    <row r="1886" spans="1:11" hidden="1">
      <c r="A1886" s="265"/>
      <c r="H1886" s="179" t="s">
        <v>1123</v>
      </c>
      <c r="I1886"/>
      <c r="J1886" s="4"/>
      <c r="K1886"/>
    </row>
    <row r="1887" spans="1:11" hidden="1">
      <c r="A1887" s="265"/>
      <c r="H1887" s="179" t="s">
        <v>1124</v>
      </c>
      <c r="I1887"/>
      <c r="J1887" s="4"/>
      <c r="K1887"/>
    </row>
    <row r="1888" spans="1:11" hidden="1">
      <c r="A1888" s="265"/>
      <c r="H1888" s="179" t="s">
        <v>1125</v>
      </c>
      <c r="I1888"/>
      <c r="J1888" s="4"/>
      <c r="K1888"/>
    </row>
    <row r="1889" spans="1:22" hidden="1">
      <c r="A1889" s="265"/>
      <c r="H1889" s="183" t="s">
        <v>1615</v>
      </c>
      <c r="I1889"/>
      <c r="J1889" s="4"/>
      <c r="K1889"/>
    </row>
    <row r="1890" spans="1:22" hidden="1">
      <c r="A1890" s="265"/>
      <c r="F1890" s="186">
        <v>1</v>
      </c>
      <c r="G1890" s="185" t="s">
        <v>884</v>
      </c>
      <c r="H1890" s="179" t="s">
        <v>725</v>
      </c>
      <c r="I1890" s="8">
        <f>(C200)</f>
        <v>750</v>
      </c>
      <c r="J1890" s="2" t="s">
        <v>884</v>
      </c>
      <c r="K1890" s="8">
        <f t="shared" ref="K1890:K1896" si="69">(F1890*I1890)</f>
        <v>750</v>
      </c>
    </row>
    <row r="1891" spans="1:22" hidden="1">
      <c r="A1891" s="265"/>
      <c r="F1891" s="186">
        <v>0.65</v>
      </c>
      <c r="G1891" s="185" t="s">
        <v>885</v>
      </c>
      <c r="H1891" s="179" t="s">
        <v>253</v>
      </c>
      <c r="I1891" s="8">
        <f>(C61*2)</f>
        <v>50</v>
      </c>
      <c r="J1891" s="2" t="s">
        <v>885</v>
      </c>
      <c r="K1891" s="8">
        <f t="shared" si="69"/>
        <v>32.5</v>
      </c>
    </row>
    <row r="1892" spans="1:22" hidden="1">
      <c r="A1892" s="265"/>
      <c r="F1892" s="186">
        <v>0.56999999999999995</v>
      </c>
      <c r="G1892" s="185" t="s">
        <v>885</v>
      </c>
      <c r="H1892" s="179" t="s">
        <v>254</v>
      </c>
      <c r="I1892" s="8">
        <f>(C26)</f>
        <v>8.8000000000000007</v>
      </c>
      <c r="J1892" s="2" t="s">
        <v>885</v>
      </c>
      <c r="K1892" s="8">
        <f t="shared" si="69"/>
        <v>5.0199999999999996</v>
      </c>
    </row>
    <row r="1893" spans="1:22" hidden="1">
      <c r="A1893" s="265"/>
      <c r="F1893" s="242">
        <v>8.1000000000000003E-2</v>
      </c>
      <c r="G1893" s="185" t="s">
        <v>885</v>
      </c>
      <c r="H1893" s="179" t="s">
        <v>255</v>
      </c>
      <c r="I1893" s="8" t="e">
        <f>(R60)</f>
        <v>#REF!</v>
      </c>
      <c r="J1893" s="2" t="s">
        <v>885</v>
      </c>
      <c r="K1893" s="8" t="e">
        <f t="shared" si="69"/>
        <v>#REF!</v>
      </c>
    </row>
    <row r="1894" spans="1:22" hidden="1">
      <c r="A1894" s="265"/>
      <c r="F1894" s="186">
        <v>1</v>
      </c>
      <c r="G1894" s="185" t="s">
        <v>884</v>
      </c>
      <c r="H1894" s="179" t="s">
        <v>2140</v>
      </c>
      <c r="I1894" s="8">
        <f>(C15)</f>
        <v>130</v>
      </c>
      <c r="J1894" s="2" t="s">
        <v>884</v>
      </c>
      <c r="K1894" s="8">
        <f t="shared" si="69"/>
        <v>130</v>
      </c>
    </row>
    <row r="1895" spans="1:22" hidden="1">
      <c r="A1895" s="265"/>
      <c r="F1895" s="186">
        <v>0.5</v>
      </c>
      <c r="G1895" s="185" t="s">
        <v>884</v>
      </c>
      <c r="H1895" s="179" t="s">
        <v>1744</v>
      </c>
      <c r="I1895" s="8">
        <f>(C11)</f>
        <v>135</v>
      </c>
      <c r="J1895" s="2" t="s">
        <v>884</v>
      </c>
      <c r="K1895" s="8">
        <f t="shared" si="69"/>
        <v>67.5</v>
      </c>
    </row>
    <row r="1896" spans="1:22" hidden="1">
      <c r="A1896" s="265"/>
      <c r="F1896" s="186">
        <v>0.5</v>
      </c>
      <c r="G1896" s="185" t="s">
        <v>884</v>
      </c>
      <c r="H1896" s="179" t="s">
        <v>1937</v>
      </c>
      <c r="I1896" s="8">
        <f>(C12)</f>
        <v>95</v>
      </c>
      <c r="J1896" s="2" t="s">
        <v>884</v>
      </c>
      <c r="K1896" s="8">
        <f t="shared" si="69"/>
        <v>47.5</v>
      </c>
    </row>
    <row r="1897" spans="1:22" hidden="1">
      <c r="A1897" s="265"/>
      <c r="G1897" s="185" t="s">
        <v>455</v>
      </c>
      <c r="H1897" s="179" t="s">
        <v>456</v>
      </c>
      <c r="I1897" s="1" t="s">
        <v>992</v>
      </c>
      <c r="J1897" s="2" t="s">
        <v>455</v>
      </c>
      <c r="K1897" s="8">
        <v>0</v>
      </c>
    </row>
    <row r="1898" spans="1:22" hidden="1">
      <c r="A1898" s="265"/>
      <c r="I1898"/>
      <c r="J1898" s="4"/>
      <c r="K1898" s="5" t="s">
        <v>1615</v>
      </c>
    </row>
    <row r="1899" spans="1:22" hidden="1">
      <c r="A1899" s="265"/>
      <c r="H1899" s="179" t="s">
        <v>1785</v>
      </c>
      <c r="I1899"/>
      <c r="J1899" s="4"/>
      <c r="K1899" s="8" t="e">
        <f>SUM(K1890:K1897)</f>
        <v>#REF!</v>
      </c>
    </row>
    <row r="1900" spans="1:22" hidden="1">
      <c r="A1900" s="265"/>
      <c r="I1900"/>
      <c r="J1900" s="4"/>
      <c r="K1900" s="5" t="s">
        <v>2091</v>
      </c>
    </row>
    <row r="1901" spans="1:22" hidden="1">
      <c r="A1901" s="265"/>
      <c r="G1901" s="185" t="s">
        <v>992</v>
      </c>
      <c r="H1901" s="179" t="s">
        <v>992</v>
      </c>
      <c r="I1901"/>
      <c r="J1901" s="4"/>
      <c r="K1901" s="1" t="s">
        <v>992</v>
      </c>
    </row>
    <row r="1902" spans="1:22" hidden="1">
      <c r="A1902" s="265"/>
      <c r="I1902"/>
      <c r="J1902" s="2" t="s">
        <v>992</v>
      </c>
      <c r="K1902" s="1" t="s">
        <v>992</v>
      </c>
    </row>
    <row r="1903" spans="1:22" hidden="1">
      <c r="A1903" s="265"/>
      <c r="F1903" s="233" t="s">
        <v>256</v>
      </c>
      <c r="G1903" s="185" t="s">
        <v>2290</v>
      </c>
      <c r="H1903" s="179" t="s">
        <v>83</v>
      </c>
      <c r="I1903"/>
      <c r="J1903" s="4"/>
      <c r="K1903"/>
    </row>
    <row r="1904" spans="1:22" hidden="1">
      <c r="A1904" s="265"/>
      <c r="H1904" s="179" t="s">
        <v>1123</v>
      </c>
      <c r="I1904"/>
      <c r="J1904" s="4"/>
      <c r="K1904"/>
      <c r="V1904" s="179" t="s">
        <v>1477</v>
      </c>
    </row>
    <row r="1905" spans="1:11" hidden="1">
      <c r="A1905" s="265"/>
      <c r="H1905" s="179" t="s">
        <v>1124</v>
      </c>
      <c r="I1905"/>
      <c r="J1905" s="4"/>
      <c r="K1905"/>
    </row>
    <row r="1906" spans="1:11" hidden="1">
      <c r="A1906" s="265"/>
      <c r="H1906" s="179" t="s">
        <v>257</v>
      </c>
      <c r="I1906"/>
      <c r="J1906" s="4"/>
      <c r="K1906"/>
    </row>
    <row r="1907" spans="1:11" hidden="1">
      <c r="A1907" s="265"/>
      <c r="H1907" s="183" t="s">
        <v>1615</v>
      </c>
      <c r="I1907"/>
      <c r="J1907" s="4"/>
      <c r="K1907"/>
    </row>
    <row r="1908" spans="1:11" hidden="1">
      <c r="A1908" s="265"/>
      <c r="F1908" s="186">
        <v>1</v>
      </c>
      <c r="G1908" s="185" t="s">
        <v>884</v>
      </c>
      <c r="H1908" s="179" t="s">
        <v>725</v>
      </c>
      <c r="I1908" s="8">
        <f>(C200)</f>
        <v>750</v>
      </c>
      <c r="J1908" s="2" t="s">
        <v>884</v>
      </c>
      <c r="K1908" s="8">
        <f>(F1908*I1908)</f>
        <v>750</v>
      </c>
    </row>
    <row r="1909" spans="1:11" hidden="1">
      <c r="A1909" s="265"/>
      <c r="F1909" s="242">
        <v>0.40500000000000003</v>
      </c>
      <c r="G1909" s="185" t="s">
        <v>885</v>
      </c>
      <c r="H1909" s="179" t="s">
        <v>2687</v>
      </c>
      <c r="I1909" s="8" t="e">
        <f>(K1262)</f>
        <v>#REF!</v>
      </c>
      <c r="J1909" s="2" t="s">
        <v>885</v>
      </c>
      <c r="K1909" s="8" t="e">
        <f>(F1909*I1909)</f>
        <v>#REF!</v>
      </c>
    </row>
    <row r="1910" spans="1:11" hidden="1">
      <c r="A1910" s="265"/>
      <c r="H1910" s="179" t="s">
        <v>1118</v>
      </c>
      <c r="I1910" s="1" t="s">
        <v>992</v>
      </c>
      <c r="J1910" s="4"/>
      <c r="K1910" s="1" t="s">
        <v>992</v>
      </c>
    </row>
    <row r="1911" spans="1:11" hidden="1">
      <c r="A1911" s="265"/>
      <c r="F1911" s="186">
        <v>1.89</v>
      </c>
      <c r="G1911" s="185" t="s">
        <v>621</v>
      </c>
      <c r="H1911" s="179" t="s">
        <v>268</v>
      </c>
      <c r="I1911" s="8" t="e">
        <f>(K1373)</f>
        <v>#REF!</v>
      </c>
      <c r="J1911" s="2" t="s">
        <v>621</v>
      </c>
      <c r="K1911" s="8" t="e">
        <f>(F1911*I1911)</f>
        <v>#REF!</v>
      </c>
    </row>
    <row r="1912" spans="1:11" hidden="1">
      <c r="A1912" s="265"/>
      <c r="H1912" s="179" t="s">
        <v>269</v>
      </c>
      <c r="I1912" s="1" t="s">
        <v>992</v>
      </c>
      <c r="J1912" s="4"/>
      <c r="K1912" s="1" t="s">
        <v>992</v>
      </c>
    </row>
    <row r="1913" spans="1:11" hidden="1">
      <c r="A1913" s="265"/>
      <c r="F1913" s="242">
        <v>8.1000000000000003E-2</v>
      </c>
      <c r="G1913" s="185" t="s">
        <v>885</v>
      </c>
      <c r="H1913" s="179" t="s">
        <v>270</v>
      </c>
      <c r="I1913" s="8" t="e">
        <f>(R60)</f>
        <v>#REF!</v>
      </c>
      <c r="J1913" s="2" t="s">
        <v>885</v>
      </c>
      <c r="K1913" s="8" t="e">
        <f>(F1913*I1913)</f>
        <v>#REF!</v>
      </c>
    </row>
    <row r="1914" spans="1:11" hidden="1">
      <c r="A1914" s="265"/>
      <c r="H1914" s="179" t="s">
        <v>271</v>
      </c>
      <c r="I1914"/>
      <c r="J1914" s="4"/>
      <c r="K1914"/>
    </row>
    <row r="1915" spans="1:11" hidden="1">
      <c r="A1915" s="265"/>
      <c r="F1915" s="186">
        <v>1</v>
      </c>
      <c r="G1915" s="185" t="s">
        <v>785</v>
      </c>
      <c r="H1915" s="179" t="s">
        <v>2140</v>
      </c>
      <c r="I1915" s="8">
        <f>(C15)</f>
        <v>130</v>
      </c>
      <c r="J1915" s="2" t="s">
        <v>785</v>
      </c>
      <c r="K1915" s="8">
        <f>(F1915*I1915)</f>
        <v>130</v>
      </c>
    </row>
    <row r="1916" spans="1:11" hidden="1">
      <c r="A1916" s="265"/>
      <c r="F1916" s="186">
        <v>0.5</v>
      </c>
      <c r="G1916" s="185" t="s">
        <v>884</v>
      </c>
      <c r="H1916" s="179" t="s">
        <v>1744</v>
      </c>
      <c r="I1916" s="8">
        <f>(C11)</f>
        <v>135</v>
      </c>
      <c r="J1916" s="2" t="s">
        <v>884</v>
      </c>
      <c r="K1916" s="8">
        <f>(F1916*I1916)</f>
        <v>67.5</v>
      </c>
    </row>
    <row r="1917" spans="1:11" hidden="1">
      <c r="A1917" s="265"/>
      <c r="F1917" s="186">
        <v>0.5</v>
      </c>
      <c r="G1917" s="185" t="s">
        <v>884</v>
      </c>
      <c r="H1917" s="179" t="s">
        <v>1937</v>
      </c>
      <c r="I1917" s="8">
        <f>(C12)</f>
        <v>95</v>
      </c>
      <c r="J1917" s="2" t="s">
        <v>884</v>
      </c>
      <c r="K1917" s="8">
        <f>(F1917*I1917)</f>
        <v>47.5</v>
      </c>
    </row>
    <row r="1918" spans="1:11" hidden="1">
      <c r="A1918" s="265"/>
      <c r="G1918" s="185" t="s">
        <v>455</v>
      </c>
      <c r="H1918" s="179" t="s">
        <v>456</v>
      </c>
      <c r="I1918" s="1" t="s">
        <v>992</v>
      </c>
      <c r="J1918" s="2" t="s">
        <v>455</v>
      </c>
      <c r="K1918" s="8">
        <v>0</v>
      </c>
    </row>
    <row r="1919" spans="1:11" hidden="1">
      <c r="A1919" s="265"/>
      <c r="H1919" s="179" t="s">
        <v>992</v>
      </c>
      <c r="I1919"/>
      <c r="J1919" s="4"/>
      <c r="K1919" s="5" t="s">
        <v>1615</v>
      </c>
    </row>
    <row r="1920" spans="1:11" hidden="1">
      <c r="A1920" s="265"/>
      <c r="H1920" s="179" t="s">
        <v>1785</v>
      </c>
      <c r="I1920"/>
      <c r="J1920" s="4"/>
      <c r="K1920" s="8" t="e">
        <f>SUM(K1908:K1918)</f>
        <v>#REF!</v>
      </c>
    </row>
    <row r="1921" spans="1:11" hidden="1">
      <c r="A1921" s="265"/>
      <c r="I1921"/>
      <c r="J1921" s="4"/>
      <c r="K1921" s="5" t="s">
        <v>2091</v>
      </c>
    </row>
    <row r="1922" spans="1:11" hidden="1">
      <c r="A1922" s="265"/>
      <c r="G1922" s="185" t="s">
        <v>992</v>
      </c>
      <c r="H1922" s="179" t="s">
        <v>992</v>
      </c>
      <c r="I1922"/>
      <c r="J1922" s="4"/>
      <c r="K1922" s="1" t="s">
        <v>992</v>
      </c>
    </row>
    <row r="1923" spans="1:11" hidden="1">
      <c r="A1923" s="265"/>
      <c r="I1923"/>
      <c r="J1923" s="2" t="s">
        <v>992</v>
      </c>
      <c r="K1923" s="1" t="s">
        <v>252</v>
      </c>
    </row>
    <row r="1924" spans="1:11" hidden="1">
      <c r="A1924" s="265"/>
      <c r="F1924" s="239">
        <v>57</v>
      </c>
      <c r="G1924" s="185" t="s">
        <v>2290</v>
      </c>
      <c r="H1924" s="179" t="s">
        <v>261</v>
      </c>
      <c r="I1924"/>
      <c r="J1924" s="4"/>
      <c r="K1924"/>
    </row>
    <row r="1925" spans="1:11" hidden="1">
      <c r="A1925" s="265"/>
      <c r="H1925" s="179" t="s">
        <v>203</v>
      </c>
      <c r="I1925"/>
      <c r="J1925" s="4"/>
      <c r="K1925"/>
    </row>
    <row r="1926" spans="1:11" hidden="1">
      <c r="A1926" s="265"/>
      <c r="H1926" s="179" t="s">
        <v>1806</v>
      </c>
      <c r="I1926"/>
      <c r="J1926" s="4"/>
      <c r="K1926"/>
    </row>
    <row r="1927" spans="1:11" hidden="1">
      <c r="A1927" s="265"/>
      <c r="H1927" s="183" t="s">
        <v>1615</v>
      </c>
      <c r="I1927"/>
      <c r="J1927" s="4"/>
      <c r="K1927"/>
    </row>
    <row r="1928" spans="1:11" ht="95.25" hidden="1" customHeight="1">
      <c r="A1928" s="265"/>
      <c r="F1928" s="274">
        <v>1</v>
      </c>
      <c r="G1928" s="274" t="s">
        <v>799</v>
      </c>
      <c r="H1928" s="247" t="s">
        <v>1143</v>
      </c>
      <c r="I1928" s="21">
        <f>C591</f>
        <v>1700</v>
      </c>
      <c r="J1928" s="275" t="s">
        <v>799</v>
      </c>
      <c r="K1928" s="21">
        <f>(F1928*I1928)</f>
        <v>1700</v>
      </c>
    </row>
    <row r="1929" spans="1:11" hidden="1">
      <c r="A1929" s="265"/>
      <c r="F1929" s="186"/>
      <c r="G1929" s="185"/>
      <c r="H1929" s="276" t="s">
        <v>1183</v>
      </c>
      <c r="I1929" s="8"/>
      <c r="J1929" s="2"/>
      <c r="K1929" s="8"/>
    </row>
    <row r="1930" spans="1:11" hidden="1">
      <c r="A1930" s="265"/>
      <c r="F1930" s="186">
        <v>1</v>
      </c>
      <c r="G1930" s="185" t="s">
        <v>884</v>
      </c>
      <c r="H1930" s="179" t="s">
        <v>2045</v>
      </c>
      <c r="I1930" s="8">
        <f>(C10)</f>
        <v>150</v>
      </c>
      <c r="J1930" s="2" t="s">
        <v>884</v>
      </c>
      <c r="K1930" s="8">
        <f>(F1930*I1930)</f>
        <v>150</v>
      </c>
    </row>
    <row r="1931" spans="1:11" hidden="1">
      <c r="A1931" s="265"/>
      <c r="F1931" s="186">
        <v>2</v>
      </c>
      <c r="G1931" s="185" t="s">
        <v>884</v>
      </c>
      <c r="H1931" s="179" t="s">
        <v>2140</v>
      </c>
      <c r="I1931" s="8">
        <f>(C15)</f>
        <v>130</v>
      </c>
      <c r="J1931" s="2" t="s">
        <v>884</v>
      </c>
      <c r="K1931" s="8">
        <f>(F1931*I1931)</f>
        <v>260</v>
      </c>
    </row>
    <row r="1932" spans="1:11" hidden="1">
      <c r="A1932" s="265"/>
      <c r="F1932" s="186">
        <v>1</v>
      </c>
      <c r="G1932" s="185" t="s">
        <v>884</v>
      </c>
      <c r="H1932" s="179" t="s">
        <v>325</v>
      </c>
      <c r="I1932" s="8">
        <f>(C13)</f>
        <v>85</v>
      </c>
      <c r="J1932" s="2" t="s">
        <v>884</v>
      </c>
      <c r="K1932" s="8">
        <f>(F1932*I1932)</f>
        <v>85</v>
      </c>
    </row>
    <row r="1933" spans="1:11" hidden="1">
      <c r="A1933" s="265"/>
      <c r="F1933" s="186"/>
      <c r="G1933" s="185"/>
      <c r="H1933" s="276" t="s">
        <v>726</v>
      </c>
      <c r="I1933" s="8"/>
      <c r="J1933" s="2"/>
      <c r="K1933" s="8"/>
    </row>
    <row r="1934" spans="1:11" hidden="1">
      <c r="A1934" s="265"/>
      <c r="F1934" s="186">
        <v>0.5</v>
      </c>
      <c r="G1934" s="185" t="s">
        <v>884</v>
      </c>
      <c r="H1934" s="179" t="s">
        <v>2140</v>
      </c>
      <c r="I1934" s="8">
        <f>(C15)</f>
        <v>130</v>
      </c>
      <c r="J1934" s="2" t="s">
        <v>884</v>
      </c>
      <c r="K1934" s="8">
        <f>(F1934*I1934)</f>
        <v>65</v>
      </c>
    </row>
    <row r="1935" spans="1:11" hidden="1">
      <c r="A1935" s="265"/>
      <c r="F1935" s="186">
        <v>0.5</v>
      </c>
      <c r="G1935" s="185" t="s">
        <v>884</v>
      </c>
      <c r="H1935" s="179" t="s">
        <v>1937</v>
      </c>
      <c r="I1935" s="8">
        <f>(C12)</f>
        <v>95</v>
      </c>
      <c r="J1935" s="2" t="s">
        <v>884</v>
      </c>
      <c r="K1935" s="8">
        <f>(F1935*I1935)</f>
        <v>47.5</v>
      </c>
    </row>
    <row r="1936" spans="1:11" hidden="1">
      <c r="A1936" s="265"/>
      <c r="G1936" s="185" t="s">
        <v>455</v>
      </c>
      <c r="H1936" s="179" t="s">
        <v>456</v>
      </c>
      <c r="I1936"/>
      <c r="J1936" s="2" t="s">
        <v>455</v>
      </c>
      <c r="K1936" s="8">
        <v>0</v>
      </c>
    </row>
    <row r="1937" spans="1:11" hidden="1">
      <c r="A1937" s="265"/>
      <c r="I1937"/>
      <c r="J1937" s="4"/>
      <c r="K1937" s="5" t="s">
        <v>1615</v>
      </c>
    </row>
    <row r="1938" spans="1:11" hidden="1">
      <c r="A1938" s="265"/>
      <c r="H1938" s="179" t="s">
        <v>1785</v>
      </c>
      <c r="I1938"/>
      <c r="J1938" s="4"/>
      <c r="K1938" s="8">
        <f>SUM(K1928:K1936)</f>
        <v>2307.5</v>
      </c>
    </row>
    <row r="1939" spans="1:11" hidden="1">
      <c r="A1939" s="265"/>
      <c r="F1939" s="179" t="s">
        <v>992</v>
      </c>
      <c r="I1939"/>
      <c r="J1939" s="4"/>
      <c r="K1939"/>
    </row>
    <row r="1940" spans="1:11" hidden="1">
      <c r="A1940" s="265"/>
      <c r="I1940"/>
      <c r="J1940" s="4"/>
      <c r="K1940" s="5" t="s">
        <v>1615</v>
      </c>
    </row>
    <row r="1941" spans="1:11" hidden="1">
      <c r="A1941" s="265"/>
      <c r="G1941" s="185" t="s">
        <v>992</v>
      </c>
      <c r="H1941" s="179" t="s">
        <v>992</v>
      </c>
      <c r="I1941"/>
      <c r="J1941" s="4"/>
      <c r="K1941" s="1" t="s">
        <v>992</v>
      </c>
    </row>
    <row r="1942" spans="1:11" hidden="1">
      <c r="A1942" s="265"/>
      <c r="H1942" s="179" t="s">
        <v>992</v>
      </c>
      <c r="I1942"/>
      <c r="J1942" s="4"/>
      <c r="K1942"/>
    </row>
    <row r="1943" spans="1:11" hidden="1">
      <c r="A1943" s="265"/>
      <c r="F1943" s="243">
        <v>57.1</v>
      </c>
      <c r="G1943" s="185" t="s">
        <v>2290</v>
      </c>
      <c r="H1943" s="179" t="s">
        <v>1587</v>
      </c>
      <c r="I1943"/>
      <c r="J1943" s="4"/>
      <c r="K1943"/>
    </row>
    <row r="1944" spans="1:11" hidden="1">
      <c r="A1944" s="265"/>
      <c r="H1944" s="179" t="s">
        <v>203</v>
      </c>
      <c r="I1944"/>
      <c r="J1944" s="4"/>
      <c r="K1944"/>
    </row>
    <row r="1945" spans="1:11" hidden="1">
      <c r="A1945" s="265"/>
      <c r="H1945" s="179" t="s">
        <v>1806</v>
      </c>
      <c r="I1945"/>
      <c r="J1945" s="4"/>
      <c r="K1945"/>
    </row>
    <row r="1946" spans="1:11" hidden="1">
      <c r="A1946" s="265"/>
      <c r="H1946" s="183" t="s">
        <v>1615</v>
      </c>
      <c r="I1946"/>
      <c r="J1946" s="4"/>
      <c r="K1946"/>
    </row>
    <row r="1947" spans="1:11" ht="78.75" hidden="1">
      <c r="A1947" s="265"/>
      <c r="F1947" s="274">
        <v>1</v>
      </c>
      <c r="G1947" s="274" t="s">
        <v>799</v>
      </c>
      <c r="H1947" s="247" t="s">
        <v>1143</v>
      </c>
      <c r="I1947">
        <f>E591</f>
        <v>2000</v>
      </c>
      <c r="J1947" s="275" t="s">
        <v>799</v>
      </c>
      <c r="K1947" s="21">
        <f>(F1947*I1947)</f>
        <v>2000</v>
      </c>
    </row>
    <row r="1948" spans="1:11" hidden="1">
      <c r="A1948" s="265"/>
      <c r="F1948" s="186"/>
      <c r="G1948" s="185"/>
      <c r="H1948" s="276" t="s">
        <v>1183</v>
      </c>
      <c r="I1948"/>
      <c r="J1948" s="2"/>
      <c r="K1948" s="8"/>
    </row>
    <row r="1949" spans="1:11" hidden="1">
      <c r="A1949" s="265"/>
      <c r="F1949" s="186">
        <v>1</v>
      </c>
      <c r="G1949" s="185" t="s">
        <v>884</v>
      </c>
      <c r="H1949" s="179" t="s">
        <v>2045</v>
      </c>
      <c r="I1949">
        <f>C10</f>
        <v>150</v>
      </c>
      <c r="J1949" s="2" t="s">
        <v>884</v>
      </c>
      <c r="K1949" s="8">
        <f>(F1949*I1949)</f>
        <v>150</v>
      </c>
    </row>
    <row r="1950" spans="1:11" hidden="1">
      <c r="A1950" s="265"/>
      <c r="F1950" s="186">
        <v>2</v>
      </c>
      <c r="G1950" s="185" t="s">
        <v>884</v>
      </c>
      <c r="H1950" s="179" t="s">
        <v>2140</v>
      </c>
      <c r="I1950">
        <f>C15</f>
        <v>130</v>
      </c>
      <c r="J1950" s="2" t="s">
        <v>884</v>
      </c>
      <c r="K1950" s="8">
        <f>(F1950*I1950)</f>
        <v>260</v>
      </c>
    </row>
    <row r="1951" spans="1:11" hidden="1">
      <c r="A1951" s="265"/>
      <c r="F1951" s="186">
        <v>1</v>
      </c>
      <c r="G1951" s="185" t="s">
        <v>884</v>
      </c>
      <c r="H1951" s="179" t="s">
        <v>325</v>
      </c>
      <c r="I1951">
        <f>C13</f>
        <v>85</v>
      </c>
      <c r="J1951" s="2" t="s">
        <v>884</v>
      </c>
      <c r="K1951" s="8">
        <f>(F1951*I1951)</f>
        <v>85</v>
      </c>
    </row>
    <row r="1952" spans="1:11" hidden="1">
      <c r="A1952" s="265"/>
      <c r="F1952" s="186"/>
      <c r="G1952" s="185"/>
      <c r="H1952" s="276" t="s">
        <v>726</v>
      </c>
      <c r="I1952"/>
      <c r="J1952" s="2"/>
      <c r="K1952" s="8"/>
    </row>
    <row r="1953" spans="1:11" hidden="1">
      <c r="A1953" s="265"/>
      <c r="F1953" s="186">
        <v>0.5</v>
      </c>
      <c r="G1953" s="185" t="s">
        <v>884</v>
      </c>
      <c r="H1953" s="179" t="s">
        <v>2140</v>
      </c>
      <c r="I1953">
        <f>C15</f>
        <v>130</v>
      </c>
      <c r="J1953" s="2" t="s">
        <v>884</v>
      </c>
      <c r="K1953" s="8">
        <f>(F1953*I1953)</f>
        <v>65</v>
      </c>
    </row>
    <row r="1954" spans="1:11" hidden="1">
      <c r="A1954" s="265"/>
      <c r="F1954" s="186">
        <v>0.5</v>
      </c>
      <c r="G1954" s="185" t="s">
        <v>884</v>
      </c>
      <c r="H1954" s="179" t="s">
        <v>1937</v>
      </c>
      <c r="I1954">
        <f>C12</f>
        <v>95</v>
      </c>
      <c r="J1954" s="2" t="s">
        <v>884</v>
      </c>
      <c r="K1954" s="8">
        <f>(F1954*I1954)</f>
        <v>47.5</v>
      </c>
    </row>
    <row r="1955" spans="1:11" hidden="1">
      <c r="A1955" s="265"/>
      <c r="G1955" s="185" t="s">
        <v>455</v>
      </c>
      <c r="H1955" s="179" t="s">
        <v>456</v>
      </c>
      <c r="I1955"/>
      <c r="J1955" s="2" t="s">
        <v>455</v>
      </c>
      <c r="K1955" s="8">
        <v>0</v>
      </c>
    </row>
    <row r="1956" spans="1:11" hidden="1">
      <c r="A1956" s="265"/>
      <c r="I1956"/>
      <c r="J1956" s="4"/>
      <c r="K1956" s="5" t="s">
        <v>1615</v>
      </c>
    </row>
    <row r="1957" spans="1:11" hidden="1">
      <c r="A1957" s="265"/>
      <c r="H1957" s="179" t="s">
        <v>1785</v>
      </c>
      <c r="I1957"/>
      <c r="J1957" s="4"/>
      <c r="K1957" s="8">
        <f>SUM(K1947:K1955)</f>
        <v>2607.5</v>
      </c>
    </row>
    <row r="1958" spans="1:11" hidden="1">
      <c r="A1958" s="265"/>
      <c r="H1958" s="179"/>
      <c r="I1958"/>
      <c r="J1958" s="4"/>
      <c r="K1958"/>
    </row>
    <row r="1959" spans="1:11" hidden="1">
      <c r="A1959" s="265"/>
      <c r="H1959" s="179"/>
      <c r="I1959"/>
      <c r="J1959" s="4"/>
      <c r="K1959" s="5" t="s">
        <v>1615</v>
      </c>
    </row>
    <row r="1960" spans="1:11" hidden="1">
      <c r="A1960" s="265"/>
      <c r="H1960" s="179"/>
      <c r="I1960"/>
      <c r="J1960" s="4"/>
      <c r="K1960"/>
    </row>
    <row r="1961" spans="1:11" hidden="1">
      <c r="A1961" s="265"/>
      <c r="F1961" s="233" t="s">
        <v>727</v>
      </c>
      <c r="G1961" s="185" t="s">
        <v>2290</v>
      </c>
      <c r="H1961" s="179" t="s">
        <v>824</v>
      </c>
      <c r="I1961"/>
      <c r="J1961" s="4"/>
      <c r="K1961"/>
    </row>
    <row r="1962" spans="1:11" hidden="1">
      <c r="A1962" s="265"/>
      <c r="H1962" s="179" t="s">
        <v>162</v>
      </c>
      <c r="I1962"/>
      <c r="J1962" s="4"/>
      <c r="K1962"/>
    </row>
    <row r="1963" spans="1:11" hidden="1">
      <c r="A1963" s="265"/>
      <c r="H1963" s="183" t="s">
        <v>1615</v>
      </c>
      <c r="I1963"/>
      <c r="J1963" s="4"/>
      <c r="K1963"/>
    </row>
    <row r="1964" spans="1:11" hidden="1">
      <c r="A1964" s="265"/>
      <c r="G1964" s="185" t="s">
        <v>702</v>
      </c>
      <c r="H1964" s="179" t="s">
        <v>42</v>
      </c>
      <c r="I1964"/>
      <c r="J1964" s="4"/>
      <c r="K1964"/>
    </row>
    <row r="1965" spans="1:11" hidden="1">
      <c r="A1965" s="265"/>
      <c r="H1965" s="179" t="s">
        <v>2688</v>
      </c>
      <c r="I1965"/>
      <c r="J1965" s="4"/>
      <c r="K1965"/>
    </row>
    <row r="1966" spans="1:11" hidden="1">
      <c r="A1966" s="265"/>
      <c r="H1966" s="179" t="s">
        <v>963</v>
      </c>
      <c r="I1966"/>
      <c r="J1966" s="4"/>
      <c r="K1966"/>
    </row>
    <row r="1967" spans="1:11" hidden="1">
      <c r="A1967" s="265"/>
      <c r="H1967" s="179" t="s">
        <v>964</v>
      </c>
      <c r="I1967"/>
      <c r="J1967" s="4"/>
      <c r="K1967"/>
    </row>
    <row r="1968" spans="1:11" hidden="1">
      <c r="A1968" s="265"/>
      <c r="H1968" s="179" t="s">
        <v>2141</v>
      </c>
      <c r="I1968"/>
      <c r="J1968" s="4"/>
      <c r="K1968"/>
    </row>
    <row r="1969" spans="1:11" hidden="1">
      <c r="A1969" s="265"/>
      <c r="H1969" s="179" t="s">
        <v>2142</v>
      </c>
      <c r="I1969"/>
      <c r="J1969" s="4"/>
      <c r="K1969"/>
    </row>
    <row r="1970" spans="1:11" hidden="1">
      <c r="A1970" s="265"/>
      <c r="H1970" s="179" t="s">
        <v>2689</v>
      </c>
      <c r="I1970"/>
      <c r="J1970" s="4"/>
      <c r="K1970"/>
    </row>
    <row r="1971" spans="1:11" hidden="1">
      <c r="A1971" s="265"/>
      <c r="H1971" s="183" t="s">
        <v>1615</v>
      </c>
      <c r="I1971"/>
      <c r="J1971" s="4"/>
      <c r="K1971"/>
    </row>
    <row r="1972" spans="1:11" hidden="1">
      <c r="A1972" s="265"/>
      <c r="F1972" s="186">
        <v>3</v>
      </c>
      <c r="G1972" s="185" t="s">
        <v>1805</v>
      </c>
      <c r="H1972" s="179" t="s">
        <v>2143</v>
      </c>
      <c r="I1972" s="8">
        <f>(C598)</f>
        <v>120</v>
      </c>
      <c r="J1972" s="2" t="s">
        <v>1805</v>
      </c>
      <c r="K1972" s="8">
        <f t="shared" ref="K1972:K1978" si="70">(F1972*I1972)</f>
        <v>360</v>
      </c>
    </row>
    <row r="1973" spans="1:11" hidden="1">
      <c r="A1973" s="265"/>
      <c r="F1973" s="186">
        <v>1</v>
      </c>
      <c r="G1973" s="185" t="s">
        <v>785</v>
      </c>
      <c r="H1973" s="179" t="s">
        <v>682</v>
      </c>
      <c r="I1973" s="8">
        <f>C601</f>
        <v>65</v>
      </c>
      <c r="J1973" s="2" t="s">
        <v>1748</v>
      </c>
      <c r="K1973" s="8">
        <f t="shared" si="70"/>
        <v>65</v>
      </c>
    </row>
    <row r="1974" spans="1:11" hidden="1">
      <c r="A1974" s="265"/>
      <c r="F1974" s="186">
        <v>1</v>
      </c>
      <c r="G1974" s="185" t="s">
        <v>785</v>
      </c>
      <c r="H1974" s="179" t="s">
        <v>683</v>
      </c>
      <c r="I1974" s="8">
        <f>C626</f>
        <v>12</v>
      </c>
      <c r="J1974" s="2" t="s">
        <v>1748</v>
      </c>
      <c r="K1974" s="8">
        <f t="shared" si="70"/>
        <v>12</v>
      </c>
    </row>
    <row r="1975" spans="1:11" hidden="1">
      <c r="A1975" s="265"/>
      <c r="F1975" s="186">
        <v>1</v>
      </c>
      <c r="G1975" s="185" t="s">
        <v>785</v>
      </c>
      <c r="H1975" s="179" t="s">
        <v>1548</v>
      </c>
      <c r="I1975" s="8">
        <f>C623</f>
        <v>110</v>
      </c>
      <c r="J1975" s="2" t="s">
        <v>1748</v>
      </c>
      <c r="K1975" s="8">
        <f t="shared" si="70"/>
        <v>110</v>
      </c>
    </row>
    <row r="1976" spans="1:11" hidden="1">
      <c r="A1976" s="265"/>
      <c r="F1976" s="186">
        <v>0.5</v>
      </c>
      <c r="G1976" s="185" t="s">
        <v>884</v>
      </c>
      <c r="H1976" s="179" t="s">
        <v>2140</v>
      </c>
      <c r="I1976" s="8">
        <f>(C15)</f>
        <v>130</v>
      </c>
      <c r="J1976" s="2" t="s">
        <v>1748</v>
      </c>
      <c r="K1976" s="8">
        <f t="shared" si="70"/>
        <v>65</v>
      </c>
    </row>
    <row r="1977" spans="1:11" hidden="1">
      <c r="A1977" s="265"/>
      <c r="F1977" s="186">
        <v>0.5</v>
      </c>
      <c r="G1977" s="185" t="s">
        <v>884</v>
      </c>
      <c r="H1977" s="179" t="s">
        <v>1744</v>
      </c>
      <c r="I1977" s="8">
        <f>(C11)</f>
        <v>135</v>
      </c>
      <c r="J1977" s="2" t="s">
        <v>1748</v>
      </c>
      <c r="K1977" s="8">
        <f t="shared" si="70"/>
        <v>67.5</v>
      </c>
    </row>
    <row r="1978" spans="1:11" hidden="1">
      <c r="A1978" s="265"/>
      <c r="F1978" s="186">
        <v>0.5</v>
      </c>
      <c r="G1978" s="185" t="s">
        <v>884</v>
      </c>
      <c r="H1978" s="179" t="s">
        <v>1937</v>
      </c>
      <c r="I1978" s="8">
        <f>(C12)</f>
        <v>95</v>
      </c>
      <c r="J1978" s="2" t="s">
        <v>1748</v>
      </c>
      <c r="K1978" s="8">
        <f t="shared" si="70"/>
        <v>47.5</v>
      </c>
    </row>
    <row r="1979" spans="1:11" hidden="1">
      <c r="A1979" s="265"/>
      <c r="G1979" s="185" t="s">
        <v>455</v>
      </c>
      <c r="H1979" s="179" t="s">
        <v>1549</v>
      </c>
      <c r="I1979" s="8">
        <v>2.79</v>
      </c>
      <c r="J1979" s="2" t="s">
        <v>455</v>
      </c>
      <c r="K1979" s="8">
        <v>2.79</v>
      </c>
    </row>
    <row r="1980" spans="1:11" hidden="1">
      <c r="A1980" s="265"/>
      <c r="H1980" s="179" t="s">
        <v>85</v>
      </c>
      <c r="I1980"/>
      <c r="J1980" s="4"/>
      <c r="K1980"/>
    </row>
    <row r="1981" spans="1:11" hidden="1">
      <c r="A1981" s="265"/>
      <c r="H1981" s="179" t="s">
        <v>192</v>
      </c>
      <c r="I1981"/>
      <c r="J1981" s="4"/>
      <c r="K1981"/>
    </row>
    <row r="1982" spans="1:11" hidden="1">
      <c r="A1982" s="265"/>
      <c r="H1982" s="179" t="s">
        <v>749</v>
      </c>
      <c r="I1982"/>
      <c r="J1982" s="2" t="s">
        <v>455</v>
      </c>
      <c r="K1982" s="8">
        <v>0</v>
      </c>
    </row>
    <row r="1983" spans="1:11" hidden="1">
      <c r="A1983" s="265"/>
      <c r="I1983"/>
      <c r="J1983" s="4"/>
      <c r="K1983" s="5" t="s">
        <v>1615</v>
      </c>
    </row>
    <row r="1984" spans="1:11" hidden="1">
      <c r="A1984" s="265"/>
      <c r="H1984" s="179" t="s">
        <v>1341</v>
      </c>
      <c r="I1984"/>
      <c r="J1984" s="4"/>
      <c r="K1984" s="8">
        <f>SUM(K1972:K1982)</f>
        <v>729.79</v>
      </c>
    </row>
    <row r="1985" spans="1:11" hidden="1">
      <c r="A1985" s="265"/>
      <c r="I1985"/>
      <c r="J1985" s="4"/>
      <c r="K1985" s="5" t="s">
        <v>1615</v>
      </c>
    </row>
    <row r="1986" spans="1:11" hidden="1">
      <c r="A1986" s="265"/>
      <c r="H1986" s="179" t="s">
        <v>1573</v>
      </c>
      <c r="I1986"/>
      <c r="J1986" s="4"/>
      <c r="K1986" s="8">
        <f>(K1984/3)</f>
        <v>243.26</v>
      </c>
    </row>
    <row r="1987" spans="1:11" hidden="1">
      <c r="A1987" s="265"/>
      <c r="I1987"/>
      <c r="J1987" s="4"/>
      <c r="K1987" s="5" t="s">
        <v>1615</v>
      </c>
    </row>
    <row r="1988" spans="1:11" hidden="1">
      <c r="A1988" s="265"/>
      <c r="F1988" s="233" t="s">
        <v>750</v>
      </c>
      <c r="G1988" s="185" t="s">
        <v>288</v>
      </c>
      <c r="H1988" s="179" t="s">
        <v>751</v>
      </c>
      <c r="I1988"/>
      <c r="J1988" s="4"/>
      <c r="K1988"/>
    </row>
    <row r="1989" spans="1:11" hidden="1">
      <c r="A1989" s="265"/>
      <c r="H1989" s="179" t="s">
        <v>3435</v>
      </c>
      <c r="I1989"/>
      <c r="J1989" s="4"/>
      <c r="K1989"/>
    </row>
    <row r="1990" spans="1:11" hidden="1">
      <c r="A1990" s="265"/>
      <c r="H1990" s="179" t="s">
        <v>963</v>
      </c>
      <c r="I1990"/>
      <c r="J1990" s="4"/>
      <c r="K1990"/>
    </row>
    <row r="1991" spans="1:11" hidden="1">
      <c r="A1991" s="265"/>
      <c r="H1991" s="179" t="s">
        <v>752</v>
      </c>
      <c r="I1991"/>
      <c r="J1991" s="4"/>
      <c r="K1991"/>
    </row>
    <row r="1992" spans="1:11" hidden="1">
      <c r="A1992" s="265"/>
      <c r="H1992" s="179" t="s">
        <v>548</v>
      </c>
      <c r="I1992"/>
      <c r="J1992" s="4"/>
      <c r="K1992"/>
    </row>
    <row r="1993" spans="1:11" hidden="1">
      <c r="A1993" s="265"/>
      <c r="H1993" s="179" t="s">
        <v>2142</v>
      </c>
      <c r="I1993"/>
      <c r="J1993" s="4"/>
      <c r="K1993"/>
    </row>
    <row r="1994" spans="1:11" hidden="1">
      <c r="A1994" s="265"/>
      <c r="H1994" s="179" t="s">
        <v>2689</v>
      </c>
      <c r="I1994"/>
      <c r="J1994" s="4"/>
      <c r="K1994"/>
    </row>
    <row r="1995" spans="1:11" hidden="1">
      <c r="A1995" s="265"/>
      <c r="H1995" s="183" t="s">
        <v>1615</v>
      </c>
      <c r="I1995"/>
      <c r="J1995" s="4"/>
      <c r="K1995"/>
    </row>
    <row r="1996" spans="1:11" hidden="1">
      <c r="A1996" s="265"/>
      <c r="F1996" s="186">
        <v>3</v>
      </c>
      <c r="G1996" s="185" t="s">
        <v>1805</v>
      </c>
      <c r="H1996" s="179" t="s">
        <v>1022</v>
      </c>
      <c r="I1996" s="8">
        <f>(C599)</f>
        <v>80</v>
      </c>
      <c r="J1996" s="2" t="s">
        <v>1805</v>
      </c>
      <c r="K1996" s="8">
        <f t="shared" ref="K1996:K2002" si="71">(F1996*I1996)</f>
        <v>240</v>
      </c>
    </row>
    <row r="1997" spans="1:11" hidden="1">
      <c r="A1997" s="265"/>
      <c r="F1997" s="186">
        <v>1</v>
      </c>
      <c r="G1997" s="185" t="s">
        <v>785</v>
      </c>
      <c r="H1997" s="179" t="s">
        <v>1023</v>
      </c>
      <c r="I1997" s="8">
        <f>C602</f>
        <v>40</v>
      </c>
      <c r="J1997" s="4" t="s">
        <v>785</v>
      </c>
      <c r="K1997" s="8">
        <f t="shared" si="71"/>
        <v>40</v>
      </c>
    </row>
    <row r="1998" spans="1:11" hidden="1">
      <c r="A1998" s="265"/>
      <c r="F1998" s="186">
        <v>1</v>
      </c>
      <c r="G1998" s="185" t="s">
        <v>785</v>
      </c>
      <c r="H1998" s="179" t="s">
        <v>1024</v>
      </c>
      <c r="I1998" s="8">
        <f>C627</f>
        <v>7.5</v>
      </c>
      <c r="J1998" s="4" t="s">
        <v>785</v>
      </c>
      <c r="K1998" s="8">
        <f t="shared" si="71"/>
        <v>7.5</v>
      </c>
    </row>
    <row r="1999" spans="1:11" hidden="1">
      <c r="A1999" s="265"/>
      <c r="F1999" s="186">
        <v>1</v>
      </c>
      <c r="G1999" s="185" t="s">
        <v>785</v>
      </c>
      <c r="H1999" s="179" t="s">
        <v>86</v>
      </c>
      <c r="I1999" s="8">
        <f>C624</f>
        <v>70</v>
      </c>
      <c r="J1999" s="4" t="s">
        <v>785</v>
      </c>
      <c r="K1999" s="8">
        <f t="shared" si="71"/>
        <v>70</v>
      </c>
    </row>
    <row r="2000" spans="1:11" hidden="1">
      <c r="A2000" s="265"/>
      <c r="F2000" s="186">
        <v>0.5</v>
      </c>
      <c r="G2000" s="185" t="s">
        <v>884</v>
      </c>
      <c r="H2000" s="179" t="s">
        <v>2140</v>
      </c>
      <c r="I2000" s="8">
        <f>(C15)</f>
        <v>130</v>
      </c>
      <c r="J2000" s="2" t="s">
        <v>884</v>
      </c>
      <c r="K2000" s="8">
        <f t="shared" si="71"/>
        <v>65</v>
      </c>
    </row>
    <row r="2001" spans="1:11" hidden="1">
      <c r="A2001" s="265"/>
      <c r="F2001" s="186">
        <v>0.5</v>
      </c>
      <c r="G2001" s="185" t="s">
        <v>884</v>
      </c>
      <c r="H2001" s="179" t="s">
        <v>1744</v>
      </c>
      <c r="I2001" s="8">
        <f>(C11)</f>
        <v>135</v>
      </c>
      <c r="J2001" s="2" t="s">
        <v>884</v>
      </c>
      <c r="K2001" s="8">
        <f t="shared" si="71"/>
        <v>67.5</v>
      </c>
    </row>
    <row r="2002" spans="1:11" hidden="1">
      <c r="A2002" s="265"/>
      <c r="F2002" s="186">
        <v>0.5</v>
      </c>
      <c r="G2002" s="185" t="s">
        <v>884</v>
      </c>
      <c r="H2002" s="179" t="s">
        <v>1937</v>
      </c>
      <c r="I2002" s="8">
        <f>(C12)</f>
        <v>95</v>
      </c>
      <c r="J2002" s="2" t="s">
        <v>884</v>
      </c>
      <c r="K2002" s="8">
        <f t="shared" si="71"/>
        <v>47.5</v>
      </c>
    </row>
    <row r="2003" spans="1:11" hidden="1">
      <c r="A2003" s="265"/>
      <c r="G2003" s="185" t="s">
        <v>455</v>
      </c>
      <c r="H2003" s="179" t="s">
        <v>1549</v>
      </c>
      <c r="I2003" s="1" t="s">
        <v>992</v>
      </c>
      <c r="J2003" s="2" t="s">
        <v>455</v>
      </c>
      <c r="K2003" s="8">
        <v>2.73</v>
      </c>
    </row>
    <row r="2004" spans="1:11" hidden="1">
      <c r="A2004" s="265"/>
      <c r="H2004" s="179" t="s">
        <v>85</v>
      </c>
      <c r="I2004"/>
      <c r="J2004" s="4"/>
      <c r="K2004"/>
    </row>
    <row r="2005" spans="1:11" hidden="1">
      <c r="A2005" s="265"/>
      <c r="H2005" s="179" t="s">
        <v>192</v>
      </c>
      <c r="I2005"/>
      <c r="J2005" s="4"/>
      <c r="K2005"/>
    </row>
    <row r="2006" spans="1:11" hidden="1">
      <c r="A2006" s="265"/>
      <c r="H2006" s="179" t="s">
        <v>749</v>
      </c>
      <c r="I2006"/>
      <c r="J2006" s="2" t="s">
        <v>455</v>
      </c>
      <c r="K2006" s="8">
        <v>0</v>
      </c>
    </row>
    <row r="2007" spans="1:11" hidden="1">
      <c r="A2007" s="265"/>
      <c r="I2007"/>
      <c r="J2007" s="4"/>
      <c r="K2007" s="5" t="s">
        <v>1615</v>
      </c>
    </row>
    <row r="2008" spans="1:11" hidden="1">
      <c r="A2008" s="265"/>
      <c r="H2008" s="179" t="s">
        <v>1341</v>
      </c>
      <c r="I2008"/>
      <c r="J2008" s="4"/>
      <c r="K2008" s="8">
        <f>SUM(K1996:K2006)</f>
        <v>540.23</v>
      </c>
    </row>
    <row r="2009" spans="1:11" hidden="1">
      <c r="A2009" s="265"/>
      <c r="I2009"/>
      <c r="J2009" s="4"/>
      <c r="K2009" s="5" t="s">
        <v>1615</v>
      </c>
    </row>
    <row r="2010" spans="1:11" hidden="1">
      <c r="A2010" s="265"/>
      <c r="H2010" s="179" t="s">
        <v>1573</v>
      </c>
      <c r="I2010"/>
      <c r="J2010" s="4"/>
      <c r="K2010" s="8">
        <f>(K2008/3)</f>
        <v>180.08</v>
      </c>
    </row>
    <row r="2011" spans="1:11" hidden="1">
      <c r="A2011" s="265"/>
      <c r="I2011"/>
      <c r="J2011" s="4"/>
      <c r="K2011" s="5" t="s">
        <v>1615</v>
      </c>
    </row>
    <row r="2012" spans="1:11" hidden="1">
      <c r="A2012" s="265"/>
      <c r="F2012" s="233" t="s">
        <v>87</v>
      </c>
      <c r="H2012" s="179" t="s">
        <v>208</v>
      </c>
      <c r="I2012"/>
      <c r="J2012" s="4"/>
      <c r="K2012"/>
    </row>
    <row r="2013" spans="1:11" hidden="1">
      <c r="A2013" s="265"/>
      <c r="H2013" s="179" t="s">
        <v>1853</v>
      </c>
      <c r="I2013"/>
      <c r="J2013" s="4"/>
      <c r="K2013"/>
    </row>
    <row r="2014" spans="1:11" hidden="1">
      <c r="A2014" s="265"/>
      <c r="F2014" s="179" t="s">
        <v>992</v>
      </c>
      <c r="H2014" s="179" t="s">
        <v>2234</v>
      </c>
      <c r="I2014"/>
      <c r="J2014" s="4"/>
      <c r="K2014"/>
    </row>
    <row r="2015" spans="1:11" hidden="1">
      <c r="A2015" s="265"/>
      <c r="H2015" s="183" t="s">
        <v>1615</v>
      </c>
      <c r="I2015"/>
      <c r="J2015" s="4"/>
      <c r="K2015"/>
    </row>
    <row r="2016" spans="1:11" hidden="1">
      <c r="A2016" s="265"/>
      <c r="F2016" s="186">
        <v>3</v>
      </c>
      <c r="G2016" s="185" t="s">
        <v>2235</v>
      </c>
      <c r="H2016" s="179" t="s">
        <v>2236</v>
      </c>
      <c r="I2016" s="8">
        <v>108</v>
      </c>
      <c r="J2016" s="2" t="s">
        <v>2235</v>
      </c>
      <c r="K2016" s="8">
        <f>(F2016*I2016)</f>
        <v>324</v>
      </c>
    </row>
    <row r="2017" spans="1:11" hidden="1">
      <c r="A2017" s="265"/>
      <c r="F2017" s="186">
        <v>1</v>
      </c>
      <c r="G2017" s="185" t="s">
        <v>1794</v>
      </c>
      <c r="H2017" s="179" t="s">
        <v>2237</v>
      </c>
      <c r="I2017" s="8">
        <v>12</v>
      </c>
      <c r="J2017" s="2" t="s">
        <v>1794</v>
      </c>
      <c r="K2017" s="8">
        <f>(F2017*I2017)</f>
        <v>12</v>
      </c>
    </row>
    <row r="2018" spans="1:11" hidden="1">
      <c r="A2018" s="265"/>
      <c r="F2018" s="186">
        <v>1</v>
      </c>
      <c r="G2018" s="185" t="s">
        <v>1794</v>
      </c>
      <c r="H2018" s="179" t="s">
        <v>2238</v>
      </c>
      <c r="I2018" s="8">
        <v>8</v>
      </c>
      <c r="J2018" s="2" t="s">
        <v>1794</v>
      </c>
      <c r="K2018" s="8">
        <f>(F2018*I2018)</f>
        <v>8</v>
      </c>
    </row>
    <row r="2019" spans="1:11" hidden="1">
      <c r="A2019" s="265"/>
      <c r="F2019" s="233" t="s">
        <v>748</v>
      </c>
      <c r="H2019" s="179" t="s">
        <v>2239</v>
      </c>
      <c r="I2019" s="2" t="s">
        <v>748</v>
      </c>
      <c r="J2019" s="4"/>
      <c r="K2019" s="8">
        <v>1.21</v>
      </c>
    </row>
    <row r="2020" spans="1:11" hidden="1">
      <c r="A2020" s="265"/>
      <c r="I2020"/>
      <c r="J2020" s="4"/>
      <c r="K2020" s="5" t="s">
        <v>1615</v>
      </c>
    </row>
    <row r="2021" spans="1:11" hidden="1">
      <c r="A2021" s="265"/>
      <c r="H2021" s="179" t="s">
        <v>401</v>
      </c>
      <c r="I2021"/>
      <c r="J2021" s="4"/>
      <c r="K2021" s="8">
        <f>SUM(K2016:K2019)</f>
        <v>345.21</v>
      </c>
    </row>
    <row r="2022" spans="1:11" hidden="1">
      <c r="A2022" s="265"/>
      <c r="I2022"/>
      <c r="J2022" s="4"/>
      <c r="K2022" s="5" t="s">
        <v>1615</v>
      </c>
    </row>
    <row r="2023" spans="1:11" hidden="1">
      <c r="A2023" s="265"/>
      <c r="I2023"/>
      <c r="J2023" s="4"/>
      <c r="K2023"/>
    </row>
    <row r="2024" spans="1:11" hidden="1">
      <c r="A2024" s="265"/>
      <c r="F2024" s="233" t="s">
        <v>402</v>
      </c>
      <c r="G2024" s="185" t="s">
        <v>2290</v>
      </c>
      <c r="H2024" s="179" t="s">
        <v>1154</v>
      </c>
      <c r="I2024"/>
      <c r="J2024" s="4"/>
      <c r="K2024"/>
    </row>
    <row r="2025" spans="1:11" hidden="1">
      <c r="A2025" s="265"/>
      <c r="H2025" s="179" t="s">
        <v>298</v>
      </c>
      <c r="I2025"/>
      <c r="J2025" s="4"/>
      <c r="K2025"/>
    </row>
    <row r="2026" spans="1:11" hidden="1">
      <c r="A2026" s="265"/>
      <c r="H2026" s="183" t="s">
        <v>1615</v>
      </c>
      <c r="I2026"/>
      <c r="J2026" s="4"/>
      <c r="K2026"/>
    </row>
    <row r="2027" spans="1:11" hidden="1">
      <c r="A2027" s="265"/>
      <c r="F2027" s="186">
        <v>1</v>
      </c>
      <c r="G2027" s="185" t="s">
        <v>884</v>
      </c>
      <c r="H2027" s="179" t="s">
        <v>298</v>
      </c>
      <c r="I2027" s="8">
        <f>(C265)</f>
        <v>115</v>
      </c>
      <c r="J2027" s="2" t="s">
        <v>884</v>
      </c>
      <c r="K2027" s="8">
        <f>(F2027*I2027)</f>
        <v>115</v>
      </c>
    </row>
    <row r="2028" spans="1:11" hidden="1">
      <c r="A2028" s="265"/>
      <c r="F2028" s="186">
        <v>0.05</v>
      </c>
      <c r="G2028" s="185" t="s">
        <v>885</v>
      </c>
      <c r="H2028" s="179" t="s">
        <v>1197</v>
      </c>
      <c r="I2028" s="8" t="e">
        <f>(R60)</f>
        <v>#REF!</v>
      </c>
      <c r="J2028" s="2" t="s">
        <v>885</v>
      </c>
      <c r="K2028" s="8" t="e">
        <f>(F2028*I2028)</f>
        <v>#REF!</v>
      </c>
    </row>
    <row r="2029" spans="1:11" hidden="1">
      <c r="A2029" s="265"/>
      <c r="F2029" s="186">
        <v>0.5</v>
      </c>
      <c r="G2029" s="185" t="s">
        <v>884</v>
      </c>
      <c r="H2029" s="179" t="s">
        <v>2140</v>
      </c>
      <c r="I2029" s="8">
        <f>(C15)</f>
        <v>130</v>
      </c>
      <c r="J2029" s="2" t="s">
        <v>884</v>
      </c>
      <c r="K2029" s="8">
        <f>(F2029*I2029)</f>
        <v>65</v>
      </c>
    </row>
    <row r="2030" spans="1:11" hidden="1">
      <c r="A2030" s="265"/>
      <c r="F2030" s="186">
        <v>1</v>
      </c>
      <c r="G2030" s="185" t="s">
        <v>884</v>
      </c>
      <c r="H2030" s="179" t="s">
        <v>1937</v>
      </c>
      <c r="I2030" s="8">
        <f>(C12)</f>
        <v>95</v>
      </c>
      <c r="J2030" s="2" t="s">
        <v>884</v>
      </c>
      <c r="K2030" s="8">
        <f>(F2030*I2030)</f>
        <v>95</v>
      </c>
    </row>
    <row r="2031" spans="1:11" hidden="1">
      <c r="A2031" s="265"/>
      <c r="F2031" s="186">
        <v>1</v>
      </c>
      <c r="G2031" s="185" t="s">
        <v>884</v>
      </c>
      <c r="H2031" s="179" t="s">
        <v>325</v>
      </c>
      <c r="I2031" s="8">
        <f>(C13)</f>
        <v>85</v>
      </c>
      <c r="J2031" s="2" t="s">
        <v>884</v>
      </c>
      <c r="K2031" s="8">
        <f>(F2031*I2031)</f>
        <v>85</v>
      </c>
    </row>
    <row r="2032" spans="1:11" hidden="1">
      <c r="A2032" s="265"/>
      <c r="G2032" s="185" t="s">
        <v>455</v>
      </c>
      <c r="H2032" s="179" t="s">
        <v>456</v>
      </c>
      <c r="I2032" s="1" t="s">
        <v>992</v>
      </c>
      <c r="J2032" s="2" t="s">
        <v>455</v>
      </c>
      <c r="K2032" s="8">
        <v>0</v>
      </c>
    </row>
    <row r="2033" spans="1:11" hidden="1">
      <c r="A2033" s="265"/>
      <c r="H2033" s="179" t="s">
        <v>992</v>
      </c>
      <c r="I2033"/>
      <c r="J2033" s="4"/>
      <c r="K2033" s="5" t="s">
        <v>1615</v>
      </c>
    </row>
    <row r="2034" spans="1:11" hidden="1">
      <c r="A2034" s="265"/>
      <c r="H2034" s="179" t="s">
        <v>1785</v>
      </c>
      <c r="I2034"/>
      <c r="J2034" s="4"/>
      <c r="K2034" s="8" t="e">
        <f>SUM(K2027:K2032)</f>
        <v>#REF!</v>
      </c>
    </row>
    <row r="2035" spans="1:11" hidden="1">
      <c r="A2035" s="265"/>
      <c r="I2035"/>
      <c r="J2035" s="4"/>
      <c r="K2035" s="5" t="s">
        <v>2091</v>
      </c>
    </row>
    <row r="2036" spans="1:11" hidden="1">
      <c r="A2036" s="265"/>
      <c r="F2036" s="233" t="s">
        <v>1198</v>
      </c>
      <c r="G2036" s="185" t="s">
        <v>2290</v>
      </c>
      <c r="H2036" s="179" t="s">
        <v>2264</v>
      </c>
      <c r="I2036"/>
      <c r="J2036" s="4"/>
      <c r="K2036"/>
    </row>
    <row r="2037" spans="1:11" hidden="1">
      <c r="A2037" s="265"/>
      <c r="H2037" s="179" t="s">
        <v>2417</v>
      </c>
      <c r="I2037"/>
      <c r="J2037" s="4"/>
      <c r="K2037"/>
    </row>
    <row r="2038" spans="1:11" hidden="1">
      <c r="A2038" s="265"/>
      <c r="H2038" s="183" t="s">
        <v>1615</v>
      </c>
      <c r="I2038"/>
      <c r="J2038" s="4"/>
      <c r="K2038"/>
    </row>
    <row r="2039" spans="1:11" hidden="1">
      <c r="A2039" s="265"/>
      <c r="F2039" s="186">
        <v>1</v>
      </c>
      <c r="G2039" s="185" t="s">
        <v>884</v>
      </c>
      <c r="H2039" s="179" t="s">
        <v>2265</v>
      </c>
      <c r="I2039" s="8">
        <f>(D266)</f>
        <v>90</v>
      </c>
      <c r="J2039" s="2" t="s">
        <v>884</v>
      </c>
      <c r="K2039" s="8">
        <f>(F2039*I2039)</f>
        <v>90</v>
      </c>
    </row>
    <row r="2040" spans="1:11" hidden="1">
      <c r="A2040" s="265"/>
      <c r="G2040" s="185" t="s">
        <v>455</v>
      </c>
      <c r="H2040" s="179" t="s">
        <v>1718</v>
      </c>
      <c r="I2040"/>
      <c r="J2040" s="2" t="s">
        <v>455</v>
      </c>
      <c r="K2040" s="8">
        <v>4</v>
      </c>
    </row>
    <row r="2041" spans="1:11" hidden="1">
      <c r="A2041" s="265"/>
      <c r="I2041"/>
      <c r="J2041" s="2" t="s">
        <v>992</v>
      </c>
      <c r="K2041" s="5" t="s">
        <v>1615</v>
      </c>
    </row>
    <row r="2042" spans="1:11" hidden="1">
      <c r="A2042" s="265"/>
      <c r="H2042" s="179" t="s">
        <v>1785</v>
      </c>
      <c r="I2042"/>
      <c r="J2042" s="4"/>
      <c r="K2042" s="8">
        <f>SUM(K2039:K2041)</f>
        <v>94</v>
      </c>
    </row>
    <row r="2043" spans="1:11" hidden="1">
      <c r="A2043" s="265"/>
      <c r="I2043"/>
      <c r="J2043" s="4"/>
      <c r="K2043" s="5" t="s">
        <v>1615</v>
      </c>
    </row>
    <row r="2044" spans="1:11" hidden="1">
      <c r="A2044" s="265"/>
      <c r="F2044" s="233" t="s">
        <v>1719</v>
      </c>
      <c r="G2044" s="185" t="s">
        <v>2290</v>
      </c>
      <c r="H2044" s="179" t="s">
        <v>53</v>
      </c>
      <c r="I2044"/>
      <c r="J2044" s="4"/>
      <c r="K2044"/>
    </row>
    <row r="2045" spans="1:11" hidden="1">
      <c r="A2045" s="265"/>
      <c r="H2045" s="179" t="s">
        <v>54</v>
      </c>
      <c r="I2045"/>
      <c r="J2045" s="4"/>
      <c r="K2045"/>
    </row>
    <row r="2046" spans="1:11" hidden="1">
      <c r="A2046" s="265"/>
      <c r="H2046" s="183" t="s">
        <v>1615</v>
      </c>
      <c r="I2046"/>
      <c r="J2046" s="4"/>
      <c r="K2046"/>
    </row>
    <row r="2047" spans="1:11" hidden="1">
      <c r="A2047" s="265"/>
      <c r="F2047" s="186">
        <v>50</v>
      </c>
      <c r="G2047" s="185" t="s">
        <v>884</v>
      </c>
      <c r="H2047" s="179" t="s">
        <v>806</v>
      </c>
      <c r="I2047" s="8">
        <f>(C203)</f>
        <v>40</v>
      </c>
      <c r="J2047" s="2" t="s">
        <v>884</v>
      </c>
      <c r="K2047" s="8">
        <f t="shared" ref="K2047:K2056" si="72">(F2047*I2047)</f>
        <v>2000</v>
      </c>
    </row>
    <row r="2048" spans="1:11" hidden="1">
      <c r="A2048" s="265"/>
      <c r="F2048" s="186">
        <v>21.6</v>
      </c>
      <c r="G2048" s="185" t="s">
        <v>885</v>
      </c>
      <c r="H2048" s="179" t="s">
        <v>807</v>
      </c>
      <c r="I2048" s="8">
        <f>(C61*2)</f>
        <v>50</v>
      </c>
      <c r="J2048" s="2" t="s">
        <v>885</v>
      </c>
      <c r="K2048" s="8">
        <f t="shared" si="72"/>
        <v>1080</v>
      </c>
    </row>
    <row r="2049" spans="1:11" hidden="1">
      <c r="A2049" s="265"/>
      <c r="F2049" s="186">
        <v>21.6</v>
      </c>
      <c r="G2049" s="185" t="s">
        <v>885</v>
      </c>
      <c r="H2049" s="179" t="s">
        <v>254</v>
      </c>
      <c r="I2049" s="8">
        <f>(C26)</f>
        <v>8.8000000000000007</v>
      </c>
      <c r="J2049" s="2" t="s">
        <v>885</v>
      </c>
      <c r="K2049" s="8">
        <f t="shared" si="72"/>
        <v>190.08</v>
      </c>
    </row>
    <row r="2050" spans="1:11" hidden="1">
      <c r="A2050" s="265"/>
      <c r="F2050" s="186">
        <v>45</v>
      </c>
      <c r="G2050" s="185" t="s">
        <v>1676</v>
      </c>
      <c r="H2050" s="179" t="s">
        <v>878</v>
      </c>
      <c r="I2050" s="8">
        <f>(C67/1000)</f>
        <v>3.8</v>
      </c>
      <c r="J2050" s="2" t="s">
        <v>1676</v>
      </c>
      <c r="K2050" s="8">
        <f t="shared" si="72"/>
        <v>171</v>
      </c>
    </row>
    <row r="2051" spans="1:11" hidden="1">
      <c r="A2051" s="265"/>
      <c r="F2051" s="186">
        <v>0.04</v>
      </c>
      <c r="G2051" s="185" t="s">
        <v>885</v>
      </c>
      <c r="H2051" s="179" t="s">
        <v>886</v>
      </c>
      <c r="I2051" s="8" t="e">
        <f>(C78)</f>
        <v>#REF!</v>
      </c>
      <c r="J2051" s="2" t="s">
        <v>885</v>
      </c>
      <c r="K2051" s="8" t="e">
        <f t="shared" si="72"/>
        <v>#REF!</v>
      </c>
    </row>
    <row r="2052" spans="1:11" hidden="1">
      <c r="A2052" s="265"/>
      <c r="F2052" s="186">
        <v>3.63</v>
      </c>
      <c r="G2052" s="185" t="s">
        <v>1676</v>
      </c>
      <c r="H2052" s="179" t="s">
        <v>808</v>
      </c>
      <c r="I2052" s="8">
        <f>(C585)</f>
        <v>7</v>
      </c>
      <c r="J2052" s="2" t="s">
        <v>1676</v>
      </c>
      <c r="K2052" s="8">
        <f t="shared" si="72"/>
        <v>25.41</v>
      </c>
    </row>
    <row r="2053" spans="1:11" hidden="1">
      <c r="A2053" s="265"/>
      <c r="F2053" s="186">
        <v>2</v>
      </c>
      <c r="G2053" s="185" t="s">
        <v>884</v>
      </c>
      <c r="H2053" s="179" t="s">
        <v>2045</v>
      </c>
      <c r="I2053" s="8">
        <f>(C10)</f>
        <v>150</v>
      </c>
      <c r="J2053" s="2" t="s">
        <v>884</v>
      </c>
      <c r="K2053" s="8">
        <f t="shared" si="72"/>
        <v>300</v>
      </c>
    </row>
    <row r="2054" spans="1:11" hidden="1">
      <c r="A2054" s="265"/>
      <c r="F2054" s="186">
        <v>1</v>
      </c>
      <c r="G2054" s="185" t="s">
        <v>884</v>
      </c>
      <c r="H2054" s="179" t="s">
        <v>809</v>
      </c>
      <c r="I2054" s="8">
        <f>AE37</f>
        <v>120</v>
      </c>
      <c r="J2054" s="2" t="s">
        <v>884</v>
      </c>
      <c r="K2054" s="8">
        <f t="shared" si="72"/>
        <v>120</v>
      </c>
    </row>
    <row r="2055" spans="1:11" hidden="1">
      <c r="A2055" s="265"/>
      <c r="F2055" s="186">
        <v>5</v>
      </c>
      <c r="G2055" s="185" t="s">
        <v>884</v>
      </c>
      <c r="H2055" s="179" t="s">
        <v>1937</v>
      </c>
      <c r="I2055" s="8">
        <f>(C12)</f>
        <v>95</v>
      </c>
      <c r="J2055" s="2" t="s">
        <v>884</v>
      </c>
      <c r="K2055" s="8">
        <f t="shared" si="72"/>
        <v>475</v>
      </c>
    </row>
    <row r="2056" spans="1:11" hidden="1">
      <c r="A2056" s="265"/>
      <c r="F2056" s="186">
        <v>2</v>
      </c>
      <c r="G2056" s="185" t="s">
        <v>884</v>
      </c>
      <c r="H2056" s="179" t="s">
        <v>325</v>
      </c>
      <c r="I2056" s="8">
        <f>(C13)</f>
        <v>85</v>
      </c>
      <c r="J2056" s="2" t="s">
        <v>884</v>
      </c>
      <c r="K2056" s="8">
        <f t="shared" si="72"/>
        <v>170</v>
      </c>
    </row>
    <row r="2057" spans="1:11" hidden="1">
      <c r="A2057" s="265"/>
      <c r="G2057" s="185" t="s">
        <v>455</v>
      </c>
      <c r="H2057" s="179" t="s">
        <v>2174</v>
      </c>
      <c r="I2057"/>
      <c r="J2057" s="2" t="s">
        <v>455</v>
      </c>
      <c r="K2057" s="8">
        <f>SUM(K2053:K2056)/10</f>
        <v>106.5</v>
      </c>
    </row>
    <row r="2058" spans="1:11" hidden="1">
      <c r="A2058" s="265"/>
      <c r="I2058"/>
      <c r="J2058" s="4"/>
      <c r="K2058" s="5" t="s">
        <v>1615</v>
      </c>
    </row>
    <row r="2059" spans="1:11" hidden="1">
      <c r="A2059" s="265"/>
      <c r="H2059" s="179" t="s">
        <v>2175</v>
      </c>
      <c r="I2059"/>
      <c r="J2059" s="4"/>
      <c r="K2059" s="8" t="e">
        <f>SUM(K2047:K2057)</f>
        <v>#REF!</v>
      </c>
    </row>
    <row r="2060" spans="1:11" hidden="1">
      <c r="A2060" s="265"/>
      <c r="I2060"/>
      <c r="J2060" s="4"/>
      <c r="K2060" s="5" t="s">
        <v>1615</v>
      </c>
    </row>
    <row r="2061" spans="1:11" hidden="1">
      <c r="A2061" s="265"/>
      <c r="H2061" s="179" t="s">
        <v>1144</v>
      </c>
      <c r="I2061"/>
      <c r="J2061" s="4"/>
      <c r="K2061" s="8" t="e">
        <f>(K2059/30)</f>
        <v>#REF!</v>
      </c>
    </row>
    <row r="2062" spans="1:11" hidden="1">
      <c r="A2062" s="265"/>
      <c r="I2062"/>
      <c r="J2062" s="4"/>
      <c r="K2062" s="5" t="s">
        <v>2091</v>
      </c>
    </row>
    <row r="2063" spans="1:11" hidden="1">
      <c r="A2063" s="265"/>
      <c r="I2063"/>
      <c r="J2063" s="4"/>
      <c r="K2063"/>
    </row>
    <row r="2064" spans="1:11" hidden="1">
      <c r="A2064" s="265"/>
      <c r="F2064" s="233" t="s">
        <v>1145</v>
      </c>
      <c r="G2064" s="185" t="s">
        <v>2290</v>
      </c>
      <c r="H2064" s="179" t="s">
        <v>1038</v>
      </c>
      <c r="I2064"/>
      <c r="J2064" s="4"/>
      <c r="K2064"/>
    </row>
    <row r="2065" spans="1:11" hidden="1">
      <c r="A2065" s="265"/>
      <c r="H2065" s="179" t="s">
        <v>54</v>
      </c>
      <c r="I2065"/>
      <c r="J2065" s="4"/>
      <c r="K2065"/>
    </row>
    <row r="2066" spans="1:11" hidden="1">
      <c r="A2066" s="265"/>
      <c r="H2066" s="183" t="s">
        <v>1615</v>
      </c>
      <c r="I2066"/>
      <c r="J2066" s="4"/>
      <c r="K2066"/>
    </row>
    <row r="2067" spans="1:11" hidden="1">
      <c r="A2067" s="265"/>
      <c r="F2067" s="186">
        <v>50</v>
      </c>
      <c r="G2067" s="185" t="s">
        <v>884</v>
      </c>
      <c r="H2067" s="179" t="s">
        <v>578</v>
      </c>
      <c r="I2067" s="8">
        <f>C204</f>
        <v>65</v>
      </c>
      <c r="J2067" s="2" t="s">
        <v>884</v>
      </c>
      <c r="K2067" s="8">
        <f t="shared" ref="K2067:K2076" si="73">(F2067*I2067)</f>
        <v>3250</v>
      </c>
    </row>
    <row r="2068" spans="1:11" hidden="1">
      <c r="A2068" s="265"/>
      <c r="F2068" s="186">
        <v>21.6</v>
      </c>
      <c r="G2068" s="185" t="s">
        <v>885</v>
      </c>
      <c r="H2068" s="179" t="s">
        <v>807</v>
      </c>
      <c r="I2068" s="8">
        <f>(C61*2)</f>
        <v>50</v>
      </c>
      <c r="J2068" s="2" t="s">
        <v>885</v>
      </c>
      <c r="K2068" s="8">
        <f t="shared" si="73"/>
        <v>1080</v>
      </c>
    </row>
    <row r="2069" spans="1:11" hidden="1">
      <c r="A2069" s="265"/>
      <c r="F2069" s="186">
        <v>21.6</v>
      </c>
      <c r="G2069" s="185" t="s">
        <v>885</v>
      </c>
      <c r="H2069" s="179" t="s">
        <v>254</v>
      </c>
      <c r="I2069" s="8">
        <f>(C26)</f>
        <v>8.8000000000000007</v>
      </c>
      <c r="J2069" s="2" t="s">
        <v>885</v>
      </c>
      <c r="K2069" s="8">
        <f t="shared" si="73"/>
        <v>190.08</v>
      </c>
    </row>
    <row r="2070" spans="1:11" hidden="1">
      <c r="A2070" s="265"/>
      <c r="F2070" s="186">
        <v>68</v>
      </c>
      <c r="G2070" s="185" t="s">
        <v>1676</v>
      </c>
      <c r="H2070" s="179" t="s">
        <v>878</v>
      </c>
      <c r="I2070" s="8">
        <f>(C67/1000)</f>
        <v>3.8</v>
      </c>
      <c r="J2070" s="2" t="s">
        <v>1676</v>
      </c>
      <c r="K2070" s="8">
        <f t="shared" si="73"/>
        <v>258.39999999999998</v>
      </c>
    </row>
    <row r="2071" spans="1:11" hidden="1">
      <c r="A2071" s="265"/>
      <c r="F2071" s="186">
        <v>7.0000000000000007E-2</v>
      </c>
      <c r="G2071" s="185" t="s">
        <v>885</v>
      </c>
      <c r="H2071" s="179" t="s">
        <v>886</v>
      </c>
      <c r="I2071" s="8" t="e">
        <f>(C78)</f>
        <v>#REF!</v>
      </c>
      <c r="J2071" s="2" t="s">
        <v>885</v>
      </c>
      <c r="K2071" s="8" t="e">
        <f t="shared" si="73"/>
        <v>#REF!</v>
      </c>
    </row>
    <row r="2072" spans="1:11" hidden="1">
      <c r="A2072" s="265"/>
      <c r="F2072" s="186">
        <v>5.45</v>
      </c>
      <c r="G2072" s="185" t="s">
        <v>1676</v>
      </c>
      <c r="H2072" s="179" t="s">
        <v>808</v>
      </c>
      <c r="I2072" s="8">
        <f>(C585)</f>
        <v>7</v>
      </c>
      <c r="J2072" s="2" t="s">
        <v>1676</v>
      </c>
      <c r="K2072" s="8">
        <f t="shared" si="73"/>
        <v>38.15</v>
      </c>
    </row>
    <row r="2073" spans="1:11" hidden="1">
      <c r="A2073" s="265"/>
      <c r="F2073" s="186">
        <v>3</v>
      </c>
      <c r="G2073" s="185" t="s">
        <v>884</v>
      </c>
      <c r="H2073" s="179" t="s">
        <v>2045</v>
      </c>
      <c r="I2073" s="8">
        <f>(C10)</f>
        <v>150</v>
      </c>
      <c r="J2073" s="2" t="s">
        <v>884</v>
      </c>
      <c r="K2073" s="8">
        <f t="shared" si="73"/>
        <v>450</v>
      </c>
    </row>
    <row r="2074" spans="1:11" hidden="1">
      <c r="A2074" s="265"/>
      <c r="F2074" s="186">
        <v>2</v>
      </c>
      <c r="G2074" s="185" t="s">
        <v>884</v>
      </c>
      <c r="H2074" s="179" t="s">
        <v>809</v>
      </c>
      <c r="I2074" s="8">
        <f>AE37</f>
        <v>120</v>
      </c>
      <c r="J2074" s="2" t="s">
        <v>884</v>
      </c>
      <c r="K2074" s="8">
        <f t="shared" si="73"/>
        <v>240</v>
      </c>
    </row>
    <row r="2075" spans="1:11" hidden="1">
      <c r="A2075" s="265"/>
      <c r="F2075" s="186">
        <v>6</v>
      </c>
      <c r="G2075" s="185" t="s">
        <v>884</v>
      </c>
      <c r="H2075" s="179" t="s">
        <v>1937</v>
      </c>
      <c r="I2075" s="8">
        <f>(C12)</f>
        <v>95</v>
      </c>
      <c r="J2075" s="2" t="s">
        <v>884</v>
      </c>
      <c r="K2075" s="8">
        <f t="shared" si="73"/>
        <v>570</v>
      </c>
    </row>
    <row r="2076" spans="1:11" hidden="1">
      <c r="A2076" s="265"/>
      <c r="F2076" s="186">
        <v>3</v>
      </c>
      <c r="G2076" s="185" t="s">
        <v>884</v>
      </c>
      <c r="H2076" s="179" t="s">
        <v>325</v>
      </c>
      <c r="I2076" s="8">
        <f>(C13)</f>
        <v>85</v>
      </c>
      <c r="J2076" s="2" t="s">
        <v>884</v>
      </c>
      <c r="K2076" s="8">
        <f t="shared" si="73"/>
        <v>255</v>
      </c>
    </row>
    <row r="2077" spans="1:11" hidden="1">
      <c r="A2077" s="265"/>
      <c r="G2077" s="185" t="s">
        <v>455</v>
      </c>
      <c r="H2077" s="179" t="s">
        <v>2174</v>
      </c>
      <c r="I2077"/>
      <c r="J2077" s="2" t="s">
        <v>455</v>
      </c>
      <c r="K2077" s="8">
        <f>SUM(K2073:K2076)/10</f>
        <v>151.5</v>
      </c>
    </row>
    <row r="2078" spans="1:11" hidden="1">
      <c r="A2078" s="265"/>
      <c r="I2078"/>
      <c r="J2078" s="4"/>
      <c r="K2078" s="5" t="s">
        <v>1615</v>
      </c>
    </row>
    <row r="2079" spans="1:11" hidden="1">
      <c r="A2079" s="265"/>
      <c r="H2079" s="179" t="s">
        <v>2175</v>
      </c>
      <c r="I2079"/>
      <c r="J2079" s="4"/>
      <c r="K2079" s="8" t="e">
        <f>SUM(K2067:K2077)</f>
        <v>#REF!</v>
      </c>
    </row>
    <row r="2080" spans="1:11" hidden="1">
      <c r="A2080" s="265"/>
      <c r="I2080"/>
      <c r="J2080" s="4"/>
      <c r="K2080" s="5" t="s">
        <v>1615</v>
      </c>
    </row>
    <row r="2081" spans="1:11" hidden="1">
      <c r="A2081" s="265"/>
      <c r="H2081" s="179" t="s">
        <v>1144</v>
      </c>
      <c r="I2081"/>
      <c r="J2081" s="4"/>
      <c r="K2081" s="8" t="e">
        <f>(K2079/30)</f>
        <v>#REF!</v>
      </c>
    </row>
    <row r="2082" spans="1:11" hidden="1">
      <c r="A2082" s="265"/>
      <c r="I2082"/>
      <c r="J2082" s="4"/>
      <c r="K2082" s="5" t="s">
        <v>2091</v>
      </c>
    </row>
    <row r="2083" spans="1:11" hidden="1">
      <c r="A2083" s="265"/>
      <c r="F2083" s="233" t="s">
        <v>579</v>
      </c>
      <c r="G2083" s="185" t="s">
        <v>2290</v>
      </c>
      <c r="H2083" s="179" t="s">
        <v>53</v>
      </c>
      <c r="I2083"/>
      <c r="J2083" s="4"/>
      <c r="K2083"/>
    </row>
    <row r="2084" spans="1:11" hidden="1">
      <c r="A2084" s="265"/>
      <c r="H2084" s="179" t="s">
        <v>221</v>
      </c>
      <c r="I2084"/>
      <c r="J2084" s="4"/>
      <c r="K2084"/>
    </row>
    <row r="2085" spans="1:11" hidden="1">
      <c r="A2085" s="265"/>
      <c r="H2085" s="183" t="s">
        <v>1615</v>
      </c>
      <c r="I2085"/>
      <c r="J2085" s="4"/>
      <c r="K2085"/>
    </row>
    <row r="2086" spans="1:11" hidden="1">
      <c r="A2086" s="265"/>
      <c r="F2086" s="186">
        <v>50</v>
      </c>
      <c r="G2086" s="185" t="s">
        <v>884</v>
      </c>
      <c r="H2086" s="179" t="s">
        <v>222</v>
      </c>
      <c r="I2086" s="8">
        <f>C203</f>
        <v>40</v>
      </c>
      <c r="J2086" s="2" t="s">
        <v>884</v>
      </c>
      <c r="K2086" s="8">
        <f>(F2086*I2086)</f>
        <v>2000</v>
      </c>
    </row>
    <row r="2087" spans="1:11" hidden="1">
      <c r="A2087" s="265"/>
      <c r="F2087" s="186">
        <v>1</v>
      </c>
      <c r="G2087" s="185" t="s">
        <v>884</v>
      </c>
      <c r="H2087" s="179" t="s">
        <v>809</v>
      </c>
      <c r="I2087" s="8">
        <f>AE37</f>
        <v>120</v>
      </c>
      <c r="J2087" s="2" t="s">
        <v>884</v>
      </c>
      <c r="K2087" s="8">
        <f>(F2087*I2087)</f>
        <v>120</v>
      </c>
    </row>
    <row r="2088" spans="1:11" hidden="1">
      <c r="A2088" s="265"/>
      <c r="F2088" s="186">
        <v>5</v>
      </c>
      <c r="G2088" s="185" t="s">
        <v>884</v>
      </c>
      <c r="H2088" s="179" t="s">
        <v>1937</v>
      </c>
      <c r="I2088" s="8">
        <f>C12</f>
        <v>95</v>
      </c>
      <c r="J2088" s="2" t="s">
        <v>884</v>
      </c>
      <c r="K2088" s="8">
        <f>(F2088*I2088)</f>
        <v>475</v>
      </c>
    </row>
    <row r="2089" spans="1:11" hidden="1">
      <c r="A2089" s="265"/>
      <c r="I2089"/>
      <c r="J2089" s="4"/>
      <c r="K2089" s="5" t="s">
        <v>1615</v>
      </c>
    </row>
    <row r="2090" spans="1:11" hidden="1">
      <c r="A2090" s="265"/>
      <c r="H2090" s="179" t="s">
        <v>2175</v>
      </c>
      <c r="I2090"/>
      <c r="J2090" s="4"/>
      <c r="K2090" s="8">
        <f>SUM(K2086:K2088)</f>
        <v>2595</v>
      </c>
    </row>
    <row r="2091" spans="1:11" hidden="1">
      <c r="A2091" s="265"/>
      <c r="F2091" s="179" t="s">
        <v>992</v>
      </c>
      <c r="I2091"/>
      <c r="J2091" s="4"/>
      <c r="K2091" s="5" t="s">
        <v>1615</v>
      </c>
    </row>
    <row r="2092" spans="1:11" hidden="1">
      <c r="A2092" s="265"/>
      <c r="H2092" s="179" t="s">
        <v>1144</v>
      </c>
      <c r="I2092"/>
      <c r="J2092" s="4"/>
      <c r="K2092" s="8">
        <f>(K2090/30)</f>
        <v>86.5</v>
      </c>
    </row>
    <row r="2093" spans="1:11" hidden="1">
      <c r="A2093" s="265"/>
      <c r="F2093" s="179" t="s">
        <v>992</v>
      </c>
      <c r="I2093"/>
      <c r="J2093" s="4"/>
      <c r="K2093"/>
    </row>
    <row r="2094" spans="1:11" hidden="1">
      <c r="A2094" s="265"/>
      <c r="F2094" s="179" t="s">
        <v>992</v>
      </c>
      <c r="I2094"/>
      <c r="J2094" s="4"/>
      <c r="K2094"/>
    </row>
    <row r="2095" spans="1:11" hidden="1">
      <c r="A2095" s="265"/>
      <c r="I2095"/>
      <c r="J2095" s="4"/>
      <c r="K2095" s="5" t="s">
        <v>2091</v>
      </c>
    </row>
    <row r="2096" spans="1:11" hidden="1">
      <c r="A2096" s="265"/>
      <c r="F2096" s="233" t="s">
        <v>1145</v>
      </c>
      <c r="G2096" s="185" t="s">
        <v>2290</v>
      </c>
      <c r="H2096" s="179" t="s">
        <v>1038</v>
      </c>
      <c r="I2096"/>
      <c r="J2096" s="4"/>
      <c r="K2096"/>
    </row>
    <row r="2097" spans="1:11" hidden="1">
      <c r="A2097" s="265"/>
      <c r="H2097" s="186" t="str">
        <f>H2084</f>
        <v>DIA S.W.PIPE(LOOSE JOINTING)</v>
      </c>
      <c r="I2097"/>
      <c r="J2097" s="4"/>
      <c r="K2097"/>
    </row>
    <row r="2098" spans="1:11" hidden="1">
      <c r="A2098" s="265"/>
      <c r="H2098" s="183" t="s">
        <v>1615</v>
      </c>
      <c r="I2098"/>
      <c r="J2098" s="4"/>
      <c r="K2098"/>
    </row>
    <row r="2099" spans="1:11" hidden="1">
      <c r="A2099" s="265"/>
      <c r="F2099" s="186">
        <v>50</v>
      </c>
      <c r="G2099" s="185" t="s">
        <v>884</v>
      </c>
      <c r="H2099" s="179" t="s">
        <v>223</v>
      </c>
      <c r="I2099" s="8">
        <f>C204</f>
        <v>65</v>
      </c>
      <c r="J2099" s="2" t="s">
        <v>884</v>
      </c>
      <c r="K2099" s="8">
        <f>(F2099*I2099)</f>
        <v>3250</v>
      </c>
    </row>
    <row r="2100" spans="1:11" hidden="1">
      <c r="A2100" s="265"/>
      <c r="F2100" s="186">
        <v>2</v>
      </c>
      <c r="G2100" s="185" t="s">
        <v>884</v>
      </c>
      <c r="H2100" s="179" t="s">
        <v>809</v>
      </c>
      <c r="I2100" s="8">
        <f>AE37</f>
        <v>120</v>
      </c>
      <c r="J2100" s="2" t="s">
        <v>884</v>
      </c>
      <c r="K2100" s="8">
        <f>(F2100*I2100)</f>
        <v>240</v>
      </c>
    </row>
    <row r="2101" spans="1:11" hidden="1">
      <c r="A2101" s="265"/>
      <c r="F2101" s="186">
        <v>6</v>
      </c>
      <c r="G2101" s="185" t="s">
        <v>884</v>
      </c>
      <c r="H2101" s="179" t="s">
        <v>1937</v>
      </c>
      <c r="I2101" s="8">
        <f>C12</f>
        <v>95</v>
      </c>
      <c r="J2101" s="2" t="s">
        <v>884</v>
      </c>
      <c r="K2101" s="8">
        <f>(F2101*I2101)</f>
        <v>570</v>
      </c>
    </row>
    <row r="2102" spans="1:11" hidden="1">
      <c r="A2102" s="265"/>
      <c r="I2102"/>
      <c r="J2102" s="4"/>
      <c r="K2102" s="5" t="s">
        <v>1615</v>
      </c>
    </row>
    <row r="2103" spans="1:11" hidden="1">
      <c r="A2103" s="265"/>
      <c r="H2103" s="179" t="s">
        <v>2175</v>
      </c>
      <c r="I2103"/>
      <c r="J2103" s="4"/>
      <c r="K2103" s="8">
        <f>SUM(K2099:K2101)</f>
        <v>4060</v>
      </c>
    </row>
    <row r="2104" spans="1:11" hidden="1">
      <c r="A2104" s="265"/>
      <c r="I2104"/>
      <c r="J2104" s="4"/>
      <c r="K2104" s="5" t="s">
        <v>1615</v>
      </c>
    </row>
    <row r="2105" spans="1:11" hidden="1">
      <c r="A2105" s="265"/>
      <c r="H2105" s="179" t="s">
        <v>1144</v>
      </c>
      <c r="I2105"/>
      <c r="J2105" s="4"/>
      <c r="K2105" s="8">
        <f>(K2103/30)</f>
        <v>135.33000000000001</v>
      </c>
    </row>
    <row r="2106" spans="1:11" hidden="1">
      <c r="A2106" s="265"/>
      <c r="I2106"/>
      <c r="J2106" s="4"/>
      <c r="K2106" s="5" t="s">
        <v>2091</v>
      </c>
    </row>
    <row r="2107" spans="1:11" hidden="1">
      <c r="A2107" s="265"/>
      <c r="H2107" s="233" t="s">
        <v>224</v>
      </c>
      <c r="I2107"/>
      <c r="J2107" s="4"/>
      <c r="K2107" s="8">
        <f>SUM(K2104:K2105)</f>
        <v>135.33000000000001</v>
      </c>
    </row>
    <row r="2108" spans="1:11" hidden="1">
      <c r="A2108" s="265"/>
      <c r="I2108"/>
      <c r="J2108" s="4"/>
      <c r="K2108" s="5" t="s">
        <v>2091</v>
      </c>
    </row>
    <row r="2109" spans="1:11" hidden="1">
      <c r="A2109" s="265"/>
      <c r="F2109" s="233" t="s">
        <v>1903</v>
      </c>
      <c r="G2109" s="185" t="s">
        <v>2290</v>
      </c>
      <c r="H2109" s="179" t="s">
        <v>53</v>
      </c>
      <c r="I2109"/>
      <c r="J2109" s="4"/>
      <c r="K2109"/>
    </row>
    <row r="2110" spans="1:11" hidden="1">
      <c r="A2110" s="265"/>
      <c r="H2110" s="179" t="s">
        <v>58</v>
      </c>
      <c r="I2110"/>
      <c r="J2110" s="4"/>
      <c r="K2110"/>
    </row>
    <row r="2111" spans="1:11" hidden="1">
      <c r="A2111" s="265"/>
      <c r="H2111" s="183" t="s">
        <v>1615</v>
      </c>
      <c r="I2111"/>
      <c r="J2111" s="4"/>
      <c r="K2111"/>
    </row>
    <row r="2112" spans="1:11" hidden="1">
      <c r="A2112" s="265"/>
      <c r="F2112" s="186">
        <v>1</v>
      </c>
      <c r="G2112" s="185" t="s">
        <v>884</v>
      </c>
      <c r="H2112" s="179" t="s">
        <v>1110</v>
      </c>
      <c r="I2112" s="8">
        <f>C205</f>
        <v>65</v>
      </c>
      <c r="J2112" s="2" t="s">
        <v>884</v>
      </c>
      <c r="K2112" s="8">
        <f>(F2112*I2112)</f>
        <v>65</v>
      </c>
    </row>
    <row r="2113" spans="1:11" hidden="1">
      <c r="A2113" s="265"/>
      <c r="F2113" s="179" t="s">
        <v>992</v>
      </c>
      <c r="H2113" s="179" t="s">
        <v>59</v>
      </c>
      <c r="I2113"/>
      <c r="J2113" s="4"/>
      <c r="K2113"/>
    </row>
    <row r="2114" spans="1:11" hidden="1">
      <c r="A2114" s="265"/>
      <c r="F2114" s="179" t="s">
        <v>992</v>
      </c>
      <c r="H2114" s="179" t="s">
        <v>60</v>
      </c>
      <c r="I2114" s="2" t="s">
        <v>455</v>
      </c>
      <c r="J2114" s="4"/>
      <c r="K2114" s="8">
        <v>2.5</v>
      </c>
    </row>
    <row r="2115" spans="1:11" hidden="1">
      <c r="A2115" s="265"/>
      <c r="I2115"/>
      <c r="J2115" s="4"/>
      <c r="K2115" s="5" t="s">
        <v>1615</v>
      </c>
    </row>
    <row r="2116" spans="1:11" hidden="1">
      <c r="A2116" s="265"/>
      <c r="H2116" s="179" t="s">
        <v>2175</v>
      </c>
      <c r="I2116"/>
      <c r="J2116" s="4"/>
      <c r="K2116" s="8">
        <f>SUM(K2112:K2114)</f>
        <v>67.5</v>
      </c>
    </row>
    <row r="2117" spans="1:11" hidden="1">
      <c r="A2117" s="265"/>
      <c r="F2117" s="233" t="s">
        <v>1903</v>
      </c>
      <c r="G2117" s="185" t="s">
        <v>2290</v>
      </c>
      <c r="H2117" s="179" t="s">
        <v>1038</v>
      </c>
      <c r="I2117"/>
      <c r="J2117" s="4"/>
      <c r="K2117" s="5" t="s">
        <v>1615</v>
      </c>
    </row>
    <row r="2118" spans="1:11" hidden="1">
      <c r="A2118" s="265"/>
      <c r="H2118" s="179" t="s">
        <v>58</v>
      </c>
      <c r="I2118"/>
      <c r="J2118" s="4"/>
      <c r="K2118" s="8"/>
    </row>
    <row r="2119" spans="1:11" hidden="1">
      <c r="A2119" s="265"/>
      <c r="H2119" s="183" t="s">
        <v>1615</v>
      </c>
      <c r="I2119"/>
      <c r="J2119" s="4"/>
      <c r="K2119" s="5" t="s">
        <v>1615</v>
      </c>
    </row>
    <row r="2120" spans="1:11" hidden="1">
      <c r="A2120" s="265"/>
      <c r="F2120" s="180">
        <v>1</v>
      </c>
      <c r="G2120" s="178" t="s">
        <v>785</v>
      </c>
      <c r="H2120" s="179" t="s">
        <v>1109</v>
      </c>
      <c r="I2120"/>
      <c r="J2120" s="4" t="s">
        <v>1419</v>
      </c>
      <c r="K2120" s="8">
        <v>92.5</v>
      </c>
    </row>
    <row r="2121" spans="1:11" hidden="1">
      <c r="A2121" s="265"/>
      <c r="I2121"/>
      <c r="J2121" s="4"/>
      <c r="K2121" s="5" t="s">
        <v>1615</v>
      </c>
    </row>
    <row r="2122" spans="1:11" hidden="1">
      <c r="A2122" s="265"/>
      <c r="F2122" s="233" t="s">
        <v>1288</v>
      </c>
      <c r="G2122" s="185" t="s">
        <v>2290</v>
      </c>
      <c r="H2122" s="179" t="s">
        <v>53</v>
      </c>
      <c r="I2122"/>
      <c r="J2122" s="4"/>
      <c r="K2122"/>
    </row>
    <row r="2123" spans="1:11" hidden="1">
      <c r="A2123" s="265"/>
      <c r="H2123" s="179" t="s">
        <v>1295</v>
      </c>
      <c r="I2123"/>
      <c r="J2123" s="4"/>
      <c r="K2123"/>
    </row>
    <row r="2124" spans="1:11" hidden="1">
      <c r="A2124" s="265"/>
      <c r="H2124" s="183" t="s">
        <v>1615</v>
      </c>
      <c r="I2124"/>
      <c r="J2124" s="4"/>
      <c r="K2124"/>
    </row>
    <row r="2125" spans="1:11" hidden="1">
      <c r="A2125" s="265"/>
      <c r="F2125" s="186">
        <v>1</v>
      </c>
      <c r="G2125" s="185" t="s">
        <v>884</v>
      </c>
      <c r="H2125" s="179" t="s">
        <v>1108</v>
      </c>
      <c r="I2125" s="8">
        <f>C202</f>
        <v>75</v>
      </c>
      <c r="J2125" s="2" t="s">
        <v>884</v>
      </c>
      <c r="K2125" s="8">
        <f>(F2125*I2125)</f>
        <v>75</v>
      </c>
    </row>
    <row r="2126" spans="1:11" hidden="1">
      <c r="A2126" s="265"/>
      <c r="F2126" s="179" t="s">
        <v>992</v>
      </c>
      <c r="H2126" s="179" t="s">
        <v>59</v>
      </c>
      <c r="I2126"/>
      <c r="J2126" s="4"/>
      <c r="K2126"/>
    </row>
    <row r="2127" spans="1:11" hidden="1">
      <c r="A2127" s="265"/>
      <c r="F2127" s="179" t="s">
        <v>992</v>
      </c>
      <c r="H2127" s="179" t="s">
        <v>60</v>
      </c>
      <c r="I2127" s="2" t="s">
        <v>455</v>
      </c>
      <c r="J2127" s="4"/>
      <c r="K2127" s="8">
        <v>3</v>
      </c>
    </row>
    <row r="2128" spans="1:11" hidden="1">
      <c r="A2128" s="265"/>
      <c r="I2128"/>
      <c r="J2128" s="4"/>
      <c r="K2128" s="5" t="s">
        <v>1615</v>
      </c>
    </row>
    <row r="2129" spans="1:11" hidden="1">
      <c r="A2129" s="265"/>
      <c r="H2129" s="179" t="s">
        <v>2175</v>
      </c>
      <c r="I2129"/>
      <c r="J2129" s="4"/>
      <c r="K2129" s="8">
        <f>SUM(K2125:K2127)</f>
        <v>78</v>
      </c>
    </row>
    <row r="2130" spans="1:11" hidden="1">
      <c r="A2130" s="265"/>
      <c r="I2130"/>
      <c r="J2130" s="4"/>
      <c r="K2130" s="5" t="s">
        <v>1615</v>
      </c>
    </row>
    <row r="2131" spans="1:11" hidden="1">
      <c r="A2131" s="265"/>
      <c r="I2131"/>
      <c r="J2131" s="4"/>
      <c r="K2131"/>
    </row>
    <row r="2132" spans="1:11" hidden="1">
      <c r="A2132" s="265"/>
      <c r="F2132" s="233" t="s">
        <v>1838</v>
      </c>
      <c r="G2132" s="185" t="s">
        <v>2290</v>
      </c>
      <c r="H2132" s="179" t="s">
        <v>1038</v>
      </c>
      <c r="I2132"/>
      <c r="J2132" s="4"/>
      <c r="K2132"/>
    </row>
    <row r="2133" spans="1:11" hidden="1">
      <c r="A2133" s="265"/>
      <c r="H2133" s="179" t="s">
        <v>1295</v>
      </c>
      <c r="I2133"/>
      <c r="J2133" s="4"/>
      <c r="K2133"/>
    </row>
    <row r="2134" spans="1:11" hidden="1">
      <c r="A2134" s="265"/>
      <c r="H2134" s="183" t="s">
        <v>1615</v>
      </c>
      <c r="I2134"/>
      <c r="J2134" s="4"/>
      <c r="K2134"/>
    </row>
    <row r="2135" spans="1:11" hidden="1">
      <c r="A2135" s="265"/>
      <c r="F2135" s="186">
        <v>1</v>
      </c>
      <c r="G2135" s="185" t="s">
        <v>884</v>
      </c>
      <c r="H2135" s="179" t="s">
        <v>821</v>
      </c>
      <c r="I2135" s="8">
        <f>C207</f>
        <v>100</v>
      </c>
      <c r="J2135" s="2" t="s">
        <v>884</v>
      </c>
      <c r="K2135" s="8">
        <f>(F2135*I2135)</f>
        <v>100</v>
      </c>
    </row>
    <row r="2136" spans="1:11" hidden="1">
      <c r="A2136" s="265"/>
      <c r="F2136" s="179" t="s">
        <v>992</v>
      </c>
      <c r="H2136" s="179" t="s">
        <v>59</v>
      </c>
      <c r="I2136"/>
      <c r="J2136" s="4"/>
      <c r="K2136"/>
    </row>
    <row r="2137" spans="1:11" hidden="1">
      <c r="A2137" s="265"/>
      <c r="F2137" s="179" t="s">
        <v>992</v>
      </c>
      <c r="H2137" s="179" t="s">
        <v>60</v>
      </c>
      <c r="I2137" s="2" t="s">
        <v>455</v>
      </c>
      <c r="J2137" s="4"/>
      <c r="K2137" s="8">
        <v>3</v>
      </c>
    </row>
    <row r="2138" spans="1:11" hidden="1">
      <c r="A2138" s="265"/>
      <c r="I2138"/>
      <c r="J2138" s="4"/>
      <c r="K2138" s="5" t="s">
        <v>1615</v>
      </c>
    </row>
    <row r="2139" spans="1:11" hidden="1">
      <c r="A2139" s="265"/>
      <c r="H2139" s="179" t="s">
        <v>2175</v>
      </c>
      <c r="I2139"/>
      <c r="J2139" s="4"/>
      <c r="K2139" s="8">
        <f>SUM(K2135:K2137)</f>
        <v>103</v>
      </c>
    </row>
    <row r="2140" spans="1:11" hidden="1">
      <c r="A2140" s="265"/>
      <c r="I2140"/>
      <c r="J2140" s="4"/>
      <c r="K2140" s="5" t="s">
        <v>1615</v>
      </c>
    </row>
    <row r="2141" spans="1:11" hidden="1">
      <c r="A2141" s="265"/>
      <c r="F2141" s="233" t="s">
        <v>1568</v>
      </c>
      <c r="H2141" s="179" t="s">
        <v>1569</v>
      </c>
      <c r="I2141"/>
      <c r="J2141" s="4"/>
      <c r="K2141"/>
    </row>
    <row r="2142" spans="1:11" hidden="1">
      <c r="A2142" s="265"/>
      <c r="H2142" s="179" t="s">
        <v>1091</v>
      </c>
      <c r="I2142"/>
      <c r="J2142" s="4"/>
      <c r="K2142"/>
    </row>
    <row r="2143" spans="1:11" hidden="1">
      <c r="A2143" s="265"/>
      <c r="H2143" s="183" t="s">
        <v>1615</v>
      </c>
      <c r="I2143"/>
      <c r="J2143" s="4"/>
      <c r="K2143"/>
    </row>
    <row r="2144" spans="1:11" hidden="1">
      <c r="A2144" s="265"/>
      <c r="F2144" s="186">
        <v>2.5</v>
      </c>
      <c r="G2144" s="185" t="s">
        <v>1092</v>
      </c>
      <c r="H2144" s="179" t="s">
        <v>1569</v>
      </c>
      <c r="I2144" s="8">
        <f>C566</f>
        <v>28.5</v>
      </c>
      <c r="J2144" s="2">
        <v>2.5</v>
      </c>
      <c r="K2144" s="8">
        <f>(F2144*I2144)/F2144</f>
        <v>28.5</v>
      </c>
    </row>
    <row r="2145" spans="1:11" hidden="1">
      <c r="A2145" s="265"/>
      <c r="H2145" s="179" t="s">
        <v>1093</v>
      </c>
      <c r="I2145"/>
      <c r="J2145" s="2" t="s">
        <v>1092</v>
      </c>
      <c r="K2145"/>
    </row>
    <row r="2146" spans="1:11" hidden="1">
      <c r="A2146" s="265"/>
      <c r="G2146" s="185" t="s">
        <v>455</v>
      </c>
      <c r="H2146" s="179" t="s">
        <v>1094</v>
      </c>
      <c r="I2146"/>
      <c r="J2146" s="2" t="s">
        <v>455</v>
      </c>
      <c r="K2146" s="8">
        <v>1.5</v>
      </c>
    </row>
    <row r="2147" spans="1:11" hidden="1">
      <c r="A2147" s="265"/>
      <c r="I2147"/>
      <c r="J2147" s="4"/>
      <c r="K2147" s="5" t="s">
        <v>1615</v>
      </c>
    </row>
    <row r="2148" spans="1:11" hidden="1">
      <c r="A2148" s="265"/>
      <c r="H2148" s="233" t="s">
        <v>224</v>
      </c>
      <c r="I2148"/>
      <c r="J2148" s="4"/>
      <c r="K2148" s="8">
        <f>SUM(K2144:K2146)</f>
        <v>30</v>
      </c>
    </row>
    <row r="2149" spans="1:11" hidden="1">
      <c r="A2149" s="265"/>
      <c r="I2149"/>
      <c r="J2149" s="4"/>
      <c r="K2149" s="5" t="s">
        <v>2091</v>
      </c>
    </row>
    <row r="2150" spans="1:11" hidden="1">
      <c r="A2150" s="265"/>
      <c r="I2150"/>
      <c r="J2150" s="4"/>
      <c r="K2150"/>
    </row>
    <row r="2151" spans="1:11" hidden="1">
      <c r="A2151" s="265"/>
      <c r="F2151" s="233" t="s">
        <v>1095</v>
      </c>
      <c r="G2151" s="185" t="s">
        <v>2290</v>
      </c>
      <c r="H2151" s="179" t="s">
        <v>277</v>
      </c>
      <c r="I2151"/>
      <c r="J2151" s="4"/>
      <c r="K2151"/>
    </row>
    <row r="2152" spans="1:11" hidden="1">
      <c r="A2152" s="265"/>
      <c r="H2152" s="179" t="s">
        <v>64</v>
      </c>
      <c r="I2152"/>
      <c r="J2152" s="4"/>
      <c r="K2152"/>
    </row>
    <row r="2153" spans="1:11" hidden="1">
      <c r="A2153" s="265"/>
      <c r="H2153" s="179" t="s">
        <v>375</v>
      </c>
      <c r="I2153"/>
      <c r="J2153" s="4"/>
      <c r="K2153"/>
    </row>
    <row r="2154" spans="1:11" hidden="1">
      <c r="A2154" s="265"/>
      <c r="H2154" s="179" t="s">
        <v>356</v>
      </c>
      <c r="I2154"/>
      <c r="J2154" s="4"/>
      <c r="K2154"/>
    </row>
    <row r="2155" spans="1:11" hidden="1">
      <c r="A2155" s="265"/>
      <c r="H2155" s="179" t="s">
        <v>437</v>
      </c>
      <c r="I2155"/>
      <c r="J2155" s="4"/>
      <c r="K2155"/>
    </row>
    <row r="2156" spans="1:11" hidden="1">
      <c r="A2156" s="265"/>
      <c r="H2156" s="179" t="s">
        <v>1505</v>
      </c>
      <c r="I2156"/>
      <c r="J2156" s="4"/>
      <c r="K2156"/>
    </row>
    <row r="2157" spans="1:11" hidden="1">
      <c r="A2157" s="265"/>
      <c r="H2157" s="179" t="s">
        <v>1901</v>
      </c>
      <c r="I2157"/>
      <c r="J2157" s="4"/>
      <c r="K2157"/>
    </row>
    <row r="2158" spans="1:11" hidden="1">
      <c r="A2158" s="265"/>
      <c r="H2158" s="179" t="s">
        <v>2242</v>
      </c>
      <c r="I2158"/>
      <c r="J2158" s="4"/>
      <c r="K2158"/>
    </row>
    <row r="2159" spans="1:11" hidden="1">
      <c r="A2159" s="265"/>
      <c r="H2159" s="179" t="s">
        <v>576</v>
      </c>
      <c r="I2159"/>
      <c r="J2159" s="4"/>
      <c r="K2159"/>
    </row>
    <row r="2160" spans="1:11" hidden="1">
      <c r="A2160" s="265"/>
      <c r="H2160" s="179" t="s">
        <v>1299</v>
      </c>
      <c r="I2160"/>
      <c r="J2160" s="4"/>
      <c r="K2160"/>
    </row>
    <row r="2161" spans="1:11" hidden="1">
      <c r="A2161" s="265"/>
      <c r="H2161" s="179" t="s">
        <v>1300</v>
      </c>
      <c r="I2161"/>
      <c r="J2161" s="4"/>
      <c r="K2161"/>
    </row>
    <row r="2162" spans="1:11" hidden="1">
      <c r="A2162" s="265"/>
      <c r="H2162" s="179" t="s">
        <v>1301</v>
      </c>
      <c r="I2162"/>
      <c r="J2162" s="4"/>
      <c r="K2162"/>
    </row>
    <row r="2163" spans="1:11" hidden="1">
      <c r="A2163" s="265"/>
      <c r="H2163" s="183" t="s">
        <v>1615</v>
      </c>
      <c r="I2163" s="5" t="s">
        <v>1615</v>
      </c>
      <c r="J2163" s="4"/>
      <c r="K2163"/>
    </row>
    <row r="2164" spans="1:11" hidden="1">
      <c r="A2164" s="265"/>
      <c r="F2164" s="179" t="s">
        <v>992</v>
      </c>
      <c r="I2164"/>
      <c r="J2164" s="4"/>
      <c r="K2164"/>
    </row>
    <row r="2165" spans="1:11" hidden="1">
      <c r="A2165" s="265"/>
      <c r="F2165" s="253">
        <v>1.7399999999999999E-2</v>
      </c>
      <c r="G2165" s="185" t="s">
        <v>2190</v>
      </c>
      <c r="H2165" s="179" t="s">
        <v>1302</v>
      </c>
      <c r="I2165" s="8">
        <f>C86</f>
        <v>20605</v>
      </c>
      <c r="J2165" s="2" t="s">
        <v>2190</v>
      </c>
      <c r="K2165" s="8">
        <f t="shared" ref="K2165:K2172" si="74">F2165*I2165</f>
        <v>358.53</v>
      </c>
    </row>
    <row r="2166" spans="1:11" hidden="1">
      <c r="A2166" s="265"/>
      <c r="F2166" s="253">
        <v>2.93E-2</v>
      </c>
      <c r="G2166" s="185" t="s">
        <v>2190</v>
      </c>
      <c r="H2166" s="179" t="s">
        <v>1303</v>
      </c>
      <c r="I2166" s="8">
        <f>C87</f>
        <v>23685</v>
      </c>
      <c r="J2166" s="2" t="s">
        <v>2190</v>
      </c>
      <c r="K2166" s="8">
        <f t="shared" si="74"/>
        <v>693.97</v>
      </c>
    </row>
    <row r="2167" spans="1:11" hidden="1">
      <c r="A2167" s="265"/>
      <c r="F2167" s="253">
        <v>1.093</v>
      </c>
      <c r="G2167" s="185" t="s">
        <v>2322</v>
      </c>
      <c r="H2167" s="179" t="s">
        <v>1304</v>
      </c>
      <c r="I2167" s="51">
        <f>C198</f>
        <v>212</v>
      </c>
      <c r="J2167" s="2" t="s">
        <v>2322</v>
      </c>
      <c r="K2167" s="8">
        <f t="shared" si="74"/>
        <v>231.72</v>
      </c>
    </row>
    <row r="2168" spans="1:11" hidden="1">
      <c r="A2168" s="265"/>
      <c r="F2168" s="186">
        <v>6</v>
      </c>
      <c r="G2168" s="185" t="s">
        <v>570</v>
      </c>
      <c r="H2168" s="179" t="s">
        <v>2418</v>
      </c>
      <c r="I2168" s="8">
        <f>C296</f>
        <v>3.25</v>
      </c>
      <c r="J2168" s="2" t="s">
        <v>1423</v>
      </c>
      <c r="K2168" s="8">
        <f t="shared" si="74"/>
        <v>19.5</v>
      </c>
    </row>
    <row r="2169" spans="1:11" hidden="1">
      <c r="A2169" s="265"/>
      <c r="F2169" s="186">
        <v>1</v>
      </c>
      <c r="G2169" s="185" t="s">
        <v>570</v>
      </c>
      <c r="H2169" s="179" t="s">
        <v>2373</v>
      </c>
      <c r="I2169" s="8">
        <f>C286</f>
        <v>80</v>
      </c>
      <c r="J2169" s="2" t="s">
        <v>1423</v>
      </c>
      <c r="K2169" s="8">
        <f t="shared" si="74"/>
        <v>80</v>
      </c>
    </row>
    <row r="2170" spans="1:11" hidden="1">
      <c r="A2170" s="265"/>
      <c r="F2170" s="186">
        <v>2</v>
      </c>
      <c r="G2170" s="185" t="s">
        <v>570</v>
      </c>
      <c r="H2170" s="179" t="s">
        <v>1783</v>
      </c>
      <c r="I2170" s="8">
        <f>C307</f>
        <v>0.9</v>
      </c>
      <c r="J2170" s="2" t="s">
        <v>1423</v>
      </c>
      <c r="K2170" s="8">
        <f t="shared" si="74"/>
        <v>1.8</v>
      </c>
    </row>
    <row r="2171" spans="1:11" hidden="1">
      <c r="A2171" s="265"/>
      <c r="F2171" s="186">
        <v>6</v>
      </c>
      <c r="G2171" s="185" t="s">
        <v>570</v>
      </c>
      <c r="H2171" s="179" t="s">
        <v>141</v>
      </c>
      <c r="I2171" s="8">
        <v>8</v>
      </c>
      <c r="J2171" s="2" t="s">
        <v>1423</v>
      </c>
      <c r="K2171" s="8">
        <f t="shared" si="74"/>
        <v>48</v>
      </c>
    </row>
    <row r="2172" spans="1:11" hidden="1">
      <c r="A2172" s="265"/>
      <c r="F2172" s="242">
        <v>1.62</v>
      </c>
      <c r="G2172" s="185" t="s">
        <v>2322</v>
      </c>
      <c r="H2172" s="179" t="s">
        <v>142</v>
      </c>
      <c r="I2172" s="8">
        <f>D33</f>
        <v>240</v>
      </c>
      <c r="J2172" s="2" t="s">
        <v>2322</v>
      </c>
      <c r="K2172" s="8">
        <f t="shared" si="74"/>
        <v>388.8</v>
      </c>
    </row>
    <row r="2173" spans="1:11" hidden="1">
      <c r="A2173" s="265"/>
      <c r="G2173" s="185" t="s">
        <v>455</v>
      </c>
      <c r="H2173" s="179" t="s">
        <v>515</v>
      </c>
      <c r="I2173"/>
      <c r="J2173" s="2" t="s">
        <v>455</v>
      </c>
      <c r="K2173" s="8">
        <v>0.25</v>
      </c>
    </row>
    <row r="2174" spans="1:11" hidden="1">
      <c r="A2174" s="265"/>
      <c r="I2174"/>
      <c r="J2174" s="4"/>
      <c r="K2174" s="5" t="s">
        <v>1615</v>
      </c>
    </row>
    <row r="2175" spans="1:11" hidden="1">
      <c r="A2175" s="265"/>
      <c r="H2175" s="233" t="s">
        <v>143</v>
      </c>
      <c r="I2175"/>
      <c r="J2175" s="4"/>
      <c r="K2175" s="8">
        <f>SUM(K2165:K2173)</f>
        <v>1822.57</v>
      </c>
    </row>
    <row r="2176" spans="1:11" hidden="1">
      <c r="A2176" s="265"/>
      <c r="I2176"/>
      <c r="J2176" s="4"/>
      <c r="K2176" s="5" t="s">
        <v>1615</v>
      </c>
    </row>
    <row r="2177" spans="1:11" hidden="1">
      <c r="A2177" s="265"/>
      <c r="I2177"/>
      <c r="J2177" s="4"/>
      <c r="K2177"/>
    </row>
    <row r="2178" spans="1:11" hidden="1">
      <c r="A2178" s="265"/>
      <c r="H2178" s="233" t="s">
        <v>144</v>
      </c>
      <c r="I2178" s="1" t="s">
        <v>992</v>
      </c>
      <c r="J2178" s="4"/>
      <c r="K2178" s="8">
        <f>K2175/1.62</f>
        <v>1125.04</v>
      </c>
    </row>
    <row r="2179" spans="1:11" hidden="1">
      <c r="A2179" s="265"/>
      <c r="F2179" s="179" t="s">
        <v>992</v>
      </c>
      <c r="G2179" s="185" t="s">
        <v>992</v>
      </c>
      <c r="H2179" s="179" t="s">
        <v>992</v>
      </c>
      <c r="I2179" s="1" t="s">
        <v>992</v>
      </c>
      <c r="J2179" s="2" t="s">
        <v>992</v>
      </c>
      <c r="K2179"/>
    </row>
    <row r="2180" spans="1:11" hidden="1">
      <c r="A2180" s="265"/>
      <c r="I2180"/>
      <c r="J2180" s="4"/>
      <c r="K2180"/>
    </row>
    <row r="2181" spans="1:11" hidden="1">
      <c r="A2181" s="265"/>
      <c r="G2181" s="185" t="s">
        <v>1567</v>
      </c>
      <c r="H2181" s="179" t="s">
        <v>1418</v>
      </c>
      <c r="I2181"/>
      <c r="J2181" s="4"/>
      <c r="K2181"/>
    </row>
    <row r="2182" spans="1:11" hidden="1">
      <c r="A2182" s="265"/>
      <c r="H2182" s="179" t="s">
        <v>813</v>
      </c>
      <c r="I2182"/>
      <c r="J2182" s="4"/>
      <c r="K2182"/>
    </row>
    <row r="2183" spans="1:11" hidden="1">
      <c r="A2183" s="265"/>
      <c r="F2183" s="179" t="s">
        <v>992</v>
      </c>
      <c r="H2183" s="179" t="s">
        <v>814</v>
      </c>
      <c r="I2183"/>
      <c r="J2183" s="4"/>
      <c r="K2183"/>
    </row>
    <row r="2184" spans="1:11" hidden="1">
      <c r="A2184" s="265"/>
      <c r="F2184" s="233" t="s">
        <v>815</v>
      </c>
      <c r="H2184" s="179" t="s">
        <v>2217</v>
      </c>
      <c r="I2184"/>
      <c r="J2184" s="4"/>
      <c r="K2184" s="8">
        <f>K2860</f>
        <v>1616.59</v>
      </c>
    </row>
    <row r="2185" spans="1:11" hidden="1">
      <c r="A2185" s="265"/>
      <c r="F2185" s="233" t="s">
        <v>816</v>
      </c>
      <c r="H2185" s="233" t="s">
        <v>790</v>
      </c>
      <c r="I2185"/>
      <c r="J2185" s="4"/>
      <c r="K2185" s="8">
        <f>K2884</f>
        <v>1619.69</v>
      </c>
    </row>
    <row r="2186" spans="1:11" hidden="1">
      <c r="A2186" s="265"/>
      <c r="F2186" s="233" t="s">
        <v>817</v>
      </c>
      <c r="H2186" s="179" t="s">
        <v>1292</v>
      </c>
      <c r="I2186"/>
      <c r="J2186" s="4"/>
      <c r="K2186" s="8">
        <f>K2899</f>
        <v>1649.34</v>
      </c>
    </row>
    <row r="2187" spans="1:11" hidden="1">
      <c r="A2187" s="265"/>
      <c r="F2187" s="239">
        <v>65</v>
      </c>
      <c r="H2187" s="179" t="s">
        <v>792</v>
      </c>
      <c r="I2187"/>
      <c r="J2187" s="4"/>
      <c r="K2187" s="8">
        <f>K2921</f>
        <v>1672</v>
      </c>
    </row>
    <row r="2188" spans="1:11" hidden="1">
      <c r="A2188" s="265"/>
      <c r="F2188" s="239">
        <v>66</v>
      </c>
      <c r="H2188" s="179" t="s">
        <v>624</v>
      </c>
      <c r="I2188"/>
      <c r="J2188" s="4"/>
      <c r="K2188" s="8">
        <f>K2945</f>
        <v>3034.39</v>
      </c>
    </row>
    <row r="2189" spans="1:11" hidden="1">
      <c r="A2189" s="265"/>
      <c r="F2189" s="239">
        <v>67</v>
      </c>
      <c r="H2189" s="179" t="s">
        <v>580</v>
      </c>
      <c r="I2189"/>
      <c r="J2189" s="4"/>
      <c r="K2189" s="8">
        <f>K2977</f>
        <v>830.16</v>
      </c>
    </row>
    <row r="2190" spans="1:11" hidden="1">
      <c r="A2190" s="265"/>
      <c r="F2190" s="239">
        <v>68</v>
      </c>
      <c r="H2190" s="179" t="s">
        <v>854</v>
      </c>
      <c r="I2190"/>
      <c r="J2190" s="4"/>
      <c r="K2190" s="8">
        <f>K2965</f>
        <v>1119.9000000000001</v>
      </c>
    </row>
    <row r="2191" spans="1:11" hidden="1">
      <c r="A2191" s="265"/>
      <c r="F2191" s="239">
        <v>69</v>
      </c>
      <c r="H2191" s="179" t="s">
        <v>818</v>
      </c>
      <c r="I2191"/>
      <c r="J2191" s="4"/>
      <c r="K2191" s="8">
        <f>K2988</f>
        <v>134.47</v>
      </c>
    </row>
    <row r="2192" spans="1:11" hidden="1">
      <c r="A2192" s="265"/>
      <c r="F2192" s="239" t="s">
        <v>819</v>
      </c>
      <c r="H2192" s="179" t="s">
        <v>504</v>
      </c>
      <c r="I2192"/>
      <c r="J2192" s="4"/>
      <c r="K2192" s="8">
        <f>K3135</f>
        <v>494.26</v>
      </c>
    </row>
    <row r="2193" spans="1:11" hidden="1">
      <c r="A2193" s="265"/>
      <c r="F2193" s="239" t="s">
        <v>297</v>
      </c>
      <c r="H2193" s="179" t="s">
        <v>2374</v>
      </c>
      <c r="I2193"/>
      <c r="J2193" s="4"/>
      <c r="K2193" s="8"/>
    </row>
    <row r="2194" spans="1:11" hidden="1">
      <c r="A2194" s="265"/>
      <c r="F2194" s="239" t="s">
        <v>1978</v>
      </c>
      <c r="H2194" s="179" t="s">
        <v>1528</v>
      </c>
      <c r="I2194"/>
      <c r="J2194" s="4"/>
      <c r="K2194" s="8">
        <v>10</v>
      </c>
    </row>
    <row r="2195" spans="1:11" hidden="1">
      <c r="A2195" s="265"/>
      <c r="F2195" s="239" t="s">
        <v>1979</v>
      </c>
      <c r="H2195" s="179" t="s">
        <v>592</v>
      </c>
      <c r="I2195"/>
      <c r="J2195" s="4"/>
      <c r="K2195" s="8">
        <v>8</v>
      </c>
    </row>
    <row r="2196" spans="1:11" hidden="1">
      <c r="A2196" s="265"/>
      <c r="F2196" s="239">
        <v>71</v>
      </c>
      <c r="H2196" s="179" t="s">
        <v>1178</v>
      </c>
      <c r="I2196"/>
      <c r="J2196" s="4"/>
      <c r="K2196" s="8">
        <f>K3154</f>
        <v>791.75</v>
      </c>
    </row>
    <row r="2197" spans="1:11" hidden="1">
      <c r="A2197" s="265"/>
      <c r="F2197" s="239">
        <v>72</v>
      </c>
      <c r="H2197" s="179" t="s">
        <v>820</v>
      </c>
      <c r="I2197"/>
      <c r="J2197" s="4"/>
      <c r="K2197" s="8">
        <v>31</v>
      </c>
    </row>
    <row r="2198" spans="1:11" hidden="1">
      <c r="A2198" s="265"/>
      <c r="F2198" s="239" t="s">
        <v>593</v>
      </c>
      <c r="H2198" s="179" t="s">
        <v>279</v>
      </c>
      <c r="I2198"/>
      <c r="J2198" s="4"/>
      <c r="K2198" s="8">
        <f>K3233</f>
        <v>4056</v>
      </c>
    </row>
    <row r="2199" spans="1:11" hidden="1">
      <c r="A2199" s="265"/>
      <c r="F2199" s="239" t="s">
        <v>594</v>
      </c>
      <c r="H2199" s="179" t="s">
        <v>595</v>
      </c>
      <c r="I2199"/>
      <c r="J2199" s="4"/>
      <c r="K2199" s="8">
        <f>K3221</f>
        <v>3319</v>
      </c>
    </row>
    <row r="2200" spans="1:11" hidden="1">
      <c r="A2200" s="265"/>
      <c r="F2200" s="239">
        <v>74</v>
      </c>
      <c r="H2200" s="179" t="s">
        <v>164</v>
      </c>
      <c r="I2200"/>
      <c r="J2200" s="4"/>
      <c r="K2200" s="8">
        <f>K3277</f>
        <v>570.6</v>
      </c>
    </row>
    <row r="2201" spans="1:11" hidden="1">
      <c r="A2201" s="265"/>
      <c r="F2201" s="239" t="s">
        <v>644</v>
      </c>
      <c r="H2201" s="179" t="s">
        <v>1406</v>
      </c>
      <c r="I2201"/>
      <c r="J2201" s="4"/>
      <c r="K2201" s="8">
        <f>K3767</f>
        <v>185.9</v>
      </c>
    </row>
    <row r="2202" spans="1:11" hidden="1">
      <c r="A2202" s="265"/>
      <c r="F2202" s="239" t="s">
        <v>645</v>
      </c>
      <c r="H2202" s="179" t="s">
        <v>133</v>
      </c>
      <c r="I2202"/>
      <c r="J2202" s="4"/>
      <c r="K2202" s="8">
        <v>0</v>
      </c>
    </row>
    <row r="2203" spans="1:11" hidden="1">
      <c r="A2203" s="265"/>
      <c r="F2203" s="239">
        <v>112</v>
      </c>
      <c r="H2203" s="179" t="s">
        <v>761</v>
      </c>
      <c r="I2203"/>
      <c r="J2203" s="4"/>
      <c r="K2203" s="8">
        <f>K3744</f>
        <v>1885.46</v>
      </c>
    </row>
    <row r="2204" spans="1:11" hidden="1">
      <c r="A2204" s="265"/>
      <c r="F2204" s="239">
        <v>76</v>
      </c>
      <c r="H2204" s="179" t="s">
        <v>1967</v>
      </c>
      <c r="I2204"/>
      <c r="J2204" s="4"/>
      <c r="K2204" s="8">
        <f>K3294</f>
        <v>24.09</v>
      </c>
    </row>
    <row r="2205" spans="1:11" hidden="1">
      <c r="A2205" s="265"/>
      <c r="F2205" s="239">
        <v>77</v>
      </c>
      <c r="H2205" s="179" t="s">
        <v>2307</v>
      </c>
      <c r="I2205"/>
      <c r="J2205" s="4"/>
      <c r="K2205" s="8">
        <f>K3080</f>
        <v>207.31</v>
      </c>
    </row>
    <row r="2206" spans="1:11" ht="31.5" hidden="1">
      <c r="A2206" s="265"/>
      <c r="F2206" s="277">
        <v>77.099999999999994</v>
      </c>
      <c r="H2206" s="247" t="s">
        <v>1841</v>
      </c>
      <c r="I2206"/>
      <c r="J2206" s="4"/>
      <c r="K2206" s="278">
        <f>K3105</f>
        <v>242.71</v>
      </c>
    </row>
    <row r="2207" spans="1:11" hidden="1">
      <c r="A2207" s="265"/>
      <c r="F2207" s="243">
        <v>77.2</v>
      </c>
      <c r="H2207" s="179" t="s">
        <v>1842</v>
      </c>
      <c r="I2207"/>
      <c r="J2207" s="4"/>
      <c r="K2207" s="8">
        <v>500</v>
      </c>
    </row>
    <row r="2208" spans="1:11" hidden="1">
      <c r="A2208" s="265"/>
      <c r="F2208" s="243">
        <v>77.3</v>
      </c>
      <c r="H2208" s="179" t="s">
        <v>1527</v>
      </c>
      <c r="I2208"/>
      <c r="J2208" s="4"/>
      <c r="K2208" s="8">
        <f>K3712</f>
        <v>674.69</v>
      </c>
    </row>
    <row r="2209" spans="1:11" hidden="1">
      <c r="A2209" s="265"/>
      <c r="F2209" s="239">
        <v>78</v>
      </c>
      <c r="H2209" s="179" t="s">
        <v>81</v>
      </c>
      <c r="I2209"/>
      <c r="J2209" s="4"/>
      <c r="K2209" s="8">
        <f>K3319</f>
        <v>2554.25</v>
      </c>
    </row>
    <row r="2210" spans="1:11" hidden="1">
      <c r="A2210" s="265"/>
      <c r="F2210" s="239">
        <v>80</v>
      </c>
      <c r="H2210" s="179" t="s">
        <v>2153</v>
      </c>
      <c r="I2210"/>
      <c r="J2210" s="4"/>
      <c r="K2210" s="8">
        <f>K3441</f>
        <v>820.75</v>
      </c>
    </row>
    <row r="2211" spans="1:11" hidden="1">
      <c r="A2211" s="265"/>
      <c r="F2211" s="239">
        <v>81</v>
      </c>
      <c r="H2211" s="179" t="s">
        <v>93</v>
      </c>
      <c r="I2211"/>
      <c r="J2211" s="4"/>
      <c r="K2211" s="8">
        <f>K2178</f>
        <v>1125.04</v>
      </c>
    </row>
    <row r="2212" spans="1:11" hidden="1">
      <c r="A2212" s="265"/>
      <c r="F2212" s="239">
        <v>82</v>
      </c>
      <c r="H2212" s="179" t="s">
        <v>1577</v>
      </c>
      <c r="I2212"/>
      <c r="J2212" s="4"/>
      <c r="K2212" s="8">
        <f>K3638</f>
        <v>4367.9399999999996</v>
      </c>
    </row>
    <row r="2213" spans="1:11" hidden="1">
      <c r="A2213" s="265"/>
      <c r="F2213" s="239">
        <v>87</v>
      </c>
      <c r="H2213" s="179" t="s">
        <v>1796</v>
      </c>
      <c r="I2213"/>
      <c r="J2213" s="4"/>
      <c r="K2213" s="8">
        <f>K3458</f>
        <v>633.54999999999995</v>
      </c>
    </row>
    <row r="2214" spans="1:11" hidden="1">
      <c r="A2214" s="265"/>
      <c r="I2214"/>
      <c r="J2214" s="4"/>
      <c r="K2214"/>
    </row>
    <row r="2215" spans="1:11" hidden="1">
      <c r="A2215" s="265"/>
      <c r="I2215"/>
      <c r="J2215" s="4"/>
      <c r="K2215"/>
    </row>
    <row r="2216" spans="1:11" ht="31.5" hidden="1">
      <c r="A2216" s="265"/>
      <c r="F2216" s="279">
        <v>77.400000000000006</v>
      </c>
      <c r="H2216" s="250" t="s">
        <v>1754</v>
      </c>
      <c r="I2216"/>
      <c r="J2216" s="4"/>
      <c r="K2216"/>
    </row>
    <row r="2217" spans="1:11" hidden="1">
      <c r="A2217" s="265"/>
      <c r="H2217" s="179" t="s">
        <v>813</v>
      </c>
      <c r="I2217"/>
      <c r="J2217" s="4"/>
      <c r="K2217"/>
    </row>
    <row r="2218" spans="1:11" ht="31.5" hidden="1">
      <c r="A2218" s="265"/>
      <c r="F2218" s="180">
        <v>90</v>
      </c>
      <c r="G2218" s="178" t="s">
        <v>377</v>
      </c>
      <c r="H2218" s="273" t="s">
        <v>2253</v>
      </c>
      <c r="I2218">
        <v>16.95</v>
      </c>
      <c r="J2218" s="4" t="s">
        <v>377</v>
      </c>
      <c r="K2218">
        <f>I2218*F2218</f>
        <v>1525.5</v>
      </c>
    </row>
    <row r="2219" spans="1:11" hidden="1">
      <c r="A2219" s="265"/>
      <c r="F2219" s="180">
        <v>0.15</v>
      </c>
      <c r="G2219" s="178" t="s">
        <v>535</v>
      </c>
      <c r="H2219" s="180" t="s">
        <v>878</v>
      </c>
      <c r="I2219">
        <f>AC31</f>
        <v>3800</v>
      </c>
      <c r="J2219" s="4" t="s">
        <v>535</v>
      </c>
      <c r="K2219">
        <f>I2219*F2219</f>
        <v>570</v>
      </c>
    </row>
    <row r="2220" spans="1:11" hidden="1">
      <c r="A2220" s="265"/>
      <c r="F2220" s="180">
        <v>1</v>
      </c>
      <c r="G2220" s="178" t="s">
        <v>785</v>
      </c>
      <c r="H2220" s="180" t="s">
        <v>376</v>
      </c>
      <c r="I2220">
        <f>C780</f>
        <v>160</v>
      </c>
      <c r="J2220" s="4" t="s">
        <v>785</v>
      </c>
      <c r="K2220">
        <f>I2220*F2220</f>
        <v>160</v>
      </c>
    </row>
    <row r="2221" spans="1:11" hidden="1">
      <c r="A2221" s="265"/>
      <c r="F2221" s="180">
        <v>2</v>
      </c>
      <c r="G2221" s="178" t="s">
        <v>785</v>
      </c>
      <c r="H2221" s="180" t="s">
        <v>1744</v>
      </c>
      <c r="I2221">
        <f>AE10</f>
        <v>135</v>
      </c>
      <c r="J2221" s="4" t="s">
        <v>785</v>
      </c>
      <c r="K2221">
        <f>I2221*F2221</f>
        <v>270</v>
      </c>
    </row>
    <row r="2222" spans="1:11" hidden="1">
      <c r="A2222" s="265"/>
      <c r="F2222" s="180">
        <v>4</v>
      </c>
      <c r="G2222" s="178" t="s">
        <v>785</v>
      </c>
      <c r="H2222" s="180" t="s">
        <v>1309</v>
      </c>
      <c r="I2222">
        <f>C781</f>
        <v>110</v>
      </c>
      <c r="J2222" s="4" t="s">
        <v>785</v>
      </c>
      <c r="K2222">
        <f>I2222*F2222</f>
        <v>440</v>
      </c>
    </row>
    <row r="2223" spans="1:11" hidden="1">
      <c r="A2223" s="265"/>
      <c r="H2223" s="180" t="s">
        <v>378</v>
      </c>
      <c r="I2223"/>
      <c r="J2223" s="4"/>
      <c r="K2223">
        <v>8.5</v>
      </c>
    </row>
    <row r="2224" spans="1:11" hidden="1">
      <c r="A2224" s="265"/>
      <c r="I2224"/>
      <c r="J2224" s="4"/>
      <c r="K2224" s="5" t="s">
        <v>1615</v>
      </c>
    </row>
    <row r="2225" spans="1:11" hidden="1">
      <c r="A2225" s="265"/>
      <c r="H2225" s="179" t="s">
        <v>2306</v>
      </c>
      <c r="I2225"/>
      <c r="J2225" s="4"/>
      <c r="K2225" s="8">
        <f>SUM(K2218:K2223)</f>
        <v>2974</v>
      </c>
    </row>
    <row r="2226" spans="1:11" hidden="1">
      <c r="A2226" s="265"/>
      <c r="I2226"/>
      <c r="J2226" s="4"/>
      <c r="K2226" s="5" t="s">
        <v>1615</v>
      </c>
    </row>
    <row r="2227" spans="1:11" hidden="1">
      <c r="A2227" s="265"/>
      <c r="H2227" s="179" t="s">
        <v>1144</v>
      </c>
      <c r="I2227"/>
      <c r="J2227" s="4"/>
      <c r="K2227" s="8">
        <f>(K2225/90)</f>
        <v>33.04</v>
      </c>
    </row>
    <row r="2228" spans="1:11" hidden="1">
      <c r="A2228" s="265"/>
      <c r="I2228"/>
      <c r="J2228" s="4"/>
      <c r="K2228" s="5" t="s">
        <v>2091</v>
      </c>
    </row>
    <row r="2229" spans="1:11" hidden="1">
      <c r="A2229" s="265"/>
      <c r="I2229"/>
      <c r="J2229" s="4"/>
      <c r="K2229"/>
    </row>
    <row r="2230" spans="1:11" hidden="1">
      <c r="A2230" s="265"/>
      <c r="F2230" s="254">
        <v>78.099999999999994</v>
      </c>
      <c r="H2230" s="179" t="s">
        <v>1589</v>
      </c>
      <c r="I2230"/>
      <c r="J2230" s="4"/>
      <c r="K2230"/>
    </row>
    <row r="2231" spans="1:11" hidden="1">
      <c r="A2231" s="265"/>
      <c r="H2231" s="179" t="s">
        <v>813</v>
      </c>
      <c r="I2231"/>
      <c r="J2231" s="4"/>
      <c r="K2231"/>
    </row>
    <row r="2232" spans="1:11" hidden="1">
      <c r="A2232" s="265"/>
      <c r="F2232" s="180">
        <v>2.5</v>
      </c>
      <c r="G2232" s="178" t="s">
        <v>785</v>
      </c>
      <c r="H2232" s="180" t="s">
        <v>1590</v>
      </c>
      <c r="I2232">
        <v>120</v>
      </c>
      <c r="J2232" s="4" t="s">
        <v>785</v>
      </c>
      <c r="K2232">
        <f t="shared" ref="K2232:K2237" si="75">I2232*F2232</f>
        <v>300</v>
      </c>
    </row>
    <row r="2233" spans="1:11" hidden="1">
      <c r="A2233" s="265"/>
      <c r="F2233" s="180">
        <v>20</v>
      </c>
      <c r="G2233" s="178" t="s">
        <v>364</v>
      </c>
      <c r="H2233" s="180" t="s">
        <v>1591</v>
      </c>
      <c r="I2233">
        <v>4</v>
      </c>
      <c r="J2233" s="4" t="s">
        <v>364</v>
      </c>
      <c r="K2233">
        <f t="shared" si="75"/>
        <v>80</v>
      </c>
    </row>
    <row r="2234" spans="1:11" hidden="1">
      <c r="A2234" s="265"/>
      <c r="F2234" s="180">
        <v>9</v>
      </c>
      <c r="G2234" s="178" t="s">
        <v>364</v>
      </c>
      <c r="H2234" s="180" t="s">
        <v>1592</v>
      </c>
      <c r="I2234">
        <v>4</v>
      </c>
      <c r="J2234" s="4" t="s">
        <v>364</v>
      </c>
      <c r="K2234">
        <f t="shared" si="75"/>
        <v>36</v>
      </c>
    </row>
    <row r="2235" spans="1:11" hidden="1">
      <c r="A2235" s="265"/>
      <c r="F2235" s="180">
        <v>0.5</v>
      </c>
      <c r="G2235" s="178" t="s">
        <v>364</v>
      </c>
      <c r="H2235" s="180" t="s">
        <v>1307</v>
      </c>
      <c r="I2235">
        <v>30</v>
      </c>
      <c r="J2235" s="4" t="s">
        <v>364</v>
      </c>
      <c r="K2235">
        <f t="shared" si="75"/>
        <v>15</v>
      </c>
    </row>
    <row r="2236" spans="1:11" hidden="1">
      <c r="A2236" s="265"/>
      <c r="F2236" s="180">
        <v>0.5</v>
      </c>
      <c r="G2236" s="178" t="s">
        <v>785</v>
      </c>
      <c r="H2236" s="180" t="s">
        <v>1308</v>
      </c>
      <c r="I2236">
        <f>C780</f>
        <v>160</v>
      </c>
      <c r="J2236" s="4" t="s">
        <v>785</v>
      </c>
      <c r="K2236">
        <f t="shared" si="75"/>
        <v>80</v>
      </c>
    </row>
    <row r="2237" spans="1:11" hidden="1">
      <c r="A2237" s="265"/>
      <c r="F2237" s="180">
        <v>1</v>
      </c>
      <c r="G2237" s="178" t="s">
        <v>785</v>
      </c>
      <c r="H2237" s="180" t="s">
        <v>1309</v>
      </c>
      <c r="I2237">
        <f>C781</f>
        <v>110</v>
      </c>
      <c r="J2237" s="4" t="s">
        <v>785</v>
      </c>
      <c r="K2237">
        <f t="shared" si="75"/>
        <v>110</v>
      </c>
    </row>
    <row r="2238" spans="1:11" ht="31.5" hidden="1">
      <c r="A2238" s="265"/>
      <c r="G2238" s="178" t="s">
        <v>669</v>
      </c>
      <c r="H2238" s="273" t="s">
        <v>1310</v>
      </c>
      <c r="I2238"/>
      <c r="J2238" s="4" t="s">
        <v>669</v>
      </c>
      <c r="K2238">
        <v>165</v>
      </c>
    </row>
    <row r="2239" spans="1:11" hidden="1">
      <c r="A2239" s="265"/>
      <c r="G2239" s="178" t="s">
        <v>669</v>
      </c>
      <c r="H2239" s="180" t="s">
        <v>1234</v>
      </c>
      <c r="I2239"/>
      <c r="J2239" s="4" t="s">
        <v>669</v>
      </c>
      <c r="K2239">
        <v>9.5</v>
      </c>
    </row>
    <row r="2240" spans="1:11" hidden="1">
      <c r="A2240" s="265"/>
      <c r="I2240"/>
      <c r="J2240" s="4"/>
      <c r="K2240" s="5" t="s">
        <v>1615</v>
      </c>
    </row>
    <row r="2241" spans="1:11" hidden="1">
      <c r="A2241" s="265"/>
      <c r="H2241" s="180" t="s">
        <v>287</v>
      </c>
      <c r="I2241"/>
      <c r="J2241" s="4"/>
      <c r="K2241" s="8">
        <f>SUM(K2232:K2239)</f>
        <v>795.5</v>
      </c>
    </row>
    <row r="2242" spans="1:11" hidden="1">
      <c r="A2242" s="265"/>
      <c r="I2242"/>
      <c r="J2242" s="4"/>
      <c r="K2242" s="5" t="s">
        <v>1615</v>
      </c>
    </row>
    <row r="2243" spans="1:11" hidden="1">
      <c r="A2243" s="265"/>
    </row>
    <row r="2244" spans="1:11" ht="21.75" hidden="1">
      <c r="A2244" s="265"/>
      <c r="E2244" s="280"/>
      <c r="F2244" s="280"/>
      <c r="G2244" s="281"/>
      <c r="H2244" s="282" t="s">
        <v>2961</v>
      </c>
      <c r="I2244" s="280"/>
      <c r="J2244" s="283"/>
      <c r="K2244" s="284"/>
    </row>
    <row r="2245" spans="1:11" ht="17.25" hidden="1">
      <c r="A2245" s="265"/>
      <c r="E2245" s="280"/>
      <c r="F2245" s="281"/>
      <c r="G2245" s="280"/>
      <c r="H2245" s="280"/>
      <c r="I2245" s="283"/>
      <c r="J2245" s="280"/>
      <c r="K2245" s="280"/>
    </row>
    <row r="2246" spans="1:11" ht="17.25" hidden="1">
      <c r="A2246" s="265"/>
      <c r="E2246" s="280"/>
      <c r="F2246" s="281">
        <v>53.3</v>
      </c>
      <c r="G2246" s="280"/>
      <c r="H2246" s="280" t="s">
        <v>2962</v>
      </c>
      <c r="I2246" s="283"/>
      <c r="J2246" s="280"/>
      <c r="K2246" s="280">
        <v>957</v>
      </c>
    </row>
    <row r="2247" spans="1:11" ht="17.25" hidden="1">
      <c r="A2247" s="265"/>
      <c r="E2247" s="280"/>
      <c r="F2247" s="281"/>
      <c r="G2247" s="280"/>
      <c r="H2247" s="280"/>
      <c r="I2247" s="283"/>
      <c r="J2247" s="280"/>
      <c r="K2247" s="280"/>
    </row>
    <row r="2248" spans="1:11" ht="34.5" hidden="1">
      <c r="A2248" s="265"/>
      <c r="E2248" s="280"/>
      <c r="F2248" s="285" t="s">
        <v>2963</v>
      </c>
      <c r="G2248" s="280"/>
      <c r="H2248" s="286" t="s">
        <v>2035</v>
      </c>
      <c r="I2248" s="283"/>
      <c r="J2248" s="280"/>
      <c r="K2248" s="280"/>
    </row>
    <row r="2249" spans="1:11" ht="17.25" hidden="1">
      <c r="A2249" s="265"/>
      <c r="E2249" s="280"/>
      <c r="F2249" s="281"/>
      <c r="G2249" s="280"/>
      <c r="H2249" s="287" t="s">
        <v>1615</v>
      </c>
      <c r="I2249" s="287" t="s">
        <v>1615</v>
      </c>
      <c r="J2249" s="287" t="s">
        <v>1615</v>
      </c>
      <c r="K2249" s="280"/>
    </row>
    <row r="2250" spans="1:11" ht="17.25" hidden="1">
      <c r="A2250" s="265"/>
      <c r="E2250" s="280"/>
      <c r="F2250" s="281"/>
      <c r="G2250" s="280"/>
      <c r="H2250" s="280"/>
      <c r="I2250" s="283"/>
      <c r="J2250" s="280"/>
      <c r="K2250" s="280"/>
    </row>
    <row r="2251" spans="1:11" ht="17.25" hidden="1">
      <c r="A2251" s="265"/>
      <c r="E2251" s="280"/>
      <c r="F2251" s="281"/>
      <c r="G2251" s="280"/>
      <c r="H2251" s="280" t="s">
        <v>2036</v>
      </c>
      <c r="I2251" s="283"/>
      <c r="J2251" s="280"/>
      <c r="K2251" s="280"/>
    </row>
    <row r="2252" spans="1:11" ht="17.25" hidden="1">
      <c r="A2252" s="265"/>
      <c r="E2252" s="280"/>
      <c r="F2252" s="281"/>
      <c r="G2252" s="280"/>
      <c r="H2252" s="280" t="s">
        <v>2037</v>
      </c>
      <c r="I2252" s="283"/>
      <c r="J2252" s="280"/>
      <c r="K2252" s="280"/>
    </row>
    <row r="2253" spans="1:11" ht="17.25" hidden="1">
      <c r="A2253" s="265"/>
      <c r="E2253" s="280"/>
      <c r="F2253" s="281"/>
      <c r="G2253" s="280"/>
      <c r="H2253" s="280" t="s">
        <v>460</v>
      </c>
      <c r="I2253" s="283"/>
      <c r="J2253" s="280"/>
      <c r="K2253" s="280"/>
    </row>
    <row r="2254" spans="1:11" ht="17.25" hidden="1">
      <c r="A2254" s="265"/>
      <c r="E2254" s="280"/>
      <c r="F2254" s="281"/>
      <c r="G2254" s="280"/>
      <c r="H2254" s="280" t="s">
        <v>461</v>
      </c>
      <c r="I2254" s="283"/>
      <c r="J2254" s="280"/>
      <c r="K2254" s="280"/>
    </row>
    <row r="2255" spans="1:11" ht="17.25" hidden="1">
      <c r="A2255" s="265"/>
      <c r="E2255" s="280"/>
      <c r="F2255" s="281"/>
      <c r="G2255" s="280"/>
      <c r="H2255" s="280" t="s">
        <v>462</v>
      </c>
      <c r="I2255" s="283"/>
      <c r="J2255" s="280"/>
      <c r="K2255" s="280"/>
    </row>
    <row r="2256" spans="1:11" ht="17.25" hidden="1">
      <c r="A2256" s="265"/>
      <c r="E2256" s="280"/>
      <c r="F2256" s="281"/>
      <c r="G2256" s="280"/>
      <c r="H2256" s="280" t="s">
        <v>2964</v>
      </c>
      <c r="I2256" s="283"/>
      <c r="J2256" s="280" t="s">
        <v>992</v>
      </c>
      <c r="K2256" s="280">
        <v>3.32E-2</v>
      </c>
    </row>
    <row r="2257" spans="1:11" ht="17.25" hidden="1">
      <c r="A2257" s="265"/>
      <c r="E2257" s="280"/>
      <c r="F2257" s="281"/>
      <c r="G2257" s="280"/>
      <c r="H2257" s="280" t="s">
        <v>2965</v>
      </c>
      <c r="I2257" s="283"/>
      <c r="J2257" s="280" t="s">
        <v>992</v>
      </c>
      <c r="K2257" s="280" t="s">
        <v>992</v>
      </c>
    </row>
    <row r="2258" spans="1:11" ht="17.25" hidden="1">
      <c r="A2258" s="265"/>
      <c r="E2258" s="280"/>
      <c r="F2258" s="281"/>
      <c r="G2258" s="280"/>
      <c r="H2258" s="280" t="s">
        <v>1864</v>
      </c>
      <c r="I2258" s="283"/>
      <c r="J2258" s="280"/>
      <c r="K2258" s="280" t="s">
        <v>992</v>
      </c>
    </row>
    <row r="2259" spans="1:11" ht="17.25" hidden="1">
      <c r="A2259" s="265"/>
      <c r="E2259" s="280"/>
      <c r="F2259" s="281"/>
      <c r="G2259" s="280"/>
      <c r="H2259" s="280"/>
      <c r="I2259" s="283"/>
      <c r="J2259" s="280"/>
      <c r="K2259" s="280"/>
    </row>
    <row r="2260" spans="1:11" ht="17.25" hidden="1">
      <c r="A2260" s="265"/>
      <c r="E2260" s="280"/>
      <c r="F2260" s="288">
        <v>1.18E-2</v>
      </c>
      <c r="G2260" s="280" t="s">
        <v>885</v>
      </c>
      <c r="H2260" s="280" t="s">
        <v>705</v>
      </c>
      <c r="I2260" s="283">
        <f>I1083</f>
        <v>65420</v>
      </c>
      <c r="J2260" s="280" t="s">
        <v>885</v>
      </c>
      <c r="K2260" s="280">
        <f t="shared" ref="K2260:K2269" si="76">I2260*F2260</f>
        <v>771.96</v>
      </c>
    </row>
    <row r="2261" spans="1:11" ht="17.25" hidden="1">
      <c r="A2261" s="265"/>
      <c r="E2261" s="280"/>
      <c r="F2261" s="288">
        <v>3.7699999999999997E-2</v>
      </c>
      <c r="G2261" s="280" t="s">
        <v>885</v>
      </c>
      <c r="H2261" s="280" t="s">
        <v>706</v>
      </c>
      <c r="I2261" s="283">
        <f>I1084</f>
        <v>57165</v>
      </c>
      <c r="J2261" s="280" t="s">
        <v>885</v>
      </c>
      <c r="K2261" s="280">
        <f t="shared" si="76"/>
        <v>2155.12</v>
      </c>
    </row>
    <row r="2262" spans="1:11" ht="17.25" hidden="1">
      <c r="A2262" s="265"/>
      <c r="E2262" s="280"/>
      <c r="F2262" s="288">
        <v>1.8550000000000001E-2</v>
      </c>
      <c r="G2262" s="280" t="s">
        <v>885</v>
      </c>
      <c r="H2262" s="280" t="s">
        <v>902</v>
      </c>
      <c r="I2262" s="283">
        <f>I1085</f>
        <v>3035</v>
      </c>
      <c r="J2262" s="280" t="s">
        <v>885</v>
      </c>
      <c r="K2262" s="280">
        <f t="shared" si="76"/>
        <v>56.3</v>
      </c>
    </row>
    <row r="2263" spans="1:11" ht="17.25" hidden="1">
      <c r="A2263" s="265"/>
      <c r="E2263" s="280"/>
      <c r="F2263" s="288">
        <v>1.36</v>
      </c>
      <c r="G2263" s="280" t="s">
        <v>621</v>
      </c>
      <c r="H2263" s="280" t="s">
        <v>903</v>
      </c>
      <c r="I2263" s="283">
        <v>385.89</v>
      </c>
      <c r="J2263" s="280" t="s">
        <v>621</v>
      </c>
      <c r="K2263" s="280">
        <f t="shared" si="76"/>
        <v>524.80999999999995</v>
      </c>
    </row>
    <row r="2264" spans="1:11" ht="17.25" hidden="1">
      <c r="A2264" s="265"/>
      <c r="E2264" s="280"/>
      <c r="F2264" s="288">
        <v>2.0499999999999998</v>
      </c>
      <c r="G2264" s="280" t="s">
        <v>621</v>
      </c>
      <c r="H2264" s="280" t="s">
        <v>1532</v>
      </c>
      <c r="I2264" s="283">
        <f>I1087</f>
        <v>287</v>
      </c>
      <c r="J2264" s="280" t="s">
        <v>621</v>
      </c>
      <c r="K2264" s="280">
        <f t="shared" si="76"/>
        <v>588.35</v>
      </c>
    </row>
    <row r="2265" spans="1:11" ht="17.25" hidden="1">
      <c r="A2265" s="265"/>
      <c r="E2265" s="280"/>
      <c r="F2265" s="289">
        <v>2</v>
      </c>
      <c r="G2265" s="280" t="s">
        <v>884</v>
      </c>
      <c r="H2265" s="280" t="s">
        <v>1414</v>
      </c>
      <c r="I2265" s="283">
        <v>25</v>
      </c>
      <c r="J2265" s="280" t="s">
        <v>884</v>
      </c>
      <c r="K2265" s="280">
        <f t="shared" si="76"/>
        <v>50</v>
      </c>
    </row>
    <row r="2266" spans="1:11" ht="17.25" hidden="1">
      <c r="A2266" s="265"/>
      <c r="E2266" s="280"/>
      <c r="F2266" s="289">
        <v>6</v>
      </c>
      <c r="G2266" s="280" t="s">
        <v>884</v>
      </c>
      <c r="H2266" s="280" t="s">
        <v>1367</v>
      </c>
      <c r="I2266" s="283">
        <v>25</v>
      </c>
      <c r="J2266" s="280" t="s">
        <v>884</v>
      </c>
      <c r="K2266" s="280">
        <f t="shared" si="76"/>
        <v>150</v>
      </c>
    </row>
    <row r="2267" spans="1:11" ht="17.25" hidden="1">
      <c r="A2267" s="265"/>
      <c r="E2267" s="280"/>
      <c r="F2267" s="289">
        <v>2</v>
      </c>
      <c r="G2267" s="280" t="s">
        <v>884</v>
      </c>
      <c r="H2267" s="280" t="s">
        <v>2463</v>
      </c>
      <c r="I2267" s="283">
        <v>35</v>
      </c>
      <c r="J2267" s="280" t="s">
        <v>884</v>
      </c>
      <c r="K2267" s="280">
        <f t="shared" si="76"/>
        <v>70</v>
      </c>
    </row>
    <row r="2268" spans="1:11" ht="17.25" hidden="1">
      <c r="A2268" s="265"/>
      <c r="E2268" s="280"/>
      <c r="F2268" s="289">
        <v>1</v>
      </c>
      <c r="G2268" s="280" t="s">
        <v>884</v>
      </c>
      <c r="H2268" s="280" t="s">
        <v>1442</v>
      </c>
      <c r="I2268" s="283">
        <v>60</v>
      </c>
      <c r="J2268" s="280" t="s">
        <v>884</v>
      </c>
      <c r="K2268" s="280">
        <f t="shared" si="76"/>
        <v>60</v>
      </c>
    </row>
    <row r="2269" spans="1:11" ht="17.25" hidden="1">
      <c r="A2269" s="265"/>
      <c r="E2269" s="280"/>
      <c r="F2269" s="288">
        <v>2.52</v>
      </c>
      <c r="G2269" s="280" t="s">
        <v>621</v>
      </c>
      <c r="H2269" s="280" t="s">
        <v>1745</v>
      </c>
      <c r="I2269" s="283">
        <f>K1122</f>
        <v>51.25</v>
      </c>
      <c r="J2269" s="280" t="s">
        <v>621</v>
      </c>
      <c r="K2269" s="280">
        <f t="shared" si="76"/>
        <v>129.15</v>
      </c>
    </row>
    <row r="2270" spans="1:11" ht="17.25" hidden="1">
      <c r="A2270" s="265"/>
      <c r="E2270" s="280"/>
      <c r="F2270" s="281"/>
      <c r="G2270" s="280"/>
      <c r="H2270" s="280" t="s">
        <v>1439</v>
      </c>
      <c r="I2270" s="283" t="s">
        <v>455</v>
      </c>
      <c r="J2270" s="280"/>
      <c r="K2270" s="280">
        <v>0.28000000000000003</v>
      </c>
    </row>
    <row r="2271" spans="1:11" ht="17.25" hidden="1">
      <c r="A2271" s="265"/>
      <c r="E2271" s="280"/>
      <c r="F2271" s="281"/>
      <c r="G2271" s="280"/>
      <c r="H2271" s="280"/>
      <c r="I2271" s="283"/>
      <c r="J2271" s="280"/>
      <c r="K2271" s="290" t="s">
        <v>1615</v>
      </c>
    </row>
    <row r="2272" spans="1:11" ht="17.25" hidden="1">
      <c r="A2272" s="265"/>
      <c r="E2272" s="280"/>
      <c r="F2272" s="281"/>
      <c r="G2272" s="280"/>
      <c r="H2272" s="280" t="s">
        <v>1440</v>
      </c>
      <c r="I2272" s="283"/>
      <c r="J2272" s="280"/>
      <c r="K2272" s="280">
        <f>SUM(K2260:K2271)</f>
        <v>4555.97</v>
      </c>
    </row>
    <row r="2273" spans="1:11" ht="17.25" hidden="1">
      <c r="A2273" s="265"/>
      <c r="E2273" s="280"/>
      <c r="F2273" s="281"/>
      <c r="G2273" s="280" t="s">
        <v>992</v>
      </c>
      <c r="H2273" s="280"/>
      <c r="I2273" s="283"/>
      <c r="J2273" s="280"/>
      <c r="K2273" s="290" t="s">
        <v>1615</v>
      </c>
    </row>
    <row r="2274" spans="1:11" ht="17.25" hidden="1">
      <c r="A2274" s="265"/>
      <c r="E2274" s="280"/>
      <c r="F2274" s="281"/>
      <c r="G2274" s="280"/>
      <c r="H2274" s="280" t="s">
        <v>562</v>
      </c>
      <c r="I2274" s="283"/>
      <c r="J2274" s="280"/>
      <c r="K2274" s="280">
        <f>K2272/F2269</f>
        <v>1807.92</v>
      </c>
    </row>
    <row r="2275" spans="1:11" ht="17.25" hidden="1">
      <c r="A2275" s="265"/>
      <c r="E2275" s="280"/>
      <c r="F2275" s="281"/>
      <c r="G2275" s="280"/>
      <c r="H2275" s="280"/>
      <c r="I2275" s="283"/>
      <c r="J2275" s="280"/>
      <c r="K2275" s="280"/>
    </row>
    <row r="2276" spans="1:11" ht="17.25" hidden="1">
      <c r="A2276" s="265"/>
      <c r="E2276" s="280"/>
      <c r="F2276" s="280"/>
      <c r="G2276" s="281"/>
      <c r="H2276" s="280"/>
      <c r="I2276" s="280"/>
      <c r="J2276" s="283"/>
      <c r="K2276" s="280"/>
    </row>
    <row r="2277" spans="1:11" ht="17.25" hidden="1">
      <c r="A2277" s="265"/>
      <c r="E2277" s="280"/>
      <c r="F2277" s="280"/>
      <c r="G2277" s="281"/>
      <c r="H2277" s="280"/>
      <c r="I2277" s="280"/>
      <c r="J2277" s="283"/>
      <c r="K2277" s="280"/>
    </row>
    <row r="2278" spans="1:11" ht="34.5" hidden="1">
      <c r="A2278" s="265"/>
      <c r="E2278" s="280"/>
      <c r="F2278" s="280"/>
      <c r="G2278" s="281"/>
      <c r="H2278" s="287" t="s">
        <v>3518</v>
      </c>
      <c r="I2278" s="280"/>
      <c r="J2278" s="283" t="s">
        <v>1423</v>
      </c>
      <c r="K2278" s="280">
        <v>600</v>
      </c>
    </row>
    <row r="2279" spans="1:11" ht="17.25" hidden="1">
      <c r="A2279" s="265"/>
      <c r="E2279" s="280"/>
      <c r="F2279" s="280"/>
      <c r="G2279" s="281"/>
      <c r="H2279" s="280"/>
      <c r="I2279" s="280"/>
      <c r="J2279" s="283"/>
      <c r="K2279" s="280"/>
    </row>
    <row r="2280" spans="1:11" ht="17.25" hidden="1">
      <c r="A2280" s="265"/>
      <c r="E2280" s="280"/>
      <c r="F2280" s="280"/>
      <c r="G2280" s="281"/>
      <c r="H2280" s="280"/>
      <c r="I2280" s="280"/>
      <c r="J2280" s="283"/>
      <c r="K2280" s="280"/>
    </row>
    <row r="2281" spans="1:11" ht="17.25" hidden="1">
      <c r="A2281" s="265"/>
      <c r="E2281" s="280"/>
      <c r="F2281" s="280"/>
      <c r="G2281" s="281"/>
      <c r="H2281" s="287" t="s">
        <v>2448</v>
      </c>
      <c r="I2281" s="280"/>
      <c r="J2281" s="283" t="s">
        <v>1423</v>
      </c>
      <c r="K2281" s="280">
        <v>300</v>
      </c>
    </row>
    <row r="2282" spans="1:11" ht="17.25" hidden="1">
      <c r="A2282" s="265"/>
      <c r="E2282" s="280"/>
      <c r="F2282" s="280"/>
      <c r="G2282" s="281"/>
      <c r="H2282" s="280"/>
      <c r="I2282" s="280"/>
      <c r="J2282" s="283"/>
      <c r="K2282" s="280"/>
    </row>
    <row r="2283" spans="1:11" ht="17.25" hidden="1">
      <c r="A2283" s="265"/>
      <c r="E2283" s="280"/>
      <c r="F2283" s="280"/>
      <c r="G2283" s="281"/>
      <c r="H2283" s="280"/>
      <c r="I2283" s="280"/>
      <c r="J2283" s="283"/>
      <c r="K2283" s="280"/>
    </row>
    <row r="2284" spans="1:11" ht="17.25" hidden="1">
      <c r="A2284" s="265"/>
      <c r="E2284" s="280"/>
      <c r="F2284" s="280"/>
      <c r="G2284" s="281"/>
      <c r="H2284" s="280"/>
      <c r="I2284" s="280"/>
      <c r="J2284" s="283"/>
      <c r="K2284" s="280"/>
    </row>
    <row r="2285" spans="1:11" ht="17.25" hidden="1">
      <c r="A2285" s="265"/>
      <c r="E2285" s="280"/>
      <c r="F2285" s="280"/>
      <c r="G2285" s="281"/>
      <c r="H2285" s="287" t="s">
        <v>2449</v>
      </c>
      <c r="I2285" s="280"/>
      <c r="J2285" s="283" t="s">
        <v>1423</v>
      </c>
      <c r="K2285" s="280">
        <v>260</v>
      </c>
    </row>
    <row r="2286" spans="1:11" ht="17.25" hidden="1">
      <c r="A2286" s="265"/>
      <c r="E2286" s="280"/>
      <c r="F2286" s="280"/>
      <c r="G2286" s="281"/>
      <c r="H2286" s="280"/>
      <c r="I2286" s="280"/>
      <c r="J2286" s="283"/>
      <c r="K2286" s="280"/>
    </row>
    <row r="2287" spans="1:11" ht="17.25" hidden="1">
      <c r="A2287" s="265"/>
      <c r="E2287" s="280"/>
      <c r="F2287" s="280"/>
      <c r="G2287" s="281"/>
      <c r="H2287" s="280"/>
      <c r="I2287" s="280"/>
      <c r="J2287" s="283"/>
      <c r="K2287" s="280"/>
    </row>
    <row r="2288" spans="1:11" ht="17.25" hidden="1">
      <c r="A2288" s="265"/>
      <c r="E2288" s="280"/>
      <c r="F2288" s="280"/>
      <c r="G2288" s="281"/>
      <c r="H2288" s="280"/>
      <c r="I2288" s="280"/>
      <c r="J2288" s="283"/>
      <c r="K2288" s="280"/>
    </row>
    <row r="2289" spans="1:11" ht="34.5" hidden="1">
      <c r="A2289" s="265"/>
      <c r="E2289" s="280"/>
      <c r="F2289" s="280"/>
      <c r="G2289" s="281"/>
      <c r="H2289" s="287" t="s">
        <v>2450</v>
      </c>
      <c r="I2289" s="280"/>
      <c r="J2289" s="283" t="s">
        <v>1423</v>
      </c>
      <c r="K2289" s="280">
        <v>650</v>
      </c>
    </row>
    <row r="2290" spans="1:11" ht="17.25" hidden="1">
      <c r="A2290" s="265"/>
      <c r="E2290" s="280"/>
      <c r="F2290" s="280"/>
      <c r="G2290" s="281"/>
      <c r="H2290" s="280"/>
      <c r="I2290" s="280"/>
      <c r="J2290" s="283"/>
      <c r="K2290" s="280"/>
    </row>
    <row r="2291" spans="1:11" ht="17.25" hidden="1">
      <c r="A2291" s="265"/>
      <c r="E2291" s="280"/>
      <c r="F2291" s="280"/>
      <c r="G2291" s="281"/>
      <c r="H2291" s="280"/>
      <c r="I2291" s="280"/>
      <c r="J2291" s="283"/>
      <c r="K2291" s="280"/>
    </row>
    <row r="2292" spans="1:11" ht="17.25" hidden="1">
      <c r="A2292" s="265"/>
      <c r="E2292" s="280"/>
      <c r="F2292" s="280"/>
      <c r="G2292" s="281"/>
      <c r="H2292" s="280" t="s">
        <v>3474</v>
      </c>
      <c r="I2292" s="280"/>
      <c r="J2292" s="283" t="s">
        <v>1423</v>
      </c>
      <c r="K2292" s="280">
        <v>436</v>
      </c>
    </row>
    <row r="2293" spans="1:11" ht="17.25" hidden="1">
      <c r="A2293" s="265"/>
      <c r="E2293" s="280"/>
      <c r="F2293" s="280"/>
      <c r="G2293" s="281"/>
      <c r="H2293" s="280"/>
      <c r="I2293" s="280"/>
      <c r="J2293" s="283"/>
      <c r="K2293" s="280"/>
    </row>
    <row r="2294" spans="1:11" ht="17.25" hidden="1">
      <c r="A2294" s="265"/>
      <c r="E2294" s="280"/>
      <c r="F2294" s="280"/>
      <c r="G2294" s="281"/>
      <c r="H2294" s="280"/>
      <c r="I2294" s="280"/>
      <c r="J2294" s="283"/>
      <c r="K2294" s="280"/>
    </row>
    <row r="2295" spans="1:11" ht="17.25" hidden="1">
      <c r="A2295" s="265"/>
      <c r="E2295" s="280"/>
      <c r="F2295" s="280"/>
      <c r="G2295" s="281"/>
      <c r="H2295" s="280" t="s">
        <v>3475</v>
      </c>
      <c r="I2295" s="280"/>
      <c r="J2295" s="283" t="s">
        <v>1423</v>
      </c>
      <c r="K2295" s="280">
        <v>518</v>
      </c>
    </row>
    <row r="2296" spans="1:11" ht="17.25" hidden="1">
      <c r="A2296" s="265"/>
      <c r="E2296" s="280"/>
      <c r="F2296" s="280"/>
      <c r="G2296" s="281"/>
      <c r="H2296" s="280"/>
      <c r="I2296" s="280"/>
      <c r="J2296" s="283"/>
      <c r="K2296" s="280"/>
    </row>
    <row r="2297" spans="1:11" ht="17.25" hidden="1">
      <c r="A2297" s="265"/>
      <c r="E2297" s="280"/>
      <c r="F2297" s="280"/>
      <c r="G2297" s="281"/>
      <c r="H2297" s="280"/>
      <c r="I2297" s="280"/>
      <c r="J2297" s="283"/>
      <c r="K2297" s="280"/>
    </row>
    <row r="2298" spans="1:11" ht="17.25" hidden="1">
      <c r="A2298" s="265"/>
      <c r="E2298" s="280"/>
      <c r="F2298" s="280"/>
      <c r="G2298" s="281"/>
      <c r="H2298" s="280"/>
      <c r="I2298" s="280"/>
      <c r="J2298" s="283"/>
      <c r="K2298" s="280"/>
    </row>
    <row r="2299" spans="1:11" ht="34.5" hidden="1">
      <c r="A2299" s="265"/>
      <c r="E2299" s="280"/>
      <c r="F2299" s="280"/>
      <c r="G2299" s="281"/>
      <c r="H2299" s="287" t="s">
        <v>3476</v>
      </c>
      <c r="I2299" s="280"/>
      <c r="J2299" s="283"/>
      <c r="K2299" s="280"/>
    </row>
    <row r="2300" spans="1:11" ht="17.25" hidden="1">
      <c r="A2300" s="265"/>
      <c r="E2300" s="280"/>
      <c r="F2300" s="280"/>
      <c r="G2300" s="281"/>
      <c r="H2300" s="280"/>
      <c r="I2300" s="280"/>
      <c r="J2300" s="283"/>
      <c r="K2300" s="280"/>
    </row>
    <row r="2301" spans="1:11" ht="17.25" hidden="1">
      <c r="A2301" s="265"/>
      <c r="E2301" s="280"/>
      <c r="F2301" s="280"/>
      <c r="G2301" s="281"/>
      <c r="H2301" s="280" t="s">
        <v>3477</v>
      </c>
      <c r="I2301" s="280"/>
      <c r="J2301" s="283"/>
      <c r="K2301" s="280"/>
    </row>
    <row r="2302" spans="1:11" ht="17.25" hidden="1">
      <c r="A2302" s="265"/>
      <c r="E2302" s="280"/>
      <c r="F2302" s="280"/>
      <c r="G2302" s="281"/>
      <c r="H2302" s="280" t="s">
        <v>3478</v>
      </c>
      <c r="I2302" s="280"/>
      <c r="J2302" s="283"/>
      <c r="K2302" s="280"/>
    </row>
    <row r="2303" spans="1:11" ht="17.25" hidden="1">
      <c r="A2303" s="265"/>
      <c r="E2303" s="280"/>
      <c r="F2303" s="280"/>
      <c r="G2303" s="281"/>
      <c r="H2303" s="280"/>
      <c r="I2303" s="280"/>
      <c r="J2303" s="283"/>
      <c r="K2303" s="280"/>
    </row>
    <row r="2304" spans="1:11" ht="17.25" hidden="1">
      <c r="A2304" s="265"/>
      <c r="E2304" s="280"/>
      <c r="F2304" s="280"/>
      <c r="G2304" s="281"/>
      <c r="H2304" s="280"/>
      <c r="I2304" s="280"/>
      <c r="J2304" s="283"/>
      <c r="K2304" s="280"/>
    </row>
    <row r="2305" spans="1:11" ht="17.25" hidden="1">
      <c r="A2305" s="265"/>
      <c r="E2305" s="280"/>
      <c r="F2305" s="280"/>
      <c r="G2305" s="281"/>
      <c r="H2305" s="280"/>
      <c r="I2305" s="280"/>
      <c r="J2305" s="283"/>
      <c r="K2305" s="280"/>
    </row>
    <row r="2306" spans="1:11" ht="17.25" hidden="1">
      <c r="A2306" s="265"/>
      <c r="E2306" s="280"/>
      <c r="F2306" s="280">
        <v>1.96</v>
      </c>
      <c r="G2306" s="281" t="s">
        <v>2190</v>
      </c>
      <c r="H2306" s="280" t="s">
        <v>3479</v>
      </c>
      <c r="I2306" s="280" t="e">
        <f>K1644</f>
        <v>#REF!</v>
      </c>
      <c r="J2306" s="283" t="s">
        <v>2190</v>
      </c>
      <c r="K2306" s="280" t="e">
        <f t="shared" ref="K2306:K2311" si="77">I2306*F2306</f>
        <v>#REF!</v>
      </c>
    </row>
    <row r="2307" spans="1:11" ht="17.25" hidden="1">
      <c r="A2307" s="265"/>
      <c r="E2307" s="280"/>
      <c r="F2307" s="280">
        <v>2</v>
      </c>
      <c r="G2307" s="281" t="s">
        <v>1419</v>
      </c>
      <c r="H2307" s="280" t="s">
        <v>3480</v>
      </c>
      <c r="I2307" s="280">
        <f>C10</f>
        <v>150</v>
      </c>
      <c r="J2307" s="283" t="s">
        <v>1419</v>
      </c>
      <c r="K2307" s="280">
        <f t="shared" si="77"/>
        <v>300</v>
      </c>
    </row>
    <row r="2308" spans="1:11" ht="17.25" hidden="1">
      <c r="A2308" s="265"/>
      <c r="E2308" s="280"/>
      <c r="F2308" s="280">
        <v>2</v>
      </c>
      <c r="G2308" s="281" t="s">
        <v>1419</v>
      </c>
      <c r="H2308" s="280" t="s">
        <v>3481</v>
      </c>
      <c r="I2308" s="280">
        <f>C13</f>
        <v>85</v>
      </c>
      <c r="J2308" s="283" t="s">
        <v>1419</v>
      </c>
      <c r="K2308" s="280">
        <f t="shared" si="77"/>
        <v>170</v>
      </c>
    </row>
    <row r="2309" spans="1:11" ht="17.25" hidden="1">
      <c r="A2309" s="265"/>
      <c r="E2309" s="280"/>
      <c r="F2309" s="280">
        <v>500</v>
      </c>
      <c r="G2309" s="281" t="s">
        <v>1419</v>
      </c>
      <c r="H2309" s="280" t="s">
        <v>3482</v>
      </c>
      <c r="I2309" s="280">
        <v>2</v>
      </c>
      <c r="J2309" s="283" t="s">
        <v>1419</v>
      </c>
      <c r="K2309" s="280">
        <f t="shared" si="77"/>
        <v>1000</v>
      </c>
    </row>
    <row r="2310" spans="1:11" ht="17.25" hidden="1">
      <c r="A2310" s="265"/>
      <c r="E2310" s="280"/>
      <c r="F2310" s="280">
        <v>8.5</v>
      </c>
      <c r="G2310" s="281" t="s">
        <v>2185</v>
      </c>
      <c r="H2310" s="280" t="s">
        <v>3483</v>
      </c>
      <c r="I2310" s="280">
        <v>25</v>
      </c>
      <c r="J2310" s="283" t="s">
        <v>2185</v>
      </c>
      <c r="K2310" s="280">
        <f t="shared" si="77"/>
        <v>212.5</v>
      </c>
    </row>
    <row r="2311" spans="1:11" ht="17.25" hidden="1">
      <c r="A2311" s="265"/>
      <c r="E2311" s="280"/>
      <c r="F2311" s="280">
        <v>0.28000000000000003</v>
      </c>
      <c r="G2311" s="281" t="s">
        <v>2322</v>
      </c>
      <c r="H2311" s="280" t="s">
        <v>3484</v>
      </c>
      <c r="I2311" s="280">
        <f>K2448</f>
        <v>168.13</v>
      </c>
      <c r="J2311" s="283" t="s">
        <v>2322</v>
      </c>
      <c r="K2311" s="280">
        <f t="shared" si="77"/>
        <v>47.08</v>
      </c>
    </row>
    <row r="2312" spans="1:11" ht="17.25" hidden="1">
      <c r="A2312" s="265"/>
      <c r="E2312" s="280"/>
      <c r="F2312" s="280"/>
      <c r="G2312" s="281"/>
      <c r="H2312" s="280"/>
      <c r="I2312" s="280"/>
      <c r="J2312" s="283"/>
      <c r="K2312" s="280" t="s">
        <v>3485</v>
      </c>
    </row>
    <row r="2313" spans="1:11" ht="17.25" hidden="1">
      <c r="A2313" s="265"/>
      <c r="E2313" s="280"/>
      <c r="F2313" s="280"/>
      <c r="G2313" s="281"/>
      <c r="H2313" s="280"/>
      <c r="I2313" s="280" t="s">
        <v>3486</v>
      </c>
      <c r="J2313" s="283">
        <v>39.200000000000003</v>
      </c>
      <c r="K2313" s="280" t="e">
        <f>SUM(K2306:K2312)</f>
        <v>#REF!</v>
      </c>
    </row>
    <row r="2314" spans="1:11" ht="17.25" hidden="1">
      <c r="A2314" s="265"/>
      <c r="E2314" s="280"/>
      <c r="F2314" s="280"/>
      <c r="G2314" s="281"/>
      <c r="H2314" s="280"/>
      <c r="I2314" s="280"/>
      <c r="J2314" s="283"/>
      <c r="K2314" s="280" t="s">
        <v>3487</v>
      </c>
    </row>
    <row r="2315" spans="1:11" ht="17.25" hidden="1">
      <c r="A2315" s="265"/>
      <c r="E2315" s="280"/>
      <c r="F2315" s="280"/>
      <c r="G2315" s="281"/>
      <c r="H2315" s="280"/>
      <c r="I2315" s="280"/>
      <c r="J2315" s="283"/>
      <c r="K2315" s="280"/>
    </row>
    <row r="2316" spans="1:11" ht="17.25" hidden="1">
      <c r="A2316" s="265"/>
      <c r="E2316" s="280"/>
      <c r="F2316" s="280"/>
      <c r="G2316" s="281"/>
      <c r="H2316" s="280"/>
      <c r="I2316" s="280" t="s">
        <v>3488</v>
      </c>
      <c r="J2316" s="283"/>
      <c r="K2316" s="291" t="e">
        <f>K2313/J2313</f>
        <v>#REF!</v>
      </c>
    </row>
    <row r="2317" spans="1:11" ht="17.25" hidden="1">
      <c r="A2317" s="265"/>
      <c r="E2317" s="280"/>
      <c r="F2317" s="280"/>
      <c r="G2317" s="281"/>
      <c r="H2317" s="280"/>
      <c r="I2317" s="280"/>
      <c r="J2317" s="283"/>
      <c r="K2317" s="290" t="s">
        <v>2091</v>
      </c>
    </row>
    <row r="2318" spans="1:11" ht="17.25" hidden="1">
      <c r="A2318" s="265"/>
      <c r="E2318" s="280"/>
      <c r="F2318" s="280"/>
      <c r="G2318" s="281"/>
      <c r="H2318" s="280"/>
      <c r="I2318" s="280"/>
      <c r="J2318" s="283"/>
      <c r="K2318" s="280"/>
    </row>
    <row r="2319" spans="1:11" ht="34.5" hidden="1">
      <c r="A2319" s="265"/>
      <c r="E2319" s="280"/>
      <c r="F2319" s="280"/>
      <c r="G2319" s="281"/>
      <c r="H2319" s="287" t="s">
        <v>3489</v>
      </c>
      <c r="I2319" s="280"/>
      <c r="J2319" s="283"/>
      <c r="K2319" s="280"/>
    </row>
    <row r="2320" spans="1:11" ht="17.25" hidden="1">
      <c r="A2320" s="265"/>
      <c r="E2320" s="280"/>
      <c r="F2320" s="280"/>
      <c r="G2320" s="281"/>
      <c r="H2320" s="280"/>
      <c r="I2320" s="280"/>
      <c r="J2320" s="283"/>
      <c r="K2320" s="280"/>
    </row>
    <row r="2321" spans="1:11" ht="17.25" hidden="1">
      <c r="A2321" s="265"/>
      <c r="E2321" s="280"/>
      <c r="F2321" s="280">
        <v>4</v>
      </c>
      <c r="G2321" s="281" t="s">
        <v>842</v>
      </c>
      <c r="H2321" s="280" t="s">
        <v>3519</v>
      </c>
      <c r="I2321" s="280">
        <v>110</v>
      </c>
      <c r="J2321" s="283" t="s">
        <v>842</v>
      </c>
      <c r="K2321" s="280">
        <f t="shared" ref="K2321:K2328" si="78">I2321*F2321</f>
        <v>440</v>
      </c>
    </row>
    <row r="2322" spans="1:11" ht="17.25" hidden="1">
      <c r="A2322" s="265"/>
      <c r="E2322" s="280"/>
      <c r="F2322" s="280">
        <v>2.52</v>
      </c>
      <c r="G2322" s="281" t="s">
        <v>1676</v>
      </c>
      <c r="H2322" s="280" t="s">
        <v>2831</v>
      </c>
      <c r="I2322" s="280">
        <v>30</v>
      </c>
      <c r="J2322" s="283" t="s">
        <v>1676</v>
      </c>
      <c r="K2322" s="280">
        <f t="shared" si="78"/>
        <v>75.599999999999994</v>
      </c>
    </row>
    <row r="2323" spans="1:11" ht="17.25" hidden="1">
      <c r="A2323" s="265"/>
      <c r="E2323" s="280"/>
      <c r="F2323" s="280">
        <v>1.1299999999999999</v>
      </c>
      <c r="G2323" s="281" t="s">
        <v>1676</v>
      </c>
      <c r="H2323" s="280" t="s">
        <v>2832</v>
      </c>
      <c r="I2323" s="280">
        <v>30</v>
      </c>
      <c r="J2323" s="283" t="s">
        <v>1676</v>
      </c>
      <c r="K2323" s="280">
        <f t="shared" si="78"/>
        <v>33.9</v>
      </c>
    </row>
    <row r="2324" spans="1:11" ht="17.25" hidden="1">
      <c r="A2324" s="265"/>
      <c r="E2324" s="280"/>
      <c r="F2324" s="280">
        <v>0.35</v>
      </c>
      <c r="G2324" s="281" t="s">
        <v>1676</v>
      </c>
      <c r="H2324" s="280" t="s">
        <v>2833</v>
      </c>
      <c r="I2324" s="280">
        <v>30</v>
      </c>
      <c r="J2324" s="283" t="s">
        <v>1676</v>
      </c>
      <c r="K2324" s="280">
        <f t="shared" si="78"/>
        <v>10.5</v>
      </c>
    </row>
    <row r="2325" spans="1:11" ht="17.25" hidden="1">
      <c r="A2325" s="265"/>
      <c r="E2325" s="280"/>
      <c r="F2325" s="280">
        <v>4</v>
      </c>
      <c r="G2325" s="281" t="s">
        <v>1676</v>
      </c>
      <c r="H2325" s="280" t="s">
        <v>108</v>
      </c>
      <c r="I2325" s="280">
        <v>12.25</v>
      </c>
      <c r="J2325" s="283" t="s">
        <v>1676</v>
      </c>
      <c r="K2325" s="280">
        <f t="shared" si="78"/>
        <v>49</v>
      </c>
    </row>
    <row r="2326" spans="1:11" ht="17.25" hidden="1">
      <c r="A2326" s="265"/>
      <c r="E2326" s="280"/>
      <c r="F2326" s="280">
        <v>6</v>
      </c>
      <c r="G2326" s="281" t="s">
        <v>1457</v>
      </c>
      <c r="H2326" s="280" t="s">
        <v>2834</v>
      </c>
      <c r="I2326" s="280">
        <v>1</v>
      </c>
      <c r="J2326" s="283" t="s">
        <v>1423</v>
      </c>
      <c r="K2326" s="280">
        <f t="shared" si="78"/>
        <v>6</v>
      </c>
    </row>
    <row r="2327" spans="1:11" ht="17.25" hidden="1">
      <c r="A2327" s="265"/>
      <c r="E2327" s="280"/>
      <c r="F2327" s="280">
        <v>0.5</v>
      </c>
      <c r="G2327" s="281" t="s">
        <v>1457</v>
      </c>
      <c r="H2327" s="280" t="s">
        <v>2835</v>
      </c>
      <c r="I2327" s="280">
        <f>C12</f>
        <v>95</v>
      </c>
      <c r="J2327" s="283" t="s">
        <v>1423</v>
      </c>
      <c r="K2327" s="280">
        <f t="shared" si="78"/>
        <v>47.5</v>
      </c>
    </row>
    <row r="2328" spans="1:11" ht="17.25" hidden="1">
      <c r="A2328" s="265"/>
      <c r="E2328" s="280"/>
      <c r="F2328" s="280">
        <v>0.5</v>
      </c>
      <c r="G2328" s="281" t="s">
        <v>1457</v>
      </c>
      <c r="H2328" s="280" t="s">
        <v>2836</v>
      </c>
      <c r="I2328" s="280">
        <f>C13</f>
        <v>85</v>
      </c>
      <c r="J2328" s="283" t="s">
        <v>1423</v>
      </c>
      <c r="K2328" s="280">
        <f t="shared" si="78"/>
        <v>42.5</v>
      </c>
    </row>
    <row r="2329" spans="1:11" ht="17.25" hidden="1">
      <c r="A2329" s="265"/>
      <c r="E2329" s="280"/>
      <c r="F2329" s="285" t="s">
        <v>455</v>
      </c>
      <c r="G2329" s="281"/>
      <c r="H2329" s="280" t="s">
        <v>2837</v>
      </c>
      <c r="I2329" s="280"/>
      <c r="J2329" s="283" t="s">
        <v>455</v>
      </c>
      <c r="K2329" s="280">
        <v>19.22</v>
      </c>
    </row>
    <row r="2330" spans="1:11" ht="17.25" hidden="1">
      <c r="A2330" s="265"/>
      <c r="E2330" s="280"/>
      <c r="F2330" s="280"/>
      <c r="G2330" s="281"/>
      <c r="H2330" s="280"/>
      <c r="I2330" s="280"/>
      <c r="J2330" s="283"/>
      <c r="K2330" s="280"/>
    </row>
    <row r="2331" spans="1:11" ht="17.25" hidden="1">
      <c r="A2331" s="265"/>
      <c r="E2331" s="280"/>
      <c r="F2331" s="280"/>
      <c r="G2331" s="281"/>
      <c r="H2331" s="280"/>
      <c r="I2331" s="280"/>
      <c r="J2331" s="283"/>
      <c r="K2331" s="280" t="s">
        <v>2838</v>
      </c>
    </row>
    <row r="2332" spans="1:11" ht="17.25" hidden="1">
      <c r="A2332" s="265"/>
      <c r="E2332" s="280"/>
      <c r="F2332" s="280"/>
      <c r="G2332" s="281"/>
      <c r="H2332" s="280"/>
      <c r="I2332" s="280" t="s">
        <v>2839</v>
      </c>
      <c r="J2332" s="283" t="s">
        <v>2840</v>
      </c>
      <c r="K2332" s="280">
        <f>SUM(K2321:K2331)</f>
        <v>724.22</v>
      </c>
    </row>
    <row r="2333" spans="1:11" ht="17.25" hidden="1">
      <c r="A2333" s="265"/>
      <c r="E2333" s="280"/>
      <c r="F2333" s="280"/>
      <c r="G2333" s="281"/>
      <c r="H2333" s="280"/>
      <c r="I2333" s="280">
        <v>2</v>
      </c>
      <c r="J2333" s="292" t="s">
        <v>1457</v>
      </c>
      <c r="K2333" s="280" t="s">
        <v>3487</v>
      </c>
    </row>
    <row r="2334" spans="1:11" ht="17.25" hidden="1">
      <c r="A2334" s="265"/>
      <c r="E2334" s="280"/>
      <c r="F2334" s="280"/>
      <c r="G2334" s="281"/>
      <c r="H2334" s="280"/>
      <c r="I2334" s="287"/>
      <c r="J2334" s="283"/>
      <c r="K2334" s="280"/>
    </row>
    <row r="2335" spans="1:11" ht="17.25" hidden="1">
      <c r="A2335" s="265"/>
      <c r="E2335" s="280"/>
      <c r="F2335" s="280"/>
      <c r="G2335" s="281"/>
      <c r="H2335" s="280"/>
      <c r="I2335" s="280"/>
      <c r="J2335" s="283"/>
      <c r="K2335" s="280"/>
    </row>
    <row r="2336" spans="1:11" ht="17.25" hidden="1">
      <c r="A2336" s="265"/>
      <c r="E2336" s="280"/>
      <c r="F2336" s="280"/>
      <c r="G2336" s="281"/>
      <c r="H2336" s="280"/>
      <c r="I2336" s="280" t="s">
        <v>2841</v>
      </c>
      <c r="J2336" s="283"/>
      <c r="K2336" s="291">
        <f>K2332/I2333</f>
        <v>362.11</v>
      </c>
    </row>
    <row r="2337" spans="1:12" ht="17.25" hidden="1">
      <c r="A2337" s="265"/>
      <c r="E2337" s="280"/>
      <c r="F2337" s="280"/>
      <c r="G2337" s="281"/>
      <c r="H2337" s="280"/>
      <c r="I2337" s="280"/>
      <c r="J2337" s="283"/>
      <c r="K2337" s="290" t="s">
        <v>2091</v>
      </c>
    </row>
    <row r="2338" spans="1:12" ht="17.25" hidden="1">
      <c r="A2338" s="265"/>
      <c r="E2338" s="280"/>
      <c r="F2338" s="280"/>
      <c r="G2338" s="281"/>
      <c r="H2338" s="280"/>
      <c r="I2338" s="280"/>
      <c r="J2338" s="283"/>
      <c r="K2338" s="280"/>
    </row>
    <row r="2339" spans="1:12" ht="19.5" hidden="1">
      <c r="A2339" s="265"/>
      <c r="E2339" s="280"/>
      <c r="F2339" s="293"/>
      <c r="G2339" s="293"/>
      <c r="H2339" s="293"/>
      <c r="I2339" s="293"/>
      <c r="J2339" s="293"/>
      <c r="K2339" s="293"/>
      <c r="L2339" s="294"/>
    </row>
    <row r="2340" spans="1:12" ht="17.25" hidden="1">
      <c r="A2340" s="265"/>
      <c r="E2340" s="280"/>
      <c r="F2340" s="280"/>
      <c r="G2340" s="280"/>
      <c r="H2340" s="280"/>
      <c r="I2340" s="280"/>
      <c r="J2340" s="280"/>
      <c r="K2340" s="280"/>
    </row>
    <row r="2341" spans="1:12" ht="18" hidden="1">
      <c r="A2341" s="265"/>
      <c r="E2341" s="1559" t="s">
        <v>2842</v>
      </c>
      <c r="F2341" s="1559"/>
      <c r="G2341" s="1559"/>
      <c r="H2341" s="1559"/>
      <c r="I2341" s="1559"/>
      <c r="J2341" s="1559"/>
      <c r="K2341" s="1559"/>
      <c r="L2341" s="295"/>
    </row>
    <row r="2342" spans="1:12" ht="18" hidden="1">
      <c r="A2342" s="265"/>
      <c r="E2342" s="143"/>
      <c r="F2342" s="143"/>
      <c r="G2342" s="143"/>
      <c r="H2342" s="143"/>
      <c r="I2342" s="143"/>
      <c r="J2342" s="143"/>
      <c r="K2342" s="143"/>
      <c r="L2342" s="296"/>
    </row>
    <row r="2343" spans="1:12" ht="18" hidden="1">
      <c r="A2343" s="265"/>
      <c r="E2343" s="297"/>
      <c r="F2343" s="295" t="s">
        <v>1059</v>
      </c>
      <c r="G2343" s="294"/>
      <c r="H2343" s="298" t="s">
        <v>1811</v>
      </c>
      <c r="I2343" s="295" t="s">
        <v>99</v>
      </c>
      <c r="J2343" s="298" t="s">
        <v>2843</v>
      </c>
      <c r="K2343" s="295" t="s">
        <v>991</v>
      </c>
      <c r="L2343" s="299"/>
    </row>
    <row r="2344" spans="1:12" ht="18" hidden="1">
      <c r="A2344" s="265"/>
      <c r="E2344" s="300">
        <v>18.100000000000001</v>
      </c>
      <c r="F2344" s="301" t="s">
        <v>2844</v>
      </c>
      <c r="G2344" s="143"/>
      <c r="H2344" s="302" t="s">
        <v>2465</v>
      </c>
      <c r="I2344" s="296"/>
      <c r="J2344" s="296"/>
      <c r="K2344" s="296"/>
      <c r="L2344" s="299"/>
    </row>
    <row r="2345" spans="1:12" ht="18" hidden="1">
      <c r="A2345" s="265"/>
      <c r="E2345" s="297"/>
      <c r="F2345" s="299"/>
      <c r="G2345" s="297"/>
      <c r="H2345" s="303" t="s">
        <v>2845</v>
      </c>
      <c r="I2345" s="299"/>
      <c r="J2345" s="297"/>
      <c r="K2345" s="299"/>
      <c r="L2345" s="299"/>
    </row>
    <row r="2346" spans="1:12" ht="21" hidden="1">
      <c r="A2346" s="265"/>
      <c r="E2346" s="297"/>
      <c r="F2346" s="299"/>
      <c r="G2346" s="297"/>
      <c r="H2346" s="303" t="s">
        <v>2466</v>
      </c>
      <c r="I2346" s="299"/>
      <c r="J2346" s="297"/>
      <c r="K2346" s="299"/>
      <c r="L2346" s="299"/>
    </row>
    <row r="2347" spans="1:12" ht="21" hidden="1">
      <c r="A2347" s="265"/>
      <c r="E2347" s="297"/>
      <c r="F2347" s="299"/>
      <c r="G2347" s="297"/>
      <c r="H2347" s="303" t="s">
        <v>2467</v>
      </c>
      <c r="I2347" s="299"/>
      <c r="J2347" s="297"/>
      <c r="K2347" s="299"/>
      <c r="L2347" s="299"/>
    </row>
    <row r="2348" spans="1:12" ht="18" hidden="1">
      <c r="A2348" s="265"/>
      <c r="E2348" s="297"/>
      <c r="F2348" s="299"/>
      <c r="G2348" s="297"/>
      <c r="H2348" s="303" t="s">
        <v>2846</v>
      </c>
      <c r="I2348" s="299"/>
      <c r="J2348" s="297"/>
      <c r="K2348" s="299"/>
      <c r="L2348" s="299"/>
    </row>
    <row r="2349" spans="1:12" ht="39" hidden="1">
      <c r="A2349" s="265"/>
      <c r="E2349" s="297"/>
      <c r="F2349" s="299"/>
      <c r="G2349" s="297"/>
      <c r="H2349" s="303" t="s">
        <v>2468</v>
      </c>
      <c r="I2349" s="299"/>
      <c r="J2349" s="297"/>
      <c r="K2349" s="299"/>
      <c r="L2349" s="299"/>
    </row>
    <row r="2350" spans="1:12" ht="72" hidden="1">
      <c r="A2350" s="265"/>
      <c r="E2350" s="297"/>
      <c r="F2350" s="299"/>
      <c r="G2350" s="297"/>
      <c r="H2350" s="303" t="s">
        <v>2847</v>
      </c>
      <c r="I2350" s="299"/>
      <c r="J2350" s="297"/>
      <c r="K2350" s="299"/>
      <c r="L2350" s="299"/>
    </row>
    <row r="2351" spans="1:12" ht="36" hidden="1">
      <c r="A2351" s="265"/>
      <c r="E2351" s="297"/>
      <c r="F2351" s="299"/>
      <c r="G2351" s="297"/>
      <c r="H2351" s="303" t="s">
        <v>2848</v>
      </c>
      <c r="I2351" s="299"/>
      <c r="J2351" s="297"/>
      <c r="K2351" s="299"/>
      <c r="L2351" s="299"/>
    </row>
    <row r="2352" spans="1:12" ht="39" hidden="1">
      <c r="A2352" s="265"/>
      <c r="E2352" s="297"/>
      <c r="F2352" s="299"/>
      <c r="G2352" s="297"/>
      <c r="H2352" s="303" t="s">
        <v>2469</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305" t="s">
        <v>2470</v>
      </c>
      <c r="H2354" s="306" t="s">
        <v>3263</v>
      </c>
      <c r="I2354" s="304">
        <f>K2378</f>
        <v>217.41</v>
      </c>
      <c r="J2354" s="305" t="s">
        <v>2470</v>
      </c>
      <c r="K2354" s="299">
        <f>I2354*F2354</f>
        <v>13479.42</v>
      </c>
      <c r="L2354" s="299"/>
    </row>
    <row r="2355" spans="1:12" ht="21" hidden="1">
      <c r="A2355" s="265"/>
      <c r="E2355" s="297"/>
      <c r="F2355" s="304">
        <v>121.64</v>
      </c>
      <c r="G2355" s="305" t="s">
        <v>2470</v>
      </c>
      <c r="H2355" s="306" t="s">
        <v>3264</v>
      </c>
      <c r="I2355" s="304">
        <f>I2383</f>
        <v>168.13</v>
      </c>
      <c r="J2355" s="305" t="s">
        <v>2471</v>
      </c>
      <c r="K2355" s="299">
        <f>I2355*F2355</f>
        <v>20451.330000000002</v>
      </c>
      <c r="L2355" s="307"/>
    </row>
    <row r="2356" spans="1:12" ht="21" hidden="1">
      <c r="A2356" s="265"/>
      <c r="E2356" s="297"/>
      <c r="F2356" s="299"/>
      <c r="G2356" s="297"/>
      <c r="H2356" s="306" t="s">
        <v>2777</v>
      </c>
      <c r="I2356" s="299"/>
      <c r="J2356" s="297"/>
      <c r="K2356" s="299">
        <f>SUM(K2354:K2355)</f>
        <v>33930.75</v>
      </c>
      <c r="L2356" s="308"/>
    </row>
    <row r="2357" spans="1:12" ht="21" hidden="1">
      <c r="A2357" s="265"/>
      <c r="E2357" s="297"/>
      <c r="F2357" s="299"/>
      <c r="G2357" s="297"/>
      <c r="H2357" s="306" t="s">
        <v>2778</v>
      </c>
      <c r="I2357" s="299"/>
      <c r="J2357" s="297"/>
      <c r="K2357" s="307">
        <f>K2356/F2354</f>
        <v>547.27</v>
      </c>
      <c r="L2357" s="299"/>
    </row>
    <row r="2358" spans="1:12" ht="18" hidden="1">
      <c r="A2358" s="265"/>
      <c r="E2358" s="297"/>
      <c r="F2358" s="299"/>
      <c r="G2358" s="297"/>
      <c r="H2358" s="305"/>
      <c r="I2358" s="299"/>
      <c r="J2358" s="297"/>
      <c r="K2358" s="308"/>
      <c r="L2358" s="299"/>
    </row>
    <row r="2359" spans="1:12" ht="36" hidden="1">
      <c r="A2359" s="265"/>
      <c r="E2359" s="309">
        <v>18.100000000000001</v>
      </c>
      <c r="F2359" s="301" t="s">
        <v>3265</v>
      </c>
      <c r="G2359" s="297"/>
      <c r="H2359" s="310" t="s">
        <v>2793</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305" t="s">
        <v>1676</v>
      </c>
      <c r="H2361" s="303" t="s">
        <v>2794</v>
      </c>
      <c r="I2361" s="304">
        <f>I706</f>
        <v>30</v>
      </c>
      <c r="J2361" s="305" t="s">
        <v>1676</v>
      </c>
      <c r="K2361" s="299">
        <f>I2361*F2361</f>
        <v>403.8</v>
      </c>
      <c r="L2361" s="299"/>
    </row>
    <row r="2362" spans="1:12" ht="18" hidden="1">
      <c r="A2362" s="265"/>
      <c r="E2362" s="297"/>
      <c r="F2362" s="304">
        <v>4</v>
      </c>
      <c r="G2362" s="305" t="s">
        <v>1676</v>
      </c>
      <c r="H2362" s="303" t="s">
        <v>2795</v>
      </c>
      <c r="I2362" s="304">
        <f>I708</f>
        <v>30</v>
      </c>
      <c r="J2362" s="305" t="s">
        <v>1676</v>
      </c>
      <c r="K2362" s="299">
        <f>I2362*F2362</f>
        <v>120</v>
      </c>
      <c r="L2362" s="311"/>
    </row>
    <row r="2363" spans="1:12" ht="36" hidden="1">
      <c r="A2363" s="265"/>
      <c r="E2363" s="297"/>
      <c r="F2363" s="304">
        <v>1</v>
      </c>
      <c r="G2363" s="305" t="s">
        <v>2796</v>
      </c>
      <c r="H2363" s="303" t="s">
        <v>3511</v>
      </c>
      <c r="I2363" s="304">
        <v>40</v>
      </c>
      <c r="J2363" s="305" t="s">
        <v>455</v>
      </c>
      <c r="K2363" s="299">
        <f>I2363*F2363</f>
        <v>40</v>
      </c>
      <c r="L2363" s="299"/>
    </row>
    <row r="2364" spans="1:12" ht="18" hidden="1">
      <c r="A2364" s="265"/>
      <c r="E2364" s="297"/>
      <c r="F2364" s="299"/>
      <c r="G2364" s="297"/>
      <c r="H2364" s="312" t="s">
        <v>3512</v>
      </c>
      <c r="I2364" s="299"/>
      <c r="J2364" s="297"/>
      <c r="K2364" s="311">
        <f>SUM(K2361:K2363)</f>
        <v>563.79999999999995</v>
      </c>
      <c r="L2364" s="299"/>
    </row>
    <row r="2365" spans="1:12" ht="18" hidden="1">
      <c r="A2365" s="265"/>
      <c r="E2365" s="297"/>
      <c r="F2365" s="299"/>
      <c r="G2365" s="297"/>
      <c r="H2365" s="312" t="s">
        <v>3513</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305" t="s">
        <v>1419</v>
      </c>
      <c r="H2367" s="297" t="s">
        <v>3514</v>
      </c>
      <c r="I2367" s="304">
        <f>I2365</f>
        <v>14.1</v>
      </c>
      <c r="J2367" s="305" t="s">
        <v>1794</v>
      </c>
      <c r="K2367" s="299">
        <f>I2367*F2367</f>
        <v>267.89999999999998</v>
      </c>
      <c r="L2367" s="299"/>
    </row>
    <row r="2368" spans="1:12" ht="18" hidden="1">
      <c r="A2368" s="265"/>
      <c r="E2368" s="297"/>
      <c r="F2368" s="304">
        <v>0.12</v>
      </c>
      <c r="G2368" s="305" t="s">
        <v>372</v>
      </c>
      <c r="H2368" s="297" t="s">
        <v>3515</v>
      </c>
      <c r="I2368" s="304">
        <f>C268/5</f>
        <v>1879</v>
      </c>
      <c r="J2368" s="305" t="s">
        <v>372</v>
      </c>
      <c r="K2368" s="299">
        <f>I2368*F2368</f>
        <v>225.48</v>
      </c>
      <c r="L2368" s="299"/>
    </row>
    <row r="2369" spans="1:12" ht="18" hidden="1">
      <c r="A2369" s="265"/>
      <c r="E2369" s="297"/>
      <c r="F2369" s="304">
        <v>98.5</v>
      </c>
      <c r="G2369" s="305" t="s">
        <v>3516</v>
      </c>
      <c r="H2369" s="297" t="s">
        <v>2651</v>
      </c>
      <c r="I2369" s="304">
        <f>C269/5</f>
        <v>3</v>
      </c>
      <c r="J2369" s="305" t="s">
        <v>3516</v>
      </c>
      <c r="K2369" s="299">
        <f>I2369*F2369</f>
        <v>295.5</v>
      </c>
      <c r="L2369" s="313"/>
    </row>
    <row r="2370" spans="1:12" ht="18" hidden="1">
      <c r="A2370" s="265"/>
      <c r="E2370" s="297"/>
      <c r="F2370" s="1560" t="s">
        <v>455</v>
      </c>
      <c r="G2370" s="1560"/>
      <c r="H2370" s="297" t="s">
        <v>2652</v>
      </c>
      <c r="I2370" s="304">
        <v>11</v>
      </c>
      <c r="J2370" s="305" t="s">
        <v>455</v>
      </c>
      <c r="K2370" s="299">
        <f>I2370</f>
        <v>11</v>
      </c>
      <c r="L2370" s="313"/>
    </row>
    <row r="2371" spans="1:12" ht="21" hidden="1">
      <c r="A2371" s="265"/>
      <c r="E2371" s="297"/>
      <c r="F2371" s="304">
        <v>3.8</v>
      </c>
      <c r="G2371" s="305" t="s">
        <v>1419</v>
      </c>
      <c r="H2371" s="297" t="s">
        <v>2779</v>
      </c>
      <c r="I2371" s="304">
        <f>C16</f>
        <v>150</v>
      </c>
      <c r="J2371" s="305" t="s">
        <v>1419</v>
      </c>
      <c r="K2371" s="313">
        <f>I2371*F2371</f>
        <v>570</v>
      </c>
      <c r="L2371" s="313"/>
    </row>
    <row r="2372" spans="1:12" ht="21" hidden="1">
      <c r="A2372" s="265"/>
      <c r="E2372" s="297"/>
      <c r="F2372" s="304">
        <v>5.4</v>
      </c>
      <c r="G2372" s="305" t="s">
        <v>1419</v>
      </c>
      <c r="H2372" s="297" t="s">
        <v>2780</v>
      </c>
      <c r="I2372" s="304">
        <f>C12</f>
        <v>95</v>
      </c>
      <c r="J2372" s="305" t="s">
        <v>1419</v>
      </c>
      <c r="K2372" s="313">
        <f>I2372*F2372</f>
        <v>513</v>
      </c>
      <c r="L2372" s="299"/>
    </row>
    <row r="2373" spans="1:12" ht="21" hidden="1">
      <c r="A2373" s="265"/>
      <c r="E2373" s="297"/>
      <c r="F2373" s="304">
        <v>1</v>
      </c>
      <c r="G2373" s="305" t="s">
        <v>1419</v>
      </c>
      <c r="H2373" s="297" t="s">
        <v>2781</v>
      </c>
      <c r="I2373" s="304">
        <f>D17</f>
        <v>120</v>
      </c>
      <c r="J2373" s="305" t="s">
        <v>1419</v>
      </c>
      <c r="K2373" s="313">
        <f>I2373*F2373</f>
        <v>120</v>
      </c>
      <c r="L2373" s="314"/>
    </row>
    <row r="2374" spans="1:12" ht="18" hidden="1">
      <c r="A2374" s="265"/>
      <c r="E2374" s="297"/>
      <c r="F2374" s="1560" t="s">
        <v>455</v>
      </c>
      <c r="G2374" s="1560"/>
      <c r="H2374" s="297" t="s">
        <v>2653</v>
      </c>
      <c r="I2374" s="1560" t="s">
        <v>455</v>
      </c>
      <c r="J2374" s="1560"/>
      <c r="K2374" s="299">
        <v>10</v>
      </c>
      <c r="L2374" s="308"/>
    </row>
    <row r="2375" spans="1:12" ht="18" hidden="1">
      <c r="A2375" s="265"/>
      <c r="E2375" s="297"/>
      <c r="F2375" s="304">
        <v>19</v>
      </c>
      <c r="G2375" s="305" t="s">
        <v>1794</v>
      </c>
      <c r="H2375" s="297" t="s">
        <v>2654</v>
      </c>
      <c r="I2375" s="304">
        <v>2</v>
      </c>
      <c r="J2375" s="305" t="s">
        <v>455</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2782</v>
      </c>
      <c r="I2377" s="308">
        <f>K2376/10</f>
        <v>205.09</v>
      </c>
      <c r="J2377" s="297"/>
      <c r="K2377" s="299"/>
      <c r="L2377" s="299"/>
    </row>
    <row r="2378" spans="1:12" ht="18" hidden="1">
      <c r="A2378" s="265"/>
      <c r="E2378" s="297"/>
      <c r="F2378" s="299"/>
      <c r="G2378" s="297"/>
      <c r="H2378" s="298" t="s">
        <v>2655</v>
      </c>
      <c r="I2378" s="308">
        <f>I2377</f>
        <v>205.09</v>
      </c>
      <c r="J2378" s="315">
        <f>I2393</f>
        <v>12.32</v>
      </c>
      <c r="K2378" s="308">
        <f>I2378+J2378</f>
        <v>217.41</v>
      </c>
      <c r="L2378" s="299"/>
    </row>
    <row r="2379" spans="1:12" ht="36" hidden="1">
      <c r="A2379" s="265"/>
      <c r="E2379" s="309">
        <v>18.100000000000001</v>
      </c>
      <c r="F2379" s="301" t="s">
        <v>2656</v>
      </c>
      <c r="G2379" s="297"/>
      <c r="H2379" s="316" t="s">
        <v>3443</v>
      </c>
      <c r="I2379" s="299"/>
      <c r="J2379" s="297"/>
      <c r="K2379" s="299"/>
      <c r="L2379" s="299"/>
    </row>
    <row r="2380" spans="1:12" ht="18" hidden="1">
      <c r="A2380" s="265"/>
      <c r="E2380" s="297"/>
      <c r="F2380" s="299"/>
      <c r="G2380" s="297"/>
      <c r="H2380" s="297" t="s">
        <v>3444</v>
      </c>
      <c r="I2380" s="304">
        <f>K2376</f>
        <v>2050.88</v>
      </c>
      <c r="J2380" s="297"/>
      <c r="K2380" s="299"/>
      <c r="L2380" s="299"/>
    </row>
    <row r="2381" spans="1:12" ht="18" hidden="1">
      <c r="A2381" s="265"/>
      <c r="E2381" s="297"/>
      <c r="F2381" s="299"/>
      <c r="G2381" s="297"/>
      <c r="H2381" s="297" t="s">
        <v>2651</v>
      </c>
      <c r="I2381" s="304">
        <f>K2391</f>
        <v>369.6</v>
      </c>
      <c r="J2381" s="309" t="s">
        <v>3445</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2782</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3446</v>
      </c>
      <c r="I2385" s="299"/>
      <c r="J2385" s="297"/>
      <c r="K2385" s="299"/>
      <c r="L2385" s="304"/>
    </row>
    <row r="2386" spans="1:12" ht="36" hidden="1">
      <c r="A2386" s="265"/>
      <c r="E2386" s="297"/>
      <c r="F2386" s="299"/>
      <c r="G2386" s="297"/>
      <c r="H2386" s="316" t="s">
        <v>2399</v>
      </c>
      <c r="I2386" s="299"/>
      <c r="J2386" s="297"/>
      <c r="K2386" s="299"/>
      <c r="L2386" s="304"/>
    </row>
    <row r="2387" spans="1:12" ht="36" hidden="1">
      <c r="A2387" s="265"/>
      <c r="E2387" s="297"/>
      <c r="F2387" s="304">
        <v>98.5</v>
      </c>
      <c r="G2387" s="305" t="s">
        <v>3516</v>
      </c>
      <c r="H2387" s="317" t="s">
        <v>2400</v>
      </c>
      <c r="I2387" s="304">
        <f>I2369</f>
        <v>3</v>
      </c>
      <c r="J2387" s="305" t="s">
        <v>3516</v>
      </c>
      <c r="K2387" s="304">
        <f>I2387*F2387</f>
        <v>295.5</v>
      </c>
      <c r="L2387" s="304"/>
    </row>
    <row r="2388" spans="1:12" ht="21" hidden="1">
      <c r="A2388" s="265"/>
      <c r="E2388" s="297"/>
      <c r="F2388" s="304">
        <v>0.3</v>
      </c>
      <c r="G2388" s="305" t="s">
        <v>1794</v>
      </c>
      <c r="H2388" s="317" t="s">
        <v>2783</v>
      </c>
      <c r="I2388" s="304">
        <f>I2371</f>
        <v>150</v>
      </c>
      <c r="J2388" s="305" t="s">
        <v>1794</v>
      </c>
      <c r="K2388" s="304">
        <f>I2388*F2388</f>
        <v>45</v>
      </c>
      <c r="L2388" s="304"/>
    </row>
    <row r="2389" spans="1:12" ht="21" hidden="1">
      <c r="A2389" s="265"/>
      <c r="E2389" s="297"/>
      <c r="F2389" s="304">
        <v>0.3</v>
      </c>
      <c r="G2389" s="305" t="s">
        <v>1794</v>
      </c>
      <c r="H2389" s="317" t="s">
        <v>2784</v>
      </c>
      <c r="I2389" s="304">
        <f>I2372</f>
        <v>95</v>
      </c>
      <c r="J2389" s="305" t="s">
        <v>1794</v>
      </c>
      <c r="K2389" s="304">
        <f>I2389*F2389</f>
        <v>28.5</v>
      </c>
      <c r="L2389" s="301"/>
    </row>
    <row r="2390" spans="1:12" ht="18" hidden="1">
      <c r="A2390" s="265"/>
      <c r="E2390" s="297"/>
      <c r="F2390" s="299"/>
      <c r="G2390" s="297"/>
      <c r="H2390" s="318" t="s">
        <v>2401</v>
      </c>
      <c r="I2390" s="1561" t="s">
        <v>455</v>
      </c>
      <c r="J2390" s="1561"/>
      <c r="K2390" s="304">
        <v>0.6</v>
      </c>
      <c r="L2390" s="299"/>
    </row>
    <row r="2391" spans="1:12" ht="21" hidden="1">
      <c r="A2391" s="265"/>
      <c r="E2391" s="297"/>
      <c r="F2391" s="299"/>
      <c r="G2391" s="297"/>
      <c r="H2391" s="318" t="s">
        <v>2785</v>
      </c>
      <c r="I2391" s="299"/>
      <c r="J2391" s="297"/>
      <c r="K2391" s="301">
        <f>SUM(K2387:K2390)</f>
        <v>369.6</v>
      </c>
      <c r="L2391" s="299"/>
    </row>
    <row r="2392" spans="1:12" ht="21" hidden="1">
      <c r="A2392" s="265"/>
      <c r="E2392" s="297"/>
      <c r="F2392" s="299"/>
      <c r="G2392" s="297"/>
      <c r="H2392" s="318" t="s">
        <v>2786</v>
      </c>
      <c r="I2392" s="308">
        <f>K2391/10</f>
        <v>36.96</v>
      </c>
      <c r="J2392" s="297"/>
      <c r="K2392" s="299"/>
      <c r="L2392" s="299"/>
    </row>
    <row r="2393" spans="1:12" ht="18" hidden="1">
      <c r="A2393" s="265"/>
      <c r="E2393" s="297"/>
      <c r="F2393" s="299"/>
      <c r="G2393" s="297"/>
      <c r="H2393" s="318" t="s">
        <v>2402</v>
      </c>
      <c r="I2393" s="308">
        <f>I2392/3</f>
        <v>12.32</v>
      </c>
      <c r="J2393" s="297"/>
      <c r="K2393" s="299"/>
      <c r="L2393" s="299"/>
    </row>
    <row r="2394" spans="1:12" ht="18" hidden="1">
      <c r="A2394" s="265"/>
      <c r="E2394" s="297"/>
      <c r="F2394" s="299"/>
      <c r="G2394" s="297"/>
      <c r="H2394" s="317"/>
      <c r="I2394" s="299"/>
      <c r="J2394" s="297"/>
      <c r="K2394" s="299"/>
      <c r="L2394" s="299"/>
    </row>
    <row r="2395" spans="1:12" ht="54" hidden="1">
      <c r="A2395" s="265"/>
      <c r="E2395" s="309">
        <v>18.100000000000001</v>
      </c>
      <c r="F2395" s="301" t="s">
        <v>2317</v>
      </c>
      <c r="G2395" s="297"/>
      <c r="H2395" s="319" t="s">
        <v>3078</v>
      </c>
      <c r="I2395" s="301">
        <f>I2377*1.2</f>
        <v>246.11</v>
      </c>
      <c r="J2395" s="297"/>
      <c r="K2395" s="299"/>
    </row>
    <row r="2396" spans="1:12" ht="36" hidden="1">
      <c r="A2396" s="265"/>
      <c r="E2396" s="300">
        <v>18.100000000000001</v>
      </c>
      <c r="F2396" s="301" t="s">
        <v>3079</v>
      </c>
      <c r="G2396" s="297"/>
      <c r="H2396" s="320" t="s">
        <v>3080</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3.25" hidden="1">
      <c r="A2399" s="265"/>
      <c r="E2399" s="143"/>
      <c r="F2399"/>
      <c r="G2399" s="3"/>
      <c r="H2399" s="321" t="s">
        <v>2425</v>
      </c>
      <c r="I2399"/>
      <c r="J2399" s="4"/>
      <c r="K2399" s="8"/>
    </row>
    <row r="2400" spans="1:12" hidden="1">
      <c r="A2400" s="265"/>
      <c r="E2400" s="143"/>
      <c r="F2400" s="322">
        <v>18.100000000000001</v>
      </c>
      <c r="G2400" s="7" t="s">
        <v>2290</v>
      </c>
      <c r="H2400" s="1" t="s">
        <v>11</v>
      </c>
      <c r="I2400"/>
      <c r="J2400" s="4"/>
      <c r="K2400"/>
    </row>
    <row r="2401" spans="1:11" hidden="1">
      <c r="A2401" s="265"/>
      <c r="E2401" s="143"/>
      <c r="F2401"/>
      <c r="G2401" s="3"/>
      <c r="H2401" s="1" t="s">
        <v>661</v>
      </c>
      <c r="I2401"/>
      <c r="J2401" s="4"/>
      <c r="K2401"/>
    </row>
    <row r="2402" spans="1:11" hidden="1">
      <c r="A2402" s="265"/>
      <c r="E2402" s="143"/>
      <c r="F2402"/>
      <c r="G2402" s="3"/>
      <c r="H2402" s="1" t="s">
        <v>663</v>
      </c>
      <c r="I2402"/>
      <c r="J2402" s="4"/>
      <c r="K2402"/>
    </row>
    <row r="2403" spans="1:11" hidden="1">
      <c r="A2403" s="265"/>
      <c r="E2403" s="143"/>
      <c r="F2403"/>
      <c r="G2403" s="3"/>
      <c r="H2403" s="1" t="s">
        <v>524</v>
      </c>
      <c r="I2403"/>
      <c r="J2403" s="4"/>
      <c r="K2403"/>
    </row>
    <row r="2404" spans="1:11" hidden="1">
      <c r="A2404" s="265"/>
      <c r="E2404" s="143"/>
      <c r="F2404"/>
      <c r="G2404" s="3"/>
      <c r="H2404" s="1" t="s">
        <v>526</v>
      </c>
      <c r="I2404"/>
      <c r="J2404" s="4"/>
      <c r="K2404"/>
    </row>
    <row r="2405" spans="1:11" hidden="1">
      <c r="A2405" s="265"/>
      <c r="E2405" s="143"/>
      <c r="F2405"/>
      <c r="G2405" s="3"/>
      <c r="H2405" s="1" t="s">
        <v>2</v>
      </c>
      <c r="I2405"/>
      <c r="J2405" s="4"/>
      <c r="K2405"/>
    </row>
    <row r="2406" spans="1:11" hidden="1">
      <c r="A2406" s="265"/>
      <c r="E2406" s="143"/>
      <c r="F2406"/>
      <c r="G2406" s="3"/>
      <c r="H2406" s="1" t="s">
        <v>1250</v>
      </c>
      <c r="I2406"/>
      <c r="J2406" s="4"/>
      <c r="K2406"/>
    </row>
    <row r="2407" spans="1:11" hidden="1">
      <c r="A2407" s="265"/>
      <c r="E2407" s="143"/>
      <c r="F2407"/>
      <c r="G2407" s="3"/>
      <c r="H2407" s="5" t="s">
        <v>1615</v>
      </c>
      <c r="I2407" s="5" t="s">
        <v>1615</v>
      </c>
      <c r="J2407" s="2" t="s">
        <v>1615</v>
      </c>
      <c r="K2407"/>
    </row>
    <row r="2408" spans="1:11" hidden="1">
      <c r="A2408" s="265"/>
      <c r="E2408" s="143"/>
      <c r="F2408" s="8">
        <v>13.46</v>
      </c>
      <c r="G2408" s="7" t="s">
        <v>272</v>
      </c>
      <c r="H2408" s="1" t="s">
        <v>273</v>
      </c>
      <c r="I2408" s="8">
        <f>I2361</f>
        <v>30</v>
      </c>
      <c r="J2408" s="2" t="s">
        <v>272</v>
      </c>
      <c r="K2408" s="8">
        <f>(F2408*I2408)</f>
        <v>403.8</v>
      </c>
    </row>
    <row r="2409" spans="1:11" hidden="1">
      <c r="A2409" s="265"/>
      <c r="E2409" s="143"/>
      <c r="F2409"/>
      <c r="G2409" s="3"/>
      <c r="H2409" s="1" t="s">
        <v>997</v>
      </c>
      <c r="I2409"/>
      <c r="J2409" s="4"/>
      <c r="K2409"/>
    </row>
    <row r="2410" spans="1:11" hidden="1">
      <c r="A2410" s="265"/>
      <c r="E2410" s="143"/>
      <c r="F2410" s="8">
        <v>4</v>
      </c>
      <c r="G2410" s="7" t="s">
        <v>272</v>
      </c>
      <c r="H2410" s="1" t="s">
        <v>999</v>
      </c>
      <c r="I2410" s="8">
        <f>I2362</f>
        <v>30</v>
      </c>
      <c r="J2410" s="2" t="s">
        <v>272</v>
      </c>
      <c r="K2410" s="8">
        <f>(F2410*I2410)</f>
        <v>120</v>
      </c>
    </row>
    <row r="2411" spans="1:11" hidden="1">
      <c r="A2411" s="265"/>
      <c r="E2411" s="143"/>
      <c r="F2411"/>
      <c r="G2411" s="3"/>
      <c r="H2411" s="1" t="s">
        <v>1050</v>
      </c>
      <c r="I2411"/>
      <c r="J2411" s="4"/>
      <c r="K2411"/>
    </row>
    <row r="2412" spans="1:11" hidden="1">
      <c r="A2412" s="265"/>
      <c r="E2412" s="143"/>
      <c r="F2412" s="8"/>
      <c r="G2412" s="7" t="s">
        <v>455</v>
      </c>
      <c r="H2412" s="1" t="s">
        <v>1687</v>
      </c>
      <c r="I2412"/>
      <c r="J2412" s="2" t="s">
        <v>455</v>
      </c>
      <c r="K2412" s="8">
        <v>40</v>
      </c>
    </row>
    <row r="2413" spans="1:11" hidden="1">
      <c r="A2413" s="265"/>
      <c r="E2413" s="143"/>
      <c r="F2413"/>
      <c r="G2413" s="3"/>
      <c r="H2413" s="1" t="s">
        <v>1689</v>
      </c>
      <c r="I2413"/>
      <c r="J2413" s="4"/>
      <c r="K2413" s="5" t="s">
        <v>1615</v>
      </c>
    </row>
    <row r="2414" spans="1:11" hidden="1">
      <c r="A2414" s="265"/>
      <c r="E2414" s="143"/>
      <c r="F2414"/>
      <c r="G2414" s="3"/>
      <c r="H2414" s="2" t="s">
        <v>25</v>
      </c>
      <c r="I2414"/>
      <c r="J2414" s="4"/>
      <c r="K2414" s="8">
        <f>SUM(K2408:K2412)</f>
        <v>563.79999999999995</v>
      </c>
    </row>
    <row r="2415" spans="1:11" ht="17.25" hidden="1">
      <c r="A2415" s="265"/>
      <c r="E2415" s="280"/>
      <c r="F2415"/>
      <c r="G2415" s="3"/>
      <c r="H2415"/>
      <c r="I2415"/>
      <c r="J2415" s="4"/>
      <c r="K2415" s="5" t="s">
        <v>1615</v>
      </c>
    </row>
    <row r="2416" spans="1:11" ht="17.25" hidden="1">
      <c r="A2416" s="265"/>
      <c r="E2416" s="280"/>
      <c r="F2416"/>
      <c r="G2416" s="3"/>
      <c r="H2416" s="2" t="s">
        <v>29</v>
      </c>
      <c r="I2416"/>
      <c r="J2416" s="4"/>
      <c r="K2416" s="8">
        <f>K2414/40</f>
        <v>14.1</v>
      </c>
    </row>
    <row r="2417" spans="1:11" ht="17.25" hidden="1">
      <c r="A2417" s="265"/>
      <c r="E2417" s="280"/>
      <c r="F2417"/>
      <c r="G2417" s="3"/>
      <c r="H2417"/>
      <c r="I2417"/>
      <c r="J2417" s="4"/>
      <c r="K2417" s="5" t="s">
        <v>1615</v>
      </c>
    </row>
    <row r="2418" spans="1:11" ht="17.25" hidden="1">
      <c r="A2418" s="265"/>
      <c r="E2418" s="280"/>
      <c r="F2418"/>
      <c r="G2418" s="3"/>
      <c r="H2418" s="1" t="s">
        <v>913</v>
      </c>
      <c r="I2418"/>
      <c r="J2418" s="4"/>
      <c r="K2418"/>
    </row>
    <row r="2419" spans="1:11" ht="17.25" hidden="1">
      <c r="A2419" s="265"/>
      <c r="E2419" s="280"/>
      <c r="F2419"/>
      <c r="G2419" s="3"/>
      <c r="H2419" s="1" t="s">
        <v>318</v>
      </c>
      <c r="I2419"/>
      <c r="J2419" s="4"/>
      <c r="K2419"/>
    </row>
    <row r="2420" spans="1:11" ht="17.25" hidden="1">
      <c r="A2420" s="265"/>
      <c r="E2420" s="280"/>
      <c r="F2420"/>
      <c r="G2420" s="3"/>
      <c r="H2420" s="1" t="s">
        <v>320</v>
      </c>
      <c r="I2420"/>
      <c r="J2420" s="4"/>
      <c r="K2420"/>
    </row>
    <row r="2421" spans="1:11" ht="17.25" hidden="1">
      <c r="A2421" s="265"/>
      <c r="E2421" s="280"/>
      <c r="F2421"/>
      <c r="G2421" s="3"/>
      <c r="H2421"/>
      <c r="I2421"/>
      <c r="J2421" s="4"/>
      <c r="K2421"/>
    </row>
    <row r="2422" spans="1:11" ht="17.25" hidden="1">
      <c r="A2422" s="265"/>
      <c r="E2422" s="280"/>
      <c r="F2422" s="8">
        <v>19</v>
      </c>
      <c r="G2422" s="7" t="s">
        <v>1457</v>
      </c>
      <c r="H2422" s="1" t="s">
        <v>70</v>
      </c>
      <c r="I2422" s="8">
        <f>K2416</f>
        <v>14.1</v>
      </c>
      <c r="J2422" s="2" t="s">
        <v>263</v>
      </c>
      <c r="K2422" s="8">
        <f>(F2422*I2422)</f>
        <v>267.89999999999998</v>
      </c>
    </row>
    <row r="2423" spans="1:11" ht="17.25" hidden="1">
      <c r="A2423" s="265"/>
      <c r="E2423" s="280"/>
      <c r="F2423"/>
      <c r="G2423" s="3"/>
      <c r="H2423" s="1" t="s">
        <v>1691</v>
      </c>
      <c r="I2423"/>
      <c r="J2423" s="4"/>
      <c r="K2423" s="8"/>
    </row>
    <row r="2424" spans="1:11" ht="17.25" hidden="1">
      <c r="A2424" s="265"/>
      <c r="E2424" s="280"/>
      <c r="F2424" s="8">
        <v>0.12</v>
      </c>
      <c r="G2424" s="7" t="s">
        <v>2190</v>
      </c>
      <c r="H2424" s="1" t="s">
        <v>2999</v>
      </c>
      <c r="I2424" s="8">
        <f>9395/5</f>
        <v>1879</v>
      </c>
      <c r="J2424" s="2" t="s">
        <v>263</v>
      </c>
      <c r="K2424" s="8">
        <f t="shared" ref="K2424:K2431" si="79">(F2424*I2424)</f>
        <v>225.48</v>
      </c>
    </row>
    <row r="2425" spans="1:11" ht="17.25" hidden="1">
      <c r="A2425" s="265"/>
      <c r="E2425" s="280"/>
      <c r="F2425" s="8">
        <v>98.5</v>
      </c>
      <c r="G2425" s="7" t="s">
        <v>842</v>
      </c>
      <c r="H2425" s="1" t="s">
        <v>843</v>
      </c>
      <c r="I2425" s="8">
        <f>I2369</f>
        <v>3</v>
      </c>
      <c r="J2425" s="2" t="s">
        <v>263</v>
      </c>
      <c r="K2425" s="8">
        <f t="shared" si="79"/>
        <v>295.5</v>
      </c>
    </row>
    <row r="2426" spans="1:11" ht="17.25" hidden="1">
      <c r="A2426" s="265"/>
      <c r="E2426" s="280"/>
      <c r="F2426" s="8">
        <v>1</v>
      </c>
      <c r="G2426" s="7" t="s">
        <v>455</v>
      </c>
      <c r="H2426" s="1" t="s">
        <v>1416</v>
      </c>
      <c r="I2426" s="8">
        <v>11</v>
      </c>
      <c r="J2426" s="2" t="s">
        <v>455</v>
      </c>
      <c r="K2426" s="8">
        <f t="shared" si="79"/>
        <v>11</v>
      </c>
    </row>
    <row r="2427" spans="1:11" ht="17.25" hidden="1">
      <c r="A2427" s="265"/>
      <c r="E2427" s="280"/>
      <c r="F2427" s="8">
        <v>3.8</v>
      </c>
      <c r="G2427" s="7" t="s">
        <v>1419</v>
      </c>
      <c r="H2427" s="1" t="s">
        <v>1420</v>
      </c>
      <c r="I2427" s="8">
        <f>C16</f>
        <v>150</v>
      </c>
      <c r="J2427" s="2" t="s">
        <v>1423</v>
      </c>
      <c r="K2427" s="8">
        <f t="shared" si="79"/>
        <v>570</v>
      </c>
    </row>
    <row r="2428" spans="1:11" ht="17.25" hidden="1">
      <c r="A2428" s="265"/>
      <c r="E2428" s="280"/>
      <c r="F2428" s="8">
        <v>5.4</v>
      </c>
      <c r="G2428" s="7" t="s">
        <v>1419</v>
      </c>
      <c r="H2428" s="1" t="s">
        <v>839</v>
      </c>
      <c r="I2428" s="8">
        <f>C12</f>
        <v>95</v>
      </c>
      <c r="J2428" s="2" t="s">
        <v>1423</v>
      </c>
      <c r="K2428" s="8">
        <f t="shared" si="79"/>
        <v>513</v>
      </c>
    </row>
    <row r="2429" spans="1:11" ht="17.25" hidden="1">
      <c r="A2429" s="265"/>
      <c r="E2429" s="280"/>
      <c r="F2429" s="8">
        <v>1</v>
      </c>
      <c r="G2429" s="7" t="s">
        <v>1419</v>
      </c>
      <c r="H2429" s="1" t="s">
        <v>2325</v>
      </c>
      <c r="I2429" s="8">
        <f>D17</f>
        <v>120</v>
      </c>
      <c r="J2429" s="2" t="s">
        <v>1423</v>
      </c>
      <c r="K2429" s="8">
        <f t="shared" si="79"/>
        <v>120</v>
      </c>
    </row>
    <row r="2430" spans="1:11" ht="17.25" hidden="1">
      <c r="A2430" s="265"/>
      <c r="E2430" s="280"/>
      <c r="F2430" s="8">
        <v>1</v>
      </c>
      <c r="G2430" s="7" t="s">
        <v>455</v>
      </c>
      <c r="H2430" s="1" t="s">
        <v>791</v>
      </c>
      <c r="I2430" s="8">
        <v>10</v>
      </c>
      <c r="J2430" s="2" t="s">
        <v>455</v>
      </c>
      <c r="K2430" s="8">
        <f t="shared" si="79"/>
        <v>10</v>
      </c>
    </row>
    <row r="2431" spans="1:11" ht="17.25" hidden="1">
      <c r="A2431" s="265"/>
      <c r="E2431" s="280"/>
      <c r="F2431" s="8">
        <v>19</v>
      </c>
      <c r="G2431" s="7" t="s">
        <v>1457</v>
      </c>
      <c r="H2431" s="1" t="s">
        <v>793</v>
      </c>
      <c r="I2431" s="8">
        <v>2</v>
      </c>
      <c r="J2431" s="2" t="s">
        <v>1457</v>
      </c>
      <c r="K2431" s="8">
        <f t="shared" si="79"/>
        <v>38</v>
      </c>
    </row>
    <row r="2432" spans="1:11" ht="17.25" hidden="1">
      <c r="A2432" s="265"/>
      <c r="E2432" s="280"/>
      <c r="F2432"/>
      <c r="G2432" s="3"/>
      <c r="H2432" s="1" t="s">
        <v>510</v>
      </c>
      <c r="I2432"/>
      <c r="J2432" s="4"/>
      <c r="K2432" s="5" t="s">
        <v>1615</v>
      </c>
    </row>
    <row r="2433" spans="1:11" ht="17.25" hidden="1">
      <c r="A2433" s="265"/>
      <c r="E2433" s="280"/>
      <c r="F2433"/>
      <c r="G2433" s="3"/>
      <c r="H2433" s="2" t="s">
        <v>447</v>
      </c>
      <c r="I2433"/>
      <c r="J2433" s="4"/>
      <c r="K2433" s="8">
        <f>SUM(K2422:K2431)</f>
        <v>2050.88</v>
      </c>
    </row>
    <row r="2434" spans="1:11" ht="17.25" hidden="1">
      <c r="A2434" s="265"/>
      <c r="E2434" s="280"/>
      <c r="F2434"/>
      <c r="G2434" s="3"/>
      <c r="H2434"/>
      <c r="I2434"/>
      <c r="J2434" s="4"/>
      <c r="K2434" s="5" t="s">
        <v>1615</v>
      </c>
    </row>
    <row r="2435" spans="1:11" ht="17.25" hidden="1">
      <c r="A2435" s="265"/>
      <c r="E2435" s="280"/>
      <c r="F2435"/>
      <c r="G2435" s="3"/>
      <c r="H2435" s="2" t="s">
        <v>562</v>
      </c>
      <c r="I2435"/>
      <c r="J2435" s="4"/>
      <c r="K2435" s="8">
        <f>(K2433/10)</f>
        <v>205.09</v>
      </c>
    </row>
    <row r="2436" spans="1:11" ht="17.25" hidden="1">
      <c r="A2436" s="265"/>
      <c r="E2436" s="280"/>
      <c r="F2436" s="1" t="s">
        <v>992</v>
      </c>
      <c r="G2436" s="3"/>
      <c r="H2436"/>
      <c r="I2436"/>
      <c r="J2436" s="4"/>
      <c r="K2436"/>
    </row>
    <row r="2437" spans="1:11" ht="17.25" hidden="1">
      <c r="A2437" s="265"/>
      <c r="E2437" s="280"/>
      <c r="F2437"/>
      <c r="G2437" s="3"/>
      <c r="H2437"/>
      <c r="I2437"/>
      <c r="J2437" s="4"/>
      <c r="K2437" s="5" t="s">
        <v>2091</v>
      </c>
    </row>
    <row r="2438" spans="1:11" ht="30" hidden="1">
      <c r="A2438" s="265"/>
      <c r="E2438" s="280"/>
      <c r="F2438" s="323" t="s">
        <v>2656</v>
      </c>
      <c r="G2438" s="32"/>
      <c r="H2438" s="324" t="s">
        <v>3520</v>
      </c>
      <c r="I2438"/>
      <c r="J2438" s="4"/>
      <c r="K2438"/>
    </row>
    <row r="2439" spans="1:11" ht="17.25" hidden="1">
      <c r="A2439" s="265"/>
      <c r="E2439" s="280"/>
      <c r="F2439" s="32"/>
      <c r="G2439" s="3"/>
      <c r="H2439"/>
      <c r="I2439"/>
      <c r="J2439" s="4"/>
      <c r="K2439" s="55"/>
    </row>
    <row r="2440" spans="1:11" ht="17.25" hidden="1">
      <c r="A2440" s="265"/>
      <c r="E2440" s="280"/>
      <c r="F2440">
        <v>98.5</v>
      </c>
      <c r="G2440" s="3" t="s">
        <v>842</v>
      </c>
      <c r="H2440" s="1" t="s">
        <v>843</v>
      </c>
      <c r="I2440" s="8">
        <f>I2425</f>
        <v>3</v>
      </c>
      <c r="J2440" s="2" t="s">
        <v>263</v>
      </c>
      <c r="K2440">
        <f>(F2440*I2440)</f>
        <v>295.5</v>
      </c>
    </row>
    <row r="2441" spans="1:11" ht="17.25" hidden="1">
      <c r="A2441" s="265"/>
      <c r="E2441" s="280"/>
      <c r="F2441">
        <v>0.3</v>
      </c>
      <c r="G2441" s="3" t="s">
        <v>1419</v>
      </c>
      <c r="H2441" s="1" t="s">
        <v>1420</v>
      </c>
      <c r="I2441" s="8">
        <f>I2427</f>
        <v>150</v>
      </c>
      <c r="J2441" s="2" t="s">
        <v>1423</v>
      </c>
      <c r="K2441">
        <f>(F2441*I2441)</f>
        <v>45</v>
      </c>
    </row>
    <row r="2442" spans="1:11" ht="17.25" hidden="1">
      <c r="A2442" s="265"/>
      <c r="E2442" s="280"/>
      <c r="F2442">
        <v>0.3</v>
      </c>
      <c r="G2442" s="3" t="s">
        <v>1419</v>
      </c>
      <c r="H2442" s="1" t="s">
        <v>839</v>
      </c>
      <c r="I2442" s="8">
        <f>I2428</f>
        <v>95</v>
      </c>
      <c r="J2442" s="2" t="s">
        <v>1423</v>
      </c>
      <c r="K2442">
        <f>(F2442*I2442)</f>
        <v>28.5</v>
      </c>
    </row>
    <row r="2443" spans="1:11" ht="17.25" hidden="1">
      <c r="A2443" s="265"/>
      <c r="E2443" s="280"/>
      <c r="F2443"/>
      <c r="G2443" s="3"/>
      <c r="H2443" s="1" t="s">
        <v>2310</v>
      </c>
      <c r="I2443"/>
      <c r="J2443" s="4" t="s">
        <v>69</v>
      </c>
      <c r="K2443" s="55">
        <v>0.6</v>
      </c>
    </row>
    <row r="2444" spans="1:11" ht="17.25" hidden="1">
      <c r="A2444" s="265"/>
      <c r="E2444" s="280"/>
      <c r="F2444"/>
      <c r="G2444" s="3"/>
      <c r="H2444" s="2" t="s">
        <v>447</v>
      </c>
      <c r="I2444"/>
      <c r="J2444" s="4"/>
      <c r="K2444">
        <f>SUM(K2440:K2443)</f>
        <v>369.6</v>
      </c>
    </row>
    <row r="2445" spans="1:11" ht="17.25" hidden="1">
      <c r="A2445" s="265"/>
      <c r="E2445" s="280"/>
      <c r="F2445"/>
      <c r="G2445" s="3"/>
      <c r="H2445" s="1"/>
      <c r="I2445"/>
      <c r="J2445" s="4"/>
      <c r="K2445" s="55" t="s">
        <v>434</v>
      </c>
    </row>
    <row r="2446" spans="1:11" ht="17.25" hidden="1">
      <c r="A2446" s="265"/>
      <c r="E2446" s="280"/>
      <c r="F2446"/>
      <c r="G2446" s="3"/>
      <c r="H2446" s="2" t="s">
        <v>562</v>
      </c>
      <c r="I2446"/>
      <c r="J2446" s="4"/>
      <c r="K2446">
        <f>K2444/10</f>
        <v>36.96</v>
      </c>
    </row>
    <row r="2447" spans="1:11" ht="17.25" hidden="1">
      <c r="A2447" s="265"/>
      <c r="E2447" s="280"/>
      <c r="F2447"/>
      <c r="G2447" s="3"/>
      <c r="H2447" s="2"/>
      <c r="I2447"/>
      <c r="J2447" s="4"/>
      <c r="K2447"/>
    </row>
    <row r="2448" spans="1:11" ht="32.25" hidden="1">
      <c r="A2448" s="265"/>
      <c r="E2448" s="280"/>
      <c r="F2448"/>
      <c r="G2448" s="3"/>
      <c r="H2448" s="22" t="s">
        <v>3521</v>
      </c>
      <c r="I2448"/>
      <c r="J2448" s="4" t="s">
        <v>3522</v>
      </c>
      <c r="K2448">
        <f>K2435-K2446</f>
        <v>168.13</v>
      </c>
    </row>
    <row r="2449" spans="1:11" ht="17.25" hidden="1">
      <c r="A2449" s="265"/>
      <c r="E2449" s="280"/>
      <c r="F2449"/>
      <c r="G2449" s="3"/>
      <c r="H2449" s="1"/>
      <c r="I2449"/>
      <c r="J2449" s="4"/>
      <c r="K2449" s="55" t="s">
        <v>34</v>
      </c>
    </row>
    <row r="2450" spans="1:11" ht="17.25" hidden="1">
      <c r="A2450" s="265"/>
      <c r="E2450" s="280"/>
      <c r="F2450"/>
      <c r="G2450" s="3"/>
      <c r="H2450"/>
      <c r="I2450"/>
      <c r="J2450" s="4"/>
      <c r="K2450"/>
    </row>
    <row r="2451" spans="1:11" ht="45" hidden="1">
      <c r="A2451" s="265"/>
      <c r="E2451" s="280"/>
      <c r="F2451" s="323" t="s">
        <v>3265</v>
      </c>
      <c r="G2451" s="3"/>
      <c r="H2451" s="324" t="s">
        <v>3081</v>
      </c>
      <c r="I2451"/>
      <c r="J2451" s="4" t="s">
        <v>3522</v>
      </c>
      <c r="K2451">
        <f>K2435</f>
        <v>205.09</v>
      </c>
    </row>
    <row r="2452" spans="1:11" ht="17.25" hidden="1">
      <c r="A2452" s="265"/>
      <c r="E2452" s="280"/>
      <c r="F2452"/>
      <c r="H2452" s="179"/>
      <c r="I2452"/>
      <c r="J2452" s="4"/>
      <c r="K2452" s="55" t="s">
        <v>34</v>
      </c>
    </row>
    <row r="2453" spans="1:11" ht="30" hidden="1">
      <c r="A2453" s="265"/>
      <c r="E2453" s="280"/>
      <c r="F2453" s="323" t="s">
        <v>2317</v>
      </c>
      <c r="H2453" s="324" t="s">
        <v>3078</v>
      </c>
      <c r="I2453"/>
      <c r="J2453" s="4" t="s">
        <v>3522</v>
      </c>
      <c r="K2453" s="55">
        <f>K2451*1.2</f>
        <v>246.11</v>
      </c>
    </row>
    <row r="2454" spans="1:11" ht="17.25" hidden="1">
      <c r="A2454" s="265"/>
      <c r="E2454" s="280"/>
      <c r="F2454"/>
      <c r="I2454"/>
      <c r="J2454" s="4"/>
      <c r="K2454" s="55" t="s">
        <v>1248</v>
      </c>
    </row>
    <row r="2455" spans="1:11" ht="19.5" hidden="1">
      <c r="A2455" s="265"/>
      <c r="E2455" s="280"/>
      <c r="F2455" s="323" t="s">
        <v>3079</v>
      </c>
      <c r="H2455" s="324" t="s">
        <v>3080</v>
      </c>
      <c r="I2455"/>
      <c r="J2455" s="4" t="s">
        <v>3522</v>
      </c>
      <c r="K2455">
        <f>K2451*1.1</f>
        <v>225.6</v>
      </c>
    </row>
    <row r="2456" spans="1:11" ht="17.25" hidden="1">
      <c r="A2456" s="265"/>
      <c r="E2456" s="280"/>
      <c r="F2456"/>
      <c r="G2456" s="3"/>
      <c r="H2456"/>
      <c r="I2456"/>
      <c r="J2456" s="4"/>
      <c r="K2456" s="55" t="s">
        <v>1248</v>
      </c>
    </row>
    <row r="2457" spans="1:11" ht="17.25" hidden="1">
      <c r="A2457" s="265"/>
      <c r="E2457" s="280"/>
      <c r="F2457"/>
      <c r="G2457" s="3"/>
      <c r="H2457"/>
      <c r="I2457"/>
      <c r="J2457" s="4"/>
      <c r="K2457"/>
    </row>
    <row r="2458" spans="1:11" ht="17.25" hidden="1">
      <c r="A2458" s="265"/>
      <c r="E2458" s="280"/>
      <c r="F2458">
        <v>50.6</v>
      </c>
      <c r="G2458" s="7" t="s">
        <v>687</v>
      </c>
      <c r="H2458" s="1" t="s">
        <v>1169</v>
      </c>
      <c r="I2458"/>
      <c r="J2458" s="4"/>
      <c r="K2458"/>
    </row>
    <row r="2459" spans="1:11" ht="32.25" hidden="1">
      <c r="A2459" s="265"/>
      <c r="E2459" s="280"/>
      <c r="F2459"/>
      <c r="G2459" s="3"/>
      <c r="H2459" s="22" t="s">
        <v>2787</v>
      </c>
      <c r="I2459"/>
      <c r="J2459" s="4"/>
      <c r="K2459"/>
    </row>
    <row r="2460" spans="1:11" ht="17.25" hidden="1">
      <c r="A2460" s="265"/>
      <c r="E2460" s="280"/>
      <c r="F2460"/>
      <c r="G2460" s="3"/>
      <c r="H2460" s="5" t="s">
        <v>1615</v>
      </c>
      <c r="I2460" s="5" t="s">
        <v>1615</v>
      </c>
      <c r="J2460" s="4"/>
      <c r="K2460"/>
    </row>
    <row r="2461" spans="1:11" ht="18.75" hidden="1">
      <c r="A2461" s="265"/>
      <c r="E2461" s="280"/>
      <c r="F2461"/>
      <c r="G2461" s="3"/>
      <c r="H2461" s="5" t="s">
        <v>2788</v>
      </c>
      <c r="I2461" s="5"/>
      <c r="J2461" s="4"/>
      <c r="K2461"/>
    </row>
    <row r="2462" spans="1:11" ht="18.75" hidden="1">
      <c r="A2462" s="265"/>
      <c r="E2462" s="280"/>
      <c r="F2462"/>
      <c r="G2462" s="3"/>
      <c r="H2462" s="5" t="s">
        <v>3119</v>
      </c>
      <c r="I2462" s="5"/>
      <c r="J2462" s="4"/>
      <c r="K2462"/>
    </row>
    <row r="2463" spans="1:11" ht="17.25" hidden="1">
      <c r="A2463" s="265"/>
      <c r="E2463" s="280"/>
      <c r="F2463"/>
      <c r="G2463" s="3"/>
      <c r="H2463" s="5"/>
      <c r="I2463" s="5"/>
      <c r="J2463" s="4"/>
      <c r="K2463"/>
    </row>
    <row r="2464" spans="1:11" ht="17.25" hidden="1">
      <c r="A2464" s="265"/>
      <c r="E2464" s="280"/>
      <c r="F2464"/>
      <c r="G2464" s="3"/>
      <c r="H2464"/>
      <c r="I2464"/>
      <c r="J2464" s="4"/>
      <c r="K2464"/>
    </row>
    <row r="2465" spans="1:11" ht="17.25" hidden="1">
      <c r="A2465" s="265"/>
      <c r="E2465" s="280"/>
      <c r="F2465" s="12">
        <v>1.96</v>
      </c>
      <c r="G2465" s="7" t="s">
        <v>2190</v>
      </c>
      <c r="H2465" s="1" t="s">
        <v>448</v>
      </c>
      <c r="I2465" s="8" t="e">
        <f>K1644</f>
        <v>#REF!</v>
      </c>
      <c r="J2465" s="2" t="s">
        <v>2190</v>
      </c>
      <c r="K2465" s="8" t="e">
        <f t="shared" ref="K2465:K2470" si="80">(F2465*I2465)</f>
        <v>#REF!</v>
      </c>
    </row>
    <row r="2466" spans="1:11" ht="17.25" hidden="1">
      <c r="A2466" s="265"/>
      <c r="E2466" s="280"/>
      <c r="F2466" s="8">
        <v>2</v>
      </c>
      <c r="G2466" s="7" t="s">
        <v>570</v>
      </c>
      <c r="H2466" s="1" t="s">
        <v>359</v>
      </c>
      <c r="I2466" s="8">
        <f>C10</f>
        <v>150</v>
      </c>
      <c r="J2466" s="2" t="s">
        <v>1423</v>
      </c>
      <c r="K2466" s="8">
        <f t="shared" si="80"/>
        <v>300</v>
      </c>
    </row>
    <row r="2467" spans="1:11" ht="17.25" hidden="1">
      <c r="A2467" s="265"/>
      <c r="E2467" s="280"/>
      <c r="F2467" s="8">
        <v>2</v>
      </c>
      <c r="G2467" s="7" t="s">
        <v>570</v>
      </c>
      <c r="H2467" s="1" t="s">
        <v>360</v>
      </c>
      <c r="I2467" s="8">
        <f>C13</f>
        <v>85</v>
      </c>
      <c r="J2467" s="2" t="s">
        <v>1423</v>
      </c>
      <c r="K2467" s="8">
        <f t="shared" si="80"/>
        <v>170</v>
      </c>
    </row>
    <row r="2468" spans="1:11" ht="17.25" hidden="1">
      <c r="A2468" s="265"/>
      <c r="E2468" s="280"/>
      <c r="F2468" s="8">
        <v>0.28000000000000003</v>
      </c>
      <c r="G2468" s="7" t="s">
        <v>2322</v>
      </c>
      <c r="H2468" s="1" t="s">
        <v>3082</v>
      </c>
      <c r="I2468" s="8">
        <f>K2448</f>
        <v>168.13</v>
      </c>
      <c r="J2468" s="2" t="s">
        <v>2322</v>
      </c>
      <c r="K2468" s="8">
        <f t="shared" si="80"/>
        <v>47.08</v>
      </c>
    </row>
    <row r="2469" spans="1:11" ht="17.25" hidden="1">
      <c r="A2469" s="265"/>
      <c r="E2469" s="280"/>
      <c r="F2469" s="8">
        <v>500</v>
      </c>
      <c r="G2469" s="7" t="s">
        <v>1457</v>
      </c>
      <c r="H2469" s="1" t="s">
        <v>3083</v>
      </c>
      <c r="I2469">
        <v>2</v>
      </c>
      <c r="J2469" s="4" t="s">
        <v>1423</v>
      </c>
      <c r="K2469" s="8">
        <f t="shared" si="80"/>
        <v>1000</v>
      </c>
    </row>
    <row r="2470" spans="1:11" ht="17.25" hidden="1">
      <c r="A2470" s="265"/>
      <c r="E2470" s="280"/>
      <c r="F2470" s="8">
        <v>8.5</v>
      </c>
      <c r="G2470" s="7" t="s">
        <v>3294</v>
      </c>
      <c r="H2470" s="1" t="s">
        <v>3295</v>
      </c>
      <c r="I2470">
        <v>25</v>
      </c>
      <c r="J2470" s="4" t="s">
        <v>2185</v>
      </c>
      <c r="K2470" s="8">
        <f t="shared" si="80"/>
        <v>212.5</v>
      </c>
    </row>
    <row r="2471" spans="1:11" ht="17.25" hidden="1">
      <c r="A2471" s="265"/>
      <c r="E2471" s="280"/>
      <c r="F2471"/>
      <c r="G2471" s="3"/>
      <c r="H2471"/>
      <c r="I2471"/>
      <c r="J2471" s="4"/>
      <c r="K2471" s="5" t="s">
        <v>1615</v>
      </c>
    </row>
    <row r="2472" spans="1:11" ht="17.25" hidden="1">
      <c r="A2472" s="265"/>
      <c r="E2472" s="280"/>
      <c r="F2472"/>
      <c r="G2472" s="3"/>
      <c r="H2472" s="2" t="s">
        <v>3296</v>
      </c>
      <c r="I2472"/>
      <c r="J2472" s="4"/>
      <c r="K2472" s="8" t="e">
        <f>SUM(K2465:K2471)</f>
        <v>#REF!</v>
      </c>
    </row>
    <row r="2473" spans="1:11" ht="17.25" hidden="1">
      <c r="A2473" s="265"/>
      <c r="E2473" s="280"/>
      <c r="F2473"/>
      <c r="G2473" s="3"/>
      <c r="H2473"/>
      <c r="I2473"/>
      <c r="J2473" s="4"/>
      <c r="K2473" s="68" t="s">
        <v>3297</v>
      </c>
    </row>
    <row r="2474" spans="1:11" ht="17.25" hidden="1">
      <c r="A2474" s="265"/>
      <c r="E2474" s="280"/>
      <c r="F2474"/>
      <c r="G2474" s="3"/>
      <c r="H2474" s="2" t="s">
        <v>3298</v>
      </c>
      <c r="I2474"/>
      <c r="J2474" s="4"/>
      <c r="K2474" t="e">
        <f>K2472/39.2</f>
        <v>#REF!</v>
      </c>
    </row>
    <row r="2475" spans="1:11" ht="17.25" hidden="1">
      <c r="A2475" s="265"/>
      <c r="E2475" s="280"/>
      <c r="F2475"/>
      <c r="G2475" s="3"/>
      <c r="H2475"/>
      <c r="I2475"/>
      <c r="J2475" s="4"/>
      <c r="K2475" s="55" t="s">
        <v>1248</v>
      </c>
    </row>
    <row r="2476" spans="1:11" ht="17.25" hidden="1">
      <c r="A2476" s="265"/>
      <c r="E2476" s="280"/>
      <c r="F2476"/>
      <c r="G2476" s="3"/>
      <c r="H2476" s="325" t="s">
        <v>3289</v>
      </c>
      <c r="I2476"/>
      <c r="J2476" s="4"/>
      <c r="K2476"/>
    </row>
    <row r="2477" spans="1:11" ht="17.25" hidden="1">
      <c r="A2477" s="265"/>
      <c r="E2477" s="280"/>
      <c r="F2477"/>
      <c r="G2477" s="3"/>
      <c r="H2477" t="s">
        <v>3290</v>
      </c>
      <c r="I2477" t="s">
        <v>3321</v>
      </c>
      <c r="J2477" s="4"/>
      <c r="K2477"/>
    </row>
    <row r="2478" spans="1:11" ht="17.25" hidden="1">
      <c r="A2478" s="265"/>
      <c r="E2478" s="280"/>
      <c r="F2478"/>
      <c r="G2478" s="3"/>
      <c r="H2478"/>
      <c r="I2478" s="55" t="s">
        <v>3322</v>
      </c>
      <c r="J2478" s="4" t="s">
        <v>3323</v>
      </c>
      <c r="K2478"/>
    </row>
    <row r="2479" spans="1:11" ht="17.25" hidden="1">
      <c r="A2479" s="265"/>
      <c r="E2479" s="280"/>
      <c r="F2479"/>
      <c r="G2479" s="3"/>
      <c r="H2479" t="s">
        <v>3324</v>
      </c>
      <c r="I2479" t="s">
        <v>3325</v>
      </c>
      <c r="J2479" s="4"/>
      <c r="K2479"/>
    </row>
    <row r="2480" spans="1:11" ht="17.25" hidden="1">
      <c r="A2480" s="265"/>
      <c r="E2480" s="280"/>
      <c r="F2480"/>
      <c r="G2480" s="3"/>
      <c r="H2480"/>
      <c r="I2480"/>
      <c r="J2480" s="4"/>
      <c r="K2480"/>
    </row>
    <row r="2481" spans="1:11" ht="17.25" hidden="1">
      <c r="A2481" s="265"/>
      <c r="E2481" s="280"/>
      <c r="F2481"/>
      <c r="G2481" s="3"/>
      <c r="H2481" t="s">
        <v>3326</v>
      </c>
      <c r="I2481"/>
      <c r="J2481" s="4"/>
      <c r="K2481"/>
    </row>
    <row r="2482" spans="1:11" ht="17.25" hidden="1">
      <c r="A2482" s="265"/>
      <c r="E2482" s="280"/>
      <c r="F2482"/>
      <c r="G2482" s="3"/>
      <c r="H2482" t="s">
        <v>3327</v>
      </c>
      <c r="I2482" t="s">
        <v>3328</v>
      </c>
      <c r="J2482" s="4"/>
      <c r="K2482"/>
    </row>
    <row r="2483" spans="1:11" ht="17.25" hidden="1">
      <c r="A2483" s="265"/>
      <c r="E2483" s="280"/>
      <c r="F2483"/>
      <c r="G2483" s="3"/>
      <c r="H2483" t="s">
        <v>3329</v>
      </c>
      <c r="I2483" t="s">
        <v>3330</v>
      </c>
      <c r="J2483" s="4"/>
      <c r="K2483"/>
    </row>
    <row r="2484" spans="1:11" ht="17.25" hidden="1">
      <c r="A2484" s="265"/>
      <c r="E2484" s="280"/>
      <c r="F2484"/>
      <c r="G2484" s="3"/>
      <c r="H2484" t="s">
        <v>3376</v>
      </c>
      <c r="I2484"/>
      <c r="J2484" s="4"/>
      <c r="K2484"/>
    </row>
    <row r="2485" spans="1:11" ht="17.25" hidden="1">
      <c r="A2485" s="265"/>
      <c r="E2485" s="280"/>
      <c r="F2485"/>
      <c r="G2485" s="3"/>
      <c r="H2485"/>
      <c r="I2485"/>
      <c r="J2485" s="4"/>
      <c r="K2485"/>
    </row>
    <row r="2486" spans="1:11" ht="17.25" hidden="1">
      <c r="A2486" s="265"/>
      <c r="E2486" s="280"/>
      <c r="F2486"/>
      <c r="G2486" s="3"/>
      <c r="H2486"/>
      <c r="I2486"/>
      <c r="J2486" s="4"/>
      <c r="K2486"/>
    </row>
    <row r="2487" spans="1:11" ht="17.25" hidden="1">
      <c r="A2487" s="265"/>
      <c r="E2487" s="280"/>
      <c r="F2487"/>
      <c r="G2487" s="3"/>
      <c r="H2487"/>
      <c r="I2487"/>
      <c r="J2487" s="4"/>
      <c r="K2487"/>
    </row>
    <row r="2488" spans="1:11" ht="48" hidden="1">
      <c r="A2488" s="265"/>
      <c r="E2488" s="280"/>
      <c r="F2488" s="326">
        <v>83</v>
      </c>
      <c r="G2488" s="3"/>
      <c r="H2488" s="27" t="s">
        <v>3377</v>
      </c>
      <c r="I2488"/>
      <c r="J2488" s="4"/>
      <c r="K2488"/>
    </row>
    <row r="2489" spans="1:11" ht="17.25" hidden="1">
      <c r="A2489" s="265"/>
      <c r="E2489" s="280"/>
      <c r="F2489"/>
      <c r="G2489" s="3"/>
      <c r="H2489" s="55" t="s">
        <v>3412</v>
      </c>
      <c r="I2489"/>
      <c r="J2489" s="4"/>
      <c r="K2489"/>
    </row>
    <row r="2490" spans="1:11" ht="63" hidden="1">
      <c r="A2490" s="265"/>
      <c r="E2490" s="280"/>
      <c r="F2490" s="226">
        <v>3.25</v>
      </c>
      <c r="G2490" s="327" t="s">
        <v>3413</v>
      </c>
      <c r="H2490" s="327" t="s">
        <v>3414</v>
      </c>
      <c r="I2490" s="327">
        <v>27</v>
      </c>
      <c r="J2490" s="327" t="s">
        <v>1676</v>
      </c>
      <c r="K2490" s="327">
        <f>I2490*F2490</f>
        <v>87.75</v>
      </c>
    </row>
    <row r="2491" spans="1:11" ht="17.25" hidden="1">
      <c r="A2491" s="265"/>
      <c r="E2491" s="280"/>
      <c r="F2491"/>
      <c r="G2491" s="3"/>
      <c r="H2491" t="s">
        <v>1212</v>
      </c>
      <c r="I2491"/>
      <c r="J2491" s="4"/>
      <c r="K2491">
        <v>0.25</v>
      </c>
    </row>
    <row r="2492" spans="1:11" ht="17.25" hidden="1">
      <c r="A2492" s="265"/>
      <c r="E2492" s="280"/>
      <c r="F2492"/>
      <c r="G2492" s="3"/>
      <c r="H2492"/>
      <c r="I2492"/>
      <c r="J2492" s="4"/>
      <c r="K2492" s="328" t="s">
        <v>1615</v>
      </c>
    </row>
    <row r="2493" spans="1:11" ht="17.25" hidden="1">
      <c r="A2493" s="265"/>
      <c r="E2493" s="280"/>
      <c r="F2493"/>
      <c r="G2493" s="3"/>
      <c r="H2493" t="s">
        <v>3415</v>
      </c>
      <c r="I2493"/>
      <c r="J2493" s="4"/>
      <c r="K2493">
        <f>SUM(K2490:K2492)</f>
        <v>88</v>
      </c>
    </row>
    <row r="2494" spans="1:11" ht="17.25" hidden="1">
      <c r="A2494" s="265"/>
      <c r="E2494" s="280"/>
      <c r="F2494"/>
      <c r="G2494" s="3"/>
      <c r="H2494"/>
      <c r="I2494"/>
      <c r="J2494" s="4"/>
      <c r="K2494" s="328" t="s">
        <v>2091</v>
      </c>
    </row>
    <row r="2495" spans="1:11" ht="19.5" hidden="1">
      <c r="A2495" s="265"/>
      <c r="E2495" s="280"/>
      <c r="F2495" s="329">
        <v>79.099999999999994</v>
      </c>
      <c r="G2495" s="3"/>
      <c r="H2495" t="s">
        <v>3416</v>
      </c>
      <c r="I2495"/>
      <c r="J2495" s="4"/>
      <c r="K2495"/>
    </row>
    <row r="2496" spans="1:11" ht="17.25" hidden="1">
      <c r="A2496" s="265"/>
      <c r="E2496" s="280"/>
      <c r="F2496"/>
      <c r="G2496" s="3"/>
      <c r="H2496" s="55" t="s">
        <v>3417</v>
      </c>
      <c r="I2496"/>
      <c r="J2496" s="4"/>
      <c r="K2496"/>
    </row>
    <row r="2497" spans="1:11" ht="17.25" hidden="1">
      <c r="A2497" s="265"/>
      <c r="E2497" s="280"/>
      <c r="F2497">
        <v>1</v>
      </c>
      <c r="G2497" s="3" t="s">
        <v>1419</v>
      </c>
      <c r="H2497" t="s">
        <v>3418</v>
      </c>
      <c r="I2497">
        <v>75</v>
      </c>
      <c r="J2497" s="4" t="s">
        <v>1423</v>
      </c>
      <c r="K2497">
        <f>I2497*F2497</f>
        <v>75</v>
      </c>
    </row>
    <row r="2498" spans="1:11" ht="17.25" hidden="1">
      <c r="A2498" s="265"/>
      <c r="E2498" s="280"/>
      <c r="F2498">
        <v>1</v>
      </c>
      <c r="G2498" s="3" t="s">
        <v>1419</v>
      </c>
      <c r="H2498" t="s">
        <v>3419</v>
      </c>
      <c r="I2498">
        <v>17.75</v>
      </c>
      <c r="J2498" s="4" t="s">
        <v>1423</v>
      </c>
      <c r="K2498">
        <f>I2498*F2498</f>
        <v>17.75</v>
      </c>
    </row>
    <row r="2499" spans="1:11" ht="17.25" hidden="1">
      <c r="A2499" s="265"/>
      <c r="E2499" s="280"/>
      <c r="F2499">
        <v>1</v>
      </c>
      <c r="G2499" s="3" t="s">
        <v>1419</v>
      </c>
      <c r="H2499" t="s">
        <v>142</v>
      </c>
      <c r="I2499">
        <f>K2510</f>
        <v>65.13</v>
      </c>
      <c r="J2499" s="4" t="s">
        <v>1423</v>
      </c>
      <c r="K2499">
        <f>I2499*F2499</f>
        <v>65.13</v>
      </c>
    </row>
    <row r="2500" spans="1:11" ht="17.25" hidden="1">
      <c r="A2500" s="265"/>
      <c r="E2500" s="280"/>
      <c r="F2500"/>
      <c r="G2500" s="3"/>
      <c r="H2500" t="s">
        <v>2366</v>
      </c>
      <c r="I2500"/>
      <c r="J2500" s="4" t="s">
        <v>455</v>
      </c>
      <c r="K2500">
        <v>3.12</v>
      </c>
    </row>
    <row r="2501" spans="1:11" ht="17.25" hidden="1">
      <c r="A2501" s="265"/>
      <c r="E2501" s="280"/>
      <c r="F2501"/>
      <c r="G2501" s="3"/>
      <c r="H2501"/>
      <c r="I2501"/>
      <c r="J2501" s="4"/>
      <c r="K2501" s="55" t="s">
        <v>2367</v>
      </c>
    </row>
    <row r="2502" spans="1:11" ht="17.25" hidden="1">
      <c r="A2502" s="265"/>
      <c r="E2502" s="280"/>
      <c r="F2502"/>
      <c r="G2502" s="3"/>
      <c r="H2502"/>
      <c r="I2502"/>
      <c r="J2502" s="4"/>
      <c r="K2502">
        <f>SUM(K2497:K2501)</f>
        <v>161</v>
      </c>
    </row>
    <row r="2503" spans="1:11" ht="17.25" hidden="1">
      <c r="A2503" s="265"/>
      <c r="E2503" s="280"/>
      <c r="F2503"/>
      <c r="G2503" s="3"/>
      <c r="H2503"/>
      <c r="I2503"/>
      <c r="J2503" s="4"/>
      <c r="K2503" s="55" t="s">
        <v>148</v>
      </c>
    </row>
    <row r="2504" spans="1:11" ht="17.25" hidden="1">
      <c r="A2504" s="265"/>
      <c r="E2504" s="280"/>
      <c r="F2504" t="s">
        <v>142</v>
      </c>
      <c r="G2504" s="3"/>
      <c r="H2504"/>
      <c r="I2504"/>
      <c r="J2504" s="4"/>
      <c r="K2504"/>
    </row>
    <row r="2505" spans="1:11" ht="17.25" hidden="1">
      <c r="A2505" s="265"/>
      <c r="E2505" s="280"/>
      <c r="F2505">
        <v>1</v>
      </c>
      <c r="G2505" s="3" t="s">
        <v>1419</v>
      </c>
      <c r="H2505" t="s">
        <v>2368</v>
      </c>
      <c r="I2505">
        <v>131</v>
      </c>
      <c r="J2505" s="4" t="s">
        <v>1423</v>
      </c>
      <c r="K2505">
        <f>I2505*F2505</f>
        <v>131</v>
      </c>
    </row>
    <row r="2506" spans="1:11" ht="17.25" hidden="1">
      <c r="A2506" s="265"/>
      <c r="E2506" s="280"/>
      <c r="F2506">
        <v>1</v>
      </c>
      <c r="G2506" s="3" t="s">
        <v>1419</v>
      </c>
      <c r="H2506" t="s">
        <v>2369</v>
      </c>
      <c r="I2506">
        <v>117</v>
      </c>
      <c r="J2506" s="4" t="s">
        <v>1423</v>
      </c>
      <c r="K2506">
        <f>I2506*F2506</f>
        <v>117</v>
      </c>
    </row>
    <row r="2507" spans="1:11" ht="17.25" hidden="1">
      <c r="A2507" s="265"/>
      <c r="E2507" s="280"/>
      <c r="F2507">
        <v>3</v>
      </c>
      <c r="G2507" s="3" t="s">
        <v>1457</v>
      </c>
      <c r="H2507" t="s">
        <v>2370</v>
      </c>
      <c r="I2507">
        <v>91</v>
      </c>
      <c r="J2507" s="4" t="s">
        <v>1423</v>
      </c>
      <c r="K2507">
        <f>I2507*F2507</f>
        <v>273</v>
      </c>
    </row>
    <row r="2508" spans="1:11" ht="17.25" hidden="1">
      <c r="A2508" s="265"/>
      <c r="E2508" s="280"/>
      <c r="F2508"/>
      <c r="G2508" s="3"/>
      <c r="H2508"/>
      <c r="I2508"/>
      <c r="J2508" s="4"/>
      <c r="K2508" s="55" t="s">
        <v>434</v>
      </c>
    </row>
    <row r="2509" spans="1:11" ht="17.25" hidden="1">
      <c r="A2509" s="265"/>
      <c r="E2509" s="280"/>
      <c r="F2509"/>
      <c r="G2509" s="3"/>
      <c r="H2509" t="s">
        <v>2371</v>
      </c>
      <c r="I2509"/>
      <c r="J2509" s="4"/>
      <c r="K2509">
        <f>SUM(K2505:K2508)</f>
        <v>521</v>
      </c>
    </row>
    <row r="2510" spans="1:11" ht="17.25" hidden="1">
      <c r="A2510" s="265"/>
      <c r="E2510" s="280"/>
      <c r="F2510"/>
      <c r="G2510" s="3"/>
      <c r="H2510" t="s">
        <v>2372</v>
      </c>
      <c r="I2510"/>
      <c r="J2510" s="4"/>
      <c r="K2510">
        <f>K2509/8</f>
        <v>65.13</v>
      </c>
    </row>
    <row r="2511" spans="1:11" ht="17.25" hidden="1">
      <c r="A2511" s="265"/>
      <c r="E2511" s="280"/>
      <c r="F2511"/>
      <c r="G2511" s="3"/>
      <c r="H2511"/>
      <c r="I2511"/>
      <c r="J2511" s="4"/>
      <c r="K2511"/>
    </row>
    <row r="2512" spans="1:11" ht="17.25" hidden="1">
      <c r="A2512" s="265"/>
      <c r="E2512" s="280"/>
      <c r="F2512"/>
      <c r="G2512" s="3"/>
      <c r="H2512"/>
      <c r="I2512"/>
      <c r="J2512" s="4"/>
      <c r="K2512" s="55"/>
    </row>
    <row r="2513" spans="1:11" ht="17.25" hidden="1">
      <c r="A2513" s="265"/>
      <c r="E2513" s="280"/>
      <c r="F2513" s="2" t="s">
        <v>3384</v>
      </c>
      <c r="G2513" s="7" t="s">
        <v>2290</v>
      </c>
      <c r="H2513" s="1" t="s">
        <v>2216</v>
      </c>
      <c r="I2513"/>
      <c r="J2513" s="4"/>
      <c r="K2513"/>
    </row>
    <row r="2514" spans="1:11" ht="17.25" hidden="1">
      <c r="A2514" s="265"/>
      <c r="E2514" s="280"/>
      <c r="F2514"/>
      <c r="G2514" s="3"/>
      <c r="H2514" s="1" t="s">
        <v>2218</v>
      </c>
      <c r="I2514"/>
      <c r="J2514" s="4"/>
      <c r="K2514"/>
    </row>
    <row r="2515" spans="1:11" ht="17.25" hidden="1">
      <c r="A2515" s="265"/>
      <c r="E2515" s="280"/>
      <c r="F2515"/>
      <c r="G2515" s="3"/>
      <c r="H2515" s="1" t="s">
        <v>2219</v>
      </c>
      <c r="I2515"/>
      <c r="J2515" s="4"/>
      <c r="K2515"/>
    </row>
    <row r="2516" spans="1:11" ht="17.25" hidden="1">
      <c r="A2516" s="265"/>
      <c r="E2516" s="280"/>
      <c r="F2516"/>
      <c r="G2516" s="3"/>
      <c r="H2516" s="1" t="s">
        <v>2220</v>
      </c>
      <c r="I2516"/>
      <c r="J2516" s="4"/>
      <c r="K2516"/>
    </row>
    <row r="2517" spans="1:11" ht="17.25" hidden="1">
      <c r="A2517" s="265"/>
      <c r="E2517" s="280"/>
      <c r="F2517"/>
      <c r="G2517" s="3"/>
      <c r="H2517" s="1" t="s">
        <v>2221</v>
      </c>
      <c r="I2517"/>
      <c r="J2517" s="4"/>
      <c r="K2517"/>
    </row>
    <row r="2518" spans="1:11" ht="17.25" hidden="1">
      <c r="A2518" s="265"/>
      <c r="E2518" s="280"/>
      <c r="F2518"/>
      <c r="G2518" s="3"/>
      <c r="H2518" s="1" t="s">
        <v>2222</v>
      </c>
      <c r="I2518"/>
      <c r="J2518" s="4"/>
      <c r="K2518"/>
    </row>
    <row r="2519" spans="1:11" ht="17.25" hidden="1">
      <c r="A2519" s="265"/>
      <c r="E2519" s="280"/>
      <c r="F2519"/>
      <c r="G2519" s="3"/>
      <c r="H2519" s="5" t="s">
        <v>1615</v>
      </c>
      <c r="I2519"/>
      <c r="J2519" s="4"/>
      <c r="K2519"/>
    </row>
    <row r="2520" spans="1:11" ht="17.25" hidden="1">
      <c r="A2520" s="265"/>
      <c r="E2520" s="280"/>
      <c r="F2520" s="2"/>
      <c r="G2520" s="7"/>
      <c r="H2520" s="1" t="s">
        <v>1848</v>
      </c>
      <c r="I2520"/>
      <c r="J2520" s="4"/>
      <c r="K2520" s="1" t="s">
        <v>992</v>
      </c>
    </row>
    <row r="2521" spans="1:11" ht="17.25" hidden="1">
      <c r="A2521" s="265"/>
      <c r="E2521" s="280"/>
      <c r="F2521"/>
      <c r="G2521" s="3"/>
      <c r="H2521" s="5" t="s">
        <v>1615</v>
      </c>
      <c r="I2521"/>
      <c r="J2521" s="4"/>
      <c r="K2521"/>
    </row>
    <row r="2522" spans="1:11" ht="17.25" hidden="1">
      <c r="A2522" s="265"/>
      <c r="E2522" s="280"/>
      <c r="F2522" s="18">
        <v>1.153E-2</v>
      </c>
      <c r="G2522" s="7" t="s">
        <v>885</v>
      </c>
      <c r="H2522" s="1" t="s">
        <v>705</v>
      </c>
      <c r="I2522" s="8">
        <f t="shared" ref="I2522:I2531" si="81">I1011</f>
        <v>65420</v>
      </c>
      <c r="J2522" s="2" t="s">
        <v>885</v>
      </c>
      <c r="K2522" s="8">
        <f t="shared" ref="K2522:K2531" si="82">(F2522*I2522)</f>
        <v>754.29</v>
      </c>
    </row>
    <row r="2523" spans="1:11" ht="17.25" hidden="1">
      <c r="A2523" s="265"/>
      <c r="E2523" s="280"/>
      <c r="F2523" s="18">
        <v>1.52E-2</v>
      </c>
      <c r="G2523" s="7" t="s">
        <v>885</v>
      </c>
      <c r="H2523" s="1" t="s">
        <v>706</v>
      </c>
      <c r="I2523" s="8">
        <f t="shared" si="81"/>
        <v>57165</v>
      </c>
      <c r="J2523" s="2" t="s">
        <v>885</v>
      </c>
      <c r="K2523" s="8">
        <f t="shared" si="82"/>
        <v>868.91</v>
      </c>
    </row>
    <row r="2524" spans="1:11" hidden="1">
      <c r="A2524" s="265"/>
      <c r="F2524" s="18">
        <v>1.2787999999999999</v>
      </c>
      <c r="G2524" s="7" t="s">
        <v>621</v>
      </c>
      <c r="H2524" s="1" t="s">
        <v>2128</v>
      </c>
      <c r="I2524" s="8">
        <f t="shared" si="81"/>
        <v>381.37</v>
      </c>
      <c r="J2524" s="2" t="s">
        <v>621</v>
      </c>
      <c r="K2524" s="8">
        <f t="shared" si="82"/>
        <v>487.7</v>
      </c>
    </row>
    <row r="2525" spans="1:11" hidden="1">
      <c r="A2525" s="265"/>
      <c r="F2525" s="18">
        <v>1.845</v>
      </c>
      <c r="G2525" s="7" t="s">
        <v>621</v>
      </c>
      <c r="H2525" s="1" t="s">
        <v>2129</v>
      </c>
      <c r="I2525" s="8">
        <f t="shared" si="81"/>
        <v>287</v>
      </c>
      <c r="J2525" s="2" t="s">
        <v>621</v>
      </c>
      <c r="K2525" s="8">
        <f t="shared" si="82"/>
        <v>529.52</v>
      </c>
    </row>
    <row r="2526" spans="1:11" hidden="1">
      <c r="A2526" s="265"/>
      <c r="F2526" s="8">
        <v>2</v>
      </c>
      <c r="G2526" s="7" t="s">
        <v>884</v>
      </c>
      <c r="H2526" s="1" t="s">
        <v>2130</v>
      </c>
      <c r="I2526" s="8">
        <f t="shared" si="81"/>
        <v>30</v>
      </c>
      <c r="J2526" s="2" t="s">
        <v>884</v>
      </c>
      <c r="K2526" s="8">
        <f t="shared" si="82"/>
        <v>60</v>
      </c>
    </row>
    <row r="2527" spans="1:11" hidden="1">
      <c r="A2527" s="265"/>
      <c r="F2527" s="8">
        <v>3</v>
      </c>
      <c r="G2527" s="7" t="s">
        <v>884</v>
      </c>
      <c r="H2527" s="1" t="s">
        <v>1543</v>
      </c>
      <c r="I2527" s="8">
        <f t="shared" si="81"/>
        <v>45</v>
      </c>
      <c r="J2527" s="2" t="s">
        <v>884</v>
      </c>
      <c r="K2527" s="8">
        <f t="shared" si="82"/>
        <v>135</v>
      </c>
    </row>
    <row r="2528" spans="1:11" hidden="1">
      <c r="A2528" s="265"/>
      <c r="F2528" s="8">
        <v>1</v>
      </c>
      <c r="G2528" s="7" t="s">
        <v>884</v>
      </c>
      <c r="H2528" s="1" t="s">
        <v>2015</v>
      </c>
      <c r="I2528" s="8">
        <f t="shared" si="81"/>
        <v>95</v>
      </c>
      <c r="J2528" s="2" t="s">
        <v>884</v>
      </c>
      <c r="K2528" s="8">
        <f t="shared" si="82"/>
        <v>95</v>
      </c>
    </row>
    <row r="2529" spans="1:11" hidden="1">
      <c r="A2529" s="265"/>
      <c r="F2529" s="8">
        <v>1</v>
      </c>
      <c r="G2529" s="7" t="s">
        <v>884</v>
      </c>
      <c r="H2529" s="1" t="s">
        <v>2016</v>
      </c>
      <c r="I2529" s="8">
        <f t="shared" si="81"/>
        <v>8</v>
      </c>
      <c r="J2529" s="2" t="s">
        <v>884</v>
      </c>
      <c r="K2529" s="8">
        <f t="shared" si="82"/>
        <v>8</v>
      </c>
    </row>
    <row r="2530" spans="1:11" hidden="1">
      <c r="A2530" s="265"/>
      <c r="F2530" s="8">
        <v>1</v>
      </c>
      <c r="G2530" s="7" t="s">
        <v>884</v>
      </c>
      <c r="H2530" s="1" t="s">
        <v>2017</v>
      </c>
      <c r="I2530" s="8">
        <f t="shared" si="81"/>
        <v>30</v>
      </c>
      <c r="J2530" s="2" t="s">
        <v>884</v>
      </c>
      <c r="K2530" s="8">
        <f t="shared" si="82"/>
        <v>30</v>
      </c>
    </row>
    <row r="2531" spans="1:11" hidden="1">
      <c r="A2531" s="265"/>
      <c r="F2531" s="8">
        <v>1</v>
      </c>
      <c r="G2531" s="7" t="s">
        <v>884</v>
      </c>
      <c r="H2531" s="1" t="s">
        <v>2018</v>
      </c>
      <c r="I2531" s="8">
        <f t="shared" si="81"/>
        <v>25</v>
      </c>
      <c r="J2531" s="2" t="s">
        <v>884</v>
      </c>
      <c r="K2531" s="8">
        <f t="shared" si="82"/>
        <v>25</v>
      </c>
    </row>
    <row r="2532" spans="1:11" hidden="1">
      <c r="A2532" s="265"/>
      <c r="F2532"/>
      <c r="G2532" s="3"/>
      <c r="H2532"/>
      <c r="I2532"/>
      <c r="J2532" s="4"/>
      <c r="K2532" s="5" t="s">
        <v>1615</v>
      </c>
    </row>
    <row r="2533" spans="1:11" hidden="1">
      <c r="A2533" s="265"/>
      <c r="F2533"/>
      <c r="G2533" s="3"/>
      <c r="H2533" s="2" t="s">
        <v>463</v>
      </c>
      <c r="I2533"/>
      <c r="J2533" s="4"/>
      <c r="K2533" s="8">
        <f>SUM(K2522:K2532)</f>
        <v>2993.42</v>
      </c>
    </row>
    <row r="2534" spans="1:11" hidden="1">
      <c r="A2534" s="265"/>
      <c r="F2534"/>
      <c r="G2534" s="7" t="s">
        <v>992</v>
      </c>
      <c r="H2534"/>
      <c r="I2534"/>
      <c r="J2534" s="4"/>
      <c r="K2534" s="5" t="s">
        <v>1615</v>
      </c>
    </row>
    <row r="2535" spans="1:11" hidden="1">
      <c r="A2535" s="265"/>
      <c r="F2535"/>
      <c r="G2535" s="3"/>
      <c r="H2535" s="2" t="s">
        <v>562</v>
      </c>
      <c r="I2535"/>
      <c r="J2535" s="4"/>
      <c r="K2535" s="8">
        <f>K2533/F2525</f>
        <v>1622.45</v>
      </c>
    </row>
    <row r="2536" spans="1:11" hidden="1">
      <c r="A2536" s="265"/>
      <c r="F2536"/>
      <c r="G2536" s="3"/>
      <c r="H2536"/>
      <c r="I2536"/>
      <c r="J2536" s="4"/>
      <c r="K2536" s="5" t="s">
        <v>2091</v>
      </c>
    </row>
    <row r="2537" spans="1:11" hidden="1">
      <c r="A2537" s="265"/>
      <c r="F2537" s="24">
        <v>98.1</v>
      </c>
      <c r="G2537" s="7" t="s">
        <v>2290</v>
      </c>
      <c r="H2537" s="1" t="s">
        <v>3385</v>
      </c>
      <c r="I2537"/>
      <c r="J2537" s="4"/>
      <c r="K2537"/>
    </row>
    <row r="2538" spans="1:11" hidden="1">
      <c r="A2538" s="265"/>
      <c r="F2538"/>
      <c r="G2538" s="3"/>
      <c r="H2538" s="1" t="s">
        <v>259</v>
      </c>
      <c r="I2538"/>
      <c r="J2538" s="4"/>
      <c r="K2538"/>
    </row>
    <row r="2539" spans="1:11" hidden="1">
      <c r="A2539" s="265"/>
      <c r="F2539"/>
      <c r="G2539" s="3"/>
      <c r="H2539" s="33" t="s">
        <v>2339</v>
      </c>
      <c r="I2539"/>
      <c r="J2539" s="4"/>
      <c r="K2539"/>
    </row>
    <row r="2540" spans="1:11" hidden="1">
      <c r="A2540" s="265"/>
      <c r="F2540"/>
      <c r="G2540" s="3"/>
      <c r="H2540" s="5" t="s">
        <v>1615</v>
      </c>
      <c r="I2540"/>
      <c r="J2540" s="4"/>
      <c r="K2540"/>
    </row>
    <row r="2541" spans="1:11" hidden="1">
      <c r="A2541" s="265"/>
      <c r="F2541"/>
      <c r="G2541" s="3"/>
      <c r="H2541" s="1" t="s">
        <v>2340</v>
      </c>
      <c r="I2541"/>
      <c r="J2541" s="330"/>
      <c r="K2541"/>
    </row>
    <row r="2542" spans="1:11" hidden="1">
      <c r="A2542" s="265"/>
      <c r="F2542"/>
      <c r="G2542" s="3"/>
      <c r="H2542" s="1" t="s">
        <v>2341</v>
      </c>
      <c r="I2542"/>
      <c r="J2542" s="4"/>
      <c r="K2542"/>
    </row>
    <row r="2543" spans="1:11" hidden="1">
      <c r="A2543" s="265"/>
      <c r="F2543"/>
      <c r="G2543" s="3"/>
      <c r="H2543"/>
      <c r="I2543"/>
      <c r="J2543" s="2" t="s">
        <v>1615</v>
      </c>
      <c r="K2543"/>
    </row>
    <row r="2544" spans="1:11" hidden="1">
      <c r="A2544" s="265"/>
      <c r="F2544"/>
      <c r="G2544" s="3"/>
      <c r="H2544" s="1" t="s">
        <v>2342</v>
      </c>
      <c r="I2544"/>
      <c r="J2544" s="4"/>
      <c r="K2544"/>
    </row>
    <row r="2545" spans="1:11" hidden="1">
      <c r="A2545" s="265"/>
      <c r="F2545"/>
      <c r="G2545" s="3"/>
      <c r="H2545" s="1" t="s">
        <v>2718</v>
      </c>
      <c r="I2545"/>
      <c r="J2545" s="4"/>
      <c r="K2545" s="14">
        <v>3.5400000000000001E-2</v>
      </c>
    </row>
    <row r="2546" spans="1:11" hidden="1">
      <c r="A2546" s="265"/>
      <c r="F2546"/>
      <c r="G2546" s="3"/>
      <c r="H2546"/>
      <c r="I2546"/>
      <c r="J2546" s="2" t="s">
        <v>992</v>
      </c>
      <c r="K2546" s="5" t="s">
        <v>1615</v>
      </c>
    </row>
    <row r="2547" spans="1:11" hidden="1">
      <c r="A2547" s="265"/>
      <c r="F2547"/>
      <c r="G2547" s="3"/>
      <c r="H2547" s="1" t="s">
        <v>2719</v>
      </c>
      <c r="I2547"/>
      <c r="J2547" s="268" t="s">
        <v>992</v>
      </c>
      <c r="K2547" s="14">
        <v>2.5899999999999999E-2</v>
      </c>
    </row>
    <row r="2548" spans="1:11" hidden="1">
      <c r="A2548" s="265"/>
      <c r="F2548"/>
      <c r="G2548" s="3"/>
      <c r="H2548" s="1" t="s">
        <v>2720</v>
      </c>
      <c r="I2548"/>
      <c r="J2548" s="2" t="s">
        <v>992</v>
      </c>
      <c r="K2548" s="14">
        <v>6.4999999999999997E-3</v>
      </c>
    </row>
    <row r="2549" spans="1:11" hidden="1">
      <c r="A2549" s="265"/>
      <c r="F2549"/>
      <c r="G2549" s="3"/>
      <c r="H2549"/>
      <c r="I2549"/>
      <c r="J2549" s="4"/>
      <c r="K2549" s="5" t="s">
        <v>1615</v>
      </c>
    </row>
    <row r="2550" spans="1:11" hidden="1">
      <c r="A2550" s="265"/>
      <c r="F2550"/>
      <c r="G2550" s="3"/>
      <c r="H2550"/>
      <c r="I2550"/>
      <c r="J2550" s="4"/>
      <c r="K2550" s="14">
        <v>3.2300000000000002E-2</v>
      </c>
    </row>
    <row r="2551" spans="1:11" hidden="1">
      <c r="A2551" s="265"/>
      <c r="F2551"/>
      <c r="G2551" s="3"/>
      <c r="H2551"/>
      <c r="I2551"/>
      <c r="J2551" s="4"/>
      <c r="K2551" s="5" t="s">
        <v>1615</v>
      </c>
    </row>
    <row r="2552" spans="1:11" hidden="1">
      <c r="A2552" s="265"/>
      <c r="F2552"/>
      <c r="G2552" s="3"/>
      <c r="H2552"/>
      <c r="I2552"/>
      <c r="J2552" s="4"/>
      <c r="K2552"/>
    </row>
    <row r="2553" spans="1:11" hidden="1">
      <c r="A2553" s="265"/>
      <c r="F2553"/>
      <c r="G2553" s="3"/>
      <c r="H2553"/>
      <c r="I2553"/>
      <c r="J2553" s="4"/>
      <c r="K2553"/>
    </row>
    <row r="2554" spans="1:11" hidden="1">
      <c r="A2554" s="265"/>
      <c r="F2554" s="14">
        <v>2.2800000000000001E-2</v>
      </c>
      <c r="G2554" s="7" t="s">
        <v>885</v>
      </c>
      <c r="H2554" s="1" t="s">
        <v>313</v>
      </c>
      <c r="I2554" s="8">
        <f>I910</f>
        <v>65420</v>
      </c>
      <c r="J2554" s="2" t="s">
        <v>885</v>
      </c>
      <c r="K2554" s="8">
        <f t="shared" ref="K2554:K2564" si="83">(F2554*I2554)</f>
        <v>1491.58</v>
      </c>
    </row>
    <row r="2555" spans="1:11" hidden="1">
      <c r="A2555" s="265"/>
      <c r="F2555" s="14">
        <v>3.5400000000000001E-2</v>
      </c>
      <c r="G2555" s="7" t="s">
        <v>885</v>
      </c>
      <c r="H2555" s="1" t="s">
        <v>314</v>
      </c>
      <c r="I2555" s="8">
        <f>I911</f>
        <v>57165</v>
      </c>
      <c r="J2555" s="2" t="s">
        <v>885</v>
      </c>
      <c r="K2555" s="8">
        <f t="shared" si="83"/>
        <v>2023.64</v>
      </c>
    </row>
    <row r="2556" spans="1:11" hidden="1">
      <c r="A2556" s="265"/>
      <c r="F2556" s="14">
        <v>3.2300000000000002E-2</v>
      </c>
      <c r="G2556" s="7" t="s">
        <v>885</v>
      </c>
      <c r="H2556" s="1" t="s">
        <v>315</v>
      </c>
      <c r="I2556" s="8">
        <f>I912</f>
        <v>63870</v>
      </c>
      <c r="J2556" s="2" t="s">
        <v>885</v>
      </c>
      <c r="K2556" s="8">
        <f t="shared" si="83"/>
        <v>2063</v>
      </c>
    </row>
    <row r="2557" spans="1:11" hidden="1">
      <c r="A2557" s="265"/>
      <c r="F2557" s="15"/>
      <c r="G2557" s="3"/>
      <c r="H2557" s="1" t="s">
        <v>961</v>
      </c>
      <c r="I2557" s="8"/>
      <c r="J2557" s="4"/>
      <c r="K2557" s="8">
        <f t="shared" si="83"/>
        <v>0</v>
      </c>
    </row>
    <row r="2558" spans="1:11" hidden="1">
      <c r="A2558" s="265"/>
      <c r="F2558" s="15">
        <v>2.835</v>
      </c>
      <c r="G2558" s="7" t="s">
        <v>621</v>
      </c>
      <c r="H2558" s="1" t="s">
        <v>453</v>
      </c>
      <c r="I2558" s="8">
        <f t="shared" ref="I2558:I2564" si="84">I914</f>
        <v>342</v>
      </c>
      <c r="J2558" s="2" t="s">
        <v>621</v>
      </c>
      <c r="K2558" s="8">
        <f t="shared" si="83"/>
        <v>969.57</v>
      </c>
    </row>
    <row r="2559" spans="1:11" hidden="1">
      <c r="A2559" s="265"/>
      <c r="F2559" s="8">
        <v>2</v>
      </c>
      <c r="G2559" s="7" t="s">
        <v>785</v>
      </c>
      <c r="H2559" s="1" t="s">
        <v>1489</v>
      </c>
      <c r="I2559" s="8">
        <f t="shared" si="84"/>
        <v>30</v>
      </c>
      <c r="J2559" s="2" t="s">
        <v>884</v>
      </c>
      <c r="K2559" s="8">
        <f t="shared" si="83"/>
        <v>60</v>
      </c>
    </row>
    <row r="2560" spans="1:11" hidden="1">
      <c r="A2560" s="265"/>
      <c r="F2560" s="8">
        <v>6</v>
      </c>
      <c r="G2560" s="7" t="s">
        <v>884</v>
      </c>
      <c r="H2560" s="1" t="s">
        <v>1490</v>
      </c>
      <c r="I2560" s="8">
        <f t="shared" si="84"/>
        <v>45</v>
      </c>
      <c r="J2560" s="2" t="s">
        <v>884</v>
      </c>
      <c r="K2560" s="8">
        <f t="shared" si="83"/>
        <v>270</v>
      </c>
    </row>
    <row r="2561" spans="1:11" hidden="1">
      <c r="A2561" s="265"/>
      <c r="F2561" s="8">
        <v>4</v>
      </c>
      <c r="G2561" s="7" t="s">
        <v>884</v>
      </c>
      <c r="H2561" s="1" t="s">
        <v>1491</v>
      </c>
      <c r="I2561" s="8">
        <f t="shared" si="84"/>
        <v>30</v>
      </c>
      <c r="J2561" s="2" t="s">
        <v>884</v>
      </c>
      <c r="K2561" s="8">
        <f t="shared" si="83"/>
        <v>120</v>
      </c>
    </row>
    <row r="2562" spans="1:11" hidden="1">
      <c r="A2562" s="265"/>
      <c r="F2562" s="8">
        <v>1</v>
      </c>
      <c r="G2562" s="7" t="s">
        <v>884</v>
      </c>
      <c r="H2562" s="1" t="s">
        <v>1492</v>
      </c>
      <c r="I2562" s="8">
        <f t="shared" si="84"/>
        <v>95</v>
      </c>
      <c r="J2562" s="2" t="s">
        <v>884</v>
      </c>
      <c r="K2562" s="8">
        <f t="shared" si="83"/>
        <v>95</v>
      </c>
    </row>
    <row r="2563" spans="1:11" hidden="1">
      <c r="A2563" s="265"/>
      <c r="F2563" s="8">
        <v>2</v>
      </c>
      <c r="G2563" s="7" t="s">
        <v>884</v>
      </c>
      <c r="H2563" s="1" t="s">
        <v>1493</v>
      </c>
      <c r="I2563" s="8">
        <f t="shared" si="84"/>
        <v>8</v>
      </c>
      <c r="J2563" s="2" t="s">
        <v>884</v>
      </c>
      <c r="K2563" s="8">
        <f t="shared" si="83"/>
        <v>16</v>
      </c>
    </row>
    <row r="2564" spans="1:11" hidden="1">
      <c r="A2564" s="265"/>
      <c r="F2564" s="8">
        <v>2</v>
      </c>
      <c r="G2564" s="7" t="s">
        <v>884</v>
      </c>
      <c r="H2564" s="1" t="s">
        <v>2018</v>
      </c>
      <c r="I2564" s="8">
        <f t="shared" si="84"/>
        <v>25</v>
      </c>
      <c r="J2564" s="2" t="s">
        <v>884</v>
      </c>
      <c r="K2564" s="8">
        <f t="shared" si="83"/>
        <v>50</v>
      </c>
    </row>
    <row r="2565" spans="1:11" hidden="1">
      <c r="A2565" s="265"/>
      <c r="F2565"/>
      <c r="G2565" s="3"/>
      <c r="H2565"/>
      <c r="I2565"/>
      <c r="J2565" s="4"/>
      <c r="K2565" s="5" t="s">
        <v>1615</v>
      </c>
    </row>
    <row r="2566" spans="1:11" hidden="1">
      <c r="A2566" s="265"/>
      <c r="F2566"/>
      <c r="G2566" s="3"/>
      <c r="H2566" s="1" t="s">
        <v>3386</v>
      </c>
      <c r="I2566"/>
      <c r="J2566" s="4"/>
      <c r="K2566" s="8">
        <f>SUM(K2554:K2564)</f>
        <v>7158.79</v>
      </c>
    </row>
    <row r="2567" spans="1:11" hidden="1">
      <c r="A2567" s="265"/>
      <c r="F2567"/>
      <c r="G2567" s="3"/>
      <c r="H2567"/>
      <c r="I2567"/>
      <c r="J2567" s="4"/>
      <c r="K2567" s="5" t="s">
        <v>1615</v>
      </c>
    </row>
    <row r="2568" spans="1:11" hidden="1">
      <c r="A2568" s="265"/>
      <c r="F2568"/>
      <c r="G2568" s="3"/>
      <c r="H2568" s="1" t="s">
        <v>562</v>
      </c>
      <c r="I2568"/>
      <c r="J2568" s="4"/>
      <c r="K2568" s="8">
        <f>K2566/F2558</f>
        <v>2525.15</v>
      </c>
    </row>
    <row r="2569" spans="1:11" hidden="1">
      <c r="A2569" s="265"/>
      <c r="F2569"/>
      <c r="G2569" s="3"/>
      <c r="H2569" s="1"/>
      <c r="I2569"/>
      <c r="J2569" s="4"/>
      <c r="K2569" s="5" t="s">
        <v>2091</v>
      </c>
    </row>
    <row r="2570" spans="1:11" hidden="1">
      <c r="A2570" s="265"/>
      <c r="F2570"/>
      <c r="G2570" s="3"/>
      <c r="H2570" s="33" t="s">
        <v>721</v>
      </c>
      <c r="I2570"/>
      <c r="J2570" s="4"/>
      <c r="K2570"/>
    </row>
    <row r="2571" spans="1:11" hidden="1">
      <c r="A2571" s="265"/>
      <c r="F2571"/>
      <c r="G2571" s="3"/>
      <c r="H2571" s="5" t="s">
        <v>1615</v>
      </c>
      <c r="I2571"/>
      <c r="J2571" s="4"/>
      <c r="K2571"/>
    </row>
    <row r="2572" spans="1:11" hidden="1">
      <c r="A2572" s="265"/>
      <c r="F2572"/>
      <c r="G2572" s="3"/>
      <c r="H2572" s="1" t="s">
        <v>428</v>
      </c>
      <c r="I2572"/>
      <c r="J2572" s="330"/>
      <c r="K2572"/>
    </row>
    <row r="2573" spans="1:11" hidden="1">
      <c r="A2573" s="265"/>
      <c r="F2573"/>
      <c r="G2573" s="3"/>
      <c r="H2573" s="1" t="s">
        <v>2341</v>
      </c>
      <c r="I2573"/>
      <c r="J2573" s="4"/>
      <c r="K2573"/>
    </row>
    <row r="2574" spans="1:11" hidden="1">
      <c r="A2574" s="265"/>
      <c r="F2574"/>
      <c r="G2574" s="3"/>
      <c r="H2574"/>
      <c r="I2574"/>
      <c r="J2574" s="2" t="s">
        <v>1615</v>
      </c>
      <c r="K2574"/>
    </row>
    <row r="2575" spans="1:11" hidden="1">
      <c r="A2575" s="265"/>
      <c r="F2575"/>
      <c r="G2575" s="3"/>
      <c r="H2575" s="1" t="s">
        <v>3387</v>
      </c>
      <c r="I2575"/>
      <c r="J2575" s="4"/>
      <c r="K2575"/>
    </row>
    <row r="2576" spans="1:11" hidden="1">
      <c r="A2576" s="265"/>
      <c r="F2576"/>
      <c r="G2576" s="3"/>
      <c r="H2576" s="1" t="s">
        <v>3388</v>
      </c>
      <c r="I2576"/>
      <c r="J2576" s="4"/>
      <c r="K2576" s="14">
        <v>2.5000000000000001E-2</v>
      </c>
    </row>
    <row r="2577" spans="1:11" hidden="1">
      <c r="A2577" s="265"/>
      <c r="F2577"/>
      <c r="G2577" s="3"/>
      <c r="H2577"/>
      <c r="I2577"/>
      <c r="J2577" s="2" t="s">
        <v>992</v>
      </c>
      <c r="K2577" s="5" t="s">
        <v>1615</v>
      </c>
    </row>
    <row r="2578" spans="1:11" hidden="1">
      <c r="A2578" s="265"/>
      <c r="F2578"/>
      <c r="G2578" s="3"/>
      <c r="H2578" s="1" t="s">
        <v>3389</v>
      </c>
      <c r="I2578"/>
      <c r="J2578" s="268" t="s">
        <v>992</v>
      </c>
      <c r="K2578" s="14">
        <v>1.7850000000000001E-2</v>
      </c>
    </row>
    <row r="2579" spans="1:11" hidden="1">
      <c r="A2579" s="265"/>
      <c r="F2579"/>
      <c r="G2579" s="3"/>
      <c r="H2579" s="1" t="s">
        <v>3120</v>
      </c>
      <c r="I2579"/>
      <c r="J2579" s="2" t="s">
        <v>992</v>
      </c>
      <c r="K2579" s="14">
        <v>1.4500000000000001E-2</v>
      </c>
    </row>
    <row r="2580" spans="1:11" hidden="1">
      <c r="A2580" s="265"/>
      <c r="F2580"/>
      <c r="G2580" s="3"/>
      <c r="H2580"/>
      <c r="I2580"/>
      <c r="J2580" s="4"/>
      <c r="K2580" s="5" t="s">
        <v>1615</v>
      </c>
    </row>
    <row r="2581" spans="1:11" hidden="1">
      <c r="A2581" s="265"/>
      <c r="F2581"/>
      <c r="G2581" s="3"/>
      <c r="H2581"/>
      <c r="I2581"/>
      <c r="J2581" s="4"/>
      <c r="K2581" s="14">
        <v>2.23E-2</v>
      </c>
    </row>
    <row r="2582" spans="1:11" hidden="1">
      <c r="A2582" s="265"/>
      <c r="F2582"/>
      <c r="G2582" s="3"/>
      <c r="H2582"/>
      <c r="I2582"/>
      <c r="J2582" s="4"/>
      <c r="K2582" s="5" t="s">
        <v>1615</v>
      </c>
    </row>
    <row r="2583" spans="1:11" hidden="1">
      <c r="A2583" s="265"/>
      <c r="F2583"/>
      <c r="G2583" s="3"/>
      <c r="H2583"/>
      <c r="I2583"/>
      <c r="J2583" s="4"/>
      <c r="K2583"/>
    </row>
    <row r="2584" spans="1:11" hidden="1">
      <c r="A2584" s="265"/>
      <c r="F2584"/>
      <c r="G2584" s="3"/>
      <c r="H2584"/>
      <c r="I2584"/>
      <c r="J2584" s="4"/>
      <c r="K2584"/>
    </row>
    <row r="2585" spans="1:11" hidden="1">
      <c r="A2585" s="265"/>
      <c r="F2585" s="14">
        <v>2.2800000000000001E-2</v>
      </c>
      <c r="G2585" s="7" t="s">
        <v>885</v>
      </c>
      <c r="H2585" s="1" t="s">
        <v>313</v>
      </c>
      <c r="I2585" s="8">
        <f>I2554</f>
        <v>65420</v>
      </c>
      <c r="J2585" s="2" t="s">
        <v>885</v>
      </c>
      <c r="K2585" s="8">
        <f>(F2585*I2585)</f>
        <v>1491.58</v>
      </c>
    </row>
    <row r="2586" spans="1:11" hidden="1">
      <c r="A2586" s="265"/>
      <c r="F2586" s="14">
        <v>2.5000000000000001E-2</v>
      </c>
      <c r="G2586" s="7" t="s">
        <v>885</v>
      </c>
      <c r="H2586" s="1" t="s">
        <v>314</v>
      </c>
      <c r="I2586" s="8">
        <f>I2555</f>
        <v>57165</v>
      </c>
      <c r="J2586" s="2" t="s">
        <v>885</v>
      </c>
      <c r="K2586" s="8">
        <f>(F2586*I2586)</f>
        <v>1429.13</v>
      </c>
    </row>
    <row r="2587" spans="1:11" hidden="1">
      <c r="A2587" s="265"/>
      <c r="F2587" s="14">
        <v>2.23E-2</v>
      </c>
      <c r="G2587" s="7" t="s">
        <v>885</v>
      </c>
      <c r="H2587" s="1" t="s">
        <v>315</v>
      </c>
      <c r="I2587" s="8">
        <f>I2556</f>
        <v>63870</v>
      </c>
      <c r="J2587" s="2" t="s">
        <v>885</v>
      </c>
      <c r="K2587" s="8">
        <f>(F2587*I2587)</f>
        <v>1424.3</v>
      </c>
    </row>
    <row r="2588" spans="1:11" hidden="1">
      <c r="A2588" s="265"/>
      <c r="F2588" s="15"/>
      <c r="G2588" s="3"/>
      <c r="H2588" s="1" t="s">
        <v>961</v>
      </c>
      <c r="I2588" s="8"/>
      <c r="J2588" s="4"/>
      <c r="K2588" s="1" t="s">
        <v>992</v>
      </c>
    </row>
    <row r="2589" spans="1:11" hidden="1">
      <c r="A2589" s="265"/>
      <c r="F2589" s="15">
        <v>2.2275</v>
      </c>
      <c r="G2589" s="7" t="s">
        <v>621</v>
      </c>
      <c r="H2589" s="1" t="s">
        <v>453</v>
      </c>
      <c r="I2589" s="8">
        <f t="shared" ref="I2589:I2595" si="85">I2558</f>
        <v>342</v>
      </c>
      <c r="J2589" s="2" t="s">
        <v>621</v>
      </c>
      <c r="K2589" s="8">
        <f t="shared" ref="K2589:K2595" si="86">(F2589*I2589)</f>
        <v>761.81</v>
      </c>
    </row>
    <row r="2590" spans="1:11" hidden="1">
      <c r="A2590" s="265"/>
      <c r="F2590" s="8">
        <v>2</v>
      </c>
      <c r="G2590" s="7" t="s">
        <v>785</v>
      </c>
      <c r="H2590" s="1" t="s">
        <v>1489</v>
      </c>
      <c r="I2590" s="8">
        <f t="shared" si="85"/>
        <v>30</v>
      </c>
      <c r="J2590" s="2" t="s">
        <v>884</v>
      </c>
      <c r="K2590" s="8">
        <f t="shared" si="86"/>
        <v>60</v>
      </c>
    </row>
    <row r="2591" spans="1:11" hidden="1">
      <c r="A2591" s="265"/>
      <c r="F2591" s="8">
        <v>6</v>
      </c>
      <c r="G2591" s="7" t="s">
        <v>884</v>
      </c>
      <c r="H2591" s="1" t="s">
        <v>1490</v>
      </c>
      <c r="I2591" s="8">
        <f t="shared" si="85"/>
        <v>45</v>
      </c>
      <c r="J2591" s="2" t="s">
        <v>884</v>
      </c>
      <c r="K2591" s="8">
        <f t="shared" si="86"/>
        <v>270</v>
      </c>
    </row>
    <row r="2592" spans="1:11" hidden="1">
      <c r="A2592" s="265"/>
      <c r="F2592" s="8">
        <v>4</v>
      </c>
      <c r="G2592" s="7" t="s">
        <v>884</v>
      </c>
      <c r="H2592" s="1" t="s">
        <v>1491</v>
      </c>
      <c r="I2592" s="8">
        <f t="shared" si="85"/>
        <v>30</v>
      </c>
      <c r="J2592" s="2" t="s">
        <v>884</v>
      </c>
      <c r="K2592" s="8">
        <f t="shared" si="86"/>
        <v>120</v>
      </c>
    </row>
    <row r="2593" spans="1:11" hidden="1">
      <c r="A2593" s="265"/>
      <c r="F2593" s="8">
        <v>1</v>
      </c>
      <c r="G2593" s="7" t="s">
        <v>884</v>
      </c>
      <c r="H2593" s="1" t="s">
        <v>1492</v>
      </c>
      <c r="I2593" s="8">
        <f t="shared" si="85"/>
        <v>95</v>
      </c>
      <c r="J2593" s="2" t="s">
        <v>884</v>
      </c>
      <c r="K2593" s="8">
        <f t="shared" si="86"/>
        <v>95</v>
      </c>
    </row>
    <row r="2594" spans="1:11" hidden="1">
      <c r="A2594" s="265"/>
      <c r="F2594" s="8">
        <v>2</v>
      </c>
      <c r="G2594" s="7" t="s">
        <v>884</v>
      </c>
      <c r="H2594" s="1" t="s">
        <v>1493</v>
      </c>
      <c r="I2594" s="8">
        <f t="shared" si="85"/>
        <v>8</v>
      </c>
      <c r="J2594" s="2" t="s">
        <v>884</v>
      </c>
      <c r="K2594" s="8">
        <f t="shared" si="86"/>
        <v>16</v>
      </c>
    </row>
    <row r="2595" spans="1:11" hidden="1">
      <c r="A2595" s="265"/>
      <c r="F2595" s="8">
        <v>2</v>
      </c>
      <c r="G2595" s="7" t="s">
        <v>884</v>
      </c>
      <c r="H2595" s="1" t="s">
        <v>2018</v>
      </c>
      <c r="I2595" s="8">
        <f t="shared" si="85"/>
        <v>25</v>
      </c>
      <c r="J2595" s="2" t="s">
        <v>884</v>
      </c>
      <c r="K2595" s="8">
        <f t="shared" si="86"/>
        <v>50</v>
      </c>
    </row>
    <row r="2596" spans="1:11" hidden="1">
      <c r="A2596" s="265"/>
      <c r="F2596"/>
      <c r="G2596" s="3"/>
      <c r="H2596"/>
      <c r="I2596"/>
      <c r="J2596" s="4"/>
      <c r="K2596" s="5" t="s">
        <v>1615</v>
      </c>
    </row>
    <row r="2597" spans="1:11" hidden="1">
      <c r="A2597" s="265"/>
      <c r="F2597"/>
      <c r="G2597" s="3"/>
      <c r="H2597" s="1" t="s">
        <v>774</v>
      </c>
      <c r="I2597"/>
      <c r="J2597" s="4"/>
      <c r="K2597" s="8">
        <f>SUM(K2585:K2595)</f>
        <v>5717.82</v>
      </c>
    </row>
    <row r="2598" spans="1:11" hidden="1">
      <c r="A2598" s="265"/>
      <c r="F2598"/>
      <c r="G2598" s="3"/>
      <c r="H2598"/>
      <c r="I2598"/>
      <c r="J2598" s="4"/>
      <c r="K2598" s="5" t="s">
        <v>1615</v>
      </c>
    </row>
    <row r="2599" spans="1:11" hidden="1">
      <c r="A2599" s="265"/>
      <c r="F2599"/>
      <c r="G2599" s="3"/>
      <c r="H2599" s="1" t="s">
        <v>562</v>
      </c>
      <c r="I2599"/>
      <c r="J2599" s="4"/>
      <c r="K2599" s="8">
        <f>K2597/F2589</f>
        <v>2566.92</v>
      </c>
    </row>
    <row r="2600" spans="1:11" hidden="1">
      <c r="A2600" s="265"/>
      <c r="F2600"/>
      <c r="G2600" s="3"/>
      <c r="H2600" s="1"/>
      <c r="I2600"/>
      <c r="J2600" s="4"/>
      <c r="K2600" s="5" t="s">
        <v>2091</v>
      </c>
    </row>
    <row r="2601" spans="1:11" hidden="1">
      <c r="A2601" s="265"/>
      <c r="F2601"/>
      <c r="G2601" s="3"/>
      <c r="H2601"/>
      <c r="I2601"/>
      <c r="J2601" s="4"/>
      <c r="K2601"/>
    </row>
    <row r="2602" spans="1:11" hidden="1">
      <c r="A2602" s="265"/>
      <c r="F2602">
        <v>55.2</v>
      </c>
      <c r="G2602" s="3"/>
      <c r="H2602" s="4" t="s">
        <v>3121</v>
      </c>
      <c r="I2602"/>
      <c r="J2602" s="4"/>
      <c r="K2602"/>
    </row>
    <row r="2603" spans="1:11" hidden="1">
      <c r="A2603" s="265"/>
      <c r="F2603"/>
      <c r="G2603" s="3"/>
      <c r="H2603" s="331" t="s">
        <v>1615</v>
      </c>
      <c r="I2603"/>
      <c r="J2603" s="4"/>
      <c r="K2603"/>
    </row>
    <row r="2604" spans="1:11" hidden="1">
      <c r="A2604" s="265"/>
      <c r="F2604">
        <v>1</v>
      </c>
      <c r="G2604" s="3" t="s">
        <v>1419</v>
      </c>
      <c r="H2604" t="s">
        <v>3122</v>
      </c>
      <c r="I2604">
        <v>650</v>
      </c>
      <c r="J2604" s="4" t="s">
        <v>1419</v>
      </c>
      <c r="K2604">
        <f>F2604*I2604</f>
        <v>650</v>
      </c>
    </row>
    <row r="2605" spans="1:11" hidden="1">
      <c r="A2605" s="265"/>
      <c r="F2605">
        <v>0.5</v>
      </c>
      <c r="G2605" s="3" t="s">
        <v>1419</v>
      </c>
      <c r="H2605" t="s">
        <v>2098</v>
      </c>
      <c r="I2605">
        <f>C15</f>
        <v>130</v>
      </c>
      <c r="J2605" s="4" t="s">
        <v>1419</v>
      </c>
      <c r="K2605">
        <f>F2605*I2605</f>
        <v>65</v>
      </c>
    </row>
    <row r="2606" spans="1:11" hidden="1">
      <c r="A2606" s="265"/>
      <c r="F2606">
        <v>0.5</v>
      </c>
      <c r="G2606" s="3" t="s">
        <v>1419</v>
      </c>
      <c r="H2606" t="s">
        <v>3123</v>
      </c>
      <c r="I2606">
        <f>C10</f>
        <v>150</v>
      </c>
      <c r="J2606" s="4" t="s">
        <v>1419</v>
      </c>
      <c r="K2606">
        <f>F2606*I2606</f>
        <v>75</v>
      </c>
    </row>
    <row r="2607" spans="1:11" hidden="1">
      <c r="A2607" s="265"/>
      <c r="F2607">
        <v>0.5</v>
      </c>
      <c r="G2607" s="3" t="s">
        <v>1419</v>
      </c>
      <c r="H2607" t="s">
        <v>2835</v>
      </c>
      <c r="I2607">
        <f>C12</f>
        <v>95</v>
      </c>
      <c r="J2607" s="4" t="s">
        <v>1419</v>
      </c>
      <c r="K2607">
        <f>F2607*I2607</f>
        <v>47.5</v>
      </c>
    </row>
    <row r="2608" spans="1:11" hidden="1">
      <c r="A2608" s="265"/>
      <c r="F2608"/>
      <c r="G2608" s="3"/>
      <c r="H2608"/>
      <c r="I2608"/>
      <c r="J2608" s="4"/>
      <c r="K2608" s="328" t="s">
        <v>1615</v>
      </c>
    </row>
    <row r="2609" spans="1:11" hidden="1">
      <c r="A2609" s="265"/>
      <c r="F2609"/>
      <c r="G2609" s="3"/>
      <c r="H2609"/>
      <c r="I2609"/>
      <c r="J2609" s="4"/>
      <c r="K2609">
        <f>SUM(K2604:K2608)</f>
        <v>837.5</v>
      </c>
    </row>
    <row r="2610" spans="1:11" hidden="1">
      <c r="A2610" s="265"/>
      <c r="F2610"/>
      <c r="G2610" s="3"/>
      <c r="H2610"/>
      <c r="I2610"/>
      <c r="J2610" s="4"/>
      <c r="K2610" s="328" t="s">
        <v>2091</v>
      </c>
    </row>
    <row r="2611" spans="1:11" hidden="1">
      <c r="A2611" s="265"/>
      <c r="F2611">
        <v>44.2</v>
      </c>
      <c r="G2611" s="3" t="s">
        <v>2290</v>
      </c>
      <c r="H2611" t="s">
        <v>3124</v>
      </c>
      <c r="I2611"/>
      <c r="J2611" s="4"/>
      <c r="K2611"/>
    </row>
    <row r="2612" spans="1:11" hidden="1">
      <c r="A2612" s="265"/>
      <c r="F2612"/>
      <c r="G2612" s="3"/>
      <c r="H2612" s="55" t="s">
        <v>3417</v>
      </c>
      <c r="I2612"/>
      <c r="J2612" s="4"/>
      <c r="K2612"/>
    </row>
    <row r="2613" spans="1:11" hidden="1">
      <c r="A2613" s="265"/>
      <c r="F2613">
        <v>0.47</v>
      </c>
      <c r="G2613" s="3" t="s">
        <v>1365</v>
      </c>
      <c r="H2613" t="s">
        <v>362</v>
      </c>
      <c r="I2613">
        <f>K88</f>
        <v>52.93</v>
      </c>
      <c r="J2613" s="4" t="s">
        <v>2190</v>
      </c>
      <c r="K2613">
        <f>I2613*F2613</f>
        <v>24.88</v>
      </c>
    </row>
    <row r="2614" spans="1:11" hidden="1">
      <c r="A2614" s="265"/>
      <c r="F2614">
        <v>4.9000000000000004</v>
      </c>
      <c r="G2614" s="3" t="s">
        <v>842</v>
      </c>
      <c r="H2614" t="s">
        <v>3125</v>
      </c>
      <c r="I2614">
        <f>K2629</f>
        <v>50.58</v>
      </c>
      <c r="J2614" s="4" t="s">
        <v>842</v>
      </c>
      <c r="K2614">
        <f>I2614*F2614</f>
        <v>247.84</v>
      </c>
    </row>
    <row r="2615" spans="1:11" hidden="1">
      <c r="A2615" s="265"/>
      <c r="F2615">
        <v>0.59</v>
      </c>
      <c r="G2615" s="3" t="s">
        <v>1365</v>
      </c>
      <c r="H2615" t="s">
        <v>1189</v>
      </c>
      <c r="I2615" t="e">
        <f>AC15</f>
        <v>#REF!</v>
      </c>
      <c r="J2615" s="4" t="s">
        <v>2190</v>
      </c>
      <c r="K2615" t="e">
        <f>I2615*F2615</f>
        <v>#REF!</v>
      </c>
    </row>
    <row r="2616" spans="1:11" hidden="1">
      <c r="A2616" s="265"/>
      <c r="F2616">
        <v>0.79</v>
      </c>
      <c r="G2616" s="3" t="s">
        <v>2322</v>
      </c>
      <c r="H2616" t="s">
        <v>1190</v>
      </c>
      <c r="I2616" t="e">
        <f>K630</f>
        <v>#REF!</v>
      </c>
      <c r="J2616" s="4" t="s">
        <v>2322</v>
      </c>
      <c r="K2616" t="e">
        <f>I2616*F2616</f>
        <v>#REF!</v>
      </c>
    </row>
    <row r="2617" spans="1:11" hidden="1">
      <c r="A2617" s="265"/>
      <c r="F2617">
        <v>0.24</v>
      </c>
      <c r="G2617" s="3" t="s">
        <v>1365</v>
      </c>
      <c r="H2617" t="s">
        <v>928</v>
      </c>
      <c r="I2617" t="e">
        <f>AC17</f>
        <v>#REF!</v>
      </c>
      <c r="J2617" s="4" t="s">
        <v>2190</v>
      </c>
      <c r="K2617" t="e">
        <f>I2617*F2617</f>
        <v>#REF!</v>
      </c>
    </row>
    <row r="2618" spans="1:11" hidden="1">
      <c r="A2618" s="265"/>
      <c r="F2618"/>
      <c r="G2618" s="3"/>
      <c r="H2618" t="s">
        <v>2310</v>
      </c>
      <c r="I2618"/>
      <c r="J2618" s="4"/>
      <c r="K2618"/>
    </row>
    <row r="2619" spans="1:11" hidden="1">
      <c r="A2619" s="265"/>
      <c r="F2619"/>
      <c r="G2619" s="3"/>
      <c r="H2619"/>
      <c r="I2619"/>
      <c r="J2619" s="4"/>
      <c r="K2619" s="55" t="s">
        <v>3126</v>
      </c>
    </row>
    <row r="2620" spans="1:11" hidden="1">
      <c r="A2620" s="265"/>
      <c r="F2620"/>
      <c r="G2620" s="3"/>
      <c r="H2620"/>
      <c r="I2620"/>
      <c r="J2620" s="4"/>
      <c r="K2620" t="e">
        <f>SUM(K2613:K2619)</f>
        <v>#REF!</v>
      </c>
    </row>
    <row r="2621" spans="1:11" hidden="1">
      <c r="A2621" s="265"/>
      <c r="F2621"/>
      <c r="G2621" s="3"/>
      <c r="H2621"/>
      <c r="I2621"/>
      <c r="J2621" s="4"/>
      <c r="K2621" s="55" t="s">
        <v>34</v>
      </c>
    </row>
    <row r="2622" spans="1:11" hidden="1">
      <c r="A2622" s="265"/>
      <c r="F2622"/>
      <c r="G2622" s="3"/>
      <c r="H2622" s="194" t="s">
        <v>3127</v>
      </c>
      <c r="I2622"/>
      <c r="J2622" s="4"/>
      <c r="K2622"/>
    </row>
    <row r="2623" spans="1:11" hidden="1">
      <c r="A2623" s="265"/>
      <c r="F2623"/>
      <c r="G2623" s="3"/>
      <c r="H2623"/>
      <c r="I2623"/>
      <c r="J2623" s="4"/>
      <c r="K2623"/>
    </row>
    <row r="2624" spans="1:11" hidden="1">
      <c r="A2624" s="265"/>
      <c r="F2624">
        <v>0.25</v>
      </c>
      <c r="G2624" s="3" t="s">
        <v>1419</v>
      </c>
      <c r="H2624" t="s">
        <v>471</v>
      </c>
      <c r="I2624">
        <f>C11</f>
        <v>135</v>
      </c>
      <c r="J2624" s="4" t="s">
        <v>1423</v>
      </c>
      <c r="K2624">
        <f>I2624*F2624</f>
        <v>33.75</v>
      </c>
    </row>
    <row r="2625" spans="1:11" hidden="1">
      <c r="A2625" s="265"/>
      <c r="F2625">
        <v>1</v>
      </c>
      <c r="G2625" s="3" t="s">
        <v>1419</v>
      </c>
      <c r="H2625" t="s">
        <v>353</v>
      </c>
      <c r="I2625">
        <f>C12</f>
        <v>95</v>
      </c>
      <c r="J2625" s="4" t="s">
        <v>1423</v>
      </c>
      <c r="K2625">
        <f>I2625*F2625</f>
        <v>95</v>
      </c>
    </row>
    <row r="2626" spans="1:11" hidden="1">
      <c r="A2626" s="265"/>
      <c r="F2626">
        <v>1</v>
      </c>
      <c r="G2626" s="3"/>
      <c r="H2626" t="s">
        <v>3128</v>
      </c>
      <c r="I2626">
        <v>23</v>
      </c>
      <c r="J2626" s="4" t="s">
        <v>455</v>
      </c>
      <c r="K2626">
        <f>I2626*F2626</f>
        <v>23</v>
      </c>
    </row>
    <row r="2627" spans="1:11" hidden="1">
      <c r="A2627" s="265"/>
      <c r="F2627"/>
      <c r="G2627" s="3"/>
      <c r="H2627"/>
      <c r="I2627"/>
      <c r="J2627" s="4"/>
      <c r="K2627" s="55" t="s">
        <v>3126</v>
      </c>
    </row>
    <row r="2628" spans="1:11" hidden="1">
      <c r="A2628" s="265"/>
      <c r="F2628"/>
      <c r="G2628" s="3"/>
      <c r="H2628" t="s">
        <v>3129</v>
      </c>
      <c r="I2628"/>
      <c r="J2628" s="4"/>
      <c r="K2628">
        <f>SUM(K2624:K2627)</f>
        <v>151.75</v>
      </c>
    </row>
    <row r="2629" spans="1:11" hidden="1">
      <c r="A2629" s="265"/>
      <c r="F2629"/>
      <c r="G2629" s="3"/>
      <c r="H2629" t="s">
        <v>3130</v>
      </c>
      <c r="I2629"/>
      <c r="J2629" s="4"/>
      <c r="K2629">
        <f>K2628/3</f>
        <v>50.58</v>
      </c>
    </row>
    <row r="2630" spans="1:11" hidden="1">
      <c r="A2630" s="265"/>
      <c r="F2630"/>
      <c r="G2630" s="3"/>
      <c r="H2630"/>
      <c r="I2630"/>
      <c r="J2630" s="4"/>
      <c r="K2630" s="328" t="s">
        <v>1615</v>
      </c>
    </row>
    <row r="2631" spans="1:11" ht="40.5" hidden="1" customHeight="1">
      <c r="A2631" s="265"/>
      <c r="F2631">
        <v>84</v>
      </c>
      <c r="G2631" s="3"/>
      <c r="H2631" s="327" t="s">
        <v>3131</v>
      </c>
      <c r="I2631"/>
      <c r="J2631" s="4"/>
      <c r="K2631"/>
    </row>
    <row r="2632" spans="1:11" hidden="1">
      <c r="A2632" s="265"/>
      <c r="F2632"/>
      <c r="G2632" s="3"/>
      <c r="H2632" s="328" t="s">
        <v>1615</v>
      </c>
      <c r="I2632"/>
      <c r="J2632" s="4"/>
      <c r="K2632"/>
    </row>
    <row r="2633" spans="1:11" ht="31.5" hidden="1">
      <c r="A2633" s="265"/>
      <c r="F2633" s="327">
        <v>180</v>
      </c>
      <c r="G2633" s="327" t="s">
        <v>842</v>
      </c>
      <c r="H2633" s="327" t="s">
        <v>3132</v>
      </c>
      <c r="I2633" s="327">
        <v>15.6</v>
      </c>
      <c r="J2633" s="327" t="s">
        <v>842</v>
      </c>
      <c r="K2633" s="327">
        <f t="shared" ref="K2633:K2640" si="87">I2633*F2633</f>
        <v>2808</v>
      </c>
    </row>
    <row r="2634" spans="1:11" hidden="1">
      <c r="A2634" s="265"/>
      <c r="F2634" s="327">
        <v>4</v>
      </c>
      <c r="G2634" s="327" t="s">
        <v>1676</v>
      </c>
      <c r="H2634" s="327" t="s">
        <v>3397</v>
      </c>
      <c r="I2634" s="327">
        <v>37</v>
      </c>
      <c r="J2634" s="327" t="s">
        <v>1676</v>
      </c>
      <c r="K2634" s="327">
        <f t="shared" si="87"/>
        <v>148</v>
      </c>
    </row>
    <row r="2635" spans="1:11" hidden="1">
      <c r="A2635" s="265"/>
      <c r="F2635" s="327">
        <v>180</v>
      </c>
      <c r="G2635" s="327" t="s">
        <v>1457</v>
      </c>
      <c r="H2635" s="327" t="s">
        <v>3398</v>
      </c>
      <c r="I2635" s="327">
        <v>0.25</v>
      </c>
      <c r="J2635" s="327" t="s">
        <v>1423</v>
      </c>
      <c r="K2635" s="327">
        <f t="shared" si="87"/>
        <v>45</v>
      </c>
    </row>
    <row r="2636" spans="1:11" hidden="1">
      <c r="A2636" s="265"/>
      <c r="F2636" s="327">
        <v>1</v>
      </c>
      <c r="G2636" s="327" t="s">
        <v>1676</v>
      </c>
      <c r="H2636" s="327" t="s">
        <v>3399</v>
      </c>
      <c r="I2636" s="327">
        <v>37</v>
      </c>
      <c r="J2636" s="327" t="s">
        <v>1676</v>
      </c>
      <c r="K2636" s="327">
        <f t="shared" si="87"/>
        <v>37</v>
      </c>
    </row>
    <row r="2637" spans="1:11" hidden="1">
      <c r="A2637" s="265"/>
      <c r="F2637" s="327">
        <v>1</v>
      </c>
      <c r="G2637" s="327" t="s">
        <v>1457</v>
      </c>
      <c r="H2637" s="327" t="s">
        <v>3400</v>
      </c>
      <c r="I2637" s="327">
        <v>148</v>
      </c>
      <c r="J2637" s="327" t="s">
        <v>1423</v>
      </c>
      <c r="K2637" s="327">
        <f t="shared" si="87"/>
        <v>148</v>
      </c>
    </row>
    <row r="2638" spans="1:11" hidden="1">
      <c r="A2638" s="265"/>
      <c r="F2638" s="327">
        <v>2</v>
      </c>
      <c r="G2638" s="327" t="s">
        <v>1457</v>
      </c>
      <c r="H2638" s="327" t="s">
        <v>3401</v>
      </c>
      <c r="I2638" s="327">
        <v>131</v>
      </c>
      <c r="J2638" s="327" t="s">
        <v>1423</v>
      </c>
      <c r="K2638" s="327">
        <f t="shared" si="87"/>
        <v>262</v>
      </c>
    </row>
    <row r="2639" spans="1:11" hidden="1">
      <c r="A2639" s="265"/>
      <c r="F2639" s="327">
        <v>2</v>
      </c>
      <c r="G2639" s="327" t="s">
        <v>1457</v>
      </c>
      <c r="H2639" s="327" t="s">
        <v>3402</v>
      </c>
      <c r="I2639" s="327">
        <v>117</v>
      </c>
      <c r="J2639" s="327" t="s">
        <v>1423</v>
      </c>
      <c r="K2639" s="327">
        <f t="shared" si="87"/>
        <v>234</v>
      </c>
    </row>
    <row r="2640" spans="1:11" hidden="1">
      <c r="A2640" s="265"/>
      <c r="F2640" s="327">
        <v>3</v>
      </c>
      <c r="G2640" s="327" t="s">
        <v>1457</v>
      </c>
      <c r="H2640" s="327" t="s">
        <v>2370</v>
      </c>
      <c r="I2640" s="327">
        <v>91</v>
      </c>
      <c r="J2640" s="327" t="s">
        <v>1423</v>
      </c>
      <c r="K2640" s="327">
        <f t="shared" si="87"/>
        <v>273</v>
      </c>
    </row>
    <row r="2641" spans="1:11" hidden="1">
      <c r="A2641" s="265"/>
      <c r="F2641" s="327"/>
      <c r="G2641" s="327"/>
      <c r="H2641" s="327" t="s">
        <v>3403</v>
      </c>
      <c r="I2641" s="327"/>
      <c r="J2641" s="327"/>
      <c r="K2641" s="327">
        <v>5</v>
      </c>
    </row>
    <row r="2642" spans="1:11" hidden="1">
      <c r="A2642" s="265"/>
      <c r="F2642" s="327"/>
      <c r="G2642" s="327"/>
      <c r="H2642" s="327"/>
      <c r="I2642" s="327"/>
      <c r="J2642" s="327"/>
      <c r="K2642" s="332" t="s">
        <v>1615</v>
      </c>
    </row>
    <row r="2643" spans="1:11" hidden="1">
      <c r="A2643" s="265"/>
      <c r="F2643" s="327"/>
      <c r="G2643" s="327"/>
      <c r="H2643" s="327" t="s">
        <v>3404</v>
      </c>
      <c r="I2643" s="327"/>
      <c r="J2643" s="327"/>
      <c r="K2643" s="327">
        <f>SUM(K2633:K2642)</f>
        <v>3960</v>
      </c>
    </row>
    <row r="2644" spans="1:11" hidden="1">
      <c r="A2644" s="265"/>
      <c r="F2644" s="327"/>
      <c r="G2644" s="327"/>
      <c r="H2644" s="327"/>
      <c r="I2644" s="327"/>
      <c r="J2644" s="327"/>
      <c r="K2644" s="332" t="s">
        <v>1615</v>
      </c>
    </row>
    <row r="2645" spans="1:11" hidden="1">
      <c r="A2645" s="265"/>
      <c r="F2645" s="327"/>
      <c r="G2645" s="327"/>
      <c r="H2645" s="327" t="s">
        <v>3405</v>
      </c>
      <c r="I2645" s="327"/>
      <c r="J2645" s="327"/>
      <c r="K2645" s="327">
        <f>K2643/90</f>
        <v>44</v>
      </c>
    </row>
    <row r="2646" spans="1:11" hidden="1">
      <c r="A2646" s="265"/>
      <c r="F2646" s="327"/>
      <c r="G2646" s="327"/>
      <c r="H2646" s="327"/>
      <c r="I2646" s="327"/>
      <c r="J2646" s="327"/>
      <c r="K2646" s="332" t="s">
        <v>2091</v>
      </c>
    </row>
    <row r="2647" spans="1:11" hidden="1">
      <c r="A2647" s="265"/>
      <c r="F2647" s="24"/>
      <c r="G2647" s="3"/>
      <c r="H2647" s="1" t="s">
        <v>2035</v>
      </c>
      <c r="I2647"/>
      <c r="J2647" s="4"/>
      <c r="K2647"/>
    </row>
    <row r="2648" spans="1:11" hidden="1">
      <c r="A2648" s="265"/>
      <c r="F2648"/>
      <c r="G2648" s="3"/>
      <c r="H2648" s="5" t="s">
        <v>1615</v>
      </c>
      <c r="I2648" s="5" t="s">
        <v>1615</v>
      </c>
      <c r="J2648" s="2" t="s">
        <v>1615</v>
      </c>
      <c r="K2648"/>
    </row>
    <row r="2649" spans="1:11" hidden="1">
      <c r="A2649" s="265"/>
      <c r="F2649"/>
      <c r="G2649" s="3"/>
      <c r="H2649"/>
      <c r="I2649"/>
      <c r="J2649" s="4"/>
      <c r="K2649"/>
    </row>
    <row r="2650" spans="1:11" hidden="1">
      <c r="A2650" s="265"/>
      <c r="F2650" s="28">
        <v>22.5</v>
      </c>
      <c r="G2650" s="3"/>
      <c r="H2650" s="1" t="s">
        <v>2036</v>
      </c>
      <c r="I2650"/>
      <c r="J2650" s="4"/>
      <c r="K2650"/>
    </row>
    <row r="2651" spans="1:11" hidden="1">
      <c r="A2651" s="265"/>
      <c r="F2651"/>
      <c r="G2651" s="3"/>
      <c r="H2651" s="1"/>
      <c r="I2651"/>
      <c r="J2651" s="4"/>
      <c r="K2651"/>
    </row>
    <row r="2652" spans="1:11" hidden="1">
      <c r="A2652" s="265"/>
      <c r="F2652"/>
      <c r="G2652" s="3"/>
      <c r="H2652" s="1" t="s">
        <v>2037</v>
      </c>
      <c r="I2652"/>
      <c r="J2652" s="4"/>
      <c r="K2652"/>
    </row>
    <row r="2653" spans="1:11" hidden="1">
      <c r="A2653" s="265"/>
      <c r="F2653"/>
      <c r="G2653" s="3"/>
      <c r="H2653" s="1" t="s">
        <v>460</v>
      </c>
      <c r="I2653"/>
      <c r="J2653" s="4"/>
      <c r="K2653"/>
    </row>
    <row r="2654" spans="1:11" hidden="1">
      <c r="A2654" s="265"/>
      <c r="F2654"/>
      <c r="G2654" s="3"/>
      <c r="H2654" s="1" t="s">
        <v>461</v>
      </c>
      <c r="I2654"/>
      <c r="J2654" s="4"/>
      <c r="K2654"/>
    </row>
    <row r="2655" spans="1:11" hidden="1">
      <c r="A2655" s="265"/>
      <c r="F2655"/>
      <c r="G2655" s="3"/>
      <c r="H2655" s="1" t="s">
        <v>462</v>
      </c>
      <c r="I2655"/>
      <c r="J2655" s="4"/>
      <c r="K2655"/>
    </row>
    <row r="2656" spans="1:11" hidden="1">
      <c r="A2656" s="265"/>
      <c r="F2656"/>
      <c r="G2656" s="3"/>
      <c r="H2656" s="1" t="s">
        <v>897</v>
      </c>
      <c r="I2656"/>
      <c r="J2656" s="2" t="s">
        <v>992</v>
      </c>
      <c r="K2656" s="14">
        <v>3.7699999999999997E-2</v>
      </c>
    </row>
    <row r="2657" spans="1:11" hidden="1">
      <c r="A2657" s="265"/>
      <c r="F2657"/>
      <c r="G2657" s="3"/>
      <c r="H2657" s="1" t="s">
        <v>708</v>
      </c>
      <c r="I2657"/>
      <c r="J2657" s="268" t="s">
        <v>992</v>
      </c>
      <c r="K2657" s="17" t="s">
        <v>992</v>
      </c>
    </row>
    <row r="2658" spans="1:11" hidden="1">
      <c r="A2658" s="265"/>
      <c r="F2658"/>
      <c r="G2658" s="3"/>
      <c r="H2658" s="1" t="s">
        <v>1864</v>
      </c>
      <c r="I2658"/>
      <c r="J2658" s="4"/>
      <c r="K2658" s="17" t="s">
        <v>992</v>
      </c>
    </row>
    <row r="2659" spans="1:11" hidden="1">
      <c r="A2659" s="265"/>
      <c r="F2659"/>
      <c r="G2659" s="3"/>
      <c r="H2659" s="1"/>
      <c r="I2659"/>
      <c r="J2659" s="4"/>
      <c r="K2659" s="17"/>
    </row>
    <row r="2660" spans="1:11" hidden="1">
      <c r="A2660" s="265"/>
      <c r="F2660"/>
      <c r="G2660" s="3"/>
      <c r="H2660" s="1"/>
      <c r="I2660"/>
      <c r="J2660" s="4"/>
      <c r="K2660" s="17"/>
    </row>
    <row r="2661" spans="1:11" hidden="1">
      <c r="A2661" s="265"/>
      <c r="F2661"/>
      <c r="G2661" s="3"/>
      <c r="H2661"/>
      <c r="I2661"/>
      <c r="J2661" s="4"/>
      <c r="K2661"/>
    </row>
    <row r="2662" spans="1:11" hidden="1">
      <c r="A2662" s="265"/>
      <c r="F2662" s="18">
        <v>1.18E-2</v>
      </c>
      <c r="G2662" s="7" t="s">
        <v>885</v>
      </c>
      <c r="H2662" s="1" t="s">
        <v>705</v>
      </c>
      <c r="I2662" s="8">
        <f t="shared" ref="I2662:I2671" si="88">I2260</f>
        <v>65420</v>
      </c>
      <c r="J2662" s="2" t="s">
        <v>885</v>
      </c>
      <c r="K2662" s="8">
        <f t="shared" ref="K2662:K2671" si="89">(F2662*I2662)</f>
        <v>771.96</v>
      </c>
    </row>
    <row r="2663" spans="1:11" hidden="1">
      <c r="A2663" s="265"/>
      <c r="F2663" s="18">
        <v>3.7699999999999997E-2</v>
      </c>
      <c r="G2663" s="7" t="s">
        <v>885</v>
      </c>
      <c r="H2663" s="1" t="s">
        <v>706</v>
      </c>
      <c r="I2663" s="8">
        <f t="shared" si="88"/>
        <v>57165</v>
      </c>
      <c r="J2663" s="2" t="s">
        <v>885</v>
      </c>
      <c r="K2663" s="8">
        <f t="shared" si="89"/>
        <v>2155.12</v>
      </c>
    </row>
    <row r="2664" spans="1:11" hidden="1">
      <c r="A2664" s="265"/>
      <c r="F2664" s="18">
        <v>1.8550000000000001E-2</v>
      </c>
      <c r="G2664" s="7" t="s">
        <v>885</v>
      </c>
      <c r="H2664" s="1" t="s">
        <v>902</v>
      </c>
      <c r="I2664" s="8">
        <f t="shared" si="88"/>
        <v>3035</v>
      </c>
      <c r="J2664" s="2" t="s">
        <v>885</v>
      </c>
      <c r="K2664" s="8">
        <f t="shared" si="89"/>
        <v>56.3</v>
      </c>
    </row>
    <row r="2665" spans="1:11" hidden="1">
      <c r="A2665" s="265"/>
      <c r="F2665" s="18">
        <v>1.36</v>
      </c>
      <c r="G2665" s="7" t="s">
        <v>621</v>
      </c>
      <c r="H2665" s="1" t="s">
        <v>903</v>
      </c>
      <c r="I2665" s="8">
        <f t="shared" si="88"/>
        <v>385.89</v>
      </c>
      <c r="J2665" s="2" t="s">
        <v>621</v>
      </c>
      <c r="K2665" s="8">
        <f t="shared" si="89"/>
        <v>524.80999999999995</v>
      </c>
    </row>
    <row r="2666" spans="1:11" hidden="1">
      <c r="A2666" s="265"/>
      <c r="F2666" s="18">
        <v>2.0499999999999998</v>
      </c>
      <c r="G2666" s="7" t="s">
        <v>621</v>
      </c>
      <c r="H2666" s="1" t="s">
        <v>1532</v>
      </c>
      <c r="I2666" s="8">
        <f t="shared" si="88"/>
        <v>287</v>
      </c>
      <c r="J2666" s="2" t="s">
        <v>621</v>
      </c>
      <c r="K2666" s="8">
        <f t="shared" si="89"/>
        <v>588.35</v>
      </c>
    </row>
    <row r="2667" spans="1:11" hidden="1">
      <c r="A2667" s="265"/>
      <c r="F2667" s="8">
        <v>2</v>
      </c>
      <c r="G2667" s="7" t="s">
        <v>884</v>
      </c>
      <c r="H2667" s="1" t="s">
        <v>1414</v>
      </c>
      <c r="I2667" s="8">
        <f t="shared" si="88"/>
        <v>25</v>
      </c>
      <c r="J2667" s="2" t="s">
        <v>884</v>
      </c>
      <c r="K2667" s="8">
        <f t="shared" si="89"/>
        <v>50</v>
      </c>
    </row>
    <row r="2668" spans="1:11" hidden="1">
      <c r="A2668" s="265"/>
      <c r="F2668" s="8">
        <v>6</v>
      </c>
      <c r="G2668" s="7" t="s">
        <v>884</v>
      </c>
      <c r="H2668" s="1" t="s">
        <v>1367</v>
      </c>
      <c r="I2668" s="8">
        <f t="shared" si="88"/>
        <v>25</v>
      </c>
      <c r="J2668" s="2" t="s">
        <v>884</v>
      </c>
      <c r="K2668" s="8">
        <f t="shared" si="89"/>
        <v>150</v>
      </c>
    </row>
    <row r="2669" spans="1:11" hidden="1">
      <c r="A2669" s="265"/>
      <c r="F2669" s="8">
        <v>2</v>
      </c>
      <c r="G2669" s="7" t="s">
        <v>884</v>
      </c>
      <c r="H2669" s="1" t="s">
        <v>1415</v>
      </c>
      <c r="I2669" s="8">
        <f t="shared" si="88"/>
        <v>35</v>
      </c>
      <c r="J2669" s="2" t="s">
        <v>884</v>
      </c>
      <c r="K2669" s="8">
        <f t="shared" si="89"/>
        <v>70</v>
      </c>
    </row>
    <row r="2670" spans="1:11" hidden="1">
      <c r="A2670" s="265"/>
      <c r="F2670" s="8">
        <v>1</v>
      </c>
      <c r="G2670" s="7" t="s">
        <v>884</v>
      </c>
      <c r="H2670" s="1" t="s">
        <v>1442</v>
      </c>
      <c r="I2670" s="8">
        <f t="shared" si="88"/>
        <v>60</v>
      </c>
      <c r="J2670" s="2" t="s">
        <v>884</v>
      </c>
      <c r="K2670" s="8">
        <f t="shared" si="89"/>
        <v>60</v>
      </c>
    </row>
    <row r="2671" spans="1:11" hidden="1">
      <c r="A2671" s="265"/>
      <c r="F2671" s="8">
        <v>2.52</v>
      </c>
      <c r="G2671" s="7" t="s">
        <v>621</v>
      </c>
      <c r="H2671" s="1" t="s">
        <v>1745</v>
      </c>
      <c r="I2671" s="8">
        <f t="shared" si="88"/>
        <v>51.25</v>
      </c>
      <c r="J2671" s="2" t="s">
        <v>621</v>
      </c>
      <c r="K2671" s="8">
        <f t="shared" si="89"/>
        <v>129.15</v>
      </c>
    </row>
    <row r="2672" spans="1:11" hidden="1">
      <c r="A2672" s="265"/>
      <c r="F2672"/>
      <c r="G2672" s="3"/>
      <c r="H2672" s="1" t="s">
        <v>1439</v>
      </c>
      <c r="I2672" s="2" t="s">
        <v>455</v>
      </c>
      <c r="J2672" s="4"/>
      <c r="K2672" s="8">
        <v>0.28000000000000003</v>
      </c>
    </row>
    <row r="2673" spans="1:11" hidden="1">
      <c r="A2673" s="265"/>
      <c r="F2673"/>
      <c r="G2673" s="3"/>
      <c r="H2673"/>
      <c r="I2673"/>
      <c r="J2673" s="4"/>
      <c r="K2673" s="5" t="s">
        <v>1615</v>
      </c>
    </row>
    <row r="2674" spans="1:11" hidden="1">
      <c r="A2674" s="265"/>
      <c r="F2674"/>
      <c r="G2674" s="3"/>
      <c r="H2674" s="2" t="s">
        <v>1440</v>
      </c>
      <c r="I2674"/>
      <c r="J2674" s="4"/>
      <c r="K2674" s="8">
        <f>SUM(K2662:K2672)</f>
        <v>4555.97</v>
      </c>
    </row>
    <row r="2675" spans="1:11" hidden="1">
      <c r="A2675" s="265"/>
      <c r="F2675"/>
      <c r="G2675" s="7" t="s">
        <v>992</v>
      </c>
      <c r="H2675"/>
      <c r="I2675"/>
      <c r="J2675" s="4"/>
      <c r="K2675" s="5" t="s">
        <v>1615</v>
      </c>
    </row>
    <row r="2676" spans="1:11" hidden="1">
      <c r="A2676" s="265"/>
      <c r="F2676"/>
      <c r="G2676" s="3"/>
      <c r="H2676" s="2" t="s">
        <v>562</v>
      </c>
      <c r="I2676"/>
      <c r="J2676" s="4"/>
      <c r="K2676" s="8">
        <f>K2674/F2671</f>
        <v>1807.92</v>
      </c>
    </row>
    <row r="2677" spans="1:11" hidden="1">
      <c r="A2677" s="265"/>
      <c r="F2677"/>
      <c r="G2677" s="3"/>
      <c r="H2677"/>
      <c r="I2677"/>
      <c r="J2677" s="4"/>
      <c r="K2677" s="5" t="s">
        <v>2091</v>
      </c>
    </row>
    <row r="2678" spans="1:11" hidden="1">
      <c r="A2678" s="265"/>
      <c r="F2678" s="327">
        <v>44.4</v>
      </c>
      <c r="G2678" s="327"/>
      <c r="H2678" s="327" t="s">
        <v>3406</v>
      </c>
      <c r="I2678" s="327"/>
      <c r="J2678" s="327"/>
      <c r="K2678" s="327"/>
    </row>
    <row r="2679" spans="1:11" hidden="1">
      <c r="A2679" s="265"/>
      <c r="F2679" s="327"/>
      <c r="G2679" s="327"/>
      <c r="H2679" s="328" t="s">
        <v>1615</v>
      </c>
      <c r="I2679" s="327"/>
      <c r="J2679" s="327"/>
      <c r="K2679" s="327"/>
    </row>
    <row r="2680" spans="1:11" hidden="1">
      <c r="A2680" s="265"/>
      <c r="F2680" s="327">
        <v>4.9000000000000004</v>
      </c>
      <c r="G2680" s="327" t="s">
        <v>842</v>
      </c>
      <c r="H2680" s="327" t="s">
        <v>3407</v>
      </c>
      <c r="I2680" s="327">
        <v>49.01</v>
      </c>
      <c r="J2680" s="327" t="s">
        <v>842</v>
      </c>
      <c r="K2680" s="327">
        <f>F2680*I2680</f>
        <v>240.15</v>
      </c>
    </row>
    <row r="2681" spans="1:11" hidden="1">
      <c r="A2681" s="265"/>
      <c r="F2681" s="327">
        <v>0.12</v>
      </c>
      <c r="G2681" s="327" t="s">
        <v>885</v>
      </c>
      <c r="H2681" s="327" t="s">
        <v>3408</v>
      </c>
      <c r="I2681" s="327" t="e">
        <f>AC15</f>
        <v>#REF!</v>
      </c>
      <c r="J2681" s="327" t="s">
        <v>885</v>
      </c>
      <c r="K2681" s="327" t="e">
        <f>F2681*I2681</f>
        <v>#REF!</v>
      </c>
    </row>
    <row r="2682" spans="1:11" hidden="1">
      <c r="A2682" s="265"/>
      <c r="F2682" s="333">
        <v>0.18</v>
      </c>
      <c r="G2682" s="327" t="s">
        <v>885</v>
      </c>
      <c r="H2682" s="327" t="s">
        <v>3409</v>
      </c>
      <c r="I2682" s="327" t="e">
        <f>AC14</f>
        <v>#REF!</v>
      </c>
      <c r="J2682" s="327" t="s">
        <v>885</v>
      </c>
      <c r="K2682" s="327" t="e">
        <f>F2682*I2682</f>
        <v>#REF!</v>
      </c>
    </row>
    <row r="2683" spans="1:11" hidden="1">
      <c r="A2683" s="265"/>
      <c r="F2683" s="327">
        <v>0.05</v>
      </c>
      <c r="G2683" s="327" t="s">
        <v>885</v>
      </c>
      <c r="H2683" s="327" t="s">
        <v>3410</v>
      </c>
      <c r="I2683" s="327" t="e">
        <f>AC16</f>
        <v>#REF!</v>
      </c>
      <c r="J2683" s="327" t="s">
        <v>885</v>
      </c>
      <c r="K2683" s="327" t="e">
        <f>F2683*I2683</f>
        <v>#REF!</v>
      </c>
    </row>
    <row r="2684" spans="1:11" hidden="1">
      <c r="A2684" s="265"/>
      <c r="F2684" s="327"/>
      <c r="G2684" s="327"/>
      <c r="H2684" s="327"/>
      <c r="I2684" s="327"/>
      <c r="J2684" s="327"/>
      <c r="K2684" s="332" t="s">
        <v>1615</v>
      </c>
    </row>
    <row r="2685" spans="1:11" hidden="1">
      <c r="A2685" s="265"/>
      <c r="F2685" s="327"/>
      <c r="G2685" s="327"/>
      <c r="H2685" s="327" t="s">
        <v>3155</v>
      </c>
      <c r="I2685" s="327"/>
      <c r="J2685" s="327"/>
      <c r="K2685" s="327" t="e">
        <f>SUM(K2680:K2684)</f>
        <v>#REF!</v>
      </c>
    </row>
    <row r="2686" spans="1:11" hidden="1">
      <c r="A2686" s="265"/>
      <c r="F2686" s="327"/>
      <c r="G2686" s="327"/>
      <c r="H2686" s="327"/>
      <c r="I2686" s="327"/>
      <c r="J2686" s="327"/>
      <c r="K2686" s="332" t="s">
        <v>1615</v>
      </c>
    </row>
    <row r="2687" spans="1:11" hidden="1">
      <c r="A2687" s="265"/>
      <c r="F2687" s="327"/>
      <c r="G2687" s="327"/>
      <c r="H2687" s="327" t="s">
        <v>3156</v>
      </c>
      <c r="I2687" s="327"/>
      <c r="J2687" s="327"/>
      <c r="K2687" s="327" t="e">
        <f>K2685/F2680</f>
        <v>#REF!</v>
      </c>
    </row>
    <row r="2688" spans="1:11" hidden="1">
      <c r="A2688" s="265"/>
      <c r="F2688" s="327"/>
      <c r="G2688" s="327"/>
      <c r="H2688" s="327"/>
      <c r="I2688" s="327"/>
      <c r="J2688" s="327"/>
      <c r="K2688" s="332" t="s">
        <v>2091</v>
      </c>
    </row>
    <row r="2689" spans="1:11" ht="63" hidden="1">
      <c r="A2689" s="265"/>
      <c r="F2689" s="327">
        <v>44.5</v>
      </c>
      <c r="G2689" s="327"/>
      <c r="H2689" s="327" t="s">
        <v>3420</v>
      </c>
      <c r="I2689" s="327"/>
      <c r="J2689" s="327"/>
      <c r="K2689" s="327"/>
    </row>
    <row r="2690" spans="1:11" hidden="1">
      <c r="A2690" s="265"/>
      <c r="F2690" s="327"/>
      <c r="G2690" s="327"/>
      <c r="H2690" s="328" t="s">
        <v>1615</v>
      </c>
      <c r="I2690" s="327"/>
      <c r="J2690" s="327"/>
      <c r="K2690" s="327"/>
    </row>
    <row r="2691" spans="1:11" hidden="1">
      <c r="A2691" s="265"/>
      <c r="F2691" s="327">
        <v>0.38</v>
      </c>
      <c r="G2691" s="327" t="s">
        <v>2190</v>
      </c>
      <c r="H2691" s="327" t="s">
        <v>362</v>
      </c>
      <c r="I2691" s="327">
        <f>I2613</f>
        <v>52.93</v>
      </c>
      <c r="J2691" s="327" t="s">
        <v>885</v>
      </c>
      <c r="K2691" s="327">
        <f>I2691*F2691</f>
        <v>20.11</v>
      </c>
    </row>
    <row r="2692" spans="1:11" hidden="1">
      <c r="A2692" s="265"/>
      <c r="F2692" s="327">
        <v>0.38</v>
      </c>
      <c r="G2692" s="327" t="s">
        <v>2190</v>
      </c>
      <c r="H2692" s="327" t="s">
        <v>3421</v>
      </c>
      <c r="I2692" s="327" t="e">
        <f>AC15</f>
        <v>#REF!</v>
      </c>
      <c r="J2692" s="327" t="s">
        <v>885</v>
      </c>
      <c r="K2692" s="327" t="e">
        <f>I2692*F2692</f>
        <v>#REF!</v>
      </c>
    </row>
    <row r="2693" spans="1:11" hidden="1">
      <c r="A2693" s="265"/>
      <c r="F2693" s="327">
        <v>0.12</v>
      </c>
      <c r="G2693" s="3" t="s">
        <v>2190</v>
      </c>
      <c r="H2693" s="327" t="s">
        <v>3422</v>
      </c>
      <c r="I2693" t="e">
        <f>K614</f>
        <v>#REF!</v>
      </c>
      <c r="J2693" s="327" t="s">
        <v>885</v>
      </c>
      <c r="K2693" s="327" t="e">
        <f>I2693*F2693</f>
        <v>#REF!</v>
      </c>
    </row>
    <row r="2694" spans="1:11" hidden="1">
      <c r="A2694" s="265"/>
      <c r="F2694" s="327">
        <v>9.6</v>
      </c>
      <c r="G2694" s="327" t="s">
        <v>1676</v>
      </c>
      <c r="H2694" s="327" t="s">
        <v>3423</v>
      </c>
      <c r="I2694">
        <f>AC32</f>
        <v>28000</v>
      </c>
      <c r="J2694" s="327" t="s">
        <v>535</v>
      </c>
      <c r="K2694" s="327">
        <f>I2694*F2694/1000</f>
        <v>268.8</v>
      </c>
    </row>
    <row r="2695" spans="1:11" hidden="1">
      <c r="A2695" s="265"/>
      <c r="F2695"/>
      <c r="G2695" s="3"/>
      <c r="H2695"/>
      <c r="I2695"/>
      <c r="J2695" s="4"/>
      <c r="K2695" s="328" t="s">
        <v>1615</v>
      </c>
    </row>
    <row r="2696" spans="1:11" hidden="1">
      <c r="A2696" s="265"/>
      <c r="F2696"/>
      <c r="G2696" s="3"/>
      <c r="H2696" s="327" t="s">
        <v>3424</v>
      </c>
      <c r="I2696"/>
      <c r="J2696" s="4"/>
      <c r="K2696" t="e">
        <f>SUM(K2691:K2695)</f>
        <v>#REF!</v>
      </c>
    </row>
    <row r="2697" spans="1:11" hidden="1">
      <c r="A2697" s="265"/>
      <c r="F2697"/>
      <c r="G2697" s="3"/>
      <c r="H2697"/>
      <c r="I2697"/>
      <c r="J2697" s="4"/>
      <c r="K2697" s="328" t="s">
        <v>2091</v>
      </c>
    </row>
    <row r="2698" spans="1:11" ht="63" hidden="1">
      <c r="A2698" s="265"/>
      <c r="F2698" s="334">
        <v>71.3</v>
      </c>
      <c r="G2698" s="335"/>
      <c r="H2698" s="336" t="s">
        <v>3425</v>
      </c>
      <c r="I2698" s="221"/>
      <c r="J2698" s="337"/>
      <c r="K2698" s="221"/>
    </row>
    <row r="2699" spans="1:11" hidden="1">
      <c r="A2699" s="265"/>
      <c r="F2699" s="221"/>
      <c r="G2699" s="335"/>
      <c r="H2699" s="338" t="s">
        <v>2419</v>
      </c>
      <c r="I2699" s="221"/>
      <c r="J2699" s="337"/>
      <c r="K2699" s="221"/>
    </row>
    <row r="2700" spans="1:11" hidden="1">
      <c r="A2700" s="265"/>
      <c r="F2700" s="221">
        <v>1</v>
      </c>
      <c r="G2700" s="335" t="s">
        <v>1419</v>
      </c>
      <c r="H2700" s="221" t="s">
        <v>3133</v>
      </c>
      <c r="I2700" s="221"/>
      <c r="J2700" s="337">
        <v>1880</v>
      </c>
      <c r="K2700" s="221">
        <f>J2700*F2700</f>
        <v>1880</v>
      </c>
    </row>
    <row r="2701" spans="1:11" hidden="1">
      <c r="A2701" s="265"/>
      <c r="F2701" s="221">
        <v>1</v>
      </c>
      <c r="G2701" s="335" t="s">
        <v>1419</v>
      </c>
      <c r="H2701" s="221" t="s">
        <v>3134</v>
      </c>
      <c r="I2701" s="221"/>
      <c r="J2701" s="337">
        <v>480</v>
      </c>
      <c r="K2701" s="221">
        <f>J2701*F2701</f>
        <v>480</v>
      </c>
    </row>
    <row r="2702" spans="1:11" hidden="1">
      <c r="A2702" s="265"/>
      <c r="F2702" s="221"/>
      <c r="G2702" s="335"/>
      <c r="H2702" s="221" t="s">
        <v>3135</v>
      </c>
      <c r="I2702" s="221"/>
      <c r="J2702" s="337"/>
      <c r="K2702" s="221">
        <v>35.67</v>
      </c>
    </row>
    <row r="2703" spans="1:11" hidden="1">
      <c r="A2703" s="265"/>
      <c r="F2703" s="221"/>
      <c r="G2703" s="335"/>
      <c r="H2703" s="221" t="s">
        <v>1856</v>
      </c>
      <c r="I2703" s="221"/>
      <c r="J2703" s="337"/>
      <c r="K2703" s="221">
        <f>K2711</f>
        <v>104.33</v>
      </c>
    </row>
    <row r="2704" spans="1:11" hidden="1">
      <c r="A2704" s="265"/>
      <c r="F2704" s="221"/>
      <c r="G2704" s="335"/>
      <c r="H2704" s="221"/>
      <c r="I2704" s="221"/>
      <c r="J2704" s="337"/>
      <c r="K2704" s="339" t="s">
        <v>3126</v>
      </c>
    </row>
    <row r="2705" spans="1:11" hidden="1">
      <c r="A2705" s="265"/>
      <c r="F2705" s="221"/>
      <c r="G2705" s="335"/>
      <c r="H2705" s="221"/>
      <c r="I2705" s="221"/>
      <c r="J2705" s="337"/>
      <c r="K2705" s="221">
        <f>SUM(K2700:K2704)</f>
        <v>2500</v>
      </c>
    </row>
    <row r="2706" spans="1:11" hidden="1">
      <c r="A2706" s="265"/>
      <c r="F2706" s="221"/>
      <c r="G2706" s="335"/>
      <c r="H2706" s="221" t="s">
        <v>931</v>
      </c>
      <c r="I2706" s="221"/>
      <c r="J2706" s="337"/>
      <c r="K2706" s="339" t="s">
        <v>34</v>
      </c>
    </row>
    <row r="2707" spans="1:11" hidden="1">
      <c r="A2707" s="265"/>
      <c r="F2707" s="221">
        <v>1</v>
      </c>
      <c r="G2707" s="335" t="s">
        <v>1419</v>
      </c>
      <c r="H2707" s="221" t="s">
        <v>3136</v>
      </c>
      <c r="I2707" s="221">
        <v>131</v>
      </c>
      <c r="J2707" s="337" t="s">
        <v>1423</v>
      </c>
      <c r="K2707" s="221">
        <f>I2707*F2707</f>
        <v>131</v>
      </c>
    </row>
    <row r="2708" spans="1:11" hidden="1">
      <c r="A2708" s="265"/>
      <c r="F2708" s="221">
        <v>2</v>
      </c>
      <c r="G2708" s="335" t="s">
        <v>1457</v>
      </c>
      <c r="H2708" s="221" t="s">
        <v>3137</v>
      </c>
      <c r="I2708" s="221">
        <v>91</v>
      </c>
      <c r="J2708" s="337" t="s">
        <v>1423</v>
      </c>
      <c r="K2708" s="221">
        <f>I2708*F2708</f>
        <v>182</v>
      </c>
    </row>
    <row r="2709" spans="1:11" hidden="1">
      <c r="A2709" s="265"/>
      <c r="F2709" s="221"/>
      <c r="G2709" s="335"/>
      <c r="H2709" s="221"/>
      <c r="I2709" s="221"/>
      <c r="J2709" s="337"/>
      <c r="K2709" s="339" t="s">
        <v>3138</v>
      </c>
    </row>
    <row r="2710" spans="1:11" hidden="1">
      <c r="A2710" s="265"/>
      <c r="F2710" s="221"/>
      <c r="G2710" s="335"/>
      <c r="H2710" s="335" t="s">
        <v>3139</v>
      </c>
      <c r="I2710" s="221"/>
      <c r="J2710" s="337"/>
      <c r="K2710" s="221">
        <f>SUM(K2707:K2709)</f>
        <v>313</v>
      </c>
    </row>
    <row r="2711" spans="1:11" hidden="1">
      <c r="A2711" s="265"/>
      <c r="F2711" s="221"/>
      <c r="G2711" s="335"/>
      <c r="H2711" s="335" t="s">
        <v>3140</v>
      </c>
      <c r="I2711" s="221"/>
      <c r="J2711" s="337"/>
      <c r="K2711" s="221">
        <f>K2710/3</f>
        <v>104.33</v>
      </c>
    </row>
    <row r="2712" spans="1:11" hidden="1">
      <c r="A2712" s="265"/>
      <c r="F2712"/>
      <c r="G2712" s="3"/>
      <c r="H2712"/>
      <c r="I2712"/>
      <c r="J2712" s="4"/>
      <c r="K2712"/>
    </row>
    <row r="2713" spans="1:11" ht="15.75" hidden="1" customHeight="1">
      <c r="A2713" s="265"/>
      <c r="F2713" s="340">
        <v>79.400000000000006</v>
      </c>
      <c r="G2713" s="53"/>
      <c r="H2713" s="1562" t="s">
        <v>2764</v>
      </c>
      <c r="I2713" s="1562"/>
      <c r="J2713" s="342"/>
      <c r="K2713" s="54"/>
    </row>
    <row r="2714" spans="1:11" hidden="1">
      <c r="A2714" s="265"/>
      <c r="F2714" s="343"/>
      <c r="G2714" s="53"/>
      <c r="H2714" s="341"/>
      <c r="I2714" s="341"/>
      <c r="J2714" s="342"/>
      <c r="K2714" s="54"/>
    </row>
    <row r="2715" spans="1:11" hidden="1">
      <c r="A2715" s="265"/>
      <c r="F2715" s="54">
        <v>3</v>
      </c>
      <c r="G2715" s="53" t="s">
        <v>1457</v>
      </c>
      <c r="H2715" s="54" t="s">
        <v>2765</v>
      </c>
      <c r="I2715" s="105">
        <v>190</v>
      </c>
      <c r="J2715" s="342" t="s">
        <v>1423</v>
      </c>
      <c r="K2715" s="54">
        <f>I2715*F2715</f>
        <v>570</v>
      </c>
    </row>
    <row r="2716" spans="1:11" hidden="1">
      <c r="A2716" s="265"/>
      <c r="F2716" s="54">
        <v>1</v>
      </c>
      <c r="G2716" s="53" t="s">
        <v>1419</v>
      </c>
      <c r="H2716" s="54" t="s">
        <v>2766</v>
      </c>
      <c r="I2716" s="54">
        <v>223.63</v>
      </c>
      <c r="J2716" s="342" t="s">
        <v>1423</v>
      </c>
      <c r="K2716" s="54">
        <f>I2716*F2716</f>
        <v>223.63</v>
      </c>
    </row>
    <row r="2717" spans="1:11" hidden="1">
      <c r="A2717" s="265"/>
      <c r="F2717" s="54"/>
      <c r="G2717" s="53"/>
      <c r="H2717" s="54" t="s">
        <v>931</v>
      </c>
      <c r="I2717" s="54"/>
      <c r="J2717" s="342"/>
      <c r="K2717" s="54">
        <f>K2728</f>
        <v>76.5</v>
      </c>
    </row>
    <row r="2718" spans="1:11" hidden="1">
      <c r="A2718" s="265"/>
      <c r="F2718" s="54"/>
      <c r="G2718" s="53"/>
      <c r="H2718" s="54" t="s">
        <v>2767</v>
      </c>
      <c r="I2718" s="54"/>
      <c r="J2718" s="342"/>
      <c r="K2718" s="54">
        <v>4.87</v>
      </c>
    </row>
    <row r="2719" spans="1:11" hidden="1">
      <c r="A2719" s="265"/>
      <c r="F2719" s="54"/>
      <c r="G2719" s="53"/>
      <c r="H2719" s="54"/>
      <c r="I2719" s="54"/>
      <c r="J2719" s="342"/>
      <c r="K2719" s="56" t="s">
        <v>434</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931</v>
      </c>
      <c r="I2722" s="54"/>
      <c r="J2722" s="342"/>
      <c r="K2722" s="54"/>
    </row>
    <row r="2723" spans="1:11" hidden="1">
      <c r="A2723" s="265"/>
      <c r="F2723" s="54">
        <v>1</v>
      </c>
      <c r="G2723" s="53" t="s">
        <v>1419</v>
      </c>
      <c r="H2723" s="54" t="s">
        <v>2768</v>
      </c>
      <c r="I2723" s="54">
        <v>131</v>
      </c>
      <c r="J2723" s="342" t="s">
        <v>1423</v>
      </c>
      <c r="K2723" s="54">
        <f>I2723*F2723</f>
        <v>131</v>
      </c>
    </row>
    <row r="2724" spans="1:11" hidden="1">
      <c r="A2724" s="265"/>
      <c r="F2724" s="54">
        <v>1</v>
      </c>
      <c r="G2724" s="53" t="s">
        <v>1419</v>
      </c>
      <c r="H2724" s="54" t="s">
        <v>2769</v>
      </c>
      <c r="I2724" s="54">
        <v>117</v>
      </c>
      <c r="J2724" s="342" t="s">
        <v>1423</v>
      </c>
      <c r="K2724" s="54">
        <f>I2724*F2724</f>
        <v>117</v>
      </c>
    </row>
    <row r="2725" spans="1:11" hidden="1">
      <c r="A2725" s="265"/>
      <c r="F2725" s="54">
        <v>4</v>
      </c>
      <c r="G2725" s="53" t="s">
        <v>1457</v>
      </c>
      <c r="H2725" s="54" t="s">
        <v>3137</v>
      </c>
      <c r="I2725" s="54">
        <v>91</v>
      </c>
      <c r="J2725" s="342" t="s">
        <v>1423</v>
      </c>
      <c r="K2725" s="54">
        <f>I2725*F2725</f>
        <v>364</v>
      </c>
    </row>
    <row r="2726" spans="1:11" hidden="1">
      <c r="A2726" s="265"/>
      <c r="F2726" s="54"/>
      <c r="G2726" s="53"/>
      <c r="H2726" s="54"/>
      <c r="I2726" s="54"/>
      <c r="J2726" s="342"/>
      <c r="K2726" s="56" t="s">
        <v>3380</v>
      </c>
    </row>
    <row r="2727" spans="1:11" hidden="1">
      <c r="A2727" s="265"/>
      <c r="F2727" s="54"/>
      <c r="G2727" s="53"/>
      <c r="H2727" s="54" t="s">
        <v>3381</v>
      </c>
      <c r="I2727" s="54"/>
      <c r="J2727" s="342"/>
      <c r="K2727" s="54">
        <f>SUM(K2723:K2726)</f>
        <v>612</v>
      </c>
    </row>
    <row r="2728" spans="1:11" hidden="1">
      <c r="A2728" s="265"/>
      <c r="F2728" s="54"/>
      <c r="G2728" s="53"/>
      <c r="H2728" s="54" t="s">
        <v>3382</v>
      </c>
      <c r="I2728" s="54"/>
      <c r="J2728" s="342"/>
      <c r="K2728" s="54">
        <f>K2727/8</f>
        <v>76.5</v>
      </c>
    </row>
    <row r="2729" spans="1:11" hidden="1">
      <c r="A2729" s="265"/>
      <c r="F2729"/>
      <c r="G2729" s="3"/>
      <c r="H2729"/>
      <c r="I2729"/>
      <c r="J2729" s="4"/>
      <c r="K2729"/>
    </row>
    <row r="2730" spans="1:11" ht="31.5" hidden="1">
      <c r="A2730" s="265"/>
      <c r="F2730" s="344">
        <v>170</v>
      </c>
      <c r="G2730" s="3"/>
      <c r="H2730" s="27" t="s">
        <v>3383</v>
      </c>
      <c r="I2730"/>
      <c r="J2730" s="4"/>
      <c r="K2730"/>
    </row>
    <row r="2731" spans="1:11" hidden="1">
      <c r="A2731" s="265"/>
      <c r="F2731"/>
      <c r="G2731" s="3"/>
      <c r="H2731" s="328" t="s">
        <v>1615</v>
      </c>
      <c r="I2731"/>
      <c r="J2731" s="4"/>
      <c r="K2731"/>
    </row>
    <row r="2732" spans="1:11" hidden="1">
      <c r="A2732" s="265"/>
      <c r="F2732">
        <v>1</v>
      </c>
      <c r="G2732" s="3" t="s">
        <v>1419</v>
      </c>
      <c r="H2732" t="s">
        <v>2495</v>
      </c>
      <c r="I2732">
        <v>2400</v>
      </c>
      <c r="J2732" s="4" t="s">
        <v>1423</v>
      </c>
      <c r="K2732">
        <f>I2732*F2732</f>
        <v>2400</v>
      </c>
    </row>
    <row r="2733" spans="1:11" hidden="1">
      <c r="A2733" s="265"/>
      <c r="F2733">
        <v>1</v>
      </c>
      <c r="G2733" s="3" t="s">
        <v>1419</v>
      </c>
      <c r="H2733" t="s">
        <v>3071</v>
      </c>
      <c r="I2733">
        <v>485</v>
      </c>
      <c r="J2733" s="4" t="s">
        <v>1423</v>
      </c>
      <c r="K2733">
        <f>I2733*F2733</f>
        <v>485</v>
      </c>
    </row>
    <row r="2734" spans="1:11" hidden="1">
      <c r="A2734" s="265"/>
      <c r="F2734">
        <v>4</v>
      </c>
      <c r="G2734" s="3" t="s">
        <v>1457</v>
      </c>
      <c r="H2734" t="s">
        <v>3072</v>
      </c>
      <c r="I2734">
        <v>525</v>
      </c>
      <c r="J2734" s="4" t="s">
        <v>1423</v>
      </c>
      <c r="K2734">
        <f>I2734*F2734</f>
        <v>2100</v>
      </c>
    </row>
    <row r="2735" spans="1:11" hidden="1">
      <c r="A2735" s="265"/>
      <c r="F2735">
        <v>4.5</v>
      </c>
      <c r="G2735" s="3" t="s">
        <v>1676</v>
      </c>
      <c r="H2735" t="s">
        <v>3073</v>
      </c>
      <c r="I2735">
        <v>27</v>
      </c>
      <c r="J2735" s="4" t="s">
        <v>1676</v>
      </c>
      <c r="K2735">
        <f>I2735*F2735</f>
        <v>121.5</v>
      </c>
    </row>
    <row r="2736" spans="1:11" hidden="1">
      <c r="A2736" s="265"/>
      <c r="F2736"/>
      <c r="G2736" s="3"/>
      <c r="H2736" t="s">
        <v>3074</v>
      </c>
      <c r="I2736"/>
      <c r="J2736" s="4"/>
      <c r="K2736">
        <f>SUM(K2732:K2735)*1%-0.57</f>
        <v>50.5</v>
      </c>
    </row>
    <row r="2737" spans="1:11" hidden="1">
      <c r="A2737" s="265"/>
      <c r="F2737"/>
      <c r="G2737" s="3"/>
      <c r="H2737" t="s">
        <v>142</v>
      </c>
      <c r="I2737"/>
      <c r="J2737" s="4"/>
      <c r="K2737">
        <v>298</v>
      </c>
    </row>
    <row r="2738" spans="1:11" hidden="1">
      <c r="A2738" s="265"/>
      <c r="F2738"/>
      <c r="G2738" s="3"/>
      <c r="H2738"/>
      <c r="I2738"/>
      <c r="J2738" s="4"/>
      <c r="K2738" s="328" t="s">
        <v>1615</v>
      </c>
    </row>
    <row r="2739" spans="1:11" hidden="1">
      <c r="A2739" s="265"/>
      <c r="F2739"/>
      <c r="G2739" s="3"/>
      <c r="H2739"/>
      <c r="I2739"/>
      <c r="J2739" s="4"/>
      <c r="K2739">
        <f>SUM(K2732:K2738)</f>
        <v>5455</v>
      </c>
    </row>
    <row r="2740" spans="1:11" hidden="1">
      <c r="A2740" s="265"/>
      <c r="F2740"/>
      <c r="G2740" s="3"/>
      <c r="H2740"/>
      <c r="I2740"/>
      <c r="J2740" s="4"/>
      <c r="K2740" s="328" t="s">
        <v>2091</v>
      </c>
    </row>
    <row r="2741" spans="1:11" hidden="1">
      <c r="A2741" s="265"/>
      <c r="F2741" s="344">
        <v>180</v>
      </c>
      <c r="G2741" s="3"/>
      <c r="H2741" t="s">
        <v>3075</v>
      </c>
      <c r="I2741"/>
      <c r="J2741" s="4"/>
      <c r="K2741"/>
    </row>
    <row r="2742" spans="1:11" hidden="1">
      <c r="A2742" s="265"/>
      <c r="F2742"/>
      <c r="G2742" s="3"/>
      <c r="H2742" s="328" t="s">
        <v>1615</v>
      </c>
      <c r="I2742"/>
      <c r="J2742" s="4"/>
      <c r="K2742"/>
    </row>
    <row r="2743" spans="1:11" hidden="1">
      <c r="A2743" s="265"/>
      <c r="F2743">
        <v>0.8</v>
      </c>
      <c r="G2743" s="3" t="s">
        <v>1676</v>
      </c>
      <c r="H2743" t="s">
        <v>3076</v>
      </c>
      <c r="I2743">
        <v>230</v>
      </c>
      <c r="J2743" s="4" t="s">
        <v>1676</v>
      </c>
      <c r="K2743">
        <f>I2743*F2743</f>
        <v>184</v>
      </c>
    </row>
    <row r="2744" spans="1:11" hidden="1">
      <c r="A2744" s="265"/>
      <c r="F2744">
        <v>3</v>
      </c>
      <c r="G2744" s="3" t="s">
        <v>1457</v>
      </c>
      <c r="H2744" t="s">
        <v>3077</v>
      </c>
      <c r="I2744">
        <v>20</v>
      </c>
      <c r="J2744" s="4" t="s">
        <v>1423</v>
      </c>
      <c r="K2744">
        <f>I2744*F2744</f>
        <v>60</v>
      </c>
    </row>
    <row r="2745" spans="1:11" hidden="1">
      <c r="A2745" s="265"/>
      <c r="F2745"/>
      <c r="G2745" s="3"/>
      <c r="H2745" t="s">
        <v>3074</v>
      </c>
      <c r="I2745"/>
      <c r="J2745" s="4"/>
      <c r="K2745">
        <f>SUM(K2743:K2744)*1%+1.16</f>
        <v>3.6</v>
      </c>
    </row>
    <row r="2746" spans="1:11" hidden="1">
      <c r="A2746" s="265"/>
      <c r="F2746"/>
      <c r="G2746" s="3"/>
      <c r="H2746" t="s">
        <v>142</v>
      </c>
      <c r="I2746"/>
      <c r="J2746" s="4"/>
      <c r="K2746">
        <v>32.4</v>
      </c>
    </row>
    <row r="2747" spans="1:11" hidden="1">
      <c r="A2747" s="265"/>
      <c r="F2747"/>
      <c r="G2747" s="3"/>
      <c r="H2747"/>
      <c r="I2747"/>
      <c r="J2747" s="4"/>
      <c r="K2747" s="328" t="s">
        <v>1615</v>
      </c>
    </row>
    <row r="2748" spans="1:11" hidden="1">
      <c r="A2748" s="265"/>
      <c r="F2748"/>
      <c r="G2748" s="3"/>
      <c r="H2748"/>
      <c r="I2748"/>
      <c r="J2748" s="4"/>
      <c r="K2748">
        <f>SUM(K2743:K2747)</f>
        <v>280</v>
      </c>
    </row>
    <row r="2749" spans="1:11" hidden="1">
      <c r="A2749" s="265"/>
      <c r="F2749"/>
      <c r="G2749" s="3"/>
      <c r="H2749"/>
      <c r="I2749"/>
      <c r="J2749" s="4"/>
      <c r="K2749" s="328" t="s">
        <v>2091</v>
      </c>
    </row>
    <row r="2750" spans="1:11" ht="31.5" hidden="1">
      <c r="A2750" s="265"/>
      <c r="F2750" s="344">
        <v>184</v>
      </c>
      <c r="G2750" s="3"/>
      <c r="H2750" s="27" t="s">
        <v>3284</v>
      </c>
      <c r="I2750"/>
      <c r="J2750" s="4"/>
      <c r="K2750"/>
    </row>
    <row r="2751" spans="1:11" hidden="1">
      <c r="A2751" s="265"/>
      <c r="F2751"/>
      <c r="G2751" s="3"/>
      <c r="H2751" s="328" t="s">
        <v>1615</v>
      </c>
      <c r="I2751"/>
      <c r="J2751" s="4"/>
      <c r="K2751"/>
    </row>
    <row r="2752" spans="1:11" hidden="1">
      <c r="A2752" s="265"/>
      <c r="F2752">
        <v>1</v>
      </c>
      <c r="G2752" s="3" t="s">
        <v>1419</v>
      </c>
      <c r="H2752" t="s">
        <v>3285</v>
      </c>
      <c r="I2752">
        <v>1860</v>
      </c>
      <c r="J2752" s="4" t="s">
        <v>1423</v>
      </c>
      <c r="K2752">
        <f t="shared" ref="K2752:K2760" si="90">I2752*F2752</f>
        <v>1860</v>
      </c>
    </row>
    <row r="2753" spans="1:11" hidden="1">
      <c r="A2753" s="265"/>
      <c r="F2753">
        <v>2</v>
      </c>
      <c r="G2753" s="3" t="s">
        <v>1419</v>
      </c>
      <c r="H2753" t="s">
        <v>3286</v>
      </c>
      <c r="I2753">
        <v>46</v>
      </c>
      <c r="J2753" s="4" t="s">
        <v>1423</v>
      </c>
      <c r="K2753">
        <f t="shared" si="90"/>
        <v>92</v>
      </c>
    </row>
    <row r="2754" spans="1:11" hidden="1">
      <c r="A2754" s="265"/>
      <c r="F2754">
        <v>1.5</v>
      </c>
      <c r="G2754" s="3" t="s">
        <v>842</v>
      </c>
      <c r="H2754" t="s">
        <v>3287</v>
      </c>
      <c r="I2754">
        <v>31</v>
      </c>
      <c r="J2754" s="4" t="s">
        <v>842</v>
      </c>
      <c r="K2754">
        <f t="shared" si="90"/>
        <v>46.5</v>
      </c>
    </row>
    <row r="2755" spans="1:11" hidden="1">
      <c r="A2755" s="265"/>
      <c r="F2755">
        <v>2</v>
      </c>
      <c r="G2755" s="3" t="s">
        <v>1419</v>
      </c>
      <c r="H2755" t="s">
        <v>2858</v>
      </c>
      <c r="I2755">
        <v>6</v>
      </c>
      <c r="J2755" s="4" t="s">
        <v>1423</v>
      </c>
      <c r="K2755">
        <f t="shared" si="90"/>
        <v>12</v>
      </c>
    </row>
    <row r="2756" spans="1:11" hidden="1">
      <c r="A2756" s="265"/>
      <c r="F2756">
        <v>2</v>
      </c>
      <c r="G2756" s="3" t="s">
        <v>1419</v>
      </c>
      <c r="H2756" t="s">
        <v>2859</v>
      </c>
      <c r="I2756">
        <v>12</v>
      </c>
      <c r="J2756" s="4" t="s">
        <v>1423</v>
      </c>
      <c r="K2756">
        <f t="shared" si="90"/>
        <v>24</v>
      </c>
    </row>
    <row r="2757" spans="1:11" hidden="1">
      <c r="A2757" s="265"/>
      <c r="F2757">
        <v>2</v>
      </c>
      <c r="G2757" s="3" t="s">
        <v>842</v>
      </c>
      <c r="H2757" t="s">
        <v>2860</v>
      </c>
      <c r="I2757">
        <v>7.8</v>
      </c>
      <c r="J2757" s="4" t="s">
        <v>842</v>
      </c>
      <c r="K2757">
        <f t="shared" si="90"/>
        <v>15.6</v>
      </c>
    </row>
    <row r="2758" spans="1:11" hidden="1">
      <c r="A2758" s="265"/>
      <c r="F2758">
        <v>0.1</v>
      </c>
      <c r="G2758" s="3" t="s">
        <v>1419</v>
      </c>
      <c r="H2758" t="s">
        <v>2768</v>
      </c>
      <c r="I2758">
        <f>I2867</f>
        <v>783</v>
      </c>
      <c r="J2758" s="4" t="s">
        <v>1423</v>
      </c>
      <c r="K2758">
        <f t="shared" si="90"/>
        <v>78.3</v>
      </c>
    </row>
    <row r="2759" spans="1:11" hidden="1">
      <c r="A2759" s="265"/>
      <c r="F2759">
        <v>0.2</v>
      </c>
      <c r="G2759" s="3" t="s">
        <v>1419</v>
      </c>
      <c r="H2759" t="s">
        <v>2769</v>
      </c>
      <c r="I2759">
        <f>I2868</f>
        <v>778</v>
      </c>
      <c r="J2759" s="4" t="s">
        <v>1423</v>
      </c>
      <c r="K2759">
        <f t="shared" si="90"/>
        <v>155.6</v>
      </c>
    </row>
    <row r="2760" spans="1:11" hidden="1">
      <c r="A2760" s="265"/>
      <c r="F2760">
        <v>0.3</v>
      </c>
      <c r="G2760" s="3" t="s">
        <v>1419</v>
      </c>
      <c r="H2760" t="s">
        <v>2370</v>
      </c>
      <c r="I2760">
        <f>I2869</f>
        <v>611</v>
      </c>
      <c r="J2760" s="4" t="s">
        <v>1423</v>
      </c>
      <c r="K2760">
        <f t="shared" si="90"/>
        <v>183.3</v>
      </c>
    </row>
    <row r="2761" spans="1:11" hidden="1">
      <c r="A2761" s="265"/>
      <c r="F2761"/>
      <c r="G2761" s="3"/>
      <c r="H2761" t="s">
        <v>3074</v>
      </c>
      <c r="I2761"/>
      <c r="J2761" s="4"/>
      <c r="K2761">
        <f>SUM(K2752:K2760)*1%-0.63</f>
        <v>24.04</v>
      </c>
    </row>
    <row r="2762" spans="1:11" hidden="1">
      <c r="A2762" s="265"/>
      <c r="F2762"/>
      <c r="G2762" s="3"/>
      <c r="H2762"/>
      <c r="I2762"/>
      <c r="J2762" s="4"/>
      <c r="K2762"/>
    </row>
    <row r="2763" spans="1:11" hidden="1">
      <c r="A2763" s="265"/>
      <c r="F2763"/>
      <c r="G2763" s="3"/>
      <c r="H2763"/>
      <c r="I2763"/>
      <c r="J2763" s="4"/>
      <c r="K2763" s="328" t="s">
        <v>1615</v>
      </c>
    </row>
    <row r="2764" spans="1:11" hidden="1">
      <c r="A2764" s="265"/>
      <c r="F2764"/>
      <c r="G2764" s="3"/>
      <c r="H2764"/>
      <c r="I2764"/>
      <c r="J2764" s="4"/>
      <c r="K2764">
        <f>SUM(K2752:K2763)</f>
        <v>2491.34</v>
      </c>
    </row>
    <row r="2765" spans="1:11" hidden="1">
      <c r="A2765" s="265"/>
      <c r="F2765"/>
      <c r="G2765" s="3"/>
      <c r="H2765"/>
      <c r="I2765"/>
      <c r="J2765" s="4"/>
      <c r="K2765" s="328" t="s">
        <v>2091</v>
      </c>
    </row>
    <row r="2766" spans="1:11" hidden="1">
      <c r="A2766" s="265"/>
      <c r="F2766" s="28">
        <v>53.4</v>
      </c>
      <c r="G2766" s="3"/>
      <c r="H2766" s="1" t="s">
        <v>2962</v>
      </c>
      <c r="I2766"/>
      <c r="J2766" s="4" t="s">
        <v>1423</v>
      </c>
      <c r="K2766">
        <v>957</v>
      </c>
    </row>
    <row r="2767" spans="1:11" hidden="1">
      <c r="A2767" s="265"/>
      <c r="F2767"/>
      <c r="G2767" s="3"/>
      <c r="H2767"/>
      <c r="I2767"/>
      <c r="J2767" s="4"/>
      <c r="K2767"/>
    </row>
    <row r="2768" spans="1:11" ht="31.5" hidden="1">
      <c r="A2768" s="265"/>
      <c r="F2768" s="345">
        <v>383</v>
      </c>
      <c r="G2768" s="3"/>
      <c r="H2768" s="27" t="s">
        <v>3518</v>
      </c>
      <c r="I2768"/>
      <c r="J2768" s="4" t="s">
        <v>1423</v>
      </c>
      <c r="K2768">
        <v>600</v>
      </c>
    </row>
    <row r="2769" spans="1:11" hidden="1">
      <c r="A2769" s="265"/>
      <c r="F2769"/>
      <c r="G2769" s="3"/>
      <c r="H2769"/>
      <c r="I2769"/>
      <c r="J2769" s="4"/>
      <c r="K2769"/>
    </row>
    <row r="2770" spans="1:11" hidden="1">
      <c r="A2770" s="265"/>
      <c r="F2770"/>
      <c r="G2770" s="3"/>
      <c r="H2770"/>
      <c r="I2770"/>
      <c r="J2770" s="4"/>
      <c r="K2770"/>
    </row>
    <row r="2771" spans="1:11" hidden="1">
      <c r="A2771" s="265"/>
      <c r="F2771" s="346">
        <v>344.2</v>
      </c>
      <c r="G2771" s="3"/>
      <c r="H2771" s="27" t="s">
        <v>2448</v>
      </c>
      <c r="I2771"/>
      <c r="J2771" s="4" t="s">
        <v>1423</v>
      </c>
      <c r="K2771">
        <v>300</v>
      </c>
    </row>
    <row r="2772" spans="1:11" hidden="1">
      <c r="A2772" s="265"/>
      <c r="F2772" s="345"/>
      <c r="G2772" s="3"/>
      <c r="H2772"/>
      <c r="I2772"/>
      <c r="J2772" s="4"/>
      <c r="K2772"/>
    </row>
    <row r="2773" spans="1:11" hidden="1">
      <c r="A2773" s="265"/>
      <c r="F2773" s="345"/>
      <c r="G2773" s="3"/>
      <c r="H2773"/>
      <c r="I2773"/>
      <c r="J2773" s="4"/>
      <c r="K2773"/>
    </row>
    <row r="2774" spans="1:11" hidden="1">
      <c r="A2774" s="265"/>
      <c r="F2774" s="345"/>
      <c r="G2774" s="3"/>
      <c r="H2774"/>
      <c r="I2774"/>
      <c r="J2774" s="4"/>
      <c r="K2774"/>
    </row>
    <row r="2775" spans="1:11" hidden="1">
      <c r="A2775" s="265"/>
      <c r="F2775" s="346">
        <v>344.1</v>
      </c>
      <c r="G2775" s="3"/>
      <c r="H2775" s="27" t="s">
        <v>2449</v>
      </c>
      <c r="I2775"/>
      <c r="J2775" s="4" t="s">
        <v>1423</v>
      </c>
      <c r="K2775">
        <v>260</v>
      </c>
    </row>
    <row r="2776" spans="1:11" hidden="1">
      <c r="A2776" s="265"/>
      <c r="F2776" s="226"/>
      <c r="G2776" s="3"/>
      <c r="H2776"/>
      <c r="I2776"/>
      <c r="J2776" s="4"/>
      <c r="K2776"/>
    </row>
    <row r="2777" spans="1:11" hidden="1">
      <c r="A2777" s="265"/>
      <c r="F2777" s="226"/>
      <c r="G2777" s="3"/>
      <c r="H2777"/>
      <c r="I2777"/>
      <c r="J2777" s="4"/>
      <c r="K2777"/>
    </row>
    <row r="2778" spans="1:11" hidden="1">
      <c r="A2778" s="265"/>
      <c r="F2778">
        <v>384</v>
      </c>
      <c r="G2778" s="3"/>
      <c r="H2778"/>
      <c r="I2778"/>
      <c r="J2778" s="4"/>
      <c r="K2778"/>
    </row>
    <row r="2779" spans="1:11" hidden="1">
      <c r="A2779" s="265"/>
      <c r="F2779"/>
      <c r="G2779" s="3"/>
      <c r="H2779" s="27" t="s">
        <v>2450</v>
      </c>
      <c r="I2779"/>
      <c r="J2779" s="4" t="s">
        <v>1423</v>
      </c>
      <c r="K2779">
        <v>650</v>
      </c>
    </row>
    <row r="2780" spans="1:11" hidden="1">
      <c r="A2780" s="265"/>
      <c r="F2780"/>
      <c r="G2780" s="3"/>
      <c r="H2780"/>
      <c r="I2780"/>
      <c r="J2780" s="4"/>
      <c r="K2780"/>
    </row>
    <row r="2781" spans="1:11" ht="19.5" hidden="1">
      <c r="A2781" s="265"/>
      <c r="F2781" s="347">
        <v>385</v>
      </c>
      <c r="G2781" s="3"/>
      <c r="H2781" t="s">
        <v>2861</v>
      </c>
      <c r="I2781"/>
      <c r="J2781" s="4"/>
      <c r="K2781"/>
    </row>
    <row r="2782" spans="1:11" hidden="1">
      <c r="A2782" s="265"/>
      <c r="F2782"/>
      <c r="G2782" s="3"/>
      <c r="H2782" s="55" t="s">
        <v>2862</v>
      </c>
      <c r="I2782"/>
      <c r="J2782" s="4"/>
      <c r="K2782"/>
    </row>
    <row r="2783" spans="1:11" hidden="1">
      <c r="A2783" s="265"/>
      <c r="F2783">
        <v>4</v>
      </c>
      <c r="G2783" s="3" t="s">
        <v>842</v>
      </c>
      <c r="H2783" t="s">
        <v>3279</v>
      </c>
      <c r="I2783">
        <v>110</v>
      </c>
      <c r="J2783" s="3" t="s">
        <v>842</v>
      </c>
      <c r="K2783">
        <f t="shared" ref="K2783:K2790" si="91">I2783*F2783</f>
        <v>440</v>
      </c>
    </row>
    <row r="2784" spans="1:11" hidden="1">
      <c r="A2784" s="265"/>
      <c r="F2784">
        <v>2.52</v>
      </c>
      <c r="G2784" s="3" t="s">
        <v>1676</v>
      </c>
      <c r="H2784" t="s">
        <v>3280</v>
      </c>
      <c r="I2784">
        <v>30</v>
      </c>
      <c r="J2784" s="3" t="s">
        <v>1676</v>
      </c>
      <c r="K2784">
        <f t="shared" si="91"/>
        <v>75.599999999999994</v>
      </c>
    </row>
    <row r="2785" spans="1:11" hidden="1">
      <c r="A2785" s="265"/>
      <c r="F2785">
        <v>1.1299999999999999</v>
      </c>
      <c r="G2785" s="3" t="s">
        <v>1676</v>
      </c>
      <c r="H2785" t="s">
        <v>3158</v>
      </c>
      <c r="I2785">
        <v>30</v>
      </c>
      <c r="J2785" s="3" t="s">
        <v>1676</v>
      </c>
      <c r="K2785">
        <f t="shared" si="91"/>
        <v>33.9</v>
      </c>
    </row>
    <row r="2786" spans="1:11" hidden="1">
      <c r="A2786" s="265"/>
      <c r="F2786">
        <v>0.35</v>
      </c>
      <c r="G2786" s="3" t="s">
        <v>1676</v>
      </c>
      <c r="H2786" t="s">
        <v>3159</v>
      </c>
      <c r="I2786">
        <v>30</v>
      </c>
      <c r="J2786" s="3" t="s">
        <v>1676</v>
      </c>
      <c r="K2786">
        <f t="shared" si="91"/>
        <v>10.5</v>
      </c>
    </row>
    <row r="2787" spans="1:11" hidden="1">
      <c r="A2787" s="265"/>
      <c r="F2787">
        <v>4</v>
      </c>
      <c r="G2787" s="3" t="s">
        <v>1676</v>
      </c>
      <c r="H2787" t="s">
        <v>3160</v>
      </c>
      <c r="I2787">
        <v>12.25</v>
      </c>
      <c r="J2787" s="3" t="s">
        <v>1676</v>
      </c>
      <c r="K2787">
        <f t="shared" si="91"/>
        <v>49</v>
      </c>
    </row>
    <row r="2788" spans="1:11" hidden="1">
      <c r="A2788" s="265"/>
      <c r="F2788">
        <v>6</v>
      </c>
      <c r="G2788" s="3" t="s">
        <v>1457</v>
      </c>
      <c r="H2788" t="s">
        <v>3161</v>
      </c>
      <c r="I2788">
        <v>1</v>
      </c>
      <c r="J2788" s="3" t="s">
        <v>1457</v>
      </c>
      <c r="K2788">
        <f t="shared" si="91"/>
        <v>6</v>
      </c>
    </row>
    <row r="2789" spans="1:11" hidden="1">
      <c r="A2789" s="265"/>
      <c r="F2789">
        <v>0.5</v>
      </c>
      <c r="G2789" s="3" t="s">
        <v>1457</v>
      </c>
      <c r="H2789" t="s">
        <v>353</v>
      </c>
      <c r="I2789">
        <f>C12</f>
        <v>95</v>
      </c>
      <c r="J2789" s="3" t="s">
        <v>1423</v>
      </c>
      <c r="K2789">
        <f t="shared" si="91"/>
        <v>47.5</v>
      </c>
    </row>
    <row r="2790" spans="1:11" hidden="1">
      <c r="A2790" s="265"/>
      <c r="F2790">
        <v>0.5</v>
      </c>
      <c r="G2790" s="3" t="s">
        <v>1457</v>
      </c>
      <c r="H2790" t="s">
        <v>1247</v>
      </c>
      <c r="I2790">
        <f>C13</f>
        <v>85</v>
      </c>
      <c r="J2790" s="3" t="s">
        <v>1423</v>
      </c>
      <c r="K2790">
        <f t="shared" si="91"/>
        <v>42.5</v>
      </c>
    </row>
    <row r="2791" spans="1:11" hidden="1">
      <c r="A2791" s="265"/>
      <c r="F2791"/>
      <c r="G2791" s="3"/>
      <c r="H2791"/>
      <c r="I2791"/>
      <c r="J2791" s="3"/>
      <c r="K2791" s="55" t="s">
        <v>3380</v>
      </c>
    </row>
    <row r="2792" spans="1:11" hidden="1">
      <c r="A2792" s="265"/>
      <c r="F2792"/>
      <c r="G2792" s="3"/>
      <c r="H2792" t="s">
        <v>3162</v>
      </c>
      <c r="I2792"/>
      <c r="J2792" s="4"/>
      <c r="K2792">
        <f>SUM(K2783:K2791)</f>
        <v>705</v>
      </c>
    </row>
    <row r="2793" spans="1:11" hidden="1">
      <c r="A2793" s="265"/>
      <c r="F2793"/>
      <c r="G2793" s="3"/>
      <c r="H2793"/>
      <c r="I2793"/>
      <c r="J2793" s="4"/>
      <c r="K2793" s="55" t="s">
        <v>3126</v>
      </c>
    </row>
    <row r="2794" spans="1:11" hidden="1">
      <c r="A2794" s="265"/>
      <c r="F2794"/>
      <c r="G2794" s="3"/>
      <c r="H2794" t="s">
        <v>2841</v>
      </c>
      <c r="I2794"/>
      <c r="J2794" s="4"/>
      <c r="K2794">
        <f>K2792/2</f>
        <v>352.5</v>
      </c>
    </row>
    <row r="2795" spans="1:11" hidden="1">
      <c r="A2795" s="265"/>
      <c r="F2795"/>
      <c r="G2795" s="3"/>
      <c r="H2795"/>
      <c r="I2795"/>
      <c r="J2795" s="4"/>
      <c r="K2795" s="55" t="s">
        <v>34</v>
      </c>
    </row>
    <row r="2796" spans="1:11" ht="19.5" hidden="1">
      <c r="A2796" s="265"/>
      <c r="F2796" s="329">
        <v>112.1</v>
      </c>
      <c r="G2796" s="3"/>
      <c r="H2796" s="348" t="s">
        <v>2508</v>
      </c>
      <c r="I2796"/>
      <c r="J2796" s="4"/>
      <c r="K2796"/>
    </row>
    <row r="2797" spans="1:11" hidden="1">
      <c r="A2797" s="265"/>
      <c r="F2797"/>
      <c r="G2797" s="3"/>
      <c r="H2797" s="55" t="s">
        <v>2509</v>
      </c>
      <c r="I2797"/>
      <c r="J2797" s="4"/>
      <c r="K2797"/>
    </row>
    <row r="2798" spans="1:11" hidden="1">
      <c r="A2798" s="265"/>
      <c r="F2798">
        <v>1</v>
      </c>
      <c r="G2798" s="3" t="s">
        <v>1419</v>
      </c>
      <c r="H2798" s="27" t="s">
        <v>2508</v>
      </c>
      <c r="I2798" s="165">
        <v>1059</v>
      </c>
      <c r="J2798" s="4" t="s">
        <v>1423</v>
      </c>
      <c r="K2798">
        <f>I2798*F2798</f>
        <v>1059</v>
      </c>
    </row>
    <row r="2799" spans="1:11" hidden="1">
      <c r="A2799" s="265"/>
      <c r="F2799">
        <v>1</v>
      </c>
      <c r="G2799" s="3" t="s">
        <v>1419</v>
      </c>
      <c r="H2799" s="27" t="s">
        <v>2510</v>
      </c>
      <c r="I2799">
        <v>95</v>
      </c>
      <c r="J2799" s="4" t="s">
        <v>1423</v>
      </c>
      <c r="K2799">
        <f>I2799*F2799</f>
        <v>95</v>
      </c>
    </row>
    <row r="2800" spans="1:11" ht="31.5" hidden="1">
      <c r="A2800" s="265"/>
      <c r="F2800" t="s">
        <v>455</v>
      </c>
      <c r="G2800" s="3"/>
      <c r="H2800" s="27" t="s">
        <v>2545</v>
      </c>
      <c r="I2800"/>
      <c r="J2800" s="4" t="s">
        <v>455</v>
      </c>
      <c r="K2800">
        <v>16.64</v>
      </c>
    </row>
    <row r="2801" spans="1:11" hidden="1">
      <c r="A2801" s="265"/>
      <c r="F2801"/>
      <c r="G2801" s="3"/>
      <c r="H2801" t="s">
        <v>2546</v>
      </c>
      <c r="I2801"/>
      <c r="J2801" s="4"/>
      <c r="K2801">
        <v>10.11</v>
      </c>
    </row>
    <row r="2802" spans="1:11" hidden="1">
      <c r="A2802" s="265"/>
      <c r="F2802"/>
      <c r="G2802" s="3"/>
      <c r="H2802" t="s">
        <v>1526</v>
      </c>
      <c r="I2802"/>
      <c r="J2802" s="4" t="s">
        <v>1423</v>
      </c>
      <c r="K2802">
        <f>K2811</f>
        <v>78.25</v>
      </c>
    </row>
    <row r="2803" spans="1:11" hidden="1">
      <c r="A2803" s="265"/>
      <c r="F2803"/>
      <c r="G2803" s="3"/>
      <c r="H2803"/>
      <c r="I2803"/>
      <c r="J2803" s="4"/>
      <c r="K2803" s="55" t="s">
        <v>2367</v>
      </c>
    </row>
    <row r="2804" spans="1:11" hidden="1">
      <c r="A2804" s="265"/>
      <c r="F2804"/>
      <c r="G2804" s="3"/>
      <c r="H2804"/>
      <c r="I2804"/>
      <c r="J2804" s="4"/>
      <c r="K2804">
        <f>SUM(K2798:K2803)</f>
        <v>1259</v>
      </c>
    </row>
    <row r="2805" spans="1:11" hidden="1">
      <c r="A2805" s="265"/>
      <c r="F2805"/>
      <c r="G2805" s="3"/>
      <c r="H2805"/>
      <c r="I2805"/>
      <c r="J2805" s="4"/>
      <c r="K2805" s="55" t="s">
        <v>895</v>
      </c>
    </row>
    <row r="2806" spans="1:11" hidden="1">
      <c r="A2806" s="265"/>
      <c r="F2806" t="s">
        <v>142</v>
      </c>
      <c r="G2806" s="3"/>
      <c r="H2806"/>
      <c r="I2806"/>
      <c r="J2806" s="4"/>
      <c r="K2806"/>
    </row>
    <row r="2807" spans="1:11" hidden="1">
      <c r="A2807" s="265"/>
      <c r="F2807">
        <v>1</v>
      </c>
      <c r="G2807" s="3" t="s">
        <v>1419</v>
      </c>
      <c r="H2807" t="s">
        <v>2547</v>
      </c>
      <c r="I2807">
        <v>131</v>
      </c>
      <c r="J2807" s="4" t="s">
        <v>1423</v>
      </c>
      <c r="K2807">
        <f>I2807*F2807</f>
        <v>131</v>
      </c>
    </row>
    <row r="2808" spans="1:11" hidden="1">
      <c r="A2808" s="265"/>
      <c r="F2808">
        <v>2</v>
      </c>
      <c r="G2808" s="3" t="s">
        <v>1457</v>
      </c>
      <c r="H2808" t="s">
        <v>2370</v>
      </c>
      <c r="I2808">
        <v>91</v>
      </c>
      <c r="J2808" s="4" t="s">
        <v>1423</v>
      </c>
      <c r="K2808">
        <f>I2808*F2808</f>
        <v>182</v>
      </c>
    </row>
    <row r="2809" spans="1:11" hidden="1">
      <c r="A2809" s="265"/>
      <c r="F2809"/>
      <c r="G2809" s="3"/>
      <c r="H2809"/>
      <c r="I2809"/>
      <c r="J2809" s="4"/>
      <c r="K2809" s="55" t="s">
        <v>2367</v>
      </c>
    </row>
    <row r="2810" spans="1:11" hidden="1">
      <c r="A2810" s="265"/>
      <c r="F2810"/>
      <c r="G2810" s="3"/>
      <c r="H2810" t="s">
        <v>2548</v>
      </c>
      <c r="I2810"/>
      <c r="J2810" s="4"/>
      <c r="K2810">
        <f>SUM(K2807:K2809)</f>
        <v>313</v>
      </c>
    </row>
    <row r="2811" spans="1:11" hidden="1">
      <c r="A2811" s="265"/>
      <c r="F2811"/>
      <c r="G2811" s="3"/>
      <c r="H2811" t="s">
        <v>2549</v>
      </c>
      <c r="I2811"/>
      <c r="J2811" s="4"/>
      <c r="K2811">
        <f>K2810/4</f>
        <v>78.25</v>
      </c>
    </row>
    <row r="2812" spans="1:11" hidden="1">
      <c r="A2812" s="265"/>
      <c r="F2812"/>
      <c r="G2812" s="3"/>
      <c r="H2812" s="6"/>
      <c r="I2812"/>
      <c r="J2812" s="4"/>
      <c r="K2812" s="8"/>
    </row>
    <row r="2813" spans="1:11" hidden="1">
      <c r="A2813" s="265"/>
      <c r="F2813">
        <v>70.5</v>
      </c>
      <c r="G2813" s="3"/>
      <c r="H2813" t="s">
        <v>2550</v>
      </c>
      <c r="I2813"/>
      <c r="J2813" s="4"/>
      <c r="K2813"/>
    </row>
    <row r="2814" spans="1:11" hidden="1">
      <c r="A2814" s="265"/>
      <c r="F2814"/>
      <c r="G2814" s="3"/>
      <c r="H2814" s="328" t="s">
        <v>1615</v>
      </c>
      <c r="I2814"/>
      <c r="J2814" s="4"/>
      <c r="K2814"/>
    </row>
    <row r="2815" spans="1:11" ht="47.25" hidden="1">
      <c r="A2815" s="265"/>
      <c r="F2815" s="327">
        <v>1</v>
      </c>
      <c r="G2815" s="327" t="s">
        <v>1419</v>
      </c>
      <c r="H2815" s="327" t="s">
        <v>2932</v>
      </c>
      <c r="I2815">
        <v>322</v>
      </c>
      <c r="J2815" s="4" t="s">
        <v>1423</v>
      </c>
      <c r="K2815">
        <f>F2815*I2815</f>
        <v>322</v>
      </c>
    </row>
    <row r="2816" spans="1:11" hidden="1">
      <c r="A2816" s="265"/>
      <c r="F2816" s="327">
        <v>1</v>
      </c>
      <c r="G2816" s="327" t="s">
        <v>1419</v>
      </c>
      <c r="H2816" t="s">
        <v>2933</v>
      </c>
      <c r="I2816" s="165">
        <v>37</v>
      </c>
      <c r="J2816" s="4" t="s">
        <v>1423</v>
      </c>
      <c r="K2816">
        <f>F2816*I2816</f>
        <v>37</v>
      </c>
    </row>
    <row r="2817" spans="1:11" hidden="1">
      <c r="A2817" s="265"/>
      <c r="F2817" s="327">
        <v>2</v>
      </c>
      <c r="G2817" s="327" t="s">
        <v>1419</v>
      </c>
      <c r="H2817" t="s">
        <v>2934</v>
      </c>
      <c r="I2817">
        <v>600</v>
      </c>
      <c r="J2817" s="4" t="s">
        <v>2935</v>
      </c>
      <c r="K2817">
        <f>(F2817*I2817)/100</f>
        <v>12</v>
      </c>
    </row>
    <row r="2818" spans="1:11" hidden="1">
      <c r="A2818" s="265"/>
      <c r="F2818" s="327">
        <v>2</v>
      </c>
      <c r="G2818" s="327" t="s">
        <v>1419</v>
      </c>
      <c r="H2818" t="s">
        <v>2936</v>
      </c>
      <c r="I2818">
        <v>914.1</v>
      </c>
      <c r="J2818" s="4" t="s">
        <v>2937</v>
      </c>
      <c r="K2818">
        <f>(F2818*I2818)/100</f>
        <v>18.28</v>
      </c>
    </row>
    <row r="2819" spans="1:11" hidden="1">
      <c r="A2819" s="265"/>
      <c r="F2819" s="327"/>
      <c r="G2819" s="327"/>
      <c r="H2819" t="s">
        <v>2938</v>
      </c>
      <c r="I2819">
        <f>K2830</f>
        <v>49.25</v>
      </c>
      <c r="J2819" s="4" t="s">
        <v>455</v>
      </c>
      <c r="K2819">
        <f>I2819</f>
        <v>49.25</v>
      </c>
    </row>
    <row r="2820" spans="1:11" hidden="1">
      <c r="A2820" s="265"/>
      <c r="F2820"/>
      <c r="G2820" s="3"/>
      <c r="H2820" t="s">
        <v>2939</v>
      </c>
      <c r="I2820"/>
      <c r="J2820" s="4" t="s">
        <v>455</v>
      </c>
      <c r="K2820">
        <v>1.84</v>
      </c>
    </row>
    <row r="2821" spans="1:11" hidden="1">
      <c r="A2821" s="265"/>
      <c r="F2821"/>
      <c r="G2821" s="3"/>
      <c r="H2821"/>
      <c r="I2821"/>
      <c r="J2821" s="4"/>
      <c r="K2821" s="328" t="s">
        <v>1615</v>
      </c>
    </row>
    <row r="2822" spans="1:11" hidden="1">
      <c r="A2822" s="265"/>
      <c r="F2822"/>
      <c r="G2822" s="3"/>
      <c r="H2822" t="s">
        <v>2284</v>
      </c>
      <c r="I2822"/>
      <c r="J2822" s="4"/>
      <c r="K2822">
        <f>SUM(K2815:K2821)</f>
        <v>440.37</v>
      </c>
    </row>
    <row r="2823" spans="1:11" hidden="1">
      <c r="A2823" s="265"/>
      <c r="F2823"/>
      <c r="G2823" s="3"/>
      <c r="H2823"/>
      <c r="I2823"/>
      <c r="J2823" s="4"/>
      <c r="K2823" s="328" t="s">
        <v>2091</v>
      </c>
    </row>
    <row r="2824" spans="1:11" hidden="1">
      <c r="A2824" s="265"/>
      <c r="F2824"/>
      <c r="G2824" s="3"/>
      <c r="H2824" t="s">
        <v>2940</v>
      </c>
      <c r="I2824"/>
      <c r="J2824" s="4"/>
      <c r="K2824"/>
    </row>
    <row r="2825" spans="1:11" hidden="1">
      <c r="A2825" s="265"/>
      <c r="F2825">
        <v>1</v>
      </c>
      <c r="G2825" s="3" t="s">
        <v>1419</v>
      </c>
      <c r="H2825" t="s">
        <v>3401</v>
      </c>
      <c r="I2825">
        <v>160</v>
      </c>
      <c r="J2825" s="4" t="s">
        <v>1423</v>
      </c>
      <c r="K2825">
        <f>F2825*I2825</f>
        <v>160</v>
      </c>
    </row>
    <row r="2826" spans="1:11" hidden="1">
      <c r="A2826" s="265"/>
      <c r="F2826">
        <v>2</v>
      </c>
      <c r="G2826" s="3" t="s">
        <v>1419</v>
      </c>
      <c r="H2826" t="s">
        <v>3402</v>
      </c>
      <c r="I2826">
        <v>149</v>
      </c>
      <c r="J2826" s="4" t="s">
        <v>1423</v>
      </c>
      <c r="K2826">
        <f>F2826*I2826</f>
        <v>298</v>
      </c>
    </row>
    <row r="2827" spans="1:11" hidden="1">
      <c r="A2827" s="265"/>
      <c r="F2827">
        <v>3</v>
      </c>
      <c r="G2827" s="3" t="s">
        <v>1419</v>
      </c>
      <c r="H2827" t="s">
        <v>2370</v>
      </c>
      <c r="I2827">
        <v>110</v>
      </c>
      <c r="J2827" s="4" t="s">
        <v>1423</v>
      </c>
      <c r="K2827">
        <f>F2827*I2827</f>
        <v>330</v>
      </c>
    </row>
    <row r="2828" spans="1:11" hidden="1">
      <c r="A2828" s="265"/>
      <c r="F2828"/>
      <c r="G2828" s="3"/>
      <c r="H2828"/>
      <c r="I2828"/>
      <c r="J2828" s="4"/>
      <c r="K2828" s="328" t="s">
        <v>1615</v>
      </c>
    </row>
    <row r="2829" spans="1:11" hidden="1">
      <c r="A2829" s="265"/>
      <c r="F2829"/>
      <c r="G2829" s="3"/>
      <c r="H2829" t="s">
        <v>2941</v>
      </c>
      <c r="I2829"/>
      <c r="J2829" s="4"/>
      <c r="K2829">
        <f>SUM(K2825:K2828)</f>
        <v>788</v>
      </c>
    </row>
    <row r="2830" spans="1:11" hidden="1">
      <c r="A2830" s="265"/>
      <c r="F2830"/>
      <c r="G2830" s="3"/>
      <c r="H2830" t="s">
        <v>2942</v>
      </c>
      <c r="I2830"/>
      <c r="J2830" s="4"/>
      <c r="K2830">
        <f>K2829/16</f>
        <v>49.25</v>
      </c>
    </row>
    <row r="2831" spans="1:11" hidden="1">
      <c r="A2831" s="265"/>
      <c r="F2831"/>
      <c r="G2831" s="3"/>
      <c r="H2831"/>
      <c r="I2831"/>
      <c r="J2831" s="4"/>
      <c r="K2831" s="328" t="s">
        <v>1615</v>
      </c>
    </row>
    <row r="2832" spans="1:11" ht="9" customHeight="1">
      <c r="A2832" s="265"/>
    </row>
    <row r="2833" spans="1:18" ht="19.5">
      <c r="A2833" s="265"/>
      <c r="H2833" s="462" t="s">
        <v>3781</v>
      </c>
    </row>
    <row r="2834" spans="1:18">
      <c r="A2834" s="265"/>
      <c r="H2834" s="349" t="s">
        <v>3997</v>
      </c>
    </row>
    <row r="2835" spans="1:18" ht="9" customHeight="1">
      <c r="A2835" s="265"/>
    </row>
    <row r="2836" spans="1:18" ht="20.25" customHeight="1">
      <c r="A2836" s="265"/>
      <c r="H2836" s="461" t="s">
        <v>2943</v>
      </c>
    </row>
    <row r="2837" spans="1:18" ht="20.25" customHeight="1">
      <c r="A2837" s="265"/>
      <c r="H2837" s="459" t="s">
        <v>2944</v>
      </c>
      <c r="O2837" s="350" t="s">
        <v>2945</v>
      </c>
    </row>
    <row r="2838" spans="1:18" ht="16.5" customHeight="1">
      <c r="A2838" s="265"/>
      <c r="H2838" s="459" t="s">
        <v>2946</v>
      </c>
    </row>
    <row r="2839" spans="1:18">
      <c r="A2839" s="265"/>
      <c r="H2839" s="460"/>
    </row>
    <row r="2840" spans="1:18" ht="25.5" customHeight="1">
      <c r="A2840" s="265"/>
      <c r="H2840" s="459" t="s">
        <v>2947</v>
      </c>
    </row>
    <row r="2841" spans="1:18" ht="1.5" customHeight="1">
      <c r="A2841" s="265"/>
    </row>
    <row r="2842" spans="1:18" ht="167.25" customHeight="1">
      <c r="A2842" s="265"/>
      <c r="H2842" s="351" t="s">
        <v>2424</v>
      </c>
      <c r="M2842" s="352"/>
      <c r="N2842" s="352"/>
      <c r="O2842" s="351" t="s">
        <v>2891</v>
      </c>
      <c r="P2842" s="352"/>
      <c r="Q2842" s="352"/>
      <c r="R2842" s="352"/>
    </row>
    <row r="2843" spans="1:18" ht="36.75" customHeight="1">
      <c r="A2843" s="265"/>
      <c r="F2843" s="352">
        <v>90</v>
      </c>
      <c r="G2843" s="352" t="s">
        <v>842</v>
      </c>
      <c r="H2843" s="458" t="s">
        <v>3974</v>
      </c>
      <c r="I2843" s="353">
        <f>Elec.Data!I12</f>
        <v>16.55</v>
      </c>
      <c r="J2843" s="352" t="s">
        <v>2587</v>
      </c>
      <c r="K2843" s="352">
        <f>F2843*I2843</f>
        <v>1489.5</v>
      </c>
      <c r="M2843" s="352"/>
      <c r="N2843" s="352"/>
      <c r="O2843" s="350"/>
      <c r="P2843" s="352"/>
      <c r="Q2843" s="352"/>
      <c r="R2843" s="352"/>
    </row>
    <row r="2844" spans="1:18" ht="42.75" customHeight="1">
      <c r="A2844" s="265"/>
      <c r="E2844" s="352"/>
      <c r="F2844" s="352">
        <v>45</v>
      </c>
      <c r="G2844" s="352" t="s">
        <v>842</v>
      </c>
      <c r="H2844" s="351" t="s">
        <v>3969</v>
      </c>
      <c r="I2844" s="353">
        <f>Elec.Data!I13</f>
        <v>20</v>
      </c>
      <c r="J2844" s="352" t="s">
        <v>2404</v>
      </c>
      <c r="K2844" s="352">
        <f>F2844*I2844</f>
        <v>900</v>
      </c>
      <c r="L2844" s="352"/>
      <c r="M2844" s="352"/>
      <c r="N2844" s="352"/>
      <c r="P2844" s="352" t="s">
        <v>992</v>
      </c>
      <c r="Q2844" s="352"/>
      <c r="R2844" s="352"/>
    </row>
    <row r="2845" spans="1:18" ht="24.95" customHeight="1">
      <c r="A2845" s="265"/>
      <c r="E2845" s="352"/>
      <c r="F2845" s="352">
        <v>20</v>
      </c>
      <c r="G2845" s="352" t="s">
        <v>1419</v>
      </c>
      <c r="H2845" s="352" t="s">
        <v>3968</v>
      </c>
      <c r="I2845" s="353">
        <f>Elec.Data!I14</f>
        <v>3.15</v>
      </c>
      <c r="J2845" s="352" t="s">
        <v>1419</v>
      </c>
      <c r="K2845" s="352">
        <f>F2845*I2845</f>
        <v>63</v>
      </c>
      <c r="L2845" s="352"/>
      <c r="M2845" s="352"/>
      <c r="N2845" s="352"/>
      <c r="O2845" s="352"/>
      <c r="P2845" s="352"/>
      <c r="Q2845" s="352"/>
      <c r="R2845" s="352"/>
    </row>
    <row r="2846" spans="1:18" ht="19.5" customHeight="1">
      <c r="A2846" s="265"/>
      <c r="E2846" s="352"/>
      <c r="F2846" s="352">
        <v>10</v>
      </c>
      <c r="G2846" s="352" t="s">
        <v>1419</v>
      </c>
      <c r="H2846" s="352" t="s">
        <v>3976</v>
      </c>
      <c r="I2846" s="353">
        <f>Elec.Data!I15</f>
        <v>1.34</v>
      </c>
      <c r="J2846" s="352" t="s">
        <v>1419</v>
      </c>
      <c r="K2846" s="352">
        <f>F2846*I2846</f>
        <v>13.4</v>
      </c>
      <c r="L2846" s="352"/>
      <c r="M2846" s="352">
        <v>90</v>
      </c>
      <c r="N2846" s="352" t="s">
        <v>842</v>
      </c>
      <c r="O2846" s="273" t="s">
        <v>2586</v>
      </c>
      <c r="P2846" s="352">
        <f>I2856</f>
        <v>16.55</v>
      </c>
      <c r="Q2846" s="352" t="s">
        <v>842</v>
      </c>
      <c r="R2846" s="352">
        <f>M2846*P2846</f>
        <v>1489.5</v>
      </c>
    </row>
    <row r="2847" spans="1:18" ht="42.75" customHeight="1">
      <c r="A2847" s="265"/>
      <c r="E2847" s="352"/>
      <c r="F2847" s="352">
        <v>1</v>
      </c>
      <c r="G2847" s="352" t="s">
        <v>1419</v>
      </c>
      <c r="H2847" s="360" t="s">
        <v>3940</v>
      </c>
      <c r="I2847" s="354">
        <v>58</v>
      </c>
      <c r="J2847" s="352" t="s">
        <v>1419</v>
      </c>
      <c r="K2847" s="352">
        <f>F2847*I2847</f>
        <v>58</v>
      </c>
      <c r="L2847" s="352"/>
      <c r="M2847" s="352">
        <v>45</v>
      </c>
      <c r="N2847" s="352" t="s">
        <v>842</v>
      </c>
      <c r="O2847" s="351" t="s">
        <v>2403</v>
      </c>
      <c r="P2847" s="352">
        <f>I2844</f>
        <v>20</v>
      </c>
      <c r="Q2847" s="352" t="s">
        <v>2404</v>
      </c>
      <c r="R2847" s="352">
        <f>M2847*P2847</f>
        <v>900</v>
      </c>
    </row>
    <row r="2848" spans="1:18">
      <c r="A2848" s="265"/>
      <c r="E2848" s="352"/>
      <c r="F2848" s="352"/>
      <c r="G2848" s="352"/>
      <c r="H2848" s="352"/>
      <c r="I2848" s="352"/>
      <c r="J2848" s="352"/>
      <c r="K2848" s="352"/>
      <c r="L2848" s="352"/>
      <c r="M2848" s="352">
        <v>75</v>
      </c>
      <c r="N2848" s="352" t="s">
        <v>1419</v>
      </c>
      <c r="O2848" s="352" t="s">
        <v>3823</v>
      </c>
      <c r="P2848" s="421">
        <v>3.6</v>
      </c>
      <c r="Q2848" s="352" t="s">
        <v>3451</v>
      </c>
      <c r="R2848" s="352">
        <f>M2848*P2848/12</f>
        <v>22.5</v>
      </c>
    </row>
    <row r="2849" spans="1:20" ht="34.5" customHeight="1">
      <c r="A2849" s="265"/>
      <c r="E2849" s="352"/>
      <c r="F2849" s="355">
        <v>1.4999999999999999E-2</v>
      </c>
      <c r="G2849" s="352" t="s">
        <v>2322</v>
      </c>
      <c r="H2849" s="352" t="s">
        <v>3970</v>
      </c>
      <c r="I2849" s="353">
        <f>Elec.Data!I18</f>
        <v>661</v>
      </c>
      <c r="J2849" s="352" t="s">
        <v>2322</v>
      </c>
      <c r="K2849" s="352">
        <f t="shared" ref="K2849:K2856" si="92">F2849*I2849</f>
        <v>9.92</v>
      </c>
      <c r="L2849" s="352"/>
      <c r="M2849" s="352">
        <v>12</v>
      </c>
      <c r="N2849" s="352" t="s">
        <v>1419</v>
      </c>
      <c r="O2849" s="352" t="s">
        <v>2405</v>
      </c>
      <c r="P2849" s="352">
        <f>I2845</f>
        <v>3.15</v>
      </c>
      <c r="Q2849" s="352" t="s">
        <v>1419</v>
      </c>
      <c r="R2849" s="352">
        <f>M2849*P2849</f>
        <v>37.799999999999997</v>
      </c>
    </row>
    <row r="2850" spans="1:20" ht="24.95" customHeight="1">
      <c r="A2850" s="265"/>
      <c r="E2850" s="352"/>
      <c r="F2850" s="352">
        <v>10</v>
      </c>
      <c r="G2850" s="352" t="s">
        <v>1419</v>
      </c>
      <c r="H2850" s="352" t="s">
        <v>3971</v>
      </c>
      <c r="I2850" s="353">
        <f>Elec.Data!I19</f>
        <v>16.21</v>
      </c>
      <c r="J2850" s="352" t="s">
        <v>1419</v>
      </c>
      <c r="K2850" s="352">
        <f t="shared" si="92"/>
        <v>162.1</v>
      </c>
      <c r="L2850" s="352"/>
      <c r="M2850" s="352">
        <v>6</v>
      </c>
      <c r="N2850" s="352" t="s">
        <v>1419</v>
      </c>
      <c r="O2850" s="352" t="s">
        <v>3448</v>
      </c>
      <c r="P2850" s="352">
        <f>I2846</f>
        <v>1.34</v>
      </c>
      <c r="Q2850" s="352" t="s">
        <v>1419</v>
      </c>
      <c r="R2850" s="352">
        <f>M2850*P2850</f>
        <v>8.0399999999999991</v>
      </c>
    </row>
    <row r="2851" spans="1:20" ht="24.95" customHeight="1">
      <c r="A2851" s="265"/>
      <c r="E2851" s="352"/>
      <c r="F2851" s="352">
        <v>10</v>
      </c>
      <c r="G2851" s="352" t="s">
        <v>1419</v>
      </c>
      <c r="H2851" s="352" t="s">
        <v>3972</v>
      </c>
      <c r="I2851" s="353">
        <f>Elec.Data!I20</f>
        <v>13.8</v>
      </c>
      <c r="J2851" s="352" t="s">
        <v>1419</v>
      </c>
      <c r="K2851" s="352">
        <f t="shared" si="92"/>
        <v>138</v>
      </c>
      <c r="L2851" s="352"/>
      <c r="M2851" s="352">
        <v>150</v>
      </c>
      <c r="N2851" s="352" t="s">
        <v>1457</v>
      </c>
      <c r="O2851" s="352" t="s">
        <v>2677</v>
      </c>
      <c r="P2851" s="352">
        <f>Elec.Data!P20</f>
        <v>287</v>
      </c>
      <c r="Q2851" s="352">
        <v>1000</v>
      </c>
      <c r="R2851" s="352">
        <f>(M2851*P2851)/1000</f>
        <v>43.05</v>
      </c>
    </row>
    <row r="2852" spans="1:20" ht="24.95" customHeight="1">
      <c r="A2852" s="265"/>
      <c r="E2852" s="352"/>
      <c r="F2852" s="352">
        <v>10</v>
      </c>
      <c r="G2852" s="352" t="s">
        <v>1419</v>
      </c>
      <c r="H2852" s="352" t="s">
        <v>3973</v>
      </c>
      <c r="I2852" s="353">
        <f>Elec.Data!I21</f>
        <v>3.6</v>
      </c>
      <c r="J2852" s="352" t="s">
        <v>1419</v>
      </c>
      <c r="K2852" s="352">
        <f t="shared" si="92"/>
        <v>36</v>
      </c>
      <c r="L2852" s="352"/>
      <c r="M2852" s="355">
        <v>7</v>
      </c>
      <c r="N2852" s="352" t="s">
        <v>1457</v>
      </c>
      <c r="O2852" s="352" t="s">
        <v>2679</v>
      </c>
      <c r="P2852" s="352">
        <f>I2852</f>
        <v>3.6</v>
      </c>
      <c r="Q2852" s="352" t="s">
        <v>1419</v>
      </c>
      <c r="R2852" s="352">
        <f>M2852*P2852</f>
        <v>25.2</v>
      </c>
    </row>
    <row r="2853" spans="1:20" ht="24.95" customHeight="1">
      <c r="A2853" s="265"/>
      <c r="E2853" s="352"/>
      <c r="F2853" s="352">
        <v>1.25</v>
      </c>
      <c r="G2853" s="352" t="s">
        <v>2680</v>
      </c>
      <c r="H2853" s="352" t="s">
        <v>395</v>
      </c>
      <c r="I2853" s="353">
        <f>Elec.Data!I22</f>
        <v>302</v>
      </c>
      <c r="J2853" s="352" t="s">
        <v>2680</v>
      </c>
      <c r="K2853" s="352">
        <f t="shared" si="92"/>
        <v>377.5</v>
      </c>
      <c r="L2853" s="352"/>
      <c r="M2853" s="352">
        <v>6</v>
      </c>
      <c r="N2853" s="352" t="s">
        <v>1419</v>
      </c>
      <c r="O2853" s="352" t="s">
        <v>2676</v>
      </c>
      <c r="P2853" s="352">
        <f>I2851</f>
        <v>13.8</v>
      </c>
      <c r="Q2853" s="352" t="s">
        <v>1423</v>
      </c>
      <c r="R2853" s="352">
        <f>M2853*P2853</f>
        <v>82.8</v>
      </c>
    </row>
    <row r="2854" spans="1:20" ht="24.95" customHeight="1">
      <c r="A2854" s="265"/>
      <c r="E2854" s="352"/>
      <c r="F2854" s="352">
        <v>10</v>
      </c>
      <c r="G2854" s="352" t="s">
        <v>1419</v>
      </c>
      <c r="H2854" s="360" t="s">
        <v>3940</v>
      </c>
      <c r="I2854" s="354">
        <f>I2847</f>
        <v>58</v>
      </c>
      <c r="J2854" s="352" t="s">
        <v>1419</v>
      </c>
      <c r="K2854" s="352">
        <f t="shared" si="92"/>
        <v>580</v>
      </c>
      <c r="L2854" s="352"/>
      <c r="M2854" s="352">
        <v>6</v>
      </c>
      <c r="N2854" s="352" t="s">
        <v>1419</v>
      </c>
      <c r="O2854" s="352" t="s">
        <v>2682</v>
      </c>
      <c r="P2854" s="352">
        <f>Elec.Data!P23</f>
        <v>16.21</v>
      </c>
      <c r="Q2854" s="352" t="s">
        <v>3451</v>
      </c>
      <c r="R2854" s="352">
        <f>(M2854*P2854)/12</f>
        <v>8.11</v>
      </c>
    </row>
    <row r="2855" spans="1:20" ht="24.95" customHeight="1">
      <c r="A2855" s="265"/>
      <c r="E2855" s="352"/>
      <c r="F2855" s="352">
        <v>0.15</v>
      </c>
      <c r="G2855" s="352" t="s">
        <v>2322</v>
      </c>
      <c r="H2855" s="352" t="s">
        <v>3970</v>
      </c>
      <c r="I2855" s="353">
        <f>Elec.Data!I24</f>
        <v>661</v>
      </c>
      <c r="J2855" s="352" t="s">
        <v>2322</v>
      </c>
      <c r="K2855" s="352">
        <f t="shared" si="92"/>
        <v>99.15</v>
      </c>
      <c r="L2855" s="352"/>
      <c r="M2855" s="352">
        <v>1</v>
      </c>
      <c r="N2855" s="352" t="s">
        <v>2684</v>
      </c>
      <c r="O2855" s="352" t="s">
        <v>2685</v>
      </c>
      <c r="P2855" s="352">
        <v>84.1</v>
      </c>
      <c r="Q2855" s="352" t="s">
        <v>2684</v>
      </c>
      <c r="R2855" s="352">
        <f>(M2855*P2855)</f>
        <v>84.1</v>
      </c>
    </row>
    <row r="2856" spans="1:20" ht="44.25" customHeight="1">
      <c r="A2856" s="265"/>
      <c r="E2856" s="352"/>
      <c r="F2856" s="352">
        <v>45</v>
      </c>
      <c r="G2856" s="352" t="s">
        <v>842</v>
      </c>
      <c r="H2856" s="458" t="s">
        <v>3975</v>
      </c>
      <c r="I2856" s="353">
        <f>Elec.Data!I25</f>
        <v>16.55</v>
      </c>
      <c r="J2856" s="352" t="s">
        <v>3363</v>
      </c>
      <c r="K2856" s="352">
        <f t="shared" si="92"/>
        <v>744.75</v>
      </c>
      <c r="L2856" s="352"/>
      <c r="M2856" s="352">
        <v>6</v>
      </c>
      <c r="N2856" s="352" t="s">
        <v>1457</v>
      </c>
      <c r="O2856" s="351" t="s">
        <v>3364</v>
      </c>
      <c r="P2856" s="352">
        <v>168.95</v>
      </c>
      <c r="Q2856" s="352" t="s">
        <v>2680</v>
      </c>
      <c r="R2856" s="352">
        <f>M2856*P2856</f>
        <v>1013.7</v>
      </c>
    </row>
    <row r="2857" spans="1:20" ht="24.95" customHeight="1">
      <c r="A2857" s="265"/>
      <c r="E2857" s="352"/>
      <c r="F2857" s="352" t="s">
        <v>669</v>
      </c>
      <c r="G2857" s="352"/>
      <c r="H2857" s="352" t="s">
        <v>931</v>
      </c>
      <c r="I2857" s="352"/>
      <c r="J2857" s="352" t="s">
        <v>669</v>
      </c>
      <c r="K2857" s="352">
        <f>K2873</f>
        <v>11454</v>
      </c>
      <c r="L2857" s="352"/>
      <c r="M2857" s="356">
        <v>0.16666666666666666</v>
      </c>
      <c r="N2857" s="352" t="s">
        <v>3365</v>
      </c>
      <c r="O2857" s="352" t="s">
        <v>395</v>
      </c>
      <c r="P2857" s="421">
        <f>I2853</f>
        <v>302</v>
      </c>
      <c r="Q2857" s="352" t="s">
        <v>3365</v>
      </c>
      <c r="R2857" s="352">
        <f>M2857*P2857</f>
        <v>50.33</v>
      </c>
    </row>
    <row r="2858" spans="1:20" ht="20.25" customHeight="1">
      <c r="A2858" s="265"/>
      <c r="E2858" s="352"/>
      <c r="F2858" s="352" t="s">
        <v>669</v>
      </c>
      <c r="G2858" s="352"/>
      <c r="H2858" s="352" t="s">
        <v>2310</v>
      </c>
      <c r="I2858" s="352"/>
      <c r="J2858" s="352" t="s">
        <v>669</v>
      </c>
      <c r="K2858" s="352">
        <v>40.6</v>
      </c>
      <c r="L2858" s="352"/>
      <c r="M2858" s="352">
        <v>45</v>
      </c>
      <c r="N2858" s="352" t="s">
        <v>3516</v>
      </c>
      <c r="O2858" s="273" t="s">
        <v>2686</v>
      </c>
      <c r="P2858" s="352">
        <f>P2846</f>
        <v>16.55</v>
      </c>
      <c r="Q2858" s="352" t="s">
        <v>2322</v>
      </c>
      <c r="R2858" s="352">
        <f>M2858*P2858</f>
        <v>744.75</v>
      </c>
    </row>
    <row r="2859" spans="1:20" ht="24.95" customHeight="1">
      <c r="A2859" s="265"/>
      <c r="E2859" s="352"/>
      <c r="F2859" s="352"/>
      <c r="G2859" s="352"/>
      <c r="H2859" s="357" t="s">
        <v>3366</v>
      </c>
      <c r="I2859" s="352"/>
      <c r="J2859" s="352"/>
      <c r="K2859" s="358">
        <f>SUM(K2843:K2858)</f>
        <v>16165.92</v>
      </c>
      <c r="L2859" s="352"/>
      <c r="M2859" s="352">
        <v>6</v>
      </c>
      <c r="N2859" s="352" t="s">
        <v>3367</v>
      </c>
      <c r="O2859" s="352" t="s">
        <v>931</v>
      </c>
      <c r="P2859" s="352">
        <f>R2877</f>
        <v>1207</v>
      </c>
      <c r="Q2859" s="352" t="s">
        <v>3367</v>
      </c>
      <c r="R2859" s="352">
        <f>M2859*P2859</f>
        <v>7242</v>
      </c>
    </row>
    <row r="2860" spans="1:20" ht="21.75" customHeight="1">
      <c r="A2860" s="265"/>
      <c r="E2860" s="352"/>
      <c r="F2860" s="352"/>
      <c r="G2860" s="352"/>
      <c r="H2860" s="359" t="s">
        <v>3368</v>
      </c>
      <c r="I2860" s="352"/>
      <c r="J2860" s="352"/>
      <c r="K2860" s="360">
        <f>K2859/10</f>
        <v>1616.59</v>
      </c>
      <c r="L2860" s="352">
        <f>1206*10</f>
        <v>12060</v>
      </c>
      <c r="M2860" s="352"/>
      <c r="N2860" s="352" t="s">
        <v>69</v>
      </c>
      <c r="O2860" s="352" t="s">
        <v>3369</v>
      </c>
      <c r="P2860" s="352"/>
      <c r="Q2860" s="352"/>
      <c r="R2860" s="352">
        <f>18.56+1.91</f>
        <v>20.47</v>
      </c>
    </row>
    <row r="2861" spans="1:20" ht="21" customHeight="1">
      <c r="A2861" s="265"/>
      <c r="E2861" s="352"/>
      <c r="F2861" s="352"/>
      <c r="G2861" s="352"/>
      <c r="H2861" s="352"/>
      <c r="I2861" s="352"/>
      <c r="J2861" s="352"/>
      <c r="K2861" s="352"/>
      <c r="L2861" s="352">
        <f>L2860-K2859</f>
        <v>-4105.92</v>
      </c>
      <c r="M2861" s="352"/>
      <c r="N2861" s="352"/>
      <c r="P2861" s="352"/>
      <c r="Q2861" s="352"/>
      <c r="R2861" s="352"/>
    </row>
    <row r="2862" spans="1:20" ht="16.5" customHeight="1">
      <c r="A2862" s="265"/>
      <c r="E2862" s="352"/>
      <c r="F2862" s="352"/>
      <c r="G2862" s="352"/>
      <c r="H2862" s="360" t="s">
        <v>3370</v>
      </c>
      <c r="I2862" s="352"/>
      <c r="J2862" s="352"/>
      <c r="K2862" s="352"/>
      <c r="L2862" s="352">
        <f>L2860-K2859</f>
        <v>-4105.92</v>
      </c>
      <c r="M2862" s="352"/>
      <c r="N2862" s="352"/>
      <c r="O2862" s="357" t="s">
        <v>3371</v>
      </c>
      <c r="P2862" s="352"/>
      <c r="Q2862" s="352"/>
      <c r="R2862" s="358">
        <f>SUM(R2846:R2861)</f>
        <v>11772.35</v>
      </c>
    </row>
    <row r="2863" spans="1:20" ht="15.75" customHeight="1">
      <c r="A2863" s="265"/>
      <c r="E2863" s="352"/>
      <c r="F2863" s="352"/>
      <c r="G2863" s="352"/>
      <c r="H2863" s="352"/>
      <c r="I2863" s="352"/>
      <c r="J2863" s="352"/>
      <c r="K2863" s="352"/>
      <c r="L2863" s="352"/>
      <c r="M2863" s="352"/>
      <c r="N2863" s="352"/>
      <c r="O2863" s="359" t="s">
        <v>3368</v>
      </c>
      <c r="P2863" s="352"/>
      <c r="Q2863" s="352"/>
      <c r="R2863" s="360">
        <f>R2862/6</f>
        <v>1962.06</v>
      </c>
      <c r="T2863" s="180">
        <f>1382*6</f>
        <v>8292</v>
      </c>
    </row>
    <row r="2864" spans="1:20" ht="19.5" customHeight="1">
      <c r="A2864" s="265"/>
      <c r="E2864" s="352"/>
      <c r="F2864" s="352"/>
      <c r="G2864" s="352"/>
      <c r="H2864" s="360" t="s">
        <v>3446</v>
      </c>
      <c r="I2864" s="352"/>
      <c r="J2864" s="352"/>
      <c r="K2864" s="352"/>
      <c r="L2864" s="352"/>
      <c r="M2864" s="352"/>
      <c r="N2864" s="352"/>
      <c r="O2864" s="352"/>
      <c r="P2864" s="352"/>
      <c r="Q2864" s="352"/>
      <c r="R2864" s="352"/>
      <c r="T2864" s="180">
        <f>T2863-R2862</f>
        <v>-3480.35</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1419</v>
      </c>
      <c r="H2866" s="352" t="s">
        <v>3372</v>
      </c>
      <c r="I2866" s="421">
        <f>Elec.Data!I35</f>
        <v>898</v>
      </c>
      <c r="J2866" s="352" t="s">
        <v>1419</v>
      </c>
      <c r="K2866" s="352">
        <f>F2866*I2866</f>
        <v>898</v>
      </c>
      <c r="L2866" s="352"/>
      <c r="M2866" s="352"/>
      <c r="N2866" s="360" t="s">
        <v>3370</v>
      </c>
      <c r="O2866" s="352"/>
      <c r="P2866" s="352"/>
      <c r="Q2866" s="352"/>
    </row>
    <row r="2867" spans="1:18" ht="20.25" customHeight="1">
      <c r="A2867" s="265"/>
      <c r="E2867" s="352"/>
      <c r="F2867" s="352">
        <v>2</v>
      </c>
      <c r="G2867" s="352" t="s">
        <v>1419</v>
      </c>
      <c r="H2867" s="352" t="s">
        <v>3373</v>
      </c>
      <c r="I2867" s="421">
        <f>Elec.Data!I36</f>
        <v>783</v>
      </c>
      <c r="J2867" s="352" t="s">
        <v>1419</v>
      </c>
      <c r="K2867" s="352">
        <f>F2867*I2867</f>
        <v>1566</v>
      </c>
      <c r="L2867" s="352"/>
      <c r="M2867" s="352"/>
      <c r="N2867" s="352"/>
      <c r="O2867" s="352"/>
      <c r="P2867" s="352"/>
      <c r="Q2867" s="352"/>
    </row>
    <row r="2868" spans="1:18" ht="20.25" customHeight="1">
      <c r="A2868" s="265"/>
      <c r="E2868" s="352"/>
      <c r="F2868" s="352">
        <v>3</v>
      </c>
      <c r="G2868" s="352" t="s">
        <v>1419</v>
      </c>
      <c r="H2868" s="352" t="s">
        <v>3374</v>
      </c>
      <c r="I2868" s="421">
        <f>Elec.Data!I37</f>
        <v>778</v>
      </c>
      <c r="J2868" s="352" t="s">
        <v>1419</v>
      </c>
      <c r="K2868" s="352">
        <f>F2868*I2868</f>
        <v>2334</v>
      </c>
      <c r="L2868" s="352"/>
      <c r="M2868" s="352"/>
      <c r="N2868" s="360" t="s">
        <v>3446</v>
      </c>
      <c r="O2868" s="352"/>
      <c r="P2868" s="352"/>
      <c r="Q2868" s="352"/>
    </row>
    <row r="2869" spans="1:18" ht="20.25" customHeight="1">
      <c r="A2869" s="265"/>
      <c r="E2869" s="352"/>
      <c r="F2869" s="352">
        <v>4</v>
      </c>
      <c r="G2869" s="352" t="s">
        <v>1419</v>
      </c>
      <c r="H2869" s="352" t="s">
        <v>2370</v>
      </c>
      <c r="I2869" s="421">
        <f>Elec.Data!I38</f>
        <v>611</v>
      </c>
      <c r="J2869" s="352" t="s">
        <v>1419</v>
      </c>
      <c r="K2869" s="352">
        <f>F2869*I2869</f>
        <v>2444</v>
      </c>
      <c r="L2869" s="352"/>
      <c r="M2869" s="352"/>
      <c r="N2869" s="352"/>
      <c r="O2869" s="352"/>
      <c r="P2869" s="352"/>
      <c r="Q2869" s="352"/>
    </row>
    <row r="2870" spans="1:18" ht="24.95" customHeight="1">
      <c r="A2870" s="265"/>
      <c r="E2870" s="352"/>
      <c r="F2870" s="352"/>
      <c r="G2870" s="352"/>
      <c r="H2870" s="360" t="s">
        <v>3150</v>
      </c>
      <c r="I2870" s="421">
        <f>Elec.Data!I39</f>
        <v>0</v>
      </c>
      <c r="J2870" s="352"/>
      <c r="K2870" s="352"/>
      <c r="M2870" s="352">
        <v>1</v>
      </c>
      <c r="N2870" s="352" t="s">
        <v>1419</v>
      </c>
      <c r="O2870" s="352" t="s">
        <v>3372</v>
      </c>
      <c r="P2870" s="352">
        <f>I2866</f>
        <v>898</v>
      </c>
      <c r="Q2870" s="352" t="s">
        <v>1419</v>
      </c>
      <c r="R2870" s="352">
        <f>M2870*P2870</f>
        <v>898</v>
      </c>
    </row>
    <row r="2871" spans="1:18" ht="24.95" customHeight="1">
      <c r="A2871" s="265"/>
      <c r="E2871" s="352"/>
      <c r="F2871" s="352">
        <v>2</v>
      </c>
      <c r="G2871" s="352" t="s">
        <v>1419</v>
      </c>
      <c r="H2871" s="352" t="s">
        <v>2892</v>
      </c>
      <c r="I2871" s="421">
        <f>Elec.Data!I40</f>
        <v>884</v>
      </c>
      <c r="J2871" s="352" t="s">
        <v>1419</v>
      </c>
      <c r="K2871" s="352">
        <f>F2871*I2871</f>
        <v>1768</v>
      </c>
      <c r="M2871" s="352">
        <v>2</v>
      </c>
      <c r="N2871" s="352" t="s">
        <v>1419</v>
      </c>
      <c r="O2871" s="352" t="s">
        <v>3373</v>
      </c>
      <c r="P2871" s="352">
        <f>I2867</f>
        <v>783</v>
      </c>
      <c r="Q2871" s="352" t="s">
        <v>1419</v>
      </c>
      <c r="R2871" s="352">
        <f>M2871*P2871</f>
        <v>1566</v>
      </c>
    </row>
    <row r="2872" spans="1:18" ht="24.95" customHeight="1">
      <c r="A2872" s="265"/>
      <c r="E2872" s="352"/>
      <c r="F2872" s="352">
        <v>4</v>
      </c>
      <c r="G2872" s="352" t="s">
        <v>1419</v>
      </c>
      <c r="H2872" s="352" t="s">
        <v>3137</v>
      </c>
      <c r="I2872" s="421">
        <f>Elec.Data!I41</f>
        <v>611</v>
      </c>
      <c r="J2872" s="352" t="s">
        <v>1419</v>
      </c>
      <c r="K2872" s="352">
        <f>F2872*I2872</f>
        <v>2444</v>
      </c>
      <c r="M2872" s="352">
        <v>3</v>
      </c>
      <c r="N2872" s="352" t="s">
        <v>1419</v>
      </c>
      <c r="O2872" s="352" t="s">
        <v>3374</v>
      </c>
      <c r="P2872" s="352">
        <f>I2868</f>
        <v>778</v>
      </c>
      <c r="Q2872" s="352" t="s">
        <v>1419</v>
      </c>
      <c r="R2872" s="352">
        <f>M2872*P2872</f>
        <v>2334</v>
      </c>
    </row>
    <row r="2873" spans="1:18" ht="20.25" customHeight="1">
      <c r="A2873" s="265"/>
      <c r="E2873" s="352"/>
      <c r="F2873" s="352"/>
      <c r="G2873" s="352"/>
      <c r="H2873" s="352"/>
      <c r="I2873" s="352"/>
      <c r="J2873" s="352"/>
      <c r="K2873" s="367">
        <f>SUM(K2866:K2872)</f>
        <v>11454</v>
      </c>
      <c r="M2873" s="352">
        <v>4</v>
      </c>
      <c r="N2873" s="352" t="s">
        <v>1419</v>
      </c>
      <c r="O2873" s="352" t="s">
        <v>2370</v>
      </c>
      <c r="P2873" s="352">
        <f>I2869</f>
        <v>611</v>
      </c>
      <c r="Q2873" s="352" t="s">
        <v>1419</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3151</v>
      </c>
      <c r="I2875" s="352"/>
      <c r="J2875" s="352"/>
      <c r="K2875" s="352"/>
      <c r="L2875" s="352"/>
      <c r="M2875" s="352"/>
      <c r="O2875" s="362" t="s">
        <v>2893</v>
      </c>
      <c r="R2875" s="363">
        <f>SUM(R2870:R2873)</f>
        <v>7242</v>
      </c>
    </row>
    <row r="2876" spans="1:18" ht="30.75" customHeight="1">
      <c r="A2876" s="265"/>
      <c r="E2876" s="352"/>
      <c r="F2876" s="352"/>
      <c r="G2876" s="352"/>
      <c r="H2876" s="189" t="s">
        <v>3457</v>
      </c>
      <c r="I2876" s="352"/>
      <c r="J2876" s="352"/>
      <c r="K2876" s="352"/>
      <c r="L2876" s="352"/>
      <c r="M2876" s="352"/>
    </row>
    <row r="2877" spans="1:18">
      <c r="A2877" s="265"/>
      <c r="E2877" s="352"/>
      <c r="F2877" s="352"/>
      <c r="G2877" s="352"/>
      <c r="H2877" s="352"/>
      <c r="I2877" s="352"/>
      <c r="J2877" s="352"/>
      <c r="K2877" s="352"/>
      <c r="L2877" s="352"/>
      <c r="M2877" s="352"/>
      <c r="Q2877" s="364" t="s">
        <v>3458</v>
      </c>
      <c r="R2877" s="190">
        <f>R2875/6</f>
        <v>1207</v>
      </c>
    </row>
    <row r="2878" spans="1:18" ht="186.75" customHeight="1">
      <c r="A2878" s="265"/>
      <c r="E2878" s="352"/>
      <c r="F2878" s="352"/>
      <c r="G2878" s="352"/>
      <c r="H2878" s="351" t="s">
        <v>2529</v>
      </c>
      <c r="I2878" s="352"/>
      <c r="J2878" s="352"/>
      <c r="K2878" s="352"/>
      <c r="L2878" s="352"/>
      <c r="M2878" s="352"/>
      <c r="O2878" s="351" t="s">
        <v>2492</v>
      </c>
    </row>
    <row r="2879" spans="1:18" ht="30" customHeight="1">
      <c r="A2879" s="265"/>
      <c r="E2879" s="352"/>
      <c r="F2879" s="352"/>
      <c r="G2879" s="352"/>
      <c r="H2879" s="352" t="s">
        <v>2493</v>
      </c>
      <c r="I2879" s="352"/>
      <c r="J2879" s="352"/>
      <c r="K2879" s="352">
        <f>K2859-K2858</f>
        <v>16125.32</v>
      </c>
      <c r="L2879" s="352"/>
      <c r="M2879" s="352">
        <v>90</v>
      </c>
      <c r="N2879" s="352" t="s">
        <v>842</v>
      </c>
      <c r="O2879" s="273" t="s">
        <v>2586</v>
      </c>
      <c r="P2879" s="352">
        <f t="shared" ref="P2879:P2887" si="93">P2846</f>
        <v>16.55</v>
      </c>
      <c r="Q2879" s="352" t="s">
        <v>842</v>
      </c>
      <c r="R2879" s="352">
        <f>M2879*P2879</f>
        <v>1489.5</v>
      </c>
    </row>
    <row r="2880" spans="1:18" ht="30" customHeight="1">
      <c r="A2880" s="265"/>
      <c r="E2880" s="352"/>
      <c r="F2880" s="352"/>
      <c r="G2880" s="352"/>
      <c r="H2880" s="352" t="s">
        <v>2494</v>
      </c>
      <c r="I2880" s="352"/>
      <c r="J2880" s="352"/>
      <c r="K2880" s="352">
        <f>K2851</f>
        <v>138</v>
      </c>
      <c r="L2880" s="352"/>
      <c r="M2880" s="352">
        <v>45</v>
      </c>
      <c r="N2880" s="352" t="s">
        <v>842</v>
      </c>
      <c r="O2880" s="351" t="s">
        <v>2403</v>
      </c>
      <c r="P2880" s="352">
        <f t="shared" si="93"/>
        <v>20</v>
      </c>
      <c r="Q2880" s="352" t="s">
        <v>2404</v>
      </c>
      <c r="R2880" s="352">
        <f>M2880*P2880</f>
        <v>900</v>
      </c>
    </row>
    <row r="2881" spans="1:19" ht="30" customHeight="1">
      <c r="A2881" s="265"/>
      <c r="E2881" s="352"/>
      <c r="F2881" s="352"/>
      <c r="G2881" s="352"/>
      <c r="H2881" s="421" t="s">
        <v>3780</v>
      </c>
      <c r="I2881" s="421"/>
      <c r="J2881" s="421"/>
      <c r="K2881" s="421">
        <f>Elec.Data!K50</f>
        <v>166.5</v>
      </c>
      <c r="L2881" s="352"/>
      <c r="M2881" s="352">
        <v>75</v>
      </c>
      <c r="N2881" s="352" t="s">
        <v>1419</v>
      </c>
      <c r="O2881" s="352" t="s">
        <v>3450</v>
      </c>
      <c r="P2881" s="352">
        <f t="shared" si="93"/>
        <v>3.6</v>
      </c>
      <c r="Q2881" s="352" t="s">
        <v>3451</v>
      </c>
      <c r="R2881" s="352">
        <f>M2881*P2881/12</f>
        <v>22.5</v>
      </c>
    </row>
    <row r="2882" spans="1:19" ht="30" customHeight="1">
      <c r="A2882" s="265"/>
      <c r="E2882" s="352"/>
      <c r="F2882" s="352"/>
      <c r="G2882" s="352"/>
      <c r="H2882" s="352" t="s">
        <v>2310</v>
      </c>
      <c r="I2882" s="352"/>
      <c r="J2882" s="352"/>
      <c r="K2882" s="352">
        <v>43.1</v>
      </c>
      <c r="L2882" s="352"/>
      <c r="M2882" s="352">
        <v>12</v>
      </c>
      <c r="N2882" s="352" t="s">
        <v>1419</v>
      </c>
      <c r="O2882" s="352" t="s">
        <v>2405</v>
      </c>
      <c r="P2882" s="352">
        <f t="shared" si="93"/>
        <v>3.15</v>
      </c>
      <c r="Q2882" s="352" t="s">
        <v>1419</v>
      </c>
      <c r="R2882" s="352">
        <f>M2882*P2882</f>
        <v>37.799999999999997</v>
      </c>
    </row>
    <row r="2883" spans="1:19" ht="39.950000000000003" customHeight="1">
      <c r="A2883" s="265"/>
      <c r="E2883" s="352"/>
      <c r="F2883" s="352"/>
      <c r="G2883" s="352"/>
      <c r="H2883" s="357" t="s">
        <v>2472</v>
      </c>
      <c r="I2883" s="352"/>
      <c r="J2883" s="352"/>
      <c r="K2883" s="358">
        <f>K2879-K2880+K2881+K2882</f>
        <v>16196.92</v>
      </c>
      <c r="L2883" s="352"/>
      <c r="M2883" s="352">
        <v>6</v>
      </c>
      <c r="N2883" s="352" t="s">
        <v>1419</v>
      </c>
      <c r="O2883" s="352" t="s">
        <v>3448</v>
      </c>
      <c r="P2883" s="352">
        <f t="shared" si="93"/>
        <v>1.34</v>
      </c>
      <c r="Q2883" s="352" t="s">
        <v>1419</v>
      </c>
      <c r="R2883" s="352">
        <f>M2883*P2883</f>
        <v>8.0399999999999991</v>
      </c>
    </row>
    <row r="2884" spans="1:19" ht="25.5" customHeight="1">
      <c r="A2884" s="265"/>
      <c r="E2884" s="352"/>
      <c r="F2884" s="352"/>
      <c r="G2884" s="352"/>
      <c r="H2884" s="359" t="s">
        <v>2473</v>
      </c>
      <c r="I2884" s="352"/>
      <c r="J2884" s="352"/>
      <c r="K2884" s="360">
        <f>K2883/10</f>
        <v>1619.69</v>
      </c>
      <c r="L2884" s="352">
        <f>1078*10</f>
        <v>10780</v>
      </c>
      <c r="M2884" s="352">
        <v>150</v>
      </c>
      <c r="N2884" s="352" t="s">
        <v>1457</v>
      </c>
      <c r="O2884" s="352" t="s">
        <v>2677</v>
      </c>
      <c r="P2884" s="352">
        <f t="shared" si="93"/>
        <v>287</v>
      </c>
      <c r="Q2884" s="352">
        <v>1000</v>
      </c>
      <c r="R2884" s="352">
        <f>(M2884*P2884)/1000</f>
        <v>43.05</v>
      </c>
    </row>
    <row r="2885" spans="1:19">
      <c r="A2885" s="265"/>
      <c r="E2885" s="352"/>
      <c r="F2885" s="352"/>
      <c r="G2885" s="352"/>
      <c r="H2885" s="352"/>
      <c r="I2885" s="352"/>
      <c r="J2885" s="352"/>
      <c r="K2885" s="352"/>
      <c r="L2885" s="352">
        <f>L2884-K2883</f>
        <v>-5416.92</v>
      </c>
      <c r="M2885" s="355">
        <v>7</v>
      </c>
      <c r="N2885" s="352" t="s">
        <v>1457</v>
      </c>
      <c r="O2885" s="352" t="s">
        <v>2679</v>
      </c>
      <c r="P2885" s="352">
        <f t="shared" si="93"/>
        <v>3.6</v>
      </c>
      <c r="Q2885" s="352" t="s">
        <v>1419</v>
      </c>
      <c r="R2885" s="352">
        <f>M2885*P2885</f>
        <v>25.2</v>
      </c>
    </row>
    <row r="2886" spans="1:19" ht="24.95" customHeight="1">
      <c r="A2886" s="265"/>
      <c r="E2886" s="352"/>
      <c r="F2886" s="352"/>
      <c r="G2886" s="352"/>
      <c r="H2886" s="360" t="s">
        <v>3068</v>
      </c>
      <c r="I2886" s="352"/>
      <c r="J2886" s="352"/>
      <c r="K2886" s="352"/>
      <c r="L2886" s="352"/>
      <c r="M2886" s="352">
        <v>6</v>
      </c>
      <c r="N2886" s="352" t="s">
        <v>1419</v>
      </c>
      <c r="O2886" s="352" t="s">
        <v>2676</v>
      </c>
      <c r="P2886" s="352">
        <f t="shared" si="93"/>
        <v>13.8</v>
      </c>
      <c r="Q2886" s="352" t="s">
        <v>1423</v>
      </c>
      <c r="R2886" s="352">
        <f>M2886*P2886</f>
        <v>82.8</v>
      </c>
    </row>
    <row r="2887" spans="1:19" ht="56.25" customHeight="1">
      <c r="A2887" s="265"/>
      <c r="E2887" s="352"/>
      <c r="F2887" s="352"/>
      <c r="G2887" s="352"/>
      <c r="H2887" s="350" t="s">
        <v>3069</v>
      </c>
      <c r="I2887" s="352"/>
      <c r="J2887" s="352"/>
      <c r="K2887" s="352"/>
      <c r="L2887" s="352"/>
      <c r="M2887" s="352">
        <v>6</v>
      </c>
      <c r="N2887" s="352" t="s">
        <v>1419</v>
      </c>
      <c r="O2887" s="352" t="s">
        <v>2682</v>
      </c>
      <c r="P2887" s="352">
        <f t="shared" si="93"/>
        <v>16.21</v>
      </c>
      <c r="Q2887" s="352" t="s">
        <v>3451</v>
      </c>
      <c r="R2887" s="352">
        <f>(M2887*P2887)/12</f>
        <v>8.11</v>
      </c>
    </row>
    <row r="2888" spans="1:19">
      <c r="A2888" s="265"/>
      <c r="E2888" s="352"/>
      <c r="F2888" s="352"/>
      <c r="G2888" s="352"/>
      <c r="H2888" s="352"/>
      <c r="I2888" s="352"/>
      <c r="J2888" s="352"/>
      <c r="K2888" s="352"/>
      <c r="L2888" s="352"/>
      <c r="M2888" s="352">
        <v>1</v>
      </c>
      <c r="N2888" s="352" t="s">
        <v>2684</v>
      </c>
      <c r="O2888" s="352" t="s">
        <v>2685</v>
      </c>
      <c r="P2888" s="352">
        <f>P2855</f>
        <v>84.1</v>
      </c>
      <c r="Q2888" s="352" t="s">
        <v>2684</v>
      </c>
      <c r="R2888" s="352">
        <f>(M2888*P2888)</f>
        <v>84.1</v>
      </c>
    </row>
    <row r="2889" spans="1:19" ht="186" customHeight="1">
      <c r="A2889" s="265"/>
      <c r="E2889" s="352"/>
      <c r="F2889" s="352"/>
      <c r="G2889" s="352"/>
      <c r="H2889" s="351" t="s">
        <v>3532</v>
      </c>
      <c r="I2889" s="352"/>
      <c r="J2889" s="352"/>
      <c r="K2889" s="352"/>
      <c r="L2889" s="352"/>
      <c r="M2889" s="352">
        <v>6</v>
      </c>
      <c r="N2889" s="352" t="s">
        <v>1457</v>
      </c>
      <c r="O2889" s="351" t="s">
        <v>3455</v>
      </c>
      <c r="P2889" s="352">
        <v>42.25</v>
      </c>
      <c r="Q2889" s="352" t="s">
        <v>2680</v>
      </c>
      <c r="R2889" s="352">
        <f>M2889*P2889</f>
        <v>253.5</v>
      </c>
    </row>
    <row r="2890" spans="1:19" ht="21.75" customHeight="1">
      <c r="A2890" s="265"/>
      <c r="E2890" s="352"/>
      <c r="F2890" s="352"/>
      <c r="G2890" s="352"/>
      <c r="H2890" s="352" t="s">
        <v>3456</v>
      </c>
      <c r="I2890" s="352"/>
      <c r="J2890" s="352"/>
      <c r="K2890" s="352">
        <f>K2879</f>
        <v>16125.32</v>
      </c>
      <c r="L2890" s="352"/>
      <c r="M2890" s="356">
        <v>0.16666666666666666</v>
      </c>
      <c r="N2890" s="352" t="s">
        <v>3365</v>
      </c>
      <c r="O2890" s="352" t="s">
        <v>395</v>
      </c>
      <c r="P2890" s="352">
        <f>P2857</f>
        <v>302</v>
      </c>
      <c r="Q2890" s="352" t="s">
        <v>3365</v>
      </c>
      <c r="R2890" s="352">
        <f>M2890*P2890</f>
        <v>50.33</v>
      </c>
    </row>
    <row r="2891" spans="1:19" ht="30" customHeight="1">
      <c r="A2891" s="265"/>
      <c r="E2891" s="352"/>
      <c r="F2891" s="352"/>
      <c r="G2891" s="352"/>
      <c r="H2891" s="352" t="s">
        <v>3043</v>
      </c>
      <c r="I2891" s="352"/>
      <c r="J2891" s="352"/>
      <c r="K2891" s="352">
        <f>K2880</f>
        <v>138</v>
      </c>
      <c r="L2891" s="352"/>
      <c r="M2891" s="352"/>
      <c r="N2891" s="352"/>
      <c r="O2891" s="273"/>
      <c r="P2891" s="352"/>
      <c r="Q2891" s="352"/>
      <c r="R2891" s="352"/>
    </row>
    <row r="2892" spans="1:19" ht="30" customHeight="1">
      <c r="A2892" s="265"/>
      <c r="E2892" s="352"/>
      <c r="F2892" s="352"/>
      <c r="G2892" s="352"/>
      <c r="H2892" s="352" t="s">
        <v>3044</v>
      </c>
      <c r="I2892" s="352"/>
      <c r="J2892" s="352"/>
      <c r="K2892" s="352">
        <f>K2852</f>
        <v>36</v>
      </c>
      <c r="L2892" s="352"/>
      <c r="M2892" s="352">
        <v>6</v>
      </c>
      <c r="N2892" s="352" t="s">
        <v>3367</v>
      </c>
      <c r="O2892" s="352" t="s">
        <v>931</v>
      </c>
      <c r="P2892" s="352">
        <f>R2877</f>
        <v>1207</v>
      </c>
      <c r="Q2892" s="352" t="s">
        <v>3367</v>
      </c>
      <c r="R2892" s="352">
        <f>M2892*P2892</f>
        <v>7242</v>
      </c>
    </row>
    <row r="2893" spans="1:19" ht="30" customHeight="1">
      <c r="A2893" s="265"/>
      <c r="E2893" s="352"/>
      <c r="F2893" s="352"/>
      <c r="G2893" s="352"/>
      <c r="H2893" s="352" t="s">
        <v>3045</v>
      </c>
      <c r="I2893" s="352"/>
      <c r="J2893" s="352"/>
      <c r="K2893" s="352">
        <f>K2850</f>
        <v>162.1</v>
      </c>
      <c r="L2893" s="352"/>
      <c r="M2893" s="352"/>
      <c r="N2893" s="352" t="s">
        <v>69</v>
      </c>
      <c r="O2893" s="352" t="s">
        <v>3369</v>
      </c>
      <c r="P2893" s="352"/>
      <c r="Q2893" s="352"/>
      <c r="R2893" s="352">
        <v>13.68</v>
      </c>
    </row>
    <row r="2894" spans="1:19" ht="30" customHeight="1">
      <c r="A2894" s="265"/>
      <c r="E2894" s="352"/>
      <c r="F2894" s="352"/>
      <c r="G2894" s="352"/>
      <c r="H2894" s="352" t="s">
        <v>3776</v>
      </c>
      <c r="I2894" s="352"/>
      <c r="J2894" s="352"/>
      <c r="K2894" s="353">
        <f>Elec.Data!K63</f>
        <v>417</v>
      </c>
      <c r="L2894" s="352"/>
      <c r="M2894" s="352"/>
      <c r="N2894" s="352"/>
      <c r="P2894" s="352"/>
      <c r="Q2894" s="352"/>
      <c r="R2894" s="352"/>
    </row>
    <row r="2895" spans="1:19" ht="30" customHeight="1">
      <c r="A2895" s="265"/>
      <c r="E2895" s="352"/>
      <c r="F2895" s="352"/>
      <c r="G2895" s="352"/>
      <c r="H2895" s="352" t="s">
        <v>3046</v>
      </c>
      <c r="I2895" s="352"/>
      <c r="J2895" s="352"/>
      <c r="K2895" s="352">
        <f>10*9</f>
        <v>90</v>
      </c>
      <c r="L2895" s="352"/>
      <c r="M2895" s="352"/>
      <c r="N2895" s="352"/>
      <c r="O2895" s="357" t="s">
        <v>3371</v>
      </c>
      <c r="P2895" s="352"/>
      <c r="Q2895" s="352"/>
      <c r="R2895" s="358">
        <f>SUM(R2879:R2894)</f>
        <v>10260.61</v>
      </c>
    </row>
    <row r="2896" spans="1:19" ht="30" customHeight="1">
      <c r="A2896" s="265"/>
      <c r="E2896" s="352"/>
      <c r="F2896" s="352"/>
      <c r="G2896" s="352"/>
      <c r="H2896" s="352" t="s">
        <v>3777</v>
      </c>
      <c r="I2896" s="352"/>
      <c r="J2896" s="352"/>
      <c r="K2896" s="353">
        <f>Elec.Data!K65</f>
        <v>165</v>
      </c>
      <c r="L2896" s="352"/>
      <c r="M2896" s="352"/>
      <c r="N2896" s="352"/>
      <c r="O2896" s="359" t="s">
        <v>3368</v>
      </c>
      <c r="P2896" s="352"/>
      <c r="Q2896" s="352"/>
      <c r="R2896" s="360">
        <f>R2895/6</f>
        <v>1710.1</v>
      </c>
      <c r="S2896" s="180">
        <f>1199*6</f>
        <v>7194</v>
      </c>
    </row>
    <row r="2897" spans="1:19" ht="30" customHeight="1">
      <c r="A2897" s="265"/>
      <c r="E2897" s="352"/>
      <c r="F2897" s="352"/>
      <c r="G2897" s="352"/>
      <c r="H2897" s="352" t="s">
        <v>2310</v>
      </c>
      <c r="I2897" s="352"/>
      <c r="J2897" s="352"/>
      <c r="K2897" s="352">
        <v>32.200000000000003</v>
      </c>
      <c r="L2897" s="352"/>
      <c r="M2897" s="352"/>
      <c r="S2897" s="180">
        <f>S2896-R2895</f>
        <v>-3066.61</v>
      </c>
    </row>
    <row r="2898" spans="1:19" ht="25.5" customHeight="1">
      <c r="A2898" s="265"/>
      <c r="E2898" s="352"/>
      <c r="F2898" s="352"/>
      <c r="G2898" s="352"/>
      <c r="H2898" s="357" t="s">
        <v>2472</v>
      </c>
      <c r="I2898" s="352"/>
      <c r="J2898" s="352"/>
      <c r="K2898" s="358">
        <f>(K2890-K2891-K2892-K2893)+(K2894+K2895+K2896+K2897)</f>
        <v>16493.419999999998</v>
      </c>
      <c r="L2898" s="352"/>
      <c r="M2898" s="352"/>
    </row>
    <row r="2899" spans="1:19" ht="27.75" customHeight="1">
      <c r="A2899" s="265"/>
      <c r="E2899" s="352"/>
      <c r="F2899" s="352"/>
      <c r="G2899" s="352"/>
      <c r="H2899" s="359" t="s">
        <v>3220</v>
      </c>
      <c r="I2899" s="352"/>
      <c r="J2899" s="352"/>
      <c r="K2899" s="360">
        <f>K2898/10</f>
        <v>1649.34</v>
      </c>
      <c r="L2899" s="352">
        <f>1107*10</f>
        <v>11070</v>
      </c>
      <c r="M2899" s="352"/>
    </row>
    <row r="2900" spans="1:19">
      <c r="A2900" s="265"/>
      <c r="E2900" s="352"/>
      <c r="F2900" s="352"/>
      <c r="G2900" s="352"/>
      <c r="H2900" s="352"/>
      <c r="I2900" s="352"/>
      <c r="J2900" s="352"/>
      <c r="K2900" s="352"/>
      <c r="L2900" s="352">
        <f>L2899-K2898</f>
        <v>-5423.42</v>
      </c>
      <c r="M2900" s="352"/>
    </row>
    <row r="2901" spans="1:19">
      <c r="A2901" s="265"/>
      <c r="E2901" s="352"/>
      <c r="F2901" s="352"/>
      <c r="G2901" s="352"/>
      <c r="H2901" s="360" t="s">
        <v>3221</v>
      </c>
      <c r="I2901" s="352"/>
      <c r="J2901" s="352"/>
      <c r="K2901" s="352"/>
      <c r="L2901" s="352"/>
      <c r="M2901" s="352"/>
    </row>
    <row r="2902" spans="1:19">
      <c r="A2902" s="265"/>
      <c r="E2902" s="352"/>
      <c r="F2902" s="352"/>
      <c r="G2902" s="352"/>
      <c r="H2902" s="360" t="s">
        <v>3222</v>
      </c>
      <c r="I2902" s="352"/>
      <c r="J2902" s="352"/>
      <c r="K2902" s="352"/>
      <c r="L2902" s="352"/>
      <c r="M2902" s="352"/>
    </row>
    <row r="2903" spans="1:19" ht="157.5">
      <c r="A2903" s="265"/>
      <c r="E2903" s="352"/>
      <c r="F2903" s="352"/>
      <c r="G2903" s="352"/>
      <c r="H2903" s="351" t="s">
        <v>2830</v>
      </c>
      <c r="I2903" s="352"/>
      <c r="J2903" s="352"/>
      <c r="K2903" s="352"/>
      <c r="L2903" s="352"/>
      <c r="M2903" s="352"/>
    </row>
    <row r="2904" spans="1:19">
      <c r="A2904" s="265"/>
      <c r="E2904" s="352"/>
      <c r="F2904" s="352"/>
      <c r="G2904" s="352"/>
      <c r="H2904" s="352"/>
      <c r="I2904" s="352"/>
      <c r="J2904" s="352"/>
      <c r="K2904" s="352"/>
      <c r="L2904" s="352"/>
      <c r="M2904" s="352"/>
    </row>
    <row r="2905" spans="1:19" ht="31.5">
      <c r="A2905" s="265"/>
      <c r="E2905" s="352"/>
      <c r="F2905" s="352">
        <v>90</v>
      </c>
      <c r="G2905" s="352" t="s">
        <v>842</v>
      </c>
      <c r="H2905" s="273" t="str">
        <f>H2843</f>
        <v>1.5 sqmm copper PVC insulated unsheathed single core cable (P-79 it-2/b)</v>
      </c>
      <c r="I2905" s="352">
        <f>I2843</f>
        <v>16.55</v>
      </c>
      <c r="J2905" s="352" t="s">
        <v>3363</v>
      </c>
      <c r="K2905" s="352">
        <f t="shared" ref="K2905:K2917" si="94">F2905*I2905</f>
        <v>1489.5</v>
      </c>
      <c r="L2905" s="352"/>
      <c r="M2905" s="352"/>
    </row>
    <row r="2906" spans="1:19" ht="31.5">
      <c r="A2906" s="265"/>
      <c r="E2906" s="352"/>
      <c r="F2906" s="352">
        <v>45</v>
      </c>
      <c r="G2906" s="352" t="s">
        <v>842</v>
      </c>
      <c r="H2906" s="351" t="s">
        <v>3969</v>
      </c>
      <c r="I2906" s="352">
        <f>I2844</f>
        <v>20</v>
      </c>
      <c r="J2906" s="352" t="s">
        <v>842</v>
      </c>
      <c r="K2906" s="352">
        <f t="shared" si="94"/>
        <v>900</v>
      </c>
      <c r="L2906" s="352"/>
      <c r="M2906" s="352"/>
    </row>
    <row r="2907" spans="1:19">
      <c r="A2907" s="265"/>
      <c r="E2907" s="352"/>
      <c r="F2907" s="352">
        <v>20</v>
      </c>
      <c r="G2907" s="352" t="s">
        <v>1419</v>
      </c>
      <c r="H2907" s="352" t="s">
        <v>3968</v>
      </c>
      <c r="I2907" s="352">
        <f>I2845</f>
        <v>3.15</v>
      </c>
      <c r="J2907" s="352" t="s">
        <v>1419</v>
      </c>
      <c r="K2907" s="352">
        <f t="shared" si="94"/>
        <v>63</v>
      </c>
      <c r="L2907" s="352"/>
      <c r="M2907" s="352"/>
    </row>
    <row r="2908" spans="1:19">
      <c r="A2908" s="265"/>
      <c r="E2908" s="352"/>
      <c r="F2908" s="352">
        <v>10</v>
      </c>
      <c r="G2908" s="352" t="s">
        <v>1419</v>
      </c>
      <c r="H2908" s="352" t="s">
        <v>3976</v>
      </c>
      <c r="I2908" s="352">
        <f>I2846</f>
        <v>1.34</v>
      </c>
      <c r="J2908" s="352" t="s">
        <v>1419</v>
      </c>
      <c r="K2908" s="352">
        <f t="shared" si="94"/>
        <v>13.4</v>
      </c>
      <c r="L2908" s="352"/>
      <c r="M2908" s="352"/>
    </row>
    <row r="2909" spans="1:19">
      <c r="A2909" s="265"/>
      <c r="E2909" s="352"/>
      <c r="F2909" s="352">
        <v>10</v>
      </c>
      <c r="G2909" s="352" t="s">
        <v>1419</v>
      </c>
      <c r="H2909" s="352" t="str">
        <f>H2852</f>
        <v>19 mm PVC junction box  ( p-83,6-b( 44.8/12=3.73)</v>
      </c>
      <c r="I2909" s="352">
        <f>I2852</f>
        <v>3.6</v>
      </c>
      <c r="J2909" s="352" t="s">
        <v>1419</v>
      </c>
      <c r="K2909" s="352">
        <f t="shared" si="94"/>
        <v>36</v>
      </c>
      <c r="L2909" s="352"/>
      <c r="M2909" s="352"/>
    </row>
    <row r="2910" spans="1:19">
      <c r="A2910" s="265"/>
      <c r="E2910" s="352"/>
      <c r="F2910" s="352">
        <v>10</v>
      </c>
      <c r="G2910" s="352" t="s">
        <v>1419</v>
      </c>
      <c r="H2910" s="352" t="str">
        <f>H2851</f>
        <v>Ceiling rose p-70 it-23</v>
      </c>
      <c r="I2910" s="352">
        <f>I2851</f>
        <v>13.8</v>
      </c>
      <c r="J2910" s="352" t="s">
        <v>1419</v>
      </c>
      <c r="K2910" s="352">
        <f t="shared" si="94"/>
        <v>138</v>
      </c>
      <c r="L2910" s="352"/>
      <c r="M2910" s="352"/>
    </row>
    <row r="2911" spans="1:19">
      <c r="A2911" s="265"/>
      <c r="E2911" s="352"/>
      <c r="F2911" s="352">
        <v>10</v>
      </c>
      <c r="G2911" s="352" t="s">
        <v>1419</v>
      </c>
      <c r="H2911" s="352" t="str">
        <f>H2850</f>
        <v>5 amps flush type switch p-72, Part-C,1 a ( 207/12=17.25)</v>
      </c>
      <c r="I2911" s="352">
        <f>I2850</f>
        <v>16.21</v>
      </c>
      <c r="J2911" s="352" t="s">
        <v>1419</v>
      </c>
      <c r="K2911" s="352">
        <f t="shared" si="94"/>
        <v>162.1</v>
      </c>
      <c r="L2911" s="352"/>
      <c r="M2911" s="352"/>
    </row>
    <row r="2912" spans="1:19">
      <c r="A2912" s="265"/>
      <c r="E2912" s="352"/>
      <c r="F2912" s="352">
        <v>10</v>
      </c>
      <c r="G2912" s="352" t="s">
        <v>1419</v>
      </c>
      <c r="H2912" s="360" t="s">
        <v>3936</v>
      </c>
      <c r="I2912" s="371">
        <v>85</v>
      </c>
      <c r="J2912" s="352" t="s">
        <v>1419</v>
      </c>
      <c r="K2912" s="352">
        <f t="shared" si="94"/>
        <v>850</v>
      </c>
      <c r="L2912" s="352"/>
      <c r="M2912" s="352"/>
    </row>
    <row r="2913" spans="1:13">
      <c r="A2913" s="265"/>
      <c r="E2913" s="352"/>
      <c r="F2913" s="352">
        <v>0.6</v>
      </c>
      <c r="G2913" s="352" t="s">
        <v>2322</v>
      </c>
      <c r="H2913" s="352" t="s">
        <v>2683</v>
      </c>
      <c r="I2913" s="352">
        <f>I2849</f>
        <v>661</v>
      </c>
      <c r="J2913" s="352" t="s">
        <v>2322</v>
      </c>
      <c r="K2913" s="352">
        <f t="shared" si="94"/>
        <v>396.6</v>
      </c>
      <c r="L2913" s="352"/>
      <c r="M2913" s="352"/>
    </row>
    <row r="2914" spans="1:13">
      <c r="A2914" s="265"/>
      <c r="E2914" s="352"/>
      <c r="F2914" s="352">
        <v>1</v>
      </c>
      <c r="G2914" s="352" t="s">
        <v>1419</v>
      </c>
      <c r="H2914" s="360" t="s">
        <v>3940</v>
      </c>
      <c r="I2914" s="521">
        <f>I2854</f>
        <v>58</v>
      </c>
      <c r="J2914" s="352" t="s">
        <v>1419</v>
      </c>
      <c r="K2914" s="352">
        <f t="shared" si="94"/>
        <v>58</v>
      </c>
      <c r="L2914" s="352"/>
      <c r="M2914" s="352"/>
    </row>
    <row r="2915" spans="1:13">
      <c r="A2915" s="265"/>
      <c r="E2915" s="352"/>
      <c r="F2915" s="355">
        <v>1.4999999999999999E-2</v>
      </c>
      <c r="G2915" s="352" t="s">
        <v>2322</v>
      </c>
      <c r="H2915" s="352" t="s">
        <v>3970</v>
      </c>
      <c r="I2915" s="352">
        <f>I2913</f>
        <v>661</v>
      </c>
      <c r="J2915" s="352" t="s">
        <v>2322</v>
      </c>
      <c r="K2915" s="352">
        <f t="shared" si="94"/>
        <v>9.92</v>
      </c>
      <c r="L2915" s="352"/>
      <c r="M2915" s="352"/>
    </row>
    <row r="2916" spans="1:13">
      <c r="A2916" s="265"/>
      <c r="E2916" s="352"/>
      <c r="F2916" s="352">
        <v>1.25</v>
      </c>
      <c r="G2916" s="352" t="s">
        <v>2680</v>
      </c>
      <c r="H2916" s="352" t="s">
        <v>395</v>
      </c>
      <c r="I2916" s="352">
        <f>I2853</f>
        <v>302</v>
      </c>
      <c r="J2916" s="352" t="s">
        <v>2680</v>
      </c>
      <c r="K2916" s="352">
        <f t="shared" si="94"/>
        <v>377.5</v>
      </c>
      <c r="L2916" s="352"/>
      <c r="M2916" s="352"/>
    </row>
    <row r="2917" spans="1:13" ht="31.5">
      <c r="A2917" s="265"/>
      <c r="E2917" s="352"/>
      <c r="F2917" s="352">
        <v>45</v>
      </c>
      <c r="G2917" s="352" t="s">
        <v>842</v>
      </c>
      <c r="H2917" s="458" t="s">
        <v>3975</v>
      </c>
      <c r="I2917" s="352">
        <f>I2843</f>
        <v>16.55</v>
      </c>
      <c r="J2917" s="352" t="s">
        <v>3363</v>
      </c>
      <c r="K2917" s="352">
        <f t="shared" si="94"/>
        <v>744.75</v>
      </c>
      <c r="L2917" s="352"/>
      <c r="M2917" s="352"/>
    </row>
    <row r="2918" spans="1:13">
      <c r="A2918" s="265"/>
      <c r="E2918" s="352"/>
      <c r="F2918" s="352" t="s">
        <v>669</v>
      </c>
      <c r="G2918" s="352"/>
      <c r="H2918" s="352" t="s">
        <v>931</v>
      </c>
      <c r="I2918" s="352"/>
      <c r="J2918" s="352"/>
      <c r="K2918" s="352">
        <f>K2873</f>
        <v>11454</v>
      </c>
      <c r="L2918" s="352"/>
      <c r="M2918" s="352"/>
    </row>
    <row r="2919" spans="1:13">
      <c r="A2919" s="265"/>
      <c r="E2919" s="352"/>
      <c r="F2919" s="352" t="s">
        <v>669</v>
      </c>
      <c r="G2919" s="352"/>
      <c r="H2919" s="352" t="s">
        <v>2310</v>
      </c>
      <c r="I2919" s="352"/>
      <c r="J2919" s="352"/>
      <c r="K2919" s="352">
        <v>27.25</v>
      </c>
      <c r="L2919" s="352"/>
      <c r="M2919" s="352"/>
    </row>
    <row r="2920" spans="1:13">
      <c r="A2920" s="265"/>
      <c r="E2920" s="352"/>
      <c r="F2920" s="352"/>
      <c r="G2920" s="352"/>
      <c r="H2920" s="357" t="s">
        <v>2472</v>
      </c>
      <c r="I2920" s="352"/>
      <c r="J2920" s="352"/>
      <c r="K2920" s="358">
        <f>SUM(K2905:K2919)</f>
        <v>16720.02</v>
      </c>
      <c r="L2920" s="352"/>
      <c r="M2920" s="352"/>
    </row>
    <row r="2921" spans="1:13">
      <c r="A2921" s="265"/>
      <c r="E2921" s="352"/>
      <c r="F2921" s="352"/>
      <c r="G2921" s="352"/>
      <c r="H2921" s="359" t="s">
        <v>3220</v>
      </c>
      <c r="I2921" s="352"/>
      <c r="J2921" s="352"/>
      <c r="K2921" s="360">
        <f>K2920/10</f>
        <v>1672</v>
      </c>
      <c r="L2921" s="352">
        <f>1257*10</f>
        <v>12570</v>
      </c>
      <c r="M2921" s="352"/>
    </row>
    <row r="2922" spans="1:13" hidden="1">
      <c r="A2922" s="265"/>
      <c r="E2922" s="352"/>
      <c r="F2922" s="352"/>
      <c r="G2922" s="352"/>
      <c r="H2922" s="360" t="s">
        <v>3531</v>
      </c>
      <c r="I2922" s="352"/>
      <c r="J2922" s="352"/>
      <c r="K2922" s="360"/>
      <c r="L2922" s="352"/>
      <c r="M2922" s="352"/>
    </row>
    <row r="2923" spans="1:13" hidden="1">
      <c r="A2923" s="265"/>
      <c r="E2923" s="352"/>
      <c r="F2923" s="352"/>
      <c r="G2923" s="352"/>
      <c r="H2923" s="365" t="s">
        <v>2881</v>
      </c>
      <c r="I2923" s="352">
        <f>90</f>
        <v>90</v>
      </c>
      <c r="J2923" s="352"/>
      <c r="K2923" s="360"/>
      <c r="L2923" s="352"/>
      <c r="M2923" s="352"/>
    </row>
    <row r="2924" spans="1:13" hidden="1">
      <c r="A2924" s="265"/>
      <c r="E2924" s="352"/>
      <c r="F2924" s="352"/>
      <c r="G2924" s="352"/>
      <c r="H2924" s="365" t="s">
        <v>2882</v>
      </c>
      <c r="I2924" s="366">
        <v>8.2500000000000004E-2</v>
      </c>
      <c r="J2924" s="352"/>
      <c r="K2924" s="360"/>
      <c r="L2924" s="352"/>
      <c r="M2924" s="352"/>
    </row>
    <row r="2925" spans="1:13" ht="18" hidden="1">
      <c r="A2925" s="265"/>
      <c r="E2925" s="352"/>
      <c r="F2925" s="352"/>
      <c r="G2925" s="352"/>
      <c r="H2925" s="365" t="s">
        <v>2894</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-4150.0200000000004</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2883</v>
      </c>
      <c r="I2928" s="352"/>
      <c r="J2928" s="352"/>
      <c r="K2928" s="352"/>
      <c r="L2928" s="352"/>
      <c r="M2928" s="352"/>
    </row>
    <row r="2929" spans="1:13" ht="29.25" customHeight="1">
      <c r="A2929" s="265"/>
      <c r="E2929" s="352"/>
      <c r="F2929" s="352"/>
      <c r="G2929" s="352"/>
      <c r="H2929" s="360" t="s">
        <v>2884</v>
      </c>
      <c r="I2929" s="352"/>
      <c r="J2929" s="352"/>
      <c r="K2929" s="352"/>
      <c r="L2929" s="352"/>
      <c r="M2929" s="352"/>
    </row>
    <row r="2930" spans="1:13" ht="177.75" customHeight="1">
      <c r="A2930" s="265"/>
      <c r="E2930" s="352"/>
      <c r="F2930" s="352"/>
      <c r="G2930" s="352"/>
      <c r="H2930" s="351" t="s">
        <v>2489</v>
      </c>
      <c r="I2930" s="352"/>
      <c r="J2930" s="352"/>
      <c r="K2930" s="352"/>
      <c r="L2930" s="352"/>
      <c r="M2930" s="352"/>
    </row>
    <row r="2931" spans="1:13" ht="31.5">
      <c r="A2931" s="265"/>
      <c r="E2931" s="352"/>
      <c r="F2931" s="352">
        <v>90</v>
      </c>
      <c r="G2931" s="352" t="s">
        <v>842</v>
      </c>
      <c r="H2931" s="458" t="s">
        <v>3974</v>
      </c>
      <c r="I2931" s="352">
        <f>I2843</f>
        <v>16.55</v>
      </c>
      <c r="J2931" s="352" t="s">
        <v>2587</v>
      </c>
      <c r="K2931" s="352">
        <f t="shared" ref="K2931:K2941" si="95">F2931*I2931</f>
        <v>1489.5</v>
      </c>
      <c r="L2931" s="352"/>
      <c r="M2931" s="352"/>
    </row>
    <row r="2932" spans="1:13" ht="31.5">
      <c r="A2932" s="265"/>
      <c r="E2932" s="352"/>
      <c r="F2932" s="352">
        <v>30</v>
      </c>
      <c r="G2932" s="352" t="s">
        <v>842</v>
      </c>
      <c r="H2932" s="351" t="s">
        <v>3969</v>
      </c>
      <c r="I2932" s="352">
        <f>I2906</f>
        <v>20</v>
      </c>
      <c r="J2932" s="352" t="s">
        <v>842</v>
      </c>
      <c r="K2932" s="352">
        <f t="shared" si="95"/>
        <v>600</v>
      </c>
      <c r="L2932" s="352"/>
      <c r="M2932" s="352"/>
    </row>
    <row r="2933" spans="1:13">
      <c r="A2933" s="265"/>
      <c r="E2933" s="352"/>
      <c r="F2933" s="352">
        <v>10</v>
      </c>
      <c r="G2933" s="352" t="s">
        <v>1419</v>
      </c>
      <c r="H2933" s="352" t="s">
        <v>3968</v>
      </c>
      <c r="I2933" s="352">
        <f>I2907</f>
        <v>3.15</v>
      </c>
      <c r="J2933" s="352" t="s">
        <v>1419</v>
      </c>
      <c r="K2933" s="352">
        <f t="shared" si="95"/>
        <v>31.5</v>
      </c>
      <c r="L2933" s="352"/>
      <c r="M2933" s="352"/>
    </row>
    <row r="2934" spans="1:13">
      <c r="A2934" s="265"/>
      <c r="E2934" s="352"/>
      <c r="F2934" s="352">
        <v>5</v>
      </c>
      <c r="G2934" s="352" t="s">
        <v>1419</v>
      </c>
      <c r="H2934" s="352" t="s">
        <v>3976</v>
      </c>
      <c r="I2934" s="352">
        <f>I2908</f>
        <v>1.34</v>
      </c>
      <c r="J2934" s="352" t="s">
        <v>1419</v>
      </c>
      <c r="K2934" s="352">
        <f t="shared" si="95"/>
        <v>6.7</v>
      </c>
      <c r="L2934" s="352"/>
      <c r="M2934" s="352"/>
    </row>
    <row r="2935" spans="1:13">
      <c r="A2935" s="265"/>
      <c r="E2935" s="352"/>
      <c r="F2935" s="352">
        <v>10</v>
      </c>
      <c r="G2935" s="352" t="s">
        <v>1419</v>
      </c>
      <c r="H2935" s="352" t="s">
        <v>3977</v>
      </c>
      <c r="I2935" s="421">
        <f>ROUND(237/12,2)</f>
        <v>19.75</v>
      </c>
      <c r="J2935" s="352" t="s">
        <v>1419</v>
      </c>
      <c r="K2935" s="352">
        <f t="shared" si="95"/>
        <v>197.5</v>
      </c>
      <c r="L2935" s="352"/>
      <c r="M2935" s="352">
        <f>253/12</f>
        <v>21.08</v>
      </c>
    </row>
    <row r="2936" spans="1:13">
      <c r="A2936" s="265"/>
      <c r="E2936" s="352"/>
      <c r="F2936" s="352">
        <v>5</v>
      </c>
      <c r="G2936" s="352" t="s">
        <v>1419</v>
      </c>
      <c r="H2936" s="352" t="str">
        <f>H2910</f>
        <v>Ceiling rose p-70 it-23</v>
      </c>
      <c r="I2936" s="352">
        <f>I2910</f>
        <v>13.8</v>
      </c>
      <c r="J2936" s="352" t="s">
        <v>1419</v>
      </c>
      <c r="K2936" s="352">
        <f t="shared" si="95"/>
        <v>69</v>
      </c>
      <c r="L2936" s="352"/>
      <c r="M2936" s="352"/>
    </row>
    <row r="2937" spans="1:13">
      <c r="A2937" s="265"/>
      <c r="E2937" s="352"/>
      <c r="F2937" s="352">
        <v>5</v>
      </c>
      <c r="G2937" s="352" t="s">
        <v>1419</v>
      </c>
      <c r="H2937" s="352" t="str">
        <f>H2909</f>
        <v>19 mm PVC junction box  ( p-83,6-b( 44.8/12=3.73)</v>
      </c>
      <c r="I2937" s="352">
        <f>I2909</f>
        <v>3.6</v>
      </c>
      <c r="J2937" s="352" t="s">
        <v>1419</v>
      </c>
      <c r="K2937" s="352">
        <f t="shared" si="95"/>
        <v>18</v>
      </c>
      <c r="L2937" s="352"/>
      <c r="M2937" s="352"/>
    </row>
    <row r="2938" spans="1:13">
      <c r="A2938" s="265"/>
      <c r="E2938" s="352"/>
      <c r="F2938" s="352">
        <v>6</v>
      </c>
      <c r="G2938" s="352" t="s">
        <v>1419</v>
      </c>
      <c r="H2938" s="360" t="s">
        <v>3940</v>
      </c>
      <c r="I2938" s="360">
        <f>I2914</f>
        <v>58</v>
      </c>
      <c r="J2938" s="352" t="s">
        <v>1419</v>
      </c>
      <c r="K2938" s="352">
        <f t="shared" si="95"/>
        <v>348</v>
      </c>
      <c r="L2938" s="352"/>
      <c r="M2938" s="352"/>
    </row>
    <row r="2939" spans="1:13">
      <c r="A2939" s="265"/>
      <c r="E2939" s="352"/>
      <c r="F2939" s="352">
        <v>0.09</v>
      </c>
      <c r="G2939" s="352" t="s">
        <v>2322</v>
      </c>
      <c r="H2939" s="352" t="s">
        <v>3970</v>
      </c>
      <c r="I2939" s="352">
        <f>I2913</f>
        <v>661</v>
      </c>
      <c r="J2939" s="352" t="s">
        <v>2322</v>
      </c>
      <c r="K2939" s="352">
        <f t="shared" si="95"/>
        <v>59.49</v>
      </c>
      <c r="L2939" s="352"/>
      <c r="M2939" s="352"/>
    </row>
    <row r="2940" spans="1:13">
      <c r="A2940" s="265"/>
      <c r="E2940" s="352"/>
      <c r="F2940" s="352">
        <v>1.25</v>
      </c>
      <c r="G2940" s="352" t="s">
        <v>2680</v>
      </c>
      <c r="H2940" s="352" t="s">
        <v>395</v>
      </c>
      <c r="I2940" s="352">
        <f>I2916</f>
        <v>302</v>
      </c>
      <c r="J2940" s="352" t="s">
        <v>2680</v>
      </c>
      <c r="K2940" s="352">
        <f t="shared" si="95"/>
        <v>377.5</v>
      </c>
      <c r="L2940" s="352"/>
      <c r="M2940" s="352"/>
    </row>
    <row r="2941" spans="1:13" ht="31.5">
      <c r="A2941" s="265"/>
      <c r="E2941" s="352"/>
      <c r="F2941" s="352">
        <v>30</v>
      </c>
      <c r="G2941" s="352" t="s">
        <v>842</v>
      </c>
      <c r="H2941" s="458" t="s">
        <v>3975</v>
      </c>
      <c r="I2941" s="352">
        <f>I2931</f>
        <v>16.55</v>
      </c>
      <c r="J2941" s="352" t="s">
        <v>3363</v>
      </c>
      <c r="K2941" s="352">
        <f t="shared" si="95"/>
        <v>496.5</v>
      </c>
      <c r="L2941" s="352"/>
      <c r="M2941" s="352"/>
    </row>
    <row r="2942" spans="1:13">
      <c r="A2942" s="265"/>
      <c r="E2942" s="352"/>
      <c r="F2942" s="352"/>
      <c r="G2942" s="352"/>
      <c r="H2942" s="352" t="s">
        <v>931</v>
      </c>
      <c r="I2942" s="352"/>
      <c r="J2942" s="352"/>
      <c r="K2942" s="352">
        <f>K2873</f>
        <v>11454</v>
      </c>
      <c r="L2942" s="352"/>
      <c r="M2942" s="352"/>
    </row>
    <row r="2943" spans="1:13">
      <c r="A2943" s="265"/>
      <c r="E2943" s="352"/>
      <c r="F2943" s="352"/>
      <c r="G2943" s="352"/>
      <c r="H2943" s="352" t="s">
        <v>2310</v>
      </c>
      <c r="I2943" s="352"/>
      <c r="J2943" s="352"/>
      <c r="K2943" s="361">
        <v>24.28</v>
      </c>
      <c r="L2943" s="352"/>
      <c r="M2943" s="352"/>
    </row>
    <row r="2944" spans="1:13">
      <c r="A2944" s="265"/>
      <c r="E2944" s="352"/>
      <c r="F2944" s="352"/>
      <c r="G2944" s="352"/>
      <c r="H2944" s="357" t="s">
        <v>2600</v>
      </c>
      <c r="I2944" s="352"/>
      <c r="J2944" s="352"/>
      <c r="K2944" s="358">
        <f>SUM(K2931:K2943)</f>
        <v>15171.97</v>
      </c>
      <c r="L2944" s="352"/>
      <c r="M2944" s="352"/>
    </row>
    <row r="2945" spans="1:14">
      <c r="A2945" s="265"/>
      <c r="E2945" s="352"/>
      <c r="F2945" s="352"/>
      <c r="G2945" s="352"/>
      <c r="H2945" s="359" t="s">
        <v>3220</v>
      </c>
      <c r="I2945" s="352"/>
      <c r="J2945" s="352"/>
      <c r="K2945" s="360">
        <f>K2944/5</f>
        <v>3034.39</v>
      </c>
      <c r="L2945" s="352">
        <f>1983*5</f>
        <v>9915</v>
      </c>
      <c r="M2945" s="352"/>
    </row>
    <row r="2946" spans="1:14">
      <c r="A2946" s="265"/>
      <c r="E2946" s="352"/>
      <c r="F2946" s="352"/>
      <c r="G2946" s="352"/>
      <c r="H2946" s="352"/>
      <c r="I2946" s="352"/>
      <c r="J2946" s="352"/>
      <c r="K2946" s="352"/>
      <c r="L2946" s="352">
        <f>L2945-K2944</f>
        <v>-5256.97</v>
      </c>
      <c r="M2946" s="352"/>
    </row>
    <row r="2947" spans="1:14">
      <c r="A2947" s="265"/>
      <c r="E2947" s="352"/>
      <c r="F2947" s="352"/>
      <c r="G2947" s="352"/>
      <c r="H2947" s="360" t="s">
        <v>2601</v>
      </c>
      <c r="I2947" s="352"/>
      <c r="J2947" s="352"/>
      <c r="K2947" s="352"/>
      <c r="L2947" s="352"/>
      <c r="M2947" s="352"/>
    </row>
    <row r="2948" spans="1:14">
      <c r="A2948" s="265"/>
      <c r="E2948" s="352"/>
      <c r="F2948" s="352"/>
      <c r="G2948" s="352"/>
      <c r="H2948" s="360" t="s">
        <v>2602</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2770</v>
      </c>
      <c r="I2950" s="352"/>
      <c r="J2950" s="352"/>
      <c r="K2950" s="352"/>
      <c r="L2950" s="352"/>
      <c r="M2950" s="352"/>
    </row>
    <row r="2951" spans="1:14" ht="31.5">
      <c r="A2951" s="265"/>
      <c r="E2951" s="352"/>
      <c r="F2951" s="352">
        <v>90</v>
      </c>
      <c r="G2951" s="352" t="s">
        <v>842</v>
      </c>
      <c r="H2951" s="273" t="s">
        <v>2586</v>
      </c>
      <c r="I2951" s="352">
        <f>I2931</f>
        <v>16.55</v>
      </c>
      <c r="J2951" s="352" t="s">
        <v>3363</v>
      </c>
      <c r="K2951" s="352">
        <f t="shared" ref="K2951:K2961" si="96">F2951*I2951</f>
        <v>1489.5</v>
      </c>
      <c r="L2951" s="352"/>
      <c r="M2951" s="352"/>
    </row>
    <row r="2952" spans="1:14" ht="31.5">
      <c r="E2952" s="352"/>
      <c r="F2952" s="352">
        <v>45</v>
      </c>
      <c r="G2952" s="352" t="s">
        <v>842</v>
      </c>
      <c r="H2952" s="351" t="s">
        <v>2403</v>
      </c>
      <c r="I2952" s="352">
        <f>I2932</f>
        <v>20</v>
      </c>
      <c r="J2952" s="352" t="s">
        <v>842</v>
      </c>
      <c r="K2952" s="352">
        <f t="shared" si="96"/>
        <v>900</v>
      </c>
      <c r="L2952" s="352"/>
      <c r="M2952" s="352"/>
    </row>
    <row r="2953" spans="1:14" ht="20.100000000000001" customHeight="1">
      <c r="E2953" s="352"/>
      <c r="F2953" s="352">
        <v>20</v>
      </c>
      <c r="G2953" s="352" t="s">
        <v>1419</v>
      </c>
      <c r="H2953" s="352" t="s">
        <v>2405</v>
      </c>
      <c r="I2953" s="352">
        <f>I2933</f>
        <v>3.15</v>
      </c>
      <c r="J2953" s="352" t="s">
        <v>3451</v>
      </c>
      <c r="K2953" s="352">
        <f t="shared" si="96"/>
        <v>63</v>
      </c>
      <c r="L2953" s="352"/>
      <c r="M2953" s="352"/>
    </row>
    <row r="2954" spans="1:14" ht="20.100000000000001" customHeight="1">
      <c r="E2954" s="352"/>
      <c r="F2954" s="352">
        <v>10</v>
      </c>
      <c r="G2954" s="352" t="s">
        <v>1419</v>
      </c>
      <c r="H2954" s="352" t="s">
        <v>3448</v>
      </c>
      <c r="I2954" s="352">
        <f>I2934</f>
        <v>1.34</v>
      </c>
      <c r="J2954" s="352" t="s">
        <v>3451</v>
      </c>
      <c r="K2954" s="352">
        <f t="shared" si="96"/>
        <v>13.4</v>
      </c>
      <c r="L2954" s="352"/>
      <c r="M2954" s="352"/>
    </row>
    <row r="2955" spans="1:14" ht="20.100000000000001" customHeight="1">
      <c r="E2955" s="352"/>
      <c r="F2955" s="352">
        <v>1</v>
      </c>
      <c r="G2955" s="352" t="s">
        <v>1419</v>
      </c>
      <c r="H2955" s="360" t="s">
        <v>3940</v>
      </c>
      <c r="I2955" s="360">
        <f>I2938</f>
        <v>58</v>
      </c>
      <c r="J2955" s="352" t="s">
        <v>1419</v>
      </c>
      <c r="K2955" s="352">
        <f t="shared" si="96"/>
        <v>58</v>
      </c>
      <c r="L2955" s="352"/>
      <c r="M2955" s="352"/>
    </row>
    <row r="2956" spans="1:14" ht="20.100000000000001" customHeight="1">
      <c r="E2956" s="352"/>
      <c r="F2956" s="355">
        <v>1.4999999999999999E-2</v>
      </c>
      <c r="G2956" s="352" t="s">
        <v>2322</v>
      </c>
      <c r="H2956" s="352" t="s">
        <v>2599</v>
      </c>
      <c r="I2956" s="352">
        <f>I2849</f>
        <v>661</v>
      </c>
      <c r="J2956" s="352" t="s">
        <v>2322</v>
      </c>
      <c r="K2956" s="352">
        <f t="shared" si="96"/>
        <v>9.92</v>
      </c>
      <c r="L2956" s="352"/>
      <c r="M2956" s="352"/>
    </row>
    <row r="2957" spans="1:14" ht="31.5" customHeight="1">
      <c r="E2957" s="352"/>
      <c r="F2957" s="352">
        <v>15</v>
      </c>
      <c r="G2957" s="352" t="s">
        <v>1419</v>
      </c>
      <c r="H2957" s="351" t="s">
        <v>3778</v>
      </c>
      <c r="I2957" s="421">
        <f>Elec.Data!I126</f>
        <v>40.31</v>
      </c>
      <c r="J2957" s="352" t="s">
        <v>1419</v>
      </c>
      <c r="K2957" s="352">
        <f t="shared" si="96"/>
        <v>604.65</v>
      </c>
      <c r="L2957" s="463">
        <f>185+230</f>
        <v>415</v>
      </c>
      <c r="M2957" s="352">
        <f>L2957/12</f>
        <v>34.58</v>
      </c>
      <c r="N2957" s="180">
        <f>M2957/12</f>
        <v>2.88</v>
      </c>
    </row>
    <row r="2958" spans="1:14" ht="20.100000000000001" customHeight="1">
      <c r="E2958" s="352"/>
      <c r="F2958" s="352">
        <v>15</v>
      </c>
      <c r="G2958" s="352" t="s">
        <v>1419</v>
      </c>
      <c r="H2958" s="360" t="s">
        <v>3940</v>
      </c>
      <c r="I2958" s="352">
        <f>I2955</f>
        <v>58</v>
      </c>
      <c r="J2958" s="352" t="s">
        <v>1419</v>
      </c>
      <c r="K2958" s="352">
        <f t="shared" si="96"/>
        <v>870</v>
      </c>
      <c r="L2958" s="352"/>
      <c r="M2958" s="352"/>
    </row>
    <row r="2959" spans="1:14" ht="20.100000000000001" customHeight="1">
      <c r="E2959" s="352"/>
      <c r="F2959" s="355">
        <v>0.22500000000000001</v>
      </c>
      <c r="G2959" s="352" t="s">
        <v>2322</v>
      </c>
      <c r="H2959" s="352" t="s">
        <v>3970</v>
      </c>
      <c r="I2959" s="352">
        <f>I2956</f>
        <v>661</v>
      </c>
      <c r="J2959" s="352" t="s">
        <v>2772</v>
      </c>
      <c r="K2959" s="352">
        <f t="shared" si="96"/>
        <v>148.72999999999999</v>
      </c>
      <c r="L2959" s="352"/>
      <c r="M2959" s="352"/>
    </row>
    <row r="2960" spans="1:14" ht="20.100000000000001" customHeight="1">
      <c r="E2960" s="352"/>
      <c r="F2960" s="352">
        <v>1.25</v>
      </c>
      <c r="G2960" s="352" t="s">
        <v>2680</v>
      </c>
      <c r="H2960" s="352" t="s">
        <v>395</v>
      </c>
      <c r="I2960" s="352">
        <f>I2940</f>
        <v>302</v>
      </c>
      <c r="J2960" s="352" t="s">
        <v>2680</v>
      </c>
      <c r="K2960" s="352">
        <f t="shared" si="96"/>
        <v>377.5</v>
      </c>
      <c r="L2960" s="352"/>
      <c r="M2960" s="352"/>
    </row>
    <row r="2961" spans="5:13" ht="31.5">
      <c r="E2961" s="352"/>
      <c r="F2961" s="352">
        <v>45</v>
      </c>
      <c r="G2961" s="352" t="s">
        <v>2322</v>
      </c>
      <c r="H2961" s="458" t="s">
        <v>3975</v>
      </c>
      <c r="I2961" s="352">
        <f>I2951</f>
        <v>16.55</v>
      </c>
      <c r="J2961" s="352" t="s">
        <v>3363</v>
      </c>
      <c r="K2961" s="352">
        <f t="shared" si="96"/>
        <v>744.75</v>
      </c>
      <c r="L2961" s="352"/>
      <c r="M2961" s="352"/>
    </row>
    <row r="2962" spans="5:13" ht="15.75" customHeight="1">
      <c r="E2962" s="352"/>
      <c r="F2962" s="352"/>
      <c r="G2962" s="352"/>
      <c r="H2962" s="352" t="s">
        <v>931</v>
      </c>
      <c r="I2962" s="352"/>
      <c r="J2962" s="352"/>
      <c r="K2962" s="352">
        <f>K2918</f>
        <v>11454</v>
      </c>
      <c r="L2962" s="352"/>
      <c r="M2962" s="352"/>
    </row>
    <row r="2963" spans="5:13" ht="17.25" customHeight="1">
      <c r="E2963" s="352"/>
      <c r="F2963" s="352"/>
      <c r="G2963" s="352"/>
      <c r="H2963" s="352" t="s">
        <v>2310</v>
      </c>
      <c r="I2963" s="352"/>
      <c r="J2963" s="352"/>
      <c r="K2963" s="352">
        <v>65.12</v>
      </c>
      <c r="L2963" s="352"/>
      <c r="M2963" s="352"/>
    </row>
    <row r="2964" spans="5:13">
      <c r="E2964" s="352"/>
      <c r="F2964" s="352"/>
      <c r="G2964" s="352"/>
      <c r="H2964" s="357" t="s">
        <v>2773</v>
      </c>
      <c r="I2964" s="352"/>
      <c r="J2964" s="352"/>
      <c r="K2964" s="358">
        <f>SUM(K2951:K2963)</f>
        <v>16798.57</v>
      </c>
      <c r="L2964" s="352"/>
      <c r="M2964" s="352"/>
    </row>
    <row r="2965" spans="5:13">
      <c r="E2965" s="352"/>
      <c r="F2965" s="352"/>
      <c r="G2965" s="352"/>
      <c r="H2965" s="359" t="s">
        <v>3220</v>
      </c>
      <c r="I2965" s="352"/>
      <c r="J2965" s="352"/>
      <c r="K2965" s="360">
        <f>K2964/15</f>
        <v>1119.9000000000001</v>
      </c>
      <c r="L2965" s="352">
        <f>846*15</f>
        <v>12690</v>
      </c>
      <c r="M2965" s="352"/>
    </row>
    <row r="2966" spans="5:13" ht="16.5" customHeight="1">
      <c r="E2966" s="352"/>
      <c r="F2966" s="352"/>
      <c r="G2966" s="352"/>
      <c r="H2966" s="352"/>
      <c r="I2966" s="352"/>
      <c r="J2966" s="352"/>
      <c r="K2966" s="352"/>
      <c r="L2966" s="352">
        <f>L2965-K2964</f>
        <v>-4108.57</v>
      </c>
      <c r="M2966" s="352"/>
    </row>
    <row r="2967" spans="5:13">
      <c r="E2967" s="352"/>
      <c r="F2967" s="352"/>
      <c r="G2967" s="352"/>
      <c r="H2967" s="360" t="s">
        <v>2774</v>
      </c>
      <c r="I2967" s="352"/>
      <c r="J2967" s="352"/>
      <c r="K2967" s="352"/>
      <c r="L2967" s="352"/>
      <c r="M2967" s="352"/>
    </row>
    <row r="2968" spans="5:13">
      <c r="E2968" s="352"/>
      <c r="F2968" s="352"/>
      <c r="G2968" s="352"/>
      <c r="H2968" s="360" t="s">
        <v>2775</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2577</v>
      </c>
      <c r="I2970" s="352"/>
      <c r="J2970" s="352"/>
      <c r="K2970" s="352"/>
      <c r="L2970" s="352"/>
      <c r="M2970" s="352"/>
    </row>
    <row r="2971" spans="5:13" ht="2.25" hidden="1" customHeight="1">
      <c r="E2971" s="352"/>
      <c r="F2971" s="352"/>
      <c r="G2971" s="352"/>
      <c r="H2971" s="352"/>
      <c r="I2971" s="352"/>
      <c r="J2971" s="352"/>
      <c r="K2971" s="352"/>
      <c r="L2971" s="352"/>
      <c r="M2971" s="352"/>
    </row>
    <row r="2972" spans="5:13" ht="31.5">
      <c r="E2972" s="352"/>
      <c r="F2972" s="352">
        <v>5</v>
      </c>
      <c r="G2972" s="352" t="s">
        <v>842</v>
      </c>
      <c r="H2972" s="273" t="s">
        <v>2586</v>
      </c>
      <c r="I2972" s="352">
        <f>I2951</f>
        <v>16.55</v>
      </c>
      <c r="J2972" s="352" t="s">
        <v>2404</v>
      </c>
      <c r="K2972" s="352">
        <f>F2972*I2972</f>
        <v>82.75</v>
      </c>
      <c r="L2972" s="352"/>
      <c r="M2972" s="352"/>
    </row>
    <row r="2973" spans="5:13" ht="24.75" customHeight="1">
      <c r="E2973" s="352"/>
      <c r="F2973" s="352">
        <v>2.5</v>
      </c>
      <c r="G2973" s="352" t="s">
        <v>842</v>
      </c>
      <c r="H2973" s="351" t="s">
        <v>2403</v>
      </c>
      <c r="I2973" s="352">
        <f>I2952</f>
        <v>20</v>
      </c>
      <c r="J2973" s="352" t="s">
        <v>842</v>
      </c>
      <c r="K2973" s="352">
        <f>F2973*I2973</f>
        <v>50</v>
      </c>
      <c r="L2973" s="352"/>
      <c r="M2973" s="352"/>
    </row>
    <row r="2974" spans="5:13" ht="39.75" customHeight="1">
      <c r="E2974" s="352"/>
      <c r="F2974" s="352">
        <v>1</v>
      </c>
      <c r="G2974" s="352" t="s">
        <v>1419</v>
      </c>
      <c r="H2974" s="351" t="s">
        <v>3978</v>
      </c>
      <c r="I2974" s="353">
        <f>I2957</f>
        <v>40.31</v>
      </c>
      <c r="J2974" s="352" t="s">
        <v>1419</v>
      </c>
      <c r="K2974" s="352">
        <f>F2974*I2974</f>
        <v>40.31</v>
      </c>
      <c r="L2974" s="352"/>
      <c r="M2974" s="352"/>
    </row>
    <row r="2975" spans="5:13">
      <c r="E2975" s="352"/>
      <c r="F2975" s="352"/>
      <c r="G2975" s="352"/>
      <c r="H2975" s="352" t="s">
        <v>931</v>
      </c>
      <c r="I2975" s="352"/>
      <c r="J2975" s="352"/>
      <c r="K2975" s="352">
        <f>ROUND(K2873*5/90,2)</f>
        <v>636.33000000000004</v>
      </c>
      <c r="L2975" s="352"/>
      <c r="M2975" s="352"/>
    </row>
    <row r="2976" spans="5:13">
      <c r="E2976" s="352"/>
      <c r="F2976" s="352"/>
      <c r="G2976" s="352"/>
      <c r="H2976" s="352" t="s">
        <v>2310</v>
      </c>
      <c r="I2976" s="352"/>
      <c r="J2976" s="352"/>
      <c r="K2976" s="352">
        <v>20.77</v>
      </c>
      <c r="L2976" s="352"/>
      <c r="M2976" s="352"/>
    </row>
    <row r="2977" spans="5:13" ht="16.5" customHeight="1">
      <c r="E2977" s="352"/>
      <c r="F2977" s="352"/>
      <c r="G2977" s="352"/>
      <c r="H2977" s="359" t="s">
        <v>3220</v>
      </c>
      <c r="I2977" s="352"/>
      <c r="J2977" s="352"/>
      <c r="K2977" s="367">
        <f>SUM(K2972:K2976)</f>
        <v>830.16</v>
      </c>
      <c r="L2977" s="352">
        <f>612-K2977</f>
        <v>-218.16</v>
      </c>
      <c r="M2977" s="352"/>
    </row>
    <row r="2978" spans="5:13" ht="0.75" customHeight="1">
      <c r="E2978" s="352"/>
      <c r="F2978" s="352"/>
      <c r="G2978" s="352"/>
      <c r="H2978" s="352"/>
      <c r="I2978" s="352"/>
      <c r="J2978" s="352"/>
      <c r="K2978" s="352"/>
      <c r="L2978" s="352"/>
      <c r="M2978" s="352"/>
    </row>
    <row r="2979" spans="5:13">
      <c r="E2979" s="352"/>
      <c r="F2979" s="352"/>
      <c r="G2979" s="352"/>
      <c r="H2979" s="360" t="s">
        <v>2578</v>
      </c>
      <c r="I2979" s="352"/>
      <c r="J2979" s="352"/>
      <c r="K2979" s="352"/>
      <c r="L2979" s="352"/>
      <c r="M2979" s="352"/>
    </row>
    <row r="2980" spans="5:13" ht="14.25" customHeight="1">
      <c r="E2980" s="352"/>
      <c r="F2980" s="352"/>
      <c r="G2980" s="352"/>
      <c r="H2980" s="360" t="s">
        <v>2579</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2895</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1419</v>
      </c>
      <c r="H2984" s="352" t="s">
        <v>3201</v>
      </c>
      <c r="I2984" s="421">
        <f>Elec.Data!I153</f>
        <v>54.5</v>
      </c>
      <c r="J2984" s="352" t="s">
        <v>1419</v>
      </c>
      <c r="K2984" s="352">
        <f>F2984*I2984</f>
        <v>54.5</v>
      </c>
      <c r="L2984" s="352"/>
      <c r="M2984" s="352"/>
    </row>
    <row r="2985" spans="5:13" ht="14.25" customHeight="1">
      <c r="E2985" s="352"/>
      <c r="F2985" s="352">
        <v>1</v>
      </c>
      <c r="G2985" s="352" t="s">
        <v>1419</v>
      </c>
      <c r="H2985" s="360" t="s">
        <v>3940</v>
      </c>
      <c r="I2985" s="352">
        <f>I2955</f>
        <v>58</v>
      </c>
      <c r="J2985" s="352" t="s">
        <v>1419</v>
      </c>
      <c r="K2985" s="352">
        <f>F2985*I2985</f>
        <v>58</v>
      </c>
      <c r="L2985" s="352"/>
      <c r="M2985" s="352"/>
    </row>
    <row r="2986" spans="5:13" ht="13.5" customHeight="1">
      <c r="E2986" s="352"/>
      <c r="F2986" s="355">
        <v>1.4999999999999999E-2</v>
      </c>
      <c r="G2986" s="352" t="s">
        <v>2322</v>
      </c>
      <c r="H2986" s="352" t="s">
        <v>3203</v>
      </c>
      <c r="I2986" s="352">
        <f>I2956</f>
        <v>661</v>
      </c>
      <c r="J2986" s="352" t="s">
        <v>2322</v>
      </c>
      <c r="K2986" s="352">
        <f>F2986*I2986</f>
        <v>9.92</v>
      </c>
      <c r="L2986" s="352"/>
      <c r="M2986" s="352"/>
    </row>
    <row r="2987" spans="5:13" ht="17.25" customHeight="1">
      <c r="E2987" s="352"/>
      <c r="F2987" s="352" t="s">
        <v>669</v>
      </c>
      <c r="G2987" s="352"/>
      <c r="H2987" s="352" t="s">
        <v>3204</v>
      </c>
      <c r="I2987" s="352"/>
      <c r="J2987" s="352"/>
      <c r="K2987" s="352">
        <v>12.05</v>
      </c>
      <c r="L2987" s="352"/>
      <c r="M2987" s="352"/>
    </row>
    <row r="2988" spans="5:13" ht="20.25" customHeight="1">
      <c r="E2988" s="352"/>
      <c r="F2988" s="352"/>
      <c r="G2988" s="352"/>
      <c r="H2988" s="359" t="s">
        <v>1083</v>
      </c>
      <c r="I2988" s="352"/>
      <c r="J2988" s="352"/>
      <c r="K2988" s="367">
        <f>SUM(K2984:K2987)</f>
        <v>134.47</v>
      </c>
      <c r="L2988" s="352">
        <f>131-K2988</f>
        <v>-3.47</v>
      </c>
      <c r="M2988" s="352"/>
    </row>
    <row r="2989" spans="5:13">
      <c r="E2989" s="352"/>
      <c r="F2989" s="352"/>
      <c r="G2989" s="352"/>
      <c r="H2989" s="352"/>
      <c r="I2989" s="352"/>
      <c r="J2989" s="352"/>
      <c r="K2989" s="352"/>
      <c r="L2989" s="352"/>
      <c r="M2989" s="352"/>
    </row>
    <row r="2990" spans="5:13">
      <c r="E2990" s="352"/>
      <c r="F2990" s="352"/>
      <c r="G2990" s="352"/>
      <c r="H2990" s="360" t="s">
        <v>3205</v>
      </c>
      <c r="I2990" s="352"/>
      <c r="J2990" s="352"/>
      <c r="K2990" s="352"/>
      <c r="L2990" s="352"/>
      <c r="M2990" s="352"/>
    </row>
    <row r="2991" spans="5:13" ht="47.25">
      <c r="E2991" s="352"/>
      <c r="F2991" s="352"/>
      <c r="G2991" s="352"/>
      <c r="H2991" s="350" t="s">
        <v>3206</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2474</v>
      </c>
      <c r="I2993" s="352"/>
      <c r="J2993" s="352"/>
      <c r="K2993" s="352"/>
      <c r="L2993" s="352"/>
      <c r="M2993" s="352"/>
    </row>
    <row r="2994" spans="5:13">
      <c r="E2994" s="352"/>
      <c r="F2994" s="352"/>
      <c r="G2994" s="352"/>
      <c r="H2994" s="352"/>
      <c r="I2994" s="352"/>
      <c r="J2994" s="352"/>
      <c r="K2994" s="352"/>
      <c r="L2994" s="352"/>
      <c r="M2994" s="352"/>
    </row>
    <row r="2995" spans="5:13" ht="31.5">
      <c r="E2995" s="352"/>
      <c r="F2995" s="352">
        <v>90</v>
      </c>
      <c r="G2995" s="352" t="s">
        <v>842</v>
      </c>
      <c r="H2995" s="273" t="s">
        <v>2586</v>
      </c>
      <c r="I2995" s="352">
        <f>I2843</f>
        <v>16.55</v>
      </c>
      <c r="J2995" s="352" t="s">
        <v>842</v>
      </c>
      <c r="K2995" s="352">
        <f t="shared" ref="K2995:K3007" si="97">F2995*I2995</f>
        <v>1489.5</v>
      </c>
      <c r="L2995" s="352"/>
      <c r="M2995" s="352"/>
    </row>
    <row r="2996" spans="5:13" ht="31.5">
      <c r="E2996" s="352"/>
      <c r="F2996" s="352">
        <v>45</v>
      </c>
      <c r="G2996" s="352" t="s">
        <v>842</v>
      </c>
      <c r="H2996" s="351" t="s">
        <v>2403</v>
      </c>
      <c r="I2996" s="352">
        <f>I2844</f>
        <v>20</v>
      </c>
      <c r="J2996" s="352" t="s">
        <v>2404</v>
      </c>
      <c r="K2996" s="352">
        <f t="shared" si="97"/>
        <v>900</v>
      </c>
      <c r="L2996" s="352"/>
      <c r="M2996" s="352"/>
    </row>
    <row r="2997" spans="5:13">
      <c r="E2997" s="352"/>
      <c r="F2997" s="352">
        <v>12</v>
      </c>
      <c r="G2997" s="352" t="s">
        <v>1419</v>
      </c>
      <c r="H2997" s="352" t="s">
        <v>2405</v>
      </c>
      <c r="I2997" s="352">
        <f>I2845</f>
        <v>3.15</v>
      </c>
      <c r="J2997" s="352" t="s">
        <v>1419</v>
      </c>
      <c r="K2997" s="352">
        <f t="shared" si="97"/>
        <v>37.799999999999997</v>
      </c>
      <c r="L2997" s="352"/>
      <c r="M2997" s="352"/>
    </row>
    <row r="2998" spans="5:13">
      <c r="E2998" s="352"/>
      <c r="F2998" s="352">
        <v>6</v>
      </c>
      <c r="G2998" s="352" t="s">
        <v>1419</v>
      </c>
      <c r="H2998" s="352" t="s">
        <v>3448</v>
      </c>
      <c r="I2998" s="352">
        <f>I2846</f>
        <v>1.34</v>
      </c>
      <c r="J2998" s="352" t="s">
        <v>1419</v>
      </c>
      <c r="K2998" s="352">
        <f t="shared" si="97"/>
        <v>8.0399999999999991</v>
      </c>
      <c r="L2998" s="352"/>
      <c r="M2998" s="352"/>
    </row>
    <row r="2999" spans="5:13">
      <c r="E2999" s="352"/>
      <c r="F2999" s="352">
        <v>1</v>
      </c>
      <c r="G2999" s="352" t="s">
        <v>1419</v>
      </c>
      <c r="H2999" s="360" t="s">
        <v>3940</v>
      </c>
      <c r="I2999" s="521">
        <f>I2847</f>
        <v>58</v>
      </c>
      <c r="J2999" s="352" t="s">
        <v>1419</v>
      </c>
      <c r="K2999" s="352">
        <f t="shared" si="97"/>
        <v>58</v>
      </c>
      <c r="L2999" s="352"/>
      <c r="M2999" s="352"/>
    </row>
    <row r="3000" spans="5:13">
      <c r="E3000" s="352"/>
      <c r="F3000" s="355">
        <v>1.4999999999999999E-2</v>
      </c>
      <c r="G3000" s="352" t="s">
        <v>2322</v>
      </c>
      <c r="H3000" s="352" t="s">
        <v>3319</v>
      </c>
      <c r="I3000" s="352">
        <f t="shared" ref="I3000:I3007" si="98">I2849</f>
        <v>661</v>
      </c>
      <c r="J3000" s="352" t="s">
        <v>2322</v>
      </c>
      <c r="K3000" s="352">
        <f t="shared" si="97"/>
        <v>9.92</v>
      </c>
      <c r="L3000" s="352"/>
      <c r="M3000" s="352"/>
    </row>
    <row r="3001" spans="5:13">
      <c r="E3001" s="352"/>
      <c r="F3001" s="352">
        <v>6</v>
      </c>
      <c r="G3001" s="352" t="s">
        <v>1419</v>
      </c>
      <c r="H3001" s="352" t="s">
        <v>3320</v>
      </c>
      <c r="I3001" s="352">
        <f t="shared" si="98"/>
        <v>16.21</v>
      </c>
      <c r="J3001" s="352" t="s">
        <v>3451</v>
      </c>
      <c r="K3001" s="352">
        <f t="shared" si="97"/>
        <v>97.26</v>
      </c>
      <c r="L3001" s="352"/>
      <c r="M3001" s="352"/>
    </row>
    <row r="3002" spans="5:13">
      <c r="E3002" s="352"/>
      <c r="F3002" s="352">
        <v>6</v>
      </c>
      <c r="G3002" s="352" t="s">
        <v>1419</v>
      </c>
      <c r="H3002" s="352" t="s">
        <v>2676</v>
      </c>
      <c r="I3002" s="352">
        <f t="shared" si="98"/>
        <v>13.8</v>
      </c>
      <c r="J3002" s="352" t="s">
        <v>1419</v>
      </c>
      <c r="K3002" s="352">
        <f t="shared" si="97"/>
        <v>82.8</v>
      </c>
      <c r="L3002" s="352"/>
      <c r="M3002" s="352"/>
    </row>
    <row r="3003" spans="5:13">
      <c r="E3003" s="352"/>
      <c r="F3003" s="352">
        <v>6</v>
      </c>
      <c r="G3003" s="352" t="s">
        <v>1419</v>
      </c>
      <c r="H3003" s="352" t="s">
        <v>2678</v>
      </c>
      <c r="I3003" s="352">
        <f t="shared" si="98"/>
        <v>3.6</v>
      </c>
      <c r="J3003" s="352" t="s">
        <v>1419</v>
      </c>
      <c r="K3003" s="352">
        <f t="shared" si="97"/>
        <v>21.6</v>
      </c>
      <c r="L3003" s="352"/>
      <c r="M3003" s="352"/>
    </row>
    <row r="3004" spans="5:13">
      <c r="E3004" s="352"/>
      <c r="F3004" s="352">
        <v>1.25</v>
      </c>
      <c r="G3004" s="352" t="s">
        <v>2680</v>
      </c>
      <c r="H3004" s="352" t="s">
        <v>395</v>
      </c>
      <c r="I3004" s="352">
        <f t="shared" si="98"/>
        <v>302</v>
      </c>
      <c r="J3004" s="352" t="s">
        <v>2680</v>
      </c>
      <c r="K3004" s="352">
        <f t="shared" si="97"/>
        <v>377.5</v>
      </c>
      <c r="L3004" s="352"/>
      <c r="M3004" s="352"/>
    </row>
    <row r="3005" spans="5:13">
      <c r="E3005" s="352"/>
      <c r="F3005" s="352">
        <v>6</v>
      </c>
      <c r="G3005" s="352" t="s">
        <v>1419</v>
      </c>
      <c r="H3005" s="360" t="s">
        <v>3940</v>
      </c>
      <c r="I3005" s="521">
        <f t="shared" si="98"/>
        <v>58</v>
      </c>
      <c r="J3005" s="352" t="s">
        <v>1419</v>
      </c>
      <c r="K3005" s="352">
        <f t="shared" si="97"/>
        <v>348</v>
      </c>
      <c r="L3005" s="352"/>
      <c r="M3005" s="352"/>
    </row>
    <row r="3006" spans="5:13">
      <c r="E3006" s="352"/>
      <c r="F3006" s="352">
        <v>0.09</v>
      </c>
      <c r="G3006" s="352" t="s">
        <v>2322</v>
      </c>
      <c r="H3006" s="352" t="s">
        <v>2683</v>
      </c>
      <c r="I3006" s="352">
        <f t="shared" si="98"/>
        <v>661</v>
      </c>
      <c r="J3006" s="352" t="s">
        <v>2322</v>
      </c>
      <c r="K3006" s="352">
        <f t="shared" si="97"/>
        <v>59.49</v>
      </c>
      <c r="L3006" s="352"/>
      <c r="M3006" s="352"/>
    </row>
    <row r="3007" spans="5:13" ht="31.5">
      <c r="E3007" s="352"/>
      <c r="F3007" s="352">
        <v>45</v>
      </c>
      <c r="G3007" s="352"/>
      <c r="H3007" s="273" t="s">
        <v>2686</v>
      </c>
      <c r="I3007" s="352">
        <f t="shared" si="98"/>
        <v>16.55</v>
      </c>
      <c r="J3007" s="352" t="s">
        <v>3363</v>
      </c>
      <c r="K3007" s="352">
        <f t="shared" si="97"/>
        <v>744.75</v>
      </c>
      <c r="L3007" s="352"/>
      <c r="M3007" s="352"/>
    </row>
    <row r="3008" spans="5:13">
      <c r="E3008" s="352"/>
      <c r="F3008" s="352"/>
      <c r="G3008" s="352"/>
      <c r="H3008" s="352" t="s">
        <v>931</v>
      </c>
      <c r="I3008" s="352"/>
      <c r="J3008" s="352" t="s">
        <v>669</v>
      </c>
      <c r="K3008" s="352">
        <f>K2857</f>
        <v>11454</v>
      </c>
      <c r="L3008" s="352"/>
      <c r="M3008" s="352"/>
    </row>
    <row r="3009" spans="5:14">
      <c r="E3009" s="352"/>
      <c r="F3009" s="352"/>
      <c r="G3009" s="352"/>
      <c r="H3009" s="352" t="s">
        <v>2310</v>
      </c>
      <c r="I3009" s="352"/>
      <c r="J3009" s="352" t="s">
        <v>669</v>
      </c>
      <c r="K3009" s="352">
        <v>49.34</v>
      </c>
      <c r="L3009" s="352"/>
      <c r="M3009" s="352"/>
    </row>
    <row r="3010" spans="5:14" ht="30" customHeight="1">
      <c r="E3010" s="352"/>
      <c r="F3010" s="352"/>
      <c r="G3010" s="352"/>
      <c r="H3010" s="357" t="s">
        <v>3371</v>
      </c>
      <c r="I3010" s="352"/>
      <c r="J3010" s="352"/>
      <c r="K3010" s="358">
        <f>SUM(K2995:K3009)</f>
        <v>15738</v>
      </c>
      <c r="L3010" s="352"/>
      <c r="M3010" s="352"/>
    </row>
    <row r="3011" spans="5:14" ht="30" customHeight="1">
      <c r="E3011" s="352"/>
      <c r="F3011" s="352"/>
      <c r="G3011" s="352"/>
      <c r="H3011" s="359" t="s">
        <v>3368</v>
      </c>
      <c r="I3011" s="352"/>
      <c r="J3011" s="352"/>
      <c r="K3011" s="360">
        <f>K3010/6</f>
        <v>2623</v>
      </c>
      <c r="L3011" s="352">
        <f>2623*6</f>
        <v>15738</v>
      </c>
      <c r="M3011" s="352"/>
    </row>
    <row r="3012" spans="5:14">
      <c r="E3012" s="352"/>
      <c r="F3012" s="352"/>
      <c r="G3012" s="352"/>
      <c r="H3012" s="352"/>
      <c r="I3012" s="352"/>
      <c r="J3012" s="352"/>
      <c r="K3012" s="352"/>
      <c r="L3012" s="352">
        <f>L3011-K3010</f>
        <v>0</v>
      </c>
      <c r="M3012" s="352"/>
    </row>
    <row r="3013" spans="5:14" ht="30" customHeight="1">
      <c r="E3013" s="352"/>
      <c r="F3013" s="352"/>
      <c r="G3013" s="352"/>
      <c r="H3013" s="360" t="s">
        <v>2475</v>
      </c>
      <c r="I3013" s="352"/>
      <c r="J3013" s="352"/>
      <c r="K3013" s="352"/>
      <c r="L3013" s="352"/>
      <c r="M3013" s="352"/>
    </row>
    <row r="3014" spans="5:14" ht="47.25">
      <c r="E3014" s="352"/>
      <c r="F3014" s="352"/>
      <c r="G3014" s="352"/>
      <c r="H3014" s="350" t="s">
        <v>2476</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2343</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2344</v>
      </c>
      <c r="I3018" s="352"/>
      <c r="J3018" s="352"/>
      <c r="K3018" s="352">
        <f>K3010-K3009</f>
        <v>15688.66</v>
      </c>
      <c r="L3018" s="352">
        <f>K3010-K3009</f>
        <v>15688.66</v>
      </c>
      <c r="M3018" s="352"/>
    </row>
    <row r="3019" spans="5:14" ht="19.5" customHeight="1">
      <c r="E3019" s="352"/>
      <c r="F3019" s="352"/>
      <c r="G3019" s="352"/>
      <c r="H3019" s="352" t="s">
        <v>2901</v>
      </c>
      <c r="I3019" s="352"/>
      <c r="J3019" s="352"/>
      <c r="K3019" s="352">
        <f>K3002</f>
        <v>82.8</v>
      </c>
      <c r="L3019" s="352"/>
      <c r="M3019" s="352"/>
    </row>
    <row r="3020" spans="5:14" ht="21.75" customHeight="1">
      <c r="E3020" s="352"/>
      <c r="F3020" s="352"/>
      <c r="G3020" s="352"/>
      <c r="H3020" s="352" t="str">
        <f>Elec.Data!H189</f>
        <v>Add cost of Bakelite battern type holders 6 nos @ 16.65/Each9 (New item 25-p-116)</v>
      </c>
      <c r="I3020" s="352"/>
      <c r="J3020" s="352"/>
      <c r="K3020" s="421">
        <f>Elec.Data!K189</f>
        <v>99.9</v>
      </c>
      <c r="L3020" s="352"/>
      <c r="M3020" s="352"/>
    </row>
    <row r="3021" spans="5:14" ht="16.5" customHeight="1">
      <c r="E3021" s="352"/>
      <c r="F3021" s="352"/>
      <c r="G3021" s="352"/>
      <c r="H3021" s="352" t="s">
        <v>2310</v>
      </c>
      <c r="I3021" s="352"/>
      <c r="J3021" s="352"/>
      <c r="K3021" s="352">
        <v>44.24</v>
      </c>
      <c r="L3021" s="352"/>
      <c r="M3021" s="352"/>
    </row>
    <row r="3022" spans="5:14" ht="15.75" customHeight="1">
      <c r="E3022" s="352"/>
      <c r="F3022" s="352"/>
      <c r="G3022" s="352"/>
      <c r="H3022" s="357" t="s">
        <v>2902</v>
      </c>
      <c r="I3022" s="352"/>
      <c r="J3022" s="352"/>
      <c r="K3022" s="358">
        <f>(K3018-K3019)+K3020+K3021</f>
        <v>15750</v>
      </c>
      <c r="L3022" s="352"/>
      <c r="M3022" s="352"/>
    </row>
    <row r="3023" spans="5:14" ht="24" customHeight="1">
      <c r="E3023" s="352"/>
      <c r="F3023" s="352"/>
      <c r="G3023" s="352"/>
      <c r="H3023" s="359" t="s">
        <v>2903</v>
      </c>
      <c r="I3023" s="352"/>
      <c r="J3023" s="352"/>
      <c r="K3023" s="360">
        <f>K3022/6</f>
        <v>2625</v>
      </c>
      <c r="L3023" s="352"/>
      <c r="M3023" s="352">
        <f>2625*6</f>
        <v>15750</v>
      </c>
      <c r="N3023" s="180">
        <f>M3023-K3022</f>
        <v>0</v>
      </c>
    </row>
    <row r="3024" spans="5:14">
      <c r="E3024" s="352"/>
      <c r="F3024" s="352"/>
      <c r="G3024" s="352"/>
      <c r="H3024" s="352"/>
      <c r="I3024" s="352"/>
      <c r="J3024" s="352"/>
      <c r="K3024" s="352"/>
      <c r="L3024" s="352"/>
      <c r="M3024" s="352">
        <f>M3023-K3022</f>
        <v>0</v>
      </c>
    </row>
    <row r="3025" spans="5:13">
      <c r="E3025" s="352"/>
      <c r="F3025" s="352"/>
      <c r="G3025" s="352"/>
      <c r="H3025" s="360" t="s">
        <v>2904</v>
      </c>
      <c r="I3025" s="352"/>
      <c r="J3025" s="352"/>
      <c r="K3025" s="352"/>
      <c r="L3025" s="352"/>
      <c r="M3025" s="352"/>
    </row>
    <row r="3026" spans="5:13" ht="30.75" customHeight="1">
      <c r="E3026" s="352"/>
      <c r="F3026" s="352"/>
      <c r="G3026" s="352"/>
      <c r="H3026" s="350" t="s">
        <v>2945</v>
      </c>
      <c r="I3026" s="352"/>
      <c r="J3026" s="352"/>
      <c r="K3026" s="352"/>
      <c r="L3026" s="352"/>
      <c r="M3026" s="352"/>
    </row>
    <row r="3027" spans="5:13" ht="173.25">
      <c r="E3027" s="352"/>
      <c r="F3027" s="352"/>
      <c r="G3027" s="352"/>
      <c r="H3027" s="351" t="s">
        <v>2975</v>
      </c>
      <c r="I3027" s="352"/>
      <c r="J3027" s="352"/>
      <c r="K3027" s="352"/>
      <c r="L3027" s="352"/>
      <c r="M3027" s="352"/>
    </row>
    <row r="3028" spans="5:13" ht="30.75" customHeight="1">
      <c r="E3028" s="352"/>
      <c r="F3028" s="352">
        <v>90</v>
      </c>
      <c r="G3028" s="352" t="s">
        <v>842</v>
      </c>
      <c r="H3028" s="273" t="s">
        <v>2586</v>
      </c>
      <c r="I3028" s="352">
        <f t="shared" ref="I3028:I3040" si="99">I2905</f>
        <v>16.55</v>
      </c>
      <c r="J3028" s="352" t="s">
        <v>2587</v>
      </c>
      <c r="K3028" s="352">
        <f t="shared" ref="K3028:K3040" si="100">F3028*I3028</f>
        <v>1489.5</v>
      </c>
      <c r="L3028" s="352"/>
      <c r="M3028" s="352"/>
    </row>
    <row r="3029" spans="5:13" ht="27.75" customHeight="1">
      <c r="E3029" s="352"/>
      <c r="F3029" s="352">
        <v>45</v>
      </c>
      <c r="G3029" s="352" t="s">
        <v>842</v>
      </c>
      <c r="H3029" s="351" t="s">
        <v>2403</v>
      </c>
      <c r="I3029" s="352">
        <f t="shared" si="99"/>
        <v>20</v>
      </c>
      <c r="J3029" s="352" t="s">
        <v>842</v>
      </c>
      <c r="K3029" s="352">
        <f t="shared" si="100"/>
        <v>900</v>
      </c>
      <c r="L3029" s="352"/>
      <c r="M3029" s="352"/>
    </row>
    <row r="3030" spans="5:13">
      <c r="E3030" s="352"/>
      <c r="F3030" s="352">
        <v>12</v>
      </c>
      <c r="G3030" s="352" t="s">
        <v>1419</v>
      </c>
      <c r="H3030" s="352" t="s">
        <v>2405</v>
      </c>
      <c r="I3030" s="352">
        <f t="shared" si="99"/>
        <v>3.15</v>
      </c>
      <c r="J3030" s="352" t="s">
        <v>1419</v>
      </c>
      <c r="K3030" s="352">
        <f t="shared" si="100"/>
        <v>37.799999999999997</v>
      </c>
      <c r="L3030" s="352"/>
      <c r="M3030" s="352"/>
    </row>
    <row r="3031" spans="5:13">
      <c r="E3031" s="352"/>
      <c r="F3031" s="352">
        <v>6</v>
      </c>
      <c r="G3031" s="352" t="s">
        <v>1419</v>
      </c>
      <c r="H3031" s="352" t="s">
        <v>3448</v>
      </c>
      <c r="I3031" s="352">
        <f t="shared" si="99"/>
        <v>1.34</v>
      </c>
      <c r="J3031" s="352" t="s">
        <v>1419</v>
      </c>
      <c r="K3031" s="352">
        <f t="shared" si="100"/>
        <v>8.0399999999999991</v>
      </c>
      <c r="L3031" s="352"/>
      <c r="M3031" s="352"/>
    </row>
    <row r="3032" spans="5:13">
      <c r="E3032" s="352"/>
      <c r="F3032" s="352">
        <v>6</v>
      </c>
      <c r="G3032" s="352" t="s">
        <v>1419</v>
      </c>
      <c r="H3032" s="352" t="s">
        <v>3530</v>
      </c>
      <c r="I3032" s="352">
        <f t="shared" si="99"/>
        <v>3.6</v>
      </c>
      <c r="J3032" s="352" t="s">
        <v>1419</v>
      </c>
      <c r="K3032" s="352">
        <f t="shared" si="100"/>
        <v>21.6</v>
      </c>
      <c r="L3032" s="352"/>
      <c r="M3032" s="352"/>
    </row>
    <row r="3033" spans="5:13">
      <c r="E3033" s="352"/>
      <c r="F3033" s="352">
        <v>6</v>
      </c>
      <c r="G3033" s="352" t="s">
        <v>1419</v>
      </c>
      <c r="H3033" s="352" t="s">
        <v>2676</v>
      </c>
      <c r="I3033" s="352">
        <f t="shared" si="99"/>
        <v>13.8</v>
      </c>
      <c r="J3033" s="352" t="s">
        <v>1419</v>
      </c>
      <c r="K3033" s="352">
        <f t="shared" si="100"/>
        <v>82.8</v>
      </c>
      <c r="L3033" s="352"/>
      <c r="M3033" s="352"/>
    </row>
    <row r="3034" spans="5:13">
      <c r="E3034" s="352"/>
      <c r="F3034" s="352">
        <v>6</v>
      </c>
      <c r="G3034" s="352" t="s">
        <v>1419</v>
      </c>
      <c r="H3034" s="352" t="s">
        <v>3320</v>
      </c>
      <c r="I3034" s="352">
        <f t="shared" si="99"/>
        <v>16.21</v>
      </c>
      <c r="J3034" s="352" t="s">
        <v>3451</v>
      </c>
      <c r="K3034" s="352">
        <f>F3034*I3034</f>
        <v>97.26</v>
      </c>
      <c r="L3034" s="352"/>
      <c r="M3034" s="352"/>
    </row>
    <row r="3035" spans="5:13">
      <c r="E3035" s="352"/>
      <c r="F3035" s="352">
        <v>6</v>
      </c>
      <c r="G3035" s="352" t="s">
        <v>1419</v>
      </c>
      <c r="H3035" s="360" t="s">
        <v>3936</v>
      </c>
      <c r="I3035" s="352">
        <f t="shared" si="99"/>
        <v>85</v>
      </c>
      <c r="J3035" s="352" t="s">
        <v>1419</v>
      </c>
      <c r="K3035" s="352">
        <f t="shared" si="100"/>
        <v>510</v>
      </c>
      <c r="L3035" s="352"/>
      <c r="M3035" s="352"/>
    </row>
    <row r="3036" spans="5:13">
      <c r="E3036" s="352"/>
      <c r="F3036" s="352">
        <v>0.36</v>
      </c>
      <c r="G3036" s="352" t="s">
        <v>2322</v>
      </c>
      <c r="H3036" s="352" t="s">
        <v>2683</v>
      </c>
      <c r="I3036" s="352">
        <f t="shared" si="99"/>
        <v>661</v>
      </c>
      <c r="J3036" s="352" t="s">
        <v>2322</v>
      </c>
      <c r="K3036" s="352">
        <f t="shared" si="100"/>
        <v>237.96</v>
      </c>
      <c r="L3036" s="352"/>
      <c r="M3036" s="352"/>
    </row>
    <row r="3037" spans="5:13">
      <c r="E3037" s="352"/>
      <c r="F3037" s="352">
        <v>1</v>
      </c>
      <c r="G3037" s="352" t="s">
        <v>1419</v>
      </c>
      <c r="H3037" s="360" t="s">
        <v>3940</v>
      </c>
      <c r="I3037" s="352">
        <f t="shared" si="99"/>
        <v>58</v>
      </c>
      <c r="J3037" s="352" t="s">
        <v>1419</v>
      </c>
      <c r="K3037" s="352">
        <f t="shared" si="100"/>
        <v>58</v>
      </c>
      <c r="L3037" s="352"/>
      <c r="M3037" s="352"/>
    </row>
    <row r="3038" spans="5:13">
      <c r="E3038" s="352"/>
      <c r="F3038" s="355">
        <v>1.4999999999999999E-2</v>
      </c>
      <c r="G3038" s="352" t="s">
        <v>2322</v>
      </c>
      <c r="H3038" s="352" t="s">
        <v>3970</v>
      </c>
      <c r="I3038" s="352">
        <f t="shared" si="99"/>
        <v>661</v>
      </c>
      <c r="J3038" s="352" t="s">
        <v>2322</v>
      </c>
      <c r="K3038" s="352">
        <f t="shared" si="100"/>
        <v>9.92</v>
      </c>
      <c r="L3038" s="352"/>
      <c r="M3038" s="352"/>
    </row>
    <row r="3039" spans="5:13">
      <c r="E3039" s="352"/>
      <c r="F3039" s="352">
        <v>1.25</v>
      </c>
      <c r="G3039" s="352" t="s">
        <v>2680</v>
      </c>
      <c r="H3039" s="352" t="s">
        <v>395</v>
      </c>
      <c r="I3039" s="352">
        <f t="shared" si="99"/>
        <v>302</v>
      </c>
      <c r="J3039" s="352" t="s">
        <v>2680</v>
      </c>
      <c r="K3039" s="352">
        <f t="shared" si="100"/>
        <v>377.5</v>
      </c>
      <c r="L3039" s="352"/>
      <c r="M3039" s="352"/>
    </row>
    <row r="3040" spans="5:13" ht="31.5">
      <c r="E3040" s="352"/>
      <c r="F3040" s="352">
        <v>45</v>
      </c>
      <c r="G3040" s="352" t="s">
        <v>842</v>
      </c>
      <c r="H3040" s="458" t="s">
        <v>3975</v>
      </c>
      <c r="I3040" s="352">
        <f t="shared" si="99"/>
        <v>16.55</v>
      </c>
      <c r="J3040" s="352" t="s">
        <v>2587</v>
      </c>
      <c r="K3040" s="352">
        <f t="shared" si="100"/>
        <v>744.75</v>
      </c>
      <c r="L3040" s="352"/>
      <c r="M3040" s="352"/>
    </row>
    <row r="3041" spans="5:13">
      <c r="E3041" s="352"/>
      <c r="F3041" s="352"/>
      <c r="G3041" s="352"/>
      <c r="H3041" s="352" t="s">
        <v>931</v>
      </c>
      <c r="I3041" s="352"/>
      <c r="J3041" s="352"/>
      <c r="K3041" s="352">
        <f>K2918</f>
        <v>11454</v>
      </c>
      <c r="L3041" s="352"/>
      <c r="M3041" s="352"/>
    </row>
    <row r="3042" spans="5:13">
      <c r="E3042" s="352"/>
      <c r="F3042" s="352"/>
      <c r="G3042" s="352"/>
      <c r="H3042" s="352" t="s">
        <v>2310</v>
      </c>
      <c r="I3042" s="352"/>
      <c r="J3042" s="352"/>
      <c r="K3042" s="352">
        <v>38.75</v>
      </c>
      <c r="L3042" s="352"/>
      <c r="M3042" s="352"/>
    </row>
    <row r="3043" spans="5:13">
      <c r="E3043" s="352"/>
      <c r="F3043" s="352"/>
      <c r="G3043" s="352"/>
      <c r="H3043" s="357" t="s">
        <v>2902</v>
      </c>
      <c r="I3043" s="352"/>
      <c r="J3043" s="352"/>
      <c r="K3043" s="358">
        <f>SUM(K3028:K3042)</f>
        <v>16067.88</v>
      </c>
      <c r="L3043" s="352"/>
      <c r="M3043" s="352"/>
    </row>
    <row r="3044" spans="5:13">
      <c r="E3044" s="352"/>
      <c r="F3044" s="352"/>
      <c r="G3044" s="352"/>
      <c r="H3044" s="359" t="s">
        <v>3220</v>
      </c>
      <c r="I3044" s="352"/>
      <c r="J3044" s="352"/>
      <c r="K3044" s="360">
        <f>K3043/6</f>
        <v>2677.98</v>
      </c>
      <c r="L3044" s="352">
        <f>1774*6</f>
        <v>10644</v>
      </c>
      <c r="M3044" s="352"/>
    </row>
    <row r="3045" spans="5:13" ht="21.75" customHeight="1">
      <c r="E3045" s="352"/>
      <c r="F3045" s="352"/>
      <c r="G3045" s="352"/>
      <c r="H3045" s="352"/>
      <c r="I3045" s="352"/>
      <c r="J3045" s="352"/>
      <c r="K3045" s="352"/>
      <c r="L3045" s="352">
        <f>L3044-K3043</f>
        <v>-5423.88</v>
      </c>
      <c r="M3045" s="352"/>
    </row>
    <row r="3046" spans="5:13">
      <c r="E3046" s="352"/>
      <c r="F3046" s="352"/>
      <c r="G3046" s="352"/>
      <c r="H3046" s="360" t="s">
        <v>2976</v>
      </c>
      <c r="I3046" s="352"/>
      <c r="J3046" s="352"/>
      <c r="K3046" s="352"/>
      <c r="L3046" s="352"/>
      <c r="M3046" s="352"/>
    </row>
    <row r="3047" spans="5:13" ht="34.5" customHeight="1">
      <c r="E3047" s="352"/>
      <c r="F3047" s="352"/>
      <c r="G3047" s="352"/>
      <c r="H3047" s="350" t="s">
        <v>2429</v>
      </c>
      <c r="I3047" s="352"/>
      <c r="J3047" s="352"/>
      <c r="K3047" s="352"/>
      <c r="L3047" s="352"/>
      <c r="M3047" s="352"/>
    </row>
    <row r="3048" spans="5:13" ht="192.75" customHeight="1">
      <c r="E3048" s="352"/>
      <c r="F3048" s="352"/>
      <c r="G3048" s="352"/>
      <c r="H3048" s="351" t="s">
        <v>3010</v>
      </c>
      <c r="I3048" s="352"/>
      <c r="J3048" s="352"/>
      <c r="K3048" s="352"/>
      <c r="L3048" s="352"/>
      <c r="M3048" s="352"/>
    </row>
    <row r="3049" spans="5:13" ht="30" customHeight="1">
      <c r="E3049" s="352"/>
      <c r="F3049" s="352">
        <v>90</v>
      </c>
      <c r="G3049" s="352" t="s">
        <v>842</v>
      </c>
      <c r="H3049" s="273" t="s">
        <v>2586</v>
      </c>
      <c r="I3049" s="352">
        <f t="shared" ref="I3049:I3059" si="101">I2931</f>
        <v>16.55</v>
      </c>
      <c r="J3049" s="352" t="s">
        <v>2587</v>
      </c>
      <c r="K3049" s="352">
        <f t="shared" ref="K3049:K3059" si="102">F3049*I3049</f>
        <v>1489.5</v>
      </c>
      <c r="L3049" s="352"/>
      <c r="M3049" s="352"/>
    </row>
    <row r="3050" spans="5:13" ht="27.75" customHeight="1">
      <c r="E3050" s="352"/>
      <c r="F3050" s="352">
        <v>30</v>
      </c>
      <c r="G3050" s="352" t="s">
        <v>842</v>
      </c>
      <c r="H3050" s="351" t="s">
        <v>2403</v>
      </c>
      <c r="I3050" s="352">
        <f t="shared" si="101"/>
        <v>20</v>
      </c>
      <c r="J3050" s="352" t="s">
        <v>842</v>
      </c>
      <c r="K3050" s="352">
        <f t="shared" si="102"/>
        <v>600</v>
      </c>
      <c r="L3050" s="352"/>
      <c r="M3050" s="352"/>
    </row>
    <row r="3051" spans="5:13">
      <c r="E3051" s="352"/>
      <c r="F3051" s="352">
        <v>6</v>
      </c>
      <c r="G3051" s="352" t="s">
        <v>1419</v>
      </c>
      <c r="H3051" s="352" t="s">
        <v>2405</v>
      </c>
      <c r="I3051" s="352">
        <f t="shared" si="101"/>
        <v>3.15</v>
      </c>
      <c r="J3051" s="352" t="s">
        <v>1419</v>
      </c>
      <c r="K3051" s="352">
        <f t="shared" si="102"/>
        <v>18.899999999999999</v>
      </c>
      <c r="L3051" s="352"/>
      <c r="M3051" s="352"/>
    </row>
    <row r="3052" spans="5:13">
      <c r="E3052" s="352"/>
      <c r="F3052" s="352">
        <v>3</v>
      </c>
      <c r="G3052" s="352" t="s">
        <v>1419</v>
      </c>
      <c r="H3052" s="352" t="s">
        <v>3448</v>
      </c>
      <c r="I3052" s="352">
        <f t="shared" si="101"/>
        <v>1.34</v>
      </c>
      <c r="J3052" s="352" t="s">
        <v>1419</v>
      </c>
      <c r="K3052" s="352">
        <f t="shared" si="102"/>
        <v>4.0199999999999996</v>
      </c>
      <c r="L3052" s="352"/>
      <c r="M3052" s="352"/>
    </row>
    <row r="3053" spans="5:13">
      <c r="E3053" s="352"/>
      <c r="F3053" s="352">
        <v>6</v>
      </c>
      <c r="G3053" s="352" t="s">
        <v>1419</v>
      </c>
      <c r="H3053" s="352" t="s">
        <v>2490</v>
      </c>
      <c r="I3053" s="352">
        <f t="shared" si="101"/>
        <v>19.75</v>
      </c>
      <c r="J3053" s="352" t="s">
        <v>1419</v>
      </c>
      <c r="K3053" s="352">
        <f t="shared" si="102"/>
        <v>118.5</v>
      </c>
      <c r="L3053" s="352"/>
      <c r="M3053" s="352"/>
    </row>
    <row r="3054" spans="5:13">
      <c r="E3054" s="352"/>
      <c r="F3054" s="352">
        <v>3</v>
      </c>
      <c r="G3054" s="352" t="s">
        <v>1419</v>
      </c>
      <c r="H3054" s="352" t="s">
        <v>2676</v>
      </c>
      <c r="I3054" s="352">
        <f t="shared" si="101"/>
        <v>13.8</v>
      </c>
      <c r="J3054" s="352" t="s">
        <v>1419</v>
      </c>
      <c r="K3054" s="352">
        <f t="shared" si="102"/>
        <v>41.4</v>
      </c>
      <c r="L3054" s="352"/>
      <c r="M3054" s="352"/>
    </row>
    <row r="3055" spans="5:13">
      <c r="E3055" s="352"/>
      <c r="F3055" s="352">
        <v>3</v>
      </c>
      <c r="G3055" s="352" t="s">
        <v>1419</v>
      </c>
      <c r="H3055" s="352" t="s">
        <v>2678</v>
      </c>
      <c r="I3055" s="352">
        <f t="shared" si="101"/>
        <v>3.6</v>
      </c>
      <c r="J3055" s="352" t="s">
        <v>1419</v>
      </c>
      <c r="K3055" s="352">
        <f t="shared" si="102"/>
        <v>10.8</v>
      </c>
      <c r="L3055" s="352"/>
      <c r="M3055" s="352"/>
    </row>
    <row r="3056" spans="5:13">
      <c r="E3056" s="352"/>
      <c r="F3056" s="352">
        <v>3</v>
      </c>
      <c r="G3056" s="352" t="s">
        <v>1419</v>
      </c>
      <c r="H3056" s="360" t="s">
        <v>3940</v>
      </c>
      <c r="I3056" s="352">
        <f t="shared" si="101"/>
        <v>58</v>
      </c>
      <c r="J3056" s="352" t="s">
        <v>1419</v>
      </c>
      <c r="K3056" s="352">
        <f t="shared" si="102"/>
        <v>174</v>
      </c>
      <c r="L3056" s="352"/>
      <c r="M3056" s="352"/>
    </row>
    <row r="3057" spans="5:18">
      <c r="E3057" s="352"/>
      <c r="F3057" s="355">
        <v>5.3999999999999999E-2</v>
      </c>
      <c r="G3057" s="352" t="s">
        <v>2322</v>
      </c>
      <c r="H3057" s="352" t="s">
        <v>3970</v>
      </c>
      <c r="I3057" s="352">
        <f t="shared" si="101"/>
        <v>661</v>
      </c>
      <c r="J3057" s="352" t="s">
        <v>2322</v>
      </c>
      <c r="K3057" s="352">
        <f t="shared" si="102"/>
        <v>35.69</v>
      </c>
      <c r="L3057" s="352"/>
      <c r="M3057" s="352"/>
    </row>
    <row r="3058" spans="5:18">
      <c r="E3058" s="352"/>
      <c r="F3058" s="352">
        <v>1.25</v>
      </c>
      <c r="G3058" s="352" t="s">
        <v>2680</v>
      </c>
      <c r="H3058" s="352" t="s">
        <v>395</v>
      </c>
      <c r="I3058" s="352">
        <f t="shared" si="101"/>
        <v>302</v>
      </c>
      <c r="J3058" s="352" t="s">
        <v>2680</v>
      </c>
      <c r="K3058" s="352">
        <f t="shared" si="102"/>
        <v>377.5</v>
      </c>
      <c r="L3058" s="352"/>
      <c r="M3058" s="352"/>
    </row>
    <row r="3059" spans="5:18" ht="35.25" customHeight="1">
      <c r="E3059" s="352"/>
      <c r="F3059" s="352">
        <v>30</v>
      </c>
      <c r="G3059" s="352" t="s">
        <v>842</v>
      </c>
      <c r="H3059" s="458" t="s">
        <v>3975</v>
      </c>
      <c r="I3059" s="352">
        <f t="shared" si="101"/>
        <v>16.55</v>
      </c>
      <c r="J3059" s="352" t="s">
        <v>2587</v>
      </c>
      <c r="K3059" s="352">
        <f t="shared" si="102"/>
        <v>496.5</v>
      </c>
      <c r="L3059" s="352"/>
      <c r="M3059" s="352"/>
    </row>
    <row r="3060" spans="5:18">
      <c r="E3060" s="352"/>
      <c r="F3060" s="352"/>
      <c r="G3060" s="352"/>
      <c r="H3060" s="352" t="s">
        <v>931</v>
      </c>
      <c r="I3060" s="352"/>
      <c r="J3060" s="352"/>
      <c r="K3060" s="352">
        <f>K2942</f>
        <v>11454</v>
      </c>
      <c r="L3060" s="352"/>
      <c r="M3060" s="352"/>
    </row>
    <row r="3061" spans="5:18">
      <c r="E3061" s="352"/>
      <c r="F3061" s="352"/>
      <c r="G3061" s="352"/>
      <c r="H3061" s="352" t="s">
        <v>2310</v>
      </c>
      <c r="I3061" s="352"/>
      <c r="J3061" s="352"/>
      <c r="K3061" s="352">
        <v>20.97</v>
      </c>
      <c r="L3061" s="352"/>
      <c r="M3061" s="352"/>
    </row>
    <row r="3062" spans="5:18">
      <c r="E3062" s="352"/>
      <c r="F3062" s="352"/>
      <c r="G3062" s="352"/>
      <c r="H3062" s="357" t="s">
        <v>3011</v>
      </c>
      <c r="I3062" s="352"/>
      <c r="J3062" s="352"/>
      <c r="K3062" s="358">
        <f>SUM(K3049:K3061)</f>
        <v>14841.78</v>
      </c>
      <c r="L3062" s="352"/>
      <c r="M3062" s="352"/>
    </row>
    <row r="3063" spans="5:18">
      <c r="E3063" s="352"/>
      <c r="F3063" s="352"/>
      <c r="G3063" s="352"/>
      <c r="H3063" s="359" t="s">
        <v>3220</v>
      </c>
      <c r="I3063" s="352"/>
      <c r="J3063" s="352"/>
      <c r="K3063" s="360">
        <f>K3062/3</f>
        <v>4947.26</v>
      </c>
      <c r="L3063" s="352">
        <f>3196*3</f>
        <v>9588</v>
      </c>
      <c r="M3063" s="352"/>
    </row>
    <row r="3064" spans="5:18">
      <c r="E3064" s="352"/>
      <c r="F3064" s="352"/>
      <c r="G3064" s="352"/>
      <c r="H3064" s="352"/>
      <c r="I3064" s="352"/>
      <c r="J3064" s="352"/>
      <c r="K3064" s="352"/>
      <c r="L3064" s="352">
        <f>L3063-K3062</f>
        <v>-5253.78</v>
      </c>
      <c r="M3064" s="352"/>
    </row>
    <row r="3065" spans="5:18" ht="22.5" customHeight="1">
      <c r="E3065" s="352"/>
      <c r="F3065" s="352"/>
      <c r="G3065" s="352"/>
      <c r="H3065" s="368" t="s">
        <v>3012</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3013</v>
      </c>
      <c r="I3067" s="352"/>
      <c r="J3067" s="352"/>
      <c r="K3067" s="352"/>
      <c r="L3067" s="352"/>
      <c r="M3067" s="352"/>
      <c r="N3067" s="352"/>
      <c r="O3067" s="360" t="s">
        <v>3017</v>
      </c>
      <c r="P3067" s="352"/>
      <c r="Q3067" s="352"/>
      <c r="R3067" s="352"/>
    </row>
    <row r="3068" spans="5:18" ht="23.25" customHeight="1">
      <c r="E3068" s="352"/>
      <c r="F3068" s="352"/>
      <c r="G3068" s="352"/>
      <c r="H3068" s="360" t="s">
        <v>2430</v>
      </c>
      <c r="I3068" s="352"/>
      <c r="J3068" s="352"/>
      <c r="K3068" s="352"/>
      <c r="L3068" s="352"/>
      <c r="M3068" s="352"/>
      <c r="N3068" s="352"/>
      <c r="O3068" s="360" t="s">
        <v>3704</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2431</v>
      </c>
      <c r="I3070" s="352"/>
      <c r="J3070" s="352"/>
      <c r="K3070" s="352"/>
      <c r="L3070" s="352"/>
      <c r="M3070" s="352"/>
      <c r="N3070" s="352"/>
      <c r="O3070" s="351" t="s">
        <v>3245</v>
      </c>
      <c r="P3070" s="352"/>
      <c r="Q3070" s="352"/>
      <c r="R3070" s="352"/>
    </row>
    <row r="3071" spans="5:18" ht="31.5">
      <c r="E3071" s="352"/>
      <c r="F3071" s="352"/>
      <c r="G3071" s="352"/>
      <c r="H3071" s="352"/>
      <c r="I3071" s="352"/>
      <c r="J3071" s="352"/>
      <c r="K3071" s="352"/>
      <c r="L3071" s="352"/>
      <c r="M3071" s="352">
        <v>180</v>
      </c>
      <c r="N3071" s="352" t="s">
        <v>842</v>
      </c>
      <c r="O3071" s="273" t="s">
        <v>3880</v>
      </c>
      <c r="P3071" s="421">
        <v>53.75</v>
      </c>
      <c r="Q3071" s="352" t="s">
        <v>2587</v>
      </c>
      <c r="R3071" s="352">
        <f>M3071*P3071</f>
        <v>9675</v>
      </c>
    </row>
    <row r="3072" spans="5:18" ht="38.25" customHeight="1">
      <c r="E3072" s="352"/>
      <c r="F3072" s="352">
        <v>180</v>
      </c>
      <c r="G3072" s="352" t="s">
        <v>842</v>
      </c>
      <c r="H3072" s="458" t="s">
        <v>2586</v>
      </c>
      <c r="I3072" s="352">
        <f>I3049</f>
        <v>16.55</v>
      </c>
      <c r="J3072" s="352" t="s">
        <v>842</v>
      </c>
      <c r="K3072" s="352">
        <f>F3072*I3072</f>
        <v>2979</v>
      </c>
      <c r="L3072" s="352"/>
      <c r="M3072" s="352">
        <v>90</v>
      </c>
      <c r="N3072" s="352" t="s">
        <v>842</v>
      </c>
      <c r="O3072" s="351" t="s">
        <v>2403</v>
      </c>
      <c r="P3072" s="421">
        <f>I3099</f>
        <v>20</v>
      </c>
      <c r="Q3072" s="352" t="s">
        <v>842</v>
      </c>
      <c r="R3072" s="352">
        <f>M3072*P3072</f>
        <v>1800</v>
      </c>
    </row>
    <row r="3073" spans="5:18" ht="37.5" customHeight="1">
      <c r="E3073" s="352"/>
      <c r="F3073" s="352">
        <v>90</v>
      </c>
      <c r="G3073" s="352" t="s">
        <v>842</v>
      </c>
      <c r="H3073" s="351" t="s">
        <v>2403</v>
      </c>
      <c r="I3073" s="352">
        <f>I3050</f>
        <v>20</v>
      </c>
      <c r="J3073" s="352" t="s">
        <v>842</v>
      </c>
      <c r="K3073" s="352">
        <f>F3073*I3073</f>
        <v>1800</v>
      </c>
      <c r="L3073" s="352"/>
      <c r="M3073" s="352">
        <v>3</v>
      </c>
      <c r="N3073" s="352" t="s">
        <v>2680</v>
      </c>
      <c r="O3073" s="352" t="s">
        <v>395</v>
      </c>
      <c r="P3073" s="421">
        <f>I3100</f>
        <v>302</v>
      </c>
      <c r="Q3073" s="352" t="s">
        <v>2680</v>
      </c>
      <c r="R3073" s="352">
        <f>M3073*P3073</f>
        <v>906</v>
      </c>
    </row>
    <row r="3074" spans="5:18" ht="35.25" customHeight="1">
      <c r="E3074" s="352"/>
      <c r="F3074" s="352">
        <v>3</v>
      </c>
      <c r="G3074" s="352" t="s">
        <v>2680</v>
      </c>
      <c r="H3074" s="352" t="s">
        <v>395</v>
      </c>
      <c r="I3074" s="352">
        <f>I3058</f>
        <v>302</v>
      </c>
      <c r="J3074" s="352" t="s">
        <v>2680</v>
      </c>
      <c r="K3074" s="352">
        <f>F3074*I3074</f>
        <v>906</v>
      </c>
      <c r="L3074" s="352"/>
      <c r="M3074" s="352">
        <v>90</v>
      </c>
      <c r="N3074" s="352" t="s">
        <v>842</v>
      </c>
      <c r="O3074" s="273" t="s">
        <v>3246</v>
      </c>
      <c r="P3074" s="421">
        <f>I3101</f>
        <v>20.3</v>
      </c>
      <c r="Q3074" s="352" t="s">
        <v>2587</v>
      </c>
      <c r="R3074" s="352">
        <f>M3074*P3074</f>
        <v>1827</v>
      </c>
    </row>
    <row r="3075" spans="5:18" ht="39.75" customHeight="1">
      <c r="E3075" s="352"/>
      <c r="F3075" s="352">
        <v>90</v>
      </c>
      <c r="G3075" s="352" t="s">
        <v>842</v>
      </c>
      <c r="H3075" s="458" t="s">
        <v>2686</v>
      </c>
      <c r="I3075" s="352">
        <f>I3072</f>
        <v>16.55</v>
      </c>
      <c r="J3075" s="352" t="s">
        <v>2587</v>
      </c>
      <c r="K3075" s="352">
        <f>F3075*I3075</f>
        <v>1489.5</v>
      </c>
      <c r="L3075" s="352"/>
      <c r="M3075" s="352"/>
      <c r="N3075" s="352"/>
      <c r="O3075" s="352" t="s">
        <v>931</v>
      </c>
      <c r="P3075" s="352"/>
      <c r="Q3075" s="352"/>
      <c r="R3075" s="352">
        <f>K3102</f>
        <v>11454</v>
      </c>
    </row>
    <row r="3076" spans="5:18" ht="20.25" customHeight="1">
      <c r="E3076" s="352"/>
      <c r="F3076" s="352"/>
      <c r="G3076" s="352"/>
      <c r="H3076" s="352" t="s">
        <v>931</v>
      </c>
      <c r="I3076" s="352"/>
      <c r="J3076" s="352"/>
      <c r="K3076" s="352">
        <f>K3060</f>
        <v>11454</v>
      </c>
      <c r="L3076" s="352"/>
      <c r="M3076" s="352"/>
      <c r="N3076" s="352"/>
      <c r="O3076" s="352" t="s">
        <v>2310</v>
      </c>
      <c r="P3076" s="352"/>
      <c r="Q3076" s="352"/>
      <c r="R3076" s="352">
        <v>24</v>
      </c>
    </row>
    <row r="3077" spans="5:18">
      <c r="E3077" s="352"/>
      <c r="F3077" s="352"/>
      <c r="G3077" s="352"/>
      <c r="H3077" s="352"/>
      <c r="I3077" s="352"/>
      <c r="J3077" s="352"/>
      <c r="K3077" s="352">
        <f>SUM(K3072:K3076)</f>
        <v>18628.5</v>
      </c>
      <c r="L3077" s="352"/>
      <c r="M3077" s="352"/>
      <c r="N3077" s="352"/>
      <c r="O3077" s="357" t="s">
        <v>2432</v>
      </c>
      <c r="P3077" s="352"/>
      <c r="Q3077" s="352"/>
      <c r="R3077" s="358">
        <f>SUM(R3071:R3076)</f>
        <v>25686</v>
      </c>
    </row>
    <row r="3078" spans="5:18" ht="20.25" customHeight="1">
      <c r="E3078" s="352"/>
      <c r="F3078" s="352"/>
      <c r="G3078" s="352"/>
      <c r="H3078" s="352" t="s">
        <v>2310</v>
      </c>
      <c r="I3078" s="352"/>
      <c r="J3078" s="352"/>
      <c r="K3078" s="352">
        <f>29.99-0.59</f>
        <v>29.4</v>
      </c>
      <c r="L3078" s="352"/>
      <c r="M3078" s="352"/>
      <c r="N3078" s="352"/>
      <c r="O3078" s="359" t="s">
        <v>2433</v>
      </c>
      <c r="P3078" s="352"/>
      <c r="Q3078" s="352"/>
      <c r="R3078" s="360">
        <f>R3077/90</f>
        <v>285.39999999999998</v>
      </c>
    </row>
    <row r="3079" spans="5:18">
      <c r="E3079" s="352"/>
      <c r="F3079" s="352"/>
      <c r="G3079" s="352"/>
      <c r="H3079" s="357" t="s">
        <v>2432</v>
      </c>
      <c r="I3079" s="352"/>
      <c r="J3079" s="352"/>
      <c r="K3079" s="358">
        <f>SUM(K3077:K3078)</f>
        <v>18657.900000000001</v>
      </c>
      <c r="L3079" s="352"/>
      <c r="M3079" s="352"/>
      <c r="N3079" s="352"/>
      <c r="O3079" s="352"/>
      <c r="P3079" s="352"/>
      <c r="Q3079" s="352"/>
      <c r="R3079" s="352"/>
    </row>
    <row r="3080" spans="5:18" ht="21.75" customHeight="1">
      <c r="E3080" s="352"/>
      <c r="F3080" s="352"/>
      <c r="G3080" s="352"/>
      <c r="H3080" s="359" t="s">
        <v>2433</v>
      </c>
      <c r="I3080" s="352"/>
      <c r="J3080" s="352"/>
      <c r="K3080" s="360">
        <f>K3079/90</f>
        <v>207.31</v>
      </c>
      <c r="L3080" s="352">
        <f>131*90</f>
        <v>11790</v>
      </c>
      <c r="M3080" s="352"/>
    </row>
    <row r="3081" spans="5:18">
      <c r="E3081" s="352"/>
      <c r="F3081" s="352"/>
      <c r="G3081" s="352"/>
      <c r="H3081" s="352"/>
      <c r="I3081" s="352"/>
      <c r="J3081" s="352"/>
      <c r="K3081" s="352"/>
      <c r="L3081" s="352">
        <f>K3079-L3080</f>
        <v>6867.9</v>
      </c>
      <c r="M3081" s="352"/>
    </row>
    <row r="3082" spans="5:18">
      <c r="E3082" s="352"/>
      <c r="F3082" s="352"/>
      <c r="G3082" s="352"/>
      <c r="H3082" s="360" t="s">
        <v>2434</v>
      </c>
      <c r="I3082" s="352"/>
      <c r="J3082" s="352"/>
      <c r="K3082" s="352"/>
      <c r="L3082" s="352"/>
      <c r="M3082" s="352"/>
    </row>
    <row r="3083" spans="5:18">
      <c r="E3083" s="352"/>
      <c r="F3083" s="352"/>
      <c r="G3083" s="352"/>
      <c r="H3083" s="360" t="s">
        <v>2435</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3066</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3067</v>
      </c>
      <c r="I3087" s="352"/>
      <c r="J3087" s="352"/>
      <c r="K3087" s="352">
        <f>K3077</f>
        <v>18628.5</v>
      </c>
      <c r="L3087" s="352"/>
      <c r="M3087" s="352"/>
    </row>
    <row r="3088" spans="5:18" ht="34.5" customHeight="1">
      <c r="E3088" s="352"/>
      <c r="F3088" s="352">
        <v>180</v>
      </c>
      <c r="G3088" s="352" t="s">
        <v>842</v>
      </c>
      <c r="H3088" s="351" t="s">
        <v>4454</v>
      </c>
      <c r="I3088" s="421">
        <v>20.3</v>
      </c>
      <c r="J3088" s="352" t="s">
        <v>842</v>
      </c>
      <c r="K3088" s="352">
        <f>F3088*I3088</f>
        <v>3654</v>
      </c>
      <c r="L3088" s="352"/>
      <c r="M3088" s="352"/>
    </row>
    <row r="3089" spans="5:18" ht="36.75" customHeight="1">
      <c r="E3089" s="352"/>
      <c r="F3089" s="352">
        <v>180</v>
      </c>
      <c r="G3089" s="352" t="s">
        <v>842</v>
      </c>
      <c r="H3089" s="351" t="s">
        <v>3015</v>
      </c>
      <c r="I3089" s="352">
        <f>I3075</f>
        <v>16.55</v>
      </c>
      <c r="J3089" s="352" t="s">
        <v>2587</v>
      </c>
      <c r="K3089" s="352">
        <f>F3089*I3089</f>
        <v>2979</v>
      </c>
      <c r="L3089" s="352"/>
      <c r="M3089" s="352"/>
    </row>
    <row r="3090" spans="5:18" ht="25.5" customHeight="1">
      <c r="E3090" s="352"/>
      <c r="F3090" s="352"/>
      <c r="G3090" s="352"/>
      <c r="H3090" s="352" t="s">
        <v>2310</v>
      </c>
      <c r="I3090" s="352"/>
      <c r="J3090" s="352"/>
      <c r="K3090" s="352">
        <f>47.4+13.1</f>
        <v>60.5</v>
      </c>
      <c r="L3090" s="352"/>
      <c r="M3090" s="352"/>
    </row>
    <row r="3091" spans="5:18">
      <c r="E3091" s="352"/>
      <c r="F3091" s="352"/>
      <c r="G3091" s="352"/>
      <c r="H3091" s="357" t="s">
        <v>3016</v>
      </c>
      <c r="I3091" s="352"/>
      <c r="J3091" s="352"/>
      <c r="K3091" s="358">
        <f>K3087+K3088-K3089+K3090</f>
        <v>19364</v>
      </c>
      <c r="L3091" s="352"/>
      <c r="M3091" s="352"/>
    </row>
    <row r="3092" spans="5:18">
      <c r="E3092" s="352"/>
      <c r="F3092" s="352"/>
      <c r="G3092" s="352"/>
      <c r="H3092" s="359" t="s">
        <v>2433</v>
      </c>
      <c r="I3092" s="352"/>
      <c r="J3092" s="352"/>
      <c r="K3092" s="360">
        <f>K3091/90</f>
        <v>215.16</v>
      </c>
      <c r="L3092" s="352">
        <f>152*90</f>
        <v>13680</v>
      </c>
      <c r="M3092" s="352"/>
    </row>
    <row r="3093" spans="5:18">
      <c r="E3093" s="352"/>
      <c r="F3093" s="352"/>
      <c r="G3093" s="352"/>
      <c r="H3093" s="352"/>
      <c r="I3093" s="352"/>
      <c r="J3093" s="352"/>
      <c r="K3093" s="352"/>
      <c r="L3093" s="352">
        <f>L3092-K3091</f>
        <v>-5684</v>
      </c>
      <c r="M3093" s="352"/>
    </row>
    <row r="3094" spans="5:18">
      <c r="E3094" s="352"/>
      <c r="F3094" s="352"/>
      <c r="G3094" s="352"/>
      <c r="H3094" s="360" t="s">
        <v>3017</v>
      </c>
      <c r="I3094" s="352"/>
      <c r="J3094" s="352"/>
      <c r="K3094" s="352"/>
      <c r="L3094" s="352"/>
      <c r="M3094" s="352"/>
    </row>
    <row r="3095" spans="5:18">
      <c r="E3095" s="352"/>
      <c r="F3095" s="352"/>
      <c r="G3095" s="352"/>
      <c r="H3095" s="360" t="s">
        <v>3018</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3245</v>
      </c>
      <c r="I3097" s="352"/>
      <c r="J3097" s="352"/>
      <c r="K3097" s="352"/>
      <c r="L3097" s="352"/>
      <c r="M3097" s="352"/>
      <c r="N3097" s="352"/>
      <c r="O3097" s="351"/>
      <c r="P3097" s="352"/>
      <c r="Q3097" s="352"/>
      <c r="R3097" s="352"/>
    </row>
    <row r="3098" spans="5:18" ht="36" customHeight="1">
      <c r="E3098" s="352"/>
      <c r="F3098" s="352">
        <v>180</v>
      </c>
      <c r="G3098" s="352" t="s">
        <v>842</v>
      </c>
      <c r="H3098" s="458" t="s">
        <v>4455</v>
      </c>
      <c r="I3098" s="421">
        <v>32.200000000000003</v>
      </c>
      <c r="J3098" s="352" t="s">
        <v>2587</v>
      </c>
      <c r="K3098" s="352">
        <f>F3098*I3098</f>
        <v>5796</v>
      </c>
      <c r="L3098" s="352"/>
      <c r="M3098" s="352"/>
      <c r="N3098" s="352"/>
      <c r="O3098" s="273"/>
      <c r="P3098" s="352"/>
      <c r="Q3098" s="352"/>
      <c r="R3098" s="352"/>
    </row>
    <row r="3099" spans="5:18" ht="39" customHeight="1">
      <c r="E3099" s="352"/>
      <c r="F3099" s="352">
        <v>90</v>
      </c>
      <c r="G3099" s="352" t="s">
        <v>842</v>
      </c>
      <c r="H3099" s="351" t="s">
        <v>2403</v>
      </c>
      <c r="I3099" s="352">
        <f>I3073</f>
        <v>20</v>
      </c>
      <c r="J3099" s="352" t="s">
        <v>842</v>
      </c>
      <c r="K3099" s="352">
        <f>F3099*I3099</f>
        <v>1800</v>
      </c>
      <c r="L3099" s="352"/>
      <c r="M3099" s="352"/>
      <c r="N3099" s="352"/>
      <c r="O3099" s="351"/>
      <c r="P3099" s="352"/>
      <c r="Q3099" s="352"/>
      <c r="R3099" s="352"/>
    </row>
    <row r="3100" spans="5:18" ht="23.25" customHeight="1">
      <c r="E3100" s="352"/>
      <c r="F3100" s="352">
        <v>3</v>
      </c>
      <c r="G3100" s="352" t="s">
        <v>2680</v>
      </c>
      <c r="H3100" s="352" t="s">
        <v>395</v>
      </c>
      <c r="I3100" s="352">
        <f>I3074</f>
        <v>302</v>
      </c>
      <c r="J3100" s="352" t="s">
        <v>2680</v>
      </c>
      <c r="K3100" s="352">
        <f>F3100*I3100</f>
        <v>906</v>
      </c>
      <c r="L3100" s="352"/>
      <c r="M3100" s="352"/>
      <c r="N3100" s="352"/>
      <c r="O3100" s="352"/>
      <c r="P3100" s="352"/>
      <c r="Q3100" s="352"/>
      <c r="R3100" s="352"/>
    </row>
    <row r="3101" spans="5:18" ht="38.25" customHeight="1">
      <c r="E3101" s="352"/>
      <c r="F3101" s="352">
        <v>90</v>
      </c>
      <c r="G3101" s="352" t="s">
        <v>842</v>
      </c>
      <c r="H3101" s="458" t="s">
        <v>3246</v>
      </c>
      <c r="I3101" s="352">
        <f>I3088</f>
        <v>20.3</v>
      </c>
      <c r="J3101" s="352" t="s">
        <v>2587</v>
      </c>
      <c r="K3101" s="352">
        <f>F3101*I3101</f>
        <v>1827</v>
      </c>
      <c r="L3101" s="352"/>
      <c r="M3101" s="352"/>
      <c r="N3101" s="352"/>
      <c r="O3101" s="273"/>
      <c r="P3101" s="352"/>
      <c r="Q3101" s="352"/>
      <c r="R3101" s="352"/>
    </row>
    <row r="3102" spans="5:18">
      <c r="E3102" s="352"/>
      <c r="F3102" s="352"/>
      <c r="G3102" s="352"/>
      <c r="H3102" s="352" t="s">
        <v>931</v>
      </c>
      <c r="I3102" s="352"/>
      <c r="J3102" s="352"/>
      <c r="K3102" s="352">
        <f>K3076</f>
        <v>11454</v>
      </c>
      <c r="L3102" s="352"/>
      <c r="M3102" s="352"/>
      <c r="N3102" s="352"/>
      <c r="O3102" s="352"/>
      <c r="P3102" s="352"/>
      <c r="Q3102" s="352"/>
      <c r="R3102" s="352"/>
    </row>
    <row r="3103" spans="5:18">
      <c r="E3103" s="352"/>
      <c r="F3103" s="352"/>
      <c r="G3103" s="352"/>
      <c r="H3103" s="352" t="s">
        <v>2310</v>
      </c>
      <c r="I3103" s="352"/>
      <c r="J3103" s="352"/>
      <c r="K3103" s="352">
        <v>60.5</v>
      </c>
      <c r="L3103" s="352"/>
      <c r="M3103" s="352"/>
      <c r="N3103" s="352"/>
      <c r="O3103" s="352"/>
      <c r="P3103" s="352"/>
      <c r="Q3103" s="352"/>
      <c r="R3103" s="352"/>
    </row>
    <row r="3104" spans="5:18">
      <c r="E3104" s="352"/>
      <c r="F3104" s="352"/>
      <c r="G3104" s="352"/>
      <c r="H3104" s="357" t="s">
        <v>2432</v>
      </c>
      <c r="I3104" s="352"/>
      <c r="J3104" s="352"/>
      <c r="K3104" s="358">
        <f>SUM(K3098:K3103)</f>
        <v>21843.5</v>
      </c>
      <c r="L3104" s="352"/>
      <c r="M3104" s="352"/>
      <c r="N3104" s="352"/>
      <c r="O3104" s="357"/>
      <c r="P3104" s="352"/>
      <c r="Q3104" s="352"/>
      <c r="R3104" s="358"/>
    </row>
    <row r="3105" spans="5:19">
      <c r="E3105" s="352"/>
      <c r="F3105" s="352"/>
      <c r="G3105" s="352"/>
      <c r="H3105" s="359" t="s">
        <v>2433</v>
      </c>
      <c r="I3105" s="352"/>
      <c r="J3105" s="352"/>
      <c r="K3105" s="360">
        <f>K3104/90</f>
        <v>242.71</v>
      </c>
      <c r="L3105" s="352">
        <f>189*90</f>
        <v>17010</v>
      </c>
      <c r="M3105" s="352"/>
      <c r="N3105" s="352"/>
      <c r="O3105" s="359"/>
      <c r="P3105" s="352"/>
      <c r="Q3105" s="352"/>
      <c r="R3105" s="360"/>
    </row>
    <row r="3106" spans="5:19">
      <c r="E3106" s="352"/>
      <c r="F3106" s="352"/>
      <c r="G3106" s="352"/>
      <c r="H3106" s="352"/>
      <c r="I3106" s="352"/>
      <c r="J3106" s="352"/>
      <c r="K3106" s="352"/>
      <c r="L3106" s="352">
        <f>L3105-K3104</f>
        <v>-4833.5</v>
      </c>
      <c r="M3106" s="352"/>
    </row>
    <row r="3107" spans="5:19">
      <c r="E3107" s="352"/>
      <c r="F3107" s="352"/>
      <c r="G3107" s="352"/>
      <c r="H3107" s="352"/>
      <c r="I3107" s="352"/>
      <c r="J3107" s="352"/>
      <c r="K3107" s="352"/>
      <c r="L3107" s="352"/>
      <c r="M3107" s="352"/>
    </row>
    <row r="3108" spans="5:19">
      <c r="E3108" s="352"/>
      <c r="F3108" s="352"/>
      <c r="G3108" s="352"/>
      <c r="H3108" s="360" t="s">
        <v>3247</v>
      </c>
      <c r="I3108" s="352"/>
      <c r="J3108" s="352"/>
      <c r="K3108" s="352"/>
      <c r="L3108" s="352"/>
      <c r="M3108" s="352"/>
      <c r="N3108" s="352"/>
      <c r="O3108" s="360" t="s">
        <v>3247</v>
      </c>
      <c r="P3108" s="352"/>
      <c r="Q3108" s="352"/>
      <c r="R3108" s="352"/>
      <c r="S3108" s="352"/>
    </row>
    <row r="3109" spans="5:19">
      <c r="E3109" s="352"/>
      <c r="F3109" s="352"/>
      <c r="G3109" s="352"/>
      <c r="H3109" s="360" t="s">
        <v>2375</v>
      </c>
      <c r="I3109" s="352"/>
      <c r="J3109" s="352"/>
      <c r="K3109" s="352"/>
      <c r="L3109" s="352"/>
      <c r="M3109" s="352"/>
      <c r="N3109" s="352"/>
      <c r="O3109" s="360" t="s">
        <v>3696</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2384</v>
      </c>
      <c r="I3111" s="352"/>
      <c r="J3111" s="352"/>
      <c r="K3111" s="352"/>
      <c r="L3111" s="352"/>
      <c r="M3111" s="352"/>
      <c r="N3111" s="352"/>
      <c r="O3111" s="1531" t="s">
        <v>3697</v>
      </c>
      <c r="P3111" s="1531"/>
      <c r="Q3111" s="352"/>
      <c r="R3111" s="352"/>
      <c r="S3111" s="352"/>
    </row>
    <row r="3112" spans="5:19" ht="34.5" customHeight="1">
      <c r="E3112" s="352"/>
      <c r="F3112" s="352">
        <v>360</v>
      </c>
      <c r="G3112" s="352"/>
      <c r="H3112" s="458" t="s">
        <v>3979</v>
      </c>
      <c r="I3112" s="421">
        <f>I3098</f>
        <v>32.200000000000003</v>
      </c>
      <c r="J3112" s="352" t="s">
        <v>2587</v>
      </c>
      <c r="K3112" s="352">
        <f>F3112*I3112</f>
        <v>11592</v>
      </c>
      <c r="L3112" s="352"/>
      <c r="M3112" s="352">
        <v>360</v>
      </c>
      <c r="N3112" s="352"/>
      <c r="O3112" s="422" t="s">
        <v>3880</v>
      </c>
      <c r="P3112" s="421">
        <f>P3071</f>
        <v>53.75</v>
      </c>
      <c r="Q3112" s="352" t="s">
        <v>2587</v>
      </c>
      <c r="R3112" s="352">
        <f>M3112*P3112</f>
        <v>19350</v>
      </c>
      <c r="S3112" s="352"/>
    </row>
    <row r="3113" spans="5:19" ht="36" customHeight="1">
      <c r="E3113" s="352"/>
      <c r="F3113" s="352">
        <v>90</v>
      </c>
      <c r="G3113" s="352"/>
      <c r="H3113" s="351" t="s">
        <v>4462</v>
      </c>
      <c r="I3113" s="421">
        <v>24.2</v>
      </c>
      <c r="J3113" s="352" t="s">
        <v>842</v>
      </c>
      <c r="K3113" s="352">
        <f>F3113*I3113</f>
        <v>2178</v>
      </c>
      <c r="L3113" s="352"/>
      <c r="M3113" s="352">
        <v>90</v>
      </c>
      <c r="N3113" s="352"/>
      <c r="O3113" s="351" t="s">
        <v>2385</v>
      </c>
      <c r="P3113" s="421">
        <f>I3113</f>
        <v>24.2</v>
      </c>
      <c r="Q3113" s="352" t="s">
        <v>842</v>
      </c>
      <c r="R3113" s="352">
        <f>M3113*P3113</f>
        <v>2178</v>
      </c>
      <c r="S3113" s="352"/>
    </row>
    <row r="3114" spans="5:19" ht="21" customHeight="1">
      <c r="E3114" s="352"/>
      <c r="F3114" s="352">
        <v>3</v>
      </c>
      <c r="G3114" s="352"/>
      <c r="H3114" s="352" t="s">
        <v>395</v>
      </c>
      <c r="I3114" s="352">
        <f>I3100</f>
        <v>302</v>
      </c>
      <c r="J3114" s="352" t="s">
        <v>2680</v>
      </c>
      <c r="K3114" s="352">
        <f>F3114*I3114</f>
        <v>906</v>
      </c>
      <c r="L3114" s="352"/>
      <c r="M3114" s="352">
        <v>3</v>
      </c>
      <c r="N3114" s="352"/>
      <c r="O3114" s="352" t="s">
        <v>395</v>
      </c>
      <c r="P3114" s="421">
        <f>I3114</f>
        <v>302</v>
      </c>
      <c r="Q3114" s="352" t="s">
        <v>2680</v>
      </c>
      <c r="R3114" s="352">
        <f>M3114*P3114</f>
        <v>906</v>
      </c>
      <c r="S3114" s="352"/>
    </row>
    <row r="3115" spans="5:19" ht="33.75" customHeight="1">
      <c r="E3115" s="352"/>
      <c r="F3115" s="352">
        <v>90</v>
      </c>
      <c r="G3115" s="352"/>
      <c r="H3115" s="458" t="s">
        <v>3246</v>
      </c>
      <c r="I3115" s="352">
        <f>I3101</f>
        <v>20.3</v>
      </c>
      <c r="J3115" s="352" t="s">
        <v>2587</v>
      </c>
      <c r="K3115" s="352">
        <f>F3115*I3115</f>
        <v>1827</v>
      </c>
      <c r="L3115" s="352"/>
      <c r="M3115" s="352">
        <v>90</v>
      </c>
      <c r="N3115" s="352"/>
      <c r="O3115" s="273" t="s">
        <v>3246</v>
      </c>
      <c r="P3115" s="421">
        <f>I3115</f>
        <v>20.3</v>
      </c>
      <c r="Q3115" s="352" t="s">
        <v>2587</v>
      </c>
      <c r="R3115" s="352">
        <f>M3115*P3115</f>
        <v>1827</v>
      </c>
      <c r="S3115" s="352"/>
    </row>
    <row r="3116" spans="5:19">
      <c r="E3116" s="352"/>
      <c r="F3116" s="352"/>
      <c r="G3116" s="352"/>
      <c r="H3116" s="352" t="s">
        <v>931</v>
      </c>
      <c r="I3116" s="352"/>
      <c r="J3116" s="352"/>
      <c r="K3116" s="352">
        <f>I3122</f>
        <v>15075</v>
      </c>
      <c r="L3116" s="352"/>
      <c r="M3116" s="352"/>
      <c r="N3116" s="352"/>
      <c r="O3116" s="352" t="s">
        <v>931</v>
      </c>
      <c r="P3116" s="352"/>
      <c r="Q3116" s="352"/>
      <c r="R3116" s="352">
        <f>K3116</f>
        <v>15075</v>
      </c>
      <c r="S3116" s="352"/>
    </row>
    <row r="3117" spans="5:19">
      <c r="E3117" s="352"/>
      <c r="F3117" s="352"/>
      <c r="G3117" s="352"/>
      <c r="H3117" s="352" t="s">
        <v>2310</v>
      </c>
      <c r="I3117" s="352"/>
      <c r="J3117" s="352"/>
      <c r="K3117" s="352">
        <v>25.5</v>
      </c>
      <c r="L3117" s="352"/>
      <c r="M3117" s="352"/>
      <c r="N3117" s="352"/>
      <c r="O3117" s="352" t="s">
        <v>2310</v>
      </c>
      <c r="P3117" s="352"/>
      <c r="Q3117" s="352"/>
      <c r="R3117" s="352">
        <v>28.5</v>
      </c>
      <c r="S3117" s="352"/>
    </row>
    <row r="3118" spans="5:19">
      <c r="E3118" s="352"/>
      <c r="F3118" s="352"/>
      <c r="G3118" s="352"/>
      <c r="H3118" s="357" t="s">
        <v>2432</v>
      </c>
      <c r="I3118" s="352"/>
      <c r="J3118" s="352"/>
      <c r="K3118" s="358">
        <f>SUM(K3112:K3117)</f>
        <v>31603.5</v>
      </c>
      <c r="L3118" s="352"/>
      <c r="M3118" s="352"/>
      <c r="N3118" s="352"/>
      <c r="O3118" s="357" t="s">
        <v>2432</v>
      </c>
      <c r="P3118" s="352"/>
      <c r="Q3118" s="352"/>
      <c r="R3118" s="358">
        <f>SUM(R3112:R3117)</f>
        <v>39364.5</v>
      </c>
      <c r="S3118" s="352">
        <f>217.3*90</f>
        <v>19557</v>
      </c>
    </row>
    <row r="3119" spans="5:19">
      <c r="E3119" s="352"/>
      <c r="F3119" s="352"/>
      <c r="G3119" s="352"/>
      <c r="H3119" s="359" t="s">
        <v>2433</v>
      </c>
      <c r="I3119" s="352"/>
      <c r="J3119" s="352"/>
      <c r="K3119" s="360">
        <f>K3118/90</f>
        <v>351.15</v>
      </c>
      <c r="L3119" s="352">
        <f>299*90</f>
        <v>26910</v>
      </c>
      <c r="M3119" s="352"/>
      <c r="N3119" s="352"/>
      <c r="O3119" s="359" t="s">
        <v>2433</v>
      </c>
      <c r="P3119" s="352"/>
      <c r="Q3119" s="352"/>
      <c r="R3119" s="360">
        <f>R3118/90</f>
        <v>437.38</v>
      </c>
      <c r="S3119" s="352">
        <f>S3118-R3118</f>
        <v>-19807.5</v>
      </c>
    </row>
    <row r="3120" spans="5:19">
      <c r="E3120" s="352"/>
      <c r="F3120" s="352"/>
      <c r="G3120" s="352"/>
      <c r="H3120" s="352"/>
      <c r="I3120" s="352"/>
      <c r="J3120" s="352"/>
      <c r="K3120" s="352"/>
      <c r="L3120" s="352">
        <f>L3119-K3118</f>
        <v>-4693.5</v>
      </c>
      <c r="M3120" s="352"/>
    </row>
    <row r="3121" spans="5:18">
      <c r="E3121" s="352"/>
      <c r="F3121" s="352"/>
      <c r="G3121" s="352"/>
      <c r="H3121" s="360" t="s">
        <v>2386</v>
      </c>
      <c r="I3121" s="352"/>
      <c r="J3121" s="352"/>
      <c r="K3121" s="352"/>
      <c r="L3121" s="352"/>
      <c r="M3121" s="352"/>
    </row>
    <row r="3122" spans="5:18" s="427" customFormat="1">
      <c r="E3122" s="425"/>
      <c r="F3122" s="425"/>
      <c r="G3122" s="425"/>
      <c r="H3122" s="425" t="s">
        <v>3877</v>
      </c>
      <c r="I3122" s="426">
        <f>(1.5*K2873)-((K2871+K2872)/2)</f>
        <v>15075</v>
      </c>
      <c r="J3122" s="425"/>
      <c r="K3122" s="425"/>
      <c r="L3122" s="425"/>
      <c r="M3122" s="352"/>
      <c r="N3122" s="352"/>
      <c r="O3122" s="360" t="s">
        <v>3247</v>
      </c>
      <c r="P3122" s="352"/>
      <c r="Q3122" s="352"/>
      <c r="R3122" s="352"/>
    </row>
    <row r="3123" spans="5:18">
      <c r="E3123" s="352"/>
      <c r="F3123" s="352"/>
      <c r="G3123" s="352"/>
      <c r="H3123" s="352">
        <f>1.5*K2873-(K2871+K2872)/2</f>
        <v>15075</v>
      </c>
      <c r="I3123" s="352"/>
      <c r="J3123" s="352"/>
      <c r="K3123" s="352"/>
      <c r="L3123" s="352"/>
      <c r="M3123" s="352"/>
      <c r="N3123" s="352"/>
      <c r="O3123" s="360" t="s">
        <v>3698</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2387</v>
      </c>
      <c r="I3125" s="352"/>
      <c r="J3125" s="352"/>
      <c r="K3125" s="352"/>
      <c r="L3125" s="352"/>
      <c r="M3125" s="352"/>
      <c r="N3125" s="352"/>
      <c r="O3125" s="351" t="s">
        <v>3699</v>
      </c>
      <c r="P3125" s="352"/>
      <c r="Q3125" s="352"/>
      <c r="R3125" s="352"/>
    </row>
    <row r="3126" spans="5:18" ht="31.5">
      <c r="E3126" s="352"/>
      <c r="F3126" s="352"/>
      <c r="G3126" s="352"/>
      <c r="H3126" s="352"/>
      <c r="I3126" s="352"/>
      <c r="J3126" s="352"/>
      <c r="K3126" s="352"/>
      <c r="L3126" s="352"/>
      <c r="M3126" s="352">
        <v>360</v>
      </c>
      <c r="N3126" s="352"/>
      <c r="O3126" s="422" t="s">
        <v>3881</v>
      </c>
      <c r="P3126" s="421">
        <v>80.650000000000006</v>
      </c>
      <c r="Q3126" s="352" t="s">
        <v>2587</v>
      </c>
      <c r="R3126" s="352">
        <f>M3126*P3126</f>
        <v>29034</v>
      </c>
    </row>
    <row r="3127" spans="5:18" ht="18" customHeight="1">
      <c r="E3127" s="352"/>
      <c r="F3127" s="352"/>
      <c r="G3127" s="352"/>
      <c r="H3127" s="360" t="s">
        <v>2388</v>
      </c>
      <c r="I3127" s="352"/>
      <c r="J3127" s="352"/>
      <c r="K3127" s="352"/>
      <c r="L3127" s="352"/>
      <c r="M3127" s="352">
        <v>90</v>
      </c>
      <c r="N3127" s="352"/>
      <c r="O3127" s="351" t="s">
        <v>2385</v>
      </c>
      <c r="P3127" s="421">
        <f>P3113</f>
        <v>24.2</v>
      </c>
      <c r="Q3127" s="352" t="s">
        <v>842</v>
      </c>
      <c r="R3127" s="352">
        <f>M3127*P3127</f>
        <v>2178</v>
      </c>
    </row>
    <row r="3128" spans="5:18">
      <c r="E3128" s="352"/>
      <c r="F3128" s="352"/>
      <c r="G3128" s="352"/>
      <c r="H3128" s="352"/>
      <c r="I3128" s="352"/>
      <c r="J3128" s="352"/>
      <c r="K3128" s="352"/>
      <c r="L3128" s="352"/>
      <c r="M3128" s="352">
        <v>3</v>
      </c>
      <c r="N3128" s="352"/>
      <c r="O3128" s="352" t="s">
        <v>395</v>
      </c>
      <c r="P3128" s="421">
        <f>P3114</f>
        <v>302</v>
      </c>
      <c r="Q3128" s="352" t="s">
        <v>2680</v>
      </c>
      <c r="R3128" s="352">
        <f>M3128*P3128</f>
        <v>906</v>
      </c>
    </row>
    <row r="3129" spans="5:18" ht="23.25" customHeight="1">
      <c r="E3129" s="352"/>
      <c r="F3129" s="352"/>
      <c r="G3129" s="352"/>
      <c r="H3129" s="360" t="s">
        <v>2389</v>
      </c>
      <c r="I3129" s="352"/>
      <c r="J3129" s="352"/>
      <c r="K3129" s="352"/>
      <c r="L3129" s="352"/>
      <c r="M3129" s="352">
        <v>90</v>
      </c>
      <c r="N3129" s="352"/>
      <c r="O3129" s="273" t="s">
        <v>3246</v>
      </c>
      <c r="P3129" s="421">
        <f>P3115</f>
        <v>20.3</v>
      </c>
      <c r="Q3129" s="352" t="s">
        <v>2587</v>
      </c>
      <c r="R3129" s="352">
        <f>M3129*P3129</f>
        <v>1827</v>
      </c>
    </row>
    <row r="3130" spans="5:18">
      <c r="E3130" s="352"/>
      <c r="F3130" s="352"/>
      <c r="G3130" s="352"/>
      <c r="H3130" s="352"/>
      <c r="I3130" s="352"/>
      <c r="J3130" s="352"/>
      <c r="K3130" s="352"/>
      <c r="L3130" s="352"/>
      <c r="M3130" s="352"/>
      <c r="N3130" s="352"/>
      <c r="O3130" s="352" t="s">
        <v>931</v>
      </c>
      <c r="P3130" s="352"/>
      <c r="Q3130" s="352"/>
      <c r="R3130" s="352">
        <f>R3116</f>
        <v>15075</v>
      </c>
    </row>
    <row r="3131" spans="5:18" ht="47.25">
      <c r="E3131" s="352"/>
      <c r="F3131" s="352"/>
      <c r="G3131" s="352"/>
      <c r="H3131" s="351" t="s">
        <v>2390</v>
      </c>
      <c r="I3131" s="352"/>
      <c r="J3131" s="352"/>
      <c r="K3131" s="352"/>
      <c r="L3131" s="352"/>
      <c r="M3131" s="352"/>
      <c r="N3131" s="352"/>
      <c r="O3131" s="352" t="s">
        <v>2310</v>
      </c>
      <c r="P3131" s="352"/>
      <c r="Q3131" s="352"/>
      <c r="R3131" s="352">
        <v>28.5</v>
      </c>
    </row>
    <row r="3132" spans="5:18">
      <c r="E3132" s="352"/>
      <c r="F3132" s="352">
        <v>1</v>
      </c>
      <c r="G3132" s="352" t="s">
        <v>1419</v>
      </c>
      <c r="H3132" s="352" t="s">
        <v>4456</v>
      </c>
      <c r="I3132" s="421">
        <v>263.39999999999998</v>
      </c>
      <c r="J3132" s="352" t="s">
        <v>1419</v>
      </c>
      <c r="K3132" s="352">
        <f>F3132*I3132</f>
        <v>263.39999999999998</v>
      </c>
      <c r="L3132" s="352"/>
      <c r="M3132" s="352"/>
      <c r="N3132" s="352"/>
      <c r="O3132" s="357" t="s">
        <v>2432</v>
      </c>
      <c r="P3132" s="352"/>
      <c r="Q3132" s="352"/>
      <c r="R3132" s="358">
        <f>SUM(R3126:R3131)</f>
        <v>49048.5</v>
      </c>
    </row>
    <row r="3133" spans="5:18">
      <c r="E3133" s="352"/>
      <c r="F3133" s="352"/>
      <c r="G3133" s="352"/>
      <c r="H3133" s="352" t="s">
        <v>2310</v>
      </c>
      <c r="I3133" s="352"/>
      <c r="J3133" s="352"/>
      <c r="K3133" s="352">
        <v>4.93</v>
      </c>
      <c r="L3133" s="352"/>
      <c r="M3133" s="352"/>
      <c r="N3133" s="352"/>
      <c r="O3133" s="359" t="s">
        <v>2433</v>
      </c>
      <c r="P3133" s="352"/>
      <c r="Q3133" s="352"/>
      <c r="R3133" s="360">
        <f>R3132/90</f>
        <v>544.98</v>
      </c>
    </row>
    <row r="3134" spans="5:18">
      <c r="E3134" s="352"/>
      <c r="F3134" s="352"/>
      <c r="G3134" s="352"/>
      <c r="H3134" s="352" t="s">
        <v>931</v>
      </c>
      <c r="I3134" s="352"/>
      <c r="J3134" s="352"/>
      <c r="K3134" s="352">
        <f>K3142</f>
        <v>225.93</v>
      </c>
      <c r="L3134" s="352"/>
      <c r="M3134" s="352"/>
    </row>
    <row r="3135" spans="5:18">
      <c r="E3135" s="352"/>
      <c r="F3135" s="352"/>
      <c r="G3135" s="352"/>
      <c r="H3135" s="359" t="s">
        <v>2391</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2392</v>
      </c>
      <c r="I3138" s="352"/>
      <c r="J3138" s="352"/>
      <c r="K3138" s="352"/>
      <c r="L3138" s="352"/>
      <c r="M3138" s="352"/>
    </row>
    <row r="3139" spans="5:13" ht="19.5" customHeight="1">
      <c r="E3139" s="352"/>
      <c r="F3139" s="352">
        <v>2</v>
      </c>
      <c r="G3139" s="352" t="s">
        <v>1419</v>
      </c>
      <c r="H3139" s="352" t="s">
        <v>2633</v>
      </c>
      <c r="I3139" s="352">
        <f>I2868</f>
        <v>778</v>
      </c>
      <c r="J3139" s="352" t="s">
        <v>1419</v>
      </c>
      <c r="K3139" s="352">
        <f>F3139*I3139</f>
        <v>1556</v>
      </c>
      <c r="L3139" s="352"/>
      <c r="M3139" s="352"/>
    </row>
    <row r="3140" spans="5:13" ht="19.5" customHeight="1">
      <c r="E3140" s="352"/>
      <c r="F3140" s="352">
        <v>3</v>
      </c>
      <c r="G3140" s="352" t="s">
        <v>1419</v>
      </c>
      <c r="H3140" s="352" t="s">
        <v>2634</v>
      </c>
      <c r="I3140" s="352">
        <f>I2869</f>
        <v>611</v>
      </c>
      <c r="J3140" s="352" t="s">
        <v>1419</v>
      </c>
      <c r="K3140" s="352">
        <f>F3140*I3140</f>
        <v>1833</v>
      </c>
      <c r="L3140" s="352"/>
      <c r="M3140" s="352"/>
    </row>
    <row r="3141" spans="5:13" ht="19.5" customHeight="1">
      <c r="E3141" s="352"/>
      <c r="F3141" s="352"/>
      <c r="G3141" s="352"/>
      <c r="H3141" s="357" t="s">
        <v>3503</v>
      </c>
      <c r="I3141" s="352"/>
      <c r="J3141" s="352"/>
      <c r="K3141" s="358">
        <f>SUM(K3139:K3140)</f>
        <v>3389</v>
      </c>
      <c r="L3141" s="352"/>
      <c r="M3141" s="352"/>
    </row>
    <row r="3142" spans="5:13" ht="19.5" customHeight="1">
      <c r="E3142" s="352"/>
      <c r="F3142" s="352"/>
      <c r="G3142" s="352"/>
      <c r="H3142" s="359" t="s">
        <v>2841</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3504</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3505</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2810</v>
      </c>
      <c r="I3148" s="352"/>
      <c r="J3148" s="352"/>
      <c r="K3148" s="352"/>
      <c r="L3148" s="352"/>
      <c r="M3148" s="352"/>
    </row>
    <row r="3149" spans="5:13">
      <c r="E3149" s="352"/>
      <c r="F3149" s="352"/>
      <c r="G3149" s="352"/>
      <c r="H3149" s="352"/>
      <c r="I3149" s="352"/>
      <c r="J3149" s="352"/>
      <c r="K3149" s="352"/>
      <c r="L3149" s="352"/>
      <c r="M3149" s="352"/>
    </row>
    <row r="3150" spans="5:13" s="424" customFormat="1">
      <c r="E3150" s="423"/>
      <c r="F3150" s="423">
        <v>1</v>
      </c>
      <c r="G3150" s="423" t="s">
        <v>1419</v>
      </c>
      <c r="H3150" s="428" t="s">
        <v>2811</v>
      </c>
      <c r="I3150" s="429">
        <v>200</v>
      </c>
      <c r="J3150" s="423" t="s">
        <v>1419</v>
      </c>
      <c r="K3150" s="423">
        <f>F3150*I3150</f>
        <v>200</v>
      </c>
      <c r="L3150" s="423"/>
      <c r="M3150" s="423"/>
    </row>
    <row r="3151" spans="5:13" s="424" customFormat="1" ht="31.5">
      <c r="E3151" s="423"/>
      <c r="F3151" s="423">
        <v>1</v>
      </c>
      <c r="G3151" s="423" t="s">
        <v>1419</v>
      </c>
      <c r="H3151" s="428" t="s">
        <v>3590</v>
      </c>
      <c r="I3151" s="430">
        <v>81.349999999999994</v>
      </c>
      <c r="J3151" s="423" t="s">
        <v>1419</v>
      </c>
      <c r="K3151" s="423">
        <f>F3151*I3151</f>
        <v>81.349999999999994</v>
      </c>
      <c r="L3151" s="423"/>
      <c r="M3151" s="423"/>
    </row>
    <row r="3152" spans="5:13" ht="31.5">
      <c r="E3152" s="352"/>
      <c r="F3152" s="352"/>
      <c r="G3152" s="352"/>
      <c r="H3152" s="351" t="s">
        <v>2813</v>
      </c>
      <c r="I3152" s="352"/>
      <c r="J3152" s="352"/>
      <c r="K3152" s="352">
        <v>9.15</v>
      </c>
      <c r="L3152" s="352"/>
      <c r="M3152" s="352"/>
    </row>
    <row r="3153" spans="5:13">
      <c r="E3153" s="352"/>
      <c r="F3153" s="352"/>
      <c r="G3153" s="352"/>
      <c r="H3153" s="352" t="s">
        <v>931</v>
      </c>
      <c r="I3153" s="352"/>
      <c r="J3153" s="352"/>
      <c r="K3153" s="352">
        <f>K3161</f>
        <v>501.25</v>
      </c>
      <c r="L3153" s="352"/>
      <c r="M3153" s="352"/>
    </row>
    <row r="3154" spans="5:13" ht="19.5" customHeight="1">
      <c r="E3154" s="352"/>
      <c r="F3154" s="352"/>
      <c r="G3154" s="352"/>
      <c r="H3154" s="359" t="s">
        <v>2841</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931</v>
      </c>
      <c r="I3157" s="352"/>
      <c r="J3157" s="352"/>
      <c r="K3157" s="352"/>
      <c r="L3157" s="352"/>
      <c r="M3157" s="352"/>
    </row>
    <row r="3158" spans="5:13" ht="18.75" customHeight="1">
      <c r="E3158" s="352"/>
      <c r="F3158" s="352">
        <v>1</v>
      </c>
      <c r="G3158" s="352" t="s">
        <v>1419</v>
      </c>
      <c r="H3158" s="352" t="s">
        <v>2814</v>
      </c>
      <c r="I3158" s="352">
        <f>I2867</f>
        <v>783</v>
      </c>
      <c r="J3158" s="352" t="s">
        <v>1419</v>
      </c>
      <c r="K3158" s="352">
        <f>F3158*I3158</f>
        <v>783</v>
      </c>
      <c r="L3158" s="352"/>
      <c r="M3158" s="352"/>
    </row>
    <row r="3159" spans="5:13" ht="18.75" customHeight="1">
      <c r="E3159" s="352"/>
      <c r="F3159" s="352">
        <v>2</v>
      </c>
      <c r="G3159" s="352" t="s">
        <v>1419</v>
      </c>
      <c r="H3159" s="352" t="s">
        <v>2634</v>
      </c>
      <c r="I3159" s="352">
        <f>I3140</f>
        <v>611</v>
      </c>
      <c r="J3159" s="352" t="s">
        <v>1419</v>
      </c>
      <c r="K3159" s="352">
        <f>F3159*I3159</f>
        <v>1222</v>
      </c>
      <c r="L3159" s="352"/>
      <c r="M3159" s="352"/>
    </row>
    <row r="3160" spans="5:13" ht="15" customHeight="1">
      <c r="E3160" s="352"/>
      <c r="F3160" s="352"/>
      <c r="G3160" s="352"/>
      <c r="H3160" s="357" t="s">
        <v>2815</v>
      </c>
      <c r="I3160" s="352"/>
      <c r="J3160" s="352"/>
      <c r="K3160" s="358">
        <f>SUM(K3158:K3159)</f>
        <v>2005</v>
      </c>
      <c r="L3160" s="352"/>
      <c r="M3160" s="352"/>
    </row>
    <row r="3161" spans="5:13" ht="20.25" customHeight="1">
      <c r="E3161" s="352"/>
      <c r="F3161" s="352"/>
      <c r="G3161" s="352"/>
      <c r="H3161" s="359" t="s">
        <v>2942</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2816</v>
      </c>
      <c r="I3163" s="352"/>
      <c r="J3163" s="352"/>
      <c r="K3163" s="352"/>
      <c r="L3163" s="352"/>
      <c r="M3163" s="352"/>
    </row>
    <row r="3164" spans="5:13">
      <c r="E3164" s="352"/>
      <c r="F3164" s="352"/>
      <c r="G3164" s="352"/>
      <c r="H3164" s="352"/>
      <c r="I3164" s="352"/>
      <c r="J3164" s="352"/>
      <c r="K3164" s="352"/>
      <c r="L3164" s="352"/>
      <c r="M3164" s="352"/>
    </row>
    <row r="3165" spans="5:13" ht="47.25">
      <c r="E3165" s="352"/>
      <c r="F3165" s="352"/>
      <c r="G3165" s="352"/>
      <c r="H3165" s="350" t="s">
        <v>2817</v>
      </c>
      <c r="I3165" s="352"/>
      <c r="J3165" s="352"/>
      <c r="K3165" s="352"/>
      <c r="L3165" s="352"/>
      <c r="M3165" s="352"/>
    </row>
    <row r="3166" spans="5:13">
      <c r="E3166" s="352"/>
      <c r="F3166" s="352"/>
      <c r="G3166" s="352"/>
      <c r="H3166" s="352"/>
      <c r="I3166" s="352"/>
      <c r="J3166" s="352"/>
      <c r="K3166" s="352"/>
      <c r="L3166" s="352"/>
      <c r="M3166" s="352"/>
    </row>
    <row r="3167" spans="5:13" ht="63">
      <c r="E3167" s="352"/>
      <c r="F3167" s="352"/>
      <c r="G3167" s="352"/>
      <c r="H3167" s="351" t="s">
        <v>3276</v>
      </c>
      <c r="I3167" s="352"/>
      <c r="J3167" s="352"/>
      <c r="K3167" s="352"/>
      <c r="L3167" s="352"/>
      <c r="M3167" s="352"/>
    </row>
    <row r="3168" spans="5:13">
      <c r="E3168" s="352"/>
      <c r="F3168" s="352"/>
      <c r="G3168" s="352"/>
      <c r="H3168" s="352"/>
      <c r="I3168" s="352"/>
      <c r="J3168" s="352"/>
      <c r="K3168" s="352"/>
      <c r="L3168" s="352"/>
      <c r="M3168" s="352"/>
    </row>
    <row r="3169" spans="5:13" s="424" customFormat="1" ht="39.75" customHeight="1">
      <c r="E3169" s="423"/>
      <c r="F3169" s="423">
        <v>1</v>
      </c>
      <c r="G3169" s="423" t="s">
        <v>1419</v>
      </c>
      <c r="H3169" s="428" t="s">
        <v>3277</v>
      </c>
      <c r="I3169" s="429">
        <v>455</v>
      </c>
      <c r="J3169" s="423" t="s">
        <v>1419</v>
      </c>
      <c r="K3169" s="423">
        <f>F3169*I3169</f>
        <v>455</v>
      </c>
      <c r="L3169" s="423"/>
      <c r="M3169" s="423"/>
    </row>
    <row r="3170" spans="5:13" s="424" customFormat="1" ht="39" customHeight="1">
      <c r="E3170" s="423"/>
      <c r="F3170" s="423">
        <v>1</v>
      </c>
      <c r="G3170" s="423" t="s">
        <v>1419</v>
      </c>
      <c r="H3170" s="428" t="s">
        <v>2812</v>
      </c>
      <c r="I3170" s="423">
        <f>I3151</f>
        <v>81.349999999999994</v>
      </c>
      <c r="J3170" s="423" t="s">
        <v>1419</v>
      </c>
      <c r="K3170" s="423">
        <f>F3170*I3170</f>
        <v>81.349999999999994</v>
      </c>
      <c r="L3170" s="423"/>
      <c r="M3170" s="423"/>
    </row>
    <row r="3171" spans="5:13" ht="42.75" customHeight="1">
      <c r="E3171" s="352"/>
      <c r="F3171" s="352"/>
      <c r="G3171" s="352"/>
      <c r="H3171" s="351" t="s">
        <v>2813</v>
      </c>
      <c r="I3171" s="352"/>
      <c r="J3171" s="352"/>
      <c r="K3171" s="352">
        <v>9.15</v>
      </c>
      <c r="L3171" s="352"/>
      <c r="M3171" s="352"/>
    </row>
    <row r="3172" spans="5:13" ht="20.100000000000001" customHeight="1">
      <c r="E3172" s="352"/>
      <c r="F3172" s="352"/>
      <c r="G3172" s="352"/>
      <c r="H3172" s="352" t="s">
        <v>931</v>
      </c>
      <c r="I3172" s="352"/>
      <c r="J3172" s="352"/>
      <c r="K3172" s="352">
        <f>K3161</f>
        <v>501.25</v>
      </c>
      <c r="L3172" s="352"/>
      <c r="M3172" s="352"/>
    </row>
    <row r="3173" spans="5:13" ht="30" customHeight="1">
      <c r="E3173" s="352"/>
      <c r="F3173" s="352"/>
      <c r="G3173" s="352"/>
      <c r="H3173" s="359" t="s">
        <v>2841</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3283</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2445</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1419</v>
      </c>
      <c r="H3180" s="351" t="s">
        <v>4457</v>
      </c>
      <c r="I3180" s="353">
        <v>439</v>
      </c>
      <c r="J3180" s="352" t="s">
        <v>1419</v>
      </c>
      <c r="K3180" s="352">
        <f>F3180*I3180</f>
        <v>439</v>
      </c>
      <c r="L3180" s="352"/>
      <c r="M3180" s="352"/>
    </row>
    <row r="3181" spans="5:13" ht="20.100000000000001" customHeight="1">
      <c r="E3181" s="352"/>
      <c r="F3181" s="352">
        <v>1</v>
      </c>
      <c r="G3181" s="352" t="s">
        <v>1419</v>
      </c>
      <c r="H3181" s="352" t="s">
        <v>2446</v>
      </c>
      <c r="I3181" s="352">
        <f>I3170</f>
        <v>81.349999999999994</v>
      </c>
      <c r="J3181" s="352" t="s">
        <v>1419</v>
      </c>
      <c r="K3181" s="352">
        <f>F3181*I3181</f>
        <v>81.349999999999994</v>
      </c>
      <c r="L3181" s="352"/>
      <c r="M3181" s="352"/>
    </row>
    <row r="3182" spans="5:13" ht="20.100000000000001" customHeight="1">
      <c r="E3182" s="352"/>
      <c r="F3182" s="352"/>
      <c r="G3182" s="352"/>
      <c r="H3182" s="352" t="s">
        <v>2310</v>
      </c>
      <c r="I3182" s="352"/>
      <c r="J3182" s="352"/>
      <c r="K3182" s="352">
        <f>8.65+1.07+0.43</f>
        <v>10.15</v>
      </c>
      <c r="L3182" s="352"/>
      <c r="M3182" s="352"/>
    </row>
    <row r="3183" spans="5:13" ht="20.100000000000001" customHeight="1">
      <c r="E3183" s="352"/>
      <c r="F3183" s="352"/>
      <c r="G3183" s="352"/>
      <c r="H3183" s="352" t="s">
        <v>2447</v>
      </c>
      <c r="I3183" s="352"/>
      <c r="J3183" s="352"/>
      <c r="K3183" s="352">
        <f>K3161</f>
        <v>501.25</v>
      </c>
      <c r="L3183" s="352"/>
      <c r="M3183" s="352"/>
    </row>
    <row r="3184" spans="5:13" ht="30" customHeight="1">
      <c r="E3184" s="352"/>
      <c r="F3184" s="352"/>
      <c r="G3184" s="352"/>
      <c r="H3184" s="359" t="s">
        <v>1083</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2816</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3491</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3492</v>
      </c>
      <c r="I3190" s="352"/>
      <c r="J3190" s="352"/>
      <c r="K3190" s="352"/>
      <c r="L3190" s="352"/>
      <c r="M3190" s="352"/>
    </row>
    <row r="3191" spans="5:13" ht="38.25" customHeight="1">
      <c r="E3191" s="352"/>
      <c r="F3191" s="352">
        <v>1</v>
      </c>
      <c r="G3191" s="352" t="s">
        <v>1419</v>
      </c>
      <c r="H3191" s="351" t="s">
        <v>3493</v>
      </c>
      <c r="I3191" s="521">
        <v>480</v>
      </c>
      <c r="J3191" s="352" t="s">
        <v>1419</v>
      </c>
      <c r="K3191" s="352">
        <f>F3191*I3191</f>
        <v>480</v>
      </c>
      <c r="L3191" s="352"/>
      <c r="M3191" s="352"/>
    </row>
    <row r="3192" spans="5:13" ht="40.5" customHeight="1">
      <c r="E3192" s="352"/>
      <c r="F3192" s="352">
        <v>1</v>
      </c>
      <c r="G3192" s="352" t="s">
        <v>1419</v>
      </c>
      <c r="H3192" s="351" t="s">
        <v>2644</v>
      </c>
      <c r="I3192" s="352">
        <v>130</v>
      </c>
      <c r="J3192" s="352" t="s">
        <v>1419</v>
      </c>
      <c r="K3192" s="352">
        <f>F3192*I3192</f>
        <v>130</v>
      </c>
      <c r="L3192" s="352"/>
      <c r="M3192" s="352"/>
    </row>
    <row r="3193" spans="5:13" ht="38.25" customHeight="1">
      <c r="E3193" s="352"/>
      <c r="F3193" s="352"/>
      <c r="G3193" s="352"/>
      <c r="H3193" s="351" t="s">
        <v>2645</v>
      </c>
      <c r="I3193" s="352"/>
      <c r="J3193" s="352"/>
      <c r="K3193" s="352">
        <v>12.67</v>
      </c>
      <c r="L3193" s="352"/>
      <c r="M3193" s="352"/>
    </row>
    <row r="3194" spans="5:13" ht="23.25" customHeight="1">
      <c r="E3194" s="352"/>
      <c r="F3194" s="352"/>
      <c r="G3194" s="352"/>
      <c r="H3194" s="352" t="s">
        <v>931</v>
      </c>
      <c r="I3194" s="352"/>
      <c r="J3194" s="352"/>
      <c r="K3194" s="352">
        <f>K3201</f>
        <v>668.33</v>
      </c>
      <c r="L3194" s="352"/>
      <c r="M3194" s="352"/>
    </row>
    <row r="3195" spans="5:13" ht="30" customHeight="1">
      <c r="E3195" s="352"/>
      <c r="F3195" s="352"/>
      <c r="G3195" s="352"/>
      <c r="H3195" s="359" t="s">
        <v>1083</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931</v>
      </c>
      <c r="I3197" s="352"/>
      <c r="J3197" s="352"/>
      <c r="K3197" s="352"/>
      <c r="L3197" s="352"/>
      <c r="M3197" s="352"/>
    </row>
    <row r="3198" spans="5:13">
      <c r="E3198" s="352"/>
      <c r="F3198" s="352">
        <v>1</v>
      </c>
      <c r="G3198" s="352" t="s">
        <v>1419</v>
      </c>
      <c r="H3198" s="352" t="s">
        <v>2646</v>
      </c>
      <c r="I3198" s="352">
        <f>I3158</f>
        <v>783</v>
      </c>
      <c r="J3198" s="352" t="s">
        <v>1419</v>
      </c>
      <c r="K3198" s="352">
        <f>F3198*I3198</f>
        <v>783</v>
      </c>
      <c r="L3198" s="352"/>
      <c r="M3198" s="352"/>
    </row>
    <row r="3199" spans="5:13">
      <c r="E3199" s="352"/>
      <c r="F3199" s="352">
        <v>2</v>
      </c>
      <c r="G3199" s="352" t="s">
        <v>1419</v>
      </c>
      <c r="H3199" s="352" t="s">
        <v>3137</v>
      </c>
      <c r="I3199" s="352">
        <f>I3159</f>
        <v>611</v>
      </c>
      <c r="J3199" s="352" t="s">
        <v>1419</v>
      </c>
      <c r="K3199" s="352">
        <f>F3199*I3199</f>
        <v>1222</v>
      </c>
      <c r="L3199" s="352"/>
      <c r="M3199" s="352"/>
    </row>
    <row r="3200" spans="5:13" ht="20.100000000000001" customHeight="1">
      <c r="E3200" s="352"/>
      <c r="F3200" s="352"/>
      <c r="G3200" s="352"/>
      <c r="H3200" s="357" t="s">
        <v>3139</v>
      </c>
      <c r="I3200" s="352"/>
      <c r="J3200" s="352"/>
      <c r="K3200" s="352">
        <f>SUM(K3198:K3199)</f>
        <v>2005</v>
      </c>
      <c r="L3200" s="352"/>
      <c r="M3200" s="352"/>
    </row>
    <row r="3201" spans="5:13" ht="20.100000000000001" customHeight="1">
      <c r="E3201" s="352"/>
      <c r="F3201" s="352"/>
      <c r="G3201" s="352"/>
      <c r="H3201" s="359" t="s">
        <v>2841</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2647</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2896</v>
      </c>
      <c r="I3205" s="352"/>
      <c r="J3205" s="352"/>
      <c r="K3205" s="352"/>
      <c r="L3205" s="352"/>
      <c r="M3205" s="352"/>
    </row>
    <row r="3206" spans="5:13" ht="30" customHeight="1">
      <c r="E3206" s="352"/>
      <c r="F3206" s="352">
        <v>1</v>
      </c>
      <c r="G3206" s="352" t="s">
        <v>1419</v>
      </c>
      <c r="H3206" s="352" t="s">
        <v>2661</v>
      </c>
      <c r="I3206" s="521">
        <v>800</v>
      </c>
      <c r="J3206" s="352" t="s">
        <v>1419</v>
      </c>
      <c r="K3206" s="352">
        <f>F3206*I3206</f>
        <v>800</v>
      </c>
      <c r="L3206" s="352"/>
      <c r="M3206" s="352"/>
    </row>
    <row r="3207" spans="5:13" ht="43.5" customHeight="1">
      <c r="E3207" s="352"/>
      <c r="F3207" s="352">
        <v>1</v>
      </c>
      <c r="G3207" s="352" t="s">
        <v>1419</v>
      </c>
      <c r="H3207" s="351" t="s">
        <v>2644</v>
      </c>
      <c r="I3207" s="352">
        <f>I3192</f>
        <v>130</v>
      </c>
      <c r="J3207" s="352" t="s">
        <v>1419</v>
      </c>
      <c r="K3207" s="352">
        <f>F3207*I3207</f>
        <v>130</v>
      </c>
      <c r="L3207" s="352"/>
      <c r="M3207" s="352"/>
    </row>
    <row r="3208" spans="5:13" ht="41.25" customHeight="1">
      <c r="E3208" s="352"/>
      <c r="F3208" s="352"/>
      <c r="G3208" s="352"/>
      <c r="H3208" s="351" t="s">
        <v>2645</v>
      </c>
      <c r="I3208" s="352"/>
      <c r="J3208" s="352"/>
      <c r="K3208" s="352">
        <v>10.67</v>
      </c>
      <c r="L3208" s="352"/>
      <c r="M3208" s="352"/>
    </row>
    <row r="3209" spans="5:13" ht="30" customHeight="1">
      <c r="E3209" s="352"/>
      <c r="F3209" s="352"/>
      <c r="G3209" s="352"/>
      <c r="H3209" s="352" t="s">
        <v>931</v>
      </c>
      <c r="I3209" s="352"/>
      <c r="J3209" s="352"/>
      <c r="K3209" s="352">
        <f>K3201</f>
        <v>668.33</v>
      </c>
      <c r="L3209" s="352"/>
      <c r="M3209" s="352"/>
    </row>
    <row r="3210" spans="5:13" ht="30" customHeight="1">
      <c r="E3210" s="352"/>
      <c r="F3210" s="352"/>
      <c r="G3210" s="352"/>
      <c r="H3210" s="359" t="s">
        <v>1083</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2662</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3196</v>
      </c>
      <c r="I3214" s="352"/>
      <c r="J3214" s="352"/>
      <c r="K3214" s="352"/>
      <c r="L3214" s="352"/>
      <c r="M3214" s="352"/>
    </row>
    <row r="3215" spans="5:13" ht="95.25" customHeight="1">
      <c r="E3215" s="352"/>
      <c r="F3215" s="352"/>
      <c r="G3215" s="352"/>
      <c r="H3215" s="351" t="s">
        <v>3462</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1419</v>
      </c>
      <c r="H3217" s="351" t="s">
        <v>4458</v>
      </c>
      <c r="I3217" s="353">
        <v>2190</v>
      </c>
      <c r="J3217" s="352" t="s">
        <v>1419</v>
      </c>
      <c r="K3217" s="352">
        <f>F3217*I3217</f>
        <v>2190</v>
      </c>
      <c r="L3217" s="352"/>
      <c r="M3217" s="352"/>
    </row>
    <row r="3218" spans="5:14" ht="30" customHeight="1">
      <c r="E3218" s="352"/>
      <c r="F3218" s="352">
        <v>1</v>
      </c>
      <c r="G3218" s="352" t="s">
        <v>1419</v>
      </c>
      <c r="H3218" s="352" t="s">
        <v>3463</v>
      </c>
      <c r="I3218" s="353">
        <f>K3222</f>
        <v>433.59</v>
      </c>
      <c r="J3218" s="352" t="s">
        <v>1419</v>
      </c>
      <c r="K3218" s="352">
        <f>F3218*I3218</f>
        <v>433.59</v>
      </c>
      <c r="L3218" s="352"/>
      <c r="M3218" s="352"/>
    </row>
    <row r="3219" spans="5:14" ht="44.25" customHeight="1">
      <c r="E3219" s="352"/>
      <c r="F3219" s="352"/>
      <c r="G3219" s="352"/>
      <c r="H3219" s="351" t="s">
        <v>3464</v>
      </c>
      <c r="I3219" s="352"/>
      <c r="J3219" s="352"/>
      <c r="K3219" s="352">
        <f>26.9+0.18</f>
        <v>27.08</v>
      </c>
      <c r="L3219" s="352"/>
      <c r="M3219" s="352"/>
    </row>
    <row r="3220" spans="5:14" ht="30" customHeight="1">
      <c r="E3220" s="352"/>
      <c r="F3220" s="352"/>
      <c r="G3220" s="352"/>
      <c r="H3220" s="352" t="s">
        <v>931</v>
      </c>
      <c r="I3220" s="352"/>
      <c r="J3220" s="352"/>
      <c r="K3220" s="352">
        <f>K3201</f>
        <v>668.33</v>
      </c>
      <c r="L3220" s="352"/>
      <c r="M3220" s="352"/>
    </row>
    <row r="3221" spans="5:14" ht="30" customHeight="1">
      <c r="E3221" s="352"/>
      <c r="F3221" s="352"/>
      <c r="G3221" s="352"/>
      <c r="H3221" s="359" t="s">
        <v>1083</v>
      </c>
      <c r="I3221" s="352"/>
      <c r="J3221" s="352"/>
      <c r="K3221" s="360">
        <f>SUM(K3217:K3220)</f>
        <v>3319</v>
      </c>
      <c r="L3221" s="352">
        <f>K3221-3050</f>
        <v>269</v>
      </c>
      <c r="M3221" s="352"/>
    </row>
    <row r="3222" spans="5:14" ht="30" customHeight="1">
      <c r="E3222" s="352"/>
      <c r="F3222" s="352"/>
      <c r="G3222" s="352"/>
      <c r="H3222" s="352" t="s">
        <v>3946</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3465</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2630</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2631</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3020</v>
      </c>
      <c r="I3229" s="352"/>
      <c r="J3229" s="352"/>
      <c r="K3229" s="352">
        <f>K3221</f>
        <v>3319</v>
      </c>
      <c r="L3229" s="352"/>
      <c r="M3229" s="352"/>
    </row>
    <row r="3230" spans="5:14" ht="30" customHeight="1">
      <c r="E3230" s="352"/>
      <c r="F3230" s="352">
        <v>1</v>
      </c>
      <c r="G3230" s="352" t="s">
        <v>1419</v>
      </c>
      <c r="H3230" s="352" t="s">
        <v>4459</v>
      </c>
      <c r="I3230" s="353">
        <v>2925</v>
      </c>
      <c r="J3230" s="352" t="s">
        <v>1419</v>
      </c>
      <c r="K3230" s="352">
        <f>F3230*I3230</f>
        <v>2925</v>
      </c>
      <c r="L3230" s="352"/>
      <c r="M3230" s="352"/>
    </row>
    <row r="3231" spans="5:14" ht="30" customHeight="1">
      <c r="E3231" s="352"/>
      <c r="F3231" s="352">
        <v>1</v>
      </c>
      <c r="G3231" s="352" t="s">
        <v>1419</v>
      </c>
      <c r="H3231" s="352" t="s">
        <v>4460</v>
      </c>
      <c r="I3231" s="421">
        <f>I3217</f>
        <v>2190</v>
      </c>
      <c r="J3231" s="352" t="s">
        <v>1419</v>
      </c>
      <c r="K3231" s="352">
        <f>F3231*I3231</f>
        <v>2190</v>
      </c>
      <c r="L3231" s="352"/>
      <c r="M3231" s="352"/>
    </row>
    <row r="3232" spans="5:14" ht="30" customHeight="1">
      <c r="E3232" s="352"/>
      <c r="F3232" s="352"/>
      <c r="G3232" s="352"/>
      <c r="H3232" s="352" t="s">
        <v>2310</v>
      </c>
      <c r="I3232" s="352"/>
      <c r="J3232" s="352"/>
      <c r="K3232" s="352">
        <f>1.31+0.69</f>
        <v>2</v>
      </c>
      <c r="L3232" s="352"/>
      <c r="M3232" s="352"/>
    </row>
    <row r="3233" spans="5:13" ht="30" customHeight="1">
      <c r="E3233" s="352"/>
      <c r="F3233" s="352"/>
      <c r="G3233" s="352"/>
      <c r="H3233" s="359" t="s">
        <v>1083</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2647</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3411</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2362</v>
      </c>
      <c r="I3239" s="352"/>
      <c r="J3239" s="352"/>
      <c r="K3239" s="352"/>
      <c r="L3239" s="352"/>
      <c r="M3239" s="352"/>
    </row>
    <row r="3240" spans="5:13" ht="24.95" customHeight="1">
      <c r="E3240" s="352"/>
      <c r="F3240" s="352">
        <v>2</v>
      </c>
      <c r="G3240" s="352" t="s">
        <v>1419</v>
      </c>
      <c r="H3240" s="352" t="s">
        <v>4461</v>
      </c>
      <c r="I3240" s="353">
        <v>527</v>
      </c>
      <c r="J3240" s="352" t="s">
        <v>2935</v>
      </c>
      <c r="K3240" s="352">
        <f>F3240*(I3240/100)</f>
        <v>10.54</v>
      </c>
      <c r="L3240" s="352"/>
      <c r="M3240" s="352"/>
    </row>
    <row r="3241" spans="5:13" ht="24.95" customHeight="1">
      <c r="E3241" s="352"/>
      <c r="F3241" s="352">
        <v>2</v>
      </c>
      <c r="G3241" s="352" t="s">
        <v>842</v>
      </c>
      <c r="H3241" s="352" t="s">
        <v>2363</v>
      </c>
      <c r="I3241" s="441">
        <v>914.1</v>
      </c>
      <c r="J3241" s="352" t="s">
        <v>2364</v>
      </c>
      <c r="K3241" s="352">
        <f>F3241*(I3241/100)</f>
        <v>18.28</v>
      </c>
      <c r="L3241" s="352"/>
      <c r="M3241" s="352"/>
    </row>
    <row r="3242" spans="5:13" ht="24.95" customHeight="1">
      <c r="E3242" s="352"/>
      <c r="F3242" s="352"/>
      <c r="G3242" s="352"/>
      <c r="H3242" s="352" t="s">
        <v>2365</v>
      </c>
      <c r="I3242" s="352"/>
      <c r="J3242" s="352"/>
      <c r="K3242" s="352">
        <v>7.93</v>
      </c>
      <c r="L3242" s="352"/>
      <c r="M3242" s="352"/>
    </row>
    <row r="3243" spans="5:13" ht="24.95" customHeight="1">
      <c r="E3243" s="352"/>
      <c r="F3243" s="352"/>
      <c r="G3243" s="352"/>
      <c r="H3243" s="352" t="s">
        <v>3426</v>
      </c>
      <c r="I3243" s="352"/>
      <c r="J3243" s="352"/>
      <c r="K3243" s="352">
        <f>K3251</f>
        <v>260.75</v>
      </c>
      <c r="L3243" s="352"/>
      <c r="M3243" s="352"/>
    </row>
    <row r="3244" spans="5:13" ht="24.95" customHeight="1">
      <c r="E3244" s="352"/>
      <c r="F3244" s="352"/>
      <c r="G3244" s="352"/>
      <c r="H3244" s="359" t="s">
        <v>1083</v>
      </c>
      <c r="I3244" s="352"/>
      <c r="J3244" s="352"/>
      <c r="K3244" s="360">
        <f>SUM(K3240:K3243)</f>
        <v>297.5</v>
      </c>
      <c r="L3244" s="352"/>
      <c r="M3244" s="352"/>
    </row>
    <row r="3245" spans="5:13">
      <c r="E3245" s="352"/>
      <c r="F3245" s="352"/>
      <c r="G3245" s="352"/>
      <c r="H3245" s="352"/>
      <c r="I3245" s="352"/>
      <c r="J3245" s="352"/>
      <c r="K3245" s="352"/>
      <c r="L3245" s="352"/>
      <c r="M3245" s="352"/>
    </row>
    <row r="3246" spans="5:13">
      <c r="E3246" s="352"/>
      <c r="F3246" s="352"/>
      <c r="H3246" s="358" t="s">
        <v>3427</v>
      </c>
      <c r="I3246" s="352"/>
      <c r="J3246" s="352"/>
      <c r="K3246" s="352"/>
      <c r="L3246" s="352"/>
      <c r="M3246" s="352"/>
    </row>
    <row r="3247" spans="5:13">
      <c r="E3247" s="352"/>
      <c r="F3247" s="352">
        <v>1</v>
      </c>
      <c r="G3247" s="352" t="s">
        <v>1419</v>
      </c>
      <c r="H3247" s="352" t="s">
        <v>2814</v>
      </c>
      <c r="I3247" s="352">
        <f>I2867</f>
        <v>783</v>
      </c>
      <c r="J3247" s="352" t="s">
        <v>1419</v>
      </c>
      <c r="K3247" s="352">
        <f>F3247*I3247</f>
        <v>783</v>
      </c>
      <c r="L3247" s="352"/>
      <c r="M3247" s="352"/>
    </row>
    <row r="3248" spans="5:13">
      <c r="E3248" s="352"/>
      <c r="F3248" s="352">
        <v>2</v>
      </c>
      <c r="G3248" s="352" t="s">
        <v>1419</v>
      </c>
      <c r="H3248" s="352" t="s">
        <v>2633</v>
      </c>
      <c r="I3248" s="352">
        <f>I2868</f>
        <v>778</v>
      </c>
      <c r="J3248" s="352" t="s">
        <v>1419</v>
      </c>
      <c r="K3248" s="352">
        <f>F3248*I3248</f>
        <v>1556</v>
      </c>
      <c r="L3248" s="352"/>
      <c r="M3248" s="352"/>
    </row>
    <row r="3249" spans="5:13">
      <c r="E3249" s="352"/>
      <c r="F3249" s="352">
        <v>3</v>
      </c>
      <c r="G3249" s="352" t="s">
        <v>1419</v>
      </c>
      <c r="H3249" s="352" t="s">
        <v>3137</v>
      </c>
      <c r="I3249" s="352">
        <f>I2869</f>
        <v>611</v>
      </c>
      <c r="J3249" s="352" t="s">
        <v>1419</v>
      </c>
      <c r="K3249" s="352">
        <f>F3249*I3249</f>
        <v>1833</v>
      </c>
      <c r="L3249" s="352"/>
      <c r="M3249" s="352"/>
    </row>
    <row r="3250" spans="5:13">
      <c r="E3250" s="352"/>
      <c r="F3250" s="352"/>
      <c r="G3250" s="352"/>
      <c r="H3250" s="357" t="s">
        <v>3428</v>
      </c>
      <c r="I3250" s="352"/>
      <c r="J3250" s="352"/>
      <c r="K3250" s="358">
        <f>SUM(K3247:K3249)</f>
        <v>4172</v>
      </c>
      <c r="L3250" s="352"/>
      <c r="M3250" s="352"/>
    </row>
    <row r="3251" spans="5:13">
      <c r="E3251" s="352"/>
      <c r="F3251" s="352"/>
      <c r="G3251" s="352"/>
      <c r="H3251" s="359" t="s">
        <v>2841</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3429</v>
      </c>
      <c r="I3253" s="352"/>
      <c r="J3253" s="352"/>
      <c r="K3253" s="352"/>
      <c r="L3253" s="352"/>
      <c r="M3253" s="352"/>
    </row>
    <row r="3254" spans="5:13" ht="36" customHeight="1">
      <c r="E3254" s="352"/>
      <c r="F3254" s="352"/>
      <c r="G3254" s="352"/>
      <c r="H3254" s="350" t="s">
        <v>3430</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2789</v>
      </c>
      <c r="I3256" s="352"/>
      <c r="J3256" s="352"/>
      <c r="K3256" s="352"/>
      <c r="L3256" s="352"/>
      <c r="M3256" s="352"/>
    </row>
    <row r="3257" spans="5:13">
      <c r="E3257" s="352"/>
      <c r="F3257" s="352">
        <v>1.5</v>
      </c>
      <c r="G3257" s="352" t="s">
        <v>842</v>
      </c>
      <c r="H3257" s="352" t="s">
        <v>3983</v>
      </c>
      <c r="I3257" s="353">
        <v>27.2</v>
      </c>
      <c r="J3257" s="352" t="s">
        <v>842</v>
      </c>
      <c r="K3257" s="352">
        <f>F3257*I3257</f>
        <v>40.799999999999997</v>
      </c>
      <c r="L3257" s="352"/>
      <c r="M3257" s="352"/>
    </row>
    <row r="3258" spans="5:13">
      <c r="E3258" s="352"/>
      <c r="F3258" s="352">
        <v>2</v>
      </c>
      <c r="G3258" s="352" t="s">
        <v>1419</v>
      </c>
      <c r="H3258" s="352" t="s">
        <v>2790</v>
      </c>
      <c r="I3258" s="352">
        <f>I3240</f>
        <v>527</v>
      </c>
      <c r="J3258" s="352" t="s">
        <v>2935</v>
      </c>
      <c r="K3258" s="352">
        <f>F3258*(I3258/100)</f>
        <v>10.54</v>
      </c>
      <c r="L3258" s="352"/>
      <c r="M3258" s="352"/>
    </row>
    <row r="3259" spans="5:13">
      <c r="E3259" s="352"/>
      <c r="F3259" s="352">
        <v>2</v>
      </c>
      <c r="G3259" s="352" t="s">
        <v>842</v>
      </c>
      <c r="H3259" s="352" t="s">
        <v>2363</v>
      </c>
      <c r="I3259" s="352">
        <f>I3241</f>
        <v>914.1</v>
      </c>
      <c r="J3259" s="352" t="s">
        <v>842</v>
      </c>
      <c r="K3259" s="352">
        <f>F3259*(I3259/100)</f>
        <v>18.28</v>
      </c>
      <c r="L3259" s="352"/>
      <c r="M3259" s="352"/>
    </row>
    <row r="3260" spans="5:13" ht="31.5" customHeight="1">
      <c r="E3260" s="352"/>
      <c r="F3260" s="352"/>
      <c r="G3260" s="352"/>
      <c r="H3260" s="351" t="s">
        <v>2791</v>
      </c>
      <c r="I3260" s="352"/>
      <c r="J3260" s="352"/>
      <c r="K3260" s="352">
        <v>5.98</v>
      </c>
      <c r="L3260" s="352"/>
      <c r="M3260" s="352"/>
    </row>
    <row r="3261" spans="5:13">
      <c r="E3261" s="352"/>
      <c r="F3261" s="352"/>
      <c r="G3261" s="352"/>
      <c r="H3261" s="352" t="s">
        <v>931</v>
      </c>
      <c r="I3261" s="352"/>
      <c r="J3261" s="352"/>
      <c r="K3261" s="352">
        <f>K3269</f>
        <v>417.2</v>
      </c>
      <c r="L3261" s="352"/>
      <c r="M3261" s="352"/>
    </row>
    <row r="3262" spans="5:13" ht="24.95" customHeight="1">
      <c r="E3262" s="352"/>
      <c r="F3262" s="352"/>
      <c r="G3262" s="352"/>
      <c r="H3262" s="359" t="s">
        <v>1083</v>
      </c>
      <c r="I3262" s="352"/>
      <c r="J3262" s="352"/>
      <c r="K3262" s="360">
        <f>SUM(K3257:K3261)</f>
        <v>492.8</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1419</v>
      </c>
      <c r="H3265" s="352" t="s">
        <v>2814</v>
      </c>
      <c r="I3265" s="352">
        <f>I3247</f>
        <v>783</v>
      </c>
      <c r="J3265" s="352" t="s">
        <v>1419</v>
      </c>
      <c r="K3265" s="352">
        <f>F3265*I3265</f>
        <v>783</v>
      </c>
      <c r="L3265" s="352"/>
      <c r="M3265" s="352"/>
    </row>
    <row r="3266" spans="5:13">
      <c r="E3266" s="352"/>
      <c r="F3266" s="352">
        <v>2</v>
      </c>
      <c r="G3266" s="352" t="s">
        <v>1419</v>
      </c>
      <c r="H3266" s="352" t="s">
        <v>2633</v>
      </c>
      <c r="I3266" s="352">
        <f>I3248</f>
        <v>778</v>
      </c>
      <c r="J3266" s="352" t="s">
        <v>1419</v>
      </c>
      <c r="K3266" s="352">
        <f>F3266*I3266</f>
        <v>1556</v>
      </c>
      <c r="L3266" s="352"/>
      <c r="M3266" s="352"/>
    </row>
    <row r="3267" spans="5:13">
      <c r="E3267" s="352"/>
      <c r="F3267" s="352">
        <v>3</v>
      </c>
      <c r="G3267" s="352" t="s">
        <v>1419</v>
      </c>
      <c r="H3267" s="352" t="s">
        <v>3137</v>
      </c>
      <c r="I3267" s="352">
        <f>I3249</f>
        <v>611</v>
      </c>
      <c r="J3267" s="352" t="s">
        <v>1419</v>
      </c>
      <c r="K3267" s="352">
        <f>F3267*I3267</f>
        <v>1833</v>
      </c>
      <c r="L3267" s="352"/>
      <c r="M3267" s="352"/>
    </row>
    <row r="3268" spans="5:13">
      <c r="E3268" s="352"/>
      <c r="F3268" s="352"/>
      <c r="G3268" s="352"/>
      <c r="H3268" s="357" t="s">
        <v>2792</v>
      </c>
      <c r="I3268" s="352"/>
      <c r="J3268" s="352"/>
      <c r="K3268" s="358">
        <f>SUM(K3265:K3267)</f>
        <v>4172</v>
      </c>
      <c r="L3268" s="352"/>
      <c r="M3268" s="352"/>
    </row>
    <row r="3269" spans="5:13">
      <c r="E3269" s="352"/>
      <c r="F3269" s="352"/>
      <c r="G3269" s="352"/>
      <c r="H3269" s="359" t="s">
        <v>2841</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3465</v>
      </c>
      <c r="I3271" s="352"/>
      <c r="J3271" s="352"/>
      <c r="K3271" s="352"/>
      <c r="L3271" s="352"/>
      <c r="M3271" s="352"/>
    </row>
    <row r="3272" spans="5:13" ht="83.25" customHeight="1">
      <c r="E3272" s="352"/>
      <c r="F3272" s="352"/>
      <c r="G3272" s="352"/>
      <c r="H3272" s="351" t="s">
        <v>3176</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842</v>
      </c>
      <c r="H3274" s="352" t="s">
        <v>2363</v>
      </c>
      <c r="I3274" s="352">
        <f>I3259</f>
        <v>914.1</v>
      </c>
      <c r="J3274" s="352" t="s">
        <v>3177</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2366</v>
      </c>
      <c r="J3276" s="352"/>
      <c r="K3276" s="352">
        <v>4.8600000000000003</v>
      </c>
      <c r="L3276" s="352"/>
      <c r="M3276" s="352"/>
    </row>
    <row r="3277" spans="5:13" ht="24.95" customHeight="1">
      <c r="E3277" s="352"/>
      <c r="F3277" s="352"/>
      <c r="G3277" s="352"/>
      <c r="H3277" s="358" t="s">
        <v>3178</v>
      </c>
      <c r="I3277" s="360" t="s">
        <v>1083</v>
      </c>
      <c r="J3277" s="352"/>
      <c r="K3277" s="360">
        <f>SUM(K3274:K3276)</f>
        <v>570.6</v>
      </c>
      <c r="L3277" s="352">
        <f>304-K3277</f>
        <v>-266.60000000000002</v>
      </c>
      <c r="M3277" s="352"/>
    </row>
    <row r="3278" spans="5:13" ht="21" customHeight="1">
      <c r="E3278" s="352"/>
      <c r="F3278" s="352">
        <v>1</v>
      </c>
      <c r="G3278" s="352" t="s">
        <v>1419</v>
      </c>
      <c r="H3278" s="352" t="s">
        <v>2814</v>
      </c>
      <c r="I3278" s="352">
        <f>I3265</f>
        <v>783</v>
      </c>
      <c r="J3278" s="352" t="s">
        <v>1419</v>
      </c>
      <c r="K3278" s="352">
        <f>F3278*I3278</f>
        <v>783</v>
      </c>
      <c r="L3278" s="352"/>
      <c r="M3278" s="352"/>
    </row>
    <row r="3279" spans="5:13" ht="21" customHeight="1">
      <c r="E3279" s="352"/>
      <c r="F3279" s="352">
        <v>1</v>
      </c>
      <c r="G3279" s="352" t="s">
        <v>1419</v>
      </c>
      <c r="H3279" s="352" t="s">
        <v>2633</v>
      </c>
      <c r="I3279" s="352">
        <f>I3266</f>
        <v>778</v>
      </c>
      <c r="J3279" s="352" t="s">
        <v>1419</v>
      </c>
      <c r="K3279" s="352">
        <f>F3279*I3279</f>
        <v>778</v>
      </c>
      <c r="L3279" s="352"/>
      <c r="M3279" s="352"/>
    </row>
    <row r="3280" spans="5:13" ht="21" customHeight="1">
      <c r="E3280" s="352"/>
      <c r="F3280" s="352">
        <v>2</v>
      </c>
      <c r="G3280" s="352" t="s">
        <v>1419</v>
      </c>
      <c r="H3280" s="352" t="s">
        <v>3137</v>
      </c>
      <c r="I3280" s="352">
        <f>I3267</f>
        <v>611</v>
      </c>
      <c r="J3280" s="352" t="s">
        <v>1419</v>
      </c>
      <c r="K3280" s="352">
        <f>F3280*I3280</f>
        <v>1222</v>
      </c>
      <c r="L3280" s="352"/>
      <c r="M3280" s="352"/>
    </row>
    <row r="3281" spans="5:13" ht="24.95" customHeight="1">
      <c r="E3281" s="352"/>
      <c r="F3281" s="352"/>
      <c r="G3281" s="352"/>
      <c r="H3281" s="357" t="s">
        <v>3179</v>
      </c>
      <c r="I3281" s="352"/>
      <c r="J3281" s="352"/>
      <c r="K3281" s="358">
        <f>SUM(K3278:K3280)</f>
        <v>2783</v>
      </c>
      <c r="L3281" s="352"/>
      <c r="M3281" s="352"/>
    </row>
    <row r="3282" spans="5:13" ht="19.5" customHeight="1">
      <c r="E3282" s="352"/>
      <c r="F3282" s="352"/>
      <c r="G3282" s="352"/>
      <c r="H3282" s="359" t="s">
        <v>1083</v>
      </c>
      <c r="I3282" s="352"/>
      <c r="J3282" s="352"/>
      <c r="K3282" s="360">
        <f>K3281/5</f>
        <v>556.6</v>
      </c>
      <c r="L3282" s="352"/>
      <c r="M3282" s="352"/>
    </row>
    <row r="3283" spans="5:13" ht="24.95" customHeight="1">
      <c r="E3283" s="352"/>
      <c r="F3283" s="352"/>
      <c r="G3283" s="352"/>
      <c r="H3283" s="370" t="s">
        <v>3180</v>
      </c>
      <c r="I3283" s="352"/>
      <c r="J3283" s="352"/>
      <c r="K3283" s="352"/>
      <c r="L3283" s="352"/>
      <c r="M3283" s="352"/>
    </row>
    <row r="3284" spans="5:13">
      <c r="E3284" s="352"/>
      <c r="F3284" s="352"/>
      <c r="G3284" s="352"/>
      <c r="H3284" s="360" t="s">
        <v>3181</v>
      </c>
      <c r="I3284" s="352"/>
      <c r="J3284" s="352"/>
      <c r="K3284" s="352"/>
      <c r="L3284" s="352"/>
      <c r="M3284" s="352"/>
    </row>
    <row r="3285" spans="5:13">
      <c r="E3285" s="352"/>
      <c r="F3285" s="352"/>
      <c r="G3285" s="352"/>
      <c r="H3285" s="360" t="s">
        <v>3182</v>
      </c>
      <c r="I3285" s="352"/>
      <c r="J3285" s="352"/>
      <c r="K3285" s="352"/>
      <c r="L3285" s="352"/>
      <c r="M3285" s="352"/>
    </row>
    <row r="3286" spans="5:13">
      <c r="E3286" s="352"/>
      <c r="F3286" s="352"/>
      <c r="G3286" s="352"/>
      <c r="H3286" s="361" t="s">
        <v>3183</v>
      </c>
      <c r="I3286" s="352"/>
      <c r="J3286" s="352"/>
      <c r="K3286" s="352"/>
      <c r="L3286" s="352"/>
      <c r="M3286" s="352"/>
    </row>
    <row r="3287" spans="5:13" ht="68.25" customHeight="1">
      <c r="E3287" s="352"/>
      <c r="F3287" s="352"/>
      <c r="G3287" s="352"/>
      <c r="H3287" s="351" t="s">
        <v>3517</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1676</v>
      </c>
      <c r="H3289" s="352" t="s">
        <v>4464</v>
      </c>
      <c r="I3289" s="353">
        <v>79.7</v>
      </c>
      <c r="J3289" s="352" t="s">
        <v>1676</v>
      </c>
      <c r="K3289" s="352">
        <f>F3289*I3289</f>
        <v>757.15</v>
      </c>
      <c r="L3289" s="352"/>
      <c r="M3289" s="352"/>
    </row>
    <row r="3290" spans="5:13">
      <c r="E3290" s="352"/>
      <c r="F3290" s="352">
        <v>0.5</v>
      </c>
      <c r="G3290" s="352" t="s">
        <v>1676</v>
      </c>
      <c r="H3290" s="352" t="s">
        <v>4200</v>
      </c>
      <c r="I3290" s="353">
        <v>19.22</v>
      </c>
      <c r="J3290" s="352"/>
      <c r="K3290" s="352">
        <f>F3290*I3290</f>
        <v>9.61</v>
      </c>
      <c r="L3290" s="352"/>
      <c r="M3290" s="352"/>
    </row>
    <row r="3291" spans="5:13">
      <c r="E3291" s="352"/>
      <c r="F3291" s="352"/>
      <c r="G3291" s="352"/>
      <c r="H3291" s="352" t="s">
        <v>1856</v>
      </c>
      <c r="I3291" s="352"/>
      <c r="J3291" s="352"/>
      <c r="K3291" s="352">
        <f>K3299</f>
        <v>1394</v>
      </c>
      <c r="L3291" s="352"/>
      <c r="M3291" s="352"/>
    </row>
    <row r="3292" spans="5:13">
      <c r="E3292" s="352"/>
      <c r="F3292" s="352"/>
      <c r="G3292" s="352"/>
      <c r="H3292" s="352" t="s">
        <v>2310</v>
      </c>
      <c r="I3292" s="352"/>
      <c r="J3292" s="352"/>
      <c r="K3292" s="352">
        <v>7.24</v>
      </c>
      <c r="L3292" s="352"/>
      <c r="M3292" s="352"/>
    </row>
    <row r="3293" spans="5:13">
      <c r="E3293" s="352"/>
      <c r="F3293" s="352"/>
      <c r="G3293" s="352"/>
      <c r="H3293" s="357" t="s">
        <v>3433</v>
      </c>
      <c r="I3293" s="352"/>
      <c r="J3293" s="352"/>
      <c r="K3293" s="358">
        <f>SUM(K3289:K3292)</f>
        <v>2168</v>
      </c>
      <c r="L3293" s="352"/>
      <c r="M3293" s="352"/>
    </row>
    <row r="3294" spans="5:13">
      <c r="E3294" s="352"/>
      <c r="F3294" s="352"/>
      <c r="G3294" s="352"/>
      <c r="H3294" s="359" t="s">
        <v>2809</v>
      </c>
      <c r="I3294" s="352"/>
      <c r="J3294" s="352"/>
      <c r="K3294" s="360">
        <f>K3293/90</f>
        <v>24.09</v>
      </c>
      <c r="L3294" s="352"/>
      <c r="M3294" s="352"/>
    </row>
    <row r="3295" spans="5:13">
      <c r="E3295" s="352"/>
      <c r="F3295" s="352"/>
      <c r="G3295" s="352"/>
      <c r="H3295" s="352"/>
      <c r="I3295" s="352"/>
      <c r="J3295" s="352"/>
      <c r="K3295" s="352"/>
      <c r="L3295" s="352"/>
      <c r="M3295" s="352"/>
    </row>
    <row r="3296" spans="5:13">
      <c r="E3296" s="352"/>
      <c r="F3296" s="352"/>
      <c r="G3296" s="352"/>
      <c r="H3296" s="358" t="s">
        <v>2691</v>
      </c>
      <c r="I3296" s="352"/>
      <c r="J3296" s="352"/>
      <c r="K3296" s="352"/>
      <c r="L3296" s="352"/>
      <c r="M3296" s="352"/>
    </row>
    <row r="3297" spans="5:13">
      <c r="E3297" s="352"/>
      <c r="F3297" s="352">
        <v>1</v>
      </c>
      <c r="G3297" s="352"/>
      <c r="H3297" s="352" t="s">
        <v>2814</v>
      </c>
      <c r="I3297" s="352">
        <f>I3278</f>
        <v>783</v>
      </c>
      <c r="J3297" s="352" t="s">
        <v>1419</v>
      </c>
      <c r="K3297" s="352">
        <f>F3297*I3297</f>
        <v>783</v>
      </c>
      <c r="L3297" s="352"/>
      <c r="M3297" s="352"/>
    </row>
    <row r="3298" spans="5:13">
      <c r="E3298" s="352"/>
      <c r="F3298" s="352">
        <v>1</v>
      </c>
      <c r="G3298" s="352"/>
      <c r="H3298" s="352" t="s">
        <v>3137</v>
      </c>
      <c r="I3298" s="352">
        <f>I3280</f>
        <v>611</v>
      </c>
      <c r="J3298" s="352" t="s">
        <v>1419</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2692</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2693</v>
      </c>
      <c r="I3302" s="352"/>
      <c r="J3302" s="352"/>
      <c r="K3302" s="352"/>
      <c r="L3302" s="352"/>
      <c r="M3302" s="352"/>
    </row>
    <row r="3303" spans="5:13">
      <c r="E3303" s="352"/>
      <c r="F3303" s="352"/>
      <c r="G3303" s="352"/>
      <c r="H3303" s="360" t="s">
        <v>2694</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2695</v>
      </c>
      <c r="I3305" s="352"/>
      <c r="J3305" s="352"/>
      <c r="K3305" s="352"/>
      <c r="L3305" s="352"/>
      <c r="M3305" s="352"/>
    </row>
    <row r="3306" spans="5:13">
      <c r="E3306" s="352"/>
      <c r="F3306" s="352">
        <v>2.5</v>
      </c>
      <c r="G3306" s="352" t="s">
        <v>842</v>
      </c>
      <c r="H3306" s="352" t="s">
        <v>2696</v>
      </c>
      <c r="I3306" s="353">
        <f>Elec.Data!I477</f>
        <v>98.6</v>
      </c>
      <c r="J3306" s="352" t="s">
        <v>842</v>
      </c>
      <c r="K3306" s="352">
        <f>F3306*I3306</f>
        <v>246.5</v>
      </c>
      <c r="L3306" s="352"/>
      <c r="M3306" s="352"/>
    </row>
    <row r="3307" spans="5:13">
      <c r="E3307" s="352"/>
      <c r="F3307" s="352">
        <v>1</v>
      </c>
      <c r="G3307" s="352" t="s">
        <v>842</v>
      </c>
      <c r="H3307" s="352" t="s">
        <v>2697</v>
      </c>
      <c r="I3307" s="353">
        <f>Elec.Data!I478</f>
        <v>69.8</v>
      </c>
      <c r="J3307" s="352" t="s">
        <v>842</v>
      </c>
      <c r="K3307" s="352">
        <f>F3307*I3307</f>
        <v>69.8</v>
      </c>
      <c r="L3307" s="352"/>
      <c r="M3307" s="352"/>
    </row>
    <row r="3308" spans="5:13">
      <c r="E3308" s="352"/>
      <c r="F3308" s="352">
        <v>1</v>
      </c>
      <c r="G3308" s="352" t="s">
        <v>842</v>
      </c>
      <c r="H3308" s="352" t="s">
        <v>2698</v>
      </c>
      <c r="I3308" s="353">
        <f>Elec.Data!I479</f>
        <v>52</v>
      </c>
      <c r="J3308" s="352" t="s">
        <v>842</v>
      </c>
      <c r="K3308" s="352">
        <f>F3308*I3308</f>
        <v>52</v>
      </c>
      <c r="L3308" s="352"/>
      <c r="M3308" s="352"/>
    </row>
    <row r="3309" spans="5:13">
      <c r="E3309" s="352"/>
      <c r="F3309" s="352">
        <v>1</v>
      </c>
      <c r="G3309" s="352" t="s">
        <v>1419</v>
      </c>
      <c r="H3309" s="352" t="s">
        <v>3939</v>
      </c>
      <c r="I3309" s="353">
        <f>Elec.Data!I480</f>
        <v>24.1</v>
      </c>
      <c r="J3309" s="352" t="s">
        <v>1419</v>
      </c>
      <c r="K3309" s="352">
        <f>F3309*I3309</f>
        <v>24.1</v>
      </c>
      <c r="L3309" s="352"/>
      <c r="M3309" s="352"/>
    </row>
    <row r="3310" spans="5:13">
      <c r="E3310" s="352"/>
      <c r="F3310" s="352">
        <v>1</v>
      </c>
      <c r="G3310" s="352" t="s">
        <v>286</v>
      </c>
      <c r="H3310" s="352" t="s">
        <v>2699</v>
      </c>
      <c r="I3310" s="353">
        <f>Elec.Data!I481</f>
        <v>447</v>
      </c>
      <c r="J3310" s="352" t="s">
        <v>286</v>
      </c>
      <c r="K3310" s="352">
        <v>15</v>
      </c>
      <c r="L3310" s="352"/>
      <c r="M3310" s="352"/>
    </row>
    <row r="3311" spans="5:13">
      <c r="E3311" s="352"/>
      <c r="F3311" s="352"/>
      <c r="G3311" s="352" t="s">
        <v>669</v>
      </c>
      <c r="H3311" s="352" t="s">
        <v>2700</v>
      </c>
      <c r="I3311" s="353">
        <f>Elec.Data!I482</f>
        <v>100</v>
      </c>
      <c r="J3311" s="352" t="s">
        <v>669</v>
      </c>
      <c r="K3311" s="352">
        <v>150</v>
      </c>
      <c r="L3311" s="352"/>
      <c r="M3311" s="352"/>
    </row>
    <row r="3312" spans="5:13">
      <c r="E3312" s="352"/>
      <c r="F3312" s="352">
        <v>1</v>
      </c>
      <c r="G3312" s="352" t="s">
        <v>1419</v>
      </c>
      <c r="H3312" s="352" t="s">
        <v>2701</v>
      </c>
      <c r="I3312" s="353">
        <f>Elec.Data!I483</f>
        <v>5</v>
      </c>
      <c r="J3312" s="352" t="s">
        <v>1419</v>
      </c>
      <c r="K3312" s="352">
        <f>F3312*I3312</f>
        <v>5</v>
      </c>
      <c r="L3312" s="352"/>
      <c r="M3312" s="352"/>
    </row>
    <row r="3313" spans="5:13">
      <c r="E3313" s="352"/>
      <c r="F3313" s="352">
        <v>40</v>
      </c>
      <c r="G3313" s="352" t="s">
        <v>1676</v>
      </c>
      <c r="H3313" s="352" t="s">
        <v>2702</v>
      </c>
      <c r="I3313" s="353">
        <f>Elec.Data!I484</f>
        <v>13.6</v>
      </c>
      <c r="J3313" s="352" t="s">
        <v>1676</v>
      </c>
      <c r="K3313" s="352">
        <f>F3313*I3313</f>
        <v>544</v>
      </c>
      <c r="L3313" s="352"/>
      <c r="M3313" s="352"/>
    </row>
    <row r="3314" spans="5:13">
      <c r="E3314" s="352"/>
      <c r="F3314" s="352">
        <v>2</v>
      </c>
      <c r="G3314" s="352" t="s">
        <v>1419</v>
      </c>
      <c r="H3314" s="352" t="s">
        <v>2703</v>
      </c>
      <c r="I3314" s="353">
        <f>Elec.Data!I485</f>
        <v>13.6</v>
      </c>
      <c r="J3314" s="352" t="s">
        <v>1419</v>
      </c>
      <c r="K3314" s="352">
        <f>F3314*I3314</f>
        <v>27.2</v>
      </c>
      <c r="L3314" s="352"/>
      <c r="M3314" s="352"/>
    </row>
    <row r="3315" spans="5:13">
      <c r="E3315" s="352"/>
      <c r="F3315" s="352">
        <v>4</v>
      </c>
      <c r="G3315" s="352" t="s">
        <v>1419</v>
      </c>
      <c r="H3315" s="352" t="s">
        <v>2704</v>
      </c>
      <c r="I3315" s="353">
        <f>Elec.Data!I486</f>
        <v>3.7</v>
      </c>
      <c r="J3315" s="352" t="s">
        <v>1419</v>
      </c>
      <c r="K3315" s="352">
        <f>F3315*I3315</f>
        <v>14.8</v>
      </c>
      <c r="L3315" s="352"/>
      <c r="M3315" s="352"/>
    </row>
    <row r="3316" spans="5:13">
      <c r="E3316" s="352"/>
      <c r="F3316" s="352">
        <v>10</v>
      </c>
      <c r="G3316" s="352" t="s">
        <v>1676</v>
      </c>
      <c r="H3316" s="352" t="s">
        <v>2705</v>
      </c>
      <c r="I3316" s="353">
        <f>Elec.Data!I487</f>
        <v>0</v>
      </c>
      <c r="J3316" s="352" t="s">
        <v>1676</v>
      </c>
      <c r="K3316" s="352">
        <f>F3316*I3316</f>
        <v>0</v>
      </c>
      <c r="L3316" s="352"/>
      <c r="M3316" s="352"/>
    </row>
    <row r="3317" spans="5:13">
      <c r="E3317" s="352"/>
      <c r="F3317" s="352"/>
      <c r="G3317" s="352"/>
      <c r="H3317" s="352" t="s">
        <v>2310</v>
      </c>
      <c r="I3317" s="352"/>
      <c r="J3317" s="352"/>
      <c r="K3317" s="352">
        <v>11.85</v>
      </c>
      <c r="L3317" s="352"/>
      <c r="M3317" s="352"/>
    </row>
    <row r="3318" spans="5:13">
      <c r="E3318" s="352"/>
      <c r="F3318" s="352"/>
      <c r="G3318" s="352"/>
      <c r="H3318" s="352" t="s">
        <v>931</v>
      </c>
      <c r="I3318" s="352"/>
      <c r="J3318" s="352"/>
      <c r="K3318" s="361">
        <f>K3324</f>
        <v>1394</v>
      </c>
      <c r="L3318" s="352"/>
      <c r="M3318" s="352"/>
    </row>
    <row r="3319" spans="5:13">
      <c r="E3319" s="352"/>
      <c r="F3319" s="352"/>
      <c r="G3319" s="352"/>
      <c r="H3319" s="359" t="s">
        <v>1083</v>
      </c>
      <c r="I3319" s="352"/>
      <c r="J3319" s="352"/>
      <c r="K3319" s="360">
        <f>SUM(K3306:K3318)</f>
        <v>2554.25</v>
      </c>
      <c r="L3319" s="352">
        <f>2035-K3319</f>
        <v>-519.25</v>
      </c>
      <c r="M3319" s="352"/>
    </row>
    <row r="3320" spans="5:13">
      <c r="E3320" s="352"/>
      <c r="F3320" s="352"/>
      <c r="G3320" s="352"/>
      <c r="H3320" s="352"/>
      <c r="I3320" s="352"/>
      <c r="J3320" s="352"/>
      <c r="K3320" s="352"/>
      <c r="L3320" s="352"/>
      <c r="M3320" s="352"/>
    </row>
    <row r="3321" spans="5:13">
      <c r="E3321" s="352"/>
      <c r="F3321" s="352"/>
      <c r="G3321" s="352"/>
      <c r="H3321" s="358" t="s">
        <v>931</v>
      </c>
      <c r="I3321" s="352"/>
      <c r="J3321" s="352"/>
      <c r="K3321" s="352"/>
      <c r="L3321" s="352"/>
      <c r="M3321" s="352"/>
    </row>
    <row r="3322" spans="5:13">
      <c r="E3322" s="352"/>
      <c r="F3322" s="352">
        <v>1</v>
      </c>
      <c r="G3322" s="352" t="s">
        <v>1419</v>
      </c>
      <c r="H3322" s="352" t="s">
        <v>2814</v>
      </c>
      <c r="I3322" s="352">
        <f>I3297</f>
        <v>783</v>
      </c>
      <c r="J3322" s="352" t="s">
        <v>1419</v>
      </c>
      <c r="K3322" s="352">
        <f>F3322*I3322</f>
        <v>783</v>
      </c>
      <c r="L3322" s="352"/>
      <c r="M3322" s="352"/>
    </row>
    <row r="3323" spans="5:13">
      <c r="E3323" s="352"/>
      <c r="F3323" s="352">
        <v>1</v>
      </c>
      <c r="G3323" s="352" t="s">
        <v>1419</v>
      </c>
      <c r="H3323" s="352" t="s">
        <v>3137</v>
      </c>
      <c r="I3323" s="352">
        <f>I3298</f>
        <v>611</v>
      </c>
      <c r="J3323" s="352" t="s">
        <v>1419</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2706</v>
      </c>
      <c r="I3325" s="352"/>
      <c r="J3325" s="352"/>
      <c r="K3325" s="352"/>
      <c r="L3325" s="352"/>
      <c r="M3325" s="352"/>
    </row>
    <row r="3326" spans="5:13">
      <c r="E3326" s="352"/>
      <c r="F3326" s="352"/>
      <c r="G3326" s="352"/>
      <c r="H3326" s="360" t="s">
        <v>2707</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3375</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1419</v>
      </c>
      <c r="H3330" s="352" t="s">
        <v>3248</v>
      </c>
      <c r="I3330" s="352">
        <f>K3335</f>
        <v>64.239999999999995</v>
      </c>
      <c r="J3330" s="352" t="s">
        <v>1423</v>
      </c>
      <c r="K3330" s="352">
        <f>F3330*I3330</f>
        <v>64.239999999999995</v>
      </c>
      <c r="L3330" s="352"/>
      <c r="M3330" s="352"/>
    </row>
    <row r="3331" spans="5:13" ht="56.25" customHeight="1">
      <c r="E3331" s="352"/>
      <c r="F3331" s="352"/>
      <c r="G3331" s="352"/>
      <c r="H3331" s="351" t="s">
        <v>3249</v>
      </c>
      <c r="I3331" s="352"/>
      <c r="J3331" s="352" t="s">
        <v>669</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1083</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3250</v>
      </c>
      <c r="I3335" s="456">
        <f>I3222</f>
        <v>107060</v>
      </c>
      <c r="J3335" s="457">
        <v>5.9999999999999995E-4</v>
      </c>
      <c r="K3335" s="456">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1419</v>
      </c>
      <c r="H3337" s="352" t="s">
        <v>3251</v>
      </c>
      <c r="I3337" s="352">
        <f>I3278</f>
        <v>783</v>
      </c>
      <c r="J3337" s="352" t="s">
        <v>1423</v>
      </c>
      <c r="K3337" s="352">
        <f>F3337*I3337</f>
        <v>783</v>
      </c>
      <c r="L3337" s="352"/>
      <c r="M3337" s="352"/>
    </row>
    <row r="3338" spans="5:13">
      <c r="E3338" s="352"/>
      <c r="F3338" s="352">
        <v>3</v>
      </c>
      <c r="G3338" s="352" t="s">
        <v>1419</v>
      </c>
      <c r="H3338" s="352" t="s">
        <v>2633</v>
      </c>
      <c r="I3338" s="352">
        <f>I3279</f>
        <v>778</v>
      </c>
      <c r="J3338" s="352" t="s">
        <v>1423</v>
      </c>
      <c r="K3338" s="352">
        <f>F3338*I3338</f>
        <v>2334</v>
      </c>
      <c r="L3338" s="352"/>
      <c r="M3338" s="352"/>
    </row>
    <row r="3339" spans="5:13">
      <c r="E3339" s="352"/>
      <c r="F3339" s="352"/>
      <c r="G3339" s="352"/>
      <c r="H3339" s="357" t="s">
        <v>3252</v>
      </c>
      <c r="I3339" s="352"/>
      <c r="J3339" s="352"/>
      <c r="K3339" s="361">
        <f>SUM(K3337:K3338)</f>
        <v>3117</v>
      </c>
      <c r="L3339" s="352"/>
      <c r="M3339" s="352"/>
    </row>
    <row r="3340" spans="5:13">
      <c r="E3340" s="352"/>
      <c r="F3340" s="352"/>
      <c r="G3340" s="352"/>
      <c r="H3340" s="357" t="s">
        <v>3253</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3254</v>
      </c>
      <c r="I3342" s="352"/>
      <c r="J3342" s="352"/>
      <c r="K3342" s="352"/>
      <c r="L3342" s="352"/>
      <c r="M3342" s="352"/>
    </row>
    <row r="3343" spans="5:13" ht="103.5" customHeight="1">
      <c r="E3343" s="352"/>
      <c r="F3343" s="352"/>
      <c r="G3343" s="352"/>
      <c r="H3343" s="351" t="s">
        <v>3938</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1419</v>
      </c>
      <c r="H3345" s="360" t="s">
        <v>3936</v>
      </c>
      <c r="I3345" s="552">
        <v>110</v>
      </c>
      <c r="J3345" s="352" t="s">
        <v>1419</v>
      </c>
      <c r="K3345" s="352">
        <f>F3345*I3345</f>
        <v>110</v>
      </c>
      <c r="L3345" s="352"/>
      <c r="M3345" s="352"/>
    </row>
    <row r="3346" spans="5:13" ht="52.5" customHeight="1">
      <c r="E3346" s="352"/>
      <c r="F3346" s="352"/>
      <c r="G3346" s="352"/>
      <c r="H3346" s="351" t="s">
        <v>3257</v>
      </c>
      <c r="I3346" s="352"/>
      <c r="J3346" s="352"/>
      <c r="K3346" s="352">
        <v>22.75</v>
      </c>
      <c r="L3346" s="352"/>
      <c r="M3346" s="352"/>
    </row>
    <row r="3347" spans="5:13">
      <c r="E3347" s="352"/>
      <c r="F3347" s="352"/>
      <c r="G3347" s="352"/>
      <c r="H3347" s="352" t="s">
        <v>931</v>
      </c>
      <c r="I3347" s="352"/>
      <c r="J3347" s="352"/>
      <c r="K3347" s="352">
        <f>K3356</f>
        <v>372.8</v>
      </c>
      <c r="L3347" s="352"/>
      <c r="M3347" s="352"/>
    </row>
    <row r="3348" spans="5:13">
      <c r="E3348" s="352"/>
      <c r="F3348" s="352"/>
      <c r="G3348" s="352"/>
      <c r="H3348" s="359" t="s">
        <v>1083</v>
      </c>
      <c r="I3348" s="352"/>
      <c r="J3348" s="352"/>
      <c r="K3348" s="360">
        <f>SUM(K3345:K3347)</f>
        <v>505.55</v>
      </c>
      <c r="L3348" s="352">
        <f>K3348-376</f>
        <v>129.55000000000001</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2814</v>
      </c>
      <c r="I3351" s="352">
        <f>I2867</f>
        <v>783</v>
      </c>
      <c r="J3351" s="352" t="s">
        <v>1419</v>
      </c>
      <c r="K3351" s="352">
        <f>F3351*I3351</f>
        <v>783</v>
      </c>
      <c r="L3351" s="352"/>
      <c r="M3351" s="352"/>
    </row>
    <row r="3352" spans="5:13">
      <c r="E3352" s="352"/>
      <c r="F3352" s="352">
        <v>3</v>
      </c>
      <c r="G3352" s="352"/>
      <c r="H3352" s="352" t="s">
        <v>2633</v>
      </c>
      <c r="I3352" s="352">
        <f>I2868</f>
        <v>778</v>
      </c>
      <c r="J3352" s="352" t="s">
        <v>1419</v>
      </c>
      <c r="K3352" s="352">
        <f>F3352*I3352</f>
        <v>2334</v>
      </c>
      <c r="L3352" s="352"/>
      <c r="M3352" s="352"/>
    </row>
    <row r="3353" spans="5:13">
      <c r="E3353" s="352"/>
      <c r="F3353" s="352">
        <v>1</v>
      </c>
      <c r="G3353" s="352"/>
      <c r="H3353" s="352" t="s">
        <v>2370</v>
      </c>
      <c r="I3353" s="352">
        <f>I2869</f>
        <v>611</v>
      </c>
      <c r="J3353" s="352" t="s">
        <v>1419</v>
      </c>
      <c r="K3353" s="352">
        <f>F3353*I3353</f>
        <v>611</v>
      </c>
      <c r="L3353" s="352"/>
      <c r="M3353" s="352"/>
    </row>
    <row r="3354" spans="5:13">
      <c r="E3354" s="352"/>
      <c r="F3354" s="352">
        <v>0.5</v>
      </c>
      <c r="G3354" s="352"/>
      <c r="H3354" s="352" t="str">
        <f>Elec.Data!H525</f>
        <v>Total for 10 Nos</v>
      </c>
      <c r="I3354" s="353">
        <f>Elec.Data!I525</f>
        <v>0</v>
      </c>
      <c r="J3354" s="352" t="s">
        <v>1419</v>
      </c>
      <c r="K3354" s="352">
        <f>F3354*I3354</f>
        <v>0</v>
      </c>
      <c r="L3354" s="352"/>
      <c r="M3354" s="352"/>
    </row>
    <row r="3355" spans="5:13">
      <c r="E3355" s="352"/>
      <c r="F3355" s="352"/>
      <c r="G3355" s="352"/>
      <c r="H3355" s="357" t="s">
        <v>3258</v>
      </c>
      <c r="I3355" s="352"/>
      <c r="J3355" s="352"/>
      <c r="K3355" s="358">
        <f>SUM(K3351:K3354)</f>
        <v>3728</v>
      </c>
      <c r="L3355" s="352"/>
      <c r="M3355" s="352"/>
    </row>
    <row r="3356" spans="5:13">
      <c r="E3356" s="352"/>
      <c r="F3356" s="352"/>
      <c r="G3356" s="352"/>
      <c r="H3356" s="359" t="s">
        <v>3259</v>
      </c>
      <c r="I3356" s="360"/>
      <c r="J3356" s="360"/>
      <c r="K3356" s="360">
        <f>K3355/10</f>
        <v>372.8</v>
      </c>
      <c r="L3356" s="352"/>
      <c r="M3356" s="352"/>
    </row>
    <row r="3357" spans="5:13">
      <c r="E3357" s="352"/>
      <c r="F3357" s="352"/>
      <c r="G3357" s="352"/>
      <c r="H3357" s="352"/>
      <c r="I3357" s="352"/>
      <c r="J3357" s="352"/>
      <c r="K3357" s="352"/>
      <c r="L3357" s="352"/>
      <c r="M3357" s="352"/>
    </row>
    <row r="3358" spans="5:13">
      <c r="E3358" s="352"/>
      <c r="F3358" s="352"/>
      <c r="G3358" s="352"/>
      <c r="H3358" s="360" t="s">
        <v>3260</v>
      </c>
      <c r="I3358" s="352"/>
      <c r="J3358" s="352"/>
      <c r="K3358" s="352"/>
      <c r="L3358" s="352"/>
      <c r="M3358" s="352"/>
    </row>
    <row r="3359" spans="5:13">
      <c r="E3359" s="352"/>
      <c r="F3359" s="352"/>
      <c r="G3359" s="352"/>
      <c r="H3359" s="360" t="s">
        <v>3261</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3291</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1419</v>
      </c>
      <c r="H3363" s="352" t="s">
        <v>3292</v>
      </c>
      <c r="I3363" s="352">
        <f>K3368</f>
        <v>128.47</v>
      </c>
      <c r="J3363" s="352" t="s">
        <v>1423</v>
      </c>
      <c r="K3363" s="352">
        <f>F3363*I3363</f>
        <v>128.47</v>
      </c>
      <c r="L3363" s="352"/>
      <c r="M3363" s="352"/>
    </row>
    <row r="3364" spans="5:13" ht="51" customHeight="1">
      <c r="E3364" s="352"/>
      <c r="F3364" s="352" t="s">
        <v>669</v>
      </c>
      <c r="G3364" s="352" t="s">
        <v>669</v>
      </c>
      <c r="H3364" s="351" t="s">
        <v>3293</v>
      </c>
      <c r="I3364" s="352" t="s">
        <v>669</v>
      </c>
      <c r="J3364" s="352" t="s">
        <v>669</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1083</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3292</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2706</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2580</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3937</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1419</v>
      </c>
      <c r="H3376" s="360" t="s">
        <v>3936</v>
      </c>
      <c r="I3376" s="552">
        <v>110</v>
      </c>
      <c r="J3376" s="352" t="s">
        <v>1419</v>
      </c>
      <c r="K3376" s="352">
        <f>F3376*I3376</f>
        <v>110</v>
      </c>
      <c r="L3376" s="352"/>
      <c r="M3376" s="352"/>
    </row>
    <row r="3377" spans="5:13" ht="31.5">
      <c r="E3377" s="352"/>
      <c r="F3377" s="352"/>
      <c r="G3377" s="352"/>
      <c r="H3377" s="351" t="s">
        <v>3257</v>
      </c>
      <c r="I3377" s="352"/>
      <c r="J3377" s="352"/>
      <c r="K3377" s="352">
        <v>35.75</v>
      </c>
      <c r="L3377" s="352"/>
      <c r="M3377" s="352"/>
    </row>
    <row r="3378" spans="5:13">
      <c r="E3378" s="352"/>
      <c r="F3378" s="352"/>
      <c r="G3378" s="352"/>
      <c r="H3378" s="352" t="s">
        <v>931</v>
      </c>
      <c r="I3378" s="352"/>
      <c r="J3378" s="352"/>
      <c r="K3378" s="352">
        <f>K3356</f>
        <v>372.8</v>
      </c>
      <c r="L3378" s="352"/>
      <c r="M3378" s="352"/>
    </row>
    <row r="3379" spans="5:13">
      <c r="E3379" s="352"/>
      <c r="F3379" s="352"/>
      <c r="G3379" s="352"/>
      <c r="H3379" s="359" t="s">
        <v>1083</v>
      </c>
      <c r="I3379" s="352"/>
      <c r="J3379" s="352"/>
      <c r="K3379" s="360">
        <f>SUM(K3376:K3378)</f>
        <v>518.54999999999995</v>
      </c>
      <c r="L3379" s="352">
        <f>389-K3379</f>
        <v>-129.55000000000001</v>
      </c>
      <c r="M3379" s="352"/>
    </row>
    <row r="3380" spans="5:13">
      <c r="E3380" s="352"/>
      <c r="F3380" s="352"/>
      <c r="G3380" s="352"/>
      <c r="H3380" s="352"/>
      <c r="I3380" s="352"/>
      <c r="J3380" s="352"/>
      <c r="K3380" s="352"/>
      <c r="L3380" s="352"/>
      <c r="M3380" s="352"/>
    </row>
    <row r="3381" spans="5:13">
      <c r="E3381" s="352"/>
      <c r="F3381" s="352"/>
      <c r="G3381" s="352"/>
      <c r="H3381" s="360" t="s">
        <v>2452</v>
      </c>
      <c r="I3381" s="352"/>
      <c r="J3381" s="352"/>
      <c r="K3381" s="352"/>
      <c r="L3381" s="352"/>
      <c r="M3381" s="352"/>
    </row>
    <row r="3382" spans="5:13">
      <c r="E3382" s="352"/>
      <c r="F3382" s="352"/>
      <c r="G3382" s="352"/>
      <c r="H3382" s="360" t="s">
        <v>2453</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1419</v>
      </c>
      <c r="H3384" s="351">
        <f>Elec.Data!H555</f>
        <v>0</v>
      </c>
      <c r="I3384" s="353">
        <f>Elec.Data!I555</f>
        <v>0</v>
      </c>
      <c r="J3384" s="352" t="s">
        <v>1419</v>
      </c>
      <c r="K3384" s="360">
        <f>F3384*I3384</f>
        <v>0</v>
      </c>
      <c r="L3384" s="352"/>
      <c r="M3384" s="352"/>
    </row>
    <row r="3385" spans="5:13">
      <c r="E3385" s="352"/>
      <c r="F3385" s="352"/>
      <c r="G3385" s="352"/>
      <c r="H3385" s="352"/>
      <c r="I3385" s="352"/>
      <c r="J3385" s="352"/>
      <c r="K3385" s="352"/>
      <c r="L3385" s="352"/>
      <c r="M3385" s="352"/>
    </row>
    <row r="3386" spans="5:13">
      <c r="E3386" s="352"/>
      <c r="F3386" s="352"/>
      <c r="G3386" s="352"/>
      <c r="H3386" s="360" t="s">
        <v>2454</v>
      </c>
      <c r="I3386" s="352"/>
      <c r="J3386" s="352"/>
      <c r="K3386" s="352"/>
      <c r="L3386" s="352"/>
      <c r="M3386" s="352"/>
    </row>
    <row r="3387" spans="5:13">
      <c r="E3387" s="352"/>
      <c r="F3387" s="352"/>
      <c r="G3387" s="352"/>
      <c r="H3387" s="360" t="s">
        <v>2441</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1419</v>
      </c>
      <c r="H3389" s="351" t="s">
        <v>4465</v>
      </c>
      <c r="I3389" s="353">
        <f>Elec.Data!I560</f>
        <v>0</v>
      </c>
      <c r="J3389" s="352" t="s">
        <v>1419</v>
      </c>
      <c r="K3389" s="371">
        <f>F3389*I3389</f>
        <v>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2442</v>
      </c>
      <c r="I3391" s="352"/>
      <c r="J3391" s="352"/>
      <c r="K3391" s="352"/>
      <c r="L3391" s="352"/>
      <c r="M3391" s="352"/>
    </row>
    <row r="3392" spans="5:13">
      <c r="E3392" s="352"/>
      <c r="F3392" s="352"/>
      <c r="G3392" s="352"/>
      <c r="H3392" s="360" t="s">
        <v>2443</v>
      </c>
      <c r="I3392" s="352"/>
      <c r="J3392" s="352"/>
      <c r="K3392" s="352"/>
      <c r="L3392" s="352"/>
      <c r="M3392" s="352"/>
    </row>
    <row r="3393" spans="5:15">
      <c r="E3393" s="352"/>
      <c r="F3393" s="352"/>
      <c r="G3393" s="352"/>
      <c r="H3393" s="358" t="s">
        <v>2444</v>
      </c>
      <c r="I3393" s="352"/>
      <c r="J3393" s="352"/>
      <c r="K3393" s="352"/>
      <c r="L3393" s="352"/>
      <c r="M3393" s="352"/>
    </row>
    <row r="3394" spans="5:15">
      <c r="E3394" s="352"/>
      <c r="F3394" s="352"/>
      <c r="G3394" s="352"/>
      <c r="H3394" s="352"/>
      <c r="I3394" s="352"/>
      <c r="J3394" s="352"/>
      <c r="K3394" s="352"/>
      <c r="L3394" s="352"/>
      <c r="M3394" s="352"/>
    </row>
    <row r="3395" spans="5:15" ht="63">
      <c r="E3395" s="352"/>
      <c r="F3395" s="352"/>
      <c r="G3395" s="352"/>
      <c r="H3395" s="351" t="s">
        <v>2755</v>
      </c>
      <c r="I3395" s="352"/>
      <c r="J3395" s="352"/>
      <c r="K3395" s="352"/>
      <c r="L3395" s="351" t="s">
        <v>3535</v>
      </c>
      <c r="M3395" s="351" t="s">
        <v>3536</v>
      </c>
      <c r="N3395" s="351" t="s">
        <v>3779</v>
      </c>
      <c r="O3395" s="351" t="s">
        <v>3947</v>
      </c>
    </row>
    <row r="3396" spans="5:15">
      <c r="E3396" s="352"/>
      <c r="F3396" s="352">
        <v>1</v>
      </c>
      <c r="G3396" s="352" t="s">
        <v>1419</v>
      </c>
      <c r="H3396" s="352" t="s">
        <v>2756</v>
      </c>
      <c r="I3396" s="353">
        <f>Elec.Data!I567</f>
        <v>31.28</v>
      </c>
      <c r="J3396" s="352" t="s">
        <v>1419</v>
      </c>
      <c r="K3396" s="352">
        <f>F3396*I3396</f>
        <v>31.28</v>
      </c>
      <c r="L3396" s="352">
        <f>Elec.Data!L567</f>
        <v>31.28</v>
      </c>
      <c r="M3396" s="352">
        <f>Elec.Data!M567</f>
        <v>31.28</v>
      </c>
      <c r="N3396" s="352">
        <f>Elec.Data!N567</f>
        <v>31.28</v>
      </c>
      <c r="O3396" s="364">
        <f>Elec.Data!O567</f>
        <v>31.28</v>
      </c>
    </row>
    <row r="3397" spans="5:15">
      <c r="E3397" s="352"/>
      <c r="F3397" s="352">
        <v>1</v>
      </c>
      <c r="G3397" s="352" t="s">
        <v>1419</v>
      </c>
      <c r="H3397" s="352" t="s">
        <v>2757</v>
      </c>
      <c r="I3397" s="352">
        <f>K3402</f>
        <v>32.119999999999997</v>
      </c>
      <c r="J3397" s="352" t="s">
        <v>1419</v>
      </c>
      <c r="K3397" s="352">
        <f>F3397*I3397</f>
        <v>32.119999999999997</v>
      </c>
      <c r="L3397" s="352">
        <f t="shared" ref="L3397:O3399" si="103">K3397</f>
        <v>32.119999999999997</v>
      </c>
      <c r="M3397" s="352">
        <f t="shared" si="103"/>
        <v>32.119999999999997</v>
      </c>
      <c r="N3397" s="352">
        <f t="shared" si="103"/>
        <v>32.119999999999997</v>
      </c>
      <c r="O3397" s="181">
        <f t="shared" si="103"/>
        <v>32.119999999999997</v>
      </c>
    </row>
    <row r="3398" spans="5:15">
      <c r="E3398" s="352"/>
      <c r="F3398" s="352"/>
      <c r="G3398" s="352"/>
      <c r="H3398" s="352" t="s">
        <v>931</v>
      </c>
      <c r="I3398" s="352"/>
      <c r="J3398" s="352"/>
      <c r="K3398" s="352">
        <f>K3409</f>
        <v>424.25</v>
      </c>
      <c r="L3398" s="352">
        <f t="shared" si="103"/>
        <v>424.25</v>
      </c>
      <c r="M3398" s="352">
        <f t="shared" si="103"/>
        <v>424.25</v>
      </c>
      <c r="N3398" s="352">
        <f t="shared" si="103"/>
        <v>424.25</v>
      </c>
      <c r="O3398" s="181">
        <f t="shared" si="103"/>
        <v>424.25</v>
      </c>
    </row>
    <row r="3399" spans="5:15">
      <c r="E3399" s="352"/>
      <c r="F3399" s="352"/>
      <c r="G3399" s="352"/>
      <c r="H3399" s="352" t="s">
        <v>2758</v>
      </c>
      <c r="I3399" s="352" t="s">
        <v>669</v>
      </c>
      <c r="J3399" s="352"/>
      <c r="K3399" s="352">
        <v>5.05</v>
      </c>
      <c r="L3399" s="352">
        <f t="shared" si="103"/>
        <v>5.05</v>
      </c>
      <c r="M3399" s="352">
        <f t="shared" si="103"/>
        <v>5.05</v>
      </c>
      <c r="N3399" s="352">
        <f t="shared" si="103"/>
        <v>5.05</v>
      </c>
      <c r="O3399" s="181">
        <f t="shared" si="103"/>
        <v>5.05</v>
      </c>
    </row>
    <row r="3400" spans="5:15">
      <c r="E3400" s="352"/>
      <c r="F3400" s="352"/>
      <c r="G3400" s="352"/>
      <c r="H3400" s="359" t="s">
        <v>1083</v>
      </c>
      <c r="I3400" s="352"/>
      <c r="J3400" s="352"/>
      <c r="K3400" s="360">
        <f>SUM(K3396:K3399)</f>
        <v>492.7</v>
      </c>
      <c r="L3400" s="360">
        <f>SUM(L3396:L3399)</f>
        <v>492.7</v>
      </c>
      <c r="M3400" s="360">
        <f>SUM(M3396:M3399)</f>
        <v>492.7</v>
      </c>
      <c r="N3400" s="360">
        <f>SUM(N3396:N3399)</f>
        <v>492.7</v>
      </c>
      <c r="O3400" s="360">
        <f>SUM(O3396:O3399)</f>
        <v>492.7</v>
      </c>
    </row>
    <row r="3401" spans="5:15" ht="9.75" customHeight="1">
      <c r="E3401" s="352"/>
      <c r="F3401" s="352"/>
      <c r="G3401" s="352"/>
      <c r="H3401" s="352"/>
      <c r="I3401" s="352"/>
      <c r="J3401" s="352"/>
      <c r="K3401" s="352"/>
      <c r="L3401" s="352"/>
      <c r="M3401" s="352"/>
    </row>
    <row r="3402" spans="5:15">
      <c r="E3402" s="352"/>
      <c r="F3402" s="352"/>
      <c r="G3402" s="352"/>
      <c r="H3402" s="360" t="s">
        <v>2759</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1419</v>
      </c>
      <c r="H3405" s="352" t="s">
        <v>2814</v>
      </c>
      <c r="I3405" s="352">
        <f>I3351</f>
        <v>783</v>
      </c>
      <c r="J3405" s="352" t="s">
        <v>1419</v>
      </c>
      <c r="K3405" s="352">
        <f>F3405*I3405</f>
        <v>783</v>
      </c>
      <c r="L3405" s="352"/>
      <c r="M3405" s="352"/>
    </row>
    <row r="3406" spans="5:15">
      <c r="E3406" s="352"/>
      <c r="F3406" s="352">
        <v>1</v>
      </c>
      <c r="G3406" s="352" t="s">
        <v>1419</v>
      </c>
      <c r="H3406" s="352" t="s">
        <v>2633</v>
      </c>
      <c r="I3406" s="352">
        <f>I3352</f>
        <v>778</v>
      </c>
      <c r="J3406" s="352" t="s">
        <v>1419</v>
      </c>
      <c r="K3406" s="352">
        <f>F3406*I3406</f>
        <v>778</v>
      </c>
      <c r="L3406" s="352"/>
      <c r="M3406" s="352"/>
    </row>
    <row r="3407" spans="5:15">
      <c r="E3407" s="352"/>
      <c r="F3407" s="352">
        <v>3</v>
      </c>
      <c r="G3407" s="352" t="s">
        <v>1419</v>
      </c>
      <c r="H3407" s="352" t="s">
        <v>2370</v>
      </c>
      <c r="I3407" s="352">
        <f>I3353</f>
        <v>611</v>
      </c>
      <c r="J3407" s="352" t="s">
        <v>1419</v>
      </c>
      <c r="K3407" s="352">
        <f>F3407*I3407</f>
        <v>1833</v>
      </c>
      <c r="L3407" s="352"/>
      <c r="M3407" s="352"/>
    </row>
    <row r="3408" spans="5:15">
      <c r="E3408" s="352"/>
      <c r="F3408" s="352"/>
      <c r="G3408" s="352"/>
      <c r="H3408" s="357" t="s">
        <v>2708</v>
      </c>
      <c r="I3408" s="352"/>
      <c r="J3408" s="352"/>
      <c r="K3408" s="352">
        <f>SUM(K3405:K3407)</f>
        <v>3394</v>
      </c>
      <c r="L3408" s="352"/>
      <c r="M3408" s="352"/>
    </row>
    <row r="3409" spans="5:13">
      <c r="E3409" s="352"/>
      <c r="F3409" s="352"/>
      <c r="G3409" s="352"/>
      <c r="H3409" s="359" t="s">
        <v>2841</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2709</v>
      </c>
      <c r="I3411" s="352"/>
      <c r="J3411" s="352"/>
      <c r="K3411" s="352"/>
      <c r="L3411" s="352"/>
      <c r="M3411" s="352"/>
    </row>
    <row r="3412" spans="5:13">
      <c r="E3412" s="352"/>
      <c r="F3412" s="352"/>
      <c r="G3412" s="352"/>
      <c r="H3412" s="360" t="s">
        <v>2710</v>
      </c>
      <c r="I3412" s="352"/>
      <c r="J3412" s="352"/>
      <c r="K3412" s="352"/>
      <c r="L3412" s="352"/>
      <c r="M3412" s="352"/>
    </row>
    <row r="3413" spans="5:13">
      <c r="E3413" s="352"/>
      <c r="F3413" s="352"/>
      <c r="G3413" s="352"/>
      <c r="H3413" s="352"/>
      <c r="I3413" s="352"/>
      <c r="J3413" s="352"/>
      <c r="K3413" s="352"/>
      <c r="L3413" s="352"/>
      <c r="M3413" s="352"/>
    </row>
    <row r="3414" spans="5:13" ht="63">
      <c r="E3414" s="352"/>
      <c r="F3414" s="352"/>
      <c r="G3414" s="352"/>
      <c r="H3414" s="351" t="s">
        <v>2715</v>
      </c>
      <c r="I3414" s="352"/>
      <c r="J3414" s="352"/>
      <c r="K3414" s="352"/>
      <c r="L3414" s="352" t="s">
        <v>3592</v>
      </c>
      <c r="M3414" s="352"/>
    </row>
    <row r="3415" spans="5:13">
      <c r="E3415" s="352"/>
      <c r="F3415" s="352">
        <v>3</v>
      </c>
      <c r="G3415" s="352" t="s">
        <v>1419</v>
      </c>
      <c r="H3415" s="352" t="s">
        <v>2756</v>
      </c>
      <c r="I3415" s="421">
        <f>I3396</f>
        <v>31.28</v>
      </c>
      <c r="J3415" s="352" t="s">
        <v>1423</v>
      </c>
      <c r="K3415" s="352">
        <f>F3415*I3415</f>
        <v>93.84</v>
      </c>
      <c r="L3415" s="352">
        <f>L3396*3</f>
        <v>93.84</v>
      </c>
      <c r="M3415" s="352"/>
    </row>
    <row r="3416" spans="5:13">
      <c r="E3416" s="352"/>
      <c r="F3416" s="352">
        <v>1</v>
      </c>
      <c r="G3416" s="352" t="s">
        <v>1419</v>
      </c>
      <c r="H3416" s="352" t="s">
        <v>3248</v>
      </c>
      <c r="I3416" s="352">
        <f>K3421</f>
        <v>64.239999999999995</v>
      </c>
      <c r="J3416" s="352" t="s">
        <v>1419</v>
      </c>
      <c r="K3416" s="352">
        <f>F3416*I3416</f>
        <v>64.239999999999995</v>
      </c>
      <c r="L3416" s="352">
        <f>K3416</f>
        <v>64.239999999999995</v>
      </c>
      <c r="M3416" s="352"/>
    </row>
    <row r="3417" spans="5:13">
      <c r="E3417" s="352"/>
      <c r="F3417" s="352"/>
      <c r="G3417" s="352"/>
      <c r="H3417" s="352" t="s">
        <v>931</v>
      </c>
      <c r="I3417" s="352"/>
      <c r="J3417" s="352"/>
      <c r="K3417" s="352">
        <f>K3428</f>
        <v>500.63</v>
      </c>
      <c r="L3417" s="352">
        <f>K3417</f>
        <v>500.63</v>
      </c>
      <c r="M3417" s="352"/>
    </row>
    <row r="3418" spans="5:13">
      <c r="E3418" s="352"/>
      <c r="F3418" s="352"/>
      <c r="G3418" s="352"/>
      <c r="H3418" s="352" t="s">
        <v>2758</v>
      </c>
      <c r="I3418" s="352" t="s">
        <v>669</v>
      </c>
      <c r="J3418" s="352"/>
      <c r="K3418" s="352">
        <v>8.5299999999999994</v>
      </c>
      <c r="L3418" s="352">
        <f>K3418</f>
        <v>8.5299999999999994</v>
      </c>
      <c r="M3418" s="352"/>
    </row>
    <row r="3419" spans="5:13">
      <c r="E3419" s="352"/>
      <c r="F3419" s="352"/>
      <c r="G3419" s="352"/>
      <c r="H3419" s="359" t="s">
        <v>1083</v>
      </c>
      <c r="I3419" s="352"/>
      <c r="J3419" s="352"/>
      <c r="K3419" s="360">
        <f>SUM(K3415:K3418)</f>
        <v>667.24</v>
      </c>
      <c r="L3419" s="360">
        <f>SUM(L3415:L3418)</f>
        <v>667.24</v>
      </c>
      <c r="M3419" s="352"/>
    </row>
    <row r="3420" spans="5:13">
      <c r="E3420" s="352"/>
      <c r="F3420" s="352"/>
      <c r="G3420" s="352"/>
      <c r="H3420" s="359"/>
      <c r="I3420" s="352"/>
      <c r="J3420" s="352"/>
      <c r="K3420" s="360"/>
      <c r="L3420" s="352"/>
      <c r="M3420" s="352"/>
    </row>
    <row r="3421" spans="5:13">
      <c r="E3421" s="352"/>
      <c r="F3421" s="352"/>
      <c r="G3421" s="352"/>
      <c r="H3421" s="360" t="s">
        <v>3248</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1419</v>
      </c>
      <c r="H3424" s="352" t="s">
        <v>2814</v>
      </c>
      <c r="I3424" s="352">
        <f>I3405</f>
        <v>783</v>
      </c>
      <c r="J3424" s="352" t="s">
        <v>1419</v>
      </c>
      <c r="K3424" s="352">
        <f>F3424*I3424</f>
        <v>783</v>
      </c>
      <c r="L3424" s="352"/>
      <c r="M3424" s="352"/>
    </row>
    <row r="3425" spans="5:13">
      <c r="E3425" s="352"/>
      <c r="F3425" s="352">
        <v>1</v>
      </c>
      <c r="G3425" s="352" t="s">
        <v>1419</v>
      </c>
      <c r="H3425" s="352" t="s">
        <v>2633</v>
      </c>
      <c r="I3425" s="352">
        <f>I3406</f>
        <v>778</v>
      </c>
      <c r="J3425" s="352" t="s">
        <v>1419</v>
      </c>
      <c r="K3425" s="352">
        <f>F3425*I3425</f>
        <v>778</v>
      </c>
      <c r="L3425" s="352"/>
      <c r="M3425" s="352"/>
    </row>
    <row r="3426" spans="5:13">
      <c r="E3426" s="352"/>
      <c r="F3426" s="352">
        <v>4</v>
      </c>
      <c r="G3426" s="352" t="s">
        <v>1419</v>
      </c>
      <c r="H3426" s="352" t="s">
        <v>2370</v>
      </c>
      <c r="I3426" s="352">
        <f>I3407</f>
        <v>611</v>
      </c>
      <c r="J3426" s="352" t="s">
        <v>1419</v>
      </c>
      <c r="K3426" s="352">
        <f>F3426*I3426</f>
        <v>2444</v>
      </c>
      <c r="L3426" s="352"/>
      <c r="M3426" s="352"/>
    </row>
    <row r="3427" spans="5:13">
      <c r="E3427" s="352"/>
      <c r="F3427" s="352"/>
      <c r="G3427" s="352"/>
      <c r="H3427" s="357" t="s">
        <v>2708</v>
      </c>
      <c r="I3427" s="352"/>
      <c r="J3427" s="352"/>
      <c r="K3427" s="352">
        <f>SUM(K3424:K3426)</f>
        <v>4005</v>
      </c>
      <c r="L3427" s="352"/>
      <c r="M3427" s="352"/>
    </row>
    <row r="3428" spans="5:13">
      <c r="E3428" s="352"/>
      <c r="F3428" s="352"/>
      <c r="G3428" s="352"/>
      <c r="H3428" s="359" t="s">
        <v>2942</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2716</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2717</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2406</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1419</v>
      </c>
      <c r="H3436" s="352" t="s">
        <v>4466</v>
      </c>
      <c r="I3436" s="421">
        <v>45.6</v>
      </c>
      <c r="J3436" s="352" t="s">
        <v>1419</v>
      </c>
      <c r="K3436" s="352">
        <f>F3436*I3436</f>
        <v>45.6</v>
      </c>
      <c r="L3436" s="352"/>
      <c r="M3436" s="352"/>
    </row>
    <row r="3437" spans="5:13">
      <c r="E3437" s="352"/>
      <c r="F3437" s="352">
        <v>1</v>
      </c>
      <c r="G3437" s="352" t="s">
        <v>1419</v>
      </c>
      <c r="H3437" s="351" t="s">
        <v>2407</v>
      </c>
      <c r="I3437" s="352">
        <f>K3443</f>
        <v>240.89</v>
      </c>
      <c r="J3437" s="352" t="s">
        <v>1419</v>
      </c>
      <c r="K3437" s="352">
        <f>F3437*I3437</f>
        <v>240.89</v>
      </c>
      <c r="L3437" s="352"/>
      <c r="M3437" s="352"/>
    </row>
    <row r="3438" spans="5:13">
      <c r="E3438" s="352"/>
      <c r="F3438" s="352">
        <v>1</v>
      </c>
      <c r="G3438" s="352" t="s">
        <v>1419</v>
      </c>
      <c r="H3438" s="352" t="s">
        <v>2408</v>
      </c>
      <c r="I3438" s="441">
        <v>25</v>
      </c>
      <c r="J3438" s="352" t="s">
        <v>2409</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2410</v>
      </c>
      <c r="I3440" s="352"/>
      <c r="J3440" s="352"/>
      <c r="K3440" s="352">
        <v>8.01</v>
      </c>
      <c r="L3440" s="352"/>
      <c r="M3440" s="352"/>
    </row>
    <row r="3441" spans="5:13">
      <c r="E3441" s="352"/>
      <c r="F3441" s="352"/>
      <c r="G3441" s="352"/>
      <c r="H3441" s="359" t="s">
        <v>2411</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2412</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931</v>
      </c>
      <c r="I3445" s="352"/>
      <c r="J3445" s="352"/>
      <c r="K3445" s="352"/>
      <c r="L3445" s="352"/>
      <c r="M3445" s="352"/>
    </row>
    <row r="3446" spans="5:13">
      <c r="E3446" s="352"/>
      <c r="F3446" s="352">
        <v>1</v>
      </c>
      <c r="G3446" s="352" t="s">
        <v>1419</v>
      </c>
      <c r="H3446" s="352" t="s">
        <v>2814</v>
      </c>
      <c r="I3446" s="181">
        <f>I3424</f>
        <v>783</v>
      </c>
      <c r="J3446" s="352" t="s">
        <v>1419</v>
      </c>
      <c r="K3446" s="352">
        <f>F3446*I3446</f>
        <v>783</v>
      </c>
      <c r="L3446" s="352"/>
      <c r="M3446" s="352"/>
    </row>
    <row r="3447" spans="5:13">
      <c r="E3447" s="352"/>
      <c r="F3447" s="352">
        <v>2</v>
      </c>
      <c r="G3447" s="352" t="s">
        <v>1419</v>
      </c>
      <c r="H3447" s="352" t="s">
        <v>2634</v>
      </c>
      <c r="I3447" s="181">
        <f>I3426</f>
        <v>611</v>
      </c>
      <c r="J3447" s="352" t="s">
        <v>1419</v>
      </c>
      <c r="K3447" s="352">
        <f>F3447*I3447</f>
        <v>1222</v>
      </c>
      <c r="L3447" s="352"/>
      <c r="M3447" s="352"/>
    </row>
    <row r="3448" spans="5:13">
      <c r="E3448" s="352"/>
      <c r="F3448" s="352"/>
      <c r="G3448" s="352"/>
      <c r="H3448" s="357" t="s">
        <v>2815</v>
      </c>
      <c r="I3448" s="352"/>
      <c r="J3448" s="352"/>
      <c r="K3448" s="352">
        <f>SUM(K3446:K3447)</f>
        <v>2005</v>
      </c>
      <c r="L3448" s="352"/>
      <c r="M3448" s="352"/>
    </row>
    <row r="3449" spans="5:13">
      <c r="E3449" s="352"/>
      <c r="F3449" s="352"/>
      <c r="G3449" s="352"/>
      <c r="H3449" s="359" t="s">
        <v>2841</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2413</v>
      </c>
      <c r="I3451" s="352"/>
      <c r="J3451" s="352"/>
      <c r="K3451" s="352"/>
      <c r="L3451" s="352"/>
      <c r="M3451" s="352"/>
    </row>
    <row r="3452" spans="5:13">
      <c r="E3452" s="352"/>
      <c r="F3452" s="352"/>
      <c r="G3452" s="352"/>
      <c r="H3452" s="360" t="s">
        <v>2414</v>
      </c>
      <c r="I3452" s="352"/>
      <c r="J3452" s="352"/>
      <c r="K3452" s="352"/>
      <c r="L3452" s="352"/>
      <c r="M3452" s="352"/>
    </row>
    <row r="3453" spans="5:13">
      <c r="E3453" s="352"/>
      <c r="F3453" s="352"/>
      <c r="G3453" s="352"/>
      <c r="H3453" s="352" t="s">
        <v>992</v>
      </c>
      <c r="I3453" s="352"/>
      <c r="J3453" s="352"/>
      <c r="K3453" s="352"/>
      <c r="L3453" s="352"/>
      <c r="M3453" s="352"/>
    </row>
    <row r="3454" spans="5:13">
      <c r="E3454" s="352"/>
      <c r="F3454" s="352">
        <v>1</v>
      </c>
      <c r="G3454" s="352" t="s">
        <v>1419</v>
      </c>
      <c r="H3454" s="352" t="s">
        <v>2541</v>
      </c>
      <c r="I3454" s="421">
        <f>Elec.Data!I625</f>
        <v>128</v>
      </c>
      <c r="J3454" s="352" t="s">
        <v>1419</v>
      </c>
      <c r="K3454" s="352">
        <f>F3454*I3454</f>
        <v>128</v>
      </c>
      <c r="L3454" s="352"/>
      <c r="M3454" s="352"/>
    </row>
    <row r="3455" spans="5:13">
      <c r="E3455" s="352"/>
      <c r="F3455" s="352">
        <v>3</v>
      </c>
      <c r="G3455" s="352" t="s">
        <v>1419</v>
      </c>
      <c r="H3455" s="352" t="str">
        <f>Elec.Data!H626</f>
        <v>Labour charges ( as per data No:28)</v>
      </c>
      <c r="I3455" s="421">
        <f>Elec.Data!I626</f>
        <v>0</v>
      </c>
      <c r="J3455" s="352" t="s">
        <v>1419</v>
      </c>
      <c r="K3455" s="352">
        <f>F3455*I3455</f>
        <v>0</v>
      </c>
      <c r="L3455" s="352"/>
      <c r="M3455" s="352"/>
    </row>
    <row r="3456" spans="5:13">
      <c r="E3456" s="352"/>
      <c r="F3456" s="352"/>
      <c r="G3456" s="352"/>
      <c r="H3456" s="352" t="s">
        <v>2542</v>
      </c>
      <c r="I3456" s="352"/>
      <c r="J3456" s="352"/>
      <c r="K3456" s="352">
        <f>K3348</f>
        <v>505.55</v>
      </c>
      <c r="L3456" s="352"/>
      <c r="M3456" s="352"/>
    </row>
    <row r="3457" spans="5:13">
      <c r="E3457" s="352"/>
      <c r="F3457" s="352"/>
      <c r="G3457" s="352"/>
      <c r="H3457" s="352" t="s">
        <v>2310</v>
      </c>
      <c r="I3457" s="352"/>
      <c r="J3457" s="352"/>
      <c r="K3457" s="352">
        <v>0</v>
      </c>
      <c r="L3457" s="352"/>
      <c r="M3457" s="352"/>
    </row>
    <row r="3458" spans="5:13">
      <c r="E3458" s="352"/>
      <c r="F3458" s="352"/>
      <c r="G3458" s="352"/>
      <c r="H3458" s="359" t="s">
        <v>2543</v>
      </c>
      <c r="I3458" s="352"/>
      <c r="J3458" s="352"/>
      <c r="K3458" s="360">
        <f>SUM(K3454:K3457)</f>
        <v>633.54999999999995</v>
      </c>
      <c r="L3458" s="352"/>
      <c r="M3458" s="352"/>
    </row>
    <row r="3459" spans="5:13">
      <c r="E3459" s="352"/>
      <c r="F3459" s="352"/>
      <c r="G3459" s="352"/>
      <c r="H3459" s="352"/>
      <c r="I3459" s="352"/>
      <c r="J3459" s="352"/>
      <c r="K3459" s="352"/>
      <c r="L3459" s="352"/>
      <c r="M3459" s="352"/>
    </row>
    <row r="3460" spans="5:13">
      <c r="E3460" s="352"/>
      <c r="F3460" s="352"/>
      <c r="G3460" s="352"/>
      <c r="H3460" s="360" t="s">
        <v>2413</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2544</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1419</v>
      </c>
      <c r="H3464" s="352" t="str">
        <f>Elec.Data!H625</f>
        <v>3 No of 30 amps MCB ( Part -L, P-132   6-a havells)</v>
      </c>
      <c r="I3464" s="421">
        <f>K3389</f>
        <v>0</v>
      </c>
      <c r="J3464" s="352" t="s">
        <v>1419</v>
      </c>
      <c r="K3464" s="352">
        <f>F3464*I3464</f>
        <v>0</v>
      </c>
      <c r="L3464" s="352"/>
      <c r="M3464" s="352"/>
    </row>
    <row r="3465" spans="5:13">
      <c r="E3465" s="352"/>
      <c r="F3465" s="352">
        <v>3</v>
      </c>
      <c r="G3465" s="352" t="s">
        <v>1419</v>
      </c>
      <c r="H3465" s="352" t="str">
        <f>Elec.Data!H626</f>
        <v>Labour charges ( as per data No:28)</v>
      </c>
      <c r="I3465" s="352">
        <f>I3455</f>
        <v>0</v>
      </c>
      <c r="J3465" s="352" t="s">
        <v>1419</v>
      </c>
      <c r="K3465" s="352">
        <f>F3465*I3465</f>
        <v>0</v>
      </c>
      <c r="L3465" s="352"/>
      <c r="M3465" s="352"/>
    </row>
    <row r="3466" spans="5:13">
      <c r="E3466" s="352"/>
      <c r="F3466" s="352"/>
      <c r="G3466" s="352"/>
      <c r="H3466" s="352" t="s">
        <v>2910</v>
      </c>
      <c r="I3466" s="352"/>
      <c r="J3466" s="352"/>
      <c r="K3466" s="352">
        <f>K3379</f>
        <v>518.54999999999995</v>
      </c>
      <c r="L3466" s="352"/>
      <c r="M3466" s="352"/>
    </row>
    <row r="3467" spans="5:13">
      <c r="E3467" s="352"/>
      <c r="F3467" s="352"/>
      <c r="G3467" s="352"/>
      <c r="H3467" s="352" t="s">
        <v>2310</v>
      </c>
      <c r="I3467" s="352"/>
      <c r="J3467" s="352"/>
      <c r="K3467" s="352"/>
      <c r="L3467" s="352"/>
      <c r="M3467" s="352"/>
    </row>
    <row r="3468" spans="5:13">
      <c r="E3468" s="352"/>
      <c r="F3468" s="352"/>
      <c r="G3468" s="352"/>
      <c r="H3468" s="359" t="s">
        <v>2911</v>
      </c>
      <c r="I3468" s="352"/>
      <c r="J3468" s="352"/>
      <c r="K3468" s="360">
        <f>SUM(K3464:K3467)</f>
        <v>518.54999999999995</v>
      </c>
      <c r="L3468" s="352"/>
      <c r="M3468" s="352"/>
    </row>
    <row r="3469" spans="5:13">
      <c r="E3469" s="352"/>
      <c r="F3469" s="352"/>
      <c r="G3469" s="352"/>
      <c r="H3469" s="352"/>
      <c r="I3469" s="352"/>
      <c r="J3469" s="352"/>
      <c r="K3469" s="352"/>
      <c r="L3469" s="352"/>
      <c r="M3469" s="352"/>
    </row>
    <row r="3470" spans="5:13">
      <c r="E3470" s="352"/>
      <c r="F3470" s="352"/>
      <c r="G3470" s="352"/>
      <c r="H3470" s="360" t="s">
        <v>2912</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2913</v>
      </c>
      <c r="I3472" s="352"/>
      <c r="J3472" s="352"/>
      <c r="K3472" s="352"/>
      <c r="L3472" s="352"/>
      <c r="M3472" s="352"/>
    </row>
    <row r="3473" spans="5:13">
      <c r="E3473" s="352"/>
      <c r="F3473" s="352"/>
      <c r="G3473" s="352"/>
      <c r="H3473" s="352"/>
      <c r="I3473" s="352"/>
      <c r="J3473" s="352"/>
      <c r="K3473" s="352"/>
      <c r="L3473" s="352"/>
      <c r="M3473" s="352"/>
    </row>
    <row r="3474" spans="5:13" ht="78.75">
      <c r="E3474" s="352"/>
      <c r="F3474" s="352"/>
      <c r="G3474" s="352"/>
      <c r="H3474" s="351" t="s">
        <v>3452</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1419</v>
      </c>
      <c r="H3476" s="352" t="s">
        <v>2914</v>
      </c>
      <c r="I3476" s="352">
        <f>I3396</f>
        <v>31.28</v>
      </c>
      <c r="J3476" s="352" t="s">
        <v>1419</v>
      </c>
      <c r="K3476" s="352">
        <f>F3476*I3476</f>
        <v>93.84</v>
      </c>
      <c r="L3476" s="352"/>
      <c r="M3476" s="352"/>
    </row>
    <row r="3477" spans="5:13" ht="24.95" customHeight="1">
      <c r="E3477" s="352"/>
      <c r="F3477" s="352">
        <v>1</v>
      </c>
      <c r="G3477" s="352" t="s">
        <v>1419</v>
      </c>
      <c r="H3477" s="351" t="s">
        <v>2915</v>
      </c>
      <c r="I3477" s="352">
        <f>K3483</f>
        <v>361.33</v>
      </c>
      <c r="J3477" s="352" t="s">
        <v>1419</v>
      </c>
      <c r="K3477" s="352">
        <f>F3477*I3477</f>
        <v>361.33</v>
      </c>
      <c r="L3477" s="352"/>
      <c r="M3477" s="352"/>
    </row>
    <row r="3478" spans="5:13" ht="24.95" customHeight="1">
      <c r="E3478" s="352"/>
      <c r="F3478" s="352">
        <v>1</v>
      </c>
      <c r="G3478" s="352" t="s">
        <v>1419</v>
      </c>
      <c r="H3478" s="352" t="s">
        <v>2408</v>
      </c>
      <c r="I3478" s="352">
        <f>I3438</f>
        <v>25</v>
      </c>
      <c r="J3478" s="352" t="s">
        <v>2409</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2410</v>
      </c>
      <c r="I3480" s="352"/>
      <c r="J3480" s="352"/>
      <c r="K3480" s="352">
        <f>3.77+0.47</f>
        <v>4.24</v>
      </c>
      <c r="L3480" s="352"/>
      <c r="M3480" s="352"/>
    </row>
    <row r="3481" spans="5:13" ht="24.95" customHeight="1">
      <c r="E3481" s="352"/>
      <c r="F3481" s="352"/>
      <c r="G3481" s="352"/>
      <c r="H3481" s="359" t="s">
        <v>2411</v>
      </c>
      <c r="I3481" s="352"/>
      <c r="J3481" s="352"/>
      <c r="K3481" s="360">
        <f>SUM(K3476:K3480)</f>
        <v>1152.74</v>
      </c>
      <c r="L3481" s="352">
        <f>K3481-1032</f>
        <v>120.74</v>
      </c>
      <c r="M3481" s="352"/>
    </row>
    <row r="3482" spans="5:13">
      <c r="E3482" s="352"/>
      <c r="F3482" s="352"/>
      <c r="G3482" s="352"/>
      <c r="H3482" s="352"/>
      <c r="I3482" s="352"/>
      <c r="J3482" s="352"/>
      <c r="K3482" s="352"/>
      <c r="L3482" s="352"/>
      <c r="M3482" s="352"/>
    </row>
    <row r="3483" spans="5:13">
      <c r="E3483" s="352"/>
      <c r="F3483" s="352"/>
      <c r="G3483" s="352"/>
      <c r="H3483" s="360" t="s">
        <v>2916</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931</v>
      </c>
      <c r="I3485" s="352"/>
      <c r="J3485" s="352"/>
      <c r="K3485" s="352"/>
      <c r="L3485" s="352"/>
      <c r="M3485" s="352"/>
    </row>
    <row r="3486" spans="5:13" ht="21.75" customHeight="1">
      <c r="E3486" s="352"/>
      <c r="F3486" s="352">
        <v>1</v>
      </c>
      <c r="G3486" s="352" t="s">
        <v>1419</v>
      </c>
      <c r="H3486" s="352" t="s">
        <v>2814</v>
      </c>
      <c r="I3486" s="352">
        <f>I3446</f>
        <v>783</v>
      </c>
      <c r="J3486" s="352" t="s">
        <v>1419</v>
      </c>
      <c r="K3486" s="352">
        <f>F3486*I3486</f>
        <v>783</v>
      </c>
      <c r="L3486" s="352"/>
      <c r="M3486" s="352"/>
    </row>
    <row r="3487" spans="5:13" ht="21.75" customHeight="1">
      <c r="E3487" s="352"/>
      <c r="F3487" s="352">
        <v>2</v>
      </c>
      <c r="G3487" s="352" t="s">
        <v>1419</v>
      </c>
      <c r="H3487" s="352" t="s">
        <v>2634</v>
      </c>
      <c r="I3487" s="352">
        <f>I3447</f>
        <v>611</v>
      </c>
      <c r="J3487" s="352" t="s">
        <v>1419</v>
      </c>
      <c r="K3487" s="352">
        <f>F3487*I3487</f>
        <v>1222</v>
      </c>
      <c r="L3487" s="352"/>
      <c r="M3487" s="352"/>
    </row>
    <row r="3488" spans="5:13" ht="21.75" customHeight="1">
      <c r="E3488" s="352"/>
      <c r="F3488" s="352"/>
      <c r="G3488" s="352"/>
      <c r="H3488" s="357" t="s">
        <v>2917</v>
      </c>
      <c r="I3488" s="352"/>
      <c r="J3488" s="360"/>
      <c r="K3488" s="361">
        <f>SUM(K3486:K3487)</f>
        <v>2005</v>
      </c>
      <c r="L3488" s="352"/>
      <c r="M3488" s="352"/>
    </row>
    <row r="3489" spans="5:18" ht="21.75" customHeight="1">
      <c r="E3489" s="352"/>
      <c r="F3489" s="352"/>
      <c r="G3489" s="352"/>
      <c r="H3489" s="359" t="s">
        <v>2841</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2918</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2747</v>
      </c>
      <c r="I3493" s="352"/>
      <c r="J3493" s="352"/>
      <c r="K3493" s="352"/>
      <c r="L3493" s="352"/>
      <c r="M3493" s="352"/>
      <c r="N3493" s="352"/>
      <c r="O3493" s="350" t="s">
        <v>307</v>
      </c>
      <c r="P3493" s="352"/>
      <c r="Q3493" s="352"/>
      <c r="R3493" s="352"/>
    </row>
    <row r="3494" spans="5:18" ht="36" customHeight="1">
      <c r="E3494" s="352"/>
      <c r="F3494" s="352">
        <v>180</v>
      </c>
      <c r="G3494" s="352" t="s">
        <v>842</v>
      </c>
      <c r="H3494" s="351" t="s">
        <v>3985</v>
      </c>
      <c r="I3494" s="353">
        <f>I3112</f>
        <v>32.200000000000003</v>
      </c>
      <c r="J3494" s="352" t="s">
        <v>842</v>
      </c>
      <c r="K3494" s="352">
        <f>F3494*I3494</f>
        <v>5796</v>
      </c>
      <c r="L3494" s="352"/>
      <c r="M3494" s="352">
        <v>180</v>
      </c>
      <c r="N3494" s="352" t="s">
        <v>842</v>
      </c>
      <c r="O3494" s="351" t="s">
        <v>308</v>
      </c>
      <c r="P3494" s="353">
        <f>I3101</f>
        <v>20.3</v>
      </c>
      <c r="Q3494" s="352" t="s">
        <v>842</v>
      </c>
      <c r="R3494" s="352">
        <f>M3494*P3494</f>
        <v>3654</v>
      </c>
    </row>
    <row r="3495" spans="5:18" ht="24.95" customHeight="1">
      <c r="E3495" s="352"/>
      <c r="F3495" s="352">
        <v>4</v>
      </c>
      <c r="G3495" s="352" t="s">
        <v>1676</v>
      </c>
      <c r="H3495" s="352" t="s">
        <v>3397</v>
      </c>
      <c r="I3495" s="353">
        <v>89.7</v>
      </c>
      <c r="J3495" s="352" t="s">
        <v>1676</v>
      </c>
      <c r="K3495" s="352">
        <f>F3495*I3495</f>
        <v>358.8</v>
      </c>
      <c r="L3495" s="352"/>
      <c r="M3495" s="352">
        <v>4</v>
      </c>
      <c r="N3495" s="352" t="s">
        <v>1676</v>
      </c>
      <c r="O3495" s="352" t="s">
        <v>3397</v>
      </c>
      <c r="P3495" s="353">
        <f>I3495</f>
        <v>89.7</v>
      </c>
      <c r="Q3495" s="352" t="s">
        <v>1676</v>
      </c>
      <c r="R3495" s="352">
        <f>M3495*P3495</f>
        <v>358.8</v>
      </c>
    </row>
    <row r="3496" spans="5:18" ht="24.95" customHeight="1">
      <c r="E3496" s="352"/>
      <c r="F3496" s="352">
        <v>180</v>
      </c>
      <c r="G3496" s="352" t="s">
        <v>1423</v>
      </c>
      <c r="H3496" s="352" t="s">
        <v>2749</v>
      </c>
      <c r="I3496" s="353">
        <f>ROUND(6.7/12,2)</f>
        <v>0.56000000000000005</v>
      </c>
      <c r="J3496" s="352" t="s">
        <v>1423</v>
      </c>
      <c r="K3496" s="352">
        <f>F3496*I3496</f>
        <v>100.8</v>
      </c>
      <c r="L3496" s="352"/>
      <c r="M3496" s="352">
        <v>180</v>
      </c>
      <c r="N3496" s="352" t="s">
        <v>1423</v>
      </c>
      <c r="O3496" s="352" t="s">
        <v>2749</v>
      </c>
      <c r="P3496" s="353">
        <f>I3496</f>
        <v>0.56000000000000005</v>
      </c>
      <c r="Q3496" s="352" t="s">
        <v>1423</v>
      </c>
      <c r="R3496" s="352">
        <f>M3496*P3496</f>
        <v>100.8</v>
      </c>
    </row>
    <row r="3497" spans="5:18" ht="24.95" customHeight="1">
      <c r="E3497" s="352"/>
      <c r="F3497" s="352">
        <v>1</v>
      </c>
      <c r="G3497" s="352" t="s">
        <v>1676</v>
      </c>
      <c r="H3497" s="352" t="s">
        <v>2750</v>
      </c>
      <c r="I3497" s="353">
        <f>I3495</f>
        <v>89.7</v>
      </c>
      <c r="J3497" s="352" t="s">
        <v>1676</v>
      </c>
      <c r="K3497" s="352">
        <f>F3497*I3497</f>
        <v>89.7</v>
      </c>
      <c r="L3497" s="352"/>
      <c r="M3497" s="352">
        <v>1</v>
      </c>
      <c r="N3497" s="352" t="s">
        <v>1676</v>
      </c>
      <c r="O3497" s="352" t="s">
        <v>2750</v>
      </c>
      <c r="P3497" s="353">
        <f>I3497</f>
        <v>89.7</v>
      </c>
      <c r="Q3497" s="352" t="s">
        <v>1676</v>
      </c>
      <c r="R3497" s="352">
        <f>M3497*P3497</f>
        <v>89.7</v>
      </c>
    </row>
    <row r="3498" spans="5:18" ht="24.95" customHeight="1">
      <c r="E3498" s="352"/>
      <c r="F3498" s="352"/>
      <c r="G3498" s="352"/>
      <c r="H3498" s="352" t="s">
        <v>931</v>
      </c>
      <c r="I3498" s="352"/>
      <c r="J3498" s="352"/>
      <c r="K3498" s="352">
        <f>K3507</f>
        <v>5853</v>
      </c>
      <c r="L3498" s="352"/>
      <c r="M3498" s="352"/>
      <c r="N3498" s="352"/>
      <c r="O3498" s="352" t="s">
        <v>931</v>
      </c>
      <c r="P3498" s="352"/>
      <c r="Q3498" s="352"/>
      <c r="R3498" s="352">
        <f>R3507</f>
        <v>5853</v>
      </c>
    </row>
    <row r="3499" spans="5:18" ht="24.95" customHeight="1">
      <c r="E3499" s="352"/>
      <c r="F3499" s="352"/>
      <c r="G3499" s="352"/>
      <c r="H3499" s="352" t="s">
        <v>2751</v>
      </c>
      <c r="I3499" s="352"/>
      <c r="J3499" s="352"/>
      <c r="K3499" s="352">
        <v>38</v>
      </c>
      <c r="L3499" s="352">
        <v>26.5</v>
      </c>
      <c r="M3499" s="352"/>
      <c r="N3499" s="352"/>
      <c r="O3499" s="352" t="s">
        <v>2751</v>
      </c>
      <c r="P3499" s="352"/>
      <c r="Q3499" s="352"/>
      <c r="R3499" s="352">
        <v>30.7</v>
      </c>
    </row>
    <row r="3500" spans="5:18" ht="24.95" customHeight="1">
      <c r="E3500" s="352"/>
      <c r="F3500" s="352"/>
      <c r="G3500" s="352"/>
      <c r="H3500" s="357" t="s">
        <v>2752</v>
      </c>
      <c r="I3500" s="352"/>
      <c r="J3500" s="352"/>
      <c r="K3500" s="352">
        <f>SUM(K3494:K3499)</f>
        <v>12236.3</v>
      </c>
      <c r="L3500" s="352"/>
      <c r="M3500" s="352"/>
      <c r="N3500" s="352"/>
      <c r="O3500" s="357" t="s">
        <v>2752</v>
      </c>
      <c r="P3500" s="352"/>
      <c r="Q3500" s="352"/>
      <c r="R3500" s="352">
        <v>30.7</v>
      </c>
    </row>
    <row r="3501" spans="5:18" ht="24.95" customHeight="1">
      <c r="E3501" s="352"/>
      <c r="F3501" s="352"/>
      <c r="G3501" s="352"/>
      <c r="H3501" s="359" t="s">
        <v>2433</v>
      </c>
      <c r="I3501" s="352"/>
      <c r="J3501" s="352"/>
      <c r="K3501" s="360">
        <f>K3500/90</f>
        <v>135.96</v>
      </c>
      <c r="L3501" s="352"/>
      <c r="M3501" s="352"/>
      <c r="N3501" s="352"/>
      <c r="O3501" s="359" t="s">
        <v>2433</v>
      </c>
      <c r="P3501" s="352"/>
      <c r="Q3501" s="352"/>
      <c r="R3501" s="360">
        <f>R3500/90</f>
        <v>0.34</v>
      </c>
    </row>
    <row r="3502" spans="5:18">
      <c r="E3502" s="352"/>
      <c r="F3502" s="352"/>
      <c r="G3502" s="352"/>
      <c r="H3502" s="358" t="s">
        <v>2691</v>
      </c>
      <c r="I3502" s="352"/>
      <c r="J3502" s="352"/>
      <c r="K3502" s="352"/>
      <c r="L3502" s="352">
        <f>L3501-K3500</f>
        <v>-12236.3</v>
      </c>
      <c r="M3502" s="352"/>
      <c r="N3502" s="352"/>
      <c r="O3502" s="358" t="s">
        <v>2691</v>
      </c>
      <c r="P3502" s="352"/>
      <c r="Q3502" s="352"/>
      <c r="R3502" s="352"/>
    </row>
    <row r="3503" spans="5:18">
      <c r="E3503" s="352"/>
      <c r="F3503" s="352">
        <v>1</v>
      </c>
      <c r="G3503" s="352" t="s">
        <v>1419</v>
      </c>
      <c r="H3503" s="361" t="s">
        <v>2753</v>
      </c>
      <c r="I3503" s="352">
        <f>I2866</f>
        <v>898</v>
      </c>
      <c r="J3503" s="352" t="s">
        <v>1419</v>
      </c>
      <c r="K3503" s="352">
        <f>F3503*I3503</f>
        <v>898</v>
      </c>
      <c r="L3503" s="352"/>
      <c r="M3503" s="352">
        <v>1</v>
      </c>
      <c r="N3503" s="352" t="s">
        <v>1419</v>
      </c>
      <c r="O3503" s="361" t="s">
        <v>2753</v>
      </c>
      <c r="P3503" s="352">
        <f>I3503</f>
        <v>898</v>
      </c>
      <c r="Q3503" s="352" t="s">
        <v>1419</v>
      </c>
      <c r="R3503" s="352">
        <f>M3503*P3503</f>
        <v>898</v>
      </c>
    </row>
    <row r="3504" spans="5:18">
      <c r="E3504" s="352"/>
      <c r="F3504" s="352">
        <v>2</v>
      </c>
      <c r="G3504" s="352" t="s">
        <v>1419</v>
      </c>
      <c r="H3504" s="352" t="s">
        <v>2814</v>
      </c>
      <c r="I3504" s="352">
        <f>I2867</f>
        <v>783</v>
      </c>
      <c r="J3504" s="352" t="s">
        <v>1419</v>
      </c>
      <c r="K3504" s="352">
        <f>F3504*I3504</f>
        <v>1566</v>
      </c>
      <c r="L3504" s="352"/>
      <c r="M3504" s="352">
        <v>2</v>
      </c>
      <c r="N3504" s="352" t="s">
        <v>1419</v>
      </c>
      <c r="O3504" s="352" t="s">
        <v>2814</v>
      </c>
      <c r="P3504" s="352">
        <f>I3504</f>
        <v>783</v>
      </c>
      <c r="Q3504" s="352" t="s">
        <v>1419</v>
      </c>
      <c r="R3504" s="352">
        <f>M3504*P3504</f>
        <v>1566</v>
      </c>
    </row>
    <row r="3505" spans="5:18">
      <c r="E3505" s="352"/>
      <c r="F3505" s="352">
        <v>2</v>
      </c>
      <c r="G3505" s="352" t="s">
        <v>1419</v>
      </c>
      <c r="H3505" s="352" t="s">
        <v>2633</v>
      </c>
      <c r="I3505" s="352">
        <f>I2868</f>
        <v>778</v>
      </c>
      <c r="J3505" s="352" t="s">
        <v>1419</v>
      </c>
      <c r="K3505" s="352">
        <f>F3505*I3505</f>
        <v>1556</v>
      </c>
      <c r="L3505" s="352"/>
      <c r="M3505" s="352">
        <v>2</v>
      </c>
      <c r="N3505" s="352" t="s">
        <v>1419</v>
      </c>
      <c r="O3505" s="352" t="s">
        <v>2633</v>
      </c>
      <c r="P3505" s="352">
        <f>I3505</f>
        <v>778</v>
      </c>
      <c r="Q3505" s="352" t="s">
        <v>1419</v>
      </c>
      <c r="R3505" s="352">
        <f>M3505*P3505</f>
        <v>1556</v>
      </c>
    </row>
    <row r="3506" spans="5:18">
      <c r="E3506" s="352"/>
      <c r="F3506" s="352">
        <v>3</v>
      </c>
      <c r="G3506" s="352" t="s">
        <v>1419</v>
      </c>
      <c r="H3506" s="352" t="s">
        <v>2370</v>
      </c>
      <c r="I3506" s="352">
        <f>I2869</f>
        <v>611</v>
      </c>
      <c r="J3506" s="352" t="s">
        <v>1419</v>
      </c>
      <c r="K3506" s="352">
        <f>F3506*I3506</f>
        <v>1833</v>
      </c>
      <c r="L3506" s="352"/>
      <c r="M3506" s="352">
        <v>3</v>
      </c>
      <c r="N3506" s="352" t="s">
        <v>1419</v>
      </c>
      <c r="O3506" s="352" t="s">
        <v>2370</v>
      </c>
      <c r="P3506" s="352">
        <f>I3506</f>
        <v>611</v>
      </c>
      <c r="Q3506" s="352" t="s">
        <v>1419</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2754</v>
      </c>
      <c r="I3509" s="352"/>
      <c r="J3509" s="352"/>
      <c r="K3509" s="352"/>
      <c r="L3509" s="352"/>
      <c r="M3509" s="352"/>
    </row>
    <row r="3510" spans="5:18" ht="29.25" customHeight="1">
      <c r="E3510" s="352"/>
      <c r="F3510" s="352"/>
      <c r="G3510" s="352"/>
      <c r="H3510" s="350" t="s">
        <v>2345</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2690</v>
      </c>
      <c r="I3512" s="352"/>
      <c r="J3512" s="352"/>
      <c r="K3512" s="352"/>
      <c r="L3512" s="352"/>
      <c r="M3512" s="352"/>
    </row>
    <row r="3513" spans="5:18">
      <c r="E3513" s="352"/>
      <c r="F3513" s="352">
        <v>1</v>
      </c>
      <c r="G3513" s="352" t="s">
        <v>842</v>
      </c>
      <c r="H3513" s="352" t="s">
        <v>4470</v>
      </c>
      <c r="I3513" s="353">
        <v>120.8</v>
      </c>
      <c r="J3513" s="352" t="s">
        <v>842</v>
      </c>
      <c r="K3513" s="357">
        <f>F3513*I3513</f>
        <v>120.8</v>
      </c>
      <c r="L3513" s="352"/>
      <c r="M3513" s="352"/>
    </row>
    <row r="3514" spans="5:18">
      <c r="E3514" s="352"/>
      <c r="F3514" s="352"/>
      <c r="G3514" s="352"/>
      <c r="H3514" s="352" t="s">
        <v>2310</v>
      </c>
      <c r="I3514" s="352"/>
      <c r="J3514" s="352"/>
      <c r="K3514" s="357">
        <f>1.87+0.33</f>
        <v>2.2000000000000002</v>
      </c>
      <c r="L3514" s="352"/>
      <c r="M3514" s="352"/>
    </row>
    <row r="3515" spans="5:18">
      <c r="E3515" s="352"/>
      <c r="F3515" s="352"/>
      <c r="G3515" s="352"/>
      <c r="H3515" s="359" t="s">
        <v>3436</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3437</v>
      </c>
      <c r="I3517" s="352"/>
      <c r="J3517" s="352"/>
      <c r="K3517" s="352"/>
      <c r="L3517" s="352"/>
      <c r="M3517" s="352"/>
    </row>
    <row r="3518" spans="5:18">
      <c r="E3518" s="352"/>
      <c r="F3518" s="352"/>
      <c r="G3518" s="352"/>
      <c r="H3518" s="360" t="s">
        <v>3438</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3439</v>
      </c>
      <c r="I3520" s="352"/>
      <c r="J3520" s="352"/>
      <c r="K3520" s="352"/>
      <c r="L3520" s="352"/>
      <c r="M3520" s="352"/>
    </row>
    <row r="3521" spans="5:13">
      <c r="E3521" s="352"/>
      <c r="F3521" s="352">
        <v>1</v>
      </c>
      <c r="G3521" s="352" t="s">
        <v>842</v>
      </c>
      <c r="H3521" s="352" t="s">
        <v>4471</v>
      </c>
      <c r="I3521" s="353">
        <v>43.9</v>
      </c>
      <c r="J3521" s="352" t="s">
        <v>364</v>
      </c>
      <c r="K3521" s="352">
        <f>F3522*I3521</f>
        <v>142.68</v>
      </c>
      <c r="L3521" s="352"/>
      <c r="M3521" s="352"/>
    </row>
    <row r="3522" spans="5:13">
      <c r="E3522" s="352"/>
      <c r="F3522" s="352">
        <v>3.25</v>
      </c>
      <c r="G3522" s="352" t="s">
        <v>3440</v>
      </c>
      <c r="H3522" s="352"/>
      <c r="I3522" s="352"/>
      <c r="J3522" s="352"/>
      <c r="K3522" s="352"/>
      <c r="L3522" s="352"/>
      <c r="M3522" s="352"/>
    </row>
    <row r="3523" spans="5:13">
      <c r="E3523" s="352"/>
      <c r="F3523" s="352"/>
      <c r="G3523" s="352"/>
      <c r="H3523" s="352" t="s">
        <v>2310</v>
      </c>
      <c r="I3523" s="352"/>
      <c r="J3523" s="352"/>
      <c r="K3523" s="352">
        <f>1.95+0.64-0.27</f>
        <v>2.3199999999999998</v>
      </c>
      <c r="L3523" s="352"/>
      <c r="M3523" s="352"/>
    </row>
    <row r="3524" spans="5:13">
      <c r="E3524" s="352"/>
      <c r="F3524" s="352"/>
      <c r="G3524" s="352"/>
      <c r="H3524" s="359" t="s">
        <v>2809</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3441</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3442</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2972</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842</v>
      </c>
      <c r="H3532" s="351" t="s">
        <v>2748</v>
      </c>
      <c r="I3532" s="352">
        <f>I3494</f>
        <v>32.200000000000003</v>
      </c>
      <c r="J3532" s="352" t="s">
        <v>842</v>
      </c>
      <c r="K3532" s="352">
        <f>F3532*I3532</f>
        <v>11592</v>
      </c>
      <c r="L3532" s="352"/>
      <c r="M3532" s="352"/>
    </row>
    <row r="3533" spans="5:13" ht="15.75" customHeight="1">
      <c r="E3533" s="352"/>
      <c r="F3533" s="352">
        <v>4</v>
      </c>
      <c r="G3533" s="352" t="s">
        <v>1676</v>
      </c>
      <c r="H3533" s="352" t="s">
        <v>3397</v>
      </c>
      <c r="I3533" s="352">
        <f>I3495</f>
        <v>89.7</v>
      </c>
      <c r="J3533" s="352" t="s">
        <v>1676</v>
      </c>
      <c r="K3533" s="352">
        <f>F3533*I3533</f>
        <v>358.8</v>
      </c>
      <c r="L3533" s="352"/>
      <c r="M3533" s="352"/>
    </row>
    <row r="3534" spans="5:13">
      <c r="E3534" s="352"/>
      <c r="F3534" s="352">
        <v>360</v>
      </c>
      <c r="G3534" s="352" t="s">
        <v>1423</v>
      </c>
      <c r="H3534" s="352" t="s">
        <v>2749</v>
      </c>
      <c r="I3534" s="352">
        <f>I3496</f>
        <v>0.56000000000000005</v>
      </c>
      <c r="J3534" s="352" t="s">
        <v>1423</v>
      </c>
      <c r="K3534" s="352">
        <f>F3534*I3534</f>
        <v>201.6</v>
      </c>
      <c r="L3534" s="352"/>
      <c r="M3534" s="352"/>
    </row>
    <row r="3535" spans="5:13">
      <c r="E3535" s="352"/>
      <c r="F3535" s="352">
        <v>1.5</v>
      </c>
      <c r="G3535" s="352" t="s">
        <v>1676</v>
      </c>
      <c r="H3535" s="352" t="s">
        <v>2750</v>
      </c>
      <c r="I3535" s="352">
        <f>I3497</f>
        <v>89.7</v>
      </c>
      <c r="J3535" s="352" t="s">
        <v>1676</v>
      </c>
      <c r="K3535" s="352">
        <f>F3535*I3535</f>
        <v>134.55000000000001</v>
      </c>
      <c r="L3535" s="352"/>
      <c r="M3535" s="352"/>
    </row>
    <row r="3536" spans="5:13">
      <c r="E3536" s="352"/>
      <c r="F3536" s="352"/>
      <c r="G3536" s="352"/>
      <c r="H3536" s="352" t="s">
        <v>2973</v>
      </c>
      <c r="I3536" s="352"/>
      <c r="J3536" s="352"/>
      <c r="K3536" s="352">
        <f>K3507*1.5</f>
        <v>8779.5</v>
      </c>
      <c r="L3536" s="352"/>
      <c r="M3536" s="352"/>
    </row>
    <row r="3537" spans="5:13">
      <c r="E3537" s="352"/>
      <c r="F3537" s="352"/>
      <c r="G3537" s="352"/>
      <c r="H3537" s="352" t="s">
        <v>2751</v>
      </c>
      <c r="I3537" s="352"/>
      <c r="J3537" s="352"/>
      <c r="K3537" s="352">
        <v>167.55</v>
      </c>
      <c r="L3537" s="352"/>
      <c r="M3537" s="352"/>
    </row>
    <row r="3538" spans="5:13">
      <c r="E3538" s="352"/>
      <c r="F3538" s="352"/>
      <c r="G3538" s="352"/>
      <c r="H3538" s="357" t="s">
        <v>2752</v>
      </c>
      <c r="I3538" s="352"/>
      <c r="J3538" s="352"/>
      <c r="K3538" s="352">
        <f>SUM(K3532:K3537)</f>
        <v>21234</v>
      </c>
      <c r="L3538" s="352"/>
      <c r="M3538" s="352"/>
    </row>
    <row r="3539" spans="5:13">
      <c r="E3539" s="352"/>
      <c r="F3539" s="352"/>
      <c r="G3539" s="352"/>
      <c r="H3539" s="359" t="s">
        <v>2433</v>
      </c>
      <c r="I3539" s="352"/>
      <c r="J3539" s="352"/>
      <c r="K3539" s="360">
        <f>K3538/90</f>
        <v>235.93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2974</v>
      </c>
      <c r="I3541" s="352"/>
      <c r="J3541" s="352"/>
      <c r="K3541" s="352"/>
      <c r="L3541" s="352"/>
      <c r="M3541" s="352"/>
    </row>
    <row r="3542" spans="5:13" ht="32.25" customHeight="1">
      <c r="E3542" s="352"/>
      <c r="F3542" s="352"/>
      <c r="G3542" s="352"/>
      <c r="H3542" s="350" t="s">
        <v>2415</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2346</v>
      </c>
      <c r="I3544" s="352"/>
      <c r="J3544" s="352"/>
      <c r="K3544" s="352"/>
      <c r="L3544" s="352"/>
      <c r="M3544" s="352"/>
    </row>
    <row r="3545" spans="5:13">
      <c r="E3545" s="352"/>
      <c r="F3545" s="352">
        <v>1</v>
      </c>
      <c r="G3545" s="352" t="s">
        <v>842</v>
      </c>
      <c r="H3545" s="352" t="str">
        <f>Elec.Data!H716</f>
        <v>Sundries</v>
      </c>
      <c r="I3545" s="421">
        <f>Elec.Data!I716</f>
        <v>0</v>
      </c>
      <c r="J3545" s="352" t="s">
        <v>842</v>
      </c>
      <c r="K3545" s="357">
        <f>F3545*I3545</f>
        <v>0</v>
      </c>
      <c r="L3545" s="352"/>
      <c r="M3545" s="352"/>
    </row>
    <row r="3546" spans="5:13">
      <c r="E3546" s="352"/>
      <c r="F3546" s="352"/>
      <c r="G3546" s="352"/>
      <c r="H3546" s="352" t="s">
        <v>2310</v>
      </c>
      <c r="I3546" s="352"/>
      <c r="J3546" s="352"/>
      <c r="K3546" s="357">
        <v>1.1000000000000001</v>
      </c>
      <c r="L3546" s="352"/>
      <c r="M3546" s="352"/>
    </row>
    <row r="3547" spans="5:13">
      <c r="E3547" s="352"/>
      <c r="F3547" s="352"/>
      <c r="G3547" s="352"/>
      <c r="H3547" s="359" t="s">
        <v>3436</v>
      </c>
      <c r="I3547" s="352"/>
      <c r="J3547" s="352"/>
      <c r="K3547" s="359">
        <f>SUM(K3545:K3546)</f>
        <v>1.1000000000000001</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2347</v>
      </c>
      <c r="I3549" s="352"/>
      <c r="J3549" s="352"/>
      <c r="K3549" s="352"/>
      <c r="L3549" s="352"/>
      <c r="M3549" s="352"/>
    </row>
    <row r="3550" spans="5:13">
      <c r="E3550" s="352"/>
      <c r="F3550" s="352"/>
      <c r="G3550" s="352"/>
      <c r="H3550" s="360" t="s">
        <v>3438</v>
      </c>
      <c r="I3550" s="352"/>
      <c r="J3550" s="352"/>
      <c r="K3550" s="352"/>
      <c r="L3550" s="352"/>
      <c r="M3550" s="352"/>
    </row>
    <row r="3551" spans="5:13">
      <c r="E3551" s="352"/>
      <c r="F3551" s="352"/>
      <c r="G3551" s="352"/>
      <c r="H3551" s="352"/>
      <c r="I3551" s="352"/>
      <c r="J3551" s="352"/>
      <c r="K3551" s="352"/>
      <c r="L3551" s="352"/>
      <c r="M3551" s="352"/>
    </row>
    <row r="3552" spans="5:13" ht="47.25">
      <c r="E3552" s="352"/>
      <c r="F3552" s="352"/>
      <c r="G3552" s="352"/>
      <c r="H3552" s="373" t="s">
        <v>3439</v>
      </c>
      <c r="I3552" s="352"/>
      <c r="J3552" s="352"/>
      <c r="K3552" s="352"/>
      <c r="L3552" s="352"/>
      <c r="M3552" s="352"/>
    </row>
    <row r="3553" spans="5:15">
      <c r="E3553" s="352"/>
      <c r="F3553" s="352">
        <v>1</v>
      </c>
      <c r="G3553" s="352" t="s">
        <v>842</v>
      </c>
      <c r="H3553" s="352">
        <f>Elec.Data!H724</f>
        <v>0</v>
      </c>
      <c r="I3553" s="353">
        <f>I3521</f>
        <v>43.9</v>
      </c>
      <c r="J3553" s="352" t="s">
        <v>364</v>
      </c>
      <c r="K3553" s="352">
        <f>F3554*I3553</f>
        <v>142.68</v>
      </c>
      <c r="L3553" s="352"/>
      <c r="M3553" s="352"/>
    </row>
    <row r="3554" spans="5:15">
      <c r="E3554" s="352"/>
      <c r="F3554" s="352">
        <v>3.25</v>
      </c>
      <c r="G3554" s="352" t="s">
        <v>3440</v>
      </c>
      <c r="H3554" s="352"/>
      <c r="I3554" s="352"/>
      <c r="J3554" s="352"/>
      <c r="K3554" s="352"/>
      <c r="L3554" s="352"/>
      <c r="M3554" s="352"/>
    </row>
    <row r="3555" spans="5:15">
      <c r="E3555" s="352"/>
      <c r="F3555" s="352"/>
      <c r="G3555" s="352"/>
      <c r="H3555" s="352" t="s">
        <v>2310</v>
      </c>
      <c r="I3555" s="352"/>
      <c r="J3555" s="352"/>
      <c r="K3555" s="352">
        <v>3.32</v>
      </c>
      <c r="L3555" s="352"/>
      <c r="M3555" s="352"/>
    </row>
    <row r="3556" spans="5:15">
      <c r="E3556" s="352"/>
      <c r="F3556" s="352"/>
      <c r="G3556" s="352"/>
      <c r="H3556" s="359" t="s">
        <v>2809</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2348</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3453</v>
      </c>
      <c r="I3560" s="352"/>
      <c r="J3560" s="352"/>
      <c r="K3560" s="352"/>
      <c r="L3560" s="352"/>
      <c r="M3560" s="352"/>
    </row>
    <row r="3561" spans="5:15" ht="15.75" customHeight="1">
      <c r="E3561" s="352"/>
      <c r="F3561" s="352">
        <v>30.42</v>
      </c>
      <c r="G3561" s="352" t="s">
        <v>2190</v>
      </c>
      <c r="H3561" s="352" t="s">
        <v>4472</v>
      </c>
      <c r="I3561" s="430">
        <v>134.6</v>
      </c>
      <c r="J3561" s="352" t="s">
        <v>2190</v>
      </c>
      <c r="K3561" s="352">
        <f>F3561*I3561</f>
        <v>4094.53</v>
      </c>
      <c r="L3561" s="352"/>
      <c r="M3561" s="352"/>
      <c r="O3561" s="180">
        <f>M3561+N3561</f>
        <v>0</v>
      </c>
    </row>
    <row r="3562" spans="5:15" ht="15.75" customHeight="1">
      <c r="E3562" s="352"/>
      <c r="F3562" s="352">
        <v>6.1</v>
      </c>
      <c r="G3562" s="352" t="s">
        <v>2190</v>
      </c>
      <c r="H3562" s="1" t="s">
        <v>4434</v>
      </c>
      <c r="I3562" s="421">
        <v>168</v>
      </c>
      <c r="J3562" s="352" t="s">
        <v>2190</v>
      </c>
      <c r="K3562" s="352">
        <f>F3562*I3562</f>
        <v>1024.8</v>
      </c>
      <c r="L3562" s="352"/>
      <c r="M3562" s="352"/>
    </row>
    <row r="3563" spans="5:15" ht="15.75" customHeight="1">
      <c r="E3563" s="352"/>
      <c r="F3563" s="352">
        <v>750</v>
      </c>
      <c r="G3563" s="352" t="s">
        <v>1419</v>
      </c>
      <c r="H3563" s="352" t="s">
        <v>3948</v>
      </c>
      <c r="I3563" s="353">
        <f>Data!Y18</f>
        <v>5709</v>
      </c>
      <c r="J3563" s="352" t="s">
        <v>1507</v>
      </c>
      <c r="K3563" s="352">
        <f>F3563*(I3563/1000)</f>
        <v>4281.75</v>
      </c>
      <c r="L3563" s="352"/>
      <c r="M3563" s="352"/>
    </row>
    <row r="3564" spans="5:15" ht="15.75" customHeight="1">
      <c r="E3564" s="352"/>
      <c r="F3564" s="352"/>
      <c r="G3564" s="352"/>
      <c r="H3564" s="352" t="s">
        <v>931</v>
      </c>
      <c r="I3564" s="352"/>
      <c r="J3564" s="352"/>
      <c r="K3564" s="352">
        <f>K3573</f>
        <v>4125</v>
      </c>
      <c r="L3564" s="352"/>
      <c r="M3564" s="352"/>
    </row>
    <row r="3565" spans="5:15" ht="15.75" customHeight="1">
      <c r="E3565" s="352"/>
      <c r="F3565" s="352"/>
      <c r="G3565" s="352"/>
      <c r="H3565" s="352" t="s">
        <v>2310</v>
      </c>
      <c r="I3565" s="352"/>
      <c r="J3565" s="352"/>
      <c r="K3565" s="352">
        <v>112.17</v>
      </c>
      <c r="L3565" s="352"/>
      <c r="M3565" s="352"/>
    </row>
    <row r="3566" spans="5:15" ht="15.75" customHeight="1">
      <c r="E3566" s="352"/>
      <c r="F3566" s="352"/>
      <c r="G3566" s="352"/>
      <c r="H3566" s="357" t="s">
        <v>2752</v>
      </c>
      <c r="I3566" s="352"/>
      <c r="J3566" s="352"/>
      <c r="K3566" s="352">
        <f>SUM(K3561:K3565)</f>
        <v>13638.25</v>
      </c>
      <c r="L3566" s="352"/>
      <c r="M3566" s="352"/>
    </row>
    <row r="3567" spans="5:15" ht="15.75" customHeight="1">
      <c r="E3567" s="352"/>
      <c r="F3567" s="352"/>
      <c r="G3567" s="352"/>
      <c r="H3567" s="359" t="s">
        <v>2433</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1419</v>
      </c>
      <c r="H3570" s="361" t="s">
        <v>2753</v>
      </c>
      <c r="I3570" s="181">
        <f>I3503</f>
        <v>898</v>
      </c>
      <c r="J3570" s="352" t="s">
        <v>1419</v>
      </c>
      <c r="K3570" s="352">
        <f>F3570*I3570</f>
        <v>898</v>
      </c>
      <c r="L3570" s="352"/>
      <c r="M3570" s="352"/>
    </row>
    <row r="3571" spans="5:13" ht="15.75" customHeight="1">
      <c r="E3571" s="352"/>
      <c r="F3571" s="352">
        <v>1</v>
      </c>
      <c r="G3571" s="352" t="s">
        <v>1419</v>
      </c>
      <c r="H3571" s="352" t="s">
        <v>2814</v>
      </c>
      <c r="I3571" s="181">
        <f>I3504</f>
        <v>783</v>
      </c>
      <c r="J3571" s="352" t="s">
        <v>1419</v>
      </c>
      <c r="K3571" s="352">
        <f>F3571*I3571</f>
        <v>783</v>
      </c>
      <c r="L3571" s="352"/>
      <c r="M3571" s="352"/>
    </row>
    <row r="3572" spans="5:13" ht="15.75" customHeight="1">
      <c r="E3572" s="352"/>
      <c r="F3572" s="352">
        <v>4</v>
      </c>
      <c r="G3572" s="352" t="s">
        <v>1419</v>
      </c>
      <c r="H3572" s="352" t="s">
        <v>2370</v>
      </c>
      <c r="I3572" s="352">
        <f>I3506</f>
        <v>611</v>
      </c>
      <c r="J3572" s="352" t="s">
        <v>1419</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2416</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3379</v>
      </c>
      <c r="I3576" s="352"/>
      <c r="J3576" s="352"/>
      <c r="K3576" s="352"/>
      <c r="L3576" s="352"/>
      <c r="M3576" s="352"/>
    </row>
    <row r="3577" spans="5:13" ht="75" customHeight="1">
      <c r="E3577" s="352"/>
      <c r="F3577" s="352"/>
      <c r="G3577" s="352"/>
      <c r="H3577" s="373" t="s">
        <v>2797</v>
      </c>
      <c r="I3577" s="352"/>
      <c r="J3577" s="352"/>
      <c r="K3577" s="352"/>
      <c r="L3577" s="352"/>
      <c r="M3577" s="352"/>
    </row>
    <row r="3578" spans="5:13" ht="26.25" customHeight="1">
      <c r="E3578" s="352"/>
      <c r="F3578" s="352">
        <v>1</v>
      </c>
      <c r="G3578" s="352" t="s">
        <v>2684</v>
      </c>
      <c r="H3578" s="352" t="str">
        <f>Elec.Data!H749</f>
        <v>Brass screws  ( 40 mm x 6 no) P131  Part-L 1-c</v>
      </c>
      <c r="I3578" s="353">
        <f>Elec.Data!I749</f>
        <v>69.400000000000006</v>
      </c>
      <c r="J3578" s="352" t="s">
        <v>2684</v>
      </c>
      <c r="K3578" s="352">
        <f>F3578*I3578</f>
        <v>69.400000000000006</v>
      </c>
      <c r="L3578" s="352"/>
      <c r="M3578" s="352"/>
    </row>
    <row r="3579" spans="5:13" ht="26.25" customHeight="1">
      <c r="E3579" s="352"/>
      <c r="F3579" s="352">
        <v>300</v>
      </c>
      <c r="G3579" s="352" t="s">
        <v>1419</v>
      </c>
      <c r="H3579" s="352" t="str">
        <f>Elec.Data!H750</f>
        <v>TW plugs 1 1/2" x 1"x2"( part-J 1-e P-130  )</v>
      </c>
      <c r="I3579" s="353">
        <f>Elec.Data!I750</f>
        <v>287</v>
      </c>
      <c r="J3579" s="352" t="s">
        <v>2684</v>
      </c>
      <c r="K3579" s="352">
        <f>F3579*(I3579/144)</f>
        <v>597.91999999999996</v>
      </c>
      <c r="L3579" s="352"/>
      <c r="M3579" s="352"/>
    </row>
    <row r="3580" spans="5:13" ht="26.25" customHeight="1">
      <c r="E3580" s="352"/>
      <c r="F3580" s="352">
        <v>300</v>
      </c>
      <c r="G3580" s="352" t="s">
        <v>1419</v>
      </c>
      <c r="H3580" s="352" t="str">
        <f>Elec.Data!H751</f>
        <v>Sundries for redoing on dismantled portion,etc.,</v>
      </c>
      <c r="I3580" s="353">
        <f>Elec.Data!I751</f>
        <v>0</v>
      </c>
      <c r="J3580" s="352" t="s">
        <v>1507</v>
      </c>
      <c r="K3580" s="352">
        <f>F3580*(I3580/1000)</f>
        <v>0</v>
      </c>
      <c r="L3580" s="352"/>
      <c r="M3580" s="352"/>
    </row>
    <row r="3581" spans="5:13" ht="26.25" customHeight="1">
      <c r="E3581" s="352"/>
      <c r="F3581" s="352"/>
      <c r="G3581" s="352"/>
      <c r="H3581" s="352" t="s">
        <v>2798</v>
      </c>
      <c r="I3581" s="352"/>
      <c r="J3581" s="352"/>
      <c r="K3581" s="352">
        <v>63.36</v>
      </c>
      <c r="L3581" s="352"/>
      <c r="M3581" s="352"/>
    </row>
    <row r="3582" spans="5:13" ht="26.25" customHeight="1">
      <c r="E3582" s="352"/>
      <c r="F3582" s="352"/>
      <c r="G3582" s="352"/>
      <c r="H3582" s="352" t="s">
        <v>931</v>
      </c>
      <c r="I3582" s="352"/>
      <c r="J3582" s="352"/>
      <c r="K3582" s="352">
        <f>K3592</f>
        <v>12688</v>
      </c>
      <c r="L3582" s="352"/>
      <c r="M3582" s="352"/>
    </row>
    <row r="3583" spans="5:13" ht="26.25" customHeight="1">
      <c r="E3583" s="352"/>
      <c r="F3583" s="352"/>
      <c r="G3583" s="352"/>
      <c r="H3583" s="357" t="s">
        <v>2799</v>
      </c>
      <c r="I3583" s="352"/>
      <c r="J3583" s="352"/>
      <c r="K3583" s="358">
        <f>SUM(K3578:K3582)</f>
        <v>13418.68</v>
      </c>
      <c r="L3583" s="352"/>
      <c r="M3583" s="352"/>
    </row>
    <row r="3584" spans="5:13" ht="26.25" customHeight="1">
      <c r="E3584" s="352"/>
      <c r="F3584" s="352"/>
      <c r="G3584" s="352"/>
      <c r="H3584" s="359" t="s">
        <v>2809</v>
      </c>
      <c r="I3584" s="352"/>
      <c r="J3584" s="352"/>
      <c r="K3584" s="360">
        <f>K3583/90</f>
        <v>149.1</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2691</v>
      </c>
      <c r="I3586" s="352"/>
      <c r="J3586" s="352"/>
      <c r="K3586" s="352"/>
      <c r="L3586" s="352"/>
      <c r="M3586" s="352"/>
    </row>
    <row r="3587" spans="5:13" ht="24.95" customHeight="1">
      <c r="E3587" s="352"/>
      <c r="F3587" s="352">
        <v>1</v>
      </c>
      <c r="G3587" s="352" t="s">
        <v>1419</v>
      </c>
      <c r="H3587" s="361" t="s">
        <v>2800</v>
      </c>
      <c r="I3587" s="353">
        <f>I3354</f>
        <v>0</v>
      </c>
      <c r="J3587" s="352" t="s">
        <v>1419</v>
      </c>
      <c r="K3587" s="352">
        <f>F3587*I3587</f>
        <v>0</v>
      </c>
      <c r="L3587" s="352"/>
      <c r="M3587" s="352"/>
    </row>
    <row r="3588" spans="5:13" ht="24.95" customHeight="1">
      <c r="E3588" s="352"/>
      <c r="F3588" s="352">
        <v>2</v>
      </c>
      <c r="G3588" s="352" t="s">
        <v>1419</v>
      </c>
      <c r="H3588" s="352" t="s">
        <v>2814</v>
      </c>
      <c r="I3588" s="352">
        <f>I3504</f>
        <v>783</v>
      </c>
      <c r="J3588" s="352" t="s">
        <v>1419</v>
      </c>
      <c r="K3588" s="352">
        <f>F3588*I3588</f>
        <v>1566</v>
      </c>
      <c r="L3588" s="352"/>
      <c r="M3588" s="352"/>
    </row>
    <row r="3589" spans="5:13" ht="24.95" customHeight="1">
      <c r="E3589" s="352"/>
      <c r="F3589" s="352">
        <v>3</v>
      </c>
      <c r="G3589" s="352" t="s">
        <v>1419</v>
      </c>
      <c r="H3589" s="352" t="s">
        <v>2633</v>
      </c>
      <c r="I3589" s="352">
        <f>I3505</f>
        <v>778</v>
      </c>
      <c r="J3589" s="352" t="s">
        <v>1419</v>
      </c>
      <c r="K3589" s="352">
        <f>F3589*I3589</f>
        <v>2334</v>
      </c>
      <c r="L3589" s="352"/>
      <c r="M3589" s="352"/>
    </row>
    <row r="3590" spans="5:13" ht="24.95" customHeight="1">
      <c r="E3590" s="352"/>
      <c r="F3590" s="352">
        <v>4</v>
      </c>
      <c r="G3590" s="352" t="s">
        <v>1419</v>
      </c>
      <c r="H3590" s="352" t="s">
        <v>2370</v>
      </c>
      <c r="I3590" s="352">
        <f>I3506</f>
        <v>611</v>
      </c>
      <c r="J3590" s="352" t="s">
        <v>1419</v>
      </c>
      <c r="K3590" s="352">
        <f>F3590*I3590</f>
        <v>2444</v>
      </c>
      <c r="L3590" s="352"/>
      <c r="M3590" s="352"/>
    </row>
    <row r="3591" spans="5:13" ht="24.95" customHeight="1">
      <c r="E3591" s="352"/>
      <c r="F3591" s="352"/>
      <c r="G3591" s="352"/>
      <c r="H3591" s="357" t="s">
        <v>2801</v>
      </c>
      <c r="I3591" s="352"/>
      <c r="J3591" s="352"/>
      <c r="K3591" s="352">
        <f>SUM(K3587:K3590)</f>
        <v>6344</v>
      </c>
      <c r="L3591" s="352"/>
      <c r="M3591" s="352"/>
    </row>
    <row r="3592" spans="5:13" ht="24.95" customHeight="1">
      <c r="E3592" s="352"/>
      <c r="F3592" s="352"/>
      <c r="G3592" s="352"/>
      <c r="H3592" s="359" t="s">
        <v>2802</v>
      </c>
      <c r="I3592" s="352"/>
      <c r="J3592" s="352"/>
      <c r="K3592" s="360">
        <f>K3591*2</f>
        <v>12688</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2803</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2804</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3167</v>
      </c>
      <c r="I3598" s="352"/>
      <c r="J3598" s="352"/>
      <c r="K3598" s="352"/>
      <c r="L3598" s="352"/>
      <c r="M3598" s="352"/>
    </row>
    <row r="3599" spans="5:13" ht="26.25" customHeight="1">
      <c r="E3599" s="352"/>
      <c r="F3599" s="352"/>
      <c r="G3599" s="352"/>
      <c r="H3599" s="360" t="s">
        <v>3157</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2864</v>
      </c>
      <c r="I3601" s="352"/>
      <c r="J3601" s="352"/>
      <c r="K3601" s="352"/>
      <c r="L3601" s="352"/>
      <c r="M3601" s="352"/>
    </row>
    <row r="3602" spans="5:18" ht="22.5" customHeight="1">
      <c r="E3602" s="352"/>
      <c r="F3602" s="352"/>
      <c r="G3602" s="352"/>
      <c r="H3602" s="358" t="s">
        <v>2865</v>
      </c>
      <c r="I3602" s="358" t="s">
        <v>2866</v>
      </c>
      <c r="J3602" s="358" t="s">
        <v>2867</v>
      </c>
      <c r="K3602" s="358" t="s">
        <v>2868</v>
      </c>
      <c r="L3602" s="358" t="s">
        <v>2869</v>
      </c>
      <c r="M3602" s="352"/>
    </row>
    <row r="3603" spans="5:18" ht="22.5" customHeight="1">
      <c r="E3603" s="352"/>
      <c r="F3603" s="352"/>
      <c r="G3603" s="352"/>
      <c r="H3603" s="352" t="s">
        <v>4474</v>
      </c>
      <c r="I3603" s="353">
        <v>2970</v>
      </c>
      <c r="J3603" s="353">
        <v>2970</v>
      </c>
      <c r="K3603" s="353">
        <v>2850</v>
      </c>
      <c r="L3603" s="353">
        <v>2890</v>
      </c>
      <c r="M3603" s="352"/>
    </row>
    <row r="3604" spans="5:18" ht="22.5" customHeight="1">
      <c r="E3604" s="352"/>
      <c r="F3604" s="352"/>
      <c r="G3604" s="352"/>
      <c r="H3604" s="352" t="s">
        <v>4473</v>
      </c>
      <c r="I3604" s="352">
        <v>166</v>
      </c>
      <c r="J3604" s="352">
        <v>405</v>
      </c>
      <c r="K3604" s="374">
        <v>548</v>
      </c>
      <c r="L3604" s="374">
        <v>639</v>
      </c>
      <c r="M3604" s="352"/>
    </row>
    <row r="3605" spans="5:18" ht="29.25" customHeight="1">
      <c r="E3605" s="352"/>
      <c r="F3605" s="352"/>
      <c r="G3605" s="352"/>
      <c r="H3605" s="359" t="s">
        <v>2870</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2871</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2872</v>
      </c>
      <c r="I3609" s="352"/>
      <c r="J3609" s="352"/>
      <c r="K3609" s="352"/>
      <c r="L3609" s="352"/>
      <c r="M3609" s="352"/>
    </row>
    <row r="3610" spans="5:18" ht="86.25" customHeight="1">
      <c r="E3610" s="352"/>
      <c r="F3610" s="352"/>
      <c r="G3610" s="352"/>
      <c r="H3610" s="373" t="s">
        <v>2927</v>
      </c>
      <c r="I3610" s="352"/>
      <c r="J3610" s="352"/>
      <c r="K3610" s="352"/>
      <c r="L3610" s="352"/>
      <c r="M3610" s="1532" t="s">
        <v>3785</v>
      </c>
      <c r="N3610" s="1532"/>
      <c r="O3610" s="1532"/>
      <c r="P3610" s="1532"/>
      <c r="Q3610" s="1532"/>
      <c r="R3610" s="1532"/>
    </row>
    <row r="3611" spans="5:18" ht="15.75" customHeight="1">
      <c r="E3611" s="352"/>
      <c r="F3611" s="352"/>
      <c r="G3611" s="352"/>
      <c r="H3611" s="352"/>
      <c r="I3611" s="352"/>
      <c r="J3611" s="352"/>
      <c r="K3611" s="352"/>
      <c r="L3611" s="352"/>
      <c r="M3611" s="1533" t="s">
        <v>3786</v>
      </c>
      <c r="N3611" s="1533"/>
      <c r="O3611" s="1533"/>
      <c r="P3611" s="1533"/>
      <c r="Q3611" s="1533"/>
      <c r="R3611" s="1533"/>
    </row>
    <row r="3612" spans="5:18" ht="26.25" customHeight="1">
      <c r="E3612" s="352"/>
      <c r="F3612" s="352">
        <v>2</v>
      </c>
      <c r="G3612" s="352" t="s">
        <v>842</v>
      </c>
      <c r="H3612" s="352" t="str">
        <f>Elec.Data!H783</f>
        <v>Back lamp with bolts &amp; nuts</v>
      </c>
      <c r="I3612" s="353">
        <f>Elec.Data!I783</f>
        <v>35</v>
      </c>
      <c r="J3612" s="352" t="s">
        <v>842</v>
      </c>
      <c r="K3612" s="352">
        <f>F3612*I3612</f>
        <v>70</v>
      </c>
      <c r="L3612" s="352"/>
      <c r="M3612" s="465"/>
      <c r="N3612" s="465"/>
      <c r="O3612" s="465"/>
      <c r="P3612" s="465"/>
      <c r="Q3612" s="465"/>
      <c r="R3612" s="465"/>
    </row>
    <row r="3613" spans="5:18" ht="26.25" customHeight="1">
      <c r="E3613" s="352"/>
      <c r="F3613" s="352">
        <v>2</v>
      </c>
      <c r="G3613" s="352" t="s">
        <v>2031</v>
      </c>
      <c r="H3613" s="352" t="s">
        <v>2928</v>
      </c>
      <c r="I3613" s="352">
        <v>35</v>
      </c>
      <c r="J3613" s="352" t="s">
        <v>2031</v>
      </c>
      <c r="K3613" s="352">
        <f>F3613*I3613</f>
        <v>70</v>
      </c>
      <c r="L3613" s="352"/>
      <c r="M3613" s="467">
        <v>1.5</v>
      </c>
      <c r="N3613" s="465" t="s">
        <v>842</v>
      </c>
      <c r="O3613" s="465" t="s">
        <v>3787</v>
      </c>
      <c r="P3613" s="468">
        <v>136</v>
      </c>
      <c r="Q3613" s="465" t="s">
        <v>842</v>
      </c>
      <c r="R3613" s="467">
        <f>P3613*M3613</f>
        <v>204</v>
      </c>
    </row>
    <row r="3614" spans="5:18" ht="26.25" customHeight="1">
      <c r="E3614" s="352"/>
      <c r="F3614" s="352">
        <v>1</v>
      </c>
      <c r="G3614" s="352" t="s">
        <v>1419</v>
      </c>
      <c r="H3614" s="352" t="s">
        <v>3821</v>
      </c>
      <c r="I3614" s="353">
        <f>Elec.Data!I785</f>
        <v>31.28</v>
      </c>
      <c r="J3614" s="352" t="s">
        <v>1423</v>
      </c>
      <c r="K3614" s="352">
        <f>F3614*I3614</f>
        <v>31.28</v>
      </c>
      <c r="L3614" s="352"/>
      <c r="M3614" s="467">
        <v>2</v>
      </c>
      <c r="N3614" s="465" t="s">
        <v>2031</v>
      </c>
      <c r="O3614" s="465" t="s">
        <v>2928</v>
      </c>
      <c r="P3614" s="467">
        <f>I3613</f>
        <v>35</v>
      </c>
      <c r="Q3614" s="465" t="s">
        <v>2031</v>
      </c>
      <c r="R3614" s="467">
        <f>M3614*P3614</f>
        <v>70</v>
      </c>
    </row>
    <row r="3615" spans="5:18" ht="26.25" customHeight="1">
      <c r="E3615" s="352"/>
      <c r="F3615" s="352">
        <v>1</v>
      </c>
      <c r="G3615" s="352" t="s">
        <v>1419</v>
      </c>
      <c r="H3615" s="352" t="s">
        <v>2929</v>
      </c>
      <c r="I3615" s="352">
        <f>K3628</f>
        <v>32.119999999999997</v>
      </c>
      <c r="J3615" s="352" t="s">
        <v>1423</v>
      </c>
      <c r="K3615" s="352">
        <f>F3615*I3615</f>
        <v>32.119999999999997</v>
      </c>
      <c r="L3615" s="352"/>
      <c r="M3615" s="467"/>
      <c r="N3615" s="465"/>
      <c r="O3615" s="465"/>
      <c r="P3615" s="468"/>
      <c r="Q3615" s="465"/>
      <c r="R3615" s="467"/>
    </row>
    <row r="3616" spans="5:18" ht="26.25" customHeight="1">
      <c r="E3616" s="352"/>
      <c r="F3616" s="352">
        <v>8</v>
      </c>
      <c r="G3616" s="352" t="s">
        <v>842</v>
      </c>
      <c r="H3616" s="352" t="s">
        <v>2930</v>
      </c>
      <c r="I3616" s="352">
        <f>I3101</f>
        <v>20.3</v>
      </c>
      <c r="J3616" s="352" t="s">
        <v>3363</v>
      </c>
      <c r="K3616" s="352">
        <f>F3616*I3616</f>
        <v>162.4</v>
      </c>
      <c r="L3616" s="352"/>
      <c r="M3616" s="467"/>
      <c r="N3616" s="465"/>
      <c r="O3616" s="465"/>
      <c r="P3616" s="467"/>
      <c r="Q3616" s="465"/>
      <c r="R3616" s="467"/>
    </row>
    <row r="3617" spans="5:18" ht="51" customHeight="1">
      <c r="E3617" s="352"/>
      <c r="F3617" s="352">
        <v>1</v>
      </c>
      <c r="G3617" s="352" t="s">
        <v>1419</v>
      </c>
      <c r="H3617" s="373" t="s">
        <v>2931</v>
      </c>
      <c r="I3617" s="352"/>
      <c r="J3617" s="352"/>
      <c r="K3617" s="352">
        <f>K3627</f>
        <v>1690</v>
      </c>
      <c r="L3617" s="352"/>
      <c r="M3617" s="467">
        <v>8</v>
      </c>
      <c r="N3617" s="465" t="s">
        <v>842</v>
      </c>
      <c r="O3617" s="469" t="s">
        <v>2930</v>
      </c>
      <c r="P3617" s="467">
        <f>I3616</f>
        <v>20.3</v>
      </c>
      <c r="Q3617" s="465" t="s">
        <v>3363</v>
      </c>
      <c r="R3617" s="467">
        <f>M3617*P3617</f>
        <v>162.4</v>
      </c>
    </row>
    <row r="3618" spans="5:18" ht="49.5" customHeight="1">
      <c r="E3618" s="352"/>
      <c r="F3618" s="352"/>
      <c r="G3618" s="352"/>
      <c r="H3618" s="373" t="s">
        <v>2538</v>
      </c>
      <c r="I3618" s="352" t="s">
        <v>669</v>
      </c>
      <c r="J3618" s="352"/>
      <c r="K3618" s="352">
        <f>15.7+0.31</f>
        <v>16.010000000000002</v>
      </c>
      <c r="L3618" s="352"/>
      <c r="M3618" s="467">
        <v>1</v>
      </c>
      <c r="N3618" s="465" t="s">
        <v>1419</v>
      </c>
      <c r="O3618" s="469" t="s">
        <v>2931</v>
      </c>
      <c r="P3618" s="467">
        <f>R3628</f>
        <v>881.67</v>
      </c>
      <c r="Q3618" s="465" t="s">
        <v>1423</v>
      </c>
      <c r="R3618" s="467">
        <f>R3628</f>
        <v>881.67</v>
      </c>
    </row>
    <row r="3619" spans="5:18" ht="29.25" customHeight="1">
      <c r="E3619" s="352"/>
      <c r="F3619" s="352"/>
      <c r="G3619" s="352"/>
      <c r="H3619" s="359" t="s">
        <v>2411</v>
      </c>
      <c r="I3619" s="352"/>
      <c r="J3619" s="352"/>
      <c r="K3619" s="360">
        <f>SUM(K3612:K3618)</f>
        <v>2071.81</v>
      </c>
      <c r="L3619" s="352">
        <f>K3619-1520</f>
        <v>551.80999999999995</v>
      </c>
      <c r="M3619" s="467"/>
      <c r="N3619" s="465"/>
      <c r="O3619" s="469" t="s">
        <v>2538</v>
      </c>
      <c r="P3619" s="1534" t="s">
        <v>669</v>
      </c>
      <c r="Q3619" s="1534"/>
      <c r="R3619" s="467">
        <v>15.73</v>
      </c>
    </row>
    <row r="3620" spans="5:18">
      <c r="E3620" s="352"/>
      <c r="F3620" s="352"/>
      <c r="G3620" s="352"/>
      <c r="H3620" s="352"/>
      <c r="I3620" s="352"/>
      <c r="J3620" s="352"/>
      <c r="K3620" s="352"/>
      <c r="L3620" s="352"/>
      <c r="M3620" s="467"/>
      <c r="N3620" s="465"/>
      <c r="O3620" s="470" t="s">
        <v>2411</v>
      </c>
      <c r="P3620" s="465"/>
      <c r="Q3620" s="465"/>
      <c r="R3620" s="470">
        <f>SUM(R3613:R3619)</f>
        <v>1333.8</v>
      </c>
    </row>
    <row r="3621" spans="5:18">
      <c r="E3621" s="352"/>
      <c r="F3621" s="352"/>
      <c r="G3621" s="352"/>
      <c r="H3621" s="358" t="s">
        <v>2539</v>
      </c>
      <c r="I3621" s="352"/>
      <c r="J3621" s="352"/>
      <c r="K3621" s="352"/>
      <c r="L3621" s="352"/>
      <c r="M3621" s="467"/>
      <c r="N3621" s="465"/>
      <c r="O3621" s="465"/>
      <c r="P3621" s="465"/>
      <c r="Q3621" s="465"/>
      <c r="R3621" s="465"/>
    </row>
    <row r="3622" spans="5:18">
      <c r="E3622" s="352"/>
      <c r="F3622" s="352">
        <v>1</v>
      </c>
      <c r="G3622" s="352" t="s">
        <v>1419</v>
      </c>
      <c r="H3622" s="361" t="s">
        <v>2753</v>
      </c>
      <c r="I3622" s="352">
        <f>I3503</f>
        <v>898</v>
      </c>
      <c r="J3622" s="352" t="s">
        <v>1419</v>
      </c>
      <c r="K3622" s="352">
        <f>F3622*I3622</f>
        <v>898</v>
      </c>
      <c r="L3622" s="352"/>
      <c r="M3622" s="467"/>
      <c r="N3622" s="465"/>
      <c r="O3622" s="471" t="s">
        <v>2539</v>
      </c>
      <c r="P3622" s="465"/>
      <c r="Q3622" s="465"/>
      <c r="R3622" s="465"/>
    </row>
    <row r="3623" spans="5:18">
      <c r="E3623" s="352"/>
      <c r="F3623" s="352">
        <v>1</v>
      </c>
      <c r="G3623" s="352" t="s">
        <v>1419</v>
      </c>
      <c r="H3623" s="352" t="s">
        <v>2814</v>
      </c>
      <c r="I3623" s="352">
        <f>I3504</f>
        <v>783</v>
      </c>
      <c r="J3623" s="352" t="s">
        <v>1419</v>
      </c>
      <c r="K3623" s="352">
        <f>F3623*I3623</f>
        <v>783</v>
      </c>
      <c r="L3623" s="352"/>
      <c r="M3623" s="467">
        <v>1</v>
      </c>
      <c r="N3623" s="465" t="s">
        <v>1419</v>
      </c>
      <c r="O3623" s="465" t="s">
        <v>2753</v>
      </c>
      <c r="P3623" s="467">
        <v>471</v>
      </c>
      <c r="Q3623" s="465" t="s">
        <v>1419</v>
      </c>
      <c r="R3623" s="465">
        <f>M3623*P3623</f>
        <v>471</v>
      </c>
    </row>
    <row r="3624" spans="5:18">
      <c r="E3624" s="352"/>
      <c r="F3624" s="352">
        <v>2</v>
      </c>
      <c r="G3624" s="352" t="s">
        <v>1419</v>
      </c>
      <c r="H3624" s="352" t="s">
        <v>2633</v>
      </c>
      <c r="I3624" s="352">
        <f>I3505</f>
        <v>778</v>
      </c>
      <c r="J3624" s="352" t="s">
        <v>1419</v>
      </c>
      <c r="K3624" s="352">
        <f>F3624*I3624</f>
        <v>1556</v>
      </c>
      <c r="L3624" s="352"/>
      <c r="M3624" s="467">
        <v>1</v>
      </c>
      <c r="N3624" s="465" t="s">
        <v>1419</v>
      </c>
      <c r="O3624" s="465" t="s">
        <v>2814</v>
      </c>
      <c r="P3624" s="467">
        <v>432</v>
      </c>
      <c r="Q3624" s="465" t="s">
        <v>1419</v>
      </c>
      <c r="R3624" s="465">
        <f>M3624*P3624</f>
        <v>432</v>
      </c>
    </row>
    <row r="3625" spans="5:18">
      <c r="E3625" s="352"/>
      <c r="F3625" s="352">
        <v>3</v>
      </c>
      <c r="G3625" s="352" t="s">
        <v>1419</v>
      </c>
      <c r="H3625" s="352" t="s">
        <v>2370</v>
      </c>
      <c r="I3625" s="352">
        <f>I3506</f>
        <v>611</v>
      </c>
      <c r="J3625" s="352" t="s">
        <v>1419</v>
      </c>
      <c r="K3625" s="352">
        <f>F3625*I3625</f>
        <v>1833</v>
      </c>
      <c r="L3625" s="352"/>
      <c r="M3625" s="467">
        <v>2</v>
      </c>
      <c r="N3625" s="465" t="s">
        <v>1419</v>
      </c>
      <c r="O3625" s="465" t="s">
        <v>2633</v>
      </c>
      <c r="P3625" s="467">
        <v>409</v>
      </c>
      <c r="Q3625" s="465" t="s">
        <v>1419</v>
      </c>
      <c r="R3625" s="465">
        <f>M3625*P3625</f>
        <v>818</v>
      </c>
    </row>
    <row r="3626" spans="5:18">
      <c r="E3626" s="352"/>
      <c r="F3626" s="352"/>
      <c r="G3626" s="352"/>
      <c r="H3626" s="357" t="s">
        <v>2917</v>
      </c>
      <c r="I3626" s="352"/>
      <c r="J3626" s="352"/>
      <c r="K3626" s="358">
        <f>SUM(K3622:K3625)</f>
        <v>5070</v>
      </c>
      <c r="L3626" s="352"/>
      <c r="M3626" s="467">
        <v>3</v>
      </c>
      <c r="N3626" s="465" t="s">
        <v>1419</v>
      </c>
      <c r="O3626" s="465" t="s">
        <v>2370</v>
      </c>
      <c r="P3626" s="467">
        <v>308</v>
      </c>
      <c r="Q3626" s="465" t="s">
        <v>1419</v>
      </c>
      <c r="R3626" s="465">
        <f>M3626*P3626</f>
        <v>924</v>
      </c>
    </row>
    <row r="3627" spans="5:18">
      <c r="E3627" s="352"/>
      <c r="F3627" s="352"/>
      <c r="G3627" s="352"/>
      <c r="H3627" s="359" t="s">
        <v>2841</v>
      </c>
      <c r="I3627" s="352"/>
      <c r="J3627" s="352"/>
      <c r="K3627" s="360">
        <f>K3626/3</f>
        <v>1690</v>
      </c>
      <c r="L3627" s="352"/>
      <c r="M3627" s="465"/>
      <c r="N3627" s="465"/>
      <c r="O3627" s="467" t="s">
        <v>2917</v>
      </c>
      <c r="P3627" s="465"/>
      <c r="Q3627" s="465"/>
      <c r="R3627" s="471">
        <f>SUM(R3623:R3626)</f>
        <v>2645</v>
      </c>
    </row>
    <row r="3628" spans="5:18">
      <c r="E3628" s="352"/>
      <c r="F3628" s="352"/>
      <c r="G3628" s="352"/>
      <c r="H3628" s="360" t="s">
        <v>2540</v>
      </c>
      <c r="I3628" s="352">
        <f>I3483</f>
        <v>107060</v>
      </c>
      <c r="J3628" s="366">
        <v>2.9999999999999997E-4</v>
      </c>
      <c r="K3628" s="360">
        <f>I3628*J3628</f>
        <v>32.119999999999997</v>
      </c>
      <c r="L3628" s="352"/>
      <c r="M3628" s="465"/>
      <c r="N3628" s="465"/>
      <c r="O3628" s="470" t="s">
        <v>2841</v>
      </c>
      <c r="P3628" s="465"/>
      <c r="Q3628" s="465"/>
      <c r="R3628" s="466">
        <f>R3627/3</f>
        <v>881.67</v>
      </c>
    </row>
    <row r="3629" spans="5:18">
      <c r="E3629" s="352"/>
      <c r="F3629" s="352"/>
      <c r="G3629" s="352"/>
      <c r="H3629" s="352"/>
      <c r="I3629" s="352"/>
      <c r="J3629" s="352"/>
      <c r="K3629" s="352"/>
      <c r="L3629" s="352"/>
      <c r="M3629" s="465"/>
      <c r="N3629" s="465"/>
      <c r="O3629" s="472"/>
      <c r="P3629" s="473"/>
      <c r="Q3629" s="474"/>
      <c r="R3629" s="472"/>
    </row>
    <row r="3630" spans="5:18" ht="23.25" customHeight="1">
      <c r="E3630" s="352"/>
      <c r="F3630" s="352"/>
      <c r="G3630" s="352"/>
      <c r="H3630" s="360" t="s">
        <v>2413</v>
      </c>
      <c r="I3630" s="352"/>
      <c r="J3630" s="352"/>
      <c r="K3630" s="352"/>
      <c r="L3630" s="352"/>
      <c r="M3630" s="465"/>
      <c r="N3630" s="465"/>
      <c r="O3630" s="465"/>
      <c r="P3630" s="465"/>
      <c r="Q3630" s="465"/>
      <c r="R3630" s="465"/>
    </row>
    <row r="3631" spans="5:18" ht="15.75" customHeight="1">
      <c r="E3631" s="352"/>
      <c r="F3631" s="352"/>
      <c r="G3631" s="352"/>
      <c r="H3631" s="352"/>
      <c r="I3631" s="352"/>
      <c r="J3631" s="352"/>
      <c r="K3631" s="352"/>
      <c r="L3631" s="352"/>
      <c r="M3631" s="465"/>
      <c r="N3631" s="465"/>
      <c r="O3631" s="466" t="s">
        <v>2413</v>
      </c>
      <c r="P3631" s="465"/>
      <c r="Q3631" s="465"/>
      <c r="R3631" s="465"/>
    </row>
    <row r="3632" spans="5:18" ht="24.95" customHeight="1">
      <c r="E3632" s="352"/>
      <c r="F3632" s="352"/>
      <c r="G3632" s="352"/>
      <c r="H3632" s="360" t="s">
        <v>3165</v>
      </c>
      <c r="I3632" s="352"/>
      <c r="J3632" s="352"/>
      <c r="K3632" s="352"/>
      <c r="L3632" s="352"/>
      <c r="M3632" s="465"/>
      <c r="N3632" s="465"/>
      <c r="O3632" s="466"/>
      <c r="P3632" s="465"/>
      <c r="Q3632" s="465"/>
      <c r="R3632" s="465"/>
    </row>
    <row r="3633" spans="5:18" ht="15.75" customHeight="1">
      <c r="E3633" s="352"/>
      <c r="F3633" s="352"/>
      <c r="G3633" s="352"/>
      <c r="H3633" s="352"/>
      <c r="I3633" s="352"/>
      <c r="J3633" s="352"/>
      <c r="K3633" s="352"/>
      <c r="L3633" s="352"/>
      <c r="M3633" s="465"/>
      <c r="N3633" s="465"/>
      <c r="O3633" s="466" t="s">
        <v>3788</v>
      </c>
      <c r="P3633" s="465"/>
      <c r="Q3633" s="465"/>
      <c r="R3633" s="465"/>
    </row>
    <row r="3634" spans="5:18" ht="24.95" customHeight="1">
      <c r="E3634" s="352"/>
      <c r="F3634" s="352">
        <v>1</v>
      </c>
      <c r="G3634" s="352" t="s">
        <v>1419</v>
      </c>
      <c r="H3634" s="351" t="str">
        <f>Elec.Data!H805</f>
        <v>Tubular lamp P-112 ,4b</v>
      </c>
      <c r="I3634" s="354">
        <f>Elec.Data!I805</f>
        <v>36.200000000000003</v>
      </c>
      <c r="J3634" s="352" t="s">
        <v>1419</v>
      </c>
      <c r="K3634" s="352">
        <f>F3634*I3634</f>
        <v>36.200000000000003</v>
      </c>
      <c r="L3634" s="352"/>
      <c r="M3634" s="465"/>
      <c r="N3634" s="465"/>
      <c r="O3634" s="466"/>
      <c r="P3634" s="465"/>
      <c r="Q3634" s="465"/>
      <c r="R3634" s="465"/>
    </row>
    <row r="3635" spans="5:18" ht="24.95" customHeight="1">
      <c r="E3635" s="352"/>
      <c r="F3635" s="352">
        <v>1</v>
      </c>
      <c r="G3635" s="352" t="s">
        <v>1419</v>
      </c>
      <c r="H3635" s="351" t="str">
        <f>Elec.Data!H806</f>
        <v>Labour charges</v>
      </c>
      <c r="I3635" s="354">
        <f>Elec.Data!I806</f>
        <v>2258.33</v>
      </c>
      <c r="J3635" s="352" t="s">
        <v>1419</v>
      </c>
      <c r="K3635" s="352">
        <f>F3635*I3635</f>
        <v>2258.33</v>
      </c>
      <c r="L3635" s="352"/>
      <c r="M3635" s="465">
        <v>1</v>
      </c>
      <c r="N3635" s="465" t="s">
        <v>1419</v>
      </c>
      <c r="O3635" s="469" t="s">
        <v>3789</v>
      </c>
      <c r="P3635" s="475">
        <v>1717.5</v>
      </c>
      <c r="Q3635" s="465" t="s">
        <v>1419</v>
      </c>
      <c r="R3635" s="465">
        <f>M3635*P3635</f>
        <v>1717.5</v>
      </c>
    </row>
    <row r="3636" spans="5:18" ht="24.95" customHeight="1">
      <c r="E3636" s="352"/>
      <c r="F3636" s="352">
        <v>1</v>
      </c>
      <c r="G3636" s="352" t="s">
        <v>1419</v>
      </c>
      <c r="H3636" s="373" t="s">
        <v>931</v>
      </c>
      <c r="I3636" s="352">
        <f>K3619</f>
        <v>2071.81</v>
      </c>
      <c r="J3636" s="352" t="s">
        <v>1419</v>
      </c>
      <c r="K3636" s="352">
        <f>F3636*I3636</f>
        <v>2071.81</v>
      </c>
      <c r="L3636" s="352"/>
      <c r="M3636" s="465">
        <v>1</v>
      </c>
      <c r="N3636" s="465" t="s">
        <v>1419</v>
      </c>
      <c r="O3636" s="469" t="s">
        <v>931</v>
      </c>
      <c r="P3636" s="475">
        <f>R3620</f>
        <v>1333.8</v>
      </c>
      <c r="Q3636" s="465" t="s">
        <v>1419</v>
      </c>
      <c r="R3636" s="465">
        <f>M3636*P3636</f>
        <v>1333.8</v>
      </c>
    </row>
    <row r="3637" spans="5:18" ht="24.95" customHeight="1">
      <c r="E3637" s="352"/>
      <c r="F3637" s="352"/>
      <c r="G3637" s="352"/>
      <c r="H3637" s="351" t="s">
        <v>2310</v>
      </c>
      <c r="I3637" s="352"/>
      <c r="J3637" s="352"/>
      <c r="K3637" s="352">
        <f>2.5-0.9</f>
        <v>1.6</v>
      </c>
      <c r="L3637" s="352"/>
      <c r="M3637" s="465"/>
      <c r="N3637" s="465"/>
      <c r="O3637" s="469" t="s">
        <v>2310</v>
      </c>
      <c r="P3637" s="465"/>
      <c r="Q3637" s="465"/>
      <c r="R3637" s="465">
        <v>0.5</v>
      </c>
    </row>
    <row r="3638" spans="5:18" ht="24.95" customHeight="1">
      <c r="E3638" s="352"/>
      <c r="F3638" s="352"/>
      <c r="G3638" s="352"/>
      <c r="H3638" s="359" t="s">
        <v>1083</v>
      </c>
      <c r="I3638" s="352"/>
      <c r="J3638" s="352"/>
      <c r="K3638" s="360">
        <f>SUM(K3634:K3637)</f>
        <v>4367.9399999999996</v>
      </c>
      <c r="L3638" s="352">
        <f>K3638-2170</f>
        <v>2197.94</v>
      </c>
      <c r="M3638" s="465"/>
      <c r="N3638" s="465"/>
      <c r="O3638" s="470" t="s">
        <v>1083</v>
      </c>
      <c r="P3638" s="465"/>
      <c r="Q3638" s="465"/>
      <c r="R3638" s="466">
        <f>SUM(R3635:R3637)</f>
        <v>3051.8</v>
      </c>
    </row>
    <row r="3639" spans="5:18">
      <c r="E3639" s="352"/>
      <c r="F3639" s="352"/>
      <c r="G3639" s="352"/>
      <c r="H3639" s="352"/>
      <c r="I3639" s="352"/>
      <c r="J3639" s="352"/>
      <c r="K3639" s="352"/>
      <c r="L3639" s="352"/>
      <c r="M3639" s="465"/>
      <c r="N3639" s="465"/>
      <c r="P3639" s="465"/>
      <c r="Q3639" s="465"/>
      <c r="R3639" s="466"/>
    </row>
    <row r="3640" spans="5:18" ht="24.75" customHeight="1">
      <c r="E3640" s="352"/>
      <c r="F3640" s="352"/>
      <c r="G3640" s="352"/>
      <c r="H3640" s="360" t="s">
        <v>3152</v>
      </c>
      <c r="I3640" s="352"/>
      <c r="J3640" s="352"/>
      <c r="K3640" s="352"/>
      <c r="L3640" s="352"/>
      <c r="M3640" s="352"/>
    </row>
    <row r="3641" spans="5:18" ht="63">
      <c r="E3641" s="352"/>
      <c r="F3641" s="352"/>
      <c r="G3641" s="352"/>
      <c r="H3641" s="373" t="s">
        <v>3153</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842</v>
      </c>
      <c r="H3643" s="352" t="str">
        <f>Elec.Data!H814</f>
        <v>Back clamps with bolts and nuts</v>
      </c>
      <c r="I3643" s="353">
        <f>Elec.Data!I814</f>
        <v>35</v>
      </c>
      <c r="J3643" s="352" t="s">
        <v>842</v>
      </c>
      <c r="K3643" s="352">
        <f>F3643*I3643</f>
        <v>52.5</v>
      </c>
      <c r="L3643" s="352"/>
      <c r="M3643" s="352"/>
    </row>
    <row r="3644" spans="5:18" ht="24.75" customHeight="1">
      <c r="E3644" s="352"/>
      <c r="F3644" s="352">
        <v>2</v>
      </c>
      <c r="G3644" s="352" t="s">
        <v>3163</v>
      </c>
      <c r="H3644" s="352" t="s">
        <v>3164</v>
      </c>
      <c r="I3644" s="352">
        <f>I3613</f>
        <v>35</v>
      </c>
      <c r="J3644" s="352" t="s">
        <v>3163</v>
      </c>
      <c r="K3644" s="352">
        <f>F3644*I3644</f>
        <v>70</v>
      </c>
      <c r="L3644" s="352"/>
      <c r="M3644" s="352"/>
    </row>
    <row r="3645" spans="5:18" ht="24.75" customHeight="1">
      <c r="E3645" s="352"/>
      <c r="F3645" s="352">
        <v>1</v>
      </c>
      <c r="G3645" s="352" t="s">
        <v>1419</v>
      </c>
      <c r="H3645" s="352" t="s">
        <v>3154</v>
      </c>
      <c r="I3645" s="352">
        <f>I3614</f>
        <v>31.28</v>
      </c>
      <c r="J3645" s="352" t="s">
        <v>1419</v>
      </c>
      <c r="K3645" s="352">
        <f>F3645*I3645</f>
        <v>31.28</v>
      </c>
      <c r="L3645" s="352"/>
      <c r="M3645" s="352"/>
    </row>
    <row r="3646" spans="5:18" ht="24.75" customHeight="1">
      <c r="E3646" s="352"/>
      <c r="F3646" s="352">
        <v>1</v>
      </c>
      <c r="G3646" s="352" t="s">
        <v>1419</v>
      </c>
      <c r="H3646" s="352" t="s">
        <v>3288</v>
      </c>
      <c r="I3646" s="352">
        <f>I3615</f>
        <v>32.119999999999997</v>
      </c>
      <c r="J3646" s="352" t="s">
        <v>1419</v>
      </c>
      <c r="K3646" s="352">
        <f>F3646*I3646</f>
        <v>32.119999999999997</v>
      </c>
      <c r="L3646" s="352"/>
      <c r="M3646" s="352"/>
    </row>
    <row r="3647" spans="5:18" ht="24.75" customHeight="1">
      <c r="E3647" s="352"/>
      <c r="F3647" s="352">
        <v>8</v>
      </c>
      <c r="G3647" s="352" t="s">
        <v>842</v>
      </c>
      <c r="H3647" s="352" t="s">
        <v>2930</v>
      </c>
      <c r="I3647" s="352">
        <f>I3616</f>
        <v>20.3</v>
      </c>
      <c r="J3647" s="352" t="s">
        <v>3363</v>
      </c>
      <c r="K3647" s="352">
        <f>F3647*I3647</f>
        <v>162.4</v>
      </c>
      <c r="L3647" s="352"/>
      <c r="M3647" s="352"/>
    </row>
    <row r="3648" spans="5:18" ht="61.5" customHeight="1">
      <c r="E3648" s="352"/>
      <c r="F3648" s="352"/>
      <c r="G3648" s="352"/>
      <c r="H3648" s="373" t="s">
        <v>2931</v>
      </c>
      <c r="I3648" s="352"/>
      <c r="J3648" s="352"/>
      <c r="K3648" s="352">
        <f>K3627</f>
        <v>1690</v>
      </c>
      <c r="L3648" s="352"/>
      <c r="M3648" s="352"/>
    </row>
    <row r="3649" spans="5:13" ht="52.5" customHeight="1">
      <c r="E3649" s="352"/>
      <c r="F3649" s="352"/>
      <c r="G3649" s="352"/>
      <c r="H3649" s="373" t="s">
        <v>2538</v>
      </c>
      <c r="I3649" s="352"/>
      <c r="J3649" s="352" t="s">
        <v>669</v>
      </c>
      <c r="K3649" s="352">
        <f>14.2-0.69</f>
        <v>13.51</v>
      </c>
      <c r="L3649" s="352"/>
      <c r="M3649" s="352"/>
    </row>
    <row r="3650" spans="5:13" ht="24" customHeight="1">
      <c r="E3650" s="352"/>
      <c r="F3650" s="352"/>
      <c r="G3650" s="352"/>
      <c r="H3650" s="359" t="s">
        <v>2411</v>
      </c>
      <c r="I3650" s="352"/>
      <c r="J3650" s="352"/>
      <c r="K3650" s="360">
        <f>SUM(K3643:K3649)</f>
        <v>2051.81</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2871</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3070</v>
      </c>
      <c r="I3657" s="352"/>
      <c r="J3657" s="352"/>
      <c r="K3657" s="352"/>
      <c r="L3657" s="352"/>
      <c r="M3657" s="352"/>
    </row>
    <row r="3658" spans="5:13">
      <c r="E3658" s="352"/>
      <c r="F3658" s="352"/>
      <c r="G3658" s="352"/>
      <c r="H3658" s="352"/>
      <c r="I3658" s="352"/>
      <c r="J3658" s="352"/>
      <c r="K3658" s="352"/>
      <c r="L3658" s="352"/>
      <c r="M3658" s="352"/>
    </row>
    <row r="3659" spans="5:13" ht="315">
      <c r="E3659" s="352"/>
      <c r="F3659" s="352"/>
      <c r="G3659" s="352"/>
      <c r="H3659" s="373" t="s">
        <v>2581</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2887</v>
      </c>
      <c r="I3661" s="352"/>
      <c r="K3661" s="352"/>
      <c r="L3661" s="352"/>
      <c r="M3661" s="352"/>
    </row>
    <row r="3662" spans="5:13" ht="47.25">
      <c r="E3662" s="352"/>
      <c r="F3662" s="352">
        <v>1</v>
      </c>
      <c r="G3662" s="352" t="s">
        <v>1419</v>
      </c>
      <c r="H3662" s="351" t="s">
        <v>3935</v>
      </c>
      <c r="I3662" s="421">
        <f>Elec.Data!I833</f>
        <v>281.56</v>
      </c>
      <c r="J3662" s="352" t="s">
        <v>1419</v>
      </c>
      <c r="K3662" s="352">
        <f t="shared" ref="K3662:K3667" si="104">F3662*I3662</f>
        <v>281.56</v>
      </c>
      <c r="L3662" s="352"/>
      <c r="M3662" s="352"/>
    </row>
    <row r="3663" spans="5:13" ht="20.100000000000001" customHeight="1">
      <c r="E3663" s="352"/>
      <c r="F3663" s="352">
        <v>1</v>
      </c>
      <c r="G3663" s="352" t="s">
        <v>1419</v>
      </c>
      <c r="H3663" s="352" t="s">
        <v>2888</v>
      </c>
      <c r="I3663" s="352">
        <f>K3677</f>
        <v>289.06</v>
      </c>
      <c r="J3663" s="352" t="s">
        <v>1419</v>
      </c>
      <c r="K3663" s="352">
        <f t="shared" si="104"/>
        <v>289.06</v>
      </c>
      <c r="L3663" s="352"/>
      <c r="M3663" s="352"/>
    </row>
    <row r="3664" spans="5:13" ht="20.100000000000001" customHeight="1">
      <c r="E3664" s="352"/>
      <c r="F3664" s="352">
        <v>1</v>
      </c>
      <c r="G3664" s="352" t="s">
        <v>1419</v>
      </c>
      <c r="H3664" s="352" t="s">
        <v>2889</v>
      </c>
      <c r="I3664" s="353">
        <f>Elec.Data!I835</f>
        <v>25</v>
      </c>
      <c r="J3664" s="352" t="s">
        <v>1419</v>
      </c>
      <c r="K3664" s="352">
        <f t="shared" si="104"/>
        <v>25</v>
      </c>
      <c r="L3664" s="352"/>
      <c r="M3664" s="352"/>
    </row>
    <row r="3665" spans="4:13" ht="20.100000000000001" customHeight="1">
      <c r="E3665" s="352"/>
      <c r="F3665" s="352">
        <v>1</v>
      </c>
      <c r="G3665" s="352" t="s">
        <v>1419</v>
      </c>
      <c r="H3665" s="352" t="s">
        <v>2890</v>
      </c>
      <c r="I3665" s="352">
        <f>I3478</f>
        <v>25</v>
      </c>
      <c r="J3665" s="352" t="s">
        <v>1419</v>
      </c>
      <c r="K3665" s="352">
        <f t="shared" si="104"/>
        <v>25</v>
      </c>
      <c r="L3665" s="352"/>
      <c r="M3665" s="352"/>
    </row>
    <row r="3666" spans="4:13" ht="20.100000000000001" customHeight="1">
      <c r="E3666" s="352"/>
      <c r="F3666" s="352">
        <v>5</v>
      </c>
      <c r="G3666" s="352" t="s">
        <v>842</v>
      </c>
      <c r="H3666" s="352" t="s">
        <v>3281</v>
      </c>
      <c r="I3666" s="353">
        <f>Elec.Data!I837</f>
        <v>40.950000000000003</v>
      </c>
      <c r="J3666" s="352" t="s">
        <v>842</v>
      </c>
      <c r="K3666" s="352">
        <f t="shared" si="104"/>
        <v>204.75</v>
      </c>
      <c r="L3666" s="352"/>
      <c r="M3666" s="352"/>
    </row>
    <row r="3667" spans="4:13" ht="31.5">
      <c r="E3667" s="352"/>
      <c r="F3667" s="352">
        <v>20</v>
      </c>
      <c r="G3667" s="352" t="s">
        <v>842</v>
      </c>
      <c r="H3667" s="373" t="s">
        <v>2748</v>
      </c>
      <c r="I3667" s="352">
        <f>I3098</f>
        <v>32.200000000000003</v>
      </c>
      <c r="J3667" s="352" t="s">
        <v>842</v>
      </c>
      <c r="K3667" s="352">
        <f t="shared" si="104"/>
        <v>644</v>
      </c>
      <c r="L3667" s="352"/>
      <c r="M3667" s="352"/>
    </row>
    <row r="3668" spans="4:13" ht="20.100000000000001" customHeight="1">
      <c r="E3668" s="352"/>
      <c r="F3668" s="352"/>
      <c r="G3668" s="352"/>
      <c r="H3668" s="360" t="s">
        <v>3282</v>
      </c>
      <c r="I3668" s="352"/>
      <c r="J3668" s="352"/>
      <c r="K3668" s="352"/>
      <c r="L3668" s="352"/>
      <c r="M3668" s="352"/>
    </row>
    <row r="3669" spans="4:13" ht="56.25" customHeight="1">
      <c r="E3669" s="352"/>
      <c r="F3669" s="352">
        <v>1</v>
      </c>
      <c r="G3669" s="352" t="s">
        <v>1419</v>
      </c>
      <c r="H3669" s="373" t="s">
        <v>3316</v>
      </c>
      <c r="I3669" s="352">
        <f>I3662</f>
        <v>281.56</v>
      </c>
      <c r="J3669" s="352" t="s">
        <v>1419</v>
      </c>
      <c r="K3669" s="352">
        <f>F3669*I3669</f>
        <v>281.56</v>
      </c>
      <c r="L3669" s="352"/>
      <c r="M3669" s="352"/>
    </row>
    <row r="3670" spans="4:13">
      <c r="E3670" s="352"/>
      <c r="F3670" s="352">
        <v>1</v>
      </c>
      <c r="G3670" s="352" t="s">
        <v>1419</v>
      </c>
      <c r="H3670" s="352" t="str">
        <f>Elec.Data!H841</f>
        <v>40 A single pole MCb isolator</v>
      </c>
      <c r="I3670" s="421">
        <f>Elec.Data!I841</f>
        <v>93.5</v>
      </c>
      <c r="J3670" s="352" t="s">
        <v>1419</v>
      </c>
      <c r="K3670" s="352">
        <f>F3670*I3670</f>
        <v>93.5</v>
      </c>
      <c r="L3670" s="352"/>
      <c r="M3670" s="352"/>
    </row>
    <row r="3671" spans="4:13">
      <c r="E3671" s="352"/>
      <c r="F3671" s="352">
        <v>1</v>
      </c>
      <c r="G3671" s="352" t="s">
        <v>1419</v>
      </c>
      <c r="H3671" s="352" t="s">
        <v>3934</v>
      </c>
      <c r="I3671" s="352">
        <v>93.5</v>
      </c>
      <c r="J3671" s="352" t="s">
        <v>1419</v>
      </c>
      <c r="K3671" s="352">
        <f>F3671*I3671</f>
        <v>93.5</v>
      </c>
      <c r="L3671" s="352"/>
      <c r="M3671" s="352"/>
    </row>
    <row r="3672" spans="4:13">
      <c r="E3672" s="352"/>
      <c r="F3672" s="352">
        <v>1</v>
      </c>
      <c r="G3672" s="352" t="s">
        <v>1419</v>
      </c>
      <c r="H3672" s="352" t="s">
        <v>3318</v>
      </c>
      <c r="I3672" s="352">
        <v>89.6</v>
      </c>
      <c r="J3672" s="352" t="s">
        <v>1419</v>
      </c>
      <c r="K3672" s="352">
        <f>F3672*I3672</f>
        <v>89.6</v>
      </c>
      <c r="L3672" s="352"/>
      <c r="M3672" s="352"/>
    </row>
    <row r="3673" spans="4:13">
      <c r="E3673" s="352"/>
      <c r="F3673" s="352">
        <v>1</v>
      </c>
      <c r="G3673" s="352" t="s">
        <v>1419</v>
      </c>
      <c r="H3673" s="352" t="s">
        <v>2888</v>
      </c>
      <c r="I3673" s="352">
        <f>K3677</f>
        <v>289.06</v>
      </c>
      <c r="J3673" s="352" t="s">
        <v>1419</v>
      </c>
      <c r="K3673" s="352">
        <f>F3673*I3673</f>
        <v>289.06</v>
      </c>
      <c r="L3673" s="352"/>
      <c r="M3673" s="352"/>
    </row>
    <row r="3674" spans="4:13">
      <c r="D3674" s="375">
        <f>0.6*0.225*0.02</f>
        <v>2.7000000000000001E-3</v>
      </c>
      <c r="E3674" s="352"/>
      <c r="F3674" s="352"/>
      <c r="G3674" s="352"/>
      <c r="H3674" s="352" t="s">
        <v>2668</v>
      </c>
      <c r="I3674" s="352"/>
      <c r="J3674" s="352"/>
      <c r="K3674" s="352">
        <f>K3627</f>
        <v>1690</v>
      </c>
      <c r="L3674" s="352"/>
      <c r="M3674" s="352"/>
    </row>
    <row r="3675" spans="4:13" ht="41.25" customHeight="1">
      <c r="E3675" s="352"/>
      <c r="F3675" s="352"/>
      <c r="G3675" s="352"/>
      <c r="H3675" s="373" t="s">
        <v>2669</v>
      </c>
      <c r="I3675" s="352"/>
      <c r="J3675" s="352"/>
      <c r="K3675" s="352">
        <f>8-0.09</f>
        <v>7.91</v>
      </c>
      <c r="L3675" s="352"/>
      <c r="M3675" s="352"/>
    </row>
    <row r="3676" spans="4:13" ht="24.95" customHeight="1">
      <c r="E3676" s="352"/>
      <c r="F3676" s="352"/>
      <c r="G3676" s="352"/>
      <c r="H3676" s="357" t="s">
        <v>1083</v>
      </c>
      <c r="I3676" s="352"/>
      <c r="J3676" s="352"/>
      <c r="K3676" s="360">
        <f>SUM(K3662:K3675)</f>
        <v>4014.5</v>
      </c>
      <c r="L3676" s="352"/>
      <c r="M3676" s="352">
        <f>4254-K3676</f>
        <v>239.5</v>
      </c>
    </row>
    <row r="3677" spans="4:13" ht="20.100000000000001" customHeight="1">
      <c r="E3677" s="352"/>
      <c r="F3677" s="352"/>
      <c r="G3677" s="352"/>
      <c r="H3677" s="360" t="s">
        <v>3292</v>
      </c>
      <c r="I3677" s="352">
        <f>I3628</f>
        <v>107060</v>
      </c>
      <c r="J3677" s="366">
        <v>2.7000000000000001E-3</v>
      </c>
      <c r="K3677" s="360">
        <f>I3677*J3677</f>
        <v>289.06</v>
      </c>
      <c r="L3677" s="352"/>
      <c r="M3677" s="352"/>
    </row>
    <row r="3678" spans="4:13">
      <c r="E3678" s="352"/>
      <c r="F3678" s="352"/>
      <c r="G3678" s="352"/>
      <c r="H3678" s="360" t="s">
        <v>2670</v>
      </c>
      <c r="I3678" s="352"/>
      <c r="J3678" s="352"/>
      <c r="K3678" s="352"/>
      <c r="L3678" s="352"/>
      <c r="M3678" s="352"/>
    </row>
    <row r="3679" spans="4:13">
      <c r="E3679" s="352"/>
      <c r="F3679" s="352"/>
      <c r="G3679" s="352"/>
      <c r="H3679" s="360"/>
      <c r="I3679" s="352"/>
      <c r="J3679" s="352"/>
      <c r="K3679" s="352"/>
      <c r="L3679" s="352"/>
      <c r="M3679" s="352"/>
    </row>
    <row r="3680" spans="4:13" ht="31.5">
      <c r="E3680" s="352"/>
      <c r="F3680" s="352"/>
      <c r="G3680" s="352"/>
      <c r="H3680" s="350" t="s">
        <v>1754</v>
      </c>
      <c r="I3680" s="352"/>
      <c r="J3680" s="352"/>
      <c r="K3680" s="352"/>
      <c r="L3680" s="352"/>
      <c r="M3680" s="352"/>
    </row>
    <row r="3681" spans="5:13">
      <c r="E3681" s="352"/>
      <c r="F3681" s="352"/>
      <c r="G3681" s="352"/>
      <c r="H3681" s="352" t="s">
        <v>813</v>
      </c>
      <c r="I3681" s="352"/>
      <c r="J3681" s="352"/>
      <c r="K3681" s="352"/>
      <c r="L3681" s="352"/>
      <c r="M3681" s="352"/>
    </row>
    <row r="3682" spans="5:13" ht="35.25" customHeight="1">
      <c r="E3682" s="352"/>
      <c r="F3682" s="352">
        <v>90</v>
      </c>
      <c r="G3682" s="352" t="s">
        <v>377</v>
      </c>
      <c r="H3682" s="351" t="s">
        <v>2253</v>
      </c>
      <c r="I3682" s="352">
        <f>I2996</f>
        <v>20</v>
      </c>
      <c r="J3682" s="352" t="s">
        <v>377</v>
      </c>
      <c r="K3682" s="352">
        <f>F3682*I3682</f>
        <v>1800</v>
      </c>
      <c r="L3682" s="352"/>
      <c r="M3682" s="352"/>
    </row>
    <row r="3683" spans="5:13">
      <c r="E3683" s="352"/>
      <c r="F3683" s="352">
        <v>0.15</v>
      </c>
      <c r="G3683" s="352" t="s">
        <v>535</v>
      </c>
      <c r="H3683" s="352" t="s">
        <v>878</v>
      </c>
      <c r="I3683" s="353">
        <f>Elec.Data!I854</f>
        <v>783</v>
      </c>
      <c r="J3683" s="352" t="s">
        <v>535</v>
      </c>
      <c r="K3683" s="352">
        <f>F3683*I3683</f>
        <v>117.45</v>
      </c>
      <c r="L3683" s="352"/>
      <c r="M3683" s="352"/>
    </row>
    <row r="3684" spans="5:13">
      <c r="E3684" s="352"/>
      <c r="F3684" s="352">
        <v>1</v>
      </c>
      <c r="G3684" s="352" t="s">
        <v>785</v>
      </c>
      <c r="H3684" s="352" t="s">
        <v>376</v>
      </c>
      <c r="I3684" s="352">
        <f>I3623</f>
        <v>783</v>
      </c>
      <c r="J3684" s="352" t="s">
        <v>785</v>
      </c>
      <c r="K3684" s="352">
        <f>F3684*I3684</f>
        <v>783</v>
      </c>
      <c r="L3684" s="352"/>
      <c r="M3684" s="352"/>
    </row>
    <row r="3685" spans="5:13">
      <c r="E3685" s="352"/>
      <c r="F3685" s="352">
        <v>2</v>
      </c>
      <c r="G3685" s="352" t="s">
        <v>785</v>
      </c>
      <c r="H3685" s="352" t="s">
        <v>1744</v>
      </c>
      <c r="I3685" s="353">
        <f>I2871</f>
        <v>884</v>
      </c>
      <c r="J3685" s="352" t="s">
        <v>785</v>
      </c>
      <c r="K3685" s="352">
        <f>F3685*I3685</f>
        <v>1768</v>
      </c>
      <c r="L3685" s="352"/>
      <c r="M3685" s="352"/>
    </row>
    <row r="3686" spans="5:13">
      <c r="E3686" s="352"/>
      <c r="F3686" s="352">
        <v>4</v>
      </c>
      <c r="G3686" s="352" t="s">
        <v>785</v>
      </c>
      <c r="H3686" s="352" t="s">
        <v>1309</v>
      </c>
      <c r="I3686" s="352">
        <f>I3590</f>
        <v>611</v>
      </c>
      <c r="J3686" s="352" t="s">
        <v>785</v>
      </c>
      <c r="K3686" s="352">
        <f>F3686*I3686</f>
        <v>2444</v>
      </c>
      <c r="L3686" s="352"/>
      <c r="M3686" s="352"/>
    </row>
    <row r="3687" spans="5:13" ht="30" customHeight="1">
      <c r="E3687" s="352"/>
      <c r="F3687" s="352"/>
      <c r="G3687" s="352"/>
      <c r="H3687" s="351" t="s">
        <v>378</v>
      </c>
      <c r="I3687" s="352"/>
      <c r="J3687" s="352"/>
      <c r="K3687" s="352">
        <v>50.5</v>
      </c>
      <c r="L3687" s="352"/>
      <c r="M3687" s="352"/>
    </row>
    <row r="3688" spans="5:13" ht="18.75" customHeight="1">
      <c r="E3688" s="352"/>
      <c r="F3688" s="352"/>
      <c r="G3688" s="352"/>
      <c r="H3688" s="357" t="s">
        <v>2306</v>
      </c>
      <c r="I3688" s="352"/>
      <c r="J3688" s="352"/>
      <c r="K3688" s="352">
        <f>SUM(K3682:K3687)</f>
        <v>6962.95</v>
      </c>
      <c r="L3688" s="352"/>
      <c r="M3688" s="352"/>
    </row>
    <row r="3689" spans="5:13" ht="18.75" customHeight="1">
      <c r="E3689" s="352"/>
      <c r="F3689" s="352"/>
      <c r="G3689" s="352"/>
      <c r="H3689" s="359" t="s">
        <v>1144</v>
      </c>
      <c r="I3689" s="352"/>
      <c r="J3689" s="352"/>
      <c r="K3689" s="376">
        <f>K3688/90</f>
        <v>77.37</v>
      </c>
      <c r="L3689" s="352">
        <f>60.7*90</f>
        <v>5463</v>
      </c>
      <c r="M3689" s="352"/>
    </row>
    <row r="3690" spans="5:13">
      <c r="E3690" s="352"/>
      <c r="F3690" s="352"/>
      <c r="G3690" s="352"/>
      <c r="H3690" s="352"/>
      <c r="I3690" s="352"/>
      <c r="J3690" s="352"/>
      <c r="K3690" s="352"/>
      <c r="L3690" s="352">
        <f>L3689-K3688</f>
        <v>-1499.95</v>
      </c>
      <c r="M3690" s="352"/>
    </row>
    <row r="3691" spans="5:13" ht="20.25" customHeight="1">
      <c r="E3691" s="352"/>
      <c r="F3691" s="352"/>
      <c r="G3691" s="352"/>
      <c r="H3691" s="360" t="s">
        <v>2671</v>
      </c>
      <c r="I3691" s="352"/>
      <c r="J3691" s="352"/>
      <c r="K3691" s="352"/>
      <c r="L3691" s="352"/>
      <c r="M3691" s="352"/>
    </row>
    <row r="3692" spans="5:13" ht="20.25" customHeight="1">
      <c r="E3692" s="352"/>
      <c r="F3692" s="352"/>
      <c r="G3692" s="352"/>
      <c r="H3692" s="352" t="s">
        <v>2672</v>
      </c>
      <c r="I3692" s="352"/>
      <c r="J3692" s="352"/>
      <c r="K3692" s="352">
        <f>K3689</f>
        <v>77.37</v>
      </c>
      <c r="L3692" s="352"/>
      <c r="M3692" s="352"/>
    </row>
    <row r="3693" spans="5:13" ht="20.25" customHeight="1">
      <c r="E3693" s="352"/>
      <c r="F3693" s="352">
        <v>1</v>
      </c>
      <c r="G3693" s="352" t="s">
        <v>842</v>
      </c>
      <c r="H3693" s="352" t="s">
        <v>2673</v>
      </c>
      <c r="I3693" s="352">
        <f>I3682</f>
        <v>20</v>
      </c>
      <c r="J3693" s="352" t="s">
        <v>842</v>
      </c>
      <c r="K3693" s="352">
        <f>F3693*I3693</f>
        <v>20</v>
      </c>
      <c r="L3693" s="352"/>
      <c r="M3693" s="352"/>
    </row>
    <row r="3694" spans="5:13" ht="20.25" customHeight="1">
      <c r="E3694" s="352"/>
      <c r="F3694" s="352">
        <v>1</v>
      </c>
      <c r="G3694" s="352" t="s">
        <v>842</v>
      </c>
      <c r="H3694" s="352">
        <f>Elec.Data!H865</f>
        <v>0</v>
      </c>
      <c r="I3694" s="353">
        <f>Elec.Data!I865</f>
        <v>0</v>
      </c>
      <c r="J3694" s="352" t="s">
        <v>842</v>
      </c>
      <c r="K3694" s="352">
        <f>F3694*I3694</f>
        <v>0</v>
      </c>
      <c r="L3694" s="352"/>
      <c r="M3694" s="352"/>
    </row>
    <row r="3695" spans="5:13" ht="20.25" customHeight="1">
      <c r="E3695" s="352"/>
      <c r="F3695" s="352"/>
      <c r="G3695" s="352"/>
      <c r="H3695" s="352"/>
      <c r="I3695" s="352"/>
      <c r="J3695" s="352"/>
      <c r="K3695" s="360">
        <f>(K3692-K3693)+K3694</f>
        <v>57.37</v>
      </c>
      <c r="L3695" s="352"/>
      <c r="M3695" s="352"/>
    </row>
    <row r="3696" spans="5:13" ht="20.25" customHeight="1">
      <c r="E3696" s="352"/>
      <c r="F3696" s="352"/>
      <c r="G3696" s="352"/>
      <c r="H3696" s="360" t="s">
        <v>2674</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2675</v>
      </c>
      <c r="I3698" s="352"/>
      <c r="J3698" s="352"/>
      <c r="K3698" s="352"/>
      <c r="L3698" s="352"/>
      <c r="M3698" s="352"/>
    </row>
    <row r="3699" spans="5:13" ht="21.75" customHeight="1">
      <c r="E3699" s="352"/>
      <c r="F3699" s="352">
        <v>1</v>
      </c>
      <c r="G3699" s="352" t="s">
        <v>1419</v>
      </c>
      <c r="H3699" s="352" t="str">
        <f>Elec.Data!H870</f>
        <v>Hylem sheet</v>
      </c>
      <c r="I3699" s="353">
        <f>Elec.Data!I870</f>
        <v>661</v>
      </c>
      <c r="J3699" s="352" t="s">
        <v>1419</v>
      </c>
      <c r="K3699" s="352">
        <f>F3699*I3699</f>
        <v>661</v>
      </c>
      <c r="L3699" s="352"/>
      <c r="M3699" s="352"/>
    </row>
    <row r="3700" spans="5:13" ht="21.75" customHeight="1">
      <c r="E3700" s="352"/>
      <c r="F3700" s="355">
        <v>1.4999999999999999E-2</v>
      </c>
      <c r="G3700" s="352" t="s">
        <v>2322</v>
      </c>
      <c r="H3700" s="373" t="s">
        <v>3533</v>
      </c>
      <c r="I3700" s="352">
        <f>I3000</f>
        <v>661</v>
      </c>
      <c r="J3700" s="352" t="s">
        <v>2322</v>
      </c>
      <c r="K3700" s="352">
        <f>F3700*I3700</f>
        <v>9.92</v>
      </c>
      <c r="L3700" s="352"/>
      <c r="M3700" s="352"/>
    </row>
    <row r="3701" spans="5:13" ht="21.75" customHeight="1">
      <c r="E3701" s="352"/>
      <c r="F3701" s="352"/>
      <c r="G3701" s="352"/>
      <c r="H3701" s="352" t="s">
        <v>3523</v>
      </c>
      <c r="I3701" s="352"/>
      <c r="J3701" s="352" t="s">
        <v>669</v>
      </c>
      <c r="K3701" s="352">
        <v>5.84</v>
      </c>
      <c r="L3701" s="352"/>
      <c r="M3701" s="352"/>
    </row>
    <row r="3702" spans="5:13" ht="21.75" customHeight="1">
      <c r="E3702" s="352"/>
      <c r="F3702" s="352"/>
      <c r="G3702" s="352"/>
      <c r="H3702" s="359" t="s">
        <v>1083</v>
      </c>
      <c r="I3702" s="352"/>
      <c r="J3702" s="352"/>
      <c r="K3702" s="360">
        <f>SUM(K3699:K3701)</f>
        <v>676.76</v>
      </c>
      <c r="L3702" s="352"/>
      <c r="M3702" s="352"/>
    </row>
    <row r="3703" spans="5:13">
      <c r="E3703" s="352"/>
      <c r="F3703" s="352"/>
      <c r="G3703" s="352"/>
      <c r="H3703" s="352"/>
      <c r="I3703" s="352"/>
      <c r="J3703" s="352"/>
      <c r="K3703" s="352"/>
      <c r="L3703" s="352"/>
      <c r="M3703" s="352"/>
    </row>
    <row r="3704" spans="5:13">
      <c r="E3704" s="352"/>
      <c r="F3704" s="352"/>
      <c r="G3704" s="352"/>
      <c r="H3704" s="360" t="s">
        <v>3524</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8" t="s">
        <v>3454</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1419</v>
      </c>
      <c r="H3708" s="352" t="str">
        <f>Elec.Data!H879</f>
        <v>Hylem sheet</v>
      </c>
      <c r="I3708" s="353">
        <f>Elec.Data!I879</f>
        <v>661</v>
      </c>
      <c r="J3708" s="352" t="s">
        <v>1419</v>
      </c>
      <c r="K3708" s="352">
        <f>F3708*I3708</f>
        <v>661</v>
      </c>
      <c r="L3708" s="352"/>
      <c r="M3708" s="352"/>
    </row>
    <row r="3709" spans="5:13" ht="21.75" customHeight="1">
      <c r="E3709" s="352"/>
      <c r="F3709" s="352">
        <v>0.01</v>
      </c>
      <c r="G3709" s="352" t="s">
        <v>3525</v>
      </c>
      <c r="H3709" s="352" t="s">
        <v>3533</v>
      </c>
      <c r="I3709" s="352">
        <f>I3700</f>
        <v>661</v>
      </c>
      <c r="J3709" s="352" t="s">
        <v>2322</v>
      </c>
      <c r="K3709" s="352">
        <f>F3709*I3709</f>
        <v>6.61</v>
      </c>
      <c r="L3709" s="352"/>
      <c r="M3709" s="352"/>
    </row>
    <row r="3710" spans="5:13" ht="21.75" customHeight="1">
      <c r="E3710" s="352"/>
      <c r="F3710" s="352">
        <v>1</v>
      </c>
      <c r="G3710" s="352" t="s">
        <v>1419</v>
      </c>
      <c r="H3710" s="352" t="s">
        <v>3526</v>
      </c>
      <c r="I3710" s="521" t="str">
        <f>Elec.Data!I881</f>
        <v>LS</v>
      </c>
      <c r="J3710" s="352" t="s">
        <v>1419</v>
      </c>
      <c r="K3710" s="352">
        <f>F3710*I3710</f>
        <v>0</v>
      </c>
      <c r="L3710" s="352"/>
      <c r="M3710" s="352"/>
    </row>
    <row r="3711" spans="5:13" ht="21.75" customHeight="1">
      <c r="E3711" s="352"/>
      <c r="F3711" s="352"/>
      <c r="G3711" s="352"/>
      <c r="H3711" s="352" t="s">
        <v>3527</v>
      </c>
      <c r="I3711" s="352" t="s">
        <v>669</v>
      </c>
      <c r="J3711" s="352"/>
      <c r="K3711" s="352">
        <v>7.08</v>
      </c>
      <c r="L3711" s="352"/>
      <c r="M3711" s="352"/>
    </row>
    <row r="3712" spans="5:13" ht="21.75" customHeight="1">
      <c r="E3712" s="352"/>
      <c r="F3712" s="352"/>
      <c r="G3712" s="352"/>
      <c r="H3712" s="359" t="s">
        <v>3528</v>
      </c>
      <c r="I3712" s="352"/>
      <c r="J3712" s="352"/>
      <c r="K3712" s="360">
        <f>SUM(K3708:K3711)</f>
        <v>674.69</v>
      </c>
      <c r="L3712" s="352"/>
      <c r="M3712" s="352">
        <f>54-K3712</f>
        <v>-620.69000000000005</v>
      </c>
    </row>
    <row r="3713" spans="5:13">
      <c r="E3713" s="352"/>
      <c r="F3713" s="352"/>
      <c r="G3713" s="352"/>
      <c r="H3713" s="352"/>
      <c r="I3713" s="352"/>
      <c r="J3713" s="352"/>
      <c r="K3713" s="352"/>
      <c r="L3713" s="352"/>
      <c r="M3713" s="352"/>
    </row>
    <row r="3714" spans="5:13">
      <c r="E3714" s="352"/>
      <c r="F3714" s="352"/>
      <c r="G3714" s="352"/>
      <c r="H3714" s="360" t="s">
        <v>3529</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4" t="s">
        <v>3036</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842</v>
      </c>
      <c r="H3718" s="352" t="str">
        <f>Elec.Data!H889</f>
        <v>20 mm dia 'B' class GI pipe p- 50 it-142 iv</v>
      </c>
      <c r="I3718" s="353">
        <f>Elec.Data!I889</f>
        <v>98.6</v>
      </c>
      <c r="J3718" s="352" t="s">
        <v>842</v>
      </c>
      <c r="K3718" s="352">
        <f>F3718*I3718</f>
        <v>591.6</v>
      </c>
      <c r="L3718" s="352"/>
      <c r="M3718" s="352"/>
    </row>
    <row r="3719" spans="5:13" ht="22.5" customHeight="1">
      <c r="F3719" s="352">
        <v>2</v>
      </c>
      <c r="G3719" s="352" t="s">
        <v>842</v>
      </c>
      <c r="H3719" s="352" t="str">
        <f>Elec.Data!H890</f>
        <v>Base plate 45 cm x45 cm x 6mm thick [SD 98]</v>
      </c>
      <c r="I3719" s="353">
        <f>Elec.Data!I890</f>
        <v>225.4</v>
      </c>
      <c r="J3719" s="352" t="s">
        <v>842</v>
      </c>
      <c r="K3719" s="352">
        <f>F3719*I3719</f>
        <v>450.8</v>
      </c>
      <c r="L3719" s="352"/>
      <c r="M3719" s="352"/>
    </row>
    <row r="3720" spans="5:13" ht="22.5" customHeight="1">
      <c r="F3720" s="352">
        <v>1</v>
      </c>
      <c r="G3720" s="352" t="s">
        <v>1419</v>
      </c>
      <c r="H3720" s="352" t="s">
        <v>3459</v>
      </c>
      <c r="I3720" s="352">
        <v>130</v>
      </c>
      <c r="J3720" s="352" t="s">
        <v>1419</v>
      </c>
      <c r="K3720" s="352">
        <f>F3720*I3720</f>
        <v>130</v>
      </c>
      <c r="L3720" s="352"/>
      <c r="M3720" s="352"/>
    </row>
    <row r="3721" spans="5:13" ht="22.5" customHeight="1">
      <c r="F3721" s="352">
        <v>1</v>
      </c>
      <c r="G3721" s="352" t="s">
        <v>1419</v>
      </c>
      <c r="H3721" s="352" t="s">
        <v>4478</v>
      </c>
      <c r="I3721" s="421">
        <f>Elec.Data!I892</f>
        <v>6400</v>
      </c>
      <c r="J3721" s="352" t="s">
        <v>1419</v>
      </c>
      <c r="K3721" s="352">
        <f>F3721*I3721</f>
        <v>6400</v>
      </c>
      <c r="L3721" s="352"/>
      <c r="M3721" s="352"/>
    </row>
    <row r="3722" spans="5:13" ht="22.5" customHeight="1">
      <c r="F3722" s="355">
        <v>0.23799999999999999</v>
      </c>
      <c r="G3722" s="352" t="s">
        <v>2190</v>
      </c>
      <c r="H3722" s="352" t="s">
        <v>2886</v>
      </c>
      <c r="I3722" s="353" t="str">
        <f>Elec.Data!I893</f>
        <v>LS</v>
      </c>
      <c r="J3722" s="352" t="s">
        <v>2190</v>
      </c>
      <c r="K3722" s="352">
        <f>F3722*I3722</f>
        <v>0</v>
      </c>
      <c r="L3722" s="352"/>
      <c r="M3722" s="352"/>
    </row>
    <row r="3723" spans="5:13" ht="43.5" customHeight="1">
      <c r="F3723" s="352"/>
      <c r="G3723" s="352" t="s">
        <v>669</v>
      </c>
      <c r="H3723" s="373" t="s">
        <v>3118</v>
      </c>
      <c r="I3723" s="352" t="s">
        <v>669</v>
      </c>
      <c r="J3723" s="352"/>
      <c r="K3723" s="352">
        <v>226.3</v>
      </c>
      <c r="L3723" s="352"/>
      <c r="M3723" s="352"/>
    </row>
    <row r="3724" spans="5:13" ht="60.75" customHeight="1">
      <c r="F3724" s="352">
        <v>1</v>
      </c>
      <c r="G3724" s="352" t="s">
        <v>1419</v>
      </c>
      <c r="H3724" s="351" t="s">
        <v>2760</v>
      </c>
      <c r="I3724" s="352" t="s">
        <v>669</v>
      </c>
      <c r="J3724" s="352"/>
      <c r="K3724" s="352">
        <v>64.3</v>
      </c>
      <c r="L3724" s="352">
        <f>5300-5225.8</f>
        <v>74.2</v>
      </c>
      <c r="M3724" s="352"/>
    </row>
    <row r="3725" spans="5:13" ht="37.5" customHeight="1">
      <c r="F3725" s="352">
        <v>8</v>
      </c>
      <c r="G3725" s="352" t="s">
        <v>842</v>
      </c>
      <c r="H3725" s="373" t="s">
        <v>2761</v>
      </c>
      <c r="I3725" s="352">
        <f>I2843</f>
        <v>16.55</v>
      </c>
      <c r="J3725" s="352"/>
      <c r="K3725" s="352">
        <f>F3725*I3725</f>
        <v>132.4</v>
      </c>
      <c r="L3725" s="352"/>
      <c r="M3725" s="352"/>
    </row>
    <row r="3726" spans="5:13">
      <c r="E3726" s="352"/>
      <c r="F3726" s="352"/>
      <c r="G3726" s="352"/>
      <c r="H3726" s="352" t="s">
        <v>931</v>
      </c>
      <c r="I3726" s="352"/>
      <c r="J3726" s="352"/>
      <c r="K3726" s="352">
        <f>K3733</f>
        <v>3169.5</v>
      </c>
      <c r="L3726" s="352"/>
      <c r="M3726" s="352"/>
    </row>
    <row r="3727" spans="5:13">
      <c r="E3727" s="352"/>
      <c r="F3727" s="352"/>
      <c r="G3727" s="352"/>
      <c r="H3727" s="359" t="s">
        <v>1083</v>
      </c>
      <c r="I3727" s="352"/>
      <c r="J3727" s="352"/>
      <c r="K3727" s="360">
        <f>SUM(K3718:K3726)</f>
        <v>11164.9</v>
      </c>
      <c r="L3727" s="352"/>
      <c r="M3727" s="352">
        <f>5120-K3727</f>
        <v>-6044.9</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1419</v>
      </c>
      <c r="H3730" s="352" t="s">
        <v>2814</v>
      </c>
      <c r="I3730" s="352">
        <f>I3623</f>
        <v>783</v>
      </c>
      <c r="J3730" s="352" t="s">
        <v>1419</v>
      </c>
      <c r="K3730" s="352">
        <f>F3730*I3730</f>
        <v>391.5</v>
      </c>
      <c r="L3730" s="352"/>
      <c r="M3730" s="352"/>
    </row>
    <row r="3731" spans="5:13">
      <c r="E3731" s="352"/>
      <c r="F3731" s="352">
        <v>2</v>
      </c>
      <c r="G3731" s="352" t="s">
        <v>1419</v>
      </c>
      <c r="H3731" s="352" t="s">
        <v>2633</v>
      </c>
      <c r="I3731" s="352">
        <f>I3624</f>
        <v>778</v>
      </c>
      <c r="J3731" s="352" t="s">
        <v>1419</v>
      </c>
      <c r="K3731" s="352">
        <f>F3731*I3731</f>
        <v>1556</v>
      </c>
      <c r="L3731" s="352"/>
      <c r="M3731" s="352"/>
    </row>
    <row r="3732" spans="5:13">
      <c r="E3732" s="352"/>
      <c r="F3732" s="352">
        <v>2</v>
      </c>
      <c r="G3732" s="352" t="s">
        <v>1419</v>
      </c>
      <c r="H3732" s="352" t="s">
        <v>2370</v>
      </c>
      <c r="I3732" s="352">
        <f>I3625</f>
        <v>611</v>
      </c>
      <c r="J3732" s="352" t="s">
        <v>1419</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2762</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2763</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1419</v>
      </c>
      <c r="H3739" s="352" t="s">
        <v>4479</v>
      </c>
      <c r="I3739" s="374">
        <v>1155</v>
      </c>
      <c r="J3739" s="352" t="s">
        <v>1419</v>
      </c>
      <c r="K3739" s="352">
        <f>F3739*I3739</f>
        <v>1155</v>
      </c>
      <c r="L3739" s="352"/>
      <c r="M3739" s="352"/>
    </row>
    <row r="3740" spans="5:13" ht="30.75" customHeight="1">
      <c r="E3740" s="352"/>
      <c r="F3740" s="352"/>
      <c r="G3740" s="352"/>
      <c r="H3740" s="352" t="s">
        <v>2510</v>
      </c>
      <c r="I3740" s="353">
        <v>197</v>
      </c>
      <c r="J3740" s="352" t="s">
        <v>1419</v>
      </c>
      <c r="K3740" s="352">
        <f>I3740</f>
        <v>197</v>
      </c>
      <c r="L3740" s="352"/>
      <c r="M3740" s="352"/>
    </row>
    <row r="3741" spans="5:13" ht="39" customHeight="1">
      <c r="E3741" s="352"/>
      <c r="F3741" s="352"/>
      <c r="G3741" s="352"/>
      <c r="H3741" s="351" t="s">
        <v>4203</v>
      </c>
      <c r="I3741" s="352"/>
      <c r="J3741" s="352"/>
      <c r="K3741" s="353">
        <v>18.5</v>
      </c>
      <c r="L3741" s="352"/>
      <c r="M3741" s="352"/>
    </row>
    <row r="3742" spans="5:13">
      <c r="E3742" s="352"/>
      <c r="F3742" s="352"/>
      <c r="G3742" s="352"/>
      <c r="H3742" s="352" t="s">
        <v>2920</v>
      </c>
      <c r="I3742" s="352"/>
      <c r="J3742" s="361">
        <f>SUM(K3739:K3741)</f>
        <v>1370.5</v>
      </c>
      <c r="K3742" s="352">
        <f>J3742*1%</f>
        <v>13.71</v>
      </c>
      <c r="L3742" s="352"/>
      <c r="M3742" s="352"/>
    </row>
    <row r="3743" spans="5:13">
      <c r="E3743" s="352"/>
      <c r="F3743" s="352"/>
      <c r="G3743" s="352"/>
      <c r="H3743" s="352" t="s">
        <v>2921</v>
      </c>
      <c r="I3743" s="352"/>
      <c r="J3743" s="352"/>
      <c r="K3743" s="352">
        <f>K3750</f>
        <v>501.25</v>
      </c>
      <c r="L3743" s="352"/>
      <c r="M3743" s="352"/>
    </row>
    <row r="3744" spans="5:13" ht="24.95" customHeight="1">
      <c r="E3744" s="352"/>
      <c r="F3744" s="352"/>
      <c r="G3744" s="352"/>
      <c r="H3744" s="359" t="s">
        <v>2922</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931</v>
      </c>
      <c r="I3746" s="352"/>
      <c r="J3746" s="352"/>
      <c r="K3746" s="352"/>
      <c r="L3746" s="352"/>
      <c r="M3746" s="352"/>
    </row>
    <row r="3747" spans="5:13">
      <c r="E3747" s="352"/>
      <c r="F3747" s="352">
        <v>1</v>
      </c>
      <c r="G3747" s="352" t="s">
        <v>1419</v>
      </c>
      <c r="H3747" s="352" t="s">
        <v>2814</v>
      </c>
      <c r="I3747" s="352">
        <f>I3730</f>
        <v>783</v>
      </c>
      <c r="J3747" s="352" t="s">
        <v>1419</v>
      </c>
      <c r="K3747" s="352">
        <f>F3747*I3747</f>
        <v>783</v>
      </c>
      <c r="L3747" s="352"/>
      <c r="M3747" s="352"/>
    </row>
    <row r="3748" spans="5:13">
      <c r="E3748" s="352"/>
      <c r="F3748" s="352">
        <v>2</v>
      </c>
      <c r="G3748" s="352" t="s">
        <v>1419</v>
      </c>
      <c r="H3748" s="352" t="s">
        <v>2370</v>
      </c>
      <c r="I3748" s="352">
        <f>I3732</f>
        <v>611</v>
      </c>
      <c r="J3748" s="352" t="s">
        <v>1419</v>
      </c>
      <c r="K3748" s="352">
        <f>F3748*I3748</f>
        <v>1222</v>
      </c>
      <c r="L3748" s="352"/>
      <c r="M3748" s="352"/>
    </row>
    <row r="3749" spans="5:13">
      <c r="E3749" s="352"/>
      <c r="F3749" s="352"/>
      <c r="G3749" s="352"/>
      <c r="H3749" s="357" t="s">
        <v>2923</v>
      </c>
      <c r="I3749" s="352"/>
      <c r="J3749" s="352"/>
      <c r="K3749" s="358">
        <f>SUM(K3747:K3748)</f>
        <v>2005</v>
      </c>
      <c r="L3749" s="352"/>
      <c r="M3749" s="352"/>
    </row>
    <row r="3750" spans="5:13" ht="24.95" customHeight="1">
      <c r="E3750" s="352"/>
      <c r="F3750" s="352"/>
      <c r="G3750" s="352"/>
      <c r="H3750" s="359" t="s">
        <v>2841</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2924</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2925</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4480</v>
      </c>
      <c r="I3757" s="374">
        <v>1010</v>
      </c>
      <c r="J3757" s="352" t="s">
        <v>1419</v>
      </c>
      <c r="K3757" s="352">
        <f>I3757</f>
        <v>1010</v>
      </c>
      <c r="L3757" s="352"/>
      <c r="M3757" s="352"/>
    </row>
    <row r="3758" spans="5:13">
      <c r="E3758" s="352"/>
      <c r="F3758" s="352"/>
      <c r="G3758" s="352"/>
      <c r="H3758" s="352" t="s">
        <v>2510</v>
      </c>
      <c r="I3758" s="352">
        <f>I3740</f>
        <v>197</v>
      </c>
      <c r="J3758" s="352" t="s">
        <v>1419</v>
      </c>
      <c r="K3758" s="352">
        <f>I3758</f>
        <v>197</v>
      </c>
      <c r="L3758" s="352"/>
      <c r="M3758" s="352"/>
    </row>
    <row r="3759" spans="5:13" ht="31.5">
      <c r="E3759" s="352"/>
      <c r="F3759" s="352"/>
      <c r="G3759" s="352"/>
      <c r="H3759" s="373" t="s">
        <v>2919</v>
      </c>
      <c r="I3759" s="352"/>
      <c r="J3759" s="352"/>
      <c r="K3759" s="352">
        <f>K3741</f>
        <v>18.5</v>
      </c>
      <c r="L3759" s="352"/>
      <c r="M3759" s="352"/>
    </row>
    <row r="3760" spans="5:13">
      <c r="E3760" s="352"/>
      <c r="F3760" s="352"/>
      <c r="G3760" s="352"/>
      <c r="H3760" s="352" t="s">
        <v>2920</v>
      </c>
      <c r="I3760" s="352"/>
      <c r="J3760" s="352"/>
      <c r="K3760" s="352">
        <f>K3742</f>
        <v>13.71</v>
      </c>
      <c r="L3760" s="352"/>
      <c r="M3760" s="352"/>
    </row>
    <row r="3761" spans="5:18">
      <c r="E3761" s="352"/>
      <c r="F3761" s="352"/>
      <c r="G3761" s="352"/>
      <c r="H3761" s="352" t="s">
        <v>2921</v>
      </c>
      <c r="I3761" s="352"/>
      <c r="J3761" s="352"/>
      <c r="K3761" s="352">
        <f>K3743</f>
        <v>501.25</v>
      </c>
      <c r="L3761" s="352"/>
      <c r="M3761" s="352"/>
    </row>
    <row r="3762" spans="5:18" ht="24.95" customHeight="1">
      <c r="E3762" s="352"/>
      <c r="F3762" s="352"/>
      <c r="G3762" s="352"/>
      <c r="H3762" s="359" t="s">
        <v>2922</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2926</v>
      </c>
      <c r="I3764" s="352"/>
      <c r="J3764" s="352"/>
      <c r="K3764" s="352"/>
      <c r="L3764" s="352"/>
      <c r="M3764" s="352"/>
    </row>
    <row r="3765" spans="5:18" ht="24.95" customHeight="1">
      <c r="E3765" s="352"/>
      <c r="F3765" s="352">
        <v>1</v>
      </c>
      <c r="G3765" s="352" t="s">
        <v>1419</v>
      </c>
      <c r="H3765" s="352" t="str">
        <f>Elec.Data!H936</f>
        <v>Cost of electronic regulator( Part- B 1 d p-117</v>
      </c>
      <c r="I3765" s="353">
        <f>Elec.Data!I936</f>
        <v>185.9</v>
      </c>
      <c r="J3765" s="352" t="s">
        <v>1419</v>
      </c>
      <c r="K3765" s="352">
        <f>F3765*I3765</f>
        <v>185.9</v>
      </c>
      <c r="L3765" s="352"/>
      <c r="M3765" s="352"/>
    </row>
    <row r="3766" spans="5:18" ht="24.95" customHeight="1">
      <c r="E3766" s="352"/>
      <c r="F3766" s="352">
        <v>1</v>
      </c>
      <c r="G3766" s="352" t="s">
        <v>1419</v>
      </c>
      <c r="H3766" s="352" t="s">
        <v>2477</v>
      </c>
      <c r="I3766" s="353">
        <f>Elec.Data!I937</f>
        <v>0</v>
      </c>
      <c r="J3766" s="352" t="s">
        <v>1419</v>
      </c>
      <c r="K3766" s="352">
        <f>F3766*I3766</f>
        <v>0</v>
      </c>
      <c r="L3766" s="352"/>
      <c r="M3766" s="352"/>
    </row>
    <row r="3767" spans="5:18" ht="24.95" customHeight="1">
      <c r="E3767" s="352"/>
      <c r="F3767" s="352"/>
      <c r="G3767" s="352"/>
      <c r="H3767" s="359" t="s">
        <v>2922</v>
      </c>
      <c r="I3767" s="352"/>
      <c r="J3767" s="352"/>
      <c r="K3767" s="360">
        <f>SUM(K3765:K3766)</f>
        <v>185.9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9" t="s">
        <v>3933</v>
      </c>
      <c r="I3769" s="352"/>
      <c r="J3769" s="352"/>
      <c r="K3769" s="352"/>
      <c r="L3769" s="352"/>
      <c r="M3769" s="352"/>
      <c r="N3769" s="479" t="s">
        <v>3932</v>
      </c>
      <c r="O3769" s="352"/>
      <c r="P3769" s="352"/>
      <c r="Q3769" s="352"/>
    </row>
    <row r="3770" spans="5:18" ht="24.95" customHeight="1">
      <c r="E3770" s="352"/>
      <c r="F3770" s="352">
        <v>1</v>
      </c>
      <c r="G3770" s="352" t="s">
        <v>1419</v>
      </c>
      <c r="H3770" s="352" t="str">
        <f>Elec.Data!H941</f>
        <v>slim tube light 36 w P-112 4 B</v>
      </c>
      <c r="I3770" s="421">
        <f>Elec.Data!I941</f>
        <v>36.200000000000003</v>
      </c>
      <c r="J3770" s="352" t="s">
        <v>1419</v>
      </c>
      <c r="K3770" s="352">
        <f>F3770*I3770</f>
        <v>36.200000000000003</v>
      </c>
      <c r="L3770" s="352">
        <v>1</v>
      </c>
      <c r="M3770" s="352" t="s">
        <v>1419</v>
      </c>
      <c r="O3770" s="352" t="s">
        <v>2479</v>
      </c>
      <c r="P3770" s="421">
        <v>529</v>
      </c>
      <c r="Q3770" s="352" t="s">
        <v>1419</v>
      </c>
      <c r="R3770" s="352">
        <f>L3770*P3770</f>
        <v>529</v>
      </c>
    </row>
    <row r="3771" spans="5:18" ht="24.95" customHeight="1">
      <c r="E3771" s="352"/>
      <c r="F3771" s="352">
        <v>1</v>
      </c>
      <c r="G3771" s="352" t="s">
        <v>1419</v>
      </c>
      <c r="H3771" s="352" t="s">
        <v>2480</v>
      </c>
      <c r="I3771" s="374">
        <f>Elec.Data!I949</f>
        <v>0</v>
      </c>
      <c r="J3771" s="352" t="s">
        <v>1419</v>
      </c>
      <c r="K3771" s="352">
        <f>F3771*I3771</f>
        <v>0</v>
      </c>
      <c r="L3771" s="352">
        <v>1</v>
      </c>
      <c r="M3771" s="352" t="s">
        <v>1419</v>
      </c>
      <c r="O3771" s="352" t="s">
        <v>3931</v>
      </c>
      <c r="P3771" s="374">
        <v>42.3</v>
      </c>
      <c r="Q3771" s="352" t="s">
        <v>1419</v>
      </c>
      <c r="R3771" s="352">
        <f>L3771*P3771</f>
        <v>42.3</v>
      </c>
    </row>
    <row r="3772" spans="5:18" ht="24.95" customHeight="1">
      <c r="E3772" s="352"/>
      <c r="F3772" s="352"/>
      <c r="G3772" s="352"/>
      <c r="H3772" s="352" t="s">
        <v>2481</v>
      </c>
      <c r="I3772" s="352"/>
      <c r="J3772" s="352"/>
      <c r="K3772" s="352">
        <f>K3244</f>
        <v>297.5</v>
      </c>
      <c r="L3772" s="352"/>
      <c r="M3772" s="352"/>
      <c r="O3772" s="352" t="s">
        <v>2481</v>
      </c>
      <c r="P3772" s="352"/>
      <c r="Q3772" s="352"/>
      <c r="R3772" s="352">
        <f>K3244</f>
        <v>297.5</v>
      </c>
    </row>
    <row r="3773" spans="5:18" ht="24.95" customHeight="1">
      <c r="E3773" s="352"/>
      <c r="F3773" s="352"/>
      <c r="G3773" s="352"/>
      <c r="H3773" s="352" t="s">
        <v>2310</v>
      </c>
      <c r="I3773" s="352"/>
      <c r="J3773" s="352"/>
      <c r="K3773" s="352">
        <v>1.4</v>
      </c>
      <c r="L3773" s="352"/>
      <c r="M3773" s="352"/>
      <c r="O3773" s="352" t="s">
        <v>2310</v>
      </c>
      <c r="P3773" s="352"/>
      <c r="Q3773" s="352"/>
      <c r="R3773" s="352">
        <v>0.7</v>
      </c>
    </row>
    <row r="3774" spans="5:18" ht="24.95" customHeight="1">
      <c r="E3774" s="352"/>
      <c r="F3774" s="352"/>
      <c r="G3774" s="352"/>
      <c r="H3774" s="359" t="s">
        <v>2922</v>
      </c>
      <c r="I3774" s="352"/>
      <c r="J3774" s="352"/>
      <c r="K3774" s="360">
        <f>SUM(K3770:K3773)</f>
        <v>335.1</v>
      </c>
      <c r="L3774" s="352"/>
      <c r="M3774" s="352"/>
      <c r="O3774" s="359" t="s">
        <v>2922</v>
      </c>
      <c r="P3774" s="352"/>
      <c r="Q3774" s="352"/>
      <c r="R3774" s="360">
        <f>SUM(R3770:R3773)</f>
        <v>869.5</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9" t="s">
        <v>3930</v>
      </c>
      <c r="I3776" s="352"/>
      <c r="J3776" s="352"/>
      <c r="K3776" s="352"/>
      <c r="L3776" s="352"/>
      <c r="M3776" s="352"/>
      <c r="O3776" s="479" t="s">
        <v>2482</v>
      </c>
      <c r="P3776" s="352"/>
      <c r="Q3776" s="352"/>
      <c r="R3776" s="352"/>
    </row>
    <row r="3777" spans="5:18" ht="24.95" customHeight="1">
      <c r="E3777" s="352"/>
      <c r="F3777" s="352">
        <v>1</v>
      </c>
      <c r="G3777" s="352" t="s">
        <v>1419</v>
      </c>
      <c r="H3777" s="352" t="str">
        <f>Elec.Data!H948</f>
        <v>slim tube light 36 w P-112 4 c</v>
      </c>
      <c r="I3777" s="421">
        <f>Elec.Data!I948</f>
        <v>35.4</v>
      </c>
      <c r="J3777" s="352" t="s">
        <v>1419</v>
      </c>
      <c r="K3777" s="352">
        <f>F3777*I3777</f>
        <v>35.4</v>
      </c>
      <c r="L3777" s="352">
        <v>1</v>
      </c>
      <c r="M3777" s="352" t="s">
        <v>1419</v>
      </c>
      <c r="O3777" s="352" t="s">
        <v>2479</v>
      </c>
      <c r="P3777" s="421">
        <v>360</v>
      </c>
      <c r="Q3777" s="352" t="s">
        <v>1419</v>
      </c>
      <c r="R3777" s="352">
        <f>L3777*P3777</f>
        <v>360</v>
      </c>
    </row>
    <row r="3778" spans="5:18" ht="24.95" customHeight="1">
      <c r="E3778" s="352"/>
      <c r="F3778" s="352">
        <v>1</v>
      </c>
      <c r="G3778" s="352" t="s">
        <v>1419</v>
      </c>
      <c r="H3778" s="352" t="str">
        <f>H3771</f>
        <v>slim tube light 36 w</v>
      </c>
      <c r="I3778" s="374">
        <f>I3771</f>
        <v>0</v>
      </c>
      <c r="J3778" s="352" t="s">
        <v>1419</v>
      </c>
      <c r="K3778" s="352">
        <f>F3778*I3778</f>
        <v>0</v>
      </c>
      <c r="L3778" s="352">
        <v>1</v>
      </c>
      <c r="M3778" s="352" t="s">
        <v>1419</v>
      </c>
      <c r="O3778" s="352" t="str">
        <f>O3771</f>
        <v>slim tube light 40 w</v>
      </c>
      <c r="P3778" s="374">
        <f>P3771</f>
        <v>42.3</v>
      </c>
      <c r="Q3778" s="352" t="s">
        <v>1419</v>
      </c>
      <c r="R3778" s="352">
        <f>L3778*P3778</f>
        <v>42.3</v>
      </c>
    </row>
    <row r="3779" spans="5:18" ht="24.95" customHeight="1">
      <c r="E3779" s="352"/>
      <c r="F3779" s="352"/>
      <c r="G3779" s="352"/>
      <c r="H3779" s="352" t="s">
        <v>2481</v>
      </c>
      <c r="I3779" s="352"/>
      <c r="J3779" s="352"/>
      <c r="K3779" s="352">
        <f>K3772</f>
        <v>297.5</v>
      </c>
      <c r="L3779" s="352"/>
      <c r="M3779" s="352"/>
      <c r="O3779" s="352" t="s">
        <v>2481</v>
      </c>
      <c r="P3779" s="352"/>
      <c r="Q3779" s="352"/>
      <c r="R3779" s="352">
        <f>R3772</f>
        <v>297.5</v>
      </c>
    </row>
    <row r="3780" spans="5:18" ht="24.95" customHeight="1">
      <c r="E3780" s="352"/>
      <c r="F3780" s="352"/>
      <c r="G3780" s="352"/>
      <c r="H3780" s="352" t="s">
        <v>2310</v>
      </c>
      <c r="I3780" s="352"/>
      <c r="J3780" s="352"/>
      <c r="K3780" s="352">
        <v>1.4</v>
      </c>
      <c r="L3780" s="352"/>
      <c r="M3780" s="352"/>
      <c r="O3780" s="352" t="s">
        <v>2310</v>
      </c>
      <c r="P3780" s="352"/>
      <c r="Q3780" s="352"/>
      <c r="R3780" s="352">
        <v>0.7</v>
      </c>
    </row>
    <row r="3781" spans="5:18" ht="24.95" customHeight="1">
      <c r="E3781" s="352"/>
      <c r="F3781" s="352"/>
      <c r="G3781" s="352"/>
      <c r="H3781" s="359" t="s">
        <v>2922</v>
      </c>
      <c r="I3781" s="352"/>
      <c r="J3781" s="352"/>
      <c r="K3781" s="360">
        <f>SUM(K3777:K3780)</f>
        <v>334.3</v>
      </c>
      <c r="L3781" s="352"/>
      <c r="M3781" s="352"/>
      <c r="O3781" s="359" t="s">
        <v>2922</v>
      </c>
      <c r="P3781" s="352"/>
      <c r="R3781" s="360">
        <f>SUM(R3777:R3780)</f>
        <v>700.5</v>
      </c>
    </row>
    <row r="3782" spans="5:18">
      <c r="E3782" s="352"/>
      <c r="F3782" s="352"/>
      <c r="G3782" s="352"/>
      <c r="H3782" s="352"/>
      <c r="I3782" s="352"/>
      <c r="J3782" s="352"/>
      <c r="K3782" s="352"/>
      <c r="L3782" s="352"/>
      <c r="M3782" s="352"/>
    </row>
    <row r="3783" spans="5:18">
      <c r="E3783" s="352"/>
      <c r="F3783" s="352"/>
      <c r="G3783" s="352"/>
      <c r="H3783" s="352"/>
      <c r="I3783" s="352"/>
      <c r="J3783" s="352"/>
      <c r="K3783" s="352"/>
      <c r="L3783" s="352"/>
      <c r="M3783" s="352"/>
    </row>
    <row r="3784" spans="5:18">
      <c r="E3784" s="352"/>
      <c r="F3784" s="352"/>
      <c r="G3784" s="352"/>
      <c r="H3784" s="352"/>
      <c r="I3784" s="352"/>
      <c r="J3784" s="352"/>
      <c r="K3784" s="352"/>
      <c r="L3784" s="352"/>
      <c r="M3784" s="352"/>
    </row>
    <row r="3785" spans="5:18">
      <c r="E3785" s="352"/>
      <c r="F3785" s="352"/>
      <c r="G3785" s="352"/>
      <c r="H3785" s="352"/>
      <c r="I3785" s="352"/>
      <c r="J3785" s="352"/>
      <c r="K3785" s="352"/>
      <c r="L3785" s="352"/>
      <c r="M3785" s="352"/>
    </row>
    <row r="3786" spans="5:18">
      <c r="E3786" s="352"/>
      <c r="F3786" s="352"/>
      <c r="G3786" s="352"/>
      <c r="H3786" s="352"/>
      <c r="I3786" s="352"/>
      <c r="J3786" s="352"/>
      <c r="K3786" s="352"/>
      <c r="L3786" s="352"/>
      <c r="M3786" s="352"/>
    </row>
    <row r="3787" spans="5:18">
      <c r="E3787" s="352"/>
      <c r="F3787" s="352"/>
      <c r="G3787" s="352"/>
      <c r="J3787" s="180"/>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2488</v>
      </c>
      <c r="L3790" s="352"/>
      <c r="M3790" s="352"/>
    </row>
    <row r="3791" spans="5:18">
      <c r="E3791" s="352"/>
      <c r="L3791" s="352"/>
      <c r="M3791" s="352"/>
    </row>
    <row r="3792" spans="5:18">
      <c r="E3792" s="352"/>
      <c r="H3792" s="189" t="s">
        <v>2330</v>
      </c>
      <c r="L3792" s="352"/>
      <c r="M3792" s="352"/>
    </row>
    <row r="3793" spans="5:13">
      <c r="E3793" s="352"/>
      <c r="L3793" s="352"/>
      <c r="M3793" s="352"/>
    </row>
    <row r="3794" spans="5:13" ht="157.5">
      <c r="E3794" s="352"/>
      <c r="H3794" s="351" t="s">
        <v>2721</v>
      </c>
      <c r="L3794" s="352"/>
      <c r="M3794" s="352"/>
    </row>
    <row r="3795" spans="5:13" ht="31.5">
      <c r="E3795" s="352"/>
      <c r="F3795" s="352">
        <v>90</v>
      </c>
      <c r="G3795" s="352" t="s">
        <v>842</v>
      </c>
      <c r="H3795" s="273" t="s">
        <v>2586</v>
      </c>
      <c r="I3795" s="352">
        <f>I2843</f>
        <v>16.55</v>
      </c>
      <c r="J3795" s="352" t="s">
        <v>2587</v>
      </c>
      <c r="K3795" s="352">
        <f>F3795*I3795</f>
        <v>1489.5</v>
      </c>
      <c r="L3795" s="352"/>
      <c r="M3795" s="352"/>
    </row>
    <row r="3796" spans="5:13" ht="31.5">
      <c r="E3796" s="352"/>
      <c r="F3796" s="352">
        <v>45</v>
      </c>
      <c r="G3796" s="352" t="s">
        <v>842</v>
      </c>
      <c r="H3796" s="351" t="s">
        <v>2403</v>
      </c>
      <c r="I3796" s="352">
        <f>I2844</f>
        <v>20</v>
      </c>
      <c r="J3796" s="352" t="s">
        <v>2404</v>
      </c>
      <c r="K3796" s="352">
        <f>F3796*I3796</f>
        <v>900</v>
      </c>
      <c r="L3796" s="352"/>
      <c r="M3796" s="352"/>
    </row>
    <row r="3797" spans="5:13">
      <c r="E3797" s="352"/>
      <c r="F3797" s="352">
        <v>20</v>
      </c>
      <c r="G3797" s="352" t="s">
        <v>1419</v>
      </c>
      <c r="H3797" s="352" t="s">
        <v>2405</v>
      </c>
      <c r="I3797" s="352">
        <f>I2845</f>
        <v>3.15</v>
      </c>
      <c r="J3797" s="352" t="s">
        <v>1419</v>
      </c>
      <c r="K3797" s="352">
        <f>F3797*I3797</f>
        <v>63</v>
      </c>
      <c r="L3797" s="352"/>
      <c r="M3797" s="352"/>
    </row>
    <row r="3798" spans="5:13">
      <c r="E3798" s="352"/>
      <c r="F3798" s="352">
        <v>150</v>
      </c>
      <c r="G3798" s="352" t="s">
        <v>1419</v>
      </c>
      <c r="H3798" s="352" t="s">
        <v>2722</v>
      </c>
      <c r="I3798" s="353">
        <v>347</v>
      </c>
      <c r="J3798" s="352" t="s">
        <v>2723</v>
      </c>
      <c r="K3798" s="352">
        <f>(F3798*I3798)/1000</f>
        <v>52.05</v>
      </c>
      <c r="L3798" s="352"/>
      <c r="M3798" s="352"/>
    </row>
    <row r="3799" spans="5:13">
      <c r="E3799" s="352"/>
      <c r="F3799" s="352">
        <v>10</v>
      </c>
      <c r="G3799" s="352" t="s">
        <v>1419</v>
      </c>
      <c r="H3799" s="352" t="s">
        <v>3448</v>
      </c>
      <c r="I3799" s="352">
        <f>I2846</f>
        <v>1.34</v>
      </c>
      <c r="J3799" s="352" t="s">
        <v>1419</v>
      </c>
      <c r="K3799" s="352">
        <f>F3799*I3799</f>
        <v>13.4</v>
      </c>
      <c r="L3799" s="352"/>
      <c r="M3799" s="352"/>
    </row>
    <row r="3800" spans="5:13">
      <c r="E3800" s="352"/>
      <c r="F3800" s="352">
        <v>10</v>
      </c>
      <c r="G3800" s="352" t="s">
        <v>1419</v>
      </c>
      <c r="H3800" s="352" t="s">
        <v>2724</v>
      </c>
      <c r="I3800" s="421">
        <v>44.8</v>
      </c>
      <c r="J3800" s="352" t="s">
        <v>3451</v>
      </c>
      <c r="K3800" s="352">
        <f>(F3800*I3800)/12</f>
        <v>37.33</v>
      </c>
      <c r="L3800" s="352"/>
      <c r="M3800" s="352"/>
    </row>
    <row r="3801" spans="5:13">
      <c r="E3801" s="352"/>
      <c r="F3801" s="355">
        <v>1.4999999999999999E-2</v>
      </c>
      <c r="G3801" s="352" t="s">
        <v>2322</v>
      </c>
      <c r="H3801" s="352" t="s">
        <v>3319</v>
      </c>
      <c r="I3801" s="352">
        <f>I2849</f>
        <v>661</v>
      </c>
      <c r="J3801" s="352" t="s">
        <v>2322</v>
      </c>
      <c r="K3801" s="352">
        <f>F3801*I3801</f>
        <v>9.92</v>
      </c>
      <c r="L3801" s="352"/>
      <c r="M3801" s="352"/>
    </row>
    <row r="3802" spans="5:13">
      <c r="E3802" s="352"/>
      <c r="F3802" s="352">
        <v>10</v>
      </c>
      <c r="G3802" s="352" t="s">
        <v>1419</v>
      </c>
      <c r="H3802" s="352" t="s">
        <v>3320</v>
      </c>
      <c r="I3802" s="352">
        <f>I2850</f>
        <v>16.21</v>
      </c>
      <c r="J3802" s="352" t="s">
        <v>1419</v>
      </c>
      <c r="K3802" s="352">
        <f>(F3802*I3802)</f>
        <v>162.1</v>
      </c>
      <c r="L3802" s="352"/>
      <c r="M3802" s="352"/>
    </row>
    <row r="3803" spans="5:13">
      <c r="E3803" s="352"/>
      <c r="F3803" s="352">
        <v>10</v>
      </c>
      <c r="G3803" s="352" t="s">
        <v>1419</v>
      </c>
      <c r="H3803" s="352" t="s">
        <v>2676</v>
      </c>
      <c r="I3803" s="352">
        <f>I2851</f>
        <v>13.8</v>
      </c>
      <c r="J3803" s="352" t="s">
        <v>1419</v>
      </c>
      <c r="K3803" s="352">
        <f>F3803*I3803</f>
        <v>138</v>
      </c>
      <c r="L3803" s="352"/>
      <c r="M3803" s="352"/>
    </row>
    <row r="3804" spans="5:13">
      <c r="E3804" s="352"/>
      <c r="F3804" s="352">
        <v>1</v>
      </c>
      <c r="G3804" s="352" t="s">
        <v>2684</v>
      </c>
      <c r="H3804" s="352" t="s">
        <v>3929</v>
      </c>
      <c r="I3804" s="353">
        <v>84.1</v>
      </c>
      <c r="J3804" s="352" t="s">
        <v>2684</v>
      </c>
      <c r="K3804" s="352">
        <f>F3804*I3804</f>
        <v>84.1</v>
      </c>
      <c r="L3804" s="352"/>
      <c r="M3804" s="352"/>
    </row>
    <row r="3805" spans="5:13">
      <c r="E3805" s="352"/>
      <c r="F3805" s="352">
        <v>72</v>
      </c>
      <c r="G3805" s="352" t="s">
        <v>1419</v>
      </c>
      <c r="H3805" s="352" t="s">
        <v>3928</v>
      </c>
      <c r="I3805" s="551">
        <v>47.7</v>
      </c>
      <c r="J3805" s="352" t="s">
        <v>2684</v>
      </c>
      <c r="K3805" s="352">
        <f>(F3805*I3805)/144</f>
        <v>23.85</v>
      </c>
      <c r="L3805" s="352"/>
      <c r="M3805" s="352"/>
    </row>
    <row r="3806" spans="5:13">
      <c r="E3806" s="352"/>
      <c r="F3806" s="356">
        <v>0.16666666666666666</v>
      </c>
      <c r="G3806" s="352" t="s">
        <v>2680</v>
      </c>
      <c r="H3806" s="352" t="s">
        <v>395</v>
      </c>
      <c r="I3806" s="421">
        <f>6850/20</f>
        <v>342.5</v>
      </c>
      <c r="J3806" s="352" t="s">
        <v>2680</v>
      </c>
      <c r="K3806" s="352">
        <f t="shared" ref="K3806:K3811" si="105">F3806*I3806</f>
        <v>57.08</v>
      </c>
      <c r="L3806" s="352"/>
      <c r="M3806" s="352"/>
    </row>
    <row r="3807" spans="5:13">
      <c r="E3807" s="352"/>
      <c r="F3807" s="352">
        <v>10</v>
      </c>
      <c r="G3807" s="352" t="s">
        <v>1419</v>
      </c>
      <c r="H3807" s="352" t="s">
        <v>2726</v>
      </c>
      <c r="I3807" s="421">
        <v>16.7</v>
      </c>
      <c r="J3807" s="352" t="s">
        <v>1419</v>
      </c>
      <c r="K3807" s="352">
        <f t="shared" si="105"/>
        <v>167</v>
      </c>
      <c r="L3807" s="352"/>
      <c r="M3807" s="352"/>
    </row>
    <row r="3808" spans="5:13">
      <c r="E3808" s="352"/>
      <c r="F3808" s="352">
        <v>1</v>
      </c>
      <c r="G3808" s="352" t="s">
        <v>1419</v>
      </c>
      <c r="H3808" s="352" t="s">
        <v>3084</v>
      </c>
      <c r="I3808" s="421">
        <v>20.100000000000001</v>
      </c>
      <c r="J3808" s="352" t="s">
        <v>1419</v>
      </c>
      <c r="K3808" s="352">
        <f t="shared" si="105"/>
        <v>20.100000000000001</v>
      </c>
      <c r="L3808" s="352"/>
      <c r="M3808" s="352"/>
    </row>
    <row r="3809" spans="5:13">
      <c r="E3809" s="352"/>
      <c r="F3809" s="352">
        <v>0.1</v>
      </c>
      <c r="G3809" s="352" t="s">
        <v>2322</v>
      </c>
      <c r="H3809" s="352" t="s">
        <v>3085</v>
      </c>
      <c r="I3809" s="352">
        <f>I2855</f>
        <v>661</v>
      </c>
      <c r="J3809" s="352" t="s">
        <v>2322</v>
      </c>
      <c r="K3809" s="352">
        <f t="shared" si="105"/>
        <v>66.099999999999994</v>
      </c>
      <c r="L3809" s="352"/>
      <c r="M3809" s="352"/>
    </row>
    <row r="3810" spans="5:13" ht="31.5">
      <c r="E3810" s="352"/>
      <c r="F3810" s="352">
        <v>45</v>
      </c>
      <c r="G3810" s="352" t="s">
        <v>842</v>
      </c>
      <c r="H3810" s="273" t="s">
        <v>2686</v>
      </c>
      <c r="I3810" s="352">
        <f>I2856</f>
        <v>16.55</v>
      </c>
      <c r="J3810" s="352" t="s">
        <v>3363</v>
      </c>
      <c r="K3810" s="352">
        <f t="shared" si="105"/>
        <v>744.75</v>
      </c>
      <c r="L3810" s="352"/>
      <c r="M3810" s="352"/>
    </row>
    <row r="3811" spans="5:13">
      <c r="E3811" s="352"/>
      <c r="F3811" s="356">
        <v>0.5</v>
      </c>
      <c r="G3811" s="352" t="s">
        <v>55</v>
      </c>
      <c r="H3811" s="273" t="s">
        <v>3602</v>
      </c>
      <c r="I3811" s="421">
        <v>247.4</v>
      </c>
      <c r="J3811" s="352" t="s">
        <v>55</v>
      </c>
      <c r="K3811" s="352">
        <f t="shared" si="105"/>
        <v>123.7</v>
      </c>
      <c r="L3811" s="352"/>
      <c r="M3811" s="352"/>
    </row>
    <row r="3812" spans="5:13">
      <c r="E3812" s="352"/>
      <c r="F3812" s="352">
        <v>10</v>
      </c>
      <c r="G3812" s="352" t="s">
        <v>3367</v>
      </c>
      <c r="H3812" s="352" t="s">
        <v>931</v>
      </c>
      <c r="I3812" s="352"/>
      <c r="J3812" s="352" t="s">
        <v>669</v>
      </c>
      <c r="K3812" s="352">
        <f>K3831</f>
        <v>4828</v>
      </c>
      <c r="L3812" s="352"/>
      <c r="M3812" s="352"/>
    </row>
    <row r="3813" spans="5:13">
      <c r="E3813" s="352"/>
      <c r="F3813" s="352" t="s">
        <v>669</v>
      </c>
      <c r="G3813" s="352"/>
      <c r="H3813" s="352" t="s">
        <v>3086</v>
      </c>
      <c r="I3813" s="352"/>
      <c r="J3813" s="352" t="s">
        <v>669</v>
      </c>
      <c r="K3813" s="352">
        <f>22+0.07</f>
        <v>22.07</v>
      </c>
      <c r="L3813" s="352"/>
      <c r="M3813" s="352"/>
    </row>
    <row r="3814" spans="5:13">
      <c r="E3814" s="352"/>
      <c r="F3814" s="352"/>
      <c r="G3814" s="352"/>
      <c r="H3814" s="357" t="s">
        <v>3366</v>
      </c>
      <c r="I3814" s="352"/>
      <c r="J3814" s="352"/>
      <c r="K3814" s="358">
        <f>SUM(K3795:K3813)</f>
        <v>9002.0499999999993</v>
      </c>
      <c r="L3814" s="352"/>
      <c r="M3814" s="352"/>
    </row>
    <row r="3815" spans="5:13">
      <c r="E3815" s="352"/>
      <c r="F3815" s="352"/>
      <c r="G3815" s="352"/>
      <c r="H3815" s="359" t="s">
        <v>3368</v>
      </c>
      <c r="I3815" s="352"/>
      <c r="J3815" s="352"/>
      <c r="K3815" s="360">
        <f>K3814/10</f>
        <v>900.21</v>
      </c>
      <c r="L3815" s="352">
        <f>K3815-639</f>
        <v>261.20999999999998</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3370</v>
      </c>
      <c r="H3820" s="352"/>
      <c r="I3820" s="352"/>
      <c r="J3820" s="352"/>
      <c r="M3820" s="352"/>
    </row>
    <row r="3821" spans="5:13">
      <c r="E3821" s="352"/>
      <c r="F3821" s="352"/>
      <c r="G3821" s="352"/>
      <c r="H3821" s="352"/>
      <c r="I3821" s="352"/>
      <c r="J3821" s="352"/>
      <c r="M3821" s="352"/>
    </row>
    <row r="3822" spans="5:13">
      <c r="E3822" s="352"/>
      <c r="F3822" s="352"/>
      <c r="G3822" s="360" t="s">
        <v>3446</v>
      </c>
      <c r="H3822" s="352"/>
      <c r="I3822" s="352"/>
      <c r="J3822" s="352"/>
      <c r="M3822" s="352"/>
    </row>
    <row r="3823" spans="5:13">
      <c r="E3823" s="352"/>
      <c r="F3823" s="352"/>
      <c r="G3823" s="352"/>
      <c r="H3823" s="352"/>
      <c r="I3823" s="352"/>
      <c r="J3823" s="352"/>
      <c r="M3823" s="352"/>
    </row>
    <row r="3824" spans="5:13">
      <c r="F3824" s="352">
        <v>1</v>
      </c>
      <c r="G3824" s="352" t="s">
        <v>1419</v>
      </c>
      <c r="H3824" s="352" t="s">
        <v>3372</v>
      </c>
      <c r="I3824" s="352">
        <f>I2866</f>
        <v>898</v>
      </c>
      <c r="J3824" s="352" t="s">
        <v>1419</v>
      </c>
      <c r="K3824" s="352">
        <f>F3824*I3824</f>
        <v>898</v>
      </c>
      <c r="L3824" s="352"/>
      <c r="M3824" s="352"/>
    </row>
    <row r="3825" spans="5:13">
      <c r="F3825" s="352">
        <v>2</v>
      </c>
      <c r="G3825" s="352" t="s">
        <v>1419</v>
      </c>
      <c r="H3825" s="352" t="s">
        <v>3373</v>
      </c>
      <c r="I3825" s="352">
        <f>I2867</f>
        <v>783</v>
      </c>
      <c r="J3825" s="352" t="s">
        <v>1419</v>
      </c>
      <c r="K3825" s="352">
        <f>F3825*I3825</f>
        <v>1566</v>
      </c>
      <c r="L3825" s="352"/>
      <c r="M3825" s="352"/>
    </row>
    <row r="3826" spans="5:13">
      <c r="F3826" s="352">
        <v>3</v>
      </c>
      <c r="G3826" s="352" t="s">
        <v>1419</v>
      </c>
      <c r="H3826" s="352" t="s">
        <v>3374</v>
      </c>
      <c r="I3826" s="352">
        <f>I2868</f>
        <v>778</v>
      </c>
      <c r="J3826" s="352" t="s">
        <v>1419</v>
      </c>
      <c r="K3826" s="352">
        <f>F3826*I3826</f>
        <v>2334</v>
      </c>
      <c r="L3826" s="352"/>
      <c r="M3826" s="352"/>
    </row>
    <row r="3827" spans="5:13">
      <c r="F3827" s="352">
        <v>4</v>
      </c>
      <c r="G3827" s="352" t="s">
        <v>1419</v>
      </c>
      <c r="H3827" s="352" t="s">
        <v>2370</v>
      </c>
      <c r="I3827" s="352">
        <f>I2869</f>
        <v>611</v>
      </c>
      <c r="J3827" s="352" t="s">
        <v>1419</v>
      </c>
      <c r="K3827" s="352">
        <f>F3827*I3827</f>
        <v>2444</v>
      </c>
      <c r="L3827" s="352"/>
      <c r="M3827" s="352"/>
    </row>
    <row r="3828" spans="5:13">
      <c r="F3828" s="352"/>
      <c r="G3828" s="352"/>
      <c r="H3828" s="352"/>
      <c r="I3828" s="352"/>
      <c r="J3828" s="352"/>
      <c r="K3828" s="352"/>
      <c r="L3828" s="352"/>
      <c r="M3828" s="352"/>
    </row>
    <row r="3829" spans="5:13" ht="51">
      <c r="E3829" s="352"/>
      <c r="F3829" s="352"/>
      <c r="G3829" s="180"/>
      <c r="H3829" s="362" t="s">
        <v>2893</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3087</v>
      </c>
      <c r="I3833" s="352"/>
      <c r="J3833" s="352"/>
      <c r="K3833" s="352"/>
      <c r="L3833" s="352"/>
      <c r="M3833" s="352"/>
    </row>
    <row r="3834" spans="5:13">
      <c r="E3834" s="352"/>
      <c r="F3834" s="352"/>
      <c r="G3834" s="352"/>
      <c r="H3834" s="352"/>
      <c r="I3834" s="352"/>
      <c r="J3834" s="352"/>
      <c r="K3834" s="352"/>
      <c r="L3834" s="352"/>
      <c r="M3834" s="352"/>
    </row>
    <row r="3835" spans="5:13" ht="173.25">
      <c r="E3835" s="352"/>
      <c r="F3835" s="352"/>
      <c r="G3835" s="352"/>
      <c r="H3835" s="351" t="s">
        <v>3105</v>
      </c>
      <c r="I3835" s="352"/>
      <c r="J3835" s="352"/>
      <c r="K3835" s="352"/>
      <c r="L3835" s="352"/>
      <c r="M3835" s="352"/>
    </row>
    <row r="3836" spans="5:13">
      <c r="E3836" s="352"/>
      <c r="F3836" s="352"/>
      <c r="G3836" s="352"/>
      <c r="H3836" s="352" t="s">
        <v>2493</v>
      </c>
      <c r="I3836" s="352"/>
      <c r="J3836" s="352"/>
      <c r="K3836" s="352">
        <f>K3814-K3813</f>
        <v>8979.98</v>
      </c>
      <c r="L3836" s="352"/>
      <c r="M3836" s="352"/>
    </row>
    <row r="3837" spans="5:13">
      <c r="E3837" s="352"/>
      <c r="F3837" s="352"/>
      <c r="G3837" s="352"/>
      <c r="H3837" s="352" t="s">
        <v>2494</v>
      </c>
      <c r="I3837" s="352"/>
      <c r="J3837" s="352"/>
      <c r="K3837" s="352">
        <f>K3803</f>
        <v>138</v>
      </c>
      <c r="L3837" s="352"/>
      <c r="M3837" s="352"/>
    </row>
    <row r="3838" spans="5:13">
      <c r="E3838" s="352"/>
      <c r="F3838" s="352"/>
      <c r="G3838" s="352"/>
      <c r="H3838" s="352" t="s">
        <v>3780</v>
      </c>
      <c r="I3838" s="352"/>
      <c r="J3838" s="352"/>
      <c r="K3838" s="421">
        <f>10*20.2</f>
        <v>202</v>
      </c>
      <c r="L3838" s="352"/>
      <c r="M3838" s="352"/>
    </row>
    <row r="3839" spans="5:13">
      <c r="E3839" s="352"/>
      <c r="F3839" s="352"/>
      <c r="G3839" s="352"/>
      <c r="H3839" s="352" t="s">
        <v>2310</v>
      </c>
      <c r="I3839" s="352"/>
      <c r="J3839" s="352"/>
      <c r="K3839" s="352">
        <v>22.11</v>
      </c>
      <c r="L3839" s="352"/>
      <c r="M3839" s="352"/>
    </row>
    <row r="3840" spans="5:13">
      <c r="E3840" s="352"/>
      <c r="F3840" s="352"/>
      <c r="G3840" s="352"/>
      <c r="H3840" s="357" t="s">
        <v>2472</v>
      </c>
      <c r="I3840" s="352"/>
      <c r="J3840" s="352"/>
      <c r="K3840" s="358">
        <f>K3836-K3837+K3838+K3839</f>
        <v>9066.09</v>
      </c>
      <c r="L3840" s="352"/>
      <c r="M3840" s="352"/>
    </row>
    <row r="3841" spans="5:14">
      <c r="E3841" s="352"/>
      <c r="F3841" s="352"/>
      <c r="G3841" s="352"/>
      <c r="H3841" s="359" t="s">
        <v>2473</v>
      </c>
      <c r="I3841" s="352"/>
      <c r="J3841" s="352"/>
      <c r="K3841" s="360">
        <f>K3840/10</f>
        <v>906.61</v>
      </c>
      <c r="L3841" s="352"/>
      <c r="M3841" s="352"/>
    </row>
    <row r="3842" spans="5:14">
      <c r="E3842" s="352"/>
      <c r="F3842" s="352"/>
      <c r="G3842" s="352"/>
      <c r="H3842" s="352"/>
      <c r="I3842" s="352"/>
      <c r="J3842" s="352"/>
      <c r="K3842" s="352"/>
      <c r="L3842" s="352"/>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7.25">
      <c r="E3845" s="352"/>
      <c r="F3845" s="352"/>
      <c r="G3845" s="352"/>
      <c r="H3845" s="350" t="s">
        <v>3447</v>
      </c>
      <c r="I3845" s="352"/>
      <c r="J3845" s="352"/>
      <c r="K3845" s="352"/>
      <c r="L3845" s="352"/>
      <c r="M3845" s="352"/>
    </row>
    <row r="3846" spans="5:14">
      <c r="E3846" s="352"/>
      <c r="F3846" s="352"/>
      <c r="G3846" s="352"/>
      <c r="H3846" s="352"/>
      <c r="I3846" s="352"/>
      <c r="J3846" s="352"/>
      <c r="K3846" s="352"/>
      <c r="L3846" s="352"/>
      <c r="M3846" s="352"/>
    </row>
    <row r="3847" spans="5:14" ht="173.25">
      <c r="E3847" s="352"/>
      <c r="F3847" s="352"/>
      <c r="G3847" s="352"/>
      <c r="H3847" s="351" t="s">
        <v>3434</v>
      </c>
      <c r="I3847" s="352"/>
      <c r="J3847" s="352"/>
      <c r="K3847" s="352"/>
      <c r="L3847" s="352"/>
      <c r="M3847" s="352"/>
    </row>
    <row r="3848" spans="5:14">
      <c r="E3848" s="352"/>
      <c r="F3848" s="352"/>
      <c r="G3848" s="352"/>
      <c r="H3848" s="352" t="s">
        <v>3456</v>
      </c>
      <c r="I3848" s="352"/>
      <c r="J3848" s="352"/>
      <c r="K3848" s="352">
        <f>K3836</f>
        <v>8979.98</v>
      </c>
      <c r="L3848" s="352"/>
      <c r="M3848" s="352"/>
    </row>
    <row r="3849" spans="5:14">
      <c r="E3849" s="352"/>
      <c r="F3849" s="352"/>
      <c r="G3849" s="352"/>
      <c r="H3849" s="352" t="s">
        <v>3043</v>
      </c>
      <c r="I3849" s="352"/>
      <c r="J3849" s="352"/>
      <c r="K3849" s="352">
        <f>K3837</f>
        <v>138</v>
      </c>
      <c r="L3849" s="352"/>
      <c r="M3849" s="352"/>
    </row>
    <row r="3850" spans="5:14">
      <c r="E3850" s="352"/>
      <c r="F3850" s="352"/>
      <c r="G3850" s="352"/>
      <c r="H3850" s="352" t="s">
        <v>3044</v>
      </c>
      <c r="I3850" s="352"/>
      <c r="J3850" s="352"/>
      <c r="K3850" s="352">
        <f>K2892</f>
        <v>36</v>
      </c>
      <c r="L3850" s="352"/>
      <c r="M3850" s="352"/>
    </row>
    <row r="3851" spans="5:14">
      <c r="E3851" s="352"/>
      <c r="F3851" s="352"/>
      <c r="G3851" s="352"/>
      <c r="H3851" s="352" t="s">
        <v>3045</v>
      </c>
      <c r="I3851" s="352"/>
      <c r="J3851" s="352"/>
      <c r="K3851" s="352">
        <f>K2893</f>
        <v>162.1</v>
      </c>
      <c r="L3851" s="352"/>
      <c r="M3851" s="352"/>
    </row>
    <row r="3852" spans="5:14">
      <c r="E3852" s="352"/>
      <c r="F3852" s="352"/>
      <c r="G3852" s="352"/>
      <c r="H3852" s="352" t="s">
        <v>3776</v>
      </c>
      <c r="I3852" s="352"/>
      <c r="J3852" s="352"/>
      <c r="K3852" s="421">
        <f>50.4*10</f>
        <v>504</v>
      </c>
      <c r="L3852" s="352"/>
      <c r="M3852" s="352"/>
      <c r="N3852" s="180">
        <f>50.4*10</f>
        <v>504</v>
      </c>
    </row>
    <row r="3853" spans="5:14">
      <c r="E3853" s="352"/>
      <c r="F3853" s="352"/>
      <c r="G3853" s="352"/>
      <c r="H3853" s="352" t="s">
        <v>3927</v>
      </c>
      <c r="I3853" s="352"/>
      <c r="J3853" s="352"/>
      <c r="K3853" s="421">
        <f>10*17.25</f>
        <v>172.5</v>
      </c>
      <c r="L3853" s="352"/>
      <c r="M3853" s="352"/>
    </row>
    <row r="3854" spans="5:14">
      <c r="E3854" s="352"/>
      <c r="F3854" s="352"/>
      <c r="G3854" s="352"/>
      <c r="H3854" s="352" t="s">
        <v>3777</v>
      </c>
      <c r="I3854" s="352"/>
      <c r="J3854" s="352"/>
      <c r="K3854" s="421">
        <f>20.1*10</f>
        <v>201</v>
      </c>
      <c r="L3854" s="352"/>
      <c r="M3854" s="352"/>
    </row>
    <row r="3855" spans="5:14">
      <c r="E3855" s="352"/>
      <c r="F3855" s="352"/>
      <c r="G3855" s="352"/>
      <c r="H3855" s="352" t="s">
        <v>2310</v>
      </c>
      <c r="I3855" s="352"/>
      <c r="J3855" s="352"/>
      <c r="K3855" s="352">
        <v>16.41</v>
      </c>
      <c r="L3855" s="352"/>
      <c r="M3855" s="352"/>
    </row>
    <row r="3856" spans="5:14">
      <c r="E3856" s="352"/>
      <c r="F3856" s="352"/>
      <c r="G3856" s="352"/>
      <c r="H3856" s="357" t="s">
        <v>2472</v>
      </c>
      <c r="I3856" s="352"/>
      <c r="J3856" s="352"/>
      <c r="K3856" s="358">
        <f>(K3848-K3849-K3850-K3851)+(K3852+K3853+K3854+K3855)</f>
        <v>9537.7900000000009</v>
      </c>
      <c r="L3856" s="352"/>
      <c r="M3856" s="352"/>
      <c r="N3856" s="180">
        <f>17.25*10</f>
        <v>172.5</v>
      </c>
    </row>
    <row r="3857" spans="5:13">
      <c r="E3857" s="352"/>
      <c r="F3857" s="352"/>
      <c r="G3857" s="352"/>
      <c r="H3857" s="359" t="s">
        <v>3220</v>
      </c>
      <c r="I3857" s="352"/>
      <c r="J3857" s="352"/>
      <c r="K3857" s="360">
        <f>K3856/10</f>
        <v>953.78</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31.5">
      <c r="E3863" s="352"/>
      <c r="F3863" s="352"/>
      <c r="G3863" s="352"/>
      <c r="H3863" s="350" t="s">
        <v>2945</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73.25">
      <c r="E3868" s="352"/>
      <c r="F3868" s="352"/>
      <c r="G3868" s="352"/>
      <c r="H3868" s="351" t="s">
        <v>2891</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2493</v>
      </c>
      <c r="I3872" s="352"/>
      <c r="J3872" s="352"/>
      <c r="K3872" s="352">
        <f>K3814</f>
        <v>9002.0499999999993</v>
      </c>
      <c r="L3872" s="352"/>
      <c r="M3872" s="352"/>
    </row>
    <row r="3873" spans="5:13">
      <c r="E3873" s="352"/>
      <c r="F3873" s="352"/>
      <c r="G3873" s="352"/>
      <c r="H3873" s="352" t="s">
        <v>3782</v>
      </c>
      <c r="I3873" s="352"/>
      <c r="J3873" s="352"/>
      <c r="K3873" s="352">
        <f>K3807</f>
        <v>167</v>
      </c>
      <c r="L3873" s="352"/>
      <c r="M3873" s="352"/>
    </row>
    <row r="3874" spans="5:13">
      <c r="E3874" s="352"/>
      <c r="F3874" s="352"/>
      <c r="G3874" s="352"/>
      <c r="H3874" s="352" t="s">
        <v>2863</v>
      </c>
      <c r="I3874" s="352"/>
      <c r="J3874" s="352"/>
      <c r="K3874" s="352">
        <f>K3809</f>
        <v>66.099999999999994</v>
      </c>
      <c r="L3874" s="352"/>
      <c r="M3874" s="352"/>
    </row>
    <row r="3875" spans="5:13">
      <c r="E3875" s="352"/>
      <c r="F3875" s="352"/>
      <c r="G3875" s="352"/>
      <c r="H3875" s="352" t="s">
        <v>3783</v>
      </c>
      <c r="I3875" s="352"/>
      <c r="J3875" s="352"/>
      <c r="K3875" s="421">
        <f>84.2*10</f>
        <v>842</v>
      </c>
      <c r="L3875" s="352"/>
      <c r="M3875" s="352"/>
    </row>
    <row r="3876" spans="5:13">
      <c r="E3876" s="352"/>
      <c r="F3876" s="352"/>
      <c r="G3876" s="352"/>
      <c r="H3876" s="352" t="s">
        <v>3784</v>
      </c>
      <c r="I3876" s="352"/>
      <c r="J3876" s="352"/>
      <c r="K3876" s="421">
        <f>0.6*685</f>
        <v>411</v>
      </c>
      <c r="L3876" s="352"/>
      <c r="M3876" s="352"/>
    </row>
    <row r="3877" spans="5:13">
      <c r="E3877" s="352"/>
      <c r="F3877" s="352"/>
      <c r="G3877" s="352"/>
      <c r="H3877" s="352" t="s">
        <v>3088</v>
      </c>
      <c r="I3877" s="352"/>
      <c r="J3877" s="352"/>
      <c r="K3877" s="352">
        <v>12.5</v>
      </c>
      <c r="L3877" s="352"/>
      <c r="M3877" s="352"/>
    </row>
    <row r="3878" spans="5:13">
      <c r="E3878" s="352"/>
      <c r="F3878" s="352"/>
      <c r="G3878" s="352"/>
      <c r="H3878" s="357" t="s">
        <v>2472</v>
      </c>
      <c r="I3878" s="352"/>
      <c r="J3878" s="352"/>
      <c r="K3878" s="358">
        <f>K3872-K3873-K3874+K3875+K3876+K3877</f>
        <v>10034.450000000001</v>
      </c>
      <c r="L3878" s="352"/>
      <c r="M3878" s="352"/>
    </row>
    <row r="3879" spans="5:13">
      <c r="E3879" s="352"/>
      <c r="F3879" s="352"/>
      <c r="G3879" s="352"/>
      <c r="H3879" s="359" t="s">
        <v>2473</v>
      </c>
      <c r="I3879" s="352"/>
      <c r="J3879" s="352"/>
      <c r="K3879" s="360">
        <f>K3878/10</f>
        <v>1003.45</v>
      </c>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31.5">
      <c r="E3883" s="352"/>
      <c r="F3883" s="352"/>
      <c r="G3883" s="352"/>
      <c r="H3883" s="350" t="s">
        <v>3037</v>
      </c>
      <c r="I3883" s="352"/>
      <c r="J3883" s="352"/>
      <c r="K3883" s="352"/>
      <c r="L3883" s="352"/>
      <c r="M3883" s="352"/>
    </row>
    <row r="3884" spans="5:13" ht="189" customHeight="1">
      <c r="E3884" s="352"/>
      <c r="F3884" s="352"/>
      <c r="G3884" s="352"/>
      <c r="H3884" s="351" t="s">
        <v>3033</v>
      </c>
      <c r="I3884" s="352"/>
      <c r="J3884" s="352"/>
      <c r="K3884" s="352"/>
      <c r="L3884" s="352"/>
      <c r="M3884" s="352"/>
    </row>
    <row r="3885" spans="5:13" ht="31.5">
      <c r="E3885" s="352"/>
      <c r="F3885" s="352">
        <v>90</v>
      </c>
      <c r="G3885" s="352" t="s">
        <v>842</v>
      </c>
      <c r="H3885" s="273" t="s">
        <v>2586</v>
      </c>
      <c r="I3885" s="352">
        <f>I3049</f>
        <v>16.55</v>
      </c>
      <c r="J3885" s="352" t="s">
        <v>2587</v>
      </c>
      <c r="K3885" s="352">
        <f t="shared" ref="K3885:K3895" si="106">F3885*I3885</f>
        <v>1489.5</v>
      </c>
      <c r="L3885" s="352"/>
      <c r="M3885" s="352"/>
    </row>
    <row r="3886" spans="5:13" ht="31.5">
      <c r="E3886" s="352"/>
      <c r="F3886" s="352">
        <v>30</v>
      </c>
      <c r="G3886" s="352" t="s">
        <v>842</v>
      </c>
      <c r="H3886" s="351" t="s">
        <v>2403</v>
      </c>
      <c r="I3886" s="352">
        <f>I3050</f>
        <v>20</v>
      </c>
      <c r="J3886" s="352" t="s">
        <v>842</v>
      </c>
      <c r="K3886" s="352">
        <f t="shared" si="106"/>
        <v>600</v>
      </c>
      <c r="L3886" s="352"/>
      <c r="M3886" s="352"/>
    </row>
    <row r="3887" spans="5:13">
      <c r="E3887" s="352"/>
      <c r="F3887" s="352">
        <v>10</v>
      </c>
      <c r="G3887" s="352" t="s">
        <v>1419</v>
      </c>
      <c r="H3887" s="352" t="s">
        <v>2405</v>
      </c>
      <c r="I3887" s="352">
        <f>I3051</f>
        <v>3.15</v>
      </c>
      <c r="J3887" s="352" t="s">
        <v>1419</v>
      </c>
      <c r="K3887" s="352">
        <f t="shared" si="106"/>
        <v>31.5</v>
      </c>
      <c r="L3887" s="352"/>
      <c r="M3887" s="352"/>
    </row>
    <row r="3888" spans="5:13">
      <c r="E3888" s="352"/>
      <c r="F3888" s="352">
        <v>5</v>
      </c>
      <c r="G3888" s="352" t="s">
        <v>1419</v>
      </c>
      <c r="H3888" s="352" t="s">
        <v>3448</v>
      </c>
      <c r="I3888" s="352">
        <f>I3052</f>
        <v>1.34</v>
      </c>
      <c r="J3888" s="352" t="s">
        <v>1419</v>
      </c>
      <c r="K3888" s="352">
        <f t="shared" si="106"/>
        <v>6.7</v>
      </c>
      <c r="L3888" s="352"/>
      <c r="M3888" s="352"/>
    </row>
    <row r="3889" spans="5:13">
      <c r="E3889" s="352"/>
      <c r="F3889" s="352">
        <v>10</v>
      </c>
      <c r="G3889" s="352" t="s">
        <v>1419</v>
      </c>
      <c r="H3889" s="352" t="s">
        <v>2490</v>
      </c>
      <c r="I3889" s="352">
        <f>I3053</f>
        <v>19.75</v>
      </c>
      <c r="J3889" s="352" t="s">
        <v>1419</v>
      </c>
      <c r="K3889" s="352">
        <f t="shared" si="106"/>
        <v>197.5</v>
      </c>
      <c r="L3889" s="352"/>
      <c r="M3889" s="352"/>
    </row>
    <row r="3890" spans="5:13">
      <c r="E3890" s="352"/>
      <c r="F3890" s="352">
        <v>5</v>
      </c>
      <c r="G3890" s="352" t="s">
        <v>1419</v>
      </c>
      <c r="H3890" s="352" t="s">
        <v>3034</v>
      </c>
      <c r="I3890" s="352">
        <v>2.5</v>
      </c>
      <c r="J3890" s="352" t="s">
        <v>1423</v>
      </c>
      <c r="K3890" s="352">
        <f t="shared" si="106"/>
        <v>12.5</v>
      </c>
      <c r="L3890" s="352"/>
      <c r="M3890" s="352"/>
    </row>
    <row r="3891" spans="5:13">
      <c r="E3891" s="352"/>
      <c r="F3891" s="352">
        <v>5</v>
      </c>
      <c r="G3891" s="352" t="s">
        <v>1419</v>
      </c>
      <c r="H3891" s="352" t="s">
        <v>2676</v>
      </c>
      <c r="I3891" s="352">
        <f>I3054</f>
        <v>13.8</v>
      </c>
      <c r="J3891" s="352" t="s">
        <v>1419</v>
      </c>
      <c r="K3891" s="352">
        <f t="shared" si="106"/>
        <v>69</v>
      </c>
      <c r="L3891" s="352"/>
      <c r="M3891" s="352"/>
    </row>
    <row r="3892" spans="5:13">
      <c r="E3892" s="352"/>
      <c r="F3892" s="355">
        <v>0.09</v>
      </c>
      <c r="G3892" s="352" t="s">
        <v>2322</v>
      </c>
      <c r="H3892" s="352" t="s">
        <v>2599</v>
      </c>
      <c r="I3892" s="352">
        <f>I3057</f>
        <v>661</v>
      </c>
      <c r="J3892" s="352" t="s">
        <v>2322</v>
      </c>
      <c r="K3892" s="352">
        <f t="shared" si="106"/>
        <v>59.49</v>
      </c>
      <c r="L3892" s="352"/>
      <c r="M3892" s="352"/>
    </row>
    <row r="3893" spans="5:13">
      <c r="E3893" s="352"/>
      <c r="F3893" s="352">
        <v>1</v>
      </c>
      <c r="G3893" s="352" t="s">
        <v>2680</v>
      </c>
      <c r="H3893" s="352" t="s">
        <v>395</v>
      </c>
      <c r="I3893" s="421">
        <f>6850/20</f>
        <v>342.5</v>
      </c>
      <c r="J3893" s="352" t="s">
        <v>2680</v>
      </c>
      <c r="K3893" s="352">
        <f t="shared" si="106"/>
        <v>342.5</v>
      </c>
      <c r="L3893" s="352"/>
      <c r="M3893" s="352">
        <f>1000/50</f>
        <v>20</v>
      </c>
    </row>
    <row r="3894" spans="5:13">
      <c r="E3894" s="352"/>
      <c r="F3894" s="352">
        <v>6</v>
      </c>
      <c r="G3894" s="352" t="s">
        <v>1419</v>
      </c>
      <c r="H3894" s="352" t="s">
        <v>3035</v>
      </c>
      <c r="I3894" s="421">
        <v>20.100000000000001</v>
      </c>
      <c r="J3894" s="352" t="s">
        <v>1423</v>
      </c>
      <c r="K3894" s="352">
        <f t="shared" si="106"/>
        <v>120.6</v>
      </c>
      <c r="L3894" s="352"/>
      <c r="M3894" s="352"/>
    </row>
    <row r="3895" spans="5:13" ht="31.5">
      <c r="E3895" s="352"/>
      <c r="F3895" s="352">
        <v>30</v>
      </c>
      <c r="G3895" s="352" t="s">
        <v>842</v>
      </c>
      <c r="H3895" s="273" t="s">
        <v>2686</v>
      </c>
      <c r="I3895" s="352">
        <f>I3885</f>
        <v>16.55</v>
      </c>
      <c r="J3895" s="352" t="s">
        <v>2587</v>
      </c>
      <c r="K3895" s="352">
        <f t="shared" si="106"/>
        <v>496.5</v>
      </c>
      <c r="L3895" s="352"/>
      <c r="M3895" s="352"/>
    </row>
    <row r="3896" spans="5:13">
      <c r="E3896" s="352"/>
      <c r="F3896" s="352"/>
      <c r="G3896" s="352"/>
      <c r="H3896" s="352" t="s">
        <v>931</v>
      </c>
      <c r="I3896" s="352"/>
      <c r="J3896" s="352"/>
      <c r="K3896" s="352">
        <f>K3829</f>
        <v>7242</v>
      </c>
      <c r="L3896" s="352"/>
      <c r="M3896" s="352"/>
    </row>
    <row r="3897" spans="5:13">
      <c r="E3897" s="352"/>
      <c r="F3897" s="352"/>
      <c r="G3897" s="352"/>
      <c r="H3897" s="352" t="s">
        <v>2310</v>
      </c>
      <c r="I3897" s="352"/>
      <c r="J3897" s="352"/>
      <c r="K3897" s="352">
        <v>8.3000000000000007</v>
      </c>
      <c r="L3897" s="352"/>
      <c r="M3897" s="352"/>
    </row>
    <row r="3898" spans="5:13">
      <c r="E3898" s="352"/>
      <c r="F3898" s="352"/>
      <c r="G3898" s="352"/>
      <c r="H3898" s="357" t="s">
        <v>2600</v>
      </c>
      <c r="I3898" s="352"/>
      <c r="J3898" s="352"/>
      <c r="K3898" s="358">
        <f>SUM(K3885:K3897)</f>
        <v>10676.09</v>
      </c>
      <c r="L3898" s="352"/>
      <c r="M3898" s="352"/>
    </row>
    <row r="3899" spans="5:13">
      <c r="E3899" s="352"/>
      <c r="F3899" s="352"/>
      <c r="G3899" s="352"/>
      <c r="H3899" s="359" t="s">
        <v>3220</v>
      </c>
      <c r="I3899" s="352"/>
      <c r="J3899" s="352"/>
      <c r="K3899" s="360">
        <f>K3898/5</f>
        <v>2135.2199999999998</v>
      </c>
      <c r="L3899" s="352"/>
      <c r="M3899" s="352"/>
    </row>
    <row r="3900" spans="5:13">
      <c r="E3900" s="352"/>
      <c r="F3900" s="352"/>
      <c r="G3900" s="352"/>
      <c r="H3900" s="360"/>
      <c r="I3900" s="352"/>
      <c r="J3900" s="352"/>
      <c r="K3900" s="352"/>
      <c r="L3900" s="352"/>
      <c r="M3900" s="352"/>
    </row>
    <row r="3901" spans="5:13">
      <c r="E3901" s="352"/>
      <c r="F3901" s="352"/>
      <c r="G3901" s="352"/>
      <c r="H3901" s="360" t="s">
        <v>1545</v>
      </c>
      <c r="I3901" s="352"/>
      <c r="J3901" s="352"/>
      <c r="K3901" s="352"/>
      <c r="L3901" s="352"/>
      <c r="M3901" s="352"/>
    </row>
    <row r="3902" spans="5:13">
      <c r="E3902" s="352"/>
      <c r="F3902" s="352"/>
      <c r="G3902" s="352"/>
      <c r="H3902" s="352"/>
      <c r="I3902" s="352"/>
      <c r="J3902" s="352"/>
      <c r="K3902" s="352"/>
      <c r="L3902" s="352"/>
      <c r="M3902" s="352"/>
    </row>
    <row r="3903" spans="5:13" ht="157.5">
      <c r="E3903" s="352"/>
      <c r="F3903" s="352"/>
      <c r="G3903" s="352"/>
      <c r="H3903" s="351" t="s">
        <v>2770</v>
      </c>
      <c r="I3903" s="352"/>
      <c r="J3903" s="352"/>
      <c r="K3903" s="352"/>
      <c r="L3903" s="352"/>
      <c r="M3903" s="352"/>
    </row>
    <row r="3904" spans="5:13" ht="31.5">
      <c r="E3904" s="352"/>
      <c r="F3904" s="352">
        <v>90</v>
      </c>
      <c r="G3904" s="352" t="s">
        <v>842</v>
      </c>
      <c r="H3904" s="273" t="s">
        <v>2586</v>
      </c>
      <c r="I3904" s="352">
        <f t="shared" ref="I3904:I3914" si="107">I2951</f>
        <v>16.55</v>
      </c>
      <c r="J3904" s="352" t="s">
        <v>3363</v>
      </c>
      <c r="K3904" s="352">
        <f t="shared" ref="K3904:K3914" si="108">F3904*I3904</f>
        <v>1489.5</v>
      </c>
      <c r="L3904" s="352"/>
      <c r="M3904" s="352"/>
    </row>
    <row r="3905" spans="5:13" ht="31.5">
      <c r="E3905" s="352"/>
      <c r="F3905" s="352">
        <v>45</v>
      </c>
      <c r="G3905" s="352" t="s">
        <v>842</v>
      </c>
      <c r="H3905" s="351" t="s">
        <v>2403</v>
      </c>
      <c r="I3905" s="352">
        <f t="shared" si="107"/>
        <v>20</v>
      </c>
      <c r="J3905" s="352" t="s">
        <v>842</v>
      </c>
      <c r="K3905" s="352">
        <f t="shared" si="108"/>
        <v>900</v>
      </c>
      <c r="L3905" s="352"/>
      <c r="M3905" s="352"/>
    </row>
    <row r="3906" spans="5:13">
      <c r="E3906" s="352"/>
      <c r="F3906" s="352">
        <v>20</v>
      </c>
      <c r="G3906" s="352" t="s">
        <v>1419</v>
      </c>
      <c r="H3906" s="352" t="s">
        <v>2405</v>
      </c>
      <c r="I3906" s="352">
        <f t="shared" si="107"/>
        <v>3.15</v>
      </c>
      <c r="J3906" s="352" t="s">
        <v>3451</v>
      </c>
      <c r="K3906" s="352">
        <f t="shared" si="108"/>
        <v>63</v>
      </c>
      <c r="L3906" s="352"/>
      <c r="M3906" s="352"/>
    </row>
    <row r="3907" spans="5:13">
      <c r="E3907" s="352"/>
      <c r="F3907" s="352">
        <v>10</v>
      </c>
      <c r="G3907" s="352" t="s">
        <v>1419</v>
      </c>
      <c r="H3907" s="352" t="s">
        <v>3448</v>
      </c>
      <c r="I3907" s="352">
        <f t="shared" si="107"/>
        <v>1.34</v>
      </c>
      <c r="J3907" s="352" t="s">
        <v>3451</v>
      </c>
      <c r="K3907" s="352">
        <f t="shared" si="108"/>
        <v>13.4</v>
      </c>
      <c r="L3907" s="352"/>
      <c r="M3907" s="352"/>
    </row>
    <row r="3908" spans="5:13" s="424" customFormat="1">
      <c r="E3908" s="423"/>
      <c r="F3908" s="780">
        <v>1</v>
      </c>
      <c r="G3908" s="780" t="s">
        <v>1419</v>
      </c>
      <c r="H3908" s="360" t="s">
        <v>3940</v>
      </c>
      <c r="I3908" s="780">
        <f>I2955</f>
        <v>58</v>
      </c>
      <c r="J3908" s="780" t="s">
        <v>1419</v>
      </c>
      <c r="K3908" s="780">
        <f t="shared" si="108"/>
        <v>58</v>
      </c>
      <c r="L3908" s="423"/>
      <c r="M3908" s="423"/>
    </row>
    <row r="3909" spans="5:13">
      <c r="E3909" s="352"/>
      <c r="F3909" s="355">
        <v>1.4999999999999999E-2</v>
      </c>
      <c r="G3909" s="352" t="s">
        <v>2322</v>
      </c>
      <c r="H3909" s="352" t="s">
        <v>2599</v>
      </c>
      <c r="I3909" s="352">
        <f t="shared" si="107"/>
        <v>661</v>
      </c>
      <c r="J3909" s="352" t="s">
        <v>2322</v>
      </c>
      <c r="K3909" s="352">
        <f t="shared" si="108"/>
        <v>9.92</v>
      </c>
      <c r="L3909" s="352"/>
      <c r="M3909" s="352"/>
    </row>
    <row r="3910" spans="5:13">
      <c r="E3910" s="352"/>
      <c r="F3910" s="352">
        <v>15</v>
      </c>
      <c r="G3910" s="352" t="s">
        <v>1419</v>
      </c>
      <c r="H3910" s="352" t="s">
        <v>2771</v>
      </c>
      <c r="I3910" s="352">
        <f t="shared" si="107"/>
        <v>40.31</v>
      </c>
      <c r="J3910" s="352" t="s">
        <v>1419</v>
      </c>
      <c r="K3910" s="352">
        <f t="shared" si="108"/>
        <v>604.65</v>
      </c>
      <c r="L3910" s="352"/>
      <c r="M3910" s="352"/>
    </row>
    <row r="3911" spans="5:13">
      <c r="E3911" s="352"/>
      <c r="F3911" s="421">
        <v>15</v>
      </c>
      <c r="G3911" s="421" t="s">
        <v>1419</v>
      </c>
      <c r="H3911" s="421" t="str">
        <f>H3908</f>
        <v>6" PVC Electrical Box (150mm)</v>
      </c>
      <c r="I3911" s="781">
        <f>I3908</f>
        <v>58</v>
      </c>
      <c r="J3911" s="421" t="s">
        <v>1419</v>
      </c>
      <c r="K3911" s="421">
        <f t="shared" si="108"/>
        <v>870</v>
      </c>
      <c r="L3911" s="352"/>
      <c r="M3911" s="352"/>
    </row>
    <row r="3912" spans="5:13">
      <c r="E3912" s="352"/>
      <c r="F3912" s="355">
        <v>0.22500000000000001</v>
      </c>
      <c r="G3912" s="352" t="s">
        <v>2322</v>
      </c>
      <c r="H3912" s="352" t="s">
        <v>2599</v>
      </c>
      <c r="I3912" s="352">
        <f t="shared" si="107"/>
        <v>661</v>
      </c>
      <c r="J3912" s="352" t="s">
        <v>2772</v>
      </c>
      <c r="K3912" s="352">
        <f t="shared" si="108"/>
        <v>148.72999999999999</v>
      </c>
      <c r="L3912" s="352"/>
      <c r="M3912" s="352"/>
    </row>
    <row r="3913" spans="5:13">
      <c r="E3913" s="352"/>
      <c r="F3913" s="352">
        <v>1.25</v>
      </c>
      <c r="G3913" s="352" t="s">
        <v>2680</v>
      </c>
      <c r="H3913" s="352" t="s">
        <v>395</v>
      </c>
      <c r="I3913" s="352">
        <f t="shared" si="107"/>
        <v>302</v>
      </c>
      <c r="J3913" s="352" t="s">
        <v>2680</v>
      </c>
      <c r="K3913" s="352">
        <f t="shared" si="108"/>
        <v>377.5</v>
      </c>
      <c r="L3913" s="352"/>
      <c r="M3913" s="352"/>
    </row>
    <row r="3914" spans="5:13" ht="31.5">
      <c r="E3914" s="352"/>
      <c r="F3914" s="352">
        <v>45</v>
      </c>
      <c r="G3914" s="352" t="s">
        <v>2322</v>
      </c>
      <c r="H3914" s="273" t="s">
        <v>2686</v>
      </c>
      <c r="I3914" s="352">
        <f t="shared" si="107"/>
        <v>16.55</v>
      </c>
      <c r="J3914" s="352" t="s">
        <v>3363</v>
      </c>
      <c r="K3914" s="352">
        <f t="shared" si="108"/>
        <v>744.75</v>
      </c>
      <c r="L3914" s="352"/>
      <c r="M3914" s="352"/>
    </row>
    <row r="3915" spans="5:13">
      <c r="E3915" s="352"/>
      <c r="F3915" s="352"/>
      <c r="G3915" s="352"/>
      <c r="H3915" s="352" t="s">
        <v>931</v>
      </c>
      <c r="I3915" s="352"/>
      <c r="J3915" s="352"/>
      <c r="K3915" s="352">
        <f>K3831</f>
        <v>4828</v>
      </c>
      <c r="L3915" s="352"/>
      <c r="M3915" s="352"/>
    </row>
    <row r="3916" spans="5:13">
      <c r="E3916" s="352"/>
      <c r="F3916" s="352"/>
      <c r="G3916" s="352"/>
      <c r="H3916" s="352" t="s">
        <v>2310</v>
      </c>
      <c r="I3916" s="352"/>
      <c r="J3916" s="352"/>
      <c r="K3916" s="352">
        <v>30.66</v>
      </c>
      <c r="L3916" s="352"/>
      <c r="M3916" s="352"/>
    </row>
    <row r="3917" spans="5:13">
      <c r="E3917" s="352"/>
      <c r="F3917" s="352"/>
      <c r="G3917" s="352"/>
      <c r="H3917" s="357" t="s">
        <v>2773</v>
      </c>
      <c r="I3917" s="352"/>
      <c r="J3917" s="352"/>
      <c r="K3917" s="358">
        <f>SUM(K3904:K3916)</f>
        <v>10138.11</v>
      </c>
      <c r="L3917" s="352"/>
      <c r="M3917" s="352"/>
    </row>
    <row r="3918" spans="5:13">
      <c r="E3918" s="352"/>
      <c r="F3918" s="352"/>
      <c r="G3918" s="352"/>
      <c r="H3918" s="359" t="s">
        <v>3220</v>
      </c>
      <c r="I3918" s="352"/>
      <c r="J3918" s="352"/>
      <c r="K3918" s="360">
        <f>K3917/15</f>
        <v>675.87</v>
      </c>
      <c r="L3918" s="352">
        <f>537*15</f>
        <v>8055</v>
      </c>
      <c r="M3918" s="352"/>
    </row>
    <row r="3919" spans="5:13">
      <c r="E3919" s="352"/>
      <c r="F3919" s="352"/>
      <c r="G3919" s="352"/>
      <c r="H3919" s="360" t="s">
        <v>931</v>
      </c>
      <c r="I3919" s="352"/>
      <c r="J3919" s="352"/>
      <c r="K3919" s="360"/>
      <c r="L3919" s="352">
        <f>L3918-K3917</f>
        <v>-2083.11</v>
      </c>
      <c r="M3919" s="352"/>
    </row>
    <row r="3920" spans="5:13">
      <c r="E3920" s="352"/>
      <c r="F3920" s="352">
        <v>1</v>
      </c>
      <c r="G3920" s="352" t="s">
        <v>1419</v>
      </c>
      <c r="H3920" s="352" t="s">
        <v>3372</v>
      </c>
      <c r="I3920" s="352">
        <f>I2866</f>
        <v>898</v>
      </c>
      <c r="J3920" s="352" t="s">
        <v>1419</v>
      </c>
      <c r="K3920" s="352">
        <f>F3920*I3920</f>
        <v>898</v>
      </c>
      <c r="L3920" s="352"/>
      <c r="M3920" s="352"/>
    </row>
    <row r="3921" spans="5:13">
      <c r="E3921" s="352"/>
      <c r="F3921" s="352">
        <v>2</v>
      </c>
      <c r="G3921" s="352" t="s">
        <v>1419</v>
      </c>
      <c r="H3921" s="352" t="s">
        <v>3373</v>
      </c>
      <c r="I3921" s="352">
        <f>I2867</f>
        <v>783</v>
      </c>
      <c r="J3921" s="352" t="s">
        <v>1419</v>
      </c>
      <c r="K3921" s="352">
        <f>F3921*I3921</f>
        <v>1566</v>
      </c>
      <c r="L3921" s="352"/>
      <c r="M3921" s="352"/>
    </row>
    <row r="3922" spans="5:13">
      <c r="E3922" s="352"/>
      <c r="F3922" s="352">
        <v>3</v>
      </c>
      <c r="G3922" s="352" t="s">
        <v>1419</v>
      </c>
      <c r="H3922" s="352" t="s">
        <v>3374</v>
      </c>
      <c r="I3922" s="352">
        <f>I2868</f>
        <v>778</v>
      </c>
      <c r="J3922" s="352" t="s">
        <v>1419</v>
      </c>
      <c r="K3922" s="352">
        <f>F3922*I3922</f>
        <v>2334</v>
      </c>
      <c r="L3922" s="352"/>
      <c r="M3922" s="352"/>
    </row>
    <row r="3923" spans="5:13">
      <c r="E3923" s="352"/>
      <c r="F3923" s="352">
        <v>4</v>
      </c>
      <c r="G3923" s="352" t="s">
        <v>1419</v>
      </c>
      <c r="H3923" s="352" t="s">
        <v>2370</v>
      </c>
      <c r="I3923" s="352">
        <f>I2869</f>
        <v>611</v>
      </c>
      <c r="J3923" s="352" t="s">
        <v>1419</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2430</v>
      </c>
      <c r="I3927" s="352"/>
      <c r="J3927" s="352"/>
      <c r="K3927" s="352"/>
      <c r="L3927" s="352"/>
      <c r="M3927" s="352"/>
    </row>
    <row r="3928" spans="5:13">
      <c r="E3928" s="352"/>
      <c r="F3928" s="352"/>
      <c r="G3928" s="352"/>
      <c r="H3928" s="352"/>
      <c r="I3928" s="352"/>
      <c r="J3928" s="352"/>
      <c r="K3928" s="352"/>
      <c r="L3928" s="352"/>
      <c r="M3928" s="352"/>
    </row>
    <row r="3929" spans="5:13" ht="110.25">
      <c r="E3929" s="352"/>
      <c r="F3929" s="352"/>
      <c r="G3929" s="352"/>
      <c r="H3929" s="351" t="s">
        <v>3591</v>
      </c>
      <c r="I3929" s="352"/>
      <c r="J3929" s="352"/>
      <c r="K3929" s="352"/>
      <c r="L3929" s="352"/>
      <c r="M3929" s="352"/>
    </row>
    <row r="3930" spans="5:13">
      <c r="E3930" s="352"/>
      <c r="F3930" s="352"/>
      <c r="G3930" s="352"/>
      <c r="H3930" s="352"/>
      <c r="I3930" s="352"/>
      <c r="J3930" s="352"/>
      <c r="K3930" s="352"/>
      <c r="L3930" s="352"/>
      <c r="M3930" s="352"/>
    </row>
    <row r="3931" spans="5:13" ht="31.5">
      <c r="E3931" s="352"/>
      <c r="F3931" s="352">
        <v>180</v>
      </c>
      <c r="G3931" s="352" t="s">
        <v>842</v>
      </c>
      <c r="H3931" s="273" t="s">
        <v>2586</v>
      </c>
      <c r="I3931" s="352">
        <f>I3072</f>
        <v>16.55</v>
      </c>
      <c r="J3931" s="352" t="s">
        <v>842</v>
      </c>
      <c r="K3931" s="352">
        <f>I3931*F3931</f>
        <v>2979</v>
      </c>
      <c r="L3931" s="352"/>
      <c r="M3931" s="352"/>
    </row>
    <row r="3932" spans="5:13" ht="31.5">
      <c r="E3932" s="352"/>
      <c r="F3932" s="352">
        <v>90</v>
      </c>
      <c r="G3932" s="352" t="s">
        <v>842</v>
      </c>
      <c r="H3932" s="351" t="s">
        <v>2403</v>
      </c>
      <c r="I3932" s="352">
        <f>I3073</f>
        <v>20</v>
      </c>
      <c r="J3932" s="352" t="s">
        <v>842</v>
      </c>
      <c r="K3932" s="352">
        <f>I3932*F3932</f>
        <v>1800</v>
      </c>
      <c r="L3932" s="352"/>
      <c r="M3932" s="352"/>
    </row>
    <row r="3933" spans="5:13">
      <c r="E3933" s="352"/>
      <c r="F3933" s="352">
        <v>1</v>
      </c>
      <c r="G3933" s="352" t="s">
        <v>3188</v>
      </c>
      <c r="H3933" s="351" t="s">
        <v>3189</v>
      </c>
      <c r="I3933" s="421">
        <f>Elec.Data!I1113</f>
        <v>287</v>
      </c>
      <c r="J3933" s="352" t="s">
        <v>3188</v>
      </c>
      <c r="K3933" s="352">
        <f>I3933*F3933</f>
        <v>287</v>
      </c>
      <c r="L3933" s="352"/>
      <c r="M3933" s="352"/>
    </row>
    <row r="3934" spans="5:13">
      <c r="E3934" s="352"/>
      <c r="F3934" s="352">
        <v>300</v>
      </c>
      <c r="G3934" s="352" t="s">
        <v>1457</v>
      </c>
      <c r="H3934" s="351" t="s">
        <v>3190</v>
      </c>
      <c r="I3934" s="421">
        <f>Elec.Data!I1114</f>
        <v>69.400000000000006</v>
      </c>
      <c r="J3934" s="352" t="s">
        <v>3192</v>
      </c>
      <c r="K3934" s="352">
        <f>(I3934*F3934)/1000</f>
        <v>20.82</v>
      </c>
      <c r="L3934" s="352"/>
      <c r="M3934" s="352"/>
    </row>
    <row r="3935" spans="5:13">
      <c r="E3935" s="352"/>
      <c r="F3935" s="352">
        <v>2</v>
      </c>
      <c r="G3935" s="352" t="s">
        <v>2684</v>
      </c>
      <c r="H3935" s="351" t="s">
        <v>3191</v>
      </c>
      <c r="I3935" s="352">
        <f>I3804</f>
        <v>84.1</v>
      </c>
      <c r="J3935" s="352" t="s">
        <v>3188</v>
      </c>
      <c r="K3935" s="352">
        <f>I3935*F3935</f>
        <v>168.2</v>
      </c>
      <c r="L3935" s="352"/>
      <c r="M3935" s="352"/>
    </row>
    <row r="3936" spans="5:13">
      <c r="E3936" s="352"/>
      <c r="F3936" s="352">
        <v>0.33</v>
      </c>
      <c r="G3936" s="352" t="s">
        <v>2680</v>
      </c>
      <c r="H3936" s="352" t="s">
        <v>395</v>
      </c>
      <c r="I3936" s="352">
        <f>I3074</f>
        <v>302</v>
      </c>
      <c r="J3936" s="352" t="s">
        <v>2680</v>
      </c>
      <c r="K3936" s="352">
        <f>I3936*F3936</f>
        <v>99.66</v>
      </c>
      <c r="L3936" s="352"/>
      <c r="M3936" s="352"/>
    </row>
    <row r="3937" spans="5:13" ht="31.5">
      <c r="E3937" s="352"/>
      <c r="F3937" s="352">
        <v>90</v>
      </c>
      <c r="G3937" s="352" t="s">
        <v>842</v>
      </c>
      <c r="H3937" s="273" t="s">
        <v>2686</v>
      </c>
      <c r="I3937" s="352">
        <f>I3075</f>
        <v>16.55</v>
      </c>
      <c r="J3937" s="352" t="s">
        <v>2587</v>
      </c>
      <c r="K3937" s="352">
        <f>I3937*F3937</f>
        <v>1489.5</v>
      </c>
      <c r="L3937" s="352"/>
      <c r="M3937" s="352"/>
    </row>
    <row r="3938" spans="5:13">
      <c r="E3938" s="352"/>
      <c r="F3938" s="399" t="s">
        <v>3195</v>
      </c>
      <c r="G3938" s="352"/>
      <c r="H3938" s="352" t="s">
        <v>931</v>
      </c>
      <c r="I3938" s="352">
        <f>K3924</f>
        <v>7242</v>
      </c>
      <c r="J3938" s="352"/>
      <c r="K3938" s="352">
        <f>2/3*I3938</f>
        <v>4828</v>
      </c>
      <c r="L3938" s="352"/>
      <c r="M3938" s="352"/>
    </row>
    <row r="3939" spans="5:13">
      <c r="E3939" s="352"/>
      <c r="F3939" s="352"/>
      <c r="G3939" s="352"/>
      <c r="H3939" s="352"/>
      <c r="I3939" s="352"/>
      <c r="J3939" s="352"/>
      <c r="K3939" s="352">
        <f>SUM(K3931:K3938)</f>
        <v>11672.18</v>
      </c>
      <c r="L3939" s="352"/>
      <c r="M3939" s="352"/>
    </row>
    <row r="3940" spans="5:13">
      <c r="E3940" s="352"/>
      <c r="F3940" s="352"/>
      <c r="G3940" s="352"/>
      <c r="H3940" s="352" t="s">
        <v>2310</v>
      </c>
      <c r="I3940" s="352"/>
      <c r="J3940" s="352"/>
      <c r="K3940" s="352">
        <v>52.28</v>
      </c>
      <c r="L3940" s="352"/>
      <c r="M3940" s="352"/>
    </row>
    <row r="3941" spans="5:13">
      <c r="E3941" s="352"/>
      <c r="F3941" s="352"/>
      <c r="G3941" s="352"/>
      <c r="H3941" s="357" t="s">
        <v>2432</v>
      </c>
      <c r="I3941" s="352"/>
      <c r="J3941" s="352"/>
      <c r="K3941" s="358">
        <f>SUM(K3939:K3940)</f>
        <v>11724.46</v>
      </c>
      <c r="L3941" s="352"/>
      <c r="M3941" s="352"/>
    </row>
    <row r="3942" spans="5:13">
      <c r="E3942" s="352"/>
      <c r="F3942" s="352"/>
      <c r="G3942" s="352"/>
      <c r="H3942" s="359" t="s">
        <v>2433</v>
      </c>
      <c r="I3942" s="352"/>
      <c r="J3942" s="352"/>
      <c r="K3942" s="360">
        <f>K3941/90</f>
        <v>130.27000000000001</v>
      </c>
      <c r="L3942" s="352"/>
      <c r="M3942" s="352"/>
    </row>
    <row r="3943" spans="5:13">
      <c r="E3943" s="352"/>
      <c r="F3943" s="352"/>
      <c r="G3943" s="352"/>
      <c r="H3943" s="352"/>
      <c r="I3943" s="352"/>
      <c r="J3943" s="352"/>
      <c r="K3943" s="352"/>
      <c r="L3943" s="352"/>
      <c r="M3943" s="352"/>
    </row>
    <row r="3944" spans="5:13">
      <c r="E3944" s="352"/>
      <c r="F3944" s="352"/>
      <c r="G3944" s="352"/>
      <c r="H3944" s="360" t="s">
        <v>3193</v>
      </c>
      <c r="I3944" s="352"/>
      <c r="J3944" s="352"/>
      <c r="K3944" s="352"/>
      <c r="L3944" s="352"/>
      <c r="M3944" s="352"/>
    </row>
    <row r="3945" spans="5:13">
      <c r="E3945" s="352"/>
      <c r="F3945" s="352"/>
      <c r="G3945" s="352"/>
      <c r="H3945" s="352"/>
      <c r="I3945" s="352"/>
      <c r="J3945" s="352"/>
      <c r="K3945" s="352"/>
      <c r="L3945" s="352"/>
      <c r="M3945" s="352"/>
    </row>
    <row r="3946" spans="5:13" ht="110.25">
      <c r="E3946" s="352"/>
      <c r="F3946" s="352"/>
      <c r="G3946" s="352"/>
      <c r="H3946" s="351" t="s">
        <v>3066</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3194</v>
      </c>
      <c r="I3948" s="352"/>
      <c r="J3948" s="352"/>
      <c r="K3948" s="352">
        <f>K3941</f>
        <v>11724.46</v>
      </c>
      <c r="L3948" s="352"/>
      <c r="M3948" s="352"/>
    </row>
    <row r="3949" spans="5:13" ht="31.5">
      <c r="E3949" s="352"/>
      <c r="F3949" s="352">
        <v>180</v>
      </c>
      <c r="G3949" s="352" t="s">
        <v>842</v>
      </c>
      <c r="H3949" s="351" t="s">
        <v>3299</v>
      </c>
      <c r="I3949" s="352">
        <f>I3088</f>
        <v>20.3</v>
      </c>
      <c r="J3949" s="352" t="s">
        <v>842</v>
      </c>
      <c r="K3949" s="352">
        <f>F3949*I3949</f>
        <v>3654</v>
      </c>
      <c r="L3949" s="352"/>
      <c r="M3949" s="352"/>
    </row>
    <row r="3950" spans="5:13" ht="31.5">
      <c r="E3950" s="352"/>
      <c r="F3950" s="352">
        <v>180</v>
      </c>
      <c r="G3950" s="352" t="s">
        <v>842</v>
      </c>
      <c r="H3950" s="351" t="s">
        <v>3015</v>
      </c>
      <c r="I3950" s="352">
        <f>I3931</f>
        <v>16.55</v>
      </c>
      <c r="J3950" s="352" t="s">
        <v>2587</v>
      </c>
      <c r="K3950" s="352">
        <f>F3950*I3950</f>
        <v>2979</v>
      </c>
      <c r="L3950" s="352"/>
      <c r="M3950" s="352"/>
    </row>
    <row r="3951" spans="5:13">
      <c r="E3951" s="352"/>
      <c r="F3951" s="352"/>
      <c r="G3951" s="352"/>
      <c r="H3951" s="352" t="s">
        <v>2310</v>
      </c>
      <c r="I3951" s="352"/>
      <c r="J3951" s="352"/>
      <c r="K3951" s="352">
        <v>36</v>
      </c>
      <c r="L3951" s="352"/>
      <c r="M3951" s="352"/>
    </row>
    <row r="3952" spans="5:13">
      <c r="E3952" s="352"/>
      <c r="F3952" s="352"/>
      <c r="G3952" s="352"/>
      <c r="H3952" s="357" t="s">
        <v>3016</v>
      </c>
      <c r="I3952" s="352"/>
      <c r="J3952" s="352"/>
      <c r="K3952" s="358">
        <f>K3948+K3949-K3950+K3951</f>
        <v>12435.46</v>
      </c>
      <c r="L3952" s="352"/>
      <c r="M3952" s="352"/>
    </row>
    <row r="3953" spans="5:13">
      <c r="E3953" s="352"/>
      <c r="F3953" s="352"/>
      <c r="G3953" s="352"/>
      <c r="H3953" s="359" t="s">
        <v>2433</v>
      </c>
      <c r="I3953" s="352"/>
      <c r="J3953" s="352"/>
      <c r="K3953" s="360">
        <f>K3952/90</f>
        <v>138.16999999999999</v>
      </c>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60"/>
      <c r="I3956" s="352"/>
      <c r="J3956" s="352"/>
      <c r="K3956" s="352"/>
      <c r="L3956" s="352"/>
      <c r="M3956" s="352"/>
    </row>
    <row r="3957" spans="5:13">
      <c r="E3957" s="352"/>
      <c r="F3957" s="352"/>
      <c r="G3957" s="352"/>
      <c r="H3957" s="351"/>
      <c r="I3957" s="352"/>
      <c r="J3957" s="352"/>
      <c r="K3957" s="352"/>
      <c r="L3957" s="352"/>
      <c r="M3957" s="352"/>
    </row>
    <row r="3958" spans="5:13">
      <c r="E3958" s="352"/>
      <c r="F3958" s="352"/>
      <c r="G3958" s="352"/>
      <c r="H3958" s="273"/>
      <c r="I3958" s="352"/>
      <c r="J3958" s="352"/>
      <c r="K3958" s="352"/>
      <c r="L3958" s="352"/>
      <c r="M3958" s="352"/>
    </row>
    <row r="3959" spans="5:13">
      <c r="E3959" s="352"/>
      <c r="F3959" s="352"/>
      <c r="G3959" s="352"/>
      <c r="H3959" s="351"/>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273"/>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61"/>
      <c r="L3970" s="352"/>
      <c r="M3970" s="352"/>
    </row>
    <row r="3971" spans="5:13">
      <c r="E3971" s="352"/>
      <c r="F3971" s="352"/>
      <c r="G3971" s="352"/>
      <c r="H3971" s="357"/>
      <c r="I3971" s="352"/>
      <c r="J3971" s="352"/>
      <c r="K3971" s="358"/>
      <c r="L3971" s="352"/>
      <c r="M3971" s="352"/>
    </row>
    <row r="3972" spans="5:13">
      <c r="E3972" s="352"/>
      <c r="F3972" s="352"/>
      <c r="G3972" s="352"/>
      <c r="H3972" s="359"/>
      <c r="I3972" s="352"/>
      <c r="J3972" s="352"/>
      <c r="K3972" s="360"/>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E7902" s="352"/>
      <c r="F7902" s="352"/>
      <c r="G7902" s="352"/>
      <c r="H7902" s="352"/>
      <c r="I7902" s="352"/>
      <c r="J7902" s="352"/>
      <c r="K7902" s="352"/>
      <c r="L7902" s="352"/>
      <c r="M7902" s="352"/>
    </row>
    <row r="7903" spans="5:13">
      <c r="E7903" s="352"/>
      <c r="F7903" s="352"/>
      <c r="G7903" s="352"/>
      <c r="H7903" s="352"/>
      <c r="I7903" s="352"/>
      <c r="J7903" s="352"/>
      <c r="K7903" s="352"/>
      <c r="L7903" s="352"/>
      <c r="M7903" s="352"/>
    </row>
    <row r="7904" spans="5:13">
      <c r="E7904" s="352"/>
      <c r="F7904" s="352"/>
      <c r="G7904" s="352"/>
      <c r="H7904" s="352"/>
      <c r="I7904" s="352"/>
      <c r="J7904" s="352"/>
      <c r="K7904" s="352"/>
      <c r="L7904" s="352"/>
      <c r="M7904" s="352"/>
    </row>
    <row r="7905" spans="8:8" s="180" customFormat="1">
      <c r="H7905" s="273"/>
    </row>
    <row r="7906" spans="8:8" s="180" customFormat="1">
      <c r="H7906" s="273"/>
    </row>
    <row r="7907" spans="8:8" s="180" customFormat="1">
      <c r="H7907" s="273"/>
    </row>
    <row r="7908" spans="8:8" s="180" customFormat="1">
      <c r="H7908" s="273"/>
    </row>
    <row r="7909" spans="8:8" s="180" customFormat="1">
      <c r="H7909" s="273"/>
    </row>
    <row r="7910" spans="8:8" s="180" customFormat="1">
      <c r="H7910" s="273"/>
    </row>
    <row r="7911" spans="8:8" s="180" customFormat="1">
      <c r="H7911" s="273"/>
    </row>
    <row r="7912" spans="8:8" s="180" customFormat="1">
      <c r="H7912" s="273"/>
    </row>
    <row r="7913" spans="8:8" s="180" customFormat="1">
      <c r="H7913" s="273"/>
    </row>
    <row r="7914" spans="8:8" s="180" customFormat="1">
      <c r="H7914" s="273"/>
    </row>
    <row r="7915" spans="8:8" s="180" customFormat="1">
      <c r="H7915" s="273"/>
    </row>
    <row r="7916" spans="8:8" s="180" customFormat="1">
      <c r="H7916" s="273"/>
    </row>
    <row r="7917" spans="8:8" s="180" customFormat="1">
      <c r="H7917" s="273"/>
    </row>
    <row r="7918" spans="8:8" s="180" customFormat="1">
      <c r="H7918" s="273"/>
    </row>
    <row r="7919" spans="8:8" s="180" customFormat="1">
      <c r="H7919" s="273"/>
    </row>
    <row r="7920" spans="8:8" s="180" customFormat="1">
      <c r="H7920" s="273"/>
    </row>
    <row r="7921" spans="8:8" s="180" customFormat="1">
      <c r="H7921" s="273"/>
    </row>
    <row r="7922" spans="8:8" s="180" customFormat="1">
      <c r="H7922" s="273"/>
    </row>
    <row r="7923" spans="8:8" s="180" customFormat="1">
      <c r="H7923" s="273"/>
    </row>
    <row r="7924" spans="8:8" s="180" customFormat="1">
      <c r="H7924" s="273"/>
    </row>
    <row r="7925" spans="8:8" s="180" customFormat="1">
      <c r="H7925" s="273"/>
    </row>
    <row r="7926" spans="8:8" s="180" customFormat="1">
      <c r="H7926" s="273"/>
    </row>
    <row r="7927" spans="8:8" s="180" customFormat="1">
      <c r="H7927" s="273"/>
    </row>
    <row r="7928" spans="8:8" s="180" customFormat="1">
      <c r="H7928" s="273"/>
    </row>
    <row r="7929" spans="8:8" s="180" customFormat="1">
      <c r="H7929" s="273"/>
    </row>
    <row r="7930" spans="8:8" s="180" customFormat="1">
      <c r="H7930" s="273"/>
    </row>
    <row r="7931" spans="8:8" s="180" customFormat="1">
      <c r="H7931" s="273"/>
    </row>
    <row r="7932" spans="8:8" s="180" customFormat="1">
      <c r="H7932" s="273"/>
    </row>
    <row r="7933" spans="8:8" s="180" customFormat="1">
      <c r="H7933" s="273"/>
    </row>
    <row r="7934" spans="8:8" s="180" customFormat="1">
      <c r="H7934" s="273"/>
    </row>
    <row r="7935" spans="8:8" s="180" customFormat="1">
      <c r="H7935" s="273"/>
    </row>
    <row r="7936" spans="8:8" s="180" customFormat="1">
      <c r="H7936" s="273"/>
    </row>
    <row r="7937" spans="8:8" s="180" customFormat="1">
      <c r="H7937" s="273"/>
    </row>
    <row r="7938" spans="8:8" s="180" customFormat="1">
      <c r="H7938" s="273"/>
    </row>
    <row r="7939" spans="8:8" s="180" customFormat="1">
      <c r="H7939" s="273"/>
    </row>
    <row r="7940" spans="8:8" s="180" customFormat="1">
      <c r="H7940" s="273"/>
    </row>
    <row r="7941" spans="8:8" s="180" customFormat="1">
      <c r="H7941" s="273"/>
    </row>
    <row r="7942" spans="8:8" s="180" customFormat="1">
      <c r="H7942" s="273"/>
    </row>
    <row r="7943" spans="8:8" s="180" customFormat="1">
      <c r="H7943" s="273"/>
    </row>
    <row r="7944" spans="8:8" s="180" customFormat="1">
      <c r="H7944" s="273"/>
    </row>
    <row r="7945" spans="8:8" s="180" customFormat="1">
      <c r="H7945" s="273"/>
    </row>
    <row r="7946" spans="8:8" s="180" customFormat="1">
      <c r="H7946" s="273"/>
    </row>
    <row r="7947" spans="8:8" s="180" customFormat="1">
      <c r="H7947" s="273"/>
    </row>
    <row r="7948" spans="8:8" s="180" customFormat="1">
      <c r="H7948" s="273"/>
    </row>
    <row r="7949" spans="8:8" s="180" customFormat="1">
      <c r="H7949" s="273"/>
    </row>
    <row r="7950" spans="8:8" s="180" customFormat="1">
      <c r="H7950" s="273"/>
    </row>
    <row r="7951" spans="8:8" s="180" customFormat="1">
      <c r="H7951" s="273"/>
    </row>
    <row r="7952" spans="8:8" s="180" customFormat="1">
      <c r="H7952" s="273"/>
    </row>
    <row r="7953" spans="8:8" s="180" customFormat="1">
      <c r="H7953" s="273"/>
    </row>
    <row r="7954" spans="8:8" s="180" customFormat="1">
      <c r="H7954" s="273"/>
    </row>
    <row r="7955" spans="8:8" s="180" customFormat="1">
      <c r="H7955" s="273"/>
    </row>
    <row r="7956" spans="8:8" s="180" customFormat="1">
      <c r="H7956" s="273"/>
    </row>
    <row r="7957" spans="8:8" s="180" customFormat="1">
      <c r="H7957" s="273"/>
    </row>
    <row r="7958" spans="8:8" s="180" customFormat="1">
      <c r="H7958" s="273"/>
    </row>
    <row r="7959" spans="8:8" s="180" customFormat="1">
      <c r="H7959" s="273"/>
    </row>
    <row r="7960" spans="8:8" s="180" customFormat="1">
      <c r="H7960" s="273"/>
    </row>
    <row r="7961" spans="8:8" s="180" customFormat="1">
      <c r="H7961" s="273"/>
    </row>
    <row r="7962" spans="8:8" s="180" customFormat="1">
      <c r="H7962" s="273"/>
    </row>
    <row r="7963" spans="8:8" s="180" customFormat="1">
      <c r="H7963" s="273"/>
    </row>
    <row r="7964" spans="8:8" s="180" customFormat="1">
      <c r="H7964" s="273"/>
    </row>
    <row r="7965" spans="8:8" s="180" customFormat="1">
      <c r="H7965" s="273"/>
    </row>
    <row r="7966" spans="8:8" s="180" customFormat="1">
      <c r="H7966" s="273"/>
    </row>
    <row r="7967" spans="8:8" s="180" customFormat="1">
      <c r="H7967" s="273"/>
    </row>
    <row r="7968" spans="8:8" s="180" customFormat="1">
      <c r="H7968" s="273"/>
    </row>
    <row r="7969" spans="8:8" s="180" customFormat="1">
      <c r="H7969" s="273"/>
    </row>
    <row r="7970" spans="8:8" s="180" customFormat="1">
      <c r="H7970" s="273"/>
    </row>
    <row r="7971" spans="8:8" s="180" customFormat="1">
      <c r="H7971" s="273"/>
    </row>
    <row r="7972" spans="8:8" s="180" customFormat="1">
      <c r="H7972" s="273"/>
    </row>
    <row r="7973" spans="8:8" s="180" customFormat="1">
      <c r="H7973" s="273"/>
    </row>
    <row r="7974" spans="8:8" s="180" customFormat="1">
      <c r="H7974" s="273"/>
    </row>
    <row r="7975" spans="8:8" s="180" customFormat="1">
      <c r="H7975" s="273"/>
    </row>
    <row r="7976" spans="8:8" s="180" customFormat="1">
      <c r="H7976" s="273"/>
    </row>
    <row r="7977" spans="8:8" s="180" customFormat="1">
      <c r="H7977" s="273"/>
    </row>
    <row r="7978" spans="8:8" s="180" customFormat="1">
      <c r="H7978" s="273"/>
    </row>
    <row r="7979" spans="8:8" s="180" customFormat="1">
      <c r="H7979" s="273"/>
    </row>
    <row r="7980" spans="8:8" s="180" customFormat="1">
      <c r="H7980" s="273"/>
    </row>
    <row r="7981" spans="8:8" s="180" customFormat="1">
      <c r="H7981" s="273"/>
    </row>
    <row r="7982" spans="8:8" s="180" customFormat="1">
      <c r="H7982" s="273"/>
    </row>
    <row r="7983" spans="8:8" s="180" customFormat="1">
      <c r="H7983" s="273"/>
    </row>
    <row r="7984" spans="8:8" s="180" customFormat="1">
      <c r="H7984" s="273"/>
    </row>
    <row r="7985" spans="8:8" s="180" customFormat="1">
      <c r="H7985" s="273"/>
    </row>
    <row r="7986" spans="8:8" s="180" customFormat="1">
      <c r="H7986" s="273"/>
    </row>
    <row r="7987" spans="8:8" s="180" customFormat="1">
      <c r="H7987" s="273"/>
    </row>
    <row r="7988" spans="8:8" s="180" customFormat="1">
      <c r="H7988" s="273"/>
    </row>
    <row r="7989" spans="8:8" s="180" customFormat="1">
      <c r="H7989" s="273"/>
    </row>
    <row r="7990" spans="8:8" s="180" customFormat="1">
      <c r="H7990" s="273"/>
    </row>
    <row r="7991" spans="8:8" s="180" customFormat="1">
      <c r="H7991" s="273"/>
    </row>
    <row r="7992" spans="8:8" s="180" customFormat="1">
      <c r="H7992" s="273"/>
    </row>
    <row r="7993" spans="8:8" s="180" customFormat="1">
      <c r="H7993" s="273"/>
    </row>
    <row r="7994" spans="8:8" s="180" customFormat="1">
      <c r="H7994" s="273"/>
    </row>
    <row r="7995" spans="8:8" s="180" customFormat="1">
      <c r="H7995" s="273"/>
    </row>
    <row r="7996" spans="8:8" s="180" customFormat="1">
      <c r="H7996" s="273"/>
    </row>
    <row r="7997" spans="8:8" s="180" customFormat="1">
      <c r="H7997" s="273"/>
    </row>
    <row r="7998" spans="8:8" s="180" customFormat="1">
      <c r="H7998" s="273"/>
    </row>
    <row r="7999" spans="8:8" s="180" customFormat="1">
      <c r="H7999" s="273"/>
    </row>
    <row r="8000" spans="8:8" s="180" customFormat="1">
      <c r="H8000" s="273"/>
    </row>
    <row r="8001" spans="8:8" s="180" customFormat="1">
      <c r="H8001" s="273"/>
    </row>
    <row r="8002" spans="8:8" s="180" customFormat="1">
      <c r="H8002" s="273"/>
    </row>
    <row r="8003" spans="8:8" s="180" customFormat="1">
      <c r="H8003" s="273"/>
    </row>
    <row r="8004" spans="8:8" s="180" customFormat="1">
      <c r="H8004" s="273"/>
    </row>
    <row r="8005" spans="8:8" s="180" customFormat="1">
      <c r="H8005" s="273"/>
    </row>
    <row r="8006" spans="8:8" s="180" customFormat="1">
      <c r="H8006" s="273"/>
    </row>
    <row r="8007" spans="8:8" s="180" customFormat="1">
      <c r="H8007" s="273"/>
    </row>
    <row r="8008" spans="8:8" s="180" customFormat="1">
      <c r="H8008" s="273"/>
    </row>
    <row r="8009" spans="8:8" s="180" customFormat="1">
      <c r="H8009" s="273"/>
    </row>
    <row r="8010" spans="8:8" s="180" customFormat="1">
      <c r="H8010" s="273"/>
    </row>
    <row r="8011" spans="8:8" s="180" customFormat="1">
      <c r="H8011" s="273"/>
    </row>
    <row r="8012" spans="8:8" s="180" customFormat="1">
      <c r="H8012" s="273"/>
    </row>
    <row r="8013" spans="8:8" s="180" customFormat="1">
      <c r="H8013" s="273"/>
    </row>
    <row r="8014" spans="8:8" s="180" customFormat="1">
      <c r="H8014" s="273"/>
    </row>
    <row r="8015" spans="8:8" s="180" customFormat="1">
      <c r="H8015" s="273"/>
    </row>
    <row r="8016" spans="8:8" s="180" customFormat="1">
      <c r="H8016" s="273"/>
    </row>
    <row r="8017" spans="8:8" s="180" customFormat="1">
      <c r="H8017" s="273"/>
    </row>
    <row r="8018" spans="8:8" s="180" customFormat="1">
      <c r="H8018" s="273"/>
    </row>
    <row r="8019" spans="8:8" s="180" customFormat="1">
      <c r="H8019" s="273"/>
    </row>
    <row r="8020" spans="8:8" s="180" customFormat="1">
      <c r="H8020" s="273"/>
    </row>
    <row r="8021" spans="8:8" s="180" customFormat="1">
      <c r="H8021" s="273"/>
    </row>
    <row r="8022" spans="8:8" s="180" customFormat="1">
      <c r="H8022" s="273"/>
    </row>
    <row r="8023" spans="8:8" s="180" customFormat="1">
      <c r="H8023" s="273"/>
    </row>
    <row r="8024" spans="8:8" s="180" customFormat="1">
      <c r="H8024" s="273"/>
    </row>
    <row r="8025" spans="8:8" s="180" customFormat="1">
      <c r="H8025" s="273"/>
    </row>
    <row r="8026" spans="8:8" s="180" customFormat="1">
      <c r="H8026" s="273"/>
    </row>
    <row r="8027" spans="8:8" s="180" customFormat="1">
      <c r="H8027" s="273"/>
    </row>
    <row r="8028" spans="8:8" s="180" customFormat="1">
      <c r="H8028" s="273"/>
    </row>
    <row r="8029" spans="8:8" s="180" customFormat="1">
      <c r="H8029" s="273"/>
    </row>
    <row r="8030" spans="8:8" s="180" customFormat="1">
      <c r="H8030" s="273"/>
    </row>
    <row r="8031" spans="8:8" s="180" customFormat="1">
      <c r="H8031" s="273"/>
    </row>
    <row r="8032" spans="8:8" s="180" customFormat="1">
      <c r="H8032" s="273"/>
    </row>
    <row r="8033" spans="8:8" s="180" customFormat="1">
      <c r="H8033" s="273"/>
    </row>
    <row r="8034" spans="8:8" s="180" customFormat="1">
      <c r="H8034" s="273"/>
    </row>
    <row r="8035" spans="8:8" s="180" customFormat="1">
      <c r="H8035" s="273"/>
    </row>
    <row r="8036" spans="8:8" s="180" customFormat="1">
      <c r="H8036" s="273"/>
    </row>
    <row r="8037" spans="8:8" s="180" customFormat="1">
      <c r="H8037" s="273"/>
    </row>
    <row r="8038" spans="8:8" s="180" customFormat="1">
      <c r="H8038" s="273"/>
    </row>
    <row r="8039" spans="8:8" s="180" customFormat="1">
      <c r="H8039" s="273"/>
    </row>
    <row r="8040" spans="8:8" s="180" customFormat="1">
      <c r="H8040" s="273"/>
    </row>
    <row r="8041" spans="8:8" s="180" customFormat="1">
      <c r="H8041" s="273"/>
    </row>
    <row r="8042" spans="8:8" s="180" customFormat="1">
      <c r="H8042" s="273"/>
    </row>
    <row r="8043" spans="8:8" s="180" customFormat="1">
      <c r="H8043" s="273"/>
    </row>
    <row r="8044" spans="8:8" s="180" customFormat="1">
      <c r="H8044" s="273"/>
    </row>
    <row r="8045" spans="8:8" s="180" customFormat="1">
      <c r="H8045" s="273"/>
    </row>
    <row r="8046" spans="8:8" s="180" customFormat="1">
      <c r="H8046" s="273"/>
    </row>
    <row r="8047" spans="8:8" s="180" customFormat="1">
      <c r="H8047" s="273"/>
    </row>
    <row r="8048" spans="8:8" s="180" customFormat="1">
      <c r="H8048" s="273"/>
    </row>
    <row r="8049" spans="8:8" s="180" customFormat="1">
      <c r="H8049" s="273"/>
    </row>
    <row r="8050" spans="8:8" s="180" customFormat="1">
      <c r="H8050" s="273"/>
    </row>
    <row r="8051" spans="8:8" s="180" customFormat="1">
      <c r="H8051" s="273"/>
    </row>
    <row r="8052" spans="8:8" s="180" customFormat="1">
      <c r="H8052" s="273"/>
    </row>
    <row r="8053" spans="8:8" s="180" customFormat="1">
      <c r="H8053" s="273"/>
    </row>
    <row r="8054" spans="8:8" s="180" customFormat="1">
      <c r="H8054" s="273"/>
    </row>
    <row r="8055" spans="8:8" s="180" customFormat="1">
      <c r="H8055" s="273"/>
    </row>
    <row r="8056" spans="8:8" s="180" customFormat="1">
      <c r="H8056" s="273"/>
    </row>
    <row r="8057" spans="8:8" s="180" customFormat="1">
      <c r="H8057" s="273"/>
    </row>
    <row r="8058" spans="8:8" s="180" customFormat="1">
      <c r="H8058" s="273"/>
    </row>
    <row r="8059" spans="8:8" s="180" customFormat="1">
      <c r="H8059" s="273"/>
    </row>
    <row r="8060" spans="8:8" s="180" customFormat="1">
      <c r="H8060" s="273"/>
    </row>
    <row r="8061" spans="8:8" s="180" customFormat="1">
      <c r="H8061" s="273"/>
    </row>
    <row r="8062" spans="8:8" s="180" customFormat="1">
      <c r="H8062" s="273"/>
    </row>
    <row r="8063" spans="8:8" s="180" customFormat="1">
      <c r="H8063" s="273"/>
    </row>
    <row r="8064" spans="8:8" s="180" customFormat="1">
      <c r="H8064" s="273"/>
    </row>
    <row r="8065" spans="8:8" s="180" customFormat="1">
      <c r="H8065" s="273"/>
    </row>
    <row r="8066" spans="8:8" s="180" customFormat="1">
      <c r="H8066" s="273"/>
    </row>
    <row r="8067" spans="8:8" s="180" customFormat="1">
      <c r="H8067" s="273"/>
    </row>
    <row r="8068" spans="8:8" s="180" customFormat="1">
      <c r="H8068" s="273"/>
    </row>
    <row r="8069" spans="8:8" s="180" customFormat="1">
      <c r="H8069" s="273"/>
    </row>
    <row r="8070" spans="8:8" s="180" customFormat="1">
      <c r="H8070" s="273"/>
    </row>
    <row r="8071" spans="8:8" s="180" customFormat="1">
      <c r="H8071" s="273"/>
    </row>
    <row r="8072" spans="8:8" s="180" customFormat="1">
      <c r="H8072" s="273"/>
    </row>
    <row r="8073" spans="8:8" s="180" customFormat="1">
      <c r="H8073" s="273"/>
    </row>
    <row r="8074" spans="8:8" s="180" customFormat="1">
      <c r="H8074" s="273"/>
    </row>
    <row r="8075" spans="8:8" s="180" customFormat="1">
      <c r="H8075" s="273"/>
    </row>
    <row r="8076" spans="8:8" s="180" customFormat="1">
      <c r="H8076" s="273"/>
    </row>
    <row r="8077" spans="8:8" s="180" customFormat="1">
      <c r="H8077" s="273"/>
    </row>
    <row r="8078" spans="8:8" s="180" customFormat="1">
      <c r="H8078" s="273"/>
    </row>
    <row r="8079" spans="8:8" s="180" customFormat="1">
      <c r="H8079" s="273"/>
    </row>
    <row r="8080" spans="8:8" s="180" customFormat="1">
      <c r="H8080" s="273"/>
    </row>
    <row r="8081" spans="8:8" s="180" customFormat="1">
      <c r="H8081" s="273"/>
    </row>
    <row r="8082" spans="8:8" s="180" customFormat="1">
      <c r="H8082" s="273"/>
    </row>
    <row r="8083" spans="8:8" s="180" customFormat="1">
      <c r="H8083" s="273"/>
    </row>
    <row r="8084" spans="8:8" s="180" customFormat="1">
      <c r="H8084" s="273"/>
    </row>
    <row r="8085" spans="8:8" s="180" customFormat="1">
      <c r="H8085" s="273"/>
    </row>
    <row r="8086" spans="8:8" s="180" customFormat="1">
      <c r="H8086" s="273"/>
    </row>
    <row r="8087" spans="8:8" s="180" customFormat="1">
      <c r="H8087" s="273"/>
    </row>
    <row r="8088" spans="8:8" s="180" customFormat="1">
      <c r="H8088" s="273"/>
    </row>
    <row r="8089" spans="8:8" s="180" customFormat="1">
      <c r="H8089" s="273"/>
    </row>
    <row r="8090" spans="8:8" s="180" customFormat="1">
      <c r="H8090" s="273"/>
    </row>
    <row r="8091" spans="8:8" s="180" customFormat="1">
      <c r="H8091" s="273"/>
    </row>
    <row r="8092" spans="8:8" s="180" customFormat="1">
      <c r="H8092" s="273"/>
    </row>
    <row r="8093" spans="8:8" s="180" customFormat="1">
      <c r="H8093" s="273"/>
    </row>
    <row r="8094" spans="8:8" s="180" customFormat="1">
      <c r="H8094" s="273"/>
    </row>
    <row r="8095" spans="8:8" s="180" customFormat="1">
      <c r="H8095" s="273"/>
    </row>
    <row r="8096" spans="8:8" s="180" customFormat="1">
      <c r="H8096" s="273"/>
    </row>
    <row r="8097" spans="8:8" s="180" customFormat="1">
      <c r="H8097" s="273"/>
    </row>
    <row r="8098" spans="8:8" s="180" customFormat="1">
      <c r="H8098" s="273"/>
    </row>
    <row r="8099" spans="8:8" s="180" customFormat="1">
      <c r="H8099" s="273"/>
    </row>
    <row r="8100" spans="8:8" s="180" customFormat="1">
      <c r="H8100" s="273"/>
    </row>
    <row r="8101" spans="8:8" s="180" customFormat="1">
      <c r="H8101" s="273"/>
    </row>
    <row r="8102" spans="8:8" s="180" customFormat="1">
      <c r="H8102" s="273"/>
    </row>
    <row r="8103" spans="8:8" s="180" customFormat="1">
      <c r="H8103" s="273"/>
    </row>
    <row r="8104" spans="8:8" s="180" customFormat="1">
      <c r="H8104" s="273"/>
    </row>
    <row r="8105" spans="8:8" s="180" customFormat="1">
      <c r="H8105" s="273"/>
    </row>
    <row r="8106" spans="8:8" s="180" customFormat="1">
      <c r="H8106" s="273"/>
    </row>
    <row r="8107" spans="8:8" s="180" customFormat="1">
      <c r="H8107" s="273"/>
    </row>
    <row r="8108" spans="8:8" s="180" customFormat="1">
      <c r="H8108" s="273"/>
    </row>
    <row r="8109" spans="8:8" s="180" customFormat="1">
      <c r="H8109" s="273"/>
    </row>
    <row r="8110" spans="8:8" s="180" customFormat="1">
      <c r="H8110" s="273"/>
    </row>
    <row r="8111" spans="8:8" s="180" customFormat="1">
      <c r="H8111" s="273"/>
    </row>
    <row r="8112" spans="8:8" s="180" customFormat="1">
      <c r="H8112" s="273"/>
    </row>
    <row r="8113" spans="8:8" s="180" customFormat="1">
      <c r="H8113" s="273"/>
    </row>
    <row r="8114" spans="8:8" s="180" customFormat="1">
      <c r="H8114" s="273"/>
    </row>
    <row r="8115" spans="8:8" s="180" customFormat="1">
      <c r="H8115" s="273"/>
    </row>
    <row r="8116" spans="8:8" s="180" customFormat="1">
      <c r="H8116" s="273"/>
    </row>
    <row r="8117" spans="8:8" s="180" customFormat="1">
      <c r="H8117" s="273"/>
    </row>
    <row r="8118" spans="8:8" s="180" customFormat="1">
      <c r="H8118" s="273"/>
    </row>
    <row r="8119" spans="8:8" s="180" customFormat="1">
      <c r="H8119" s="273"/>
    </row>
    <row r="8120" spans="8:8" s="180" customFormat="1">
      <c r="H8120" s="273"/>
    </row>
    <row r="8121" spans="8:8" s="180" customFormat="1">
      <c r="H8121" s="273"/>
    </row>
    <row r="8122" spans="8:8" s="180" customFormat="1">
      <c r="H8122" s="273"/>
    </row>
    <row r="8123" spans="8:8" s="180" customFormat="1">
      <c r="H8123" s="273"/>
    </row>
    <row r="8124" spans="8:8" s="180" customFormat="1">
      <c r="H8124" s="273"/>
    </row>
    <row r="8125" spans="8:8" s="180" customFormat="1">
      <c r="H8125" s="273"/>
    </row>
    <row r="8126" spans="8:8" s="180" customFormat="1">
      <c r="H8126" s="273"/>
    </row>
    <row r="8127" spans="8:8" s="180" customFormat="1">
      <c r="H8127" s="273"/>
    </row>
    <row r="8128" spans="8:8" s="180" customFormat="1">
      <c r="H8128" s="273"/>
    </row>
    <row r="8129" spans="8:8" s="180" customFormat="1">
      <c r="H8129" s="273"/>
    </row>
    <row r="8130" spans="8:8" s="180" customFormat="1">
      <c r="H8130" s="273"/>
    </row>
    <row r="8131" spans="8:8" s="180" customFormat="1">
      <c r="H8131" s="273"/>
    </row>
    <row r="8132" spans="8:8" s="180" customFormat="1">
      <c r="H8132" s="273"/>
    </row>
    <row r="8133" spans="8:8" s="180" customFormat="1">
      <c r="H8133" s="273"/>
    </row>
    <row r="8134" spans="8:8" s="180" customFormat="1">
      <c r="H8134" s="273"/>
    </row>
    <row r="8135" spans="8:8" s="180" customFormat="1">
      <c r="H8135" s="273"/>
    </row>
    <row r="8136" spans="8:8" s="180" customFormat="1">
      <c r="H8136" s="273"/>
    </row>
    <row r="8137" spans="8:8" s="180" customFormat="1">
      <c r="H8137" s="273"/>
    </row>
    <row r="8138" spans="8:8" s="180" customFormat="1">
      <c r="H8138" s="273"/>
    </row>
    <row r="8139" spans="8:8" s="180" customFormat="1">
      <c r="H8139" s="273"/>
    </row>
    <row r="8140" spans="8:8" s="180" customFormat="1">
      <c r="H8140" s="273"/>
    </row>
    <row r="8141" spans="8:8" s="180" customFormat="1">
      <c r="H8141" s="273"/>
    </row>
    <row r="8142" spans="8:8" s="180" customFormat="1">
      <c r="H8142" s="273"/>
    </row>
    <row r="8143" spans="8:8" s="180" customFormat="1">
      <c r="H8143" s="273"/>
    </row>
    <row r="8144" spans="8:8" s="180" customFormat="1">
      <c r="H8144" s="273"/>
    </row>
    <row r="8145" spans="8:8" s="180" customFormat="1">
      <c r="H8145" s="273"/>
    </row>
    <row r="8146" spans="8:8" s="180" customFormat="1">
      <c r="H8146" s="273"/>
    </row>
    <row r="8147" spans="8:8" s="180" customFormat="1">
      <c r="H8147" s="273"/>
    </row>
    <row r="8148" spans="8:8" s="180" customFormat="1">
      <c r="H8148" s="273"/>
    </row>
    <row r="8149" spans="8:8" s="180" customFormat="1">
      <c r="H8149" s="273"/>
    </row>
    <row r="8150" spans="8:8" s="180" customFormat="1">
      <c r="H8150" s="273"/>
    </row>
    <row r="8151" spans="8:8" s="180" customFormat="1">
      <c r="H8151" s="273"/>
    </row>
    <row r="8152" spans="8:8" s="180" customFormat="1">
      <c r="H8152" s="273"/>
    </row>
    <row r="8153" spans="8:8" s="180" customFormat="1">
      <c r="H8153" s="273"/>
    </row>
    <row r="8154" spans="8:8" s="180" customFormat="1">
      <c r="H8154" s="273"/>
    </row>
    <row r="8155" spans="8:8" s="180" customFormat="1">
      <c r="H8155" s="273"/>
    </row>
    <row r="8156" spans="8:8" s="180" customFormat="1">
      <c r="H8156" s="273"/>
    </row>
    <row r="8157" spans="8:8" s="180" customFormat="1">
      <c r="H8157" s="273"/>
    </row>
    <row r="8158" spans="8:8" s="180" customFormat="1">
      <c r="H8158" s="273"/>
    </row>
    <row r="8159" spans="8:8" s="180" customFormat="1">
      <c r="H8159" s="273"/>
    </row>
    <row r="8160" spans="8:8" s="180" customFormat="1">
      <c r="H8160" s="273"/>
    </row>
    <row r="8161" spans="8:8" s="180" customFormat="1">
      <c r="H8161" s="273"/>
    </row>
    <row r="8162" spans="8:8" s="180" customFormat="1">
      <c r="H8162" s="273"/>
    </row>
    <row r="8163" spans="8:8" s="180" customFormat="1">
      <c r="H8163" s="273"/>
    </row>
    <row r="8164" spans="8:8" s="180" customFormat="1">
      <c r="H8164" s="273"/>
    </row>
    <row r="8165" spans="8:8" s="180" customFormat="1">
      <c r="H8165" s="273"/>
    </row>
    <row r="8166" spans="8:8" s="180" customFormat="1">
      <c r="H8166" s="273"/>
    </row>
    <row r="8167" spans="8:8" s="180" customFormat="1">
      <c r="H8167" s="273"/>
    </row>
    <row r="8168" spans="8:8" s="180" customFormat="1">
      <c r="H8168" s="273"/>
    </row>
    <row r="8169" spans="8:8" s="180" customFormat="1">
      <c r="H8169" s="273"/>
    </row>
    <row r="8170" spans="8:8" s="180" customFormat="1">
      <c r="H8170" s="273"/>
    </row>
    <row r="8171" spans="8:8" s="180" customFormat="1">
      <c r="H8171" s="273"/>
    </row>
    <row r="8172" spans="8:8" s="180" customFormat="1">
      <c r="H8172" s="273"/>
    </row>
    <row r="8173" spans="8:8" s="180" customFormat="1">
      <c r="H8173" s="273"/>
    </row>
    <row r="8174" spans="8:8" s="180" customFormat="1">
      <c r="H8174" s="273"/>
    </row>
    <row r="8175" spans="8:8" s="180" customFormat="1">
      <c r="H8175" s="273"/>
    </row>
    <row r="8176" spans="8:8" s="180" customFormat="1">
      <c r="H8176" s="273"/>
    </row>
    <row r="8177" spans="8:8" s="180" customFormat="1">
      <c r="H8177" s="273"/>
    </row>
    <row r="8178" spans="8:8" s="180" customFormat="1">
      <c r="H8178" s="273"/>
    </row>
    <row r="8179" spans="8:8" s="180" customFormat="1">
      <c r="H8179" s="273"/>
    </row>
    <row r="8180" spans="8:8" s="180" customFormat="1">
      <c r="H8180" s="273"/>
    </row>
    <row r="8181" spans="8:8" s="180" customFormat="1">
      <c r="H8181" s="273"/>
    </row>
    <row r="8182" spans="8:8" s="180" customFormat="1">
      <c r="H8182" s="273"/>
    </row>
    <row r="8183" spans="8:8" s="180" customFormat="1">
      <c r="H8183" s="273"/>
    </row>
    <row r="8184" spans="8:8" s="180" customFormat="1">
      <c r="H8184" s="273"/>
    </row>
    <row r="8185" spans="8:8" s="180" customFormat="1">
      <c r="H8185" s="273"/>
    </row>
    <row r="8186" spans="8:8" s="180" customFormat="1">
      <c r="H8186" s="273"/>
    </row>
    <row r="8187" spans="8:8" s="180" customFormat="1">
      <c r="H8187" s="273"/>
    </row>
    <row r="8188" spans="8:8" s="180" customFormat="1">
      <c r="H8188" s="273"/>
    </row>
    <row r="8189" spans="8:8" s="180" customFormat="1">
      <c r="H8189" s="273"/>
    </row>
    <row r="8190" spans="8:8" s="180" customFormat="1">
      <c r="H8190" s="273"/>
    </row>
    <row r="8191" spans="8:8" s="180" customFormat="1">
      <c r="H8191" s="273"/>
    </row>
    <row r="8192" spans="8:8" s="180" customFormat="1">
      <c r="H8192" s="273"/>
    </row>
    <row r="8193" spans="8:8" s="180" customFormat="1">
      <c r="H8193" s="273"/>
    </row>
    <row r="8194" spans="8:8" s="180" customFormat="1">
      <c r="H8194" s="273"/>
    </row>
    <row r="8195" spans="8:8" s="180" customFormat="1">
      <c r="H8195" s="273"/>
    </row>
    <row r="8196" spans="8:8" s="180" customFormat="1">
      <c r="H8196" s="273"/>
    </row>
    <row r="8197" spans="8:8" s="180" customFormat="1">
      <c r="H8197" s="273"/>
    </row>
    <row r="8198" spans="8:8" s="180" customFormat="1">
      <c r="H8198" s="273"/>
    </row>
    <row r="8199" spans="8:8" s="180" customFormat="1">
      <c r="H8199" s="273"/>
    </row>
    <row r="8200" spans="8:8" s="180" customFormat="1">
      <c r="H8200" s="273"/>
    </row>
    <row r="8201" spans="8:8" s="180" customFormat="1">
      <c r="H8201" s="273"/>
    </row>
    <row r="8202" spans="8:8" s="180" customFormat="1">
      <c r="H8202" s="273"/>
    </row>
    <row r="8203" spans="8:8" s="180" customFormat="1">
      <c r="H8203" s="273"/>
    </row>
    <row r="8204" spans="8:8" s="180" customFormat="1">
      <c r="H8204" s="273"/>
    </row>
    <row r="8205" spans="8:8" s="180" customFormat="1">
      <c r="H8205" s="273"/>
    </row>
    <row r="8206" spans="8:8" s="180" customFormat="1">
      <c r="H8206" s="273"/>
    </row>
    <row r="8207" spans="8:8" s="180" customFormat="1">
      <c r="H8207" s="273"/>
    </row>
    <row r="8208" spans="8:8" s="180" customFormat="1">
      <c r="H8208" s="273"/>
    </row>
    <row r="8209" spans="8:8" s="180" customFormat="1">
      <c r="H8209" s="273"/>
    </row>
    <row r="8210" spans="8:8" s="180" customFormat="1">
      <c r="H8210" s="273"/>
    </row>
    <row r="8211" spans="8:8" s="180" customFormat="1">
      <c r="H8211" s="273"/>
    </row>
    <row r="8212" spans="8:8" s="180" customFormat="1">
      <c r="H8212" s="273"/>
    </row>
    <row r="8213" spans="8:8" s="180" customFormat="1">
      <c r="H8213" s="273"/>
    </row>
    <row r="8214" spans="8:8" s="180" customFormat="1">
      <c r="H8214" s="273"/>
    </row>
    <row r="8215" spans="8:8" s="180" customFormat="1">
      <c r="H8215" s="273"/>
    </row>
    <row r="8216" spans="8:8" s="180" customFormat="1">
      <c r="H8216" s="273"/>
    </row>
    <row r="8217" spans="8:8" s="180" customFormat="1">
      <c r="H8217" s="273"/>
    </row>
    <row r="8218" spans="8:8" s="180" customFormat="1">
      <c r="H8218" s="273"/>
    </row>
    <row r="8219" spans="8:8" s="180" customFormat="1">
      <c r="H8219" s="273"/>
    </row>
    <row r="8220" spans="8:8" s="180" customFormat="1">
      <c r="H8220" s="273"/>
    </row>
    <row r="8221" spans="8:8" s="180" customFormat="1">
      <c r="H8221" s="273"/>
    </row>
    <row r="8222" spans="8:8" s="180" customFormat="1">
      <c r="H8222" s="273"/>
    </row>
    <row r="8223" spans="8:8" s="180" customFormat="1">
      <c r="H8223" s="273"/>
    </row>
    <row r="8224" spans="8:8" s="180" customFormat="1">
      <c r="H8224" s="273"/>
    </row>
    <row r="8225" spans="8:8" s="180" customFormat="1">
      <c r="H8225" s="273"/>
    </row>
    <row r="8226" spans="8:8" s="180" customFormat="1">
      <c r="H8226" s="273"/>
    </row>
    <row r="8227" spans="8:8" s="180" customFormat="1">
      <c r="H8227" s="273"/>
    </row>
    <row r="8228" spans="8:8" s="180" customFormat="1">
      <c r="H8228" s="273"/>
    </row>
    <row r="8229" spans="8:8" s="180" customFormat="1">
      <c r="H8229" s="273"/>
    </row>
    <row r="8230" spans="8:8" s="180" customFormat="1">
      <c r="H8230" s="273"/>
    </row>
    <row r="8231" spans="8:8" s="180" customFormat="1">
      <c r="H8231" s="273"/>
    </row>
    <row r="8232" spans="8:8" s="180" customFormat="1">
      <c r="H8232" s="273"/>
    </row>
    <row r="8233" spans="8:8" s="180" customFormat="1">
      <c r="H8233" s="273"/>
    </row>
    <row r="8234" spans="8:8" s="180" customFormat="1">
      <c r="H8234" s="273"/>
    </row>
    <row r="8235" spans="8:8" s="180" customFormat="1">
      <c r="H8235" s="273"/>
    </row>
    <row r="8236" spans="8:8" s="180" customFormat="1">
      <c r="H8236" s="273"/>
    </row>
    <row r="8237" spans="8:8" s="180" customFormat="1">
      <c r="H8237" s="273"/>
    </row>
    <row r="8238" spans="8:8" s="180" customFormat="1">
      <c r="H8238" s="273"/>
    </row>
    <row r="8239" spans="8:8" s="180" customFormat="1">
      <c r="H8239" s="273"/>
    </row>
    <row r="8240" spans="8:8" s="180" customFormat="1">
      <c r="H8240" s="273"/>
    </row>
    <row r="8241" spans="8:8" s="180" customFormat="1">
      <c r="H8241" s="273"/>
    </row>
    <row r="8242" spans="8:8" s="180" customFormat="1">
      <c r="H8242" s="273"/>
    </row>
    <row r="8243" spans="8:8" s="180" customFormat="1">
      <c r="H8243" s="273"/>
    </row>
    <row r="8244" spans="8:8" s="180" customFormat="1">
      <c r="H8244" s="273"/>
    </row>
    <row r="8245" spans="8:8" s="180" customFormat="1">
      <c r="H8245" s="273"/>
    </row>
    <row r="8246" spans="8:8" s="180" customFormat="1">
      <c r="H8246" s="273"/>
    </row>
    <row r="8247" spans="8:8" s="180" customFormat="1">
      <c r="H8247" s="273"/>
    </row>
    <row r="8248" spans="8:8" s="180" customFormat="1">
      <c r="H8248" s="273"/>
    </row>
    <row r="8249" spans="8:8" s="180" customFormat="1">
      <c r="H8249" s="273"/>
    </row>
    <row r="8250" spans="8:8" s="180" customFormat="1">
      <c r="H8250" s="273"/>
    </row>
    <row r="8251" spans="8:8" s="180" customFormat="1">
      <c r="H8251" s="273"/>
    </row>
    <row r="8252" spans="8:8" s="180" customFormat="1">
      <c r="H8252" s="273"/>
    </row>
    <row r="8253" spans="8:8" s="180" customFormat="1">
      <c r="H8253" s="273"/>
    </row>
    <row r="8254" spans="8:8" s="180" customFormat="1">
      <c r="H8254" s="273"/>
    </row>
    <row r="8255" spans="8:8" s="180" customFormat="1">
      <c r="H8255" s="273"/>
    </row>
    <row r="8256" spans="8:8" s="180" customFormat="1">
      <c r="H8256" s="273"/>
    </row>
    <row r="8257" spans="8:8" s="180" customFormat="1">
      <c r="H8257" s="273"/>
    </row>
    <row r="8258" spans="8:8" s="180" customFormat="1">
      <c r="H8258" s="273"/>
    </row>
    <row r="8259" spans="8:8" s="180" customFormat="1">
      <c r="H8259" s="273"/>
    </row>
    <row r="8260" spans="8:8" s="180" customFormat="1">
      <c r="H8260" s="273"/>
    </row>
    <row r="8261" spans="8:8" s="180" customFormat="1">
      <c r="H8261" s="273"/>
    </row>
    <row r="8262" spans="8:8" s="180" customFormat="1">
      <c r="H8262" s="273"/>
    </row>
    <row r="8263" spans="8:8" s="180" customFormat="1">
      <c r="H8263" s="273"/>
    </row>
    <row r="8264" spans="8:8" s="180" customFormat="1">
      <c r="H8264" s="273"/>
    </row>
    <row r="8265" spans="8:8" s="180" customFormat="1">
      <c r="H8265" s="273"/>
    </row>
    <row r="8266" spans="8:8" s="180" customFormat="1">
      <c r="H8266" s="273"/>
    </row>
    <row r="8267" spans="8:8" s="180" customFormat="1">
      <c r="H8267" s="273"/>
    </row>
    <row r="8268" spans="8:8" s="180" customFormat="1">
      <c r="H8268" s="273"/>
    </row>
    <row r="8269" spans="8:8" s="180" customFormat="1">
      <c r="H8269" s="273"/>
    </row>
    <row r="8270" spans="8:8" s="180" customFormat="1">
      <c r="H8270" s="273"/>
    </row>
    <row r="8271" spans="8:8" s="180" customFormat="1">
      <c r="H8271" s="273"/>
    </row>
    <row r="8272" spans="8:8" s="180" customFormat="1">
      <c r="H8272" s="273"/>
    </row>
    <row r="8273" spans="8:8" s="180" customFormat="1">
      <c r="H8273" s="273"/>
    </row>
    <row r="8274" spans="8:8" s="180" customFormat="1">
      <c r="H8274" s="273"/>
    </row>
    <row r="8275" spans="8:8" s="180" customFormat="1">
      <c r="H8275" s="273"/>
    </row>
    <row r="8276" spans="8:8" s="180" customFormat="1">
      <c r="H8276" s="273"/>
    </row>
    <row r="8277" spans="8:8" s="180" customFormat="1">
      <c r="H8277" s="273"/>
    </row>
    <row r="8278" spans="8:8" s="180" customFormat="1">
      <c r="H8278" s="273"/>
    </row>
    <row r="8279" spans="8:8" s="180" customFormat="1">
      <c r="H8279" s="273"/>
    </row>
    <row r="8280" spans="8:8" s="180" customFormat="1">
      <c r="H8280" s="273"/>
    </row>
    <row r="8281" spans="8:8" s="180" customFormat="1">
      <c r="H8281" s="273"/>
    </row>
    <row r="8282" spans="8:8" s="180" customFormat="1">
      <c r="H8282" s="273"/>
    </row>
    <row r="8283" spans="8:8" s="180" customFormat="1">
      <c r="H8283" s="273"/>
    </row>
    <row r="8284" spans="8:8" s="180" customFormat="1">
      <c r="H8284" s="273"/>
    </row>
    <row r="8285" spans="8:8" s="180" customFormat="1">
      <c r="H8285" s="273"/>
    </row>
    <row r="8286" spans="8:8" s="180" customFormat="1">
      <c r="H8286" s="273"/>
    </row>
    <row r="8287" spans="8:8" s="180" customFormat="1">
      <c r="H8287" s="273"/>
    </row>
    <row r="8288" spans="8:8" s="180" customFormat="1">
      <c r="H8288" s="273"/>
    </row>
    <row r="8289" spans="8:8" s="180" customFormat="1">
      <c r="H8289" s="273"/>
    </row>
    <row r="8290" spans="8:8" s="180" customFormat="1">
      <c r="H8290" s="273"/>
    </row>
    <row r="8291" spans="8:8" s="180" customFormat="1">
      <c r="H8291" s="273"/>
    </row>
    <row r="8292" spans="8:8" s="180" customFormat="1">
      <c r="H8292" s="273"/>
    </row>
    <row r="8293" spans="8:8" s="180" customFormat="1">
      <c r="H8293" s="273"/>
    </row>
    <row r="8294" spans="8:8" s="180" customFormat="1">
      <c r="H8294" s="273"/>
    </row>
    <row r="8295" spans="8:8" s="180" customFormat="1">
      <c r="H8295" s="273"/>
    </row>
    <row r="8296" spans="8:8" s="180" customFormat="1">
      <c r="H8296" s="273"/>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8.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2" activePane="bottomLeft" state="frozen"/>
      <selection pane="bottomLeft" activeCell="P11" sqref="P11"/>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1570</v>
      </c>
      <c r="C1" s="106"/>
      <c r="D1" s="106" t="s">
        <v>2349</v>
      </c>
      <c r="E1" s="106"/>
      <c r="F1" s="106"/>
      <c r="G1" s="106" t="s">
        <v>1293</v>
      </c>
      <c r="H1" s="106"/>
      <c r="I1" s="106"/>
      <c r="J1" s="106" t="s">
        <v>301</v>
      </c>
      <c r="K1" s="106"/>
      <c r="L1" s="106"/>
      <c r="M1" s="106" t="s">
        <v>2350</v>
      </c>
      <c r="N1" s="106"/>
      <c r="O1" s="106"/>
      <c r="P1" s="106" t="s">
        <v>2551</v>
      </c>
      <c r="Q1" s="106"/>
    </row>
    <row r="2" spans="1:22">
      <c r="B2" s="103" t="s">
        <v>1571</v>
      </c>
      <c r="C2" s="103"/>
      <c r="D2" s="102" t="s">
        <v>0</v>
      </c>
      <c r="G2" s="101" t="s">
        <v>226</v>
      </c>
    </row>
    <row r="3" spans="1:22">
      <c r="A3" s="435" t="s">
        <v>900</v>
      </c>
      <c r="B3" s="225">
        <v>7.16</v>
      </c>
      <c r="C3" s="435">
        <f>10*B3</f>
        <v>71.599999999999994</v>
      </c>
      <c r="D3" s="225">
        <v>11.45</v>
      </c>
      <c r="E3" s="435">
        <f>10*D3</f>
        <v>114.5</v>
      </c>
      <c r="F3" s="435"/>
      <c r="G3" s="225">
        <v>9.66</v>
      </c>
      <c r="H3" s="435">
        <f>10*G3</f>
        <v>96.6</v>
      </c>
      <c r="I3" s="435"/>
      <c r="J3" s="225">
        <v>12.88</v>
      </c>
      <c r="K3" s="435">
        <f>10*J3</f>
        <v>128.80000000000001</v>
      </c>
      <c r="L3" s="435"/>
      <c r="M3" s="225">
        <v>16.09</v>
      </c>
      <c r="N3" s="435">
        <f>10*M3</f>
        <v>160.9</v>
      </c>
      <c r="O3" s="435"/>
      <c r="P3" s="225">
        <v>7.86</v>
      </c>
      <c r="Q3" s="611">
        <f>10*P3</f>
        <v>78.599999999999994</v>
      </c>
      <c r="R3" s="435"/>
    </row>
    <row r="4" spans="1:22">
      <c r="A4" s="843" t="s">
        <v>427</v>
      </c>
      <c r="B4" s="225">
        <v>6.13</v>
      </c>
      <c r="C4" s="435">
        <f>+C3+10*B4</f>
        <v>132.9</v>
      </c>
      <c r="D4" s="225">
        <v>9.7899999999999991</v>
      </c>
      <c r="E4" s="435">
        <f>+E3+10*D4</f>
        <v>212.4</v>
      </c>
      <c r="F4" s="435"/>
      <c r="G4" s="420">
        <v>8.27</v>
      </c>
      <c r="H4" s="435">
        <f>+H3+10*G4</f>
        <v>179.3</v>
      </c>
      <c r="I4" s="435"/>
      <c r="J4" s="225">
        <v>11.03</v>
      </c>
      <c r="K4" s="435">
        <f>+K3+10*J4</f>
        <v>239.1</v>
      </c>
      <c r="L4" s="435"/>
      <c r="M4" s="224">
        <v>13.78</v>
      </c>
      <c r="N4" s="435">
        <f>+N3+10*M4</f>
        <v>298.7</v>
      </c>
      <c r="O4" s="435"/>
      <c r="P4" s="225">
        <v>6.73</v>
      </c>
      <c r="Q4" s="435">
        <f>+Q3+10*P4</f>
        <v>145.9</v>
      </c>
      <c r="R4" s="435"/>
    </row>
    <row r="5" spans="1:22">
      <c r="A5" s="435" t="s">
        <v>975</v>
      </c>
      <c r="B5" s="225">
        <v>5.27</v>
      </c>
      <c r="C5" s="435">
        <f>+C4+20*B5</f>
        <v>238.3</v>
      </c>
      <c r="D5" s="225">
        <v>8.43</v>
      </c>
      <c r="E5" s="435">
        <f>+E4+20*D5</f>
        <v>381</v>
      </c>
      <c r="F5" s="435"/>
      <c r="G5" s="225">
        <v>7.1</v>
      </c>
      <c r="H5" s="435">
        <f>+H4+20*G5</f>
        <v>321.3</v>
      </c>
      <c r="I5" s="435"/>
      <c r="J5" s="225">
        <v>9.49</v>
      </c>
      <c r="K5" s="435">
        <f>+K4+20*J5</f>
        <v>428.9</v>
      </c>
      <c r="L5" s="435"/>
      <c r="M5" s="225">
        <v>11.85</v>
      </c>
      <c r="N5" s="435">
        <f>+N4+20*M5</f>
        <v>535.70000000000005</v>
      </c>
      <c r="O5" s="435"/>
      <c r="P5" s="225">
        <v>5.8</v>
      </c>
      <c r="Q5" s="435">
        <f>+Q4+20*P5</f>
        <v>261.89999999999998</v>
      </c>
      <c r="R5" s="435"/>
    </row>
    <row r="6" spans="1:22">
      <c r="A6" s="435" t="s">
        <v>976</v>
      </c>
      <c r="B6" s="225">
        <v>4.54</v>
      </c>
      <c r="C6" s="435">
        <f>+C5+40*B6</f>
        <v>419.9</v>
      </c>
      <c r="D6" s="225">
        <v>7.91</v>
      </c>
      <c r="E6" s="435">
        <f>+E5+40*D6</f>
        <v>697.4</v>
      </c>
      <c r="F6" s="435"/>
      <c r="G6" s="225">
        <v>6.13</v>
      </c>
      <c r="H6" s="435">
        <f>+H5+40*G6</f>
        <v>566.5</v>
      </c>
      <c r="I6" s="435"/>
      <c r="J6" s="225">
        <v>8.17</v>
      </c>
      <c r="K6" s="435">
        <f>+K5+40*J6</f>
        <v>755.7</v>
      </c>
      <c r="L6" s="435"/>
      <c r="M6" s="225">
        <v>10.23</v>
      </c>
      <c r="N6" s="435">
        <f>+N5+40*M6</f>
        <v>944.9</v>
      </c>
      <c r="O6" s="435"/>
      <c r="P6" s="225">
        <v>5.01</v>
      </c>
      <c r="Q6" s="435">
        <f>+Q5+40*P6</f>
        <v>462.3</v>
      </c>
      <c r="R6" s="435"/>
    </row>
    <row r="7" spans="1:22">
      <c r="A7" s="435" t="s">
        <v>977</v>
      </c>
      <c r="B7" s="225">
        <v>4.1399999999999997</v>
      </c>
      <c r="C7" s="435"/>
      <c r="D7" s="225">
        <v>6.63</v>
      </c>
      <c r="E7" s="435"/>
      <c r="F7" s="435"/>
      <c r="G7" s="225">
        <v>5.61</v>
      </c>
      <c r="H7" s="435"/>
      <c r="I7" s="435"/>
      <c r="J7" s="225">
        <v>7.46</v>
      </c>
      <c r="K7" s="435"/>
      <c r="L7" s="435"/>
      <c r="M7" s="225">
        <v>9.33</v>
      </c>
      <c r="N7" s="435"/>
      <c r="O7" s="435"/>
      <c r="P7" s="225">
        <v>4.5599999999999996</v>
      </c>
      <c r="Q7" s="435"/>
      <c r="R7" s="435"/>
    </row>
    <row r="8" spans="1:22" ht="5.25" customHeight="1">
      <c r="A8" s="435"/>
      <c r="B8" s="435"/>
      <c r="C8" s="435"/>
      <c r="D8" s="435"/>
      <c r="E8" s="435"/>
      <c r="F8" s="435"/>
      <c r="G8" s="435"/>
      <c r="H8" s="435"/>
      <c r="I8" s="435"/>
      <c r="J8" s="435"/>
      <c r="K8" s="435"/>
      <c r="L8" s="435"/>
      <c r="M8" s="435"/>
      <c r="N8" s="435"/>
      <c r="O8" s="435"/>
      <c r="P8" s="435"/>
      <c r="Q8" s="435"/>
      <c r="R8" s="435"/>
    </row>
    <row r="9" spans="1:22" ht="6.75" customHeight="1">
      <c r="A9" s="435"/>
      <c r="B9" s="844"/>
      <c r="C9" s="844"/>
      <c r="D9" s="435"/>
      <c r="E9" s="435"/>
      <c r="F9" s="435"/>
      <c r="G9" s="435"/>
      <c r="H9" s="435"/>
      <c r="I9" s="435"/>
      <c r="J9" s="435"/>
      <c r="K9" s="435"/>
      <c r="L9" s="435"/>
      <c r="M9" s="435"/>
      <c r="N9" s="435"/>
      <c r="O9" s="435"/>
      <c r="P9" s="435"/>
      <c r="Q9" s="435"/>
      <c r="R9" s="435"/>
    </row>
    <row r="10" spans="1:22" ht="28.5" customHeight="1">
      <c r="A10" s="435"/>
      <c r="B10" s="435" t="s">
        <v>867</v>
      </c>
      <c r="C10" s="435"/>
      <c r="D10" s="1098">
        <v>23</v>
      </c>
      <c r="E10" s="611">
        <f>IF(D10&lt;11,D10*$D$3,IF(D10&lt;21,($E$3+(D10-10)*$D$4),IF(D10&lt;41,$E$4+(D10-20)*$D$5,IF(D10&lt;81,($E$5+(D10-40)*$D$6),$E$6+(D10-80)*$D$7))))</f>
        <v>237.69</v>
      </c>
      <c r="F10" s="435"/>
      <c r="G10" s="435">
        <v>22</v>
      </c>
      <c r="H10" s="435">
        <f>IF(G10&lt;11,G10*$G$3,IF(G10&lt;21,($H$3+(G10-10)*$G$4),IF(G10&lt;41,$H$4+(G10-20)*$G$5,IF(G10&lt;81,($H$5+(G10-40)*$G$6),$H$6+(G10-80)*$G$7))))</f>
        <v>193.5</v>
      </c>
      <c r="I10" s="435"/>
      <c r="J10" s="435"/>
      <c r="K10" s="435"/>
      <c r="L10" s="48" t="s">
        <v>1192</v>
      </c>
      <c r="M10" s="435">
        <v>22</v>
      </c>
      <c r="N10" s="435">
        <f>IF(M10&lt;11,M10*$M$3,IF(M10&lt;21,($N$3+(M10-10)*$M$4),IF(M10&lt;41,$N$4+(M10-20)*$M$5,IF(M10&lt;81,($N$5+(M10-40)*$M$6),$N$6+(M10-80)*$M$7))))</f>
        <v>322.39999999999998</v>
      </c>
      <c r="O10" s="435"/>
      <c r="P10" s="1098">
        <v>22</v>
      </c>
      <c r="Q10" s="44">
        <f>IF(P10&lt;11,P10*$P$3,IF(P10&lt;21,($Q$3+(P10-10)*$P$4),IF(P10&lt;41,$Q$4+(P10-20)*$P$5,IF(P10&lt;81,($Q$5+(P10-40)*$P$6),$Q$6+(P10-80)*$P$7))))</f>
        <v>157.5</v>
      </c>
      <c r="R10" s="435" t="s">
        <v>1181</v>
      </c>
    </row>
    <row r="11" spans="1:22">
      <c r="A11" s="435"/>
      <c r="B11" s="435" t="s">
        <v>1086</v>
      </c>
      <c r="C11" s="435"/>
      <c r="D11" s="1098">
        <v>30</v>
      </c>
      <c r="E11" s="611">
        <f>IF(D11&lt;11,D11*$D$3,(IF(D11&lt;21,($E$3+(D11-10)*$D$4),(IF(D11&lt;41,$E$4+(D11-20)*$D$5,IF(D11&lt;81,($E$5+(D11-40)*$D$6),$E$6+(D11-80)*$D$7))))))</f>
        <v>296.7</v>
      </c>
      <c r="F11" s="435"/>
      <c r="G11" s="435"/>
      <c r="H11" s="435">
        <f>IF(G11&lt;11,G11*$G$3,IF(G11&lt;21,($H$3+(G11-10)*$G$4),IF(G11&lt;41,$H$4+(G11-20)*$G$5,IF(G11&lt;81,($H$5+(G11-40)*$G$6),$H$6+(G11-80)*$G$7))))</f>
        <v>0</v>
      </c>
      <c r="I11" s="435"/>
      <c r="J11" s="435">
        <v>0</v>
      </c>
      <c r="K11" s="435">
        <f>IF(J11&lt;11,J11*$J$3,IF(J11&lt;21,($K$3+(J11-10)*$J$4),IF(J11&lt;41,$K$4+(J11-20)*$J$5,IF(J11&lt;81,($K$5+(J11-40)*$J$6),$K$6+(J11-80)*$J$7))))/2</f>
        <v>0</v>
      </c>
      <c r="L11" s="49" t="s">
        <v>302</v>
      </c>
      <c r="M11" s="435"/>
      <c r="N11" s="435"/>
      <c r="O11" s="435"/>
      <c r="P11" s="1098">
        <v>14</v>
      </c>
      <c r="Q11" s="44">
        <f>IF(P11&lt;11,P11*$P$3,IF(P11&lt;21,($Q$3+(P11-10)*$P$4),IF(P11&lt;41,$Q$4+(P11-20)*$P$5,IF(P11&lt;81,($Q$5+(P11-40)*$P$6),$Q$6+(P11-80)*$P$7))))</f>
        <v>105.52</v>
      </c>
      <c r="R11" s="435" t="s">
        <v>1182</v>
      </c>
      <c r="T11" s="435" t="s">
        <v>3610</v>
      </c>
    </row>
    <row r="12" spans="1:22" ht="21" customHeight="1">
      <c r="A12" s="435"/>
      <c r="B12" s="48" t="s">
        <v>794</v>
      </c>
      <c r="C12" s="48"/>
      <c r="D12" s="1098">
        <v>23</v>
      </c>
      <c r="E12" s="435">
        <f>IF(D12&lt;11,D12*$D$3,(IF(D12&lt;21,($E$3+(D12-10)*$D$4),(IF(D12&lt;41,$E$4+(D12-20)*$D$5,IF(D12&lt;81,($E$5+(D12-40)*$D$6),$E$6+(D12-80)*$D$7))))))</f>
        <v>237.69</v>
      </c>
      <c r="F12" s="435"/>
      <c r="G12" s="435"/>
      <c r="H12" s="435"/>
      <c r="I12" s="435"/>
      <c r="J12" s="435">
        <v>0</v>
      </c>
      <c r="K12" s="435">
        <f>IF(J12&lt;11,J12*$J$3,IF(J12&lt;21,($K$3+(J12-10)*$J$4),IF(J12&lt;41,$K$4+(J12-20)*$J$5,IF(J12&lt;81,($K$5+(J12-40)*$J$6),$K$6+(J12-80)*$J$7))))/2</f>
        <v>0</v>
      </c>
      <c r="L12" s="435"/>
      <c r="M12" s="435"/>
      <c r="N12" s="435">
        <f>90+77.5+6.85*20+5.7*23</f>
        <v>435.6</v>
      </c>
      <c r="O12" s="435"/>
      <c r="P12" s="1098">
        <v>0</v>
      </c>
      <c r="Q12" s="44">
        <f>IF(P12&lt;11,P12*$P$3,IF(P12&lt;21,($Q$3+(P12-10)*$P$4),IF(P12&lt;41,$Q$4+(P12-20)*$P$5,IF(P12&lt;81,($Q$5+(P12-40)*$P$6),$Q$6+(P12-80)*$P$7))))</f>
        <v>0</v>
      </c>
      <c r="R12" s="435" t="s">
        <v>3851</v>
      </c>
      <c r="T12" s="44">
        <f>8.69*6</f>
        <v>52.14</v>
      </c>
      <c r="U12" s="101" t="s">
        <v>3609</v>
      </c>
    </row>
    <row r="13" spans="1:22">
      <c r="A13" s="435"/>
      <c r="B13" s="435" t="s">
        <v>210</v>
      </c>
      <c r="C13" s="435"/>
      <c r="D13" s="1098">
        <v>13</v>
      </c>
      <c r="E13" s="611">
        <f>IF(D13&lt;11,D13*$D$3,(IF(D13&lt;21,($E$3+(D13-10)*$D$4),(IF(D13&lt;41,$E$4+(D13-20)*$D$5,IF(D13&lt;81,($E$5+(D13-40)*$D$6),$E$6+(D13-80)*$D$7))))))</f>
        <v>143.87</v>
      </c>
      <c r="F13" s="435"/>
      <c r="G13" s="435"/>
      <c r="H13" s="435"/>
      <c r="I13" s="435"/>
      <c r="J13" s="435"/>
      <c r="K13" s="435"/>
      <c r="L13" s="435"/>
      <c r="M13" s="435"/>
      <c r="N13" s="435"/>
      <c r="O13" s="435"/>
      <c r="P13" s="1098">
        <v>23</v>
      </c>
      <c r="Q13" s="44">
        <f>IF(P13&lt;11,P13*$P$3,IF(P13&lt;21,($Q$3+(P13-10)*$P$4),IF(P13&lt;41,$Q$4+(P13-20)*$P$5,IF(P13&lt;81,($Q$5+(P13-40)*$P$6),$Q$6+(P13-80)*$P$7))))</f>
        <v>163.30000000000001</v>
      </c>
      <c r="R13" s="435" t="s">
        <v>3612</v>
      </c>
    </row>
    <row r="14" spans="1:22">
      <c r="A14" s="435"/>
      <c r="B14" s="435" t="s">
        <v>395</v>
      </c>
      <c r="C14" s="435"/>
      <c r="D14" s="1098">
        <v>0</v>
      </c>
      <c r="E14" s="435">
        <f>IF(D14&lt;11,D14*$B$3,(IF(D14&lt;21,($C$3+(D14-10)*$B$4),(IF(D14&lt;41,$C$4+(D14-20)*$B$5,IF(D14&lt;81,($C$5+(D14-40)*$B$6),$C$6+(D14-80)*$B$7))))))</f>
        <v>0</v>
      </c>
      <c r="F14" s="435"/>
      <c r="G14" s="435"/>
      <c r="H14" s="435"/>
      <c r="I14" s="435"/>
      <c r="J14" s="435"/>
      <c r="K14" s="435"/>
      <c r="L14" s="435"/>
      <c r="M14" s="435"/>
      <c r="N14" s="435"/>
      <c r="O14" s="435"/>
      <c r="P14" s="435"/>
      <c r="R14" s="435"/>
      <c r="S14" s="44" t="s">
        <v>992</v>
      </c>
      <c r="T14" s="435" t="s">
        <v>992</v>
      </c>
      <c r="U14" s="44">
        <f>8.69+7.44+6.4+6</f>
        <v>28.53</v>
      </c>
      <c r="V14" s="44">
        <f>U14*44</f>
        <v>1255.32</v>
      </c>
    </row>
    <row r="15" spans="1:22">
      <c r="A15" s="435"/>
      <c r="B15" s="435" t="s">
        <v>520</v>
      </c>
      <c r="C15" s="435"/>
      <c r="D15" s="1098">
        <v>0</v>
      </c>
      <c r="E15" s="435">
        <f>IF(D15&lt;11,D15*$B$3,(IF(D15&lt;21,($C$3+(D15-10)*$B$4),(IF(D15&lt;41,$C$4+(D15-20)*$B$5,IF(D15&lt;81,($C$5+(D15-40)*$B$6),$C$6+(D15-80)*$B$7))))))</f>
        <v>0</v>
      </c>
      <c r="F15" s="435"/>
      <c r="G15" s="435"/>
      <c r="H15" s="435"/>
      <c r="I15" s="435"/>
      <c r="J15" s="435"/>
      <c r="K15" s="435"/>
      <c r="L15" s="435"/>
      <c r="M15" s="435"/>
      <c r="N15" s="435"/>
      <c r="O15" s="435"/>
      <c r="P15" s="435"/>
      <c r="R15" s="435"/>
    </row>
    <row r="16" spans="1:22">
      <c r="A16" s="435"/>
      <c r="B16" s="435" t="s">
        <v>3278</v>
      </c>
      <c r="C16" s="435"/>
      <c r="D16" s="1098">
        <v>0</v>
      </c>
      <c r="E16" s="611">
        <f t="shared" ref="E16" si="0">IF(D16&lt;11,D16*$D$3,(IF(D16&lt;21,($E$3+(D16-10)*$D$4),(IF(D16&lt;41,$E$4+(D16-20)*$D$5,IF(D16&lt;81,($E$5+(D16-40)*$D$6),$E$6+(D16-80)*$D$7))))))</f>
        <v>0</v>
      </c>
      <c r="F16" s="435"/>
      <c r="G16" s="435"/>
      <c r="H16" s="435"/>
      <c r="I16" s="435"/>
      <c r="J16" s="435"/>
      <c r="K16" s="435"/>
      <c r="L16" s="435"/>
      <c r="M16" s="435"/>
      <c r="N16" s="435"/>
      <c r="O16" s="435"/>
      <c r="P16" s="435"/>
      <c r="R16" s="435"/>
      <c r="U16" s="44">
        <f>8.69*10</f>
        <v>86.9</v>
      </c>
    </row>
    <row r="17" spans="1:21">
      <c r="A17" s="435"/>
      <c r="B17" s="435"/>
      <c r="C17" s="435"/>
      <c r="D17" s="1098">
        <v>0</v>
      </c>
      <c r="E17" s="435">
        <f t="shared" ref="E17:E21" si="1">IF(D17&lt;11,D17*$D$3,(IF(D17&lt;21,($E$3+(D17-10)*$D$4),(IF(D17&lt;41,$E$4+(D17-20)*$D$5,IF(D17&lt;81,($E$5+(D17-40)*$D$6),$E$6+(D17-80)*$D$7))))))</f>
        <v>0</v>
      </c>
      <c r="F17" s="435"/>
      <c r="G17" s="435"/>
      <c r="H17" s="435"/>
      <c r="I17" s="435"/>
      <c r="J17" s="435"/>
      <c r="K17" s="435"/>
      <c r="L17" s="435"/>
      <c r="M17" s="435"/>
      <c r="N17" s="435"/>
      <c r="O17" s="435"/>
      <c r="P17" s="435"/>
      <c r="Q17" s="435"/>
      <c r="R17" s="435"/>
      <c r="U17" s="44">
        <f>7.44*10</f>
        <v>74.400000000000006</v>
      </c>
    </row>
    <row r="18" spans="1:21">
      <c r="A18" s="435"/>
      <c r="B18" s="435"/>
      <c r="C18" s="435"/>
      <c r="D18" s="1098">
        <v>0</v>
      </c>
      <c r="E18" s="435">
        <f t="shared" si="1"/>
        <v>0</v>
      </c>
      <c r="F18" s="435"/>
      <c r="G18" s="611"/>
      <c r="H18" s="611">
        <f>(G18+G19)/2</f>
        <v>0</v>
      </c>
      <c r="I18" s="435"/>
      <c r="J18" s="435"/>
      <c r="K18" s="435"/>
      <c r="L18" s="435"/>
      <c r="M18" s="435"/>
      <c r="N18" s="435"/>
      <c r="O18" s="435"/>
      <c r="P18" s="435"/>
      <c r="Q18" s="435"/>
      <c r="R18" s="435"/>
      <c r="U18" s="44">
        <f>6.4*20</f>
        <v>128</v>
      </c>
    </row>
    <row r="19" spans="1:21">
      <c r="A19" s="435"/>
      <c r="B19" s="435"/>
      <c r="C19" s="435"/>
      <c r="D19" s="1098">
        <v>0</v>
      </c>
      <c r="E19" s="435">
        <f t="shared" si="1"/>
        <v>0</v>
      </c>
      <c r="F19" s="435"/>
      <c r="G19" s="611"/>
      <c r="H19" s="435">
        <f>15+20+25+0.2</f>
        <v>60.2</v>
      </c>
      <c r="I19" s="435"/>
      <c r="J19" s="435"/>
      <c r="K19" s="435"/>
      <c r="L19" s="435"/>
      <c r="M19" s="435"/>
      <c r="N19" s="435"/>
      <c r="O19" s="435"/>
      <c r="P19" s="435"/>
      <c r="Q19" s="435"/>
      <c r="R19" s="435"/>
      <c r="U19" s="44">
        <f>6*4</f>
        <v>24</v>
      </c>
    </row>
    <row r="20" spans="1:21">
      <c r="D20" s="1098">
        <v>0</v>
      </c>
      <c r="E20" s="44">
        <f t="shared" si="1"/>
        <v>0</v>
      </c>
      <c r="G20" s="47"/>
      <c r="U20" s="101">
        <f>SUM(U16:U19)</f>
        <v>313.3</v>
      </c>
    </row>
    <row r="21" spans="1:21">
      <c r="D21" s="435">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3" type="noConversion"/>
  <pageMargins left="0.46" right="0.19" top="1" bottom="1" header="0.5" footer="0.5"/>
  <pageSetup paperSize="9" scale="88" orientation="landscape" r:id="rId1"/>
  <headerFooter alignWithMargins="0"/>
</worksheet>
</file>

<file path=xl/worksheets/sheet9.xml><?xml version="1.0" encoding="utf-8"?>
<worksheet xmlns="http://schemas.openxmlformats.org/spreadsheetml/2006/main" xmlns:r="http://schemas.openxmlformats.org/officeDocument/2006/relationships">
  <sheetPr syncVertical="1" syncRef="F860" transitionEvaluation="1"/>
  <dimension ref="A1:DZ5476"/>
  <sheetViews>
    <sheetView view="pageBreakPreview" topLeftCell="F860" zoomScaleNormal="60" zoomScaleSheetLayoutView="100" workbookViewId="0">
      <selection activeCell="K882" sqref="K882"/>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7.77734375" style="180" customWidth="1"/>
    <col min="7" max="7" width="6.5546875" style="178" customWidth="1"/>
    <col min="8" max="8" width="46.88671875" style="180" customWidth="1"/>
    <col min="9" max="9" width="10" style="180" customWidth="1"/>
    <col min="10" max="10" width="9.21875" style="155" customWidth="1"/>
    <col min="11" max="11" width="11.44140625" style="180" customWidth="1"/>
    <col min="12" max="12" width="9.77734375" style="180" customWidth="1"/>
    <col min="13" max="13" width="9.5546875" style="180" customWidth="1"/>
    <col min="14" max="14" width="10.88671875" style="180" customWidth="1"/>
    <col min="15" max="15" width="48.109375" style="180" customWidth="1"/>
    <col min="16" max="16" width="9.77734375" style="180" customWidth="1"/>
    <col min="17" max="17" width="9.21875" style="180" customWidth="1"/>
    <col min="18" max="18" width="10.33203125" style="180" customWidth="1"/>
    <col min="19" max="19" width="9.5546875" style="180" customWidth="1"/>
    <col min="20" max="20" width="9" style="180" customWidth="1"/>
    <col min="21" max="21" width="9.21875" style="180" customWidth="1"/>
    <col min="22" max="22" width="52.5546875" style="180" customWidth="1"/>
    <col min="23" max="23" width="14.77734375" style="180" customWidth="1"/>
    <col min="24" max="24" width="10.6640625" style="180" customWidth="1"/>
    <col min="25" max="25" width="13.44140625" style="180" customWidth="1"/>
    <col min="26" max="26" width="9.6640625" style="180" customWidth="1"/>
    <col min="27" max="27" width="8.6640625" style="180" customWidth="1"/>
    <col min="28" max="28" width="9.6640625" style="180" customWidth="1"/>
    <col min="29" max="29" width="60.88671875" style="180" customWidth="1"/>
    <col min="30" max="30" width="10.44140625" style="180" customWidth="1"/>
    <col min="31" max="31" width="8.77734375" style="180" customWidth="1"/>
    <col min="32" max="32" width="17.33203125" style="180" customWidth="1"/>
    <col min="33" max="33" width="9" style="180" customWidth="1"/>
    <col min="34" max="34" width="8.77734375" style="180" customWidth="1"/>
    <col min="35" max="16384" width="7.44140625" style="180"/>
  </cols>
  <sheetData>
    <row r="1" spans="1:18">
      <c r="A1" s="265"/>
    </row>
    <row r="2" spans="1:18" ht="19.5">
      <c r="A2" s="265"/>
      <c r="H2" s="462" t="s">
        <v>3781</v>
      </c>
    </row>
    <row r="3" spans="1:18">
      <c r="A3" s="265"/>
      <c r="H3" s="349" t="s">
        <v>4810</v>
      </c>
    </row>
    <row r="4" spans="1:18">
      <c r="A4" s="265"/>
    </row>
    <row r="5" spans="1:18">
      <c r="A5" s="265"/>
      <c r="H5" s="461" t="s">
        <v>2943</v>
      </c>
    </row>
    <row r="6" spans="1:18" ht="31.5">
      <c r="A6" s="265"/>
      <c r="H6" s="459" t="s">
        <v>2944</v>
      </c>
      <c r="O6" s="350" t="s">
        <v>2945</v>
      </c>
    </row>
    <row r="7" spans="1:18">
      <c r="A7" s="265"/>
      <c r="H7" s="459" t="s">
        <v>2946</v>
      </c>
    </row>
    <row r="8" spans="1:18">
      <c r="A8" s="265"/>
      <c r="H8" s="460"/>
    </row>
    <row r="9" spans="1:18">
      <c r="A9" s="265"/>
      <c r="H9" s="459" t="s">
        <v>2947</v>
      </c>
    </row>
    <row r="10" spans="1:18">
      <c r="A10" s="265"/>
    </row>
    <row r="11" spans="1:18" ht="173.25">
      <c r="A11" s="265"/>
      <c r="H11" s="351" t="s">
        <v>2424</v>
      </c>
      <c r="M11" s="352"/>
      <c r="N11" s="352"/>
      <c r="O11" s="351" t="s">
        <v>2891</v>
      </c>
      <c r="P11" s="352"/>
      <c r="Q11" s="352"/>
      <c r="R11" s="352"/>
    </row>
    <row r="12" spans="1:18" ht="31.5">
      <c r="A12" s="265"/>
      <c r="F12" s="352">
        <v>90</v>
      </c>
      <c r="G12" s="352" t="s">
        <v>842</v>
      </c>
      <c r="H12" s="458" t="s">
        <v>5186</v>
      </c>
      <c r="I12" s="353">
        <v>16.55</v>
      </c>
      <c r="J12" s="352" t="s">
        <v>2587</v>
      </c>
      <c r="K12" s="352">
        <f>F12*I12</f>
        <v>1489.5</v>
      </c>
      <c r="M12" s="352"/>
      <c r="N12" s="352"/>
      <c r="O12" s="350"/>
      <c r="P12" s="352"/>
      <c r="Q12" s="352"/>
      <c r="R12" s="352"/>
    </row>
    <row r="13" spans="1:18" ht="31.5">
      <c r="A13" s="265"/>
      <c r="E13" s="352"/>
      <c r="F13" s="352">
        <v>45</v>
      </c>
      <c r="G13" s="352" t="s">
        <v>842</v>
      </c>
      <c r="H13" s="351" t="s">
        <v>5187</v>
      </c>
      <c r="I13" s="353">
        <v>20</v>
      </c>
      <c r="J13" s="352" t="s">
        <v>2404</v>
      </c>
      <c r="K13" s="352">
        <f t="shared" ref="K13:K25" si="0">F13*I13</f>
        <v>900</v>
      </c>
      <c r="L13" s="352"/>
      <c r="M13" s="352"/>
      <c r="N13" s="352"/>
      <c r="P13" s="352" t="s">
        <v>992</v>
      </c>
      <c r="Q13" s="352"/>
      <c r="R13" s="352"/>
    </row>
    <row r="14" spans="1:18">
      <c r="A14" s="265"/>
      <c r="E14" s="352"/>
      <c r="F14" s="352">
        <v>20</v>
      </c>
      <c r="G14" s="352" t="s">
        <v>1419</v>
      </c>
      <c r="H14" s="352" t="s">
        <v>5188</v>
      </c>
      <c r="I14" s="353">
        <v>3.15</v>
      </c>
      <c r="J14" s="352" t="s">
        <v>1419</v>
      </c>
      <c r="K14" s="352">
        <f t="shared" si="0"/>
        <v>63</v>
      </c>
      <c r="L14" s="352"/>
      <c r="M14" s="352"/>
      <c r="N14" s="352"/>
      <c r="O14" s="352"/>
      <c r="P14" s="352"/>
      <c r="Q14" s="352"/>
      <c r="R14" s="352"/>
    </row>
    <row r="15" spans="1:18" ht="31.5">
      <c r="A15" s="265"/>
      <c r="E15" s="352"/>
      <c r="F15" s="352">
        <v>10</v>
      </c>
      <c r="G15" s="352" t="s">
        <v>1419</v>
      </c>
      <c r="H15" s="352" t="s">
        <v>5736</v>
      </c>
      <c r="I15" s="421">
        <f>16.05/12</f>
        <v>1.34</v>
      </c>
      <c r="J15" s="352" t="s">
        <v>1419</v>
      </c>
      <c r="K15" s="352">
        <f t="shared" si="0"/>
        <v>13.4</v>
      </c>
      <c r="L15" s="352"/>
      <c r="M15" s="352">
        <v>90</v>
      </c>
      <c r="N15" s="352" t="s">
        <v>842</v>
      </c>
      <c r="O15" s="458" t="s">
        <v>2586</v>
      </c>
      <c r="P15" s="352">
        <f>I25</f>
        <v>16.55</v>
      </c>
      <c r="Q15" s="352" t="s">
        <v>842</v>
      </c>
      <c r="R15" s="352">
        <f>M15*P15</f>
        <v>1489.5</v>
      </c>
    </row>
    <row r="16" spans="1:18" ht="31.5">
      <c r="A16" s="265"/>
      <c r="E16" s="352"/>
      <c r="F16" s="352">
        <v>1</v>
      </c>
      <c r="G16" s="352" t="s">
        <v>1419</v>
      </c>
      <c r="H16" s="352" t="s">
        <v>5189</v>
      </c>
      <c r="I16" s="421">
        <v>70.7</v>
      </c>
      <c r="J16" s="352" t="s">
        <v>1419</v>
      </c>
      <c r="K16" s="352">
        <f t="shared" si="0"/>
        <v>70.7</v>
      </c>
      <c r="L16" s="352"/>
      <c r="M16" s="352">
        <v>45</v>
      </c>
      <c r="N16" s="352" t="s">
        <v>842</v>
      </c>
      <c r="O16" s="351" t="s">
        <v>2403</v>
      </c>
      <c r="P16" s="352">
        <f>I13</f>
        <v>20</v>
      </c>
      <c r="Q16" s="352" t="s">
        <v>2404</v>
      </c>
      <c r="R16" s="352">
        <f t="shared" ref="R16:R28" si="1">M16*P16</f>
        <v>900</v>
      </c>
    </row>
    <row r="17" spans="1:20">
      <c r="A17" s="265"/>
      <c r="E17" s="352"/>
      <c r="F17" s="352"/>
      <c r="G17" s="352"/>
      <c r="H17" s="352"/>
      <c r="I17" s="352"/>
      <c r="J17" s="352"/>
      <c r="K17" s="352"/>
      <c r="L17" s="352"/>
      <c r="M17" s="352">
        <v>75</v>
      </c>
      <c r="N17" s="352" t="s">
        <v>1419</v>
      </c>
      <c r="O17" s="352" t="s">
        <v>5190</v>
      </c>
      <c r="P17" s="421">
        <v>3.6</v>
      </c>
      <c r="Q17" s="352" t="s">
        <v>3451</v>
      </c>
      <c r="R17" s="352">
        <f>M17*P17/12</f>
        <v>22.5</v>
      </c>
    </row>
    <row r="18" spans="1:20">
      <c r="A18" s="265"/>
      <c r="E18" s="352"/>
      <c r="F18" s="355">
        <v>1.4999999999999999E-2</v>
      </c>
      <c r="G18" s="352" t="s">
        <v>2322</v>
      </c>
      <c r="H18" s="352" t="s">
        <v>5737</v>
      </c>
      <c r="I18" s="353">
        <v>661</v>
      </c>
      <c r="J18" s="352" t="s">
        <v>2322</v>
      </c>
      <c r="K18" s="352">
        <f t="shared" si="0"/>
        <v>9.92</v>
      </c>
      <c r="L18" s="352"/>
      <c r="M18" s="352">
        <v>12</v>
      </c>
      <c r="N18" s="352" t="s">
        <v>1419</v>
      </c>
      <c r="O18" s="352" t="s">
        <v>2405</v>
      </c>
      <c r="P18" s="352">
        <f>I14</f>
        <v>3.15</v>
      </c>
      <c r="Q18" s="352" t="s">
        <v>1419</v>
      </c>
      <c r="R18" s="352">
        <f t="shared" si="1"/>
        <v>37.799999999999997</v>
      </c>
    </row>
    <row r="19" spans="1:20">
      <c r="A19" s="265"/>
      <c r="E19" s="352"/>
      <c r="F19" s="352">
        <v>10</v>
      </c>
      <c r="G19" s="352" t="s">
        <v>1419</v>
      </c>
      <c r="H19" s="352" t="s">
        <v>5738</v>
      </c>
      <c r="I19" s="353">
        <f>194.5/12</f>
        <v>16.21</v>
      </c>
      <c r="J19" s="352" t="s">
        <v>1419</v>
      </c>
      <c r="K19" s="352">
        <f t="shared" si="0"/>
        <v>162.1</v>
      </c>
      <c r="L19" s="352"/>
      <c r="M19" s="352">
        <v>6</v>
      </c>
      <c r="N19" s="352" t="s">
        <v>1419</v>
      </c>
      <c r="O19" s="352" t="s">
        <v>3448</v>
      </c>
      <c r="P19" s="352">
        <f>I15</f>
        <v>1.34</v>
      </c>
      <c r="Q19" s="352" t="s">
        <v>1419</v>
      </c>
      <c r="R19" s="352">
        <f t="shared" si="1"/>
        <v>8.0399999999999991</v>
      </c>
    </row>
    <row r="20" spans="1:20">
      <c r="A20" s="265"/>
      <c r="E20" s="352"/>
      <c r="F20" s="352">
        <v>10</v>
      </c>
      <c r="G20" s="352" t="s">
        <v>1419</v>
      </c>
      <c r="H20" s="352" t="s">
        <v>5191</v>
      </c>
      <c r="I20" s="353">
        <v>13.8</v>
      </c>
      <c r="J20" s="352" t="s">
        <v>1419</v>
      </c>
      <c r="K20" s="352">
        <f t="shared" si="0"/>
        <v>138</v>
      </c>
      <c r="L20" s="352"/>
      <c r="M20" s="352">
        <v>150</v>
      </c>
      <c r="N20" s="352" t="s">
        <v>1457</v>
      </c>
      <c r="O20" s="352" t="s">
        <v>4871</v>
      </c>
      <c r="P20" s="352">
        <f>I750</f>
        <v>287</v>
      </c>
      <c r="Q20" s="352">
        <v>1000</v>
      </c>
      <c r="R20" s="352">
        <f>(M20*P20)/1000</f>
        <v>43.05</v>
      </c>
    </row>
    <row r="21" spans="1:20">
      <c r="A21" s="265"/>
      <c r="E21" s="352"/>
      <c r="F21" s="352">
        <v>10</v>
      </c>
      <c r="G21" s="352" t="s">
        <v>1419</v>
      </c>
      <c r="H21" s="352" t="s">
        <v>5739</v>
      </c>
      <c r="I21" s="353">
        <f>43.25/12</f>
        <v>3.6</v>
      </c>
      <c r="J21" s="352" t="s">
        <v>1419</v>
      </c>
      <c r="K21" s="352">
        <f t="shared" si="0"/>
        <v>36</v>
      </c>
      <c r="L21" s="352"/>
      <c r="M21" s="355">
        <v>7</v>
      </c>
      <c r="N21" s="352" t="s">
        <v>1457</v>
      </c>
      <c r="O21" s="352" t="s">
        <v>2679</v>
      </c>
      <c r="P21" s="352">
        <f>I21</f>
        <v>3.6</v>
      </c>
      <c r="Q21" s="352" t="s">
        <v>1419</v>
      </c>
      <c r="R21" s="352">
        <f t="shared" si="1"/>
        <v>25.2</v>
      </c>
    </row>
    <row r="22" spans="1:20">
      <c r="A22" s="265"/>
      <c r="E22" s="352"/>
      <c r="F22" s="352">
        <v>1.25</v>
      </c>
      <c r="G22" s="352" t="s">
        <v>2680</v>
      </c>
      <c r="H22" s="352" t="s">
        <v>395</v>
      </c>
      <c r="I22" s="353">
        <f>Data!C67/20</f>
        <v>302</v>
      </c>
      <c r="J22" s="352" t="s">
        <v>2680</v>
      </c>
      <c r="K22" s="352">
        <f t="shared" si="0"/>
        <v>377.5</v>
      </c>
      <c r="L22" s="352"/>
      <c r="M22" s="352">
        <v>6</v>
      </c>
      <c r="N22" s="352" t="s">
        <v>1419</v>
      </c>
      <c r="O22" s="352" t="s">
        <v>2676</v>
      </c>
      <c r="P22" s="352">
        <f>I20</f>
        <v>13.8</v>
      </c>
      <c r="Q22" s="352" t="s">
        <v>1423</v>
      </c>
      <c r="R22" s="352">
        <f t="shared" si="1"/>
        <v>82.8</v>
      </c>
    </row>
    <row r="23" spans="1:20">
      <c r="A23" s="265"/>
      <c r="E23" s="352"/>
      <c r="F23" s="352">
        <v>10</v>
      </c>
      <c r="G23" s="352" t="s">
        <v>1419</v>
      </c>
      <c r="H23" s="352" t="s">
        <v>4812</v>
      </c>
      <c r="I23" s="456">
        <f>I16</f>
        <v>70.7</v>
      </c>
      <c r="J23" s="352" t="s">
        <v>1419</v>
      </c>
      <c r="K23" s="352">
        <f t="shared" si="0"/>
        <v>707</v>
      </c>
      <c r="L23" s="352"/>
      <c r="M23" s="352">
        <v>6</v>
      </c>
      <c r="N23" s="352" t="s">
        <v>1419</v>
      </c>
      <c r="O23" s="352" t="str">
        <f>H19</f>
        <v>5 amps flush type switch p-118, Part-C,1 a ( 194.5/12=16.21)</v>
      </c>
      <c r="P23" s="352">
        <f>I19</f>
        <v>16.21</v>
      </c>
      <c r="Q23" s="352" t="str">
        <f>J19</f>
        <v>No</v>
      </c>
      <c r="R23" s="352">
        <f>(M23*P23)</f>
        <v>97.26</v>
      </c>
    </row>
    <row r="24" spans="1:20">
      <c r="A24" s="265"/>
      <c r="E24" s="352"/>
      <c r="F24" s="352">
        <v>0.15</v>
      </c>
      <c r="G24" s="352" t="s">
        <v>2322</v>
      </c>
      <c r="H24" s="352" t="s">
        <v>4813</v>
      </c>
      <c r="I24" s="456">
        <f>I18</f>
        <v>661</v>
      </c>
      <c r="J24" s="352" t="s">
        <v>2322</v>
      </c>
      <c r="K24" s="352">
        <f t="shared" si="0"/>
        <v>99.15</v>
      </c>
      <c r="L24" s="352"/>
      <c r="M24" s="352">
        <v>1</v>
      </c>
      <c r="N24" s="352" t="s">
        <v>2684</v>
      </c>
      <c r="O24" s="352" t="s">
        <v>3987</v>
      </c>
      <c r="P24" s="352">
        <f>I749</f>
        <v>69.400000000000006</v>
      </c>
      <c r="Q24" s="352" t="s">
        <v>2684</v>
      </c>
      <c r="R24" s="352">
        <f>(M24*P24)</f>
        <v>69.400000000000006</v>
      </c>
    </row>
    <row r="25" spans="1:20" ht="31.5">
      <c r="A25" s="265"/>
      <c r="E25" s="352"/>
      <c r="F25" s="352">
        <v>45</v>
      </c>
      <c r="G25" s="352" t="s">
        <v>842</v>
      </c>
      <c r="H25" s="458" t="s">
        <v>4811</v>
      </c>
      <c r="I25" s="456">
        <f>I12</f>
        <v>16.55</v>
      </c>
      <c r="J25" s="352" t="s">
        <v>3363</v>
      </c>
      <c r="K25" s="352">
        <f t="shared" si="0"/>
        <v>744.75</v>
      </c>
      <c r="L25" s="352"/>
      <c r="M25" s="352">
        <v>6</v>
      </c>
      <c r="N25" s="352" t="s">
        <v>1457</v>
      </c>
      <c r="O25" s="351" t="s">
        <v>4873</v>
      </c>
      <c r="P25" s="521">
        <v>9.4499999999999993</v>
      </c>
      <c r="Q25" s="352" t="s">
        <v>1419</v>
      </c>
      <c r="R25" s="352">
        <f t="shared" si="1"/>
        <v>56.7</v>
      </c>
    </row>
    <row r="26" spans="1:20">
      <c r="A26" s="265"/>
      <c r="E26" s="352"/>
      <c r="F26" s="352" t="s">
        <v>669</v>
      </c>
      <c r="G26" s="352"/>
      <c r="H26" s="352" t="s">
        <v>931</v>
      </c>
      <c r="I26" s="352"/>
      <c r="J26" s="352" t="s">
        <v>669</v>
      </c>
      <c r="K26" s="352">
        <f>K42</f>
        <v>11454</v>
      </c>
      <c r="L26" s="352"/>
      <c r="M26" s="356">
        <v>0.16666666666666666</v>
      </c>
      <c r="N26" s="352" t="s">
        <v>3365</v>
      </c>
      <c r="O26" s="352" t="s">
        <v>395</v>
      </c>
      <c r="P26" s="352">
        <f>I22</f>
        <v>302</v>
      </c>
      <c r="Q26" s="352" t="s">
        <v>3365</v>
      </c>
      <c r="R26" s="352">
        <f t="shared" si="1"/>
        <v>50.33</v>
      </c>
    </row>
    <row r="27" spans="1:20" ht="31.5">
      <c r="A27" s="265"/>
      <c r="E27" s="352"/>
      <c r="F27" s="352" t="s">
        <v>669</v>
      </c>
      <c r="G27" s="352"/>
      <c r="H27" s="352" t="s">
        <v>2366</v>
      </c>
      <c r="I27" s="352"/>
      <c r="J27" s="352" t="s">
        <v>669</v>
      </c>
      <c r="K27" s="352">
        <v>34.979999999999997</v>
      </c>
      <c r="L27" s="352"/>
      <c r="M27" s="352">
        <v>45</v>
      </c>
      <c r="N27" s="352" t="s">
        <v>3516</v>
      </c>
      <c r="O27" s="273" t="s">
        <v>2686</v>
      </c>
      <c r="P27" s="352">
        <f>P15</f>
        <v>16.55</v>
      </c>
      <c r="Q27" s="352" t="s">
        <v>2322</v>
      </c>
      <c r="R27" s="352">
        <f t="shared" si="1"/>
        <v>744.75</v>
      </c>
    </row>
    <row r="28" spans="1:20">
      <c r="A28" s="265"/>
      <c r="E28" s="352"/>
      <c r="F28" s="352"/>
      <c r="G28" s="352"/>
      <c r="H28" s="357" t="s">
        <v>3366</v>
      </c>
      <c r="I28" s="352"/>
      <c r="J28" s="352"/>
      <c r="K28" s="358">
        <f>SUM(K12:K27)</f>
        <v>16300</v>
      </c>
      <c r="L28" s="352">
        <f>1630*10</f>
        <v>16300</v>
      </c>
      <c r="M28" s="352">
        <v>6</v>
      </c>
      <c r="N28" s="352" t="s">
        <v>3367</v>
      </c>
      <c r="O28" s="352" t="s">
        <v>931</v>
      </c>
      <c r="P28" s="352">
        <f>R46</f>
        <v>1207</v>
      </c>
      <c r="Q28" s="352" t="s">
        <v>3367</v>
      </c>
      <c r="R28" s="352">
        <f t="shared" si="1"/>
        <v>7242</v>
      </c>
    </row>
    <row r="29" spans="1:20">
      <c r="A29" s="265"/>
      <c r="E29" s="352"/>
      <c r="F29" s="352"/>
      <c r="G29" s="352"/>
      <c r="H29" s="359" t="s">
        <v>3368</v>
      </c>
      <c r="I29" s="352"/>
      <c r="J29" s="352"/>
      <c r="K29" s="360">
        <f>K28/10</f>
        <v>1630</v>
      </c>
      <c r="L29" s="352">
        <f>L28-K28</f>
        <v>0</v>
      </c>
      <c r="M29" s="352"/>
      <c r="N29" s="352" t="s">
        <v>69</v>
      </c>
      <c r="O29" s="352" t="s">
        <v>3369</v>
      </c>
      <c r="P29" s="352"/>
      <c r="Q29" s="352"/>
      <c r="R29" s="352">
        <v>40.409999999999997</v>
      </c>
    </row>
    <row r="30" spans="1:20">
      <c r="A30" s="265"/>
      <c r="E30" s="352"/>
      <c r="F30" s="352"/>
      <c r="G30" s="352"/>
      <c r="H30" s="352"/>
      <c r="I30" s="352"/>
      <c r="J30" s="352"/>
      <c r="K30" s="352"/>
      <c r="L30" s="352"/>
      <c r="M30" s="352"/>
      <c r="N30" s="352"/>
      <c r="P30" s="352"/>
      <c r="Q30" s="352"/>
      <c r="R30" s="352">
        <f>SUM(R15:R29)</f>
        <v>10909.74</v>
      </c>
    </row>
    <row r="31" spans="1:20">
      <c r="A31" s="265"/>
      <c r="E31" s="352"/>
      <c r="F31" s="352"/>
      <c r="G31" s="352"/>
      <c r="H31" s="360" t="s">
        <v>3370</v>
      </c>
      <c r="I31" s="352"/>
      <c r="J31" s="352"/>
      <c r="K31" s="352"/>
      <c r="L31" s="352"/>
      <c r="M31" s="352"/>
      <c r="N31" s="352"/>
      <c r="O31" s="357" t="s">
        <v>3371</v>
      </c>
      <c r="P31" s="352"/>
      <c r="Q31" s="352"/>
      <c r="R31" s="358"/>
    </row>
    <row r="32" spans="1:20">
      <c r="A32" s="265"/>
      <c r="E32" s="352"/>
      <c r="F32" s="352"/>
      <c r="G32" s="352"/>
      <c r="H32" s="352"/>
      <c r="I32" s="352"/>
      <c r="J32" s="352"/>
      <c r="K32" s="352"/>
      <c r="L32" s="352"/>
      <c r="M32" s="352"/>
      <c r="N32" s="352"/>
      <c r="O32" s="359" t="s">
        <v>3368</v>
      </c>
      <c r="P32" s="352"/>
      <c r="Q32" s="352"/>
      <c r="R32" s="360">
        <f>R30/6</f>
        <v>1818.29</v>
      </c>
      <c r="S32" s="180">
        <f>1677.8*6</f>
        <v>10066.799999999999</v>
      </c>
      <c r="T32" s="180">
        <f>S32-R31</f>
        <v>10066.799999999999</v>
      </c>
    </row>
    <row r="33" spans="1:19">
      <c r="A33" s="265"/>
      <c r="E33" s="352"/>
      <c r="F33" s="352"/>
      <c r="G33" s="352"/>
      <c r="H33" s="360" t="s">
        <v>3446</v>
      </c>
      <c r="I33" s="352"/>
      <c r="J33" s="352"/>
      <c r="K33" s="352"/>
      <c r="L33" s="352"/>
      <c r="M33" s="352"/>
      <c r="N33" s="352"/>
      <c r="O33" s="352"/>
      <c r="P33" s="352"/>
      <c r="Q33" s="352"/>
      <c r="R33" s="352"/>
      <c r="S33" s="180">
        <f>S32-R30</f>
        <v>-842.94</v>
      </c>
    </row>
    <row r="34" spans="1:19">
      <c r="A34" s="265"/>
      <c r="E34" s="352"/>
      <c r="F34" s="352"/>
      <c r="G34" s="352"/>
      <c r="H34" s="352"/>
      <c r="I34" s="352"/>
      <c r="J34" s="352"/>
      <c r="K34" s="352"/>
      <c r="L34" s="352"/>
      <c r="M34" s="352"/>
    </row>
    <row r="35" spans="1:19">
      <c r="A35" s="265"/>
      <c r="E35" s="352"/>
      <c r="F35" s="352">
        <v>1</v>
      </c>
      <c r="G35" s="352" t="s">
        <v>1419</v>
      </c>
      <c r="H35" s="352" t="s">
        <v>5740</v>
      </c>
      <c r="I35" s="421">
        <v>898</v>
      </c>
      <c r="J35" s="352" t="s">
        <v>1419</v>
      </c>
      <c r="K35" s="352">
        <f>F35*I35</f>
        <v>898</v>
      </c>
      <c r="L35" s="352"/>
      <c r="M35" s="352"/>
      <c r="N35" s="360" t="s">
        <v>3370</v>
      </c>
      <c r="O35" s="352"/>
      <c r="P35" s="352"/>
      <c r="Q35" s="352"/>
    </row>
    <row r="36" spans="1:19">
      <c r="A36" s="265"/>
      <c r="E36" s="352"/>
      <c r="F36" s="352">
        <v>2</v>
      </c>
      <c r="G36" s="352" t="s">
        <v>1419</v>
      </c>
      <c r="H36" s="352" t="s">
        <v>5741</v>
      </c>
      <c r="I36" s="421">
        <v>783</v>
      </c>
      <c r="J36" s="352" t="s">
        <v>1419</v>
      </c>
      <c r="K36" s="352">
        <f t="shared" ref="K36:K41" si="2">F36*I36</f>
        <v>1566</v>
      </c>
      <c r="L36" s="352"/>
      <c r="M36" s="352"/>
      <c r="N36" s="352"/>
      <c r="O36" s="352"/>
      <c r="P36" s="352"/>
      <c r="Q36" s="352"/>
    </row>
    <row r="37" spans="1:19">
      <c r="A37" s="265"/>
      <c r="E37" s="352"/>
      <c r="F37" s="352">
        <v>3</v>
      </c>
      <c r="G37" s="352" t="s">
        <v>1419</v>
      </c>
      <c r="H37" s="352" t="s">
        <v>5742</v>
      </c>
      <c r="I37" s="421">
        <v>778</v>
      </c>
      <c r="J37" s="352" t="s">
        <v>1419</v>
      </c>
      <c r="K37" s="352">
        <f t="shared" si="2"/>
        <v>2334</v>
      </c>
      <c r="L37" s="352"/>
      <c r="M37" s="352"/>
      <c r="N37" s="360" t="s">
        <v>3446</v>
      </c>
      <c r="O37" s="352"/>
      <c r="P37" s="352"/>
      <c r="Q37" s="352"/>
    </row>
    <row r="38" spans="1:19">
      <c r="A38" s="265"/>
      <c r="E38" s="352"/>
      <c r="F38" s="352">
        <v>4</v>
      </c>
      <c r="G38" s="352" t="s">
        <v>1419</v>
      </c>
      <c r="H38" s="352" t="s">
        <v>5743</v>
      </c>
      <c r="I38" s="421">
        <v>611</v>
      </c>
      <c r="J38" s="352" t="s">
        <v>1419</v>
      </c>
      <c r="K38" s="352">
        <f t="shared" si="2"/>
        <v>2444</v>
      </c>
      <c r="L38" s="352"/>
      <c r="M38" s="352"/>
      <c r="N38" s="352"/>
      <c r="O38" s="352"/>
      <c r="P38" s="352"/>
      <c r="Q38" s="352"/>
    </row>
    <row r="39" spans="1:19">
      <c r="A39" s="265"/>
      <c r="E39" s="352"/>
      <c r="F39" s="352"/>
      <c r="G39" s="352"/>
      <c r="H39" s="360" t="s">
        <v>3150</v>
      </c>
      <c r="I39" s="352"/>
      <c r="J39" s="352"/>
      <c r="K39" s="352"/>
      <c r="M39" s="352">
        <v>1</v>
      </c>
      <c r="N39" s="352" t="s">
        <v>1419</v>
      </c>
      <c r="O39" s="352" t="s">
        <v>3372</v>
      </c>
      <c r="P39" s="352">
        <f>I35</f>
        <v>898</v>
      </c>
      <c r="Q39" s="352" t="s">
        <v>1419</v>
      </c>
      <c r="R39" s="352">
        <f>M39*P39</f>
        <v>898</v>
      </c>
    </row>
    <row r="40" spans="1:19" ht="18">
      <c r="A40" s="265"/>
      <c r="E40" s="352"/>
      <c r="F40" s="352">
        <v>2</v>
      </c>
      <c r="G40" s="352" t="s">
        <v>1419</v>
      </c>
      <c r="H40" s="352" t="s">
        <v>2892</v>
      </c>
      <c r="I40" s="421">
        <v>884</v>
      </c>
      <c r="J40" s="352" t="s">
        <v>1419</v>
      </c>
      <c r="K40" s="352">
        <f t="shared" si="2"/>
        <v>1768</v>
      </c>
      <c r="M40" s="352">
        <v>2</v>
      </c>
      <c r="N40" s="352" t="s">
        <v>1419</v>
      </c>
      <c r="O40" s="352" t="s">
        <v>3373</v>
      </c>
      <c r="P40" s="352">
        <f>I36</f>
        <v>783</v>
      </c>
      <c r="Q40" s="352" t="s">
        <v>1419</v>
      </c>
      <c r="R40" s="352">
        <f>M40*P40</f>
        <v>1566</v>
      </c>
    </row>
    <row r="41" spans="1:19">
      <c r="A41" s="265"/>
      <c r="E41" s="352"/>
      <c r="F41" s="352">
        <v>4</v>
      </c>
      <c r="G41" s="352" t="s">
        <v>1419</v>
      </c>
      <c r="H41" s="352" t="str">
        <f>H38</f>
        <v>Electrical HELPERp-12 it-102</v>
      </c>
      <c r="I41" s="421">
        <f>I38</f>
        <v>611</v>
      </c>
      <c r="J41" s="352" t="s">
        <v>1419</v>
      </c>
      <c r="K41" s="352">
        <f t="shared" si="2"/>
        <v>2444</v>
      </c>
      <c r="M41" s="352">
        <v>3</v>
      </c>
      <c r="N41" s="352" t="s">
        <v>1419</v>
      </c>
      <c r="O41" s="352" t="s">
        <v>3374</v>
      </c>
      <c r="P41" s="352">
        <f>I37</f>
        <v>778</v>
      </c>
      <c r="Q41" s="352" t="s">
        <v>1419</v>
      </c>
      <c r="R41" s="352">
        <f>M41*P41</f>
        <v>2334</v>
      </c>
    </row>
    <row r="42" spans="1:19">
      <c r="A42" s="265"/>
      <c r="E42" s="352"/>
      <c r="F42" s="352"/>
      <c r="G42" s="352"/>
      <c r="H42" s="352"/>
      <c r="I42" s="352"/>
      <c r="J42" s="352"/>
      <c r="K42" s="367">
        <f>SUM(K35:K41)</f>
        <v>11454</v>
      </c>
      <c r="M42" s="352">
        <v>4</v>
      </c>
      <c r="N42" s="352" t="s">
        <v>1419</v>
      </c>
      <c r="O42" s="352" t="s">
        <v>2370</v>
      </c>
      <c r="P42" s="352">
        <f>I38</f>
        <v>611</v>
      </c>
      <c r="Q42" s="352" t="s">
        <v>1419</v>
      </c>
      <c r="R42" s="352">
        <f>M42*P42</f>
        <v>2444</v>
      </c>
    </row>
    <row r="43" spans="1:19">
      <c r="A43" s="265"/>
      <c r="E43" s="352"/>
      <c r="F43" s="352"/>
      <c r="G43" s="352"/>
      <c r="H43" s="352"/>
      <c r="I43" s="352"/>
      <c r="J43" s="352"/>
      <c r="K43" s="358"/>
      <c r="M43" s="352"/>
      <c r="N43" s="352"/>
      <c r="O43" s="352"/>
      <c r="P43" s="352"/>
      <c r="Q43" s="352"/>
      <c r="R43" s="352"/>
    </row>
    <row r="44" spans="1:19" ht="51">
      <c r="A44" s="265"/>
      <c r="E44" s="352"/>
      <c r="F44" s="352"/>
      <c r="G44" s="352"/>
      <c r="H44" s="189" t="s">
        <v>3151</v>
      </c>
      <c r="I44" s="352"/>
      <c r="J44" s="352"/>
      <c r="K44" s="352"/>
      <c r="L44" s="352"/>
      <c r="M44" s="352"/>
      <c r="O44" s="362" t="s">
        <v>2893</v>
      </c>
      <c r="R44" s="363">
        <f>SUM(R39:R42)</f>
        <v>7242</v>
      </c>
    </row>
    <row r="45" spans="1:19">
      <c r="A45" s="265"/>
      <c r="E45" s="352"/>
      <c r="F45" s="352"/>
      <c r="G45" s="352"/>
      <c r="H45" s="189" t="s">
        <v>3457</v>
      </c>
      <c r="I45" s="352"/>
      <c r="J45" s="352"/>
      <c r="K45" s="352"/>
      <c r="L45" s="352"/>
      <c r="M45" s="352"/>
    </row>
    <row r="46" spans="1:19">
      <c r="A46" s="265"/>
      <c r="E46" s="352"/>
      <c r="F46" s="352"/>
      <c r="G46" s="352"/>
      <c r="H46" s="352"/>
      <c r="I46" s="352"/>
      <c r="J46" s="352"/>
      <c r="K46" s="352"/>
      <c r="L46" s="352"/>
      <c r="M46" s="352"/>
      <c r="Q46" s="364" t="s">
        <v>3458</v>
      </c>
      <c r="R46" s="190">
        <f>R44/6</f>
        <v>1207</v>
      </c>
    </row>
    <row r="47" spans="1:19" ht="189">
      <c r="A47" s="265"/>
      <c r="E47" s="352"/>
      <c r="F47" s="352"/>
      <c r="G47" s="352"/>
      <c r="H47" s="351" t="s">
        <v>2529</v>
      </c>
      <c r="I47" s="352"/>
      <c r="J47" s="352"/>
      <c r="K47" s="352"/>
      <c r="L47" s="352"/>
      <c r="M47" s="352"/>
      <c r="O47" s="351" t="s">
        <v>2492</v>
      </c>
    </row>
    <row r="48" spans="1:19" ht="31.5">
      <c r="A48" s="265"/>
      <c r="E48" s="352"/>
      <c r="F48" s="352"/>
      <c r="G48" s="352"/>
      <c r="H48" s="352" t="s">
        <v>2493</v>
      </c>
      <c r="I48" s="352"/>
      <c r="J48" s="352"/>
      <c r="K48" s="352">
        <f>K28-K27</f>
        <v>16265.02</v>
      </c>
      <c r="L48" s="352"/>
      <c r="M48" s="352">
        <v>90</v>
      </c>
      <c r="N48" s="352" t="s">
        <v>842</v>
      </c>
      <c r="O48" s="458" t="s">
        <v>2586</v>
      </c>
      <c r="P48" s="352">
        <f>P15</f>
        <v>16.55</v>
      </c>
      <c r="Q48" s="352" t="s">
        <v>842</v>
      </c>
      <c r="R48" s="352">
        <f>M48*P48</f>
        <v>1489.5</v>
      </c>
    </row>
    <row r="49" spans="1:20" ht="31.5">
      <c r="A49" s="265"/>
      <c r="E49" s="352"/>
      <c r="F49" s="352"/>
      <c r="G49" s="352"/>
      <c r="H49" s="352" t="s">
        <v>2494</v>
      </c>
      <c r="I49" s="352"/>
      <c r="J49" s="352"/>
      <c r="K49" s="352">
        <f>K20</f>
        <v>138</v>
      </c>
      <c r="L49" s="352"/>
      <c r="M49" s="352">
        <v>45</v>
      </c>
      <c r="N49" s="352" t="s">
        <v>842</v>
      </c>
      <c r="O49" s="351" t="s">
        <v>2403</v>
      </c>
      <c r="P49" s="352">
        <f t="shared" ref="P49:P56" si="3">P16</f>
        <v>20</v>
      </c>
      <c r="Q49" s="352" t="s">
        <v>2404</v>
      </c>
      <c r="R49" s="352">
        <f>M49*P49</f>
        <v>900</v>
      </c>
    </row>
    <row r="50" spans="1:20" ht="31.5">
      <c r="A50" s="265"/>
      <c r="E50" s="352"/>
      <c r="F50" s="352"/>
      <c r="G50" s="352"/>
      <c r="H50" s="1040" t="s">
        <v>5744</v>
      </c>
      <c r="I50" s="421"/>
      <c r="J50" s="421"/>
      <c r="K50" s="421">
        <f>16.65*10</f>
        <v>166.5</v>
      </c>
      <c r="L50" s="352"/>
      <c r="M50" s="352">
        <v>75</v>
      </c>
      <c r="N50" s="352" t="s">
        <v>1419</v>
      </c>
      <c r="O50" s="352" t="s">
        <v>3450</v>
      </c>
      <c r="P50" s="352">
        <f t="shared" si="3"/>
        <v>3.6</v>
      </c>
      <c r="Q50" s="352" t="s">
        <v>3451</v>
      </c>
      <c r="R50" s="352">
        <f>M50*P50/12</f>
        <v>22.5</v>
      </c>
    </row>
    <row r="51" spans="1:20">
      <c r="A51" s="265"/>
      <c r="E51" s="352"/>
      <c r="F51" s="352"/>
      <c r="G51" s="352"/>
      <c r="H51" s="352" t="s">
        <v>2310</v>
      </c>
      <c r="I51" s="352"/>
      <c r="J51" s="352"/>
      <c r="K51" s="352">
        <v>36.479999999999997</v>
      </c>
      <c r="L51" s="352"/>
      <c r="M51" s="352">
        <v>12</v>
      </c>
      <c r="N51" s="352" t="s">
        <v>1419</v>
      </c>
      <c r="O51" s="352" t="s">
        <v>2405</v>
      </c>
      <c r="P51" s="352">
        <f t="shared" si="3"/>
        <v>3.15</v>
      </c>
      <c r="Q51" s="352" t="s">
        <v>1419</v>
      </c>
      <c r="R51" s="352">
        <f>M51*P51</f>
        <v>37.799999999999997</v>
      </c>
    </row>
    <row r="52" spans="1:20">
      <c r="A52" s="265"/>
      <c r="E52" s="352"/>
      <c r="F52" s="352"/>
      <c r="G52" s="352"/>
      <c r="H52" s="357" t="s">
        <v>2472</v>
      </c>
      <c r="I52" s="352"/>
      <c r="J52" s="352"/>
      <c r="K52" s="358">
        <f>K48-K49+K50+K51</f>
        <v>16330</v>
      </c>
      <c r="L52" s="352">
        <f>1638*10</f>
        <v>16380</v>
      </c>
      <c r="M52" s="352">
        <v>6</v>
      </c>
      <c r="N52" s="352" t="s">
        <v>1419</v>
      </c>
      <c r="O52" s="352" t="s">
        <v>3448</v>
      </c>
      <c r="P52" s="352">
        <f t="shared" si="3"/>
        <v>1.34</v>
      </c>
      <c r="Q52" s="352" t="s">
        <v>1419</v>
      </c>
      <c r="R52" s="352">
        <f>M52*P52</f>
        <v>8.0399999999999991</v>
      </c>
    </row>
    <row r="53" spans="1:20">
      <c r="A53" s="265"/>
      <c r="E53" s="352"/>
      <c r="F53" s="352"/>
      <c r="G53" s="352"/>
      <c r="H53" s="359" t="s">
        <v>2473</v>
      </c>
      <c r="I53" s="352"/>
      <c r="J53" s="352"/>
      <c r="K53" s="360">
        <f>K52/10</f>
        <v>1633</v>
      </c>
      <c r="L53" s="352">
        <f>L52-K52</f>
        <v>50</v>
      </c>
      <c r="M53" s="352">
        <v>150</v>
      </c>
      <c r="N53" s="352" t="s">
        <v>1457</v>
      </c>
      <c r="O53" s="352" t="str">
        <f>O20</f>
        <v>Teakwood plugs 1.5"x1"x2"</v>
      </c>
      <c r="P53" s="352">
        <f t="shared" si="3"/>
        <v>287</v>
      </c>
      <c r="Q53" s="352">
        <v>1000</v>
      </c>
      <c r="R53" s="352">
        <f>(M53*P53)/1000</f>
        <v>43.05</v>
      </c>
    </row>
    <row r="54" spans="1:20">
      <c r="A54" s="265"/>
      <c r="E54" s="352"/>
      <c r="F54" s="352"/>
      <c r="G54" s="352"/>
      <c r="H54" s="352"/>
      <c r="I54" s="352"/>
      <c r="J54" s="352"/>
      <c r="K54" s="352"/>
      <c r="L54" s="352"/>
      <c r="M54" s="355">
        <v>7</v>
      </c>
      <c r="N54" s="352" t="s">
        <v>1457</v>
      </c>
      <c r="O54" s="352" t="s">
        <v>2679</v>
      </c>
      <c r="P54" s="352">
        <f t="shared" si="3"/>
        <v>3.6</v>
      </c>
      <c r="Q54" s="352" t="s">
        <v>1419</v>
      </c>
      <c r="R54" s="352">
        <f>M54*P54</f>
        <v>25.2</v>
      </c>
    </row>
    <row r="55" spans="1:20">
      <c r="A55" s="265"/>
      <c r="E55" s="352"/>
      <c r="F55" s="352"/>
      <c r="G55" s="352"/>
      <c r="H55" s="360" t="s">
        <v>3068</v>
      </c>
      <c r="I55" s="352"/>
      <c r="J55" s="352"/>
      <c r="K55" s="352"/>
      <c r="L55" s="352"/>
      <c r="M55" s="352">
        <v>6</v>
      </c>
      <c r="N55" s="352" t="s">
        <v>1419</v>
      </c>
      <c r="O55" s="352" t="s">
        <v>2676</v>
      </c>
      <c r="P55" s="352">
        <f t="shared" si="3"/>
        <v>13.8</v>
      </c>
      <c r="Q55" s="352" t="s">
        <v>1423</v>
      </c>
      <c r="R55" s="352">
        <f>M55*P55</f>
        <v>82.8</v>
      </c>
    </row>
    <row r="56" spans="1:20" ht="47.25">
      <c r="A56" s="265"/>
      <c r="E56" s="352"/>
      <c r="F56" s="352"/>
      <c r="G56" s="352"/>
      <c r="H56" s="350" t="s">
        <v>3069</v>
      </c>
      <c r="I56" s="352"/>
      <c r="J56" s="352"/>
      <c r="K56" s="352"/>
      <c r="L56" s="352"/>
      <c r="M56" s="352">
        <v>6</v>
      </c>
      <c r="N56" s="352" t="s">
        <v>1419</v>
      </c>
      <c r="O56" s="352" t="str">
        <f>O23</f>
        <v>5 amps flush type switch p-118, Part-C,1 a ( 194.5/12=16.21)</v>
      </c>
      <c r="P56" s="352">
        <f t="shared" si="3"/>
        <v>16.21</v>
      </c>
      <c r="Q56" s="352" t="s">
        <v>3451</v>
      </c>
      <c r="R56" s="352">
        <f>(M56*P56)</f>
        <v>97.26</v>
      </c>
    </row>
    <row r="57" spans="1:20">
      <c r="A57" s="265"/>
      <c r="E57" s="352"/>
      <c r="F57" s="352"/>
      <c r="G57" s="352"/>
      <c r="H57" s="352"/>
      <c r="I57" s="352"/>
      <c r="J57" s="352"/>
      <c r="K57" s="352"/>
      <c r="L57" s="352"/>
      <c r="M57" s="352">
        <v>1</v>
      </c>
      <c r="N57" s="352" t="s">
        <v>2684</v>
      </c>
      <c r="O57" s="352" t="str">
        <f>O24</f>
        <v>Brass screws  ( 40 mm x 6 no) P-85 Part-L c</v>
      </c>
      <c r="P57" s="352">
        <f>P24</f>
        <v>69.400000000000006</v>
      </c>
      <c r="Q57" s="352" t="s">
        <v>2684</v>
      </c>
      <c r="R57" s="352">
        <f>(M57*P57)</f>
        <v>69.400000000000006</v>
      </c>
    </row>
    <row r="58" spans="1:20" ht="173.25">
      <c r="A58" s="265"/>
      <c r="E58" s="352"/>
      <c r="F58" s="352"/>
      <c r="G58" s="352"/>
      <c r="H58" s="351" t="s">
        <v>3532</v>
      </c>
      <c r="I58" s="352"/>
      <c r="J58" s="352"/>
      <c r="K58" s="352"/>
      <c r="L58" s="352"/>
      <c r="M58" s="352">
        <v>6</v>
      </c>
      <c r="N58" s="352" t="s">
        <v>1457</v>
      </c>
      <c r="O58" s="351" t="s">
        <v>4872</v>
      </c>
      <c r="P58" s="521">
        <v>67.5</v>
      </c>
      <c r="Q58" s="352" t="s">
        <v>1746</v>
      </c>
      <c r="R58" s="352">
        <f>M58*P58</f>
        <v>405</v>
      </c>
    </row>
    <row r="59" spans="1:20">
      <c r="A59" s="265"/>
      <c r="E59" s="352"/>
      <c r="F59" s="352"/>
      <c r="G59" s="352"/>
      <c r="H59" s="352" t="s">
        <v>3456</v>
      </c>
      <c r="I59" s="352"/>
      <c r="J59" s="352"/>
      <c r="K59" s="352">
        <f>K48</f>
        <v>16265.02</v>
      </c>
      <c r="L59" s="352"/>
      <c r="M59" s="356">
        <v>0.16666666666666666</v>
      </c>
      <c r="N59" s="352" t="s">
        <v>3365</v>
      </c>
      <c r="O59" s="352" t="s">
        <v>395</v>
      </c>
      <c r="P59" s="352">
        <f>P26</f>
        <v>302</v>
      </c>
      <c r="Q59" s="352" t="s">
        <v>3365</v>
      </c>
      <c r="R59" s="352">
        <f>M59*P59</f>
        <v>50.33</v>
      </c>
    </row>
    <row r="60" spans="1:20">
      <c r="A60" s="265"/>
      <c r="E60" s="352"/>
      <c r="F60" s="352"/>
      <c r="G60" s="352"/>
      <c r="H60" s="352" t="s">
        <v>3043</v>
      </c>
      <c r="I60" s="352"/>
      <c r="J60" s="352"/>
      <c r="K60" s="352">
        <f>K49</f>
        <v>138</v>
      </c>
      <c r="L60" s="352"/>
      <c r="M60" s="352"/>
      <c r="N60" s="352"/>
      <c r="O60" s="273"/>
      <c r="P60" s="352"/>
      <c r="Q60" s="352"/>
      <c r="R60" s="352"/>
    </row>
    <row r="61" spans="1:20">
      <c r="A61" s="265"/>
      <c r="E61" s="352"/>
      <c r="F61" s="352"/>
      <c r="G61" s="352"/>
      <c r="H61" s="352" t="s">
        <v>3044</v>
      </c>
      <c r="I61" s="352"/>
      <c r="J61" s="352"/>
      <c r="K61" s="352">
        <f>K21</f>
        <v>36</v>
      </c>
      <c r="L61" s="352"/>
      <c r="M61" s="352">
        <v>6</v>
      </c>
      <c r="N61" s="352" t="s">
        <v>3367</v>
      </c>
      <c r="O61" s="352" t="s">
        <v>931</v>
      </c>
      <c r="P61" s="352">
        <f>R46</f>
        <v>1207</v>
      </c>
      <c r="Q61" s="352" t="s">
        <v>3367</v>
      </c>
      <c r="R61" s="352">
        <f>M61*P61</f>
        <v>7242</v>
      </c>
    </row>
    <row r="62" spans="1:20">
      <c r="A62" s="265"/>
      <c r="E62" s="352"/>
      <c r="F62" s="352"/>
      <c r="G62" s="352"/>
      <c r="H62" s="352" t="s">
        <v>3045</v>
      </c>
      <c r="I62" s="352"/>
      <c r="J62" s="352"/>
      <c r="K62" s="352">
        <f>K19</f>
        <v>162.1</v>
      </c>
      <c r="L62" s="352"/>
      <c r="M62" s="352"/>
      <c r="N62" s="352" t="s">
        <v>69</v>
      </c>
      <c r="O62" s="352" t="s">
        <v>3369</v>
      </c>
      <c r="P62" s="352"/>
      <c r="Q62" s="352"/>
      <c r="R62" s="352">
        <v>21.12</v>
      </c>
    </row>
    <row r="63" spans="1:20">
      <c r="A63" s="265"/>
      <c r="E63" s="352"/>
      <c r="F63" s="352"/>
      <c r="G63" s="352"/>
      <c r="H63" s="352" t="s">
        <v>5745</v>
      </c>
      <c r="I63" s="352"/>
      <c r="J63" s="352"/>
      <c r="K63" s="353">
        <f>10*41.7</f>
        <v>417</v>
      </c>
      <c r="L63" s="352"/>
      <c r="M63" s="352"/>
      <c r="N63" s="352"/>
      <c r="P63" s="352"/>
      <c r="Q63" s="352"/>
      <c r="R63" s="352"/>
    </row>
    <row r="64" spans="1:20">
      <c r="A64" s="265"/>
      <c r="E64" s="352"/>
      <c r="F64" s="352"/>
      <c r="G64" s="352"/>
      <c r="H64" s="521" t="s">
        <v>5746</v>
      </c>
      <c r="I64" s="352"/>
      <c r="J64" s="352"/>
      <c r="K64" s="421">
        <f>10*16.65</f>
        <v>166.5</v>
      </c>
      <c r="L64" s="352"/>
      <c r="M64" s="352"/>
      <c r="N64" s="352"/>
      <c r="O64" s="357" t="s">
        <v>3371</v>
      </c>
      <c r="P64" s="352"/>
      <c r="Q64" s="352"/>
      <c r="R64" s="358">
        <f>SUM(R48:R63)</f>
        <v>10494</v>
      </c>
      <c r="T64" s="180">
        <f>T65-R64</f>
        <v>-10494</v>
      </c>
    </row>
    <row r="65" spans="1:20">
      <c r="A65" s="265"/>
      <c r="E65" s="352"/>
      <c r="F65" s="352"/>
      <c r="G65" s="352"/>
      <c r="H65" s="352" t="s">
        <v>5192</v>
      </c>
      <c r="I65" s="352"/>
      <c r="J65" s="352"/>
      <c r="K65" s="353">
        <f>16.5*10</f>
        <v>165</v>
      </c>
      <c r="L65" s="352"/>
      <c r="M65" s="352"/>
      <c r="N65" s="352"/>
      <c r="O65" s="359" t="s">
        <v>3368</v>
      </c>
      <c r="P65" s="352"/>
      <c r="Q65" s="352"/>
      <c r="R65" s="360">
        <f>R64/6</f>
        <v>1749</v>
      </c>
      <c r="S65" s="180">
        <f>1749*6</f>
        <v>10494</v>
      </c>
      <c r="T65" s="180">
        <f>R64-S65</f>
        <v>0</v>
      </c>
    </row>
    <row r="66" spans="1:20">
      <c r="A66" s="265"/>
      <c r="E66" s="352"/>
      <c r="F66" s="352"/>
      <c r="G66" s="352"/>
      <c r="H66" s="352" t="s">
        <v>2310</v>
      </c>
      <c r="I66" s="352"/>
      <c r="J66" s="352"/>
      <c r="K66" s="352">
        <v>22.58</v>
      </c>
      <c r="L66" s="352"/>
      <c r="M66" s="352"/>
      <c r="S66" s="180">
        <f>S65</f>
        <v>10494</v>
      </c>
    </row>
    <row r="67" spans="1:20">
      <c r="A67" s="265"/>
      <c r="E67" s="352"/>
      <c r="F67" s="352"/>
      <c r="G67" s="352"/>
      <c r="H67" s="357" t="s">
        <v>2472</v>
      </c>
      <c r="I67" s="352"/>
      <c r="J67" s="352"/>
      <c r="K67" s="358">
        <f>(K59-K60-K61-K62)+(K63+K64+K65+K66)</f>
        <v>16700</v>
      </c>
      <c r="L67" s="352">
        <f>1670*10</f>
        <v>16700</v>
      </c>
      <c r="M67" s="352"/>
      <c r="S67" s="180">
        <f>S66-R64</f>
        <v>0</v>
      </c>
    </row>
    <row r="68" spans="1:20">
      <c r="A68" s="265"/>
      <c r="E68" s="352"/>
      <c r="F68" s="352"/>
      <c r="G68" s="352"/>
      <c r="H68" s="359" t="s">
        <v>3220</v>
      </c>
      <c r="I68" s="352"/>
      <c r="J68" s="352"/>
      <c r="K68" s="360">
        <f>K67/10</f>
        <v>1670</v>
      </c>
      <c r="L68" s="352">
        <f>L67-K67</f>
        <v>0</v>
      </c>
      <c r="M68" s="352"/>
    </row>
    <row r="69" spans="1:20">
      <c r="A69" s="265"/>
      <c r="E69" s="352"/>
      <c r="F69" s="352"/>
      <c r="G69" s="352"/>
      <c r="H69" s="352"/>
      <c r="I69" s="352"/>
      <c r="J69" s="352"/>
      <c r="K69" s="352"/>
      <c r="L69" s="352"/>
      <c r="M69" s="352"/>
    </row>
    <row r="70" spans="1:20">
      <c r="A70" s="265"/>
      <c r="E70" s="352"/>
      <c r="F70" s="352"/>
      <c r="G70" s="352"/>
      <c r="H70" s="360" t="s">
        <v>3221</v>
      </c>
      <c r="I70" s="352"/>
      <c r="J70" s="352"/>
      <c r="K70" s="352"/>
      <c r="L70" s="352"/>
      <c r="M70" s="352"/>
    </row>
    <row r="71" spans="1:20">
      <c r="A71" s="265"/>
      <c r="E71" s="352"/>
      <c r="F71" s="352"/>
      <c r="G71" s="352"/>
      <c r="H71" s="360" t="s">
        <v>3222</v>
      </c>
      <c r="I71" s="352"/>
      <c r="J71" s="352"/>
      <c r="K71" s="352"/>
      <c r="L71" s="352"/>
      <c r="M71" s="352"/>
    </row>
    <row r="72" spans="1:20" ht="157.5">
      <c r="A72" s="265"/>
      <c r="E72" s="352"/>
      <c r="F72" s="352"/>
      <c r="G72" s="352"/>
      <c r="H72" s="351" t="s">
        <v>2830</v>
      </c>
      <c r="I72" s="352"/>
      <c r="J72" s="352"/>
      <c r="K72" s="352"/>
      <c r="L72" s="352"/>
      <c r="M72" s="352"/>
    </row>
    <row r="73" spans="1:20">
      <c r="A73" s="265"/>
      <c r="E73" s="352"/>
      <c r="F73" s="352"/>
      <c r="G73" s="352"/>
      <c r="H73" s="352"/>
      <c r="I73" s="352"/>
      <c r="J73" s="352"/>
      <c r="K73" s="352"/>
      <c r="L73" s="352"/>
      <c r="M73" s="352"/>
    </row>
    <row r="74" spans="1:20" ht="31.5">
      <c r="A74" s="265"/>
      <c r="E74" s="352"/>
      <c r="F74" s="352">
        <v>90</v>
      </c>
      <c r="G74" s="352" t="s">
        <v>842</v>
      </c>
      <c r="H74" s="273" t="str">
        <f t="shared" ref="H74:I77" si="4">H12</f>
        <v>1.5 sqmm copper PVC insulated unsheathed single core cable (P-125 it-2/b)</v>
      </c>
      <c r="I74" s="352">
        <f t="shared" si="4"/>
        <v>16.55</v>
      </c>
      <c r="J74" s="352" t="s">
        <v>3363</v>
      </c>
      <c r="K74" s="352">
        <f>F74*I74</f>
        <v>1489.5</v>
      </c>
      <c r="L74" s="352"/>
      <c r="M74" s="352"/>
    </row>
    <row r="75" spans="1:20" ht="31.5">
      <c r="A75" s="265"/>
      <c r="E75" s="352"/>
      <c r="F75" s="352">
        <v>45</v>
      </c>
      <c r="G75" s="352" t="s">
        <v>842</v>
      </c>
      <c r="H75" s="351" t="str">
        <f t="shared" si="4"/>
        <v>PVC rigid conduit pipe 19 mm / 20mm heavy duty with ISI mark p-128 part -I IX-1 b</v>
      </c>
      <c r="I75" s="352">
        <f t="shared" si="4"/>
        <v>20</v>
      </c>
      <c r="J75" s="352" t="s">
        <v>842</v>
      </c>
      <c r="K75" s="352">
        <f t="shared" ref="K75:K86" si="5">F75*I75</f>
        <v>900</v>
      </c>
      <c r="L75" s="352"/>
      <c r="M75" s="352"/>
    </row>
    <row r="76" spans="1:20">
      <c r="A76" s="265"/>
      <c r="E76" s="352"/>
      <c r="F76" s="352">
        <v>20</v>
      </c>
      <c r="G76" s="352" t="s">
        <v>1419</v>
      </c>
      <c r="H76" s="352" t="str">
        <f t="shared" si="4"/>
        <v>19 mm PVC rigid bends - p-128 part -I IX-2b</v>
      </c>
      <c r="I76" s="352">
        <f t="shared" si="4"/>
        <v>3.15</v>
      </c>
      <c r="J76" s="352" t="s">
        <v>1419</v>
      </c>
      <c r="K76" s="352">
        <f t="shared" si="5"/>
        <v>63</v>
      </c>
      <c r="L76" s="352"/>
      <c r="M76" s="352"/>
    </row>
    <row r="77" spans="1:20">
      <c r="A77" s="265"/>
      <c r="E77" s="352"/>
      <c r="F77" s="352">
        <v>10</v>
      </c>
      <c r="G77" s="352" t="s">
        <v>1419</v>
      </c>
      <c r="H77" s="352" t="str">
        <f t="shared" si="4"/>
        <v>19 mm PVC rigid tees (p-129 4b, 16.05/12=1.34)</v>
      </c>
      <c r="I77" s="352">
        <f t="shared" si="4"/>
        <v>1.34</v>
      </c>
      <c r="J77" s="352" t="s">
        <v>1419</v>
      </c>
      <c r="K77" s="352">
        <f t="shared" si="5"/>
        <v>13.4</v>
      </c>
      <c r="L77" s="352"/>
      <c r="M77" s="352"/>
    </row>
    <row r="78" spans="1:20">
      <c r="A78" s="265"/>
      <c r="E78" s="352"/>
      <c r="F78" s="352">
        <v>10</v>
      </c>
      <c r="G78" s="352" t="s">
        <v>1419</v>
      </c>
      <c r="H78" s="352" t="str">
        <f>H21</f>
        <v>19 mm PVC junction box  ( p-129,6-b( 43.25/12=3.6)</v>
      </c>
      <c r="I78" s="352">
        <f>I21</f>
        <v>3.6</v>
      </c>
      <c r="J78" s="352" t="s">
        <v>1419</v>
      </c>
      <c r="K78" s="352">
        <f t="shared" si="5"/>
        <v>36</v>
      </c>
      <c r="L78" s="352"/>
      <c r="M78" s="352"/>
    </row>
    <row r="79" spans="1:20">
      <c r="A79" s="265"/>
      <c r="E79" s="352"/>
      <c r="F79" s="352">
        <v>10</v>
      </c>
      <c r="G79" s="352" t="s">
        <v>1419</v>
      </c>
      <c r="H79" s="352" t="str">
        <f>H20</f>
        <v>Ceiling rose p-116 it-27</v>
      </c>
      <c r="I79" s="352">
        <f>I20</f>
        <v>13.8</v>
      </c>
      <c r="J79" s="352" t="s">
        <v>1419</v>
      </c>
      <c r="K79" s="352">
        <f t="shared" si="5"/>
        <v>138</v>
      </c>
      <c r="L79" s="352"/>
      <c r="M79" s="352"/>
    </row>
    <row r="80" spans="1:20">
      <c r="A80" s="265"/>
      <c r="E80" s="352"/>
      <c r="F80" s="352">
        <v>10</v>
      </c>
      <c r="G80" s="352" t="s">
        <v>1419</v>
      </c>
      <c r="H80" s="352" t="str">
        <f>H19</f>
        <v>5 amps flush type switch p-118, Part-C,1 a ( 194.5/12=16.21)</v>
      </c>
      <c r="I80" s="352">
        <f>I19</f>
        <v>16.21</v>
      </c>
      <c r="J80" s="352" t="s">
        <v>1419</v>
      </c>
      <c r="K80" s="352">
        <f t="shared" si="5"/>
        <v>162.1</v>
      </c>
      <c r="L80" s="352"/>
      <c r="M80" s="352"/>
    </row>
    <row r="81" spans="1:13">
      <c r="A81" s="265"/>
      <c r="E81" s="352"/>
      <c r="F81" s="352">
        <v>10</v>
      </c>
      <c r="G81" s="352" t="s">
        <v>1419</v>
      </c>
      <c r="H81" s="352" t="s">
        <v>5193</v>
      </c>
      <c r="I81" s="353">
        <v>115.1</v>
      </c>
      <c r="J81" s="352" t="s">
        <v>1419</v>
      </c>
      <c r="K81" s="352">
        <f t="shared" si="5"/>
        <v>1151</v>
      </c>
      <c r="L81" s="352"/>
      <c r="M81" s="352"/>
    </row>
    <row r="82" spans="1:13">
      <c r="A82" s="265"/>
      <c r="E82" s="352"/>
      <c r="F82" s="352">
        <v>0.6</v>
      </c>
      <c r="G82" s="352" t="s">
        <v>2322</v>
      </c>
      <c r="H82" s="352" t="str">
        <f>H24</f>
        <v>3 mm thick laminated Hylem sheet p-128 it-7a part-I</v>
      </c>
      <c r="I82" s="352">
        <f>I18</f>
        <v>661</v>
      </c>
      <c r="J82" s="352" t="s">
        <v>2322</v>
      </c>
      <c r="K82" s="352">
        <f t="shared" si="5"/>
        <v>396.6</v>
      </c>
      <c r="L82" s="352"/>
      <c r="M82" s="352"/>
    </row>
    <row r="83" spans="1:13">
      <c r="A83" s="265"/>
      <c r="E83" s="352"/>
      <c r="F83" s="352">
        <v>1</v>
      </c>
      <c r="G83" s="352" t="s">
        <v>1419</v>
      </c>
      <c r="H83" s="352" t="s">
        <v>2880</v>
      </c>
      <c r="I83" s="352">
        <f>I23</f>
        <v>70.7</v>
      </c>
      <c r="J83" s="352" t="s">
        <v>1419</v>
      </c>
      <c r="K83" s="352">
        <f t="shared" si="5"/>
        <v>70.7</v>
      </c>
      <c r="L83" s="352"/>
      <c r="M83" s="352"/>
    </row>
    <row r="84" spans="1:13">
      <c r="A84" s="265"/>
      <c r="E84" s="352"/>
      <c r="F84" s="355">
        <v>1.4999999999999999E-2</v>
      </c>
      <c r="G84" s="352" t="s">
        <v>2322</v>
      </c>
      <c r="H84" s="352" t="str">
        <f>H82</f>
        <v>3 mm thick laminated Hylem sheet p-128 it-7a part-I</v>
      </c>
      <c r="I84" s="352">
        <f>I82</f>
        <v>661</v>
      </c>
      <c r="J84" s="352" t="s">
        <v>2322</v>
      </c>
      <c r="K84" s="352">
        <f t="shared" si="5"/>
        <v>9.92</v>
      </c>
      <c r="L84" s="352"/>
      <c r="M84" s="352"/>
    </row>
    <row r="85" spans="1:13">
      <c r="A85" s="265"/>
      <c r="E85" s="352"/>
      <c r="F85" s="352">
        <v>1.25</v>
      </c>
      <c r="G85" s="352" t="s">
        <v>2680</v>
      </c>
      <c r="H85" s="352" t="s">
        <v>395</v>
      </c>
      <c r="I85" s="352">
        <f>I22</f>
        <v>302</v>
      </c>
      <c r="J85" s="352" t="s">
        <v>2680</v>
      </c>
      <c r="K85" s="352">
        <f t="shared" si="5"/>
        <v>377.5</v>
      </c>
      <c r="L85" s="352"/>
      <c r="M85" s="352"/>
    </row>
    <row r="86" spans="1:13" ht="31.5">
      <c r="A86" s="265"/>
      <c r="E86" s="352"/>
      <c r="F86" s="352">
        <v>45</v>
      </c>
      <c r="G86" s="352" t="s">
        <v>842</v>
      </c>
      <c r="H86" s="273" t="str">
        <f>H25</f>
        <v>1.5 sqmm copper PVC insulated unsheathed single core cable (P-123 it-2/b)</v>
      </c>
      <c r="I86" s="352">
        <f>I12</f>
        <v>16.55</v>
      </c>
      <c r="J86" s="352" t="s">
        <v>3363</v>
      </c>
      <c r="K86" s="352">
        <f t="shared" si="5"/>
        <v>744.75</v>
      </c>
      <c r="L86" s="352"/>
      <c r="M86" s="352"/>
    </row>
    <row r="87" spans="1:13">
      <c r="A87" s="265"/>
      <c r="E87" s="352"/>
      <c r="F87" s="352" t="s">
        <v>669</v>
      </c>
      <c r="G87" s="352"/>
      <c r="H87" s="352" t="s">
        <v>931</v>
      </c>
      <c r="I87" s="352"/>
      <c r="J87" s="352"/>
      <c r="K87" s="352">
        <f>K42</f>
        <v>11454</v>
      </c>
      <c r="L87" s="352"/>
      <c r="M87" s="352"/>
    </row>
    <row r="88" spans="1:13">
      <c r="A88" s="265"/>
      <c r="E88" s="352"/>
      <c r="F88" s="352" t="s">
        <v>669</v>
      </c>
      <c r="G88" s="352"/>
      <c r="H88" s="352" t="s">
        <v>2310</v>
      </c>
      <c r="I88" s="352"/>
      <c r="J88" s="352"/>
      <c r="K88" s="352">
        <v>43.53</v>
      </c>
      <c r="L88" s="352"/>
      <c r="M88" s="352"/>
    </row>
    <row r="89" spans="1:13">
      <c r="A89" s="265"/>
      <c r="E89" s="352"/>
      <c r="F89" s="352"/>
      <c r="G89" s="352"/>
      <c r="H89" s="357" t="s">
        <v>2472</v>
      </c>
      <c r="I89" s="352"/>
      <c r="J89" s="352"/>
      <c r="K89" s="358">
        <f>SUM(K74:K88)</f>
        <v>17050</v>
      </c>
      <c r="L89" s="352">
        <f>1705*10</f>
        <v>17050</v>
      </c>
      <c r="M89" s="352">
        <f>11920-K89</f>
        <v>-5130</v>
      </c>
    </row>
    <row r="90" spans="1:13">
      <c r="A90" s="265"/>
      <c r="E90" s="352"/>
      <c r="F90" s="352"/>
      <c r="G90" s="352"/>
      <c r="H90" s="359" t="s">
        <v>3220</v>
      </c>
      <c r="I90" s="352"/>
      <c r="J90" s="352"/>
      <c r="K90" s="360">
        <f>K89/10</f>
        <v>1705</v>
      </c>
      <c r="L90" s="352">
        <f>L89-K89</f>
        <v>0</v>
      </c>
      <c r="M90" s="352"/>
    </row>
    <row r="91" spans="1:13">
      <c r="A91" s="265"/>
      <c r="E91" s="352"/>
      <c r="F91" s="352"/>
      <c r="G91" s="352"/>
      <c r="H91" s="360" t="s">
        <v>3531</v>
      </c>
      <c r="I91" s="352"/>
      <c r="J91" s="352"/>
      <c r="K91" s="360"/>
      <c r="L91" s="352">
        <f>L90*10</f>
        <v>0</v>
      </c>
      <c r="M91" s="352"/>
    </row>
    <row r="92" spans="1:13">
      <c r="A92" s="265"/>
      <c r="E92" s="352"/>
      <c r="F92" s="352"/>
      <c r="G92" s="352"/>
      <c r="H92" s="365" t="s">
        <v>2881</v>
      </c>
      <c r="I92" s="352">
        <f>90</f>
        <v>90</v>
      </c>
      <c r="J92" s="352"/>
      <c r="K92" s="360"/>
      <c r="L92" s="352"/>
      <c r="M92" s="352"/>
    </row>
    <row r="93" spans="1:13">
      <c r="A93" s="265"/>
      <c r="E93" s="352"/>
      <c r="F93" s="352"/>
      <c r="G93" s="352"/>
      <c r="H93" s="365" t="s">
        <v>2882</v>
      </c>
      <c r="I93" s="366">
        <v>8.2500000000000004E-2</v>
      </c>
      <c r="J93" s="352"/>
      <c r="K93" s="360"/>
      <c r="L93" s="352"/>
      <c r="M93" s="352"/>
    </row>
    <row r="94" spans="1:13" ht="18">
      <c r="A94" s="265"/>
      <c r="E94" s="352"/>
      <c r="F94" s="352"/>
      <c r="G94" s="352"/>
      <c r="H94" s="365" t="s">
        <v>2894</v>
      </c>
      <c r="I94" s="355">
        <v>0.13500000000000001</v>
      </c>
      <c r="J94" s="352"/>
      <c r="K94" s="360">
        <f>I92*I94/I93</f>
        <v>147.27000000000001</v>
      </c>
      <c r="L94" s="352"/>
      <c r="M94" s="352"/>
    </row>
    <row r="95" spans="1:13">
      <c r="A95" s="265"/>
      <c r="E95" s="352"/>
      <c r="F95" s="352"/>
      <c r="G95" s="352"/>
      <c r="H95" s="359"/>
      <c r="I95" s="352"/>
      <c r="J95" s="352"/>
      <c r="K95" s="360"/>
      <c r="L95" s="352"/>
      <c r="M95" s="352"/>
    </row>
    <row r="96" spans="1:13">
      <c r="A96" s="265"/>
      <c r="E96" s="352"/>
      <c r="F96" s="352"/>
      <c r="G96" s="352"/>
      <c r="H96" s="352"/>
      <c r="I96" s="352"/>
      <c r="J96" s="352"/>
      <c r="K96" s="352"/>
      <c r="L96" s="352"/>
      <c r="M96" s="352"/>
    </row>
    <row r="97" spans="1:13">
      <c r="A97" s="265"/>
      <c r="E97" s="352"/>
      <c r="F97" s="352"/>
      <c r="G97" s="352"/>
      <c r="H97" s="360" t="s">
        <v>2883</v>
      </c>
      <c r="I97" s="352"/>
      <c r="J97" s="352"/>
      <c r="K97" s="352"/>
      <c r="L97" s="352"/>
      <c r="M97" s="352"/>
    </row>
    <row r="98" spans="1:13">
      <c r="A98" s="265"/>
      <c r="E98" s="352"/>
      <c r="F98" s="352"/>
      <c r="G98" s="352"/>
      <c r="H98" s="360" t="s">
        <v>2884</v>
      </c>
      <c r="I98" s="352"/>
      <c r="J98" s="352"/>
      <c r="K98" s="352"/>
      <c r="L98" s="352"/>
      <c r="M98" s="352"/>
    </row>
    <row r="99" spans="1:13" ht="157.5">
      <c r="A99" s="265"/>
      <c r="E99" s="352"/>
      <c r="F99" s="352"/>
      <c r="G99" s="352"/>
      <c r="H99" s="351" t="s">
        <v>2489</v>
      </c>
      <c r="I99" s="352"/>
      <c r="J99" s="352"/>
      <c r="K99" s="352"/>
      <c r="L99" s="352"/>
      <c r="M99" s="352"/>
    </row>
    <row r="100" spans="1:13" ht="31.5">
      <c r="A100" s="265"/>
      <c r="E100" s="352"/>
      <c r="F100" s="352">
        <v>90</v>
      </c>
      <c r="G100" s="352" t="s">
        <v>842</v>
      </c>
      <c r="H100" s="273" t="s">
        <v>2586</v>
      </c>
      <c r="I100" s="352">
        <f>I12</f>
        <v>16.55</v>
      </c>
      <c r="J100" s="352" t="s">
        <v>2587</v>
      </c>
      <c r="K100" s="352">
        <f>F100*I100</f>
        <v>1489.5</v>
      </c>
      <c r="L100" s="352"/>
      <c r="M100" s="352"/>
    </row>
    <row r="101" spans="1:13" ht="31.5">
      <c r="A101" s="265"/>
      <c r="E101" s="352"/>
      <c r="F101" s="352">
        <v>30</v>
      </c>
      <c r="G101" s="352" t="s">
        <v>842</v>
      </c>
      <c r="H101" s="351" t="s">
        <v>2403</v>
      </c>
      <c r="I101" s="352">
        <f>I75</f>
        <v>20</v>
      </c>
      <c r="J101" s="352" t="s">
        <v>842</v>
      </c>
      <c r="K101" s="352">
        <f t="shared" ref="K101:K110" si="6">F101*I101</f>
        <v>600</v>
      </c>
      <c r="L101" s="352"/>
      <c r="M101" s="352"/>
    </row>
    <row r="102" spans="1:13">
      <c r="A102" s="265"/>
      <c r="E102" s="352"/>
      <c r="F102" s="352">
        <v>10</v>
      </c>
      <c r="G102" s="352" t="s">
        <v>1419</v>
      </c>
      <c r="H102" s="352" t="s">
        <v>2405</v>
      </c>
      <c r="I102" s="352">
        <f>I76</f>
        <v>3.15</v>
      </c>
      <c r="J102" s="352" t="s">
        <v>1419</v>
      </c>
      <c r="K102" s="352">
        <f t="shared" si="6"/>
        <v>31.5</v>
      </c>
      <c r="L102" s="352"/>
      <c r="M102" s="352"/>
    </row>
    <row r="103" spans="1:13">
      <c r="A103" s="265"/>
      <c r="E103" s="352"/>
      <c r="F103" s="352">
        <v>5</v>
      </c>
      <c r="G103" s="352" t="s">
        <v>1419</v>
      </c>
      <c r="H103" s="352" t="s">
        <v>3448</v>
      </c>
      <c r="I103" s="352">
        <f>I77</f>
        <v>1.34</v>
      </c>
      <c r="J103" s="352" t="s">
        <v>1419</v>
      </c>
      <c r="K103" s="352">
        <f t="shared" si="6"/>
        <v>6.7</v>
      </c>
      <c r="L103" s="352"/>
      <c r="M103" s="352"/>
    </row>
    <row r="104" spans="1:13" ht="31.5">
      <c r="A104" s="265"/>
      <c r="E104" s="352"/>
      <c r="F104" s="352">
        <v>10</v>
      </c>
      <c r="G104" s="352" t="s">
        <v>1419</v>
      </c>
      <c r="H104" s="351" t="s">
        <v>5194</v>
      </c>
      <c r="I104" s="421">
        <f>241.3/12</f>
        <v>20.11</v>
      </c>
      <c r="J104" s="352" t="s">
        <v>1419</v>
      </c>
      <c r="K104" s="352">
        <f t="shared" si="6"/>
        <v>201.1</v>
      </c>
      <c r="L104" s="352"/>
      <c r="M104" s="352">
        <f>253/12</f>
        <v>21.08</v>
      </c>
    </row>
    <row r="105" spans="1:13">
      <c r="A105" s="265"/>
      <c r="E105" s="352"/>
      <c r="F105" s="352">
        <v>5</v>
      </c>
      <c r="G105" s="352" t="s">
        <v>1419</v>
      </c>
      <c r="H105" s="352" t="s">
        <v>2676</v>
      </c>
      <c r="I105" s="352">
        <f>I79</f>
        <v>13.8</v>
      </c>
      <c r="J105" s="352" t="s">
        <v>1419</v>
      </c>
      <c r="K105" s="352">
        <f t="shared" si="6"/>
        <v>69</v>
      </c>
      <c r="L105" s="352"/>
      <c r="M105" s="352"/>
    </row>
    <row r="106" spans="1:13">
      <c r="A106" s="265"/>
      <c r="E106" s="352"/>
      <c r="F106" s="352">
        <v>5</v>
      </c>
      <c r="G106" s="352" t="s">
        <v>1419</v>
      </c>
      <c r="H106" s="352" t="s">
        <v>2678</v>
      </c>
      <c r="I106" s="352">
        <f>I78</f>
        <v>3.6</v>
      </c>
      <c r="J106" s="352" t="s">
        <v>1419</v>
      </c>
      <c r="K106" s="352">
        <f t="shared" si="6"/>
        <v>18</v>
      </c>
      <c r="L106" s="352"/>
      <c r="M106" s="352"/>
    </row>
    <row r="107" spans="1:13">
      <c r="A107" s="265"/>
      <c r="E107" s="352"/>
      <c r="F107" s="352">
        <v>6</v>
      </c>
      <c r="G107" s="352" t="s">
        <v>1419</v>
      </c>
      <c r="H107" s="352" t="s">
        <v>2491</v>
      </c>
      <c r="I107" s="352">
        <f>I83</f>
        <v>70.7</v>
      </c>
      <c r="J107" s="352" t="s">
        <v>1419</v>
      </c>
      <c r="K107" s="352">
        <f t="shared" si="6"/>
        <v>424.2</v>
      </c>
      <c r="L107" s="352"/>
      <c r="M107" s="352"/>
    </row>
    <row r="108" spans="1:13">
      <c r="A108" s="265"/>
      <c r="E108" s="352"/>
      <c r="F108" s="352">
        <v>0.09</v>
      </c>
      <c r="G108" s="352" t="s">
        <v>2322</v>
      </c>
      <c r="H108" s="352" t="s">
        <v>2599</v>
      </c>
      <c r="I108" s="352">
        <f>I82</f>
        <v>661</v>
      </c>
      <c r="J108" s="352" t="s">
        <v>2322</v>
      </c>
      <c r="K108" s="352">
        <f t="shared" si="6"/>
        <v>59.49</v>
      </c>
      <c r="L108" s="352"/>
      <c r="M108" s="352"/>
    </row>
    <row r="109" spans="1:13">
      <c r="A109" s="265"/>
      <c r="E109" s="352"/>
      <c r="F109" s="352">
        <v>1.25</v>
      </c>
      <c r="G109" s="352" t="s">
        <v>2680</v>
      </c>
      <c r="H109" s="352" t="s">
        <v>395</v>
      </c>
      <c r="I109" s="352">
        <f>I85</f>
        <v>302</v>
      </c>
      <c r="J109" s="352" t="s">
        <v>2680</v>
      </c>
      <c r="K109" s="352">
        <f t="shared" si="6"/>
        <v>377.5</v>
      </c>
      <c r="L109" s="352"/>
      <c r="M109" s="352"/>
    </row>
    <row r="110" spans="1:13" ht="31.5">
      <c r="A110" s="265"/>
      <c r="E110" s="352"/>
      <c r="F110" s="352">
        <v>30</v>
      </c>
      <c r="G110" s="352" t="s">
        <v>842</v>
      </c>
      <c r="H110" s="273" t="s">
        <v>2686</v>
      </c>
      <c r="I110" s="352">
        <f>I100</f>
        <v>16.55</v>
      </c>
      <c r="J110" s="352" t="s">
        <v>3363</v>
      </c>
      <c r="K110" s="352">
        <f t="shared" si="6"/>
        <v>496.5</v>
      </c>
      <c r="L110" s="352"/>
      <c r="M110" s="352"/>
    </row>
    <row r="111" spans="1:13">
      <c r="A111" s="265"/>
      <c r="E111" s="352"/>
      <c r="F111" s="352"/>
      <c r="G111" s="352"/>
      <c r="H111" s="352" t="s">
        <v>931</v>
      </c>
      <c r="I111" s="352"/>
      <c r="J111" s="352"/>
      <c r="K111" s="352">
        <f>K42</f>
        <v>11454</v>
      </c>
      <c r="L111" s="352"/>
      <c r="M111" s="352"/>
    </row>
    <row r="112" spans="1:13">
      <c r="A112" s="265"/>
      <c r="E112" s="352"/>
      <c r="F112" s="352"/>
      <c r="G112" s="352"/>
      <c r="H112" s="352" t="s">
        <v>2310</v>
      </c>
      <c r="I112" s="352"/>
      <c r="J112" s="352"/>
      <c r="K112" s="361">
        <v>32.51</v>
      </c>
      <c r="L112" s="352"/>
      <c r="M112" s="352"/>
    </row>
    <row r="113" spans="1:14">
      <c r="A113" s="265"/>
      <c r="E113" s="352"/>
      <c r="F113" s="352"/>
      <c r="G113" s="352"/>
      <c r="H113" s="357" t="s">
        <v>2600</v>
      </c>
      <c r="I113" s="352"/>
      <c r="J113" s="352"/>
      <c r="K113" s="358">
        <f>SUM(K100:K112)</f>
        <v>15260</v>
      </c>
      <c r="L113" s="352">
        <f>3052*5</f>
        <v>15260</v>
      </c>
      <c r="M113" s="352"/>
    </row>
    <row r="114" spans="1:14">
      <c r="A114" s="265"/>
      <c r="E114" s="352"/>
      <c r="F114" s="352"/>
      <c r="G114" s="352"/>
      <c r="H114" s="359" t="s">
        <v>3220</v>
      </c>
      <c r="I114" s="352"/>
      <c r="J114" s="352"/>
      <c r="K114" s="360">
        <f>K113/5</f>
        <v>3052</v>
      </c>
      <c r="L114" s="352">
        <f>L113-K113</f>
        <v>0</v>
      </c>
      <c r="M114" s="352"/>
    </row>
    <row r="115" spans="1:14">
      <c r="A115" s="265"/>
      <c r="E115" s="352"/>
      <c r="F115" s="352"/>
      <c r="G115" s="352"/>
      <c r="H115" s="352"/>
      <c r="I115" s="352"/>
      <c r="J115" s="352"/>
      <c r="K115" s="352"/>
      <c r="L115" s="352"/>
      <c r="M115" s="352"/>
    </row>
    <row r="116" spans="1:14">
      <c r="A116" s="265"/>
      <c r="E116" s="352"/>
      <c r="F116" s="352"/>
      <c r="G116" s="352"/>
      <c r="H116" s="360" t="s">
        <v>2601</v>
      </c>
      <c r="I116" s="352"/>
      <c r="J116" s="352"/>
      <c r="K116" s="352"/>
      <c r="L116" s="352"/>
      <c r="M116" s="352"/>
    </row>
    <row r="117" spans="1:14">
      <c r="A117" s="265"/>
      <c r="E117" s="352"/>
      <c r="F117" s="352"/>
      <c r="G117" s="352"/>
      <c r="H117" s="360" t="s">
        <v>2602</v>
      </c>
      <c r="I117" s="352"/>
      <c r="J117" s="352"/>
      <c r="K117" s="352"/>
      <c r="L117" s="352"/>
      <c r="M117" s="352"/>
    </row>
    <row r="118" spans="1:14">
      <c r="A118" s="265"/>
      <c r="E118" s="352"/>
      <c r="F118" s="352"/>
      <c r="G118" s="352"/>
      <c r="H118" s="352"/>
      <c r="I118" s="352"/>
      <c r="J118" s="352"/>
      <c r="K118" s="352"/>
      <c r="L118" s="352"/>
      <c r="M118" s="352"/>
    </row>
    <row r="119" spans="1:14" ht="157.5">
      <c r="A119" s="265"/>
      <c r="E119" s="352"/>
      <c r="F119" s="352"/>
      <c r="G119" s="352"/>
      <c r="H119" s="351" t="s">
        <v>2770</v>
      </c>
      <c r="I119" s="352"/>
      <c r="J119" s="352"/>
      <c r="K119" s="352"/>
      <c r="L119" s="352"/>
      <c r="M119" s="352"/>
    </row>
    <row r="120" spans="1:14" ht="31.5">
      <c r="A120" s="265"/>
      <c r="E120" s="352"/>
      <c r="F120" s="352">
        <v>90</v>
      </c>
      <c r="G120" s="352" t="s">
        <v>842</v>
      </c>
      <c r="H120" s="273" t="s">
        <v>2586</v>
      </c>
      <c r="I120" s="352">
        <f>I100</f>
        <v>16.55</v>
      </c>
      <c r="J120" s="352" t="s">
        <v>3363</v>
      </c>
      <c r="K120" s="352">
        <f>F120*I120</f>
        <v>1489.5</v>
      </c>
      <c r="L120" s="352"/>
      <c r="M120" s="352"/>
    </row>
    <row r="121" spans="1:14" ht="31.5">
      <c r="E121" s="352"/>
      <c r="F121" s="352">
        <v>45</v>
      </c>
      <c r="G121" s="352" t="s">
        <v>842</v>
      </c>
      <c r="H121" s="351" t="s">
        <v>2403</v>
      </c>
      <c r="I121" s="352">
        <f>I101</f>
        <v>20</v>
      </c>
      <c r="J121" s="352" t="s">
        <v>842</v>
      </c>
      <c r="K121" s="352">
        <f t="shared" ref="K121:K130" si="7">F121*I121</f>
        <v>900</v>
      </c>
      <c r="L121" s="352"/>
      <c r="M121" s="352"/>
    </row>
    <row r="122" spans="1:14">
      <c r="E122" s="352"/>
      <c r="F122" s="352">
        <v>20</v>
      </c>
      <c r="G122" s="352" t="s">
        <v>1419</v>
      </c>
      <c r="H122" s="352" t="s">
        <v>2405</v>
      </c>
      <c r="I122" s="352">
        <f>I102</f>
        <v>3.15</v>
      </c>
      <c r="J122" s="352" t="s">
        <v>3451</v>
      </c>
      <c r="K122" s="352">
        <f t="shared" si="7"/>
        <v>63</v>
      </c>
      <c r="L122" s="352"/>
      <c r="M122" s="352"/>
    </row>
    <row r="123" spans="1:14">
      <c r="E123" s="352"/>
      <c r="F123" s="352">
        <v>10</v>
      </c>
      <c r="G123" s="352" t="s">
        <v>1419</v>
      </c>
      <c r="H123" s="352" t="s">
        <v>3448</v>
      </c>
      <c r="I123" s="352">
        <f>I103</f>
        <v>1.34</v>
      </c>
      <c r="J123" s="352" t="s">
        <v>3451</v>
      </c>
      <c r="K123" s="352">
        <f t="shared" si="7"/>
        <v>13.4</v>
      </c>
      <c r="L123" s="352"/>
      <c r="M123" s="352"/>
    </row>
    <row r="124" spans="1:14">
      <c r="E124" s="352"/>
      <c r="F124" s="352">
        <v>1</v>
      </c>
      <c r="G124" s="352" t="s">
        <v>1419</v>
      </c>
      <c r="H124" s="352" t="s">
        <v>2491</v>
      </c>
      <c r="I124" s="352">
        <f>I107</f>
        <v>70.7</v>
      </c>
      <c r="J124" s="352" t="s">
        <v>1419</v>
      </c>
      <c r="K124" s="352">
        <f t="shared" si="7"/>
        <v>70.7</v>
      </c>
      <c r="L124" s="352"/>
      <c r="M124" s="352"/>
    </row>
    <row r="125" spans="1:14">
      <c r="E125" s="352"/>
      <c r="F125" s="355">
        <v>1.4999999999999999E-2</v>
      </c>
      <c r="G125" s="352" t="s">
        <v>2322</v>
      </c>
      <c r="H125" s="352" t="s">
        <v>2599</v>
      </c>
      <c r="I125" s="352">
        <f>I18</f>
        <v>661</v>
      </c>
      <c r="J125" s="352" t="s">
        <v>2322</v>
      </c>
      <c r="K125" s="352">
        <f t="shared" si="7"/>
        <v>9.92</v>
      </c>
      <c r="L125" s="352"/>
      <c r="M125" s="352"/>
    </row>
    <row r="126" spans="1:14" ht="47.25">
      <c r="E126" s="352"/>
      <c r="F126" s="352">
        <v>15</v>
      </c>
      <c r="G126" s="352" t="s">
        <v>1419</v>
      </c>
      <c r="H126" s="351" t="s">
        <v>5747</v>
      </c>
      <c r="I126" s="421">
        <f>(194.5/12)+24.1</f>
        <v>40.31</v>
      </c>
      <c r="J126" s="352" t="s">
        <v>1419</v>
      </c>
      <c r="K126" s="352">
        <f t="shared" si="7"/>
        <v>604.65</v>
      </c>
      <c r="L126" s="463">
        <f>192.6+239</f>
        <v>431.6</v>
      </c>
      <c r="M126" s="352">
        <f>L126/12</f>
        <v>35.97</v>
      </c>
      <c r="N126" s="180">
        <f>M126/12</f>
        <v>3</v>
      </c>
    </row>
    <row r="127" spans="1:14">
      <c r="E127" s="352"/>
      <c r="F127" s="352">
        <v>15</v>
      </c>
      <c r="G127" s="352" t="s">
        <v>1419</v>
      </c>
      <c r="H127" s="352" t="s">
        <v>2491</v>
      </c>
      <c r="I127" s="352">
        <f>I124</f>
        <v>70.7</v>
      </c>
      <c r="J127" s="352" t="s">
        <v>1419</v>
      </c>
      <c r="K127" s="352">
        <f t="shared" si="7"/>
        <v>1060.5</v>
      </c>
      <c r="L127" s="352"/>
      <c r="M127" s="352"/>
    </row>
    <row r="128" spans="1:14">
      <c r="E128" s="352"/>
      <c r="F128" s="355">
        <v>0.22500000000000001</v>
      </c>
      <c r="G128" s="352" t="s">
        <v>2322</v>
      </c>
      <c r="H128" s="352" t="s">
        <v>2599</v>
      </c>
      <c r="I128" s="352">
        <f>I125</f>
        <v>661</v>
      </c>
      <c r="J128" s="352" t="s">
        <v>2772</v>
      </c>
      <c r="K128" s="352">
        <f t="shared" si="7"/>
        <v>148.72999999999999</v>
      </c>
      <c r="L128" s="352"/>
      <c r="M128" s="352"/>
    </row>
    <row r="129" spans="5:13">
      <c r="E129" s="352"/>
      <c r="F129" s="352">
        <v>1.25</v>
      </c>
      <c r="G129" s="352" t="s">
        <v>2680</v>
      </c>
      <c r="H129" s="352" t="s">
        <v>395</v>
      </c>
      <c r="I129" s="352">
        <f>I109</f>
        <v>302</v>
      </c>
      <c r="J129" s="352" t="s">
        <v>2680</v>
      </c>
      <c r="K129" s="352">
        <f t="shared" si="7"/>
        <v>377.5</v>
      </c>
      <c r="L129" s="352"/>
      <c r="M129" s="352"/>
    </row>
    <row r="130" spans="5:13" ht="31.5">
      <c r="E130" s="352"/>
      <c r="F130" s="352">
        <v>45</v>
      </c>
      <c r="G130" s="352" t="s">
        <v>2322</v>
      </c>
      <c r="H130" s="273" t="s">
        <v>2686</v>
      </c>
      <c r="I130" s="352">
        <f>I120</f>
        <v>16.55</v>
      </c>
      <c r="J130" s="352" t="s">
        <v>3363</v>
      </c>
      <c r="K130" s="352">
        <f t="shared" si="7"/>
        <v>744.75</v>
      </c>
      <c r="L130" s="352"/>
      <c r="M130" s="352"/>
    </row>
    <row r="131" spans="5:13">
      <c r="E131" s="352"/>
      <c r="F131" s="352"/>
      <c r="G131" s="352"/>
      <c r="H131" s="352" t="s">
        <v>931</v>
      </c>
      <c r="I131" s="352"/>
      <c r="J131" s="352"/>
      <c r="K131" s="352">
        <f>K87</f>
        <v>11454</v>
      </c>
      <c r="L131" s="352"/>
      <c r="M131" s="352"/>
    </row>
    <row r="132" spans="5:13">
      <c r="E132" s="352"/>
      <c r="F132" s="352"/>
      <c r="G132" s="352"/>
      <c r="H132" s="352" t="s">
        <v>2310</v>
      </c>
      <c r="I132" s="352"/>
      <c r="J132" s="352"/>
      <c r="K132" s="352">
        <v>58.35</v>
      </c>
      <c r="L132" s="352"/>
      <c r="M132" s="352"/>
    </row>
    <row r="133" spans="5:13">
      <c r="E133" s="352"/>
      <c r="F133" s="352"/>
      <c r="G133" s="352"/>
      <c r="H133" s="357" t="s">
        <v>2773</v>
      </c>
      <c r="I133" s="352"/>
      <c r="J133" s="352"/>
      <c r="K133" s="358">
        <f>SUM(K120:K132)</f>
        <v>16995</v>
      </c>
      <c r="L133" s="352">
        <f>1133*15</f>
        <v>16995</v>
      </c>
      <c r="M133" s="352"/>
    </row>
    <row r="134" spans="5:13">
      <c r="E134" s="352"/>
      <c r="F134" s="352"/>
      <c r="G134" s="352"/>
      <c r="H134" s="359" t="s">
        <v>3220</v>
      </c>
      <c r="I134" s="352"/>
      <c r="J134" s="352"/>
      <c r="K134" s="360">
        <f>K133/15</f>
        <v>1133</v>
      </c>
      <c r="L134" s="352">
        <f>L133-K133</f>
        <v>0</v>
      </c>
      <c r="M134" s="352"/>
    </row>
    <row r="135" spans="5:13">
      <c r="E135" s="352"/>
      <c r="F135" s="352"/>
      <c r="G135" s="352"/>
      <c r="H135" s="352"/>
      <c r="I135" s="352"/>
      <c r="J135" s="352"/>
      <c r="K135" s="352"/>
      <c r="L135" s="352"/>
      <c r="M135" s="352"/>
    </row>
    <row r="136" spans="5:13">
      <c r="E136" s="352"/>
      <c r="F136" s="352"/>
      <c r="G136" s="352"/>
      <c r="H136" s="360" t="s">
        <v>2774</v>
      </c>
      <c r="I136" s="352"/>
      <c r="J136" s="352"/>
      <c r="K136" s="352"/>
      <c r="L136" s="352"/>
      <c r="M136" s="352"/>
    </row>
    <row r="137" spans="5:13">
      <c r="E137" s="352"/>
      <c r="F137" s="352"/>
      <c r="G137" s="352"/>
      <c r="H137" s="360" t="s">
        <v>2775</v>
      </c>
      <c r="I137" s="352"/>
      <c r="J137" s="352"/>
      <c r="K137" s="352"/>
      <c r="L137" s="352"/>
      <c r="M137" s="352"/>
    </row>
    <row r="138" spans="5:13">
      <c r="E138" s="352"/>
      <c r="F138" s="352"/>
      <c r="G138" s="352"/>
      <c r="H138" s="352"/>
      <c r="I138" s="352"/>
      <c r="J138" s="352"/>
      <c r="K138" s="352"/>
      <c r="L138" s="352"/>
      <c r="M138" s="352"/>
    </row>
    <row r="139" spans="5:13" ht="157.5">
      <c r="E139" s="352"/>
      <c r="F139" s="352"/>
      <c r="G139" s="352"/>
      <c r="H139" s="351" t="s">
        <v>2577</v>
      </c>
      <c r="I139" s="352"/>
      <c r="J139" s="352"/>
      <c r="K139" s="352"/>
      <c r="L139" s="352"/>
      <c r="M139" s="352"/>
    </row>
    <row r="140" spans="5:13">
      <c r="E140" s="352"/>
      <c r="F140" s="352"/>
      <c r="G140" s="352"/>
      <c r="H140" s="352"/>
      <c r="I140" s="352"/>
      <c r="J140" s="352"/>
      <c r="K140" s="352"/>
      <c r="L140" s="352"/>
      <c r="M140" s="352"/>
    </row>
    <row r="141" spans="5:13" ht="31.5">
      <c r="E141" s="352"/>
      <c r="F141" s="352">
        <v>5</v>
      </c>
      <c r="G141" s="352" t="s">
        <v>842</v>
      </c>
      <c r="H141" s="458" t="s">
        <v>2586</v>
      </c>
      <c r="I141" s="352">
        <f>I120</f>
        <v>16.55</v>
      </c>
      <c r="J141" s="352" t="s">
        <v>2404</v>
      </c>
      <c r="K141" s="352">
        <f>F141*I141</f>
        <v>82.75</v>
      </c>
      <c r="L141" s="352"/>
      <c r="M141" s="352"/>
    </row>
    <row r="142" spans="5:13" ht="31.5">
      <c r="E142" s="352"/>
      <c r="F142" s="352">
        <v>2.5</v>
      </c>
      <c r="G142" s="352" t="s">
        <v>842</v>
      </c>
      <c r="H142" s="351" t="s">
        <v>2403</v>
      </c>
      <c r="I142" s="352">
        <f>I121</f>
        <v>20</v>
      </c>
      <c r="J142" s="352" t="s">
        <v>842</v>
      </c>
      <c r="K142" s="352">
        <f>F142*I142</f>
        <v>50</v>
      </c>
      <c r="L142" s="352"/>
      <c r="M142" s="352"/>
    </row>
    <row r="143" spans="5:13" ht="47.25">
      <c r="E143" s="352"/>
      <c r="F143" s="352">
        <v>1</v>
      </c>
      <c r="G143" s="352" t="s">
        <v>1419</v>
      </c>
      <c r="H143" s="351" t="str">
        <f>H126</f>
        <v>5 A 5 pin non - inter locking switch and plug ( flush type ) part - c (I a) + part - d (I a)( Rs. 194.50/12 + 24.10) p-118 +123 part d a</v>
      </c>
      <c r="I143" s="456">
        <f>I126</f>
        <v>40.31</v>
      </c>
      <c r="J143" s="352" t="s">
        <v>1419</v>
      </c>
      <c r="K143" s="352">
        <f>F143*I143</f>
        <v>40.31</v>
      </c>
      <c r="L143" s="352"/>
      <c r="M143" s="352"/>
    </row>
    <row r="144" spans="5:13">
      <c r="E144" s="352"/>
      <c r="F144" s="352"/>
      <c r="G144" s="352"/>
      <c r="H144" s="352" t="s">
        <v>931</v>
      </c>
      <c r="I144" s="352"/>
      <c r="J144" s="352"/>
      <c r="K144" s="352">
        <f>ROUND(K42*5/90,2)</f>
        <v>636.33000000000004</v>
      </c>
      <c r="L144" s="352"/>
      <c r="M144" s="352"/>
    </row>
    <row r="145" spans="5:13">
      <c r="E145" s="352"/>
      <c r="F145" s="352"/>
      <c r="G145" s="352"/>
      <c r="H145" s="352" t="s">
        <v>2310</v>
      </c>
      <c r="I145" s="352"/>
      <c r="J145" s="352"/>
      <c r="K145" s="352">
        <v>25.61</v>
      </c>
      <c r="L145" s="352"/>
      <c r="M145" s="352"/>
    </row>
    <row r="146" spans="5:13">
      <c r="E146" s="352"/>
      <c r="F146" s="352"/>
      <c r="G146" s="352"/>
      <c r="H146" s="359" t="s">
        <v>3220</v>
      </c>
      <c r="I146" s="352"/>
      <c r="J146" s="352"/>
      <c r="K146" s="367">
        <f>SUM(K141:K145)</f>
        <v>835</v>
      </c>
      <c r="L146" s="352">
        <f>835-K146</f>
        <v>0</v>
      </c>
      <c r="M146" s="352"/>
    </row>
    <row r="147" spans="5:13">
      <c r="E147" s="352"/>
      <c r="F147" s="352"/>
      <c r="G147" s="352"/>
      <c r="H147" s="352"/>
      <c r="I147" s="352"/>
      <c r="J147" s="352"/>
      <c r="K147" s="352"/>
      <c r="L147" s="352"/>
      <c r="M147" s="352"/>
    </row>
    <row r="148" spans="5:13">
      <c r="E148" s="352"/>
      <c r="F148" s="352"/>
      <c r="G148" s="352"/>
      <c r="H148" s="360" t="s">
        <v>2578</v>
      </c>
      <c r="I148" s="352"/>
      <c r="J148" s="352"/>
      <c r="K148" s="352"/>
      <c r="L148" s="352"/>
      <c r="M148" s="352"/>
    </row>
    <row r="149" spans="5:13">
      <c r="E149" s="352"/>
      <c r="F149" s="352"/>
      <c r="G149" s="352"/>
      <c r="H149" s="360" t="s">
        <v>2579</v>
      </c>
      <c r="I149" s="352"/>
      <c r="J149" s="352"/>
      <c r="K149" s="352"/>
      <c r="L149" s="352"/>
      <c r="M149" s="352"/>
    </row>
    <row r="150" spans="5:13">
      <c r="E150" s="352"/>
      <c r="F150" s="352"/>
      <c r="G150" s="352"/>
      <c r="H150" s="352"/>
      <c r="I150" s="352"/>
      <c r="J150" s="352"/>
      <c r="K150" s="352"/>
      <c r="L150" s="352"/>
      <c r="M150" s="352"/>
    </row>
    <row r="151" spans="5:13" ht="63">
      <c r="E151" s="352"/>
      <c r="F151" s="352"/>
      <c r="G151" s="352"/>
      <c r="H151" s="351" t="s">
        <v>2895</v>
      </c>
      <c r="I151" s="352"/>
      <c r="J151" s="352"/>
      <c r="K151" s="352"/>
      <c r="L151" s="352"/>
      <c r="M151" s="352"/>
    </row>
    <row r="152" spans="5:13">
      <c r="E152" s="352"/>
      <c r="F152" s="352"/>
      <c r="G152" s="352"/>
      <c r="H152" s="352"/>
      <c r="I152" s="352"/>
      <c r="J152" s="352"/>
      <c r="K152" s="352"/>
      <c r="L152" s="352"/>
      <c r="M152" s="352"/>
    </row>
    <row r="153" spans="5:13">
      <c r="E153" s="352"/>
      <c r="F153" s="352">
        <v>1</v>
      </c>
      <c r="G153" s="352" t="s">
        <v>1419</v>
      </c>
      <c r="H153" s="352" t="s">
        <v>5195</v>
      </c>
      <c r="I153" s="421">
        <v>54.5</v>
      </c>
      <c r="J153" s="352" t="s">
        <v>1419</v>
      </c>
      <c r="K153" s="352">
        <f>F153*I153</f>
        <v>54.5</v>
      </c>
      <c r="L153" s="352"/>
      <c r="M153" s="352"/>
    </row>
    <row r="154" spans="5:13">
      <c r="E154" s="352"/>
      <c r="F154" s="352">
        <v>1</v>
      </c>
      <c r="G154" s="352" t="s">
        <v>1419</v>
      </c>
      <c r="H154" s="352" t="s">
        <v>3202</v>
      </c>
      <c r="I154" s="352">
        <f>I124</f>
        <v>70.7</v>
      </c>
      <c r="J154" s="352" t="s">
        <v>1419</v>
      </c>
      <c r="K154" s="352">
        <f>F154*I154</f>
        <v>70.7</v>
      </c>
      <c r="L154" s="352"/>
      <c r="M154" s="352"/>
    </row>
    <row r="155" spans="5:13">
      <c r="E155" s="352"/>
      <c r="F155" s="355">
        <v>1.4999999999999999E-2</v>
      </c>
      <c r="G155" s="352" t="s">
        <v>2322</v>
      </c>
      <c r="H155" s="352" t="s">
        <v>3203</v>
      </c>
      <c r="I155" s="352">
        <f>I125</f>
        <v>661</v>
      </c>
      <c r="J155" s="352" t="s">
        <v>2322</v>
      </c>
      <c r="K155" s="352">
        <f>F155*I155</f>
        <v>9.92</v>
      </c>
      <c r="L155" s="352"/>
      <c r="M155" s="352"/>
    </row>
    <row r="156" spans="5:13" ht="31.5">
      <c r="E156" s="352"/>
      <c r="F156" s="352" t="s">
        <v>669</v>
      </c>
      <c r="G156" s="352"/>
      <c r="H156" s="351" t="s">
        <v>3204</v>
      </c>
      <c r="I156" s="352"/>
      <c r="J156" s="352"/>
      <c r="K156" s="352">
        <v>14.88</v>
      </c>
      <c r="L156" s="352">
        <f>(K153+K154+K155)*2%</f>
        <v>2.7</v>
      </c>
      <c r="M156" s="352"/>
    </row>
    <row r="157" spans="5:13">
      <c r="E157" s="352"/>
      <c r="F157" s="352"/>
      <c r="G157" s="352"/>
      <c r="H157" s="359" t="s">
        <v>1083</v>
      </c>
      <c r="I157" s="352"/>
      <c r="J157" s="352"/>
      <c r="K157" s="367">
        <f>SUM(K153:K156)</f>
        <v>150</v>
      </c>
      <c r="L157" s="352">
        <f>150-K157</f>
        <v>0</v>
      </c>
      <c r="M157" s="352"/>
    </row>
    <row r="158" spans="5:13">
      <c r="E158" s="352"/>
      <c r="F158" s="352"/>
      <c r="G158" s="352"/>
      <c r="H158" s="352"/>
      <c r="I158" s="352"/>
      <c r="J158" s="352"/>
      <c r="K158" s="352">
        <f>K157*18</f>
        <v>2700</v>
      </c>
      <c r="L158" s="352"/>
      <c r="M158" s="352"/>
    </row>
    <row r="159" spans="5:13">
      <c r="E159" s="352"/>
      <c r="F159" s="352"/>
      <c r="G159" s="352"/>
      <c r="H159" s="360" t="s">
        <v>3205</v>
      </c>
      <c r="I159" s="352"/>
      <c r="J159" s="352"/>
      <c r="K159" s="352"/>
      <c r="L159" s="352"/>
      <c r="M159" s="352"/>
    </row>
    <row r="160" spans="5:13" ht="47.25">
      <c r="E160" s="352"/>
      <c r="F160" s="352"/>
      <c r="G160" s="352"/>
      <c r="H160" s="350" t="s">
        <v>3206</v>
      </c>
      <c r="I160" s="352"/>
      <c r="J160" s="352"/>
      <c r="K160" s="352"/>
      <c r="L160" s="352"/>
      <c r="M160" s="352"/>
    </row>
    <row r="161" spans="5:13">
      <c r="E161" s="352"/>
      <c r="F161" s="352"/>
      <c r="G161" s="352"/>
      <c r="H161" s="350"/>
      <c r="I161" s="352"/>
      <c r="J161" s="352"/>
      <c r="K161" s="352"/>
      <c r="L161" s="352"/>
      <c r="M161" s="352"/>
    </row>
    <row r="162" spans="5:13" ht="189">
      <c r="E162" s="352"/>
      <c r="F162" s="352"/>
      <c r="G162" s="352"/>
      <c r="H162" s="351" t="s">
        <v>2474</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842</v>
      </c>
      <c r="H164" s="273" t="s">
        <v>2586</v>
      </c>
      <c r="I164" s="352">
        <f>I12</f>
        <v>16.55</v>
      </c>
      <c r="J164" s="352" t="s">
        <v>842</v>
      </c>
      <c r="K164" s="352">
        <f>F164*I164</f>
        <v>1489.5</v>
      </c>
      <c r="L164" s="352"/>
      <c r="M164" s="352"/>
    </row>
    <row r="165" spans="5:13" ht="31.5">
      <c r="E165" s="352"/>
      <c r="F165" s="352">
        <v>45</v>
      </c>
      <c r="G165" s="352" t="s">
        <v>842</v>
      </c>
      <c r="H165" s="351" t="s">
        <v>2403</v>
      </c>
      <c r="I165" s="352">
        <f>I13</f>
        <v>20</v>
      </c>
      <c r="J165" s="352" t="s">
        <v>2404</v>
      </c>
      <c r="K165" s="352">
        <f t="shared" ref="K165:K176" si="8">F165*I165</f>
        <v>900</v>
      </c>
      <c r="L165" s="352"/>
      <c r="M165" s="352"/>
    </row>
    <row r="166" spans="5:13">
      <c r="E166" s="352"/>
      <c r="F166" s="352">
        <v>12</v>
      </c>
      <c r="G166" s="352" t="s">
        <v>1419</v>
      </c>
      <c r="H166" s="352" t="s">
        <v>2405</v>
      </c>
      <c r="I166" s="352">
        <f>I14</f>
        <v>3.15</v>
      </c>
      <c r="J166" s="352" t="s">
        <v>1419</v>
      </c>
      <c r="K166" s="352">
        <f t="shared" si="8"/>
        <v>37.799999999999997</v>
      </c>
      <c r="L166" s="352"/>
      <c r="M166" s="352"/>
    </row>
    <row r="167" spans="5:13">
      <c r="E167" s="352"/>
      <c r="F167" s="352">
        <v>6</v>
      </c>
      <c r="G167" s="352" t="s">
        <v>1419</v>
      </c>
      <c r="H167" s="352" t="s">
        <v>3448</v>
      </c>
      <c r="I167" s="352">
        <f>I15</f>
        <v>1.34</v>
      </c>
      <c r="J167" s="352" t="s">
        <v>1419</v>
      </c>
      <c r="K167" s="352">
        <f t="shared" si="8"/>
        <v>8.0399999999999991</v>
      </c>
      <c r="L167" s="352"/>
      <c r="M167" s="352"/>
    </row>
    <row r="168" spans="5:13">
      <c r="E168" s="352"/>
      <c r="F168" s="352">
        <v>1</v>
      </c>
      <c r="G168" s="352" t="s">
        <v>1419</v>
      </c>
      <c r="H168" s="352" t="s">
        <v>3449</v>
      </c>
      <c r="I168" s="352">
        <f>I16</f>
        <v>70.7</v>
      </c>
      <c r="J168" s="352" t="s">
        <v>1419</v>
      </c>
      <c r="K168" s="352">
        <f t="shared" si="8"/>
        <v>70.7</v>
      </c>
      <c r="L168" s="352"/>
      <c r="M168" s="352"/>
    </row>
    <row r="169" spans="5:13">
      <c r="E169" s="352"/>
      <c r="F169" s="355">
        <v>1.4999999999999999E-2</v>
      </c>
      <c r="G169" s="352" t="s">
        <v>2322</v>
      </c>
      <c r="H169" s="352" t="s">
        <v>3319</v>
      </c>
      <c r="I169" s="352">
        <f t="shared" ref="I169:I176" si="9">I18</f>
        <v>661</v>
      </c>
      <c r="J169" s="352" t="s">
        <v>2322</v>
      </c>
      <c r="K169" s="352">
        <f t="shared" si="8"/>
        <v>9.92</v>
      </c>
      <c r="L169" s="352"/>
      <c r="M169" s="352"/>
    </row>
    <row r="170" spans="5:13">
      <c r="E170" s="352"/>
      <c r="F170" s="352">
        <v>6</v>
      </c>
      <c r="G170" s="352" t="s">
        <v>1419</v>
      </c>
      <c r="H170" s="352" t="s">
        <v>3320</v>
      </c>
      <c r="I170" s="352">
        <f t="shared" si="9"/>
        <v>16.21</v>
      </c>
      <c r="J170" s="352" t="s">
        <v>3451</v>
      </c>
      <c r="K170" s="352">
        <f t="shared" si="8"/>
        <v>97.26</v>
      </c>
      <c r="L170" s="352"/>
      <c r="M170" s="352"/>
    </row>
    <row r="171" spans="5:13">
      <c r="E171" s="352"/>
      <c r="F171" s="352">
        <v>6</v>
      </c>
      <c r="G171" s="352" t="s">
        <v>1419</v>
      </c>
      <c r="H171" s="352" t="s">
        <v>2676</v>
      </c>
      <c r="I171" s="352">
        <f t="shared" si="9"/>
        <v>13.8</v>
      </c>
      <c r="J171" s="352" t="s">
        <v>1419</v>
      </c>
      <c r="K171" s="352">
        <f t="shared" si="8"/>
        <v>82.8</v>
      </c>
      <c r="L171" s="352"/>
      <c r="M171" s="352"/>
    </row>
    <row r="172" spans="5:13">
      <c r="E172" s="352"/>
      <c r="F172" s="352">
        <v>6</v>
      </c>
      <c r="G172" s="352" t="s">
        <v>1419</v>
      </c>
      <c r="H172" s="352" t="s">
        <v>2678</v>
      </c>
      <c r="I172" s="352">
        <f t="shared" si="9"/>
        <v>3.6</v>
      </c>
      <c r="J172" s="352" t="s">
        <v>1419</v>
      </c>
      <c r="K172" s="352">
        <f t="shared" si="8"/>
        <v>21.6</v>
      </c>
      <c r="L172" s="352"/>
      <c r="M172" s="352"/>
    </row>
    <row r="173" spans="5:13">
      <c r="E173" s="352"/>
      <c r="F173" s="352">
        <v>1.25</v>
      </c>
      <c r="G173" s="352" t="s">
        <v>2680</v>
      </c>
      <c r="H173" s="352" t="s">
        <v>395</v>
      </c>
      <c r="I173" s="352">
        <f t="shared" si="9"/>
        <v>302</v>
      </c>
      <c r="J173" s="352" t="s">
        <v>2680</v>
      </c>
      <c r="K173" s="352">
        <f t="shared" si="8"/>
        <v>377.5</v>
      </c>
      <c r="L173" s="352"/>
      <c r="M173" s="352"/>
    </row>
    <row r="174" spans="5:13">
      <c r="E174" s="352"/>
      <c r="F174" s="352">
        <v>6</v>
      </c>
      <c r="G174" s="352" t="s">
        <v>1419</v>
      </c>
      <c r="H174" s="352" t="s">
        <v>2681</v>
      </c>
      <c r="I174" s="352">
        <f t="shared" si="9"/>
        <v>70.7</v>
      </c>
      <c r="J174" s="352" t="s">
        <v>1419</v>
      </c>
      <c r="K174" s="352">
        <f t="shared" si="8"/>
        <v>424.2</v>
      </c>
      <c r="L174" s="352"/>
      <c r="M174" s="352"/>
    </row>
    <row r="175" spans="5:13">
      <c r="E175" s="352"/>
      <c r="F175" s="352">
        <v>0.09</v>
      </c>
      <c r="G175" s="352" t="s">
        <v>2322</v>
      </c>
      <c r="H175" s="352" t="s">
        <v>2683</v>
      </c>
      <c r="I175" s="352">
        <f t="shared" si="9"/>
        <v>661</v>
      </c>
      <c r="J175" s="352" t="s">
        <v>2322</v>
      </c>
      <c r="K175" s="352">
        <f t="shared" si="8"/>
        <v>59.49</v>
      </c>
      <c r="L175" s="352"/>
      <c r="M175" s="352"/>
    </row>
    <row r="176" spans="5:13" ht="31.5">
      <c r="E176" s="352"/>
      <c r="F176" s="352">
        <v>45</v>
      </c>
      <c r="G176" s="352"/>
      <c r="H176" s="273" t="s">
        <v>2686</v>
      </c>
      <c r="I176" s="352">
        <f t="shared" si="9"/>
        <v>16.55</v>
      </c>
      <c r="J176" s="352" t="s">
        <v>3363</v>
      </c>
      <c r="K176" s="352">
        <f t="shared" si="8"/>
        <v>744.75</v>
      </c>
      <c r="L176" s="352"/>
      <c r="M176" s="352"/>
    </row>
    <row r="177" spans="5:13">
      <c r="E177" s="352"/>
      <c r="F177" s="352"/>
      <c r="G177" s="352"/>
      <c r="H177" s="352" t="s">
        <v>931</v>
      </c>
      <c r="I177" s="352"/>
      <c r="J177" s="352" t="s">
        <v>669</v>
      </c>
      <c r="K177" s="352">
        <f>K26</f>
        <v>11454</v>
      </c>
      <c r="L177" s="352"/>
      <c r="M177" s="352"/>
    </row>
    <row r="178" spans="5:13">
      <c r="E178" s="352"/>
      <c r="F178" s="352"/>
      <c r="G178" s="352"/>
      <c r="H178" s="352" t="s">
        <v>2310</v>
      </c>
      <c r="I178" s="352"/>
      <c r="J178" s="352" t="s">
        <v>669</v>
      </c>
      <c r="K178" s="352">
        <v>62.44</v>
      </c>
      <c r="L178" s="352"/>
      <c r="M178" s="352"/>
    </row>
    <row r="179" spans="5:13">
      <c r="E179" s="352"/>
      <c r="F179" s="352"/>
      <c r="G179" s="352"/>
      <c r="H179" s="357" t="s">
        <v>3371</v>
      </c>
      <c r="I179" s="352"/>
      <c r="J179" s="352"/>
      <c r="K179" s="358">
        <f>SUM(K164:K178)</f>
        <v>15840</v>
      </c>
      <c r="L179" s="352"/>
      <c r="M179" s="352"/>
    </row>
    <row r="180" spans="5:13">
      <c r="E180" s="352"/>
      <c r="F180" s="352"/>
      <c r="G180" s="352"/>
      <c r="H180" s="359" t="s">
        <v>3368</v>
      </c>
      <c r="I180" s="352"/>
      <c r="J180" s="352"/>
      <c r="K180" s="360">
        <f>K179/6</f>
        <v>2640</v>
      </c>
      <c r="L180" s="352">
        <f>2640*6</f>
        <v>15840</v>
      </c>
      <c r="M180" s="352">
        <f>L180-K179</f>
        <v>0</v>
      </c>
    </row>
    <row r="181" spans="5:13">
      <c r="E181" s="352"/>
      <c r="F181" s="352"/>
      <c r="G181" s="352"/>
      <c r="H181" s="352"/>
      <c r="I181" s="352"/>
      <c r="J181" s="352"/>
      <c r="K181" s="352"/>
      <c r="L181" s="352">
        <f>L180-K179</f>
        <v>0</v>
      </c>
      <c r="M181" s="352"/>
    </row>
    <row r="182" spans="5:13">
      <c r="E182" s="352"/>
      <c r="F182" s="352"/>
      <c r="G182" s="352"/>
      <c r="H182" s="360" t="s">
        <v>2475</v>
      </c>
      <c r="I182" s="352"/>
      <c r="J182" s="352"/>
      <c r="K182" s="352"/>
      <c r="L182" s="352">
        <f>L181*6</f>
        <v>0</v>
      </c>
      <c r="M182" s="352"/>
    </row>
    <row r="183" spans="5:13" ht="47.25">
      <c r="E183" s="352"/>
      <c r="F183" s="352"/>
      <c r="G183" s="352"/>
      <c r="H183" s="350" t="s">
        <v>2476</v>
      </c>
      <c r="I183" s="352"/>
      <c r="J183" s="352"/>
      <c r="K183" s="352"/>
      <c r="L183" s="352"/>
      <c r="M183" s="352"/>
    </row>
    <row r="184" spans="5:13">
      <c r="E184" s="352"/>
      <c r="F184" s="352"/>
      <c r="G184" s="352"/>
      <c r="H184" s="352"/>
      <c r="I184" s="352"/>
      <c r="J184" s="352"/>
      <c r="K184" s="352"/>
      <c r="L184" s="352"/>
      <c r="M184" s="352"/>
    </row>
    <row r="185" spans="5:13" ht="204.75">
      <c r="E185" s="352"/>
      <c r="F185" s="352"/>
      <c r="G185" s="352"/>
      <c r="H185" s="351" t="s">
        <v>2343</v>
      </c>
      <c r="I185" s="352"/>
      <c r="J185" s="352"/>
      <c r="K185" s="352"/>
      <c r="L185" s="352"/>
      <c r="M185" s="352"/>
    </row>
    <row r="186" spans="5:13">
      <c r="E186" s="352"/>
      <c r="F186" s="352"/>
      <c r="G186" s="352"/>
      <c r="H186" s="352"/>
      <c r="I186" s="352"/>
      <c r="J186" s="352"/>
      <c r="K186" s="352"/>
      <c r="L186" s="352"/>
      <c r="M186" s="352"/>
    </row>
    <row r="187" spans="5:13">
      <c r="E187" s="352"/>
      <c r="F187" s="352"/>
      <c r="G187" s="352"/>
      <c r="H187" s="352" t="s">
        <v>2344</v>
      </c>
      <c r="I187" s="352"/>
      <c r="J187" s="352"/>
      <c r="K187" s="352">
        <f>K179-K178</f>
        <v>15777.56</v>
      </c>
      <c r="L187" s="352"/>
      <c r="M187" s="352"/>
    </row>
    <row r="188" spans="5:13">
      <c r="E188" s="352"/>
      <c r="F188" s="352"/>
      <c r="G188" s="352"/>
      <c r="H188" s="352" t="s">
        <v>2901</v>
      </c>
      <c r="I188" s="352"/>
      <c r="J188" s="352"/>
      <c r="K188" s="352">
        <f>K171</f>
        <v>82.8</v>
      </c>
      <c r="L188" s="352"/>
      <c r="M188" s="352"/>
    </row>
    <row r="189" spans="5:13" ht="31.5">
      <c r="E189" s="352"/>
      <c r="F189" s="352"/>
      <c r="G189" s="352"/>
      <c r="H189" s="351" t="s">
        <v>5748</v>
      </c>
      <c r="I189" s="352"/>
      <c r="J189" s="352"/>
      <c r="K189" s="421">
        <f>16.65*6</f>
        <v>99.9</v>
      </c>
      <c r="L189" s="352"/>
      <c r="M189" s="352"/>
    </row>
    <row r="190" spans="5:13">
      <c r="E190" s="352"/>
      <c r="F190" s="352"/>
      <c r="G190" s="352"/>
      <c r="H190" s="352" t="s">
        <v>2310</v>
      </c>
      <c r="I190" s="352"/>
      <c r="J190" s="352"/>
      <c r="K190" s="352">
        <v>45.34</v>
      </c>
      <c r="L190" s="352"/>
      <c r="M190" s="352"/>
    </row>
    <row r="191" spans="5:13">
      <c r="E191" s="352"/>
      <c r="F191" s="352"/>
      <c r="G191" s="352"/>
      <c r="H191" s="357" t="s">
        <v>2902</v>
      </c>
      <c r="I191" s="352"/>
      <c r="J191" s="352"/>
      <c r="K191" s="358">
        <f>(K187-K188)+K189+K190</f>
        <v>15840</v>
      </c>
      <c r="L191" s="352">
        <f>2640*6</f>
        <v>15840</v>
      </c>
      <c r="M191" s="352"/>
    </row>
    <row r="192" spans="5:13">
      <c r="E192" s="352"/>
      <c r="F192" s="352"/>
      <c r="G192" s="352"/>
      <c r="H192" s="359" t="s">
        <v>2903</v>
      </c>
      <c r="I192" s="352"/>
      <c r="J192" s="352"/>
      <c r="K192" s="360">
        <f>K191/6</f>
        <v>2640</v>
      </c>
      <c r="L192" s="352">
        <f>L191-K191</f>
        <v>0</v>
      </c>
      <c r="M192" s="352"/>
    </row>
    <row r="193" spans="5:13">
      <c r="E193" s="352"/>
      <c r="F193" s="352"/>
      <c r="G193" s="352"/>
      <c r="H193" s="352"/>
      <c r="I193" s="352"/>
      <c r="J193" s="352"/>
      <c r="K193" s="352"/>
      <c r="L193" s="352"/>
      <c r="M193" s="352"/>
    </row>
    <row r="194" spans="5:13">
      <c r="E194" s="352"/>
      <c r="F194" s="352"/>
      <c r="G194" s="352"/>
      <c r="H194" s="360" t="s">
        <v>2904</v>
      </c>
      <c r="I194" s="352"/>
      <c r="J194" s="352"/>
      <c r="K194" s="352"/>
      <c r="L194" s="352"/>
      <c r="M194" s="352"/>
    </row>
    <row r="195" spans="5:13" ht="31.5">
      <c r="E195" s="352"/>
      <c r="F195" s="352"/>
      <c r="G195" s="352"/>
      <c r="H195" s="350" t="s">
        <v>2945</v>
      </c>
      <c r="I195" s="352"/>
      <c r="J195" s="352"/>
      <c r="K195" s="352"/>
      <c r="L195" s="352"/>
      <c r="M195" s="352"/>
    </row>
    <row r="196" spans="5:13" ht="189">
      <c r="E196" s="352"/>
      <c r="F196" s="352"/>
      <c r="G196" s="352"/>
      <c r="H196" s="351" t="s">
        <v>2975</v>
      </c>
      <c r="I196" s="352"/>
      <c r="J196" s="352"/>
      <c r="K196" s="352"/>
      <c r="L196" s="352"/>
      <c r="M196" s="352"/>
    </row>
    <row r="197" spans="5:13" ht="31.5">
      <c r="E197" s="352"/>
      <c r="F197" s="352">
        <v>90</v>
      </c>
      <c r="G197" s="352" t="s">
        <v>842</v>
      </c>
      <c r="H197" s="273" t="s">
        <v>2586</v>
      </c>
      <c r="I197" s="352">
        <f t="shared" ref="I197:I209" si="10">I74</f>
        <v>16.55</v>
      </c>
      <c r="J197" s="352" t="s">
        <v>2587</v>
      </c>
      <c r="K197" s="352">
        <f>F197*I197</f>
        <v>1489.5</v>
      </c>
      <c r="L197" s="352"/>
      <c r="M197" s="352"/>
    </row>
    <row r="198" spans="5:13" ht="31.5">
      <c r="E198" s="352"/>
      <c r="F198" s="352">
        <v>45</v>
      </c>
      <c r="G198" s="352" t="s">
        <v>842</v>
      </c>
      <c r="H198" s="351" t="s">
        <v>2403</v>
      </c>
      <c r="I198" s="352">
        <f t="shared" si="10"/>
        <v>20</v>
      </c>
      <c r="J198" s="352" t="s">
        <v>842</v>
      </c>
      <c r="K198" s="352">
        <f t="shared" ref="K198:K209" si="11">F198*I198</f>
        <v>900</v>
      </c>
      <c r="L198" s="352"/>
      <c r="M198" s="352"/>
    </row>
    <row r="199" spans="5:13">
      <c r="E199" s="352"/>
      <c r="F199" s="352">
        <v>12</v>
      </c>
      <c r="G199" s="352" t="s">
        <v>1419</v>
      </c>
      <c r="H199" s="352" t="s">
        <v>2405</v>
      </c>
      <c r="I199" s="352">
        <f t="shared" si="10"/>
        <v>3.15</v>
      </c>
      <c r="J199" s="352" t="s">
        <v>1419</v>
      </c>
      <c r="K199" s="352">
        <f t="shared" si="11"/>
        <v>37.799999999999997</v>
      </c>
      <c r="L199" s="352"/>
      <c r="M199" s="352"/>
    </row>
    <row r="200" spans="5:13">
      <c r="E200" s="352"/>
      <c r="F200" s="352">
        <v>6</v>
      </c>
      <c r="G200" s="352" t="s">
        <v>1419</v>
      </c>
      <c r="H200" s="352" t="s">
        <v>3448</v>
      </c>
      <c r="I200" s="352">
        <f t="shared" si="10"/>
        <v>1.34</v>
      </c>
      <c r="J200" s="352" t="s">
        <v>1419</v>
      </c>
      <c r="K200" s="352">
        <f t="shared" si="11"/>
        <v>8.0399999999999991</v>
      </c>
      <c r="L200" s="352"/>
      <c r="M200" s="352"/>
    </row>
    <row r="201" spans="5:13">
      <c r="E201" s="352"/>
      <c r="F201" s="352">
        <v>6</v>
      </c>
      <c r="G201" s="352" t="s">
        <v>1419</v>
      </c>
      <c r="H201" s="352" t="s">
        <v>3530</v>
      </c>
      <c r="I201" s="352">
        <f t="shared" si="10"/>
        <v>3.6</v>
      </c>
      <c r="J201" s="352" t="s">
        <v>1419</v>
      </c>
      <c r="K201" s="352">
        <f t="shared" si="11"/>
        <v>21.6</v>
      </c>
      <c r="L201" s="352"/>
      <c r="M201" s="352"/>
    </row>
    <row r="202" spans="5:13">
      <c r="E202" s="352"/>
      <c r="F202" s="352">
        <v>6</v>
      </c>
      <c r="G202" s="352" t="s">
        <v>1419</v>
      </c>
      <c r="H202" s="352" t="s">
        <v>2676</v>
      </c>
      <c r="I202" s="352">
        <f t="shared" si="10"/>
        <v>13.8</v>
      </c>
      <c r="J202" s="352" t="s">
        <v>1419</v>
      </c>
      <c r="K202" s="352">
        <f t="shared" si="11"/>
        <v>82.8</v>
      </c>
      <c r="L202" s="352"/>
      <c r="M202" s="352"/>
    </row>
    <row r="203" spans="5:13">
      <c r="E203" s="352"/>
      <c r="F203" s="352">
        <v>6</v>
      </c>
      <c r="G203" s="352" t="s">
        <v>1419</v>
      </c>
      <c r="H203" s="352" t="s">
        <v>3320</v>
      </c>
      <c r="I203" s="352">
        <f t="shared" si="10"/>
        <v>16.21</v>
      </c>
      <c r="J203" s="352" t="s">
        <v>3451</v>
      </c>
      <c r="K203" s="352">
        <f t="shared" si="11"/>
        <v>97.26</v>
      </c>
      <c r="L203" s="352"/>
      <c r="M203" s="352"/>
    </row>
    <row r="204" spans="5:13">
      <c r="E204" s="352"/>
      <c r="F204" s="352">
        <v>6</v>
      </c>
      <c r="G204" s="352" t="s">
        <v>1419</v>
      </c>
      <c r="H204" s="352" t="s">
        <v>3945</v>
      </c>
      <c r="I204" s="352">
        <f t="shared" si="10"/>
        <v>115.1</v>
      </c>
      <c r="J204" s="352" t="s">
        <v>1419</v>
      </c>
      <c r="K204" s="352">
        <f t="shared" si="11"/>
        <v>690.6</v>
      </c>
      <c r="L204" s="352"/>
      <c r="M204" s="352"/>
    </row>
    <row r="205" spans="5:13">
      <c r="E205" s="352"/>
      <c r="F205" s="352">
        <v>0.36</v>
      </c>
      <c r="G205" s="352" t="s">
        <v>2322</v>
      </c>
      <c r="H205" s="352" t="s">
        <v>2683</v>
      </c>
      <c r="I205" s="352">
        <f t="shared" si="10"/>
        <v>661</v>
      </c>
      <c r="J205" s="352" t="s">
        <v>2322</v>
      </c>
      <c r="K205" s="352">
        <f t="shared" si="11"/>
        <v>237.96</v>
      </c>
      <c r="L205" s="352"/>
      <c r="M205" s="352"/>
    </row>
    <row r="206" spans="5:13">
      <c r="E206" s="352"/>
      <c r="F206" s="352">
        <v>1</v>
      </c>
      <c r="G206" s="352" t="s">
        <v>1419</v>
      </c>
      <c r="H206" s="352" t="s">
        <v>2880</v>
      </c>
      <c r="I206" s="352">
        <f t="shared" si="10"/>
        <v>70.7</v>
      </c>
      <c r="J206" s="352" t="s">
        <v>1419</v>
      </c>
      <c r="K206" s="352">
        <f t="shared" si="11"/>
        <v>70.7</v>
      </c>
      <c r="L206" s="352"/>
      <c r="M206" s="352"/>
    </row>
    <row r="207" spans="5:13">
      <c r="E207" s="352"/>
      <c r="F207" s="355">
        <v>1.4999999999999999E-2</v>
      </c>
      <c r="G207" s="352" t="s">
        <v>2322</v>
      </c>
      <c r="H207" s="352" t="s">
        <v>2683</v>
      </c>
      <c r="I207" s="352">
        <f t="shared" si="10"/>
        <v>661</v>
      </c>
      <c r="J207" s="352" t="s">
        <v>2322</v>
      </c>
      <c r="K207" s="352">
        <f t="shared" si="11"/>
        <v>9.92</v>
      </c>
      <c r="L207" s="352"/>
      <c r="M207" s="352"/>
    </row>
    <row r="208" spans="5:13">
      <c r="E208" s="352"/>
      <c r="F208" s="352">
        <v>1.25</v>
      </c>
      <c r="G208" s="352" t="s">
        <v>2680</v>
      </c>
      <c r="H208" s="352" t="s">
        <v>395</v>
      </c>
      <c r="I208" s="352">
        <f t="shared" si="10"/>
        <v>302</v>
      </c>
      <c r="J208" s="352" t="s">
        <v>2680</v>
      </c>
      <c r="K208" s="352">
        <f t="shared" si="11"/>
        <v>377.5</v>
      </c>
      <c r="L208" s="352"/>
      <c r="M208" s="352"/>
    </row>
    <row r="209" spans="5:13" ht="31.5">
      <c r="E209" s="352"/>
      <c r="F209" s="352">
        <v>45</v>
      </c>
      <c r="G209" s="352" t="s">
        <v>842</v>
      </c>
      <c r="H209" s="273" t="s">
        <v>2686</v>
      </c>
      <c r="I209" s="352">
        <f t="shared" si="10"/>
        <v>16.55</v>
      </c>
      <c r="J209" s="352" t="s">
        <v>2587</v>
      </c>
      <c r="K209" s="352">
        <f t="shared" si="11"/>
        <v>744.75</v>
      </c>
      <c r="L209" s="352"/>
      <c r="M209" s="352"/>
    </row>
    <row r="210" spans="5:13">
      <c r="E210" s="352"/>
      <c r="F210" s="352"/>
      <c r="G210" s="352"/>
      <c r="H210" s="352" t="s">
        <v>931</v>
      </c>
      <c r="I210" s="352"/>
      <c r="J210" s="352"/>
      <c r="K210" s="352">
        <f>K87</f>
        <v>11454</v>
      </c>
      <c r="L210" s="352"/>
      <c r="M210" s="352"/>
    </row>
    <row r="211" spans="5:13">
      <c r="E211" s="352"/>
      <c r="F211" s="352"/>
      <c r="G211" s="352"/>
      <c r="H211" s="352" t="s">
        <v>2310</v>
      </c>
      <c r="I211" s="352"/>
      <c r="J211" s="352"/>
      <c r="K211" s="352">
        <v>49.57</v>
      </c>
      <c r="L211" s="352">
        <f>43.19-K211</f>
        <v>-6.38</v>
      </c>
      <c r="M211" s="352"/>
    </row>
    <row r="212" spans="5:13">
      <c r="E212" s="352"/>
      <c r="F212" s="352"/>
      <c r="G212" s="352"/>
      <c r="H212" s="357" t="s">
        <v>2902</v>
      </c>
      <c r="I212" s="352"/>
      <c r="J212" s="352"/>
      <c r="K212" s="358">
        <f>SUM(K197:K211)</f>
        <v>16272</v>
      </c>
      <c r="L212" s="352">
        <f>2712*6</f>
        <v>16272</v>
      </c>
      <c r="M212" s="352"/>
    </row>
    <row r="213" spans="5:13">
      <c r="E213" s="352"/>
      <c r="F213" s="352"/>
      <c r="G213" s="352"/>
      <c r="H213" s="359" t="s">
        <v>3220</v>
      </c>
      <c r="I213" s="352"/>
      <c r="J213" s="352"/>
      <c r="K213" s="360">
        <f>K212/6</f>
        <v>2712</v>
      </c>
      <c r="L213" s="352">
        <f>L212-K212</f>
        <v>0</v>
      </c>
      <c r="M213" s="352"/>
    </row>
    <row r="214" spans="5:13">
      <c r="E214" s="352"/>
      <c r="F214" s="352"/>
      <c r="G214" s="352"/>
      <c r="H214" s="352"/>
      <c r="I214" s="352"/>
      <c r="J214" s="352"/>
      <c r="K214" s="352"/>
      <c r="L214" s="352"/>
      <c r="M214" s="352"/>
    </row>
    <row r="215" spans="5:13">
      <c r="E215" s="352"/>
      <c r="F215" s="352"/>
      <c r="G215" s="352"/>
      <c r="H215" s="360" t="s">
        <v>2976</v>
      </c>
      <c r="I215" s="352"/>
      <c r="J215" s="352"/>
      <c r="K215" s="352">
        <f>0.13*6</f>
        <v>0.78</v>
      </c>
      <c r="L215" s="352"/>
      <c r="M215" s="352"/>
    </row>
    <row r="216" spans="5:13" ht="47.25">
      <c r="E216" s="352"/>
      <c r="F216" s="352"/>
      <c r="G216" s="352"/>
      <c r="H216" s="350" t="s">
        <v>2429</v>
      </c>
      <c r="I216" s="352"/>
      <c r="J216" s="352"/>
      <c r="K216" s="352"/>
      <c r="L216" s="352"/>
      <c r="M216" s="352"/>
    </row>
    <row r="217" spans="5:13" ht="189">
      <c r="E217" s="352"/>
      <c r="F217" s="352"/>
      <c r="G217" s="352"/>
      <c r="H217" s="351" t="s">
        <v>3010</v>
      </c>
      <c r="I217" s="352"/>
      <c r="J217" s="352"/>
      <c r="K217" s="352"/>
      <c r="L217" s="352"/>
      <c r="M217" s="352"/>
    </row>
    <row r="218" spans="5:13" ht="31.5">
      <c r="E218" s="352"/>
      <c r="F218" s="352">
        <v>90</v>
      </c>
      <c r="G218" s="352" t="s">
        <v>842</v>
      </c>
      <c r="H218" s="458" t="s">
        <v>2586</v>
      </c>
      <c r="I218" s="352">
        <f t="shared" ref="I218:I228" si="12">I100</f>
        <v>16.55</v>
      </c>
      <c r="J218" s="352" t="s">
        <v>2587</v>
      </c>
      <c r="K218" s="352">
        <f>F218*I218</f>
        <v>1489.5</v>
      </c>
      <c r="L218" s="352"/>
      <c r="M218" s="352"/>
    </row>
    <row r="219" spans="5:13" ht="31.5">
      <c r="E219" s="352"/>
      <c r="F219" s="352">
        <v>30</v>
      </c>
      <c r="G219" s="352" t="s">
        <v>842</v>
      </c>
      <c r="H219" s="351" t="s">
        <v>2403</v>
      </c>
      <c r="I219" s="352">
        <f t="shared" si="12"/>
        <v>20</v>
      </c>
      <c r="J219" s="352" t="s">
        <v>842</v>
      </c>
      <c r="K219" s="352">
        <f t="shared" ref="K219:K228" si="13">F219*I219</f>
        <v>600</v>
      </c>
      <c r="L219" s="352"/>
      <c r="M219" s="352"/>
    </row>
    <row r="220" spans="5:13">
      <c r="E220" s="352"/>
      <c r="F220" s="352">
        <v>6</v>
      </c>
      <c r="G220" s="352" t="s">
        <v>1419</v>
      </c>
      <c r="H220" s="352" t="s">
        <v>2405</v>
      </c>
      <c r="I220" s="352">
        <f t="shared" si="12"/>
        <v>3.15</v>
      </c>
      <c r="J220" s="352" t="s">
        <v>1419</v>
      </c>
      <c r="K220" s="352">
        <f t="shared" si="13"/>
        <v>18.899999999999999</v>
      </c>
      <c r="L220" s="352"/>
      <c r="M220" s="352"/>
    </row>
    <row r="221" spans="5:13">
      <c r="E221" s="352"/>
      <c r="F221" s="352">
        <v>3</v>
      </c>
      <c r="G221" s="352" t="s">
        <v>1419</v>
      </c>
      <c r="H221" s="352" t="s">
        <v>3448</v>
      </c>
      <c r="I221" s="352">
        <f t="shared" si="12"/>
        <v>1.34</v>
      </c>
      <c r="J221" s="352" t="s">
        <v>1419</v>
      </c>
      <c r="K221" s="352">
        <f t="shared" si="13"/>
        <v>4.0199999999999996</v>
      </c>
      <c r="L221" s="352"/>
      <c r="M221" s="352"/>
    </row>
    <row r="222" spans="5:13">
      <c r="E222" s="352"/>
      <c r="F222" s="352">
        <v>6</v>
      </c>
      <c r="G222" s="352" t="s">
        <v>1419</v>
      </c>
      <c r="H222" s="352" t="s">
        <v>2490</v>
      </c>
      <c r="I222" s="352">
        <f t="shared" si="12"/>
        <v>20.11</v>
      </c>
      <c r="J222" s="352" t="s">
        <v>1419</v>
      </c>
      <c r="K222" s="352">
        <f t="shared" si="13"/>
        <v>120.66</v>
      </c>
      <c r="L222" s="352"/>
      <c r="M222" s="352"/>
    </row>
    <row r="223" spans="5:13">
      <c r="E223" s="352"/>
      <c r="F223" s="352">
        <v>3</v>
      </c>
      <c r="G223" s="352" t="s">
        <v>1419</v>
      </c>
      <c r="H223" s="352" t="s">
        <v>2676</v>
      </c>
      <c r="I223" s="352">
        <f t="shared" si="12"/>
        <v>13.8</v>
      </c>
      <c r="J223" s="352" t="s">
        <v>1419</v>
      </c>
      <c r="K223" s="352">
        <f t="shared" si="13"/>
        <v>41.4</v>
      </c>
      <c r="L223" s="352"/>
      <c r="M223" s="352"/>
    </row>
    <row r="224" spans="5:13">
      <c r="E224" s="352"/>
      <c r="F224" s="352">
        <v>3</v>
      </c>
      <c r="G224" s="352" t="s">
        <v>1419</v>
      </c>
      <c r="H224" s="352" t="s">
        <v>2678</v>
      </c>
      <c r="I224" s="352">
        <f t="shared" si="12"/>
        <v>3.6</v>
      </c>
      <c r="J224" s="352" t="s">
        <v>1419</v>
      </c>
      <c r="K224" s="352">
        <f t="shared" si="13"/>
        <v>10.8</v>
      </c>
      <c r="L224" s="352"/>
      <c r="M224" s="352"/>
    </row>
    <row r="225" spans="5:33">
      <c r="E225" s="352"/>
      <c r="F225" s="352">
        <v>3</v>
      </c>
      <c r="G225" s="352" t="s">
        <v>1419</v>
      </c>
      <c r="H225" s="352" t="s">
        <v>2491</v>
      </c>
      <c r="I225" s="352">
        <f t="shared" si="12"/>
        <v>70.7</v>
      </c>
      <c r="J225" s="352" t="s">
        <v>1419</v>
      </c>
      <c r="K225" s="352">
        <f t="shared" si="13"/>
        <v>212.1</v>
      </c>
      <c r="L225" s="352"/>
      <c r="M225" s="352"/>
    </row>
    <row r="226" spans="5:33">
      <c r="E226" s="352"/>
      <c r="F226" s="355">
        <v>5.3999999999999999E-2</v>
      </c>
      <c r="G226" s="352" t="s">
        <v>2322</v>
      </c>
      <c r="H226" s="352" t="s">
        <v>2599</v>
      </c>
      <c r="I226" s="352">
        <f t="shared" si="12"/>
        <v>661</v>
      </c>
      <c r="J226" s="352" t="s">
        <v>2322</v>
      </c>
      <c r="K226" s="352">
        <f t="shared" si="13"/>
        <v>35.69</v>
      </c>
      <c r="L226" s="352"/>
      <c r="M226" s="352"/>
    </row>
    <row r="227" spans="5:33">
      <c r="E227" s="352"/>
      <c r="F227" s="352">
        <v>1.25</v>
      </c>
      <c r="G227" s="352" t="s">
        <v>2680</v>
      </c>
      <c r="H227" s="352" t="s">
        <v>395</v>
      </c>
      <c r="I227" s="352">
        <f t="shared" si="12"/>
        <v>302</v>
      </c>
      <c r="J227" s="352" t="s">
        <v>2680</v>
      </c>
      <c r="K227" s="352">
        <f t="shared" si="13"/>
        <v>377.5</v>
      </c>
      <c r="L227" s="352"/>
      <c r="M227" s="352"/>
    </row>
    <row r="228" spans="5:33" ht="31.5">
      <c r="E228" s="352"/>
      <c r="F228" s="352">
        <v>30</v>
      </c>
      <c r="G228" s="352" t="s">
        <v>842</v>
      </c>
      <c r="H228" s="273" t="s">
        <v>2686</v>
      </c>
      <c r="I228" s="352">
        <f t="shared" si="12"/>
        <v>16.55</v>
      </c>
      <c r="J228" s="352" t="s">
        <v>2587</v>
      </c>
      <c r="K228" s="352">
        <f t="shared" si="13"/>
        <v>496.5</v>
      </c>
      <c r="L228" s="352"/>
      <c r="M228" s="352"/>
    </row>
    <row r="229" spans="5:33">
      <c r="E229" s="352"/>
      <c r="F229" s="352"/>
      <c r="G229" s="352"/>
      <c r="H229" s="352" t="s">
        <v>931</v>
      </c>
      <c r="I229" s="352"/>
      <c r="J229" s="352"/>
      <c r="K229" s="352">
        <f>K111</f>
        <v>11454</v>
      </c>
      <c r="L229" s="352"/>
      <c r="M229" s="352"/>
    </row>
    <row r="230" spans="5:33">
      <c r="E230" s="352"/>
      <c r="F230" s="352"/>
      <c r="G230" s="352"/>
      <c r="H230" s="352" t="s">
        <v>2310</v>
      </c>
      <c r="I230" s="352"/>
      <c r="J230" s="352"/>
      <c r="K230" s="352">
        <v>18.93</v>
      </c>
      <c r="L230" s="352"/>
      <c r="M230" s="352"/>
    </row>
    <row r="231" spans="5:33">
      <c r="E231" s="352"/>
      <c r="F231" s="352"/>
      <c r="G231" s="352"/>
      <c r="H231" s="357" t="s">
        <v>3011</v>
      </c>
      <c r="I231" s="352"/>
      <c r="J231" s="352"/>
      <c r="K231" s="358">
        <f>SUM(K218:K230)</f>
        <v>14880</v>
      </c>
      <c r="L231" s="352">
        <f>4960*3</f>
        <v>14880</v>
      </c>
      <c r="M231" s="352"/>
    </row>
    <row r="232" spans="5:33">
      <c r="E232" s="352"/>
      <c r="F232" s="352"/>
      <c r="G232" s="352"/>
      <c r="H232" s="359" t="s">
        <v>3220</v>
      </c>
      <c r="I232" s="352"/>
      <c r="J232" s="352"/>
      <c r="K232" s="360">
        <f>K231/3</f>
        <v>4960</v>
      </c>
      <c r="L232" s="352">
        <f>L231-K231</f>
        <v>0</v>
      </c>
      <c r="M232" s="352"/>
    </row>
    <row r="233" spans="5:33">
      <c r="E233" s="352"/>
      <c r="F233" s="352"/>
      <c r="G233" s="352"/>
      <c r="H233" s="352"/>
      <c r="I233" s="352"/>
      <c r="J233" s="352"/>
      <c r="K233" s="352"/>
      <c r="L233" s="352"/>
      <c r="M233" s="352"/>
    </row>
    <row r="234" spans="5:33">
      <c r="E234" s="352"/>
      <c r="F234" s="352"/>
      <c r="G234" s="352"/>
      <c r="H234" s="368" t="s">
        <v>3012</v>
      </c>
      <c r="I234" s="352"/>
      <c r="J234" s="352"/>
      <c r="K234" s="352"/>
      <c r="L234" s="352"/>
      <c r="M234" s="352"/>
    </row>
    <row r="235" spans="5:33">
      <c r="E235" s="352"/>
      <c r="F235" s="352"/>
      <c r="G235" s="352"/>
      <c r="H235" s="352"/>
      <c r="I235" s="352"/>
      <c r="J235" s="352"/>
      <c r="K235" s="352"/>
      <c r="L235" s="352"/>
      <c r="M235" s="352"/>
    </row>
    <row r="236" spans="5:33">
      <c r="E236" s="352"/>
      <c r="F236" s="352"/>
      <c r="G236" s="352"/>
      <c r="H236" s="360" t="s">
        <v>3013</v>
      </c>
      <c r="I236" s="352"/>
      <c r="J236" s="352"/>
      <c r="K236" s="352"/>
      <c r="L236" s="352"/>
      <c r="M236" s="352"/>
      <c r="N236" s="352"/>
      <c r="O236" s="360" t="s">
        <v>3017</v>
      </c>
      <c r="P236" s="352"/>
      <c r="Q236" s="352"/>
      <c r="R236" s="352"/>
    </row>
    <row r="237" spans="5:33">
      <c r="E237" s="352"/>
      <c r="F237" s="352"/>
      <c r="G237" s="352"/>
      <c r="H237" s="360" t="s">
        <v>2430</v>
      </c>
      <c r="I237" s="352"/>
      <c r="J237" s="352"/>
      <c r="K237" s="352"/>
      <c r="L237" s="352"/>
      <c r="M237" s="352"/>
      <c r="N237" s="352"/>
      <c r="O237" s="360" t="s">
        <v>3704</v>
      </c>
      <c r="P237" s="352"/>
      <c r="Q237" s="352"/>
      <c r="R237" s="352"/>
      <c r="AA237" s="352"/>
      <c r="AB237" s="352"/>
      <c r="AC237" s="352"/>
      <c r="AD237" s="360" t="s">
        <v>5749</v>
      </c>
      <c r="AE237" s="352"/>
      <c r="AF237" s="352"/>
      <c r="AG237" s="352"/>
    </row>
    <row r="238" spans="5:33">
      <c r="E238" s="352"/>
      <c r="F238" s="352"/>
      <c r="G238" s="352"/>
      <c r="H238" s="352"/>
      <c r="I238" s="352"/>
      <c r="J238" s="352"/>
      <c r="K238" s="352"/>
      <c r="L238" s="352"/>
      <c r="M238" s="352"/>
      <c r="N238" s="352"/>
      <c r="O238" s="352"/>
      <c r="P238" s="352"/>
      <c r="Q238" s="352"/>
      <c r="R238" s="352"/>
      <c r="AA238" s="352"/>
      <c r="AB238" s="352"/>
      <c r="AC238" s="352"/>
      <c r="AD238" s="352"/>
      <c r="AE238" s="352"/>
      <c r="AF238" s="352"/>
      <c r="AG238" s="352"/>
    </row>
    <row r="239" spans="5:33" ht="123.75" customHeight="1">
      <c r="E239" s="352"/>
      <c r="F239" s="352"/>
      <c r="G239" s="352"/>
      <c r="H239" s="351" t="s">
        <v>2431</v>
      </c>
      <c r="I239" s="352"/>
      <c r="J239" s="352"/>
      <c r="K239" s="352"/>
      <c r="L239" s="352"/>
      <c r="M239" s="352"/>
      <c r="N239" s="352"/>
      <c r="O239" s="351" t="s">
        <v>4874</v>
      </c>
      <c r="P239" s="352"/>
      <c r="Q239" s="352"/>
      <c r="R239" s="352"/>
      <c r="AA239" s="352"/>
      <c r="AB239" s="352"/>
      <c r="AC239" s="352"/>
      <c r="AD239" s="351" t="s">
        <v>5750</v>
      </c>
      <c r="AE239" s="352"/>
      <c r="AF239" s="352"/>
      <c r="AG239" s="352"/>
    </row>
    <row r="240" spans="5:33" ht="16.5" customHeight="1">
      <c r="E240" s="352"/>
      <c r="F240" s="352"/>
      <c r="G240" s="352"/>
      <c r="H240" s="352"/>
      <c r="I240" s="352"/>
      <c r="J240" s="352"/>
      <c r="K240" s="352"/>
      <c r="L240" s="352"/>
      <c r="M240" s="352">
        <v>180</v>
      </c>
      <c r="N240" s="352" t="s">
        <v>842</v>
      </c>
      <c r="O240" s="273" t="s">
        <v>5196</v>
      </c>
      <c r="P240" s="421">
        <v>56.7</v>
      </c>
      <c r="Q240" s="352" t="s">
        <v>2587</v>
      </c>
      <c r="R240" s="352">
        <f>M240*P240</f>
        <v>10206</v>
      </c>
      <c r="AA240" s="352"/>
      <c r="AB240" s="352">
        <v>180</v>
      </c>
      <c r="AC240" s="352" t="s">
        <v>842</v>
      </c>
      <c r="AD240" s="273" t="s">
        <v>5751</v>
      </c>
      <c r="AE240" s="421">
        <v>85.3</v>
      </c>
      <c r="AF240" s="352" t="s">
        <v>2587</v>
      </c>
      <c r="AG240" s="352">
        <f>AB240*AE240</f>
        <v>15354</v>
      </c>
    </row>
    <row r="241" spans="5:35" ht="27" customHeight="1">
      <c r="E241" s="352"/>
      <c r="F241" s="352">
        <v>180</v>
      </c>
      <c r="G241" s="352" t="s">
        <v>842</v>
      </c>
      <c r="H241" s="458" t="s">
        <v>2586</v>
      </c>
      <c r="I241" s="352">
        <f>I218</f>
        <v>16.55</v>
      </c>
      <c r="J241" s="352" t="s">
        <v>842</v>
      </c>
      <c r="K241" s="352">
        <f>F241*I241</f>
        <v>2979</v>
      </c>
      <c r="L241" s="352"/>
      <c r="M241" s="352">
        <v>90</v>
      </c>
      <c r="N241" s="352" t="s">
        <v>842</v>
      </c>
      <c r="O241" s="351" t="s">
        <v>2403</v>
      </c>
      <c r="P241" s="456">
        <f>I268</f>
        <v>20</v>
      </c>
      <c r="Q241" s="352" t="s">
        <v>842</v>
      </c>
      <c r="R241" s="352">
        <f>M241*P241</f>
        <v>1800</v>
      </c>
      <c r="AA241" s="352"/>
      <c r="AB241" s="352">
        <v>90</v>
      </c>
      <c r="AC241" s="352" t="s">
        <v>842</v>
      </c>
      <c r="AD241" s="351" t="s">
        <v>2403</v>
      </c>
      <c r="AE241" s="456">
        <v>19.100000000000001</v>
      </c>
      <c r="AF241" s="352" t="s">
        <v>842</v>
      </c>
      <c r="AG241" s="352">
        <f>AB241*AE241</f>
        <v>1719</v>
      </c>
    </row>
    <row r="242" spans="5:35" ht="31.5">
      <c r="E242" s="352"/>
      <c r="F242" s="352">
        <v>90</v>
      </c>
      <c r="G242" s="352" t="s">
        <v>842</v>
      </c>
      <c r="H242" s="351" t="s">
        <v>2403</v>
      </c>
      <c r="I242" s="352">
        <f>I219</f>
        <v>20</v>
      </c>
      <c r="J242" s="352" t="s">
        <v>842</v>
      </c>
      <c r="K242" s="352">
        <f>F242*I242</f>
        <v>1800</v>
      </c>
      <c r="L242" s="352"/>
      <c r="M242" s="352">
        <v>3</v>
      </c>
      <c r="N242" s="352" t="s">
        <v>2680</v>
      </c>
      <c r="O242" s="352" t="s">
        <v>395</v>
      </c>
      <c r="P242" s="456">
        <f>I269</f>
        <v>302</v>
      </c>
      <c r="Q242" s="352" t="s">
        <v>2680</v>
      </c>
      <c r="R242" s="352">
        <f>M242*P242</f>
        <v>906</v>
      </c>
      <c r="AA242" s="352"/>
      <c r="AB242" s="352">
        <v>3</v>
      </c>
      <c r="AC242" s="352" t="s">
        <v>2680</v>
      </c>
      <c r="AD242" s="352" t="s">
        <v>395</v>
      </c>
      <c r="AE242" s="456">
        <f>P242</f>
        <v>302</v>
      </c>
      <c r="AF242" s="352" t="s">
        <v>2680</v>
      </c>
      <c r="AG242" s="352">
        <f>AB242*AE242</f>
        <v>906</v>
      </c>
    </row>
    <row r="243" spans="5:35" ht="25.5" customHeight="1">
      <c r="E243" s="352"/>
      <c r="F243" s="352">
        <v>3</v>
      </c>
      <c r="G243" s="352" t="s">
        <v>2680</v>
      </c>
      <c r="H243" s="352" t="s">
        <v>395</v>
      </c>
      <c r="I243" s="352">
        <f>I227</f>
        <v>302</v>
      </c>
      <c r="J243" s="352" t="s">
        <v>2680</v>
      </c>
      <c r="K243" s="352">
        <f>F243*I243</f>
        <v>906</v>
      </c>
      <c r="L243" s="352"/>
      <c r="M243" s="352">
        <v>90</v>
      </c>
      <c r="N243" s="352" t="s">
        <v>842</v>
      </c>
      <c r="O243" s="273" t="s">
        <v>5197</v>
      </c>
      <c r="P243" s="456">
        <v>40.950000000000003</v>
      </c>
      <c r="Q243" s="352" t="s">
        <v>2587</v>
      </c>
      <c r="R243" s="352">
        <f>M243*P243</f>
        <v>3685.5</v>
      </c>
      <c r="AA243" s="352"/>
      <c r="AB243" s="352">
        <v>90</v>
      </c>
      <c r="AC243" s="352" t="s">
        <v>842</v>
      </c>
      <c r="AD243" s="273" t="s">
        <v>5752</v>
      </c>
      <c r="AE243" s="456">
        <v>56.7</v>
      </c>
      <c r="AF243" s="352" t="s">
        <v>2587</v>
      </c>
      <c r="AG243" s="352">
        <f>AB243*AE243</f>
        <v>5103</v>
      </c>
    </row>
    <row r="244" spans="5:35" ht="31.5">
      <c r="E244" s="352"/>
      <c r="F244" s="352">
        <v>90</v>
      </c>
      <c r="G244" s="352" t="s">
        <v>842</v>
      </c>
      <c r="H244" s="458" t="s">
        <v>2686</v>
      </c>
      <c r="I244" s="352">
        <f>I241</f>
        <v>16.55</v>
      </c>
      <c r="J244" s="352" t="s">
        <v>2587</v>
      </c>
      <c r="K244" s="352">
        <f>F244*I244</f>
        <v>1489.5</v>
      </c>
      <c r="L244" s="352"/>
      <c r="M244" s="352"/>
      <c r="N244" s="352"/>
      <c r="O244" s="352" t="s">
        <v>931</v>
      </c>
      <c r="P244" s="352"/>
      <c r="Q244" s="352"/>
      <c r="R244" s="352">
        <f>K271</f>
        <v>11454</v>
      </c>
      <c r="AA244" s="352"/>
      <c r="AB244" s="352"/>
      <c r="AC244" s="352"/>
      <c r="AD244" s="352" t="s">
        <v>931</v>
      </c>
      <c r="AE244" s="456"/>
      <c r="AF244" s="352"/>
      <c r="AG244" s="352">
        <f>R244</f>
        <v>11454</v>
      </c>
    </row>
    <row r="245" spans="5:35">
      <c r="E245" s="352"/>
      <c r="F245" s="352"/>
      <c r="G245" s="352"/>
      <c r="H245" s="352" t="s">
        <v>931</v>
      </c>
      <c r="I245" s="352"/>
      <c r="J245" s="352"/>
      <c r="K245" s="352">
        <f>K229</f>
        <v>11454</v>
      </c>
      <c r="L245" s="352"/>
      <c r="M245" s="352"/>
      <c r="N245" s="352"/>
      <c r="O245" s="352" t="s">
        <v>2310</v>
      </c>
      <c r="P245" s="352"/>
      <c r="Q245" s="352"/>
      <c r="R245" s="352">
        <v>79</v>
      </c>
      <c r="AA245" s="352"/>
      <c r="AB245" s="352"/>
      <c r="AC245" s="352"/>
      <c r="AD245" s="352" t="s">
        <v>2310</v>
      </c>
      <c r="AE245" s="352"/>
      <c r="AF245" s="352"/>
      <c r="AG245" s="352">
        <v>79</v>
      </c>
    </row>
    <row r="246" spans="5:35">
      <c r="E246" s="352"/>
      <c r="F246" s="352"/>
      <c r="G246" s="352"/>
      <c r="H246" s="352"/>
      <c r="I246" s="352"/>
      <c r="J246" s="352"/>
      <c r="K246" s="352">
        <f>SUM(K241:K245)</f>
        <v>18628.5</v>
      </c>
      <c r="L246" s="352"/>
      <c r="M246" s="352"/>
      <c r="N246" s="352"/>
      <c r="O246" s="357" t="s">
        <v>2432</v>
      </c>
      <c r="P246" s="352"/>
      <c r="Q246" s="352"/>
      <c r="R246" s="358">
        <f>SUM(R240:R245)</f>
        <v>28130.5</v>
      </c>
      <c r="AA246" s="352"/>
      <c r="AB246" s="352"/>
      <c r="AC246" s="352"/>
      <c r="AD246" s="357" t="s">
        <v>2432</v>
      </c>
      <c r="AE246" s="352"/>
      <c r="AF246" s="352"/>
      <c r="AG246" s="358">
        <f>SUM(AG240:AG245)</f>
        <v>34615</v>
      </c>
      <c r="AH246" s="180">
        <f>345.6*90</f>
        <v>31104</v>
      </c>
      <c r="AI246" s="180">
        <f>AH246-AG246</f>
        <v>-3511</v>
      </c>
    </row>
    <row r="247" spans="5:35">
      <c r="E247" s="352"/>
      <c r="F247" s="352"/>
      <c r="G247" s="352"/>
      <c r="H247" s="352" t="s">
        <v>2310</v>
      </c>
      <c r="I247" s="352"/>
      <c r="J247" s="352"/>
      <c r="K247" s="352">
        <v>91.5</v>
      </c>
      <c r="L247" s="352"/>
      <c r="M247" s="352"/>
      <c r="N247" s="352"/>
      <c r="O247" s="359" t="s">
        <v>2433</v>
      </c>
      <c r="P247" s="352"/>
      <c r="Q247" s="352"/>
      <c r="R247" s="360">
        <f>R246/90</f>
        <v>312.56</v>
      </c>
      <c r="S247" s="180">
        <f>297.4*90</f>
        <v>26766</v>
      </c>
      <c r="T247" s="180">
        <f>S247-R246</f>
        <v>-1364.5</v>
      </c>
      <c r="V247" s="180">
        <f>R246-R240</f>
        <v>17924.5</v>
      </c>
      <c r="AA247" s="352"/>
      <c r="AB247" s="352"/>
      <c r="AC247" s="352"/>
      <c r="AD247" s="359" t="s">
        <v>2433</v>
      </c>
      <c r="AE247" s="352"/>
      <c r="AF247" s="352"/>
      <c r="AG247" s="360">
        <f>AG246/90</f>
        <v>384.61</v>
      </c>
      <c r="AH247" s="180">
        <f>AH246/90</f>
        <v>345.6</v>
      </c>
      <c r="AI247" s="180">
        <f>AG247-AH247</f>
        <v>39.01</v>
      </c>
    </row>
    <row r="248" spans="5:35">
      <c r="E248" s="352"/>
      <c r="F248" s="352"/>
      <c r="G248" s="352"/>
      <c r="H248" s="357" t="s">
        <v>2432</v>
      </c>
      <c r="I248" s="352"/>
      <c r="J248" s="352"/>
      <c r="K248" s="358">
        <f>SUM(K246:K247)</f>
        <v>18720</v>
      </c>
      <c r="L248" s="352"/>
      <c r="M248" s="352"/>
      <c r="N248" s="352"/>
      <c r="O248" s="352"/>
      <c r="P248" s="352"/>
      <c r="Q248" s="352"/>
      <c r="R248" s="352"/>
      <c r="S248" s="180">
        <f>S247-R246</f>
        <v>-1364.5</v>
      </c>
      <c r="V248" s="180">
        <f>V247+AG240</f>
        <v>33278.5</v>
      </c>
      <c r="AA248" s="352"/>
      <c r="AB248" s="352"/>
      <c r="AC248" s="352"/>
      <c r="AD248" s="352"/>
      <c r="AE248" s="352"/>
      <c r="AF248" s="352"/>
      <c r="AG248" s="352"/>
      <c r="AI248" s="180">
        <f>AI247*90</f>
        <v>3510.9</v>
      </c>
    </row>
    <row r="249" spans="5:35">
      <c r="E249" s="352"/>
      <c r="F249" s="352"/>
      <c r="G249" s="352"/>
      <c r="H249" s="359" t="s">
        <v>2433</v>
      </c>
      <c r="I249" s="352"/>
      <c r="J249" s="352"/>
      <c r="K249" s="360">
        <f>K248/90</f>
        <v>208</v>
      </c>
      <c r="L249" s="352">
        <f>208*90</f>
        <v>18720</v>
      </c>
      <c r="M249" s="352"/>
      <c r="S249" s="180">
        <f>212.5*90</f>
        <v>19125</v>
      </c>
      <c r="V249" s="180">
        <f>V248/90</f>
        <v>369.76</v>
      </c>
    </row>
    <row r="250" spans="5:35">
      <c r="E250" s="352"/>
      <c r="F250" s="352"/>
      <c r="G250" s="352"/>
      <c r="H250" s="352"/>
      <c r="I250" s="352"/>
      <c r="J250" s="352"/>
      <c r="K250" s="352"/>
      <c r="L250" s="352">
        <f>L249-K248</f>
        <v>0</v>
      </c>
      <c r="M250" s="352"/>
      <c r="S250" s="180">
        <f>S249-R246</f>
        <v>-9005.5</v>
      </c>
    </row>
    <row r="251" spans="5:35">
      <c r="E251" s="352"/>
      <c r="F251" s="352"/>
      <c r="G251" s="352"/>
      <c r="H251" s="360" t="s">
        <v>2434</v>
      </c>
      <c r="I251" s="352"/>
      <c r="J251" s="352"/>
      <c r="K251" s="352"/>
      <c r="L251" s="352"/>
      <c r="M251" s="352"/>
    </row>
    <row r="252" spans="5:35">
      <c r="E252" s="352"/>
      <c r="F252" s="352"/>
      <c r="G252" s="352"/>
      <c r="H252" s="360" t="s">
        <v>2435</v>
      </c>
      <c r="I252" s="352"/>
      <c r="J252" s="352"/>
      <c r="K252" s="352"/>
      <c r="L252" s="352"/>
      <c r="M252" s="352"/>
    </row>
    <row r="253" spans="5:35">
      <c r="E253" s="352"/>
      <c r="F253" s="352"/>
      <c r="G253" s="352"/>
      <c r="H253" s="352"/>
      <c r="I253" s="352"/>
      <c r="J253" s="352"/>
      <c r="K253" s="352"/>
      <c r="L253" s="352"/>
      <c r="M253" s="352"/>
    </row>
    <row r="254" spans="5:35" ht="110.25">
      <c r="E254" s="352"/>
      <c r="F254" s="352"/>
      <c r="G254" s="352"/>
      <c r="H254" s="351" t="s">
        <v>3066</v>
      </c>
      <c r="I254" s="352"/>
      <c r="J254" s="352"/>
      <c r="K254" s="352"/>
      <c r="L254" s="352"/>
      <c r="M254" s="352"/>
    </row>
    <row r="255" spans="5:35">
      <c r="E255" s="352"/>
      <c r="F255" s="352"/>
      <c r="G255" s="352"/>
      <c r="H255" s="352"/>
      <c r="I255" s="352"/>
      <c r="J255" s="352"/>
      <c r="K255" s="352"/>
      <c r="L255" s="352"/>
      <c r="M255" s="352"/>
    </row>
    <row r="256" spans="5:35">
      <c r="E256" s="352"/>
      <c r="F256" s="352"/>
      <c r="G256" s="352"/>
      <c r="H256" s="352" t="s">
        <v>3067</v>
      </c>
      <c r="I256" s="352"/>
      <c r="J256" s="352"/>
      <c r="K256" s="352">
        <f>K246</f>
        <v>18628.5</v>
      </c>
      <c r="L256" s="352"/>
      <c r="M256" s="352"/>
    </row>
    <row r="257" spans="5:18" ht="31.5">
      <c r="E257" s="352"/>
      <c r="F257" s="352">
        <v>180</v>
      </c>
      <c r="G257" s="352" t="s">
        <v>842</v>
      </c>
      <c r="H257" s="351" t="s">
        <v>5198</v>
      </c>
      <c r="I257" s="421">
        <v>25.75</v>
      </c>
      <c r="J257" s="352" t="s">
        <v>842</v>
      </c>
      <c r="K257" s="352">
        <f>F257*I257</f>
        <v>4635</v>
      </c>
      <c r="L257" s="352"/>
      <c r="M257" s="352"/>
    </row>
    <row r="258" spans="5:18" ht="31.5">
      <c r="E258" s="352"/>
      <c r="F258" s="352">
        <v>180</v>
      </c>
      <c r="G258" s="352" t="s">
        <v>842</v>
      </c>
      <c r="H258" s="351" t="s">
        <v>3015</v>
      </c>
      <c r="I258" s="352">
        <f>I244</f>
        <v>16.55</v>
      </c>
      <c r="J258" s="352" t="s">
        <v>2587</v>
      </c>
      <c r="K258" s="352">
        <f>F258*I258</f>
        <v>2979</v>
      </c>
      <c r="L258" s="352"/>
      <c r="M258" s="352"/>
    </row>
    <row r="259" spans="5:18">
      <c r="E259" s="352"/>
      <c r="F259" s="352"/>
      <c r="G259" s="352"/>
      <c r="H259" s="352" t="s">
        <v>2310</v>
      </c>
      <c r="I259" s="352"/>
      <c r="J259" s="352"/>
      <c r="K259" s="352">
        <v>55.5</v>
      </c>
      <c r="L259" s="352"/>
      <c r="M259" s="352"/>
    </row>
    <row r="260" spans="5:18">
      <c r="E260" s="352"/>
      <c r="F260" s="352"/>
      <c r="G260" s="352"/>
      <c r="H260" s="357" t="s">
        <v>3016</v>
      </c>
      <c r="I260" s="352"/>
      <c r="J260" s="352"/>
      <c r="K260" s="358">
        <f>K256+K257-K258+K259</f>
        <v>20340</v>
      </c>
      <c r="L260" s="352">
        <f>L261-K260</f>
        <v>0</v>
      </c>
      <c r="M260" s="352"/>
    </row>
    <row r="261" spans="5:18">
      <c r="E261" s="352"/>
      <c r="F261" s="352"/>
      <c r="G261" s="352"/>
      <c r="H261" s="359" t="s">
        <v>2433</v>
      </c>
      <c r="I261" s="352"/>
      <c r="J261" s="352"/>
      <c r="K261" s="360">
        <f>K260/90</f>
        <v>226</v>
      </c>
      <c r="L261" s="180">
        <f>226*90</f>
        <v>20340</v>
      </c>
      <c r="M261" s="352"/>
    </row>
    <row r="262" spans="5:18">
      <c r="E262" s="352"/>
      <c r="F262" s="352"/>
      <c r="G262" s="352"/>
      <c r="H262" s="352"/>
      <c r="I262" s="352"/>
      <c r="J262" s="352"/>
      <c r="K262" s="352"/>
      <c r="L262" s="352"/>
      <c r="M262" s="352"/>
    </row>
    <row r="263" spans="5:18">
      <c r="E263" s="352"/>
      <c r="F263" s="352"/>
      <c r="G263" s="352"/>
      <c r="H263" s="360" t="s">
        <v>3017</v>
      </c>
      <c r="I263" s="352"/>
      <c r="J263" s="352"/>
      <c r="K263" s="352"/>
      <c r="L263" s="352"/>
      <c r="M263" s="352"/>
    </row>
    <row r="264" spans="5:18">
      <c r="E264" s="352"/>
      <c r="F264" s="352"/>
      <c r="G264" s="352"/>
      <c r="H264" s="360" t="s">
        <v>3018</v>
      </c>
      <c r="I264" s="352"/>
      <c r="J264" s="352"/>
      <c r="K264" s="352"/>
      <c r="L264" s="352"/>
      <c r="M264" s="352"/>
    </row>
    <row r="265" spans="5:18">
      <c r="E265" s="352"/>
      <c r="F265" s="352"/>
      <c r="G265" s="352"/>
      <c r="H265" s="352"/>
      <c r="I265" s="352"/>
      <c r="J265" s="352"/>
      <c r="K265" s="352"/>
      <c r="L265" s="352"/>
      <c r="M265" s="352"/>
    </row>
    <row r="266" spans="5:18" ht="110.25">
      <c r="E266" s="352"/>
      <c r="F266" s="352"/>
      <c r="G266" s="352"/>
      <c r="H266" s="351" t="s">
        <v>3245</v>
      </c>
      <c r="I266" s="352"/>
      <c r="J266" s="352"/>
      <c r="K266" s="352"/>
      <c r="L266" s="352"/>
      <c r="M266" s="352"/>
      <c r="N266" s="352"/>
      <c r="O266" s="351"/>
      <c r="P266" s="352"/>
      <c r="Q266" s="352"/>
      <c r="R266" s="352"/>
    </row>
    <row r="267" spans="5:18" ht="31.5">
      <c r="E267" s="352"/>
      <c r="F267" s="352">
        <v>180</v>
      </c>
      <c r="G267" s="352" t="s">
        <v>842</v>
      </c>
      <c r="H267" s="458" t="s">
        <v>5199</v>
      </c>
      <c r="I267" s="421">
        <v>40.950000000000003</v>
      </c>
      <c r="J267" s="352" t="s">
        <v>2587</v>
      </c>
      <c r="K267" s="352">
        <f>F267*I267</f>
        <v>7371</v>
      </c>
      <c r="L267" s="352"/>
      <c r="M267" s="352"/>
      <c r="N267" s="352"/>
      <c r="O267" s="273"/>
      <c r="P267" s="352"/>
      <c r="Q267" s="352"/>
      <c r="R267" s="352"/>
    </row>
    <row r="268" spans="5:18" ht="31.5">
      <c r="E268" s="352"/>
      <c r="F268" s="352">
        <v>90</v>
      </c>
      <c r="G268" s="352" t="s">
        <v>842</v>
      </c>
      <c r="H268" s="351" t="s">
        <v>2403</v>
      </c>
      <c r="I268" s="352">
        <f>I242</f>
        <v>20</v>
      </c>
      <c r="J268" s="352" t="s">
        <v>842</v>
      </c>
      <c r="K268" s="352">
        <f>F268*I268</f>
        <v>1800</v>
      </c>
      <c r="L268" s="352"/>
      <c r="M268" s="352"/>
      <c r="N268" s="352"/>
      <c r="O268" s="351"/>
      <c r="P268" s="352"/>
      <c r="Q268" s="352"/>
      <c r="R268" s="352"/>
    </row>
    <row r="269" spans="5:18">
      <c r="E269" s="352"/>
      <c r="F269" s="352">
        <v>3</v>
      </c>
      <c r="G269" s="352" t="s">
        <v>2680</v>
      </c>
      <c r="H269" s="352" t="s">
        <v>395</v>
      </c>
      <c r="I269" s="352">
        <f>I243</f>
        <v>302</v>
      </c>
      <c r="J269" s="352" t="s">
        <v>2680</v>
      </c>
      <c r="K269" s="352">
        <f>F269*I269</f>
        <v>906</v>
      </c>
      <c r="L269" s="352"/>
      <c r="M269" s="352"/>
      <c r="N269" s="352"/>
      <c r="O269" s="352"/>
      <c r="P269" s="352"/>
      <c r="Q269" s="352"/>
      <c r="R269" s="352"/>
    </row>
    <row r="270" spans="5:18" ht="31.5">
      <c r="E270" s="352"/>
      <c r="F270" s="352">
        <v>90</v>
      </c>
      <c r="G270" s="352" t="s">
        <v>842</v>
      </c>
      <c r="H270" s="458" t="s">
        <v>3981</v>
      </c>
      <c r="I270" s="352">
        <f>I257</f>
        <v>25.75</v>
      </c>
      <c r="J270" s="352" t="s">
        <v>2587</v>
      </c>
      <c r="K270" s="352">
        <f>F270*I270</f>
        <v>2317.5</v>
      </c>
      <c r="L270" s="352"/>
      <c r="M270" s="352"/>
      <c r="N270" s="352"/>
      <c r="O270" s="273"/>
      <c r="P270" s="352"/>
      <c r="Q270" s="352"/>
      <c r="R270" s="352"/>
    </row>
    <row r="271" spans="5:18">
      <c r="E271" s="352"/>
      <c r="F271" s="352"/>
      <c r="G271" s="352"/>
      <c r="H271" s="352" t="s">
        <v>931</v>
      </c>
      <c r="I271" s="352"/>
      <c r="J271" s="352"/>
      <c r="K271" s="352">
        <f>K245</f>
        <v>11454</v>
      </c>
      <c r="L271" s="352"/>
      <c r="M271" s="352"/>
      <c r="N271" s="352"/>
      <c r="O271" s="352"/>
      <c r="P271" s="352"/>
      <c r="Q271" s="352"/>
      <c r="R271" s="352"/>
    </row>
    <row r="272" spans="5:18">
      <c r="E272" s="352"/>
      <c r="F272" s="352"/>
      <c r="G272" s="352"/>
      <c r="H272" s="352" t="s">
        <v>2310</v>
      </c>
      <c r="I272" s="352"/>
      <c r="J272" s="352"/>
      <c r="K272" s="352">
        <v>91.5</v>
      </c>
      <c r="L272" s="352"/>
      <c r="M272" s="352"/>
      <c r="N272" s="352"/>
      <c r="O272" s="352"/>
      <c r="P272" s="352"/>
      <c r="Q272" s="352"/>
      <c r="R272" s="352"/>
    </row>
    <row r="273" spans="5:19">
      <c r="E273" s="352"/>
      <c r="F273" s="352"/>
      <c r="G273" s="352"/>
      <c r="H273" s="357" t="s">
        <v>2432</v>
      </c>
      <c r="I273" s="352"/>
      <c r="J273" s="352"/>
      <c r="K273" s="358">
        <f>SUM(K267:K272)</f>
        <v>23940</v>
      </c>
      <c r="L273" s="352"/>
      <c r="M273" s="352"/>
      <c r="N273" s="352"/>
      <c r="O273" s="357"/>
      <c r="P273" s="352"/>
      <c r="Q273" s="352"/>
      <c r="R273" s="358"/>
    </row>
    <row r="274" spans="5:19">
      <c r="E274" s="352"/>
      <c r="F274" s="352"/>
      <c r="G274" s="352"/>
      <c r="H274" s="359" t="s">
        <v>2433</v>
      </c>
      <c r="I274" s="352"/>
      <c r="J274" s="352"/>
      <c r="K274" s="360">
        <f>K273/90</f>
        <v>266</v>
      </c>
      <c r="L274" s="352">
        <f>266*90</f>
        <v>23940</v>
      </c>
      <c r="M274" s="352"/>
      <c r="N274" s="352"/>
      <c r="O274" s="359"/>
      <c r="P274" s="352"/>
      <c r="Q274" s="352"/>
      <c r="R274" s="360"/>
    </row>
    <row r="275" spans="5:19">
      <c r="E275" s="352"/>
      <c r="F275" s="352"/>
      <c r="G275" s="352"/>
      <c r="H275" s="352"/>
      <c r="I275" s="352"/>
      <c r="J275" s="352"/>
      <c r="K275" s="352"/>
      <c r="L275" s="352">
        <f>L274-K273</f>
        <v>0</v>
      </c>
      <c r="M275" s="352"/>
    </row>
    <row r="276" spans="5:19">
      <c r="E276" s="352"/>
      <c r="F276" s="352"/>
      <c r="G276" s="352"/>
      <c r="H276" s="352"/>
      <c r="I276" s="352"/>
      <c r="J276" s="352"/>
      <c r="K276" s="352"/>
      <c r="L276" s="352"/>
      <c r="M276" s="352"/>
    </row>
    <row r="277" spans="5:19" ht="15.75" customHeight="1">
      <c r="E277" s="352"/>
      <c r="F277" s="352"/>
      <c r="G277" s="352"/>
      <c r="H277" s="360" t="s">
        <v>3247</v>
      </c>
      <c r="I277" s="352"/>
      <c r="J277" s="352"/>
      <c r="K277" s="352"/>
      <c r="L277" s="352"/>
      <c r="M277" s="352"/>
      <c r="N277" s="352"/>
      <c r="O277" s="360" t="s">
        <v>3247</v>
      </c>
      <c r="P277" s="352"/>
      <c r="Q277" s="352"/>
      <c r="R277" s="352"/>
      <c r="S277" s="352"/>
    </row>
    <row r="278" spans="5:19">
      <c r="E278" s="352"/>
      <c r="F278" s="352"/>
      <c r="G278" s="352"/>
      <c r="H278" s="360" t="s">
        <v>2375</v>
      </c>
      <c r="I278" s="352"/>
      <c r="J278" s="352"/>
      <c r="K278" s="352"/>
      <c r="L278" s="352"/>
      <c r="M278" s="352"/>
      <c r="N278" s="352"/>
      <c r="O278" s="360" t="s">
        <v>3696</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0.25">
      <c r="E280" s="352"/>
      <c r="F280" s="352"/>
      <c r="G280" s="352"/>
      <c r="H280" s="351" t="s">
        <v>2384</v>
      </c>
      <c r="I280" s="352"/>
      <c r="J280" s="352"/>
      <c r="K280" s="352"/>
      <c r="L280" s="352"/>
      <c r="M280" s="352"/>
      <c r="N280" s="352"/>
      <c r="O280" s="1531" t="s">
        <v>3697</v>
      </c>
      <c r="P280" s="1531"/>
      <c r="Q280" s="352"/>
      <c r="R280" s="352"/>
      <c r="S280" s="352"/>
    </row>
    <row r="281" spans="5:19" ht="31.5">
      <c r="E281" s="352"/>
      <c r="F281" s="352">
        <v>360</v>
      </c>
      <c r="G281" s="352"/>
      <c r="H281" s="458" t="s">
        <v>4814</v>
      </c>
      <c r="I281" s="456">
        <f>I267</f>
        <v>40.950000000000003</v>
      </c>
      <c r="J281" s="352" t="s">
        <v>2587</v>
      </c>
      <c r="K281" s="352">
        <f>F281*I281</f>
        <v>14742</v>
      </c>
      <c r="L281" s="352"/>
      <c r="M281" s="352">
        <v>360</v>
      </c>
      <c r="N281" s="352"/>
      <c r="O281" s="273" t="s">
        <v>4824</v>
      </c>
      <c r="P281" s="456">
        <v>60.65</v>
      </c>
      <c r="Q281" s="352" t="s">
        <v>2587</v>
      </c>
      <c r="R281" s="352">
        <f>M281*P281</f>
        <v>21834</v>
      </c>
      <c r="S281" s="352"/>
    </row>
    <row r="282" spans="5:19" ht="31.5">
      <c r="E282" s="352"/>
      <c r="F282" s="352">
        <v>90</v>
      </c>
      <c r="G282" s="352"/>
      <c r="H282" s="351" t="s">
        <v>5200</v>
      </c>
      <c r="I282" s="421">
        <v>29.8</v>
      </c>
      <c r="J282" s="352" t="s">
        <v>842</v>
      </c>
      <c r="K282" s="352">
        <f>F282*I282</f>
        <v>2682</v>
      </c>
      <c r="L282" s="352"/>
      <c r="M282" s="352">
        <v>90</v>
      </c>
      <c r="N282" s="352"/>
      <c r="O282" s="351" t="s">
        <v>3980</v>
      </c>
      <c r="P282" s="456">
        <f>I282</f>
        <v>29.8</v>
      </c>
      <c r="Q282" s="352" t="s">
        <v>842</v>
      </c>
      <c r="R282" s="352">
        <f>M282*P282</f>
        <v>2682</v>
      </c>
      <c r="S282" s="352"/>
    </row>
    <row r="283" spans="5:19">
      <c r="E283" s="352"/>
      <c r="F283" s="352">
        <v>3</v>
      </c>
      <c r="G283" s="352"/>
      <c r="H283" s="352" t="s">
        <v>395</v>
      </c>
      <c r="I283" s="352">
        <f>I269</f>
        <v>302</v>
      </c>
      <c r="J283" s="352" t="s">
        <v>2680</v>
      </c>
      <c r="K283" s="352">
        <f>F283*I283</f>
        <v>906</v>
      </c>
      <c r="L283" s="352"/>
      <c r="M283" s="352">
        <v>3</v>
      </c>
      <c r="N283" s="352"/>
      <c r="O283" s="352" t="s">
        <v>395</v>
      </c>
      <c r="P283" s="456">
        <f>I283</f>
        <v>302</v>
      </c>
      <c r="Q283" s="352" t="s">
        <v>2680</v>
      </c>
      <c r="R283" s="352">
        <f>M283*P283</f>
        <v>906</v>
      </c>
      <c r="S283" s="352"/>
    </row>
    <row r="284" spans="5:19" ht="31.5">
      <c r="E284" s="352"/>
      <c r="F284" s="352">
        <v>90</v>
      </c>
      <c r="G284" s="352"/>
      <c r="H284" s="458" t="s">
        <v>4463</v>
      </c>
      <c r="I284" s="352">
        <f>I270</f>
        <v>25.75</v>
      </c>
      <c r="J284" s="352" t="s">
        <v>2587</v>
      </c>
      <c r="K284" s="352">
        <f>F284*I284</f>
        <v>2317.5</v>
      </c>
      <c r="L284" s="352"/>
      <c r="M284" s="352">
        <v>90</v>
      </c>
      <c r="N284" s="352"/>
      <c r="O284" s="273" t="s">
        <v>5201</v>
      </c>
      <c r="P284" s="456">
        <f>P243</f>
        <v>40.950000000000003</v>
      </c>
      <c r="Q284" s="352" t="s">
        <v>2587</v>
      </c>
      <c r="R284" s="352">
        <f>M284*P284</f>
        <v>3685.5</v>
      </c>
      <c r="S284" s="352"/>
    </row>
    <row r="285" spans="5:19">
      <c r="E285" s="352"/>
      <c r="F285" s="352"/>
      <c r="G285" s="352"/>
      <c r="H285" s="352" t="s">
        <v>931</v>
      </c>
      <c r="I285" s="352"/>
      <c r="J285" s="352"/>
      <c r="K285" s="352">
        <f>I291</f>
        <v>15075</v>
      </c>
      <c r="L285" s="352"/>
      <c r="M285" s="352"/>
      <c r="N285" s="352"/>
      <c r="O285" s="352" t="s">
        <v>931</v>
      </c>
      <c r="P285" s="352"/>
      <c r="Q285" s="352"/>
      <c r="R285" s="352">
        <f>K285</f>
        <v>15075</v>
      </c>
      <c r="S285" s="352"/>
    </row>
    <row r="286" spans="5:19">
      <c r="E286" s="352"/>
      <c r="F286" s="352"/>
      <c r="G286" s="352"/>
      <c r="H286" s="352" t="s">
        <v>2310</v>
      </c>
      <c r="I286" s="352"/>
      <c r="J286" s="352"/>
      <c r="K286" s="352">
        <v>97.5</v>
      </c>
      <c r="L286" s="352"/>
      <c r="M286" s="352"/>
      <c r="N286" s="352"/>
      <c r="O286" s="352" t="s">
        <v>2310</v>
      </c>
      <c r="P286" s="352"/>
      <c r="Q286" s="352"/>
      <c r="R286" s="352">
        <v>97.5</v>
      </c>
      <c r="S286" s="352"/>
    </row>
    <row r="287" spans="5:19">
      <c r="E287" s="352"/>
      <c r="F287" s="352"/>
      <c r="G287" s="352"/>
      <c r="H287" s="357" t="s">
        <v>2432</v>
      </c>
      <c r="I287" s="352"/>
      <c r="J287" s="352"/>
      <c r="K287" s="358">
        <f>SUM(K281:K286)</f>
        <v>35820</v>
      </c>
      <c r="L287" s="352"/>
      <c r="M287" s="352"/>
      <c r="N287" s="352"/>
      <c r="O287" s="357" t="s">
        <v>2432</v>
      </c>
      <c r="P287" s="352"/>
      <c r="Q287" s="352"/>
      <c r="R287" s="358">
        <f>SUM(R281:R286)</f>
        <v>44280</v>
      </c>
      <c r="S287" s="352"/>
    </row>
    <row r="288" spans="5:19">
      <c r="E288" s="352"/>
      <c r="F288" s="352"/>
      <c r="G288" s="352"/>
      <c r="H288" s="359" t="s">
        <v>2433</v>
      </c>
      <c r="I288" s="352"/>
      <c r="J288" s="352"/>
      <c r="K288" s="360">
        <f>K287/90</f>
        <v>398</v>
      </c>
      <c r="L288" s="352">
        <f>398*90</f>
        <v>35820</v>
      </c>
      <c r="M288" s="352"/>
      <c r="N288" s="352"/>
      <c r="O288" s="359" t="s">
        <v>2433</v>
      </c>
      <c r="P288" s="352"/>
      <c r="Q288" s="352"/>
      <c r="R288" s="360">
        <f>R287/90</f>
        <v>492</v>
      </c>
      <c r="S288" s="352">
        <f>492*90</f>
        <v>44280</v>
      </c>
    </row>
    <row r="289" spans="5:130">
      <c r="E289" s="352"/>
      <c r="F289" s="352"/>
      <c r="G289" s="352"/>
      <c r="H289" s="352"/>
      <c r="I289" s="352"/>
      <c r="J289" s="352"/>
      <c r="K289" s="352"/>
      <c r="L289" s="352">
        <f>L288-K287</f>
        <v>0</v>
      </c>
      <c r="M289" s="352"/>
      <c r="S289" s="180">
        <f>S288-R287</f>
        <v>0</v>
      </c>
    </row>
    <row r="290" spans="5:130">
      <c r="E290" s="352"/>
      <c r="F290" s="352"/>
      <c r="G290" s="352"/>
      <c r="H290" s="360" t="s">
        <v>2386</v>
      </c>
      <c r="I290" s="352"/>
      <c r="J290" s="352"/>
      <c r="K290" s="352"/>
      <c r="L290" s="352"/>
      <c r="M290" s="352"/>
    </row>
    <row r="291" spans="5:130">
      <c r="E291" s="352"/>
      <c r="F291" s="425"/>
      <c r="G291" s="425"/>
      <c r="H291" s="425" t="s">
        <v>5202</v>
      </c>
      <c r="I291" s="426">
        <f>(1.5*K42)-((K40+K41)/2)</f>
        <v>15075</v>
      </c>
      <c r="J291" s="425"/>
      <c r="K291" s="425"/>
      <c r="L291" s="425">
        <f>(1.5*5914)-((888+1232)/2)</f>
        <v>7811</v>
      </c>
      <c r="M291" s="352"/>
      <c r="N291" s="352"/>
      <c r="O291" s="360" t="s">
        <v>3247</v>
      </c>
      <c r="P291" s="352"/>
      <c r="Q291" s="352"/>
      <c r="R291" s="352"/>
      <c r="S291" s="427"/>
      <c r="T291" s="427"/>
      <c r="U291" s="427"/>
      <c r="V291" s="427"/>
      <c r="W291" s="427"/>
      <c r="X291" s="427"/>
      <c r="Y291" s="427"/>
      <c r="Z291" s="427"/>
      <c r="AA291" s="427"/>
      <c r="AB291" s="427"/>
      <c r="AC291" s="427"/>
      <c r="AD291" s="427"/>
      <c r="AE291" s="427"/>
      <c r="AF291" s="427"/>
      <c r="AG291" s="427"/>
      <c r="AH291" s="427"/>
      <c r="AI291" s="427"/>
      <c r="AJ291" s="427"/>
      <c r="AK291" s="427"/>
      <c r="AL291" s="427"/>
      <c r="AM291" s="427"/>
      <c r="AN291" s="427"/>
      <c r="AO291" s="427"/>
      <c r="AP291" s="427"/>
      <c r="AQ291" s="427"/>
      <c r="AR291" s="427"/>
      <c r="AS291" s="427"/>
      <c r="AT291" s="427"/>
      <c r="AU291" s="427"/>
      <c r="AV291" s="427"/>
      <c r="AW291" s="427"/>
      <c r="AX291" s="427"/>
      <c r="AY291" s="427"/>
      <c r="AZ291" s="427"/>
      <c r="BA291" s="427"/>
      <c r="BB291" s="427"/>
      <c r="BC291" s="427"/>
      <c r="BD291" s="427"/>
      <c r="BE291" s="427"/>
      <c r="BF291" s="427"/>
      <c r="BG291" s="427"/>
      <c r="BH291" s="427"/>
      <c r="BI291" s="427"/>
      <c r="BJ291" s="427"/>
      <c r="BK291" s="427"/>
      <c r="BL291" s="427"/>
      <c r="BM291" s="427"/>
      <c r="BN291" s="427"/>
      <c r="BO291" s="427"/>
      <c r="BP291" s="427"/>
      <c r="BQ291" s="427"/>
      <c r="BR291" s="427"/>
      <c r="BS291" s="427"/>
      <c r="BT291" s="427"/>
      <c r="BU291" s="427"/>
      <c r="BV291" s="427"/>
      <c r="BW291" s="427"/>
      <c r="BX291" s="427"/>
      <c r="BY291" s="427"/>
      <c r="BZ291" s="427"/>
      <c r="CA291" s="427"/>
      <c r="CB291" s="427"/>
      <c r="CC291" s="427"/>
      <c r="CD291" s="427"/>
      <c r="CE291" s="427"/>
      <c r="CF291" s="427"/>
      <c r="CG291" s="427"/>
      <c r="CH291" s="427"/>
      <c r="CI291" s="427"/>
      <c r="CJ291" s="427"/>
      <c r="CK291" s="427"/>
      <c r="CL291" s="427"/>
      <c r="CM291" s="427"/>
      <c r="CN291" s="427"/>
      <c r="CO291" s="427"/>
      <c r="CP291" s="427"/>
      <c r="CQ291" s="427"/>
      <c r="CR291" s="427"/>
      <c r="CS291" s="427"/>
      <c r="CT291" s="427"/>
      <c r="CU291" s="427"/>
      <c r="CV291" s="427"/>
      <c r="CW291" s="427"/>
      <c r="CX291" s="427"/>
      <c r="CY291" s="427"/>
      <c r="CZ291" s="427"/>
      <c r="DA291" s="427"/>
      <c r="DB291" s="427"/>
      <c r="DC291" s="427"/>
      <c r="DD291" s="427"/>
      <c r="DE291" s="427"/>
      <c r="DF291" s="427"/>
      <c r="DG291" s="427"/>
      <c r="DH291" s="427"/>
      <c r="DI291" s="427"/>
      <c r="DJ291" s="427"/>
      <c r="DK291" s="427"/>
      <c r="DL291" s="427"/>
      <c r="DM291" s="427"/>
      <c r="DN291" s="427"/>
      <c r="DO291" s="427"/>
      <c r="DP291" s="427"/>
      <c r="DQ291" s="427"/>
      <c r="DR291" s="427"/>
      <c r="DS291" s="427"/>
      <c r="DT291" s="427"/>
      <c r="DU291" s="427"/>
      <c r="DV291" s="427"/>
      <c r="DW291" s="427"/>
      <c r="DX291" s="427"/>
      <c r="DY291" s="427"/>
      <c r="DZ291" s="427"/>
    </row>
    <row r="292" spans="5:130" s="427" customFormat="1">
      <c r="E292" s="425"/>
      <c r="F292" s="352"/>
      <c r="G292" s="352"/>
      <c r="H292" s="352">
        <f>1.5*K42-(K40+K41)/2</f>
        <v>15075</v>
      </c>
      <c r="I292" s="352"/>
      <c r="J292" s="352"/>
      <c r="K292" s="352"/>
      <c r="L292" s="352"/>
      <c r="M292" s="352"/>
      <c r="N292" s="352"/>
      <c r="O292" s="360" t="s">
        <v>3698</v>
      </c>
      <c r="P292" s="352"/>
      <c r="Q292" s="352"/>
      <c r="R292" s="352"/>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0"/>
      <c r="CA292" s="180"/>
      <c r="CB292" s="180"/>
      <c r="CC292" s="180"/>
      <c r="CD292" s="180"/>
      <c r="CE292" s="180"/>
      <c r="CF292" s="180"/>
      <c r="CG292" s="180"/>
      <c r="CH292" s="180"/>
      <c r="CI292" s="180"/>
      <c r="CJ292" s="180"/>
      <c r="CK292" s="180"/>
      <c r="CL292" s="180"/>
      <c r="CM292" s="180"/>
      <c r="CN292" s="180"/>
      <c r="CO292" s="180"/>
      <c r="CP292" s="180"/>
      <c r="CQ292" s="180"/>
      <c r="CR292" s="180"/>
      <c r="CS292" s="180"/>
      <c r="CT292" s="180"/>
      <c r="CU292" s="180"/>
      <c r="CV292" s="180"/>
      <c r="CW292" s="180"/>
      <c r="CX292" s="180"/>
      <c r="CY292" s="180"/>
      <c r="CZ292" s="180"/>
      <c r="DA292" s="180"/>
      <c r="DB292" s="180"/>
      <c r="DC292" s="180"/>
      <c r="DD292" s="180"/>
      <c r="DE292" s="180"/>
      <c r="DF292" s="180"/>
      <c r="DG292" s="180"/>
      <c r="DH292" s="180"/>
      <c r="DI292" s="180"/>
      <c r="DJ292" s="180"/>
      <c r="DK292" s="180"/>
      <c r="DL292" s="180"/>
      <c r="DM292" s="180"/>
      <c r="DN292" s="180"/>
      <c r="DO292" s="180"/>
      <c r="DP292" s="180"/>
      <c r="DQ292" s="180"/>
      <c r="DR292" s="180"/>
      <c r="DS292" s="180"/>
      <c r="DT292" s="180"/>
      <c r="DU292" s="180"/>
      <c r="DV292" s="180"/>
      <c r="DW292" s="180"/>
      <c r="DX292" s="180"/>
      <c r="DY292" s="180"/>
      <c r="DZ292" s="180"/>
    </row>
    <row r="293" spans="5:130">
      <c r="E293" s="352"/>
      <c r="F293" s="352"/>
      <c r="G293" s="352"/>
      <c r="H293" s="352"/>
      <c r="I293" s="352"/>
      <c r="J293" s="352"/>
      <c r="K293" s="352"/>
      <c r="L293" s="352"/>
      <c r="M293" s="352"/>
      <c r="N293" s="352"/>
      <c r="O293" s="352"/>
      <c r="P293" s="352"/>
      <c r="Q293" s="352"/>
      <c r="R293" s="352"/>
    </row>
    <row r="294" spans="5:130" ht="110.25">
      <c r="E294" s="352"/>
      <c r="F294" s="352"/>
      <c r="G294" s="352"/>
      <c r="I294" s="352"/>
      <c r="J294" s="352"/>
      <c r="K294" s="352"/>
      <c r="L294" s="352"/>
      <c r="M294" s="352"/>
      <c r="N294" s="352"/>
      <c r="O294" s="351" t="s">
        <v>3699</v>
      </c>
      <c r="P294" s="352"/>
      <c r="Q294" s="352"/>
      <c r="R294" s="352"/>
    </row>
    <row r="295" spans="5:130" ht="31.5">
      <c r="E295" s="352"/>
      <c r="F295" s="352"/>
      <c r="G295" s="352"/>
      <c r="H295" s="368" t="s">
        <v>2387</v>
      </c>
      <c r="I295" s="352"/>
      <c r="J295" s="352"/>
      <c r="K295" s="352"/>
      <c r="L295" s="352"/>
      <c r="M295" s="352">
        <v>360</v>
      </c>
      <c r="N295" s="352"/>
      <c r="O295" s="476" t="s">
        <v>5203</v>
      </c>
      <c r="P295" s="421">
        <v>85.3</v>
      </c>
      <c r="Q295" s="352" t="s">
        <v>2587</v>
      </c>
      <c r="R295" s="352">
        <f>M295*P295</f>
        <v>30708</v>
      </c>
    </row>
    <row r="296" spans="5:130" ht="31.5">
      <c r="E296" s="352"/>
      <c r="F296" s="352"/>
      <c r="G296" s="352"/>
      <c r="H296" s="360" t="s">
        <v>2388</v>
      </c>
      <c r="I296" s="352"/>
      <c r="J296" s="352"/>
      <c r="K296" s="352"/>
      <c r="L296" s="352"/>
      <c r="M296" s="352">
        <v>90</v>
      </c>
      <c r="N296" s="352"/>
      <c r="O296" s="351" t="s">
        <v>3982</v>
      </c>
      <c r="P296" s="456">
        <f>P282</f>
        <v>29.8</v>
      </c>
      <c r="Q296" s="352" t="s">
        <v>842</v>
      </c>
      <c r="R296" s="352">
        <f>M296*P296</f>
        <v>2682</v>
      </c>
    </row>
    <row r="297" spans="5:130">
      <c r="E297" s="352"/>
      <c r="F297" s="352"/>
      <c r="G297" s="352"/>
      <c r="H297" s="352"/>
      <c r="I297" s="352"/>
      <c r="J297" s="352"/>
      <c r="K297" s="352"/>
      <c r="L297" s="352"/>
      <c r="M297" s="352">
        <v>3</v>
      </c>
      <c r="N297" s="352"/>
      <c r="O297" s="352" t="s">
        <v>395</v>
      </c>
      <c r="P297" s="456">
        <f>P283</f>
        <v>302</v>
      </c>
      <c r="Q297" s="352" t="s">
        <v>2680</v>
      </c>
      <c r="R297" s="352">
        <f>M297*P297</f>
        <v>906</v>
      </c>
    </row>
    <row r="298" spans="5:130" ht="31.5">
      <c r="E298" s="352"/>
      <c r="F298" s="352"/>
      <c r="G298" s="352"/>
      <c r="H298" s="360" t="s">
        <v>4845</v>
      </c>
      <c r="I298" s="352"/>
      <c r="J298" s="352"/>
      <c r="K298" s="352"/>
      <c r="L298" s="352"/>
      <c r="M298" s="352">
        <v>90</v>
      </c>
      <c r="N298" s="352"/>
      <c r="O298" s="273" t="s">
        <v>5204</v>
      </c>
      <c r="P298" s="456">
        <f>P281</f>
        <v>60.65</v>
      </c>
      <c r="Q298" s="352" t="s">
        <v>2587</v>
      </c>
      <c r="R298" s="352">
        <f>M298*P298</f>
        <v>5458.5</v>
      </c>
    </row>
    <row r="299" spans="5:130">
      <c r="E299" s="352"/>
      <c r="F299" s="352"/>
      <c r="G299" s="352"/>
      <c r="H299" s="352"/>
      <c r="I299" s="352"/>
      <c r="J299" s="352"/>
      <c r="K299" s="352"/>
      <c r="L299" s="352"/>
      <c r="M299" s="352"/>
      <c r="N299" s="352"/>
      <c r="O299" s="352" t="s">
        <v>931</v>
      </c>
      <c r="P299" s="352"/>
      <c r="Q299" s="352"/>
      <c r="R299" s="352">
        <f>R285</f>
        <v>15075</v>
      </c>
    </row>
    <row r="300" spans="5:130" ht="47.25">
      <c r="E300" s="352"/>
      <c r="F300" s="352"/>
      <c r="G300" s="352"/>
      <c r="H300" s="351" t="s">
        <v>2390</v>
      </c>
      <c r="I300" s="352"/>
      <c r="J300" s="352"/>
      <c r="K300" s="352"/>
      <c r="L300" s="352"/>
      <c r="M300" s="352"/>
      <c r="N300" s="352"/>
      <c r="O300" s="352" t="s">
        <v>2310</v>
      </c>
      <c r="P300" s="352"/>
      <c r="Q300" s="352"/>
      <c r="R300" s="352">
        <v>60.5</v>
      </c>
    </row>
    <row r="301" spans="5:130">
      <c r="E301" s="352"/>
      <c r="F301" s="352">
        <v>1</v>
      </c>
      <c r="G301" s="352" t="s">
        <v>1419</v>
      </c>
      <c r="H301" s="352" t="s">
        <v>5205</v>
      </c>
      <c r="I301" s="421">
        <v>277.60000000000002</v>
      </c>
      <c r="J301" s="352" t="s">
        <v>1419</v>
      </c>
      <c r="K301" s="352">
        <f>F301*I301</f>
        <v>277.60000000000002</v>
      </c>
      <c r="L301" s="352"/>
      <c r="M301" s="352"/>
      <c r="N301" s="352"/>
      <c r="O301" s="357" t="s">
        <v>2432</v>
      </c>
      <c r="P301" s="352"/>
      <c r="Q301" s="352"/>
      <c r="R301" s="358">
        <f>SUM(R295:R300)</f>
        <v>54890</v>
      </c>
    </row>
    <row r="302" spans="5:130">
      <c r="E302" s="352"/>
      <c r="F302" s="352"/>
      <c r="G302" s="352"/>
      <c r="H302" s="352" t="s">
        <v>2310</v>
      </c>
      <c r="I302" s="352"/>
      <c r="J302" s="352"/>
      <c r="K302" s="352">
        <f>13.88-0.41</f>
        <v>13.47</v>
      </c>
      <c r="L302" s="352">
        <f>K301*5%</f>
        <v>13.88</v>
      </c>
      <c r="M302" s="352"/>
      <c r="N302" s="352"/>
      <c r="O302" s="359" t="s">
        <v>2433</v>
      </c>
      <c r="P302" s="352"/>
      <c r="Q302" s="352"/>
      <c r="R302" s="360">
        <f>R301/90</f>
        <v>609.89</v>
      </c>
      <c r="S302" s="180">
        <f>589.3*90</f>
        <v>53037</v>
      </c>
    </row>
    <row r="303" spans="5:130">
      <c r="E303" s="352"/>
      <c r="F303" s="352"/>
      <c r="G303" s="352"/>
      <c r="H303" s="352" t="s">
        <v>931</v>
      </c>
      <c r="I303" s="352"/>
      <c r="J303" s="352"/>
      <c r="K303" s="352">
        <f>K311</f>
        <v>225.93</v>
      </c>
      <c r="L303" s="352"/>
      <c r="M303" s="352"/>
      <c r="S303" s="180">
        <f>S302-R301</f>
        <v>-1853</v>
      </c>
    </row>
    <row r="304" spans="5:130">
      <c r="E304" s="352"/>
      <c r="F304" s="352"/>
      <c r="G304" s="352"/>
      <c r="H304" s="359" t="s">
        <v>2391</v>
      </c>
      <c r="I304" s="352"/>
      <c r="J304" s="352"/>
      <c r="K304" s="360">
        <f>SUM(K301:K303)</f>
        <v>517</v>
      </c>
      <c r="L304" s="352">
        <f>K304-517</f>
        <v>0</v>
      </c>
      <c r="M304" s="352"/>
    </row>
    <row r="305" spans="5:130">
      <c r="E305" s="352"/>
      <c r="F305" s="352"/>
      <c r="G305" s="352"/>
      <c r="H305" s="352"/>
      <c r="I305" s="352"/>
      <c r="J305" s="352"/>
      <c r="K305" s="352"/>
      <c r="L305" s="352"/>
      <c r="M305" s="352"/>
    </row>
    <row r="306" spans="5:130">
      <c r="E306" s="352"/>
      <c r="F306" s="352"/>
      <c r="G306" s="352"/>
      <c r="H306" s="352"/>
      <c r="I306" s="352"/>
      <c r="J306" s="352"/>
      <c r="K306" s="352"/>
      <c r="L306" s="352"/>
      <c r="M306" s="352"/>
    </row>
    <row r="307" spans="5:130">
      <c r="E307" s="352"/>
      <c r="F307" s="352"/>
      <c r="G307" s="352"/>
      <c r="H307" s="367" t="s">
        <v>2392</v>
      </c>
      <c r="I307" s="352"/>
      <c r="J307" s="352"/>
      <c r="K307" s="352"/>
      <c r="L307" s="352"/>
      <c r="M307" s="352"/>
    </row>
    <row r="308" spans="5:130">
      <c r="E308" s="352"/>
      <c r="F308" s="352">
        <v>2</v>
      </c>
      <c r="G308" s="352" t="s">
        <v>1419</v>
      </c>
      <c r="H308" s="352" t="s">
        <v>2633</v>
      </c>
      <c r="I308" s="352">
        <f>I37</f>
        <v>778</v>
      </c>
      <c r="J308" s="352" t="s">
        <v>1419</v>
      </c>
      <c r="K308" s="352">
        <f>F308*I308</f>
        <v>1556</v>
      </c>
      <c r="L308" s="352"/>
      <c r="M308" s="352"/>
    </row>
    <row r="309" spans="5:130">
      <c r="E309" s="352"/>
      <c r="F309" s="352">
        <v>3</v>
      </c>
      <c r="G309" s="352" t="s">
        <v>1419</v>
      </c>
      <c r="H309" s="352" t="s">
        <v>2634</v>
      </c>
      <c r="I309" s="352">
        <f>I38</f>
        <v>611</v>
      </c>
      <c r="J309" s="352" t="s">
        <v>1419</v>
      </c>
      <c r="K309" s="352">
        <f>F309*I309</f>
        <v>1833</v>
      </c>
      <c r="L309" s="352"/>
      <c r="M309" s="352"/>
    </row>
    <row r="310" spans="5:130">
      <c r="E310" s="352"/>
      <c r="F310" s="352"/>
      <c r="G310" s="352"/>
      <c r="H310" s="357" t="s">
        <v>3503</v>
      </c>
      <c r="I310" s="352"/>
      <c r="J310" s="352"/>
      <c r="K310" s="358">
        <f>SUM(K308:K309)</f>
        <v>3389</v>
      </c>
      <c r="L310" s="352"/>
      <c r="M310" s="352"/>
    </row>
    <row r="311" spans="5:130">
      <c r="E311" s="352"/>
      <c r="F311" s="352"/>
      <c r="G311" s="352"/>
      <c r="H311" s="359" t="s">
        <v>2841</v>
      </c>
      <c r="I311" s="352"/>
      <c r="J311" s="352"/>
      <c r="K311" s="360">
        <f>K310/15</f>
        <v>225.93</v>
      </c>
      <c r="L311" s="352"/>
      <c r="M311" s="352"/>
    </row>
    <row r="312" spans="5:130">
      <c r="E312" s="352"/>
      <c r="F312" s="352"/>
      <c r="G312" s="352"/>
      <c r="H312" s="352"/>
      <c r="I312" s="352"/>
      <c r="J312" s="352"/>
      <c r="K312" s="352"/>
      <c r="L312" s="352"/>
      <c r="M312" s="352"/>
    </row>
    <row r="313" spans="5:130">
      <c r="E313" s="352"/>
      <c r="F313" s="352"/>
      <c r="G313" s="352"/>
      <c r="H313" s="360" t="s">
        <v>3504</v>
      </c>
      <c r="I313" s="352"/>
      <c r="J313" s="352"/>
      <c r="K313" s="352"/>
      <c r="L313" s="352"/>
      <c r="M313" s="352"/>
    </row>
    <row r="314" spans="5:130">
      <c r="E314" s="352"/>
      <c r="F314" s="352"/>
      <c r="G314" s="352"/>
      <c r="H314" s="352"/>
      <c r="I314" s="352"/>
      <c r="J314" s="352"/>
      <c r="K314" s="352"/>
      <c r="L314" s="352"/>
      <c r="M314" s="352"/>
    </row>
    <row r="315" spans="5:130" ht="63">
      <c r="E315" s="352"/>
      <c r="F315" s="352"/>
      <c r="G315" s="352"/>
      <c r="H315" s="350" t="s">
        <v>3505</v>
      </c>
      <c r="I315" s="352"/>
      <c r="J315" s="352"/>
      <c r="K315" s="352"/>
      <c r="L315" s="352"/>
      <c r="M315" s="352"/>
    </row>
    <row r="316" spans="5:130">
      <c r="E316" s="352"/>
      <c r="F316" s="352"/>
      <c r="G316" s="352"/>
      <c r="H316" s="352"/>
      <c r="I316" s="352"/>
      <c r="J316" s="352"/>
      <c r="K316" s="352"/>
      <c r="L316" s="352"/>
      <c r="M316" s="352"/>
    </row>
    <row r="317" spans="5:130" ht="63">
      <c r="E317" s="352"/>
      <c r="F317" s="352"/>
      <c r="G317" s="352"/>
      <c r="H317" s="351" t="s">
        <v>2810</v>
      </c>
      <c r="I317" s="352"/>
      <c r="J317" s="352"/>
      <c r="K317" s="352"/>
      <c r="L317" s="352"/>
      <c r="M317" s="352"/>
    </row>
    <row r="318" spans="5:130">
      <c r="E318" s="352"/>
      <c r="F318" s="352"/>
      <c r="G318" s="352"/>
      <c r="H318" s="352"/>
      <c r="I318" s="352"/>
      <c r="J318" s="352"/>
      <c r="K318" s="352"/>
      <c r="L318" s="352"/>
      <c r="M318" s="352"/>
    </row>
    <row r="319" spans="5:130" ht="31.5">
      <c r="E319" s="352"/>
      <c r="F319" s="423">
        <v>1</v>
      </c>
      <c r="G319" s="423" t="s">
        <v>1419</v>
      </c>
      <c r="H319" s="608" t="s">
        <v>4846</v>
      </c>
      <c r="I319" s="429">
        <v>344</v>
      </c>
      <c r="J319" s="423" t="s">
        <v>1419</v>
      </c>
      <c r="K319" s="423">
        <f>F319*I319</f>
        <v>344</v>
      </c>
      <c r="L319" s="423"/>
      <c r="M319" s="423"/>
      <c r="N319" s="424"/>
      <c r="O319" s="424"/>
      <c r="P319" s="424"/>
      <c r="Q319" s="424"/>
      <c r="R319" s="424"/>
      <c r="S319" s="424"/>
      <c r="T319" s="424"/>
      <c r="U319" s="424"/>
      <c r="V319" s="424"/>
      <c r="W319" s="424"/>
      <c r="X319" s="424"/>
      <c r="Y319" s="424"/>
      <c r="Z319" s="424"/>
      <c r="AA319" s="424"/>
      <c r="AB319" s="424"/>
      <c r="AC319" s="424"/>
      <c r="AD319" s="424"/>
      <c r="AE319" s="424"/>
      <c r="AF319" s="424"/>
      <c r="AG319" s="424"/>
      <c r="AH319" s="424"/>
      <c r="AI319" s="424"/>
      <c r="AJ319" s="424"/>
      <c r="AK319" s="424"/>
      <c r="AL319" s="424"/>
      <c r="AM319" s="424"/>
      <c r="AN319" s="424"/>
      <c r="AO319" s="424"/>
      <c r="AP319" s="424"/>
      <c r="AQ319" s="424"/>
      <c r="AR319" s="424"/>
      <c r="AS319" s="424"/>
      <c r="AT319" s="424"/>
      <c r="AU319" s="424"/>
      <c r="AV319" s="424"/>
      <c r="AW319" s="424"/>
      <c r="AX319" s="424"/>
      <c r="AY319" s="424"/>
      <c r="AZ319" s="424"/>
      <c r="BA319" s="424"/>
      <c r="BB319" s="424"/>
      <c r="BC319" s="424"/>
      <c r="BD319" s="424"/>
      <c r="BE319" s="424"/>
      <c r="BF319" s="424"/>
      <c r="BG319" s="424"/>
      <c r="BH319" s="424"/>
      <c r="BI319" s="424"/>
      <c r="BJ319" s="424"/>
      <c r="BK319" s="424"/>
      <c r="BL319" s="424"/>
      <c r="BM319" s="424"/>
      <c r="BN319" s="424"/>
      <c r="BO319" s="424"/>
      <c r="BP319" s="424"/>
      <c r="BQ319" s="424"/>
      <c r="BR319" s="424"/>
      <c r="BS319" s="424"/>
      <c r="BT319" s="424"/>
      <c r="BU319" s="424"/>
      <c r="BV319" s="424"/>
      <c r="BW319" s="424"/>
      <c r="BX319" s="424"/>
      <c r="BY319" s="424"/>
      <c r="BZ319" s="424"/>
      <c r="CA319" s="424"/>
      <c r="CB319" s="424"/>
      <c r="CC319" s="424"/>
      <c r="CD319" s="424"/>
      <c r="CE319" s="424"/>
      <c r="CF319" s="424"/>
      <c r="CG319" s="424"/>
      <c r="CH319" s="424"/>
      <c r="CI319" s="424"/>
      <c r="CJ319" s="424"/>
      <c r="CK319" s="424"/>
      <c r="CL319" s="424"/>
      <c r="CM319" s="424"/>
      <c r="CN319" s="424"/>
      <c r="CO319" s="424"/>
      <c r="CP319" s="424"/>
      <c r="CQ319" s="424"/>
      <c r="CR319" s="424"/>
      <c r="CS319" s="424"/>
      <c r="CT319" s="424"/>
      <c r="CU319" s="424"/>
      <c r="CV319" s="424"/>
      <c r="CW319" s="424"/>
      <c r="CX319" s="424"/>
      <c r="CY319" s="424"/>
      <c r="CZ319" s="424"/>
      <c r="DA319" s="424"/>
      <c r="DB319" s="424"/>
      <c r="DC319" s="424"/>
      <c r="DD319" s="424"/>
      <c r="DE319" s="424"/>
      <c r="DF319" s="424"/>
      <c r="DG319" s="424"/>
      <c r="DH319" s="424"/>
      <c r="DI319" s="424"/>
      <c r="DJ319" s="424"/>
      <c r="DK319" s="424"/>
      <c r="DL319" s="424"/>
      <c r="DM319" s="424"/>
      <c r="DN319" s="424"/>
      <c r="DO319" s="424"/>
      <c r="DP319" s="424"/>
      <c r="DQ319" s="424"/>
      <c r="DR319" s="424"/>
      <c r="DS319" s="424"/>
      <c r="DT319" s="424"/>
      <c r="DU319" s="424"/>
      <c r="DV319" s="424"/>
      <c r="DW319" s="424"/>
      <c r="DX319" s="424"/>
      <c r="DY319" s="424"/>
      <c r="DZ319" s="424"/>
    </row>
    <row r="320" spans="5:130" s="424" customFormat="1" ht="31.5">
      <c r="E320" s="423"/>
      <c r="F320" s="423">
        <v>1</v>
      </c>
      <c r="G320" s="423" t="s">
        <v>1419</v>
      </c>
      <c r="H320" s="608" t="s">
        <v>4847</v>
      </c>
      <c r="I320" s="609">
        <v>60.5</v>
      </c>
      <c r="J320" s="423" t="s">
        <v>1419</v>
      </c>
      <c r="K320" s="423">
        <f>F320*I320</f>
        <v>60.5</v>
      </c>
      <c r="L320" s="423"/>
      <c r="M320" s="423"/>
    </row>
    <row r="321" spans="5:130" s="424" customFormat="1" ht="31.5">
      <c r="E321" s="423"/>
      <c r="F321" s="352"/>
      <c r="G321" s="352"/>
      <c r="H321" s="351" t="s">
        <v>2813</v>
      </c>
      <c r="I321" s="352"/>
      <c r="J321" s="352"/>
      <c r="K321" s="352">
        <v>10.25</v>
      </c>
      <c r="L321" s="352"/>
      <c r="M321" s="352"/>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18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180"/>
      <c r="DI321" s="180"/>
      <c r="DJ321" s="180"/>
      <c r="DK321" s="180"/>
      <c r="DL321" s="180"/>
      <c r="DM321" s="180"/>
      <c r="DN321" s="180"/>
      <c r="DO321" s="180"/>
      <c r="DP321" s="180"/>
      <c r="DQ321" s="180"/>
      <c r="DR321" s="180"/>
      <c r="DS321" s="180"/>
      <c r="DT321" s="180"/>
      <c r="DU321" s="180"/>
      <c r="DV321" s="180"/>
      <c r="DW321" s="180"/>
      <c r="DX321" s="180"/>
      <c r="DY321" s="180"/>
      <c r="DZ321" s="180"/>
    </row>
    <row r="322" spans="5:130">
      <c r="E322" s="352"/>
      <c r="F322" s="352"/>
      <c r="G322" s="352"/>
      <c r="H322" s="352" t="s">
        <v>931</v>
      </c>
      <c r="I322" s="352"/>
      <c r="J322" s="352"/>
      <c r="K322" s="352">
        <f>K330</f>
        <v>501.25</v>
      </c>
      <c r="L322" s="352"/>
      <c r="M322" s="352"/>
    </row>
    <row r="323" spans="5:130">
      <c r="E323" s="352"/>
      <c r="F323" s="352"/>
      <c r="G323" s="352"/>
      <c r="H323" s="359" t="s">
        <v>2841</v>
      </c>
      <c r="I323" s="352"/>
      <c r="J323" s="352"/>
      <c r="K323" s="360">
        <f>SUM(K319:K322)</f>
        <v>916</v>
      </c>
      <c r="L323" s="352">
        <f>K323-916</f>
        <v>0</v>
      </c>
      <c r="M323" s="352">
        <f>577-576.75</f>
        <v>0.25</v>
      </c>
    </row>
    <row r="324" spans="5:130">
      <c r="E324" s="352"/>
      <c r="F324" s="352"/>
      <c r="G324" s="352"/>
      <c r="H324" s="352"/>
      <c r="I324" s="352"/>
      <c r="J324" s="352"/>
      <c r="K324" s="352"/>
      <c r="L324" s="352"/>
      <c r="M324" s="352"/>
    </row>
    <row r="325" spans="5:130">
      <c r="E325" s="352"/>
      <c r="F325" s="352"/>
      <c r="G325" s="352"/>
      <c r="H325" s="352"/>
      <c r="I325" s="352"/>
      <c r="J325" s="352"/>
      <c r="K325" s="352"/>
      <c r="L325" s="352"/>
      <c r="M325" s="352"/>
    </row>
    <row r="326" spans="5:130">
      <c r="E326" s="352"/>
      <c r="F326" s="352"/>
      <c r="G326" s="352"/>
      <c r="H326" s="367" t="s">
        <v>931</v>
      </c>
      <c r="I326" s="352"/>
      <c r="J326" s="352"/>
      <c r="K326" s="352"/>
      <c r="L326" s="352"/>
      <c r="M326" s="352"/>
    </row>
    <row r="327" spans="5:130">
      <c r="E327" s="352"/>
      <c r="F327" s="352">
        <v>1</v>
      </c>
      <c r="G327" s="352" t="s">
        <v>1419</v>
      </c>
      <c r="H327" s="352" t="s">
        <v>2814</v>
      </c>
      <c r="I327" s="352">
        <f>I36</f>
        <v>783</v>
      </c>
      <c r="J327" s="352" t="s">
        <v>1419</v>
      </c>
      <c r="K327" s="352">
        <f>F327*I327</f>
        <v>783</v>
      </c>
      <c r="L327" s="352"/>
      <c r="M327" s="352"/>
    </row>
    <row r="328" spans="5:130">
      <c r="E328" s="352"/>
      <c r="F328" s="352">
        <v>2</v>
      </c>
      <c r="G328" s="352" t="s">
        <v>1419</v>
      </c>
      <c r="H328" s="352" t="s">
        <v>2634</v>
      </c>
      <c r="I328" s="352">
        <f>I309</f>
        <v>611</v>
      </c>
      <c r="J328" s="352" t="s">
        <v>1419</v>
      </c>
      <c r="K328" s="352">
        <f>F328*I328</f>
        <v>1222</v>
      </c>
      <c r="L328" s="352"/>
      <c r="M328" s="352"/>
    </row>
    <row r="329" spans="5:130">
      <c r="E329" s="352"/>
      <c r="F329" s="352"/>
      <c r="G329" s="352"/>
      <c r="H329" s="357" t="s">
        <v>2815</v>
      </c>
      <c r="I329" s="352"/>
      <c r="J329" s="352"/>
      <c r="K329" s="358">
        <f>SUM(K327:K328)</f>
        <v>2005</v>
      </c>
      <c r="L329" s="352"/>
      <c r="M329" s="352"/>
    </row>
    <row r="330" spans="5:130">
      <c r="E330" s="352"/>
      <c r="F330" s="352"/>
      <c r="G330" s="352"/>
      <c r="H330" s="359" t="s">
        <v>2942</v>
      </c>
      <c r="I330" s="352"/>
      <c r="J330" s="352"/>
      <c r="K330" s="360">
        <f>K329/4</f>
        <v>501.25</v>
      </c>
      <c r="L330" s="352"/>
      <c r="M330" s="352"/>
    </row>
    <row r="331" spans="5:130">
      <c r="E331" s="352"/>
      <c r="F331" s="352"/>
      <c r="G331" s="352"/>
      <c r="H331" s="352"/>
      <c r="I331" s="352"/>
      <c r="J331" s="352"/>
      <c r="K331" s="352"/>
      <c r="L331" s="352"/>
      <c r="M331" s="352"/>
    </row>
    <row r="332" spans="5:130">
      <c r="E332" s="352"/>
      <c r="F332" s="352"/>
      <c r="G332" s="352"/>
      <c r="H332" s="360" t="s">
        <v>2816</v>
      </c>
      <c r="I332" s="352"/>
      <c r="J332" s="352"/>
      <c r="K332" s="352"/>
      <c r="L332" s="352"/>
      <c r="M332" s="352"/>
    </row>
    <row r="333" spans="5:130">
      <c r="E333" s="352"/>
      <c r="F333" s="352"/>
      <c r="G333" s="352"/>
      <c r="H333" s="352"/>
      <c r="I333" s="352"/>
      <c r="J333" s="352"/>
      <c r="K333" s="352"/>
      <c r="L333" s="352"/>
      <c r="M333" s="352"/>
    </row>
    <row r="334" spans="5:130" ht="63">
      <c r="E334" s="352"/>
      <c r="F334" s="352"/>
      <c r="G334" s="352"/>
      <c r="H334" s="350" t="s">
        <v>2817</v>
      </c>
      <c r="I334" s="352"/>
      <c r="J334" s="352"/>
      <c r="K334" s="352"/>
      <c r="L334" s="352"/>
      <c r="M334" s="352"/>
    </row>
    <row r="335" spans="5:130">
      <c r="E335" s="352"/>
      <c r="F335" s="352"/>
      <c r="G335" s="352"/>
      <c r="H335" s="352"/>
      <c r="I335" s="352"/>
      <c r="J335" s="352"/>
      <c r="K335" s="352"/>
      <c r="L335" s="352"/>
      <c r="M335" s="352"/>
    </row>
    <row r="336" spans="5:130" ht="63">
      <c r="E336" s="352"/>
      <c r="F336" s="352"/>
      <c r="G336" s="352"/>
      <c r="H336" s="351" t="s">
        <v>3276</v>
      </c>
      <c r="I336" s="352"/>
      <c r="J336" s="352"/>
      <c r="K336" s="352"/>
      <c r="L336" s="352"/>
      <c r="M336" s="352"/>
    </row>
    <row r="337" spans="5:130">
      <c r="E337" s="352"/>
      <c r="F337" s="352"/>
      <c r="G337" s="352"/>
      <c r="H337" s="352"/>
      <c r="I337" s="352"/>
      <c r="J337" s="352"/>
      <c r="K337" s="352"/>
      <c r="L337" s="352"/>
      <c r="M337" s="352"/>
    </row>
    <row r="338" spans="5:130" ht="31.5">
      <c r="E338" s="352"/>
      <c r="F338" s="423">
        <v>1</v>
      </c>
      <c r="G338" s="423" t="s">
        <v>1419</v>
      </c>
      <c r="H338" s="608" t="s">
        <v>5753</v>
      </c>
      <c r="I338" s="429">
        <v>775</v>
      </c>
      <c r="J338" s="423" t="s">
        <v>1419</v>
      </c>
      <c r="K338" s="423">
        <f>F338*I338</f>
        <v>775</v>
      </c>
      <c r="L338" s="423"/>
      <c r="M338" s="423"/>
      <c r="N338" s="424"/>
      <c r="O338" s="424"/>
      <c r="P338" s="424"/>
      <c r="Q338" s="424"/>
      <c r="R338" s="424"/>
      <c r="S338" s="424"/>
      <c r="T338" s="424"/>
      <c r="U338" s="424"/>
      <c r="V338" s="424"/>
      <c r="W338" s="424"/>
      <c r="X338" s="424"/>
      <c r="Y338" s="424"/>
      <c r="Z338" s="424"/>
      <c r="AA338" s="424"/>
      <c r="AB338" s="424"/>
      <c r="AC338" s="424"/>
      <c r="AD338" s="424"/>
      <c r="AE338" s="424"/>
      <c r="AF338" s="424"/>
      <c r="AG338" s="424"/>
      <c r="AH338" s="424"/>
      <c r="AI338" s="424"/>
      <c r="AJ338" s="424"/>
      <c r="AK338" s="424"/>
      <c r="AL338" s="424"/>
      <c r="AM338" s="424"/>
      <c r="AN338" s="424"/>
      <c r="AO338" s="424"/>
      <c r="AP338" s="424"/>
      <c r="AQ338" s="424"/>
      <c r="AR338" s="424"/>
      <c r="AS338" s="424"/>
      <c r="AT338" s="424"/>
      <c r="AU338" s="424"/>
      <c r="AV338" s="424"/>
      <c r="AW338" s="424"/>
      <c r="AX338" s="424"/>
      <c r="AY338" s="424"/>
      <c r="AZ338" s="424"/>
      <c r="BA338" s="424"/>
      <c r="BB338" s="424"/>
      <c r="BC338" s="424"/>
      <c r="BD338" s="424"/>
      <c r="BE338" s="424"/>
      <c r="BF338" s="424"/>
      <c r="BG338" s="424"/>
      <c r="BH338" s="424"/>
      <c r="BI338" s="424"/>
      <c r="BJ338" s="424"/>
      <c r="BK338" s="424"/>
      <c r="BL338" s="424"/>
      <c r="BM338" s="424"/>
      <c r="BN338" s="424"/>
      <c r="BO338" s="424"/>
      <c r="BP338" s="424"/>
      <c r="BQ338" s="424"/>
      <c r="BR338" s="424"/>
      <c r="BS338" s="424"/>
      <c r="BT338" s="424"/>
      <c r="BU338" s="424"/>
      <c r="BV338" s="424"/>
      <c r="BW338" s="424"/>
      <c r="BX338" s="424"/>
      <c r="BY338" s="424"/>
      <c r="BZ338" s="424"/>
      <c r="CA338" s="424"/>
      <c r="CB338" s="424"/>
      <c r="CC338" s="424"/>
      <c r="CD338" s="424"/>
      <c r="CE338" s="424"/>
      <c r="CF338" s="424"/>
      <c r="CG338" s="424"/>
      <c r="CH338" s="424"/>
      <c r="CI338" s="424"/>
      <c r="CJ338" s="424"/>
      <c r="CK338" s="424"/>
      <c r="CL338" s="424"/>
      <c r="CM338" s="424"/>
      <c r="CN338" s="424"/>
      <c r="CO338" s="424"/>
      <c r="CP338" s="424"/>
      <c r="CQ338" s="424"/>
      <c r="CR338" s="424"/>
      <c r="CS338" s="424"/>
      <c r="CT338" s="424"/>
      <c r="CU338" s="424"/>
      <c r="CV338" s="424"/>
      <c r="CW338" s="424"/>
      <c r="CX338" s="424"/>
      <c r="CY338" s="424"/>
      <c r="CZ338" s="424"/>
      <c r="DA338" s="424"/>
      <c r="DB338" s="424"/>
      <c r="DC338" s="424"/>
      <c r="DD338" s="424"/>
      <c r="DE338" s="424"/>
      <c r="DF338" s="424"/>
      <c r="DG338" s="424"/>
      <c r="DH338" s="424"/>
      <c r="DI338" s="424"/>
      <c r="DJ338" s="424"/>
      <c r="DK338" s="424"/>
      <c r="DL338" s="424"/>
      <c r="DM338" s="424"/>
      <c r="DN338" s="424"/>
      <c r="DO338" s="424"/>
      <c r="DP338" s="424"/>
      <c r="DQ338" s="424"/>
      <c r="DR338" s="424"/>
      <c r="DS338" s="424"/>
      <c r="DT338" s="424"/>
      <c r="DU338" s="424"/>
      <c r="DV338" s="424"/>
      <c r="DW338" s="424"/>
      <c r="DX338" s="424"/>
      <c r="DY338" s="424"/>
      <c r="DZ338" s="424"/>
    </row>
    <row r="339" spans="5:130" s="424" customFormat="1" ht="31.5">
      <c r="E339" s="423"/>
      <c r="F339" s="423">
        <v>1</v>
      </c>
      <c r="G339" s="423" t="s">
        <v>1419</v>
      </c>
      <c r="H339" s="428" t="s">
        <v>2812</v>
      </c>
      <c r="I339" s="423">
        <f>I320</f>
        <v>60.5</v>
      </c>
      <c r="J339" s="423" t="s">
        <v>1419</v>
      </c>
      <c r="K339" s="423">
        <f>F339*I339</f>
        <v>60.5</v>
      </c>
      <c r="L339" s="423"/>
      <c r="M339" s="423"/>
    </row>
    <row r="340" spans="5:130" s="424" customFormat="1" ht="31.5">
      <c r="E340" s="423"/>
      <c r="F340" s="352"/>
      <c r="G340" s="352"/>
      <c r="H340" s="351" t="s">
        <v>2813</v>
      </c>
      <c r="I340" s="352"/>
      <c r="J340" s="352"/>
      <c r="K340" s="352">
        <v>8.85</v>
      </c>
      <c r="L340" s="352"/>
      <c r="M340" s="352"/>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18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180"/>
      <c r="DI340" s="180"/>
      <c r="DJ340" s="180"/>
      <c r="DK340" s="180"/>
      <c r="DL340" s="180"/>
      <c r="DM340" s="180"/>
      <c r="DN340" s="180"/>
      <c r="DO340" s="180"/>
      <c r="DP340" s="180"/>
      <c r="DQ340" s="180"/>
      <c r="DR340" s="180"/>
      <c r="DS340" s="180"/>
      <c r="DT340" s="180"/>
      <c r="DU340" s="180"/>
      <c r="DV340" s="180"/>
      <c r="DW340" s="180"/>
      <c r="DX340" s="180"/>
      <c r="DY340" s="180"/>
      <c r="DZ340" s="180"/>
    </row>
    <row r="341" spans="5:130">
      <c r="E341" s="352"/>
      <c r="F341" s="352"/>
      <c r="G341" s="352"/>
      <c r="H341" s="352" t="s">
        <v>931</v>
      </c>
      <c r="I341" s="352"/>
      <c r="J341" s="352"/>
      <c r="K341" s="352">
        <f>K330</f>
        <v>501.25</v>
      </c>
      <c r="L341" s="352"/>
      <c r="M341" s="352"/>
    </row>
    <row r="342" spans="5:130">
      <c r="E342" s="352"/>
      <c r="F342" s="352"/>
      <c r="G342" s="352"/>
      <c r="H342" s="359" t="s">
        <v>2841</v>
      </c>
      <c r="I342" s="352"/>
      <c r="J342" s="352"/>
      <c r="K342" s="360">
        <f>SUM(K338:K341)</f>
        <v>1345.6</v>
      </c>
      <c r="L342" s="352"/>
      <c r="M342" s="352">
        <f>K342-1345</f>
        <v>0.6</v>
      </c>
    </row>
    <row r="343" spans="5:130">
      <c r="E343" s="352"/>
      <c r="F343" s="352"/>
      <c r="G343" s="352"/>
      <c r="H343" s="352"/>
      <c r="I343" s="352"/>
      <c r="J343" s="352"/>
      <c r="K343" s="352"/>
      <c r="L343" s="352"/>
      <c r="M343" s="352"/>
    </row>
    <row r="344" spans="5:130">
      <c r="E344" s="352"/>
      <c r="F344" s="352"/>
      <c r="G344" s="352"/>
      <c r="H344" s="352"/>
      <c r="I344" s="352"/>
      <c r="J344" s="352"/>
      <c r="K344" s="352"/>
      <c r="L344" s="352"/>
      <c r="M344" s="352"/>
    </row>
    <row r="345" spans="5:130">
      <c r="E345" s="352"/>
      <c r="F345" s="352"/>
      <c r="G345" s="352"/>
      <c r="H345" s="360" t="s">
        <v>3283</v>
      </c>
      <c r="I345" s="352"/>
      <c r="J345" s="352"/>
      <c r="K345" s="352"/>
      <c r="L345" s="352"/>
      <c r="M345" s="352"/>
    </row>
    <row r="346" spans="5:130">
      <c r="E346" s="352"/>
      <c r="F346" s="352"/>
      <c r="G346" s="352"/>
      <c r="H346" s="352"/>
      <c r="I346" s="352"/>
      <c r="J346" s="352"/>
      <c r="K346" s="352"/>
      <c r="L346" s="352"/>
      <c r="M346" s="352"/>
    </row>
    <row r="347" spans="5:130" ht="47.25">
      <c r="E347" s="352"/>
      <c r="F347" s="352"/>
      <c r="G347" s="352"/>
      <c r="H347" s="351" t="s">
        <v>2445</v>
      </c>
      <c r="I347" s="352"/>
      <c r="J347" s="352"/>
      <c r="K347" s="352"/>
      <c r="L347" s="352"/>
      <c r="M347" s="352"/>
    </row>
    <row r="348" spans="5:130">
      <c r="E348" s="352"/>
      <c r="F348" s="352"/>
      <c r="G348" s="352"/>
      <c r="H348" s="352"/>
      <c r="I348" s="352"/>
      <c r="J348" s="352"/>
      <c r="K348" s="352"/>
      <c r="L348" s="352"/>
      <c r="M348" s="352"/>
    </row>
    <row r="349" spans="5:130" ht="31.5">
      <c r="E349" s="352"/>
      <c r="F349" s="352">
        <v>1</v>
      </c>
      <c r="G349" s="352" t="s">
        <v>1419</v>
      </c>
      <c r="H349" s="351" t="s">
        <v>5206</v>
      </c>
      <c r="I349" s="353">
        <v>462</v>
      </c>
      <c r="J349" s="352" t="s">
        <v>1419</v>
      </c>
      <c r="K349" s="352">
        <f>F349*I349</f>
        <v>462</v>
      </c>
      <c r="L349" s="352"/>
      <c r="M349" s="352"/>
    </row>
    <row r="350" spans="5:130">
      <c r="E350" s="352"/>
      <c r="F350" s="352">
        <v>1</v>
      </c>
      <c r="G350" s="352" t="s">
        <v>1419</v>
      </c>
      <c r="H350" s="352" t="s">
        <v>4848</v>
      </c>
      <c r="I350" s="352">
        <f>I339</f>
        <v>60.5</v>
      </c>
      <c r="J350" s="352" t="s">
        <v>1419</v>
      </c>
      <c r="K350" s="352">
        <f>F350*I350</f>
        <v>60.5</v>
      </c>
      <c r="L350" s="352"/>
      <c r="M350" s="352"/>
    </row>
    <row r="351" spans="5:130">
      <c r="E351" s="352"/>
      <c r="F351" s="352"/>
      <c r="G351" s="352"/>
      <c r="H351" s="352" t="s">
        <v>2310</v>
      </c>
      <c r="I351" s="352"/>
      <c r="J351" s="352"/>
      <c r="K351" s="352">
        <v>11.85</v>
      </c>
      <c r="L351" s="352"/>
      <c r="M351" s="352"/>
    </row>
    <row r="352" spans="5:130">
      <c r="E352" s="352"/>
      <c r="F352" s="352"/>
      <c r="G352" s="352"/>
      <c r="H352" s="352" t="s">
        <v>2447</v>
      </c>
      <c r="I352" s="352"/>
      <c r="J352" s="352"/>
      <c r="K352" s="352">
        <f>K330</f>
        <v>501.25</v>
      </c>
      <c r="L352" s="352"/>
      <c r="M352" s="352"/>
    </row>
    <row r="353" spans="5:13">
      <c r="E353" s="352"/>
      <c r="F353" s="352"/>
      <c r="G353" s="352"/>
      <c r="H353" s="359" t="s">
        <v>1083</v>
      </c>
      <c r="I353" s="352"/>
      <c r="J353" s="352"/>
      <c r="K353" s="360">
        <f>SUM(K349:K352)</f>
        <v>1035.5999999999999</v>
      </c>
      <c r="L353" s="352">
        <f>K353-1035</f>
        <v>0.6</v>
      </c>
      <c r="M353" s="352">
        <f>917-K353</f>
        <v>-118.6</v>
      </c>
    </row>
    <row r="354" spans="5:13">
      <c r="E354" s="352"/>
      <c r="F354" s="352"/>
      <c r="G354" s="352"/>
      <c r="H354" s="352"/>
      <c r="I354" s="352"/>
      <c r="J354" s="352"/>
      <c r="K354" s="352"/>
      <c r="L354" s="352"/>
      <c r="M354" s="352"/>
    </row>
    <row r="355" spans="5:13">
      <c r="E355" s="352"/>
      <c r="F355" s="352"/>
      <c r="G355" s="352"/>
      <c r="H355" s="360" t="s">
        <v>2816</v>
      </c>
      <c r="I355" s="352"/>
      <c r="J355" s="352"/>
      <c r="K355" s="352"/>
      <c r="L355" s="352"/>
      <c r="M355" s="352"/>
    </row>
    <row r="356" spans="5:13">
      <c r="E356" s="352"/>
      <c r="F356" s="352"/>
      <c r="G356" s="352"/>
      <c r="H356" s="352"/>
      <c r="I356" s="352"/>
      <c r="J356" s="352"/>
      <c r="K356" s="352"/>
      <c r="L356" s="352"/>
      <c r="M356" s="352"/>
    </row>
    <row r="357" spans="5:13" ht="47.25">
      <c r="E357" s="352"/>
      <c r="F357" s="352"/>
      <c r="G357" s="352"/>
      <c r="H357" s="350" t="s">
        <v>3491</v>
      </c>
      <c r="I357" s="352"/>
      <c r="J357" s="352"/>
      <c r="K357" s="352"/>
      <c r="L357" s="352"/>
      <c r="M357" s="352"/>
    </row>
    <row r="358" spans="5:13">
      <c r="E358" s="352"/>
      <c r="F358" s="352"/>
      <c r="G358" s="352"/>
      <c r="H358" s="352"/>
      <c r="I358" s="352"/>
      <c r="J358" s="352"/>
      <c r="K358" s="352"/>
      <c r="L358" s="352"/>
      <c r="M358" s="352"/>
    </row>
    <row r="359" spans="5:13" ht="63">
      <c r="E359" s="352"/>
      <c r="F359" s="352"/>
      <c r="G359" s="352"/>
      <c r="H359" s="351" t="s">
        <v>3492</v>
      </c>
      <c r="I359" s="352"/>
      <c r="J359" s="352"/>
      <c r="K359" s="352"/>
      <c r="L359" s="352"/>
      <c r="M359" s="352"/>
    </row>
    <row r="360" spans="5:13" ht="31.5">
      <c r="E360" s="352"/>
      <c r="F360" s="352">
        <v>1</v>
      </c>
      <c r="G360" s="352" t="s">
        <v>1419</v>
      </c>
      <c r="H360" s="610" t="s">
        <v>4849</v>
      </c>
      <c r="I360" s="521">
        <v>889</v>
      </c>
      <c r="J360" s="352" t="s">
        <v>1419</v>
      </c>
      <c r="K360" s="352">
        <f>F360*I360</f>
        <v>889</v>
      </c>
      <c r="L360" s="352"/>
      <c r="M360" s="352"/>
    </row>
    <row r="361" spans="5:13" ht="31.5">
      <c r="E361" s="352"/>
      <c r="F361" s="352">
        <v>1</v>
      </c>
      <c r="G361" s="352" t="s">
        <v>1419</v>
      </c>
      <c r="H361" s="351" t="s">
        <v>4850</v>
      </c>
      <c r="I361" s="521">
        <v>161.30000000000001</v>
      </c>
      <c r="J361" s="352" t="s">
        <v>1419</v>
      </c>
      <c r="K361" s="352">
        <f>F361*I361</f>
        <v>161.30000000000001</v>
      </c>
      <c r="L361" s="352"/>
      <c r="M361" s="352"/>
    </row>
    <row r="362" spans="5:13" ht="31.5">
      <c r="E362" s="352"/>
      <c r="F362" s="352"/>
      <c r="G362" s="352"/>
      <c r="H362" s="351" t="s">
        <v>2645</v>
      </c>
      <c r="I362" s="352"/>
      <c r="J362" s="352"/>
      <c r="K362" s="352">
        <v>13.97</v>
      </c>
      <c r="L362" s="352"/>
      <c r="M362" s="352"/>
    </row>
    <row r="363" spans="5:13">
      <c r="E363" s="352"/>
      <c r="F363" s="352"/>
      <c r="G363" s="352"/>
      <c r="H363" s="352" t="s">
        <v>931</v>
      </c>
      <c r="I363" s="352"/>
      <c r="J363" s="352"/>
      <c r="K363" s="352">
        <f>K370</f>
        <v>668.33</v>
      </c>
      <c r="L363" s="352"/>
      <c r="M363" s="352"/>
    </row>
    <row r="364" spans="5:13">
      <c r="E364" s="352"/>
      <c r="F364" s="352"/>
      <c r="G364" s="352"/>
      <c r="H364" s="359" t="s">
        <v>1083</v>
      </c>
      <c r="I364" s="352"/>
      <c r="J364" s="352"/>
      <c r="K364" s="360">
        <f>SUM(K360:K363)</f>
        <v>1732.6</v>
      </c>
      <c r="L364" s="352">
        <f>1723-K364</f>
        <v>-9.6</v>
      </c>
      <c r="M364" s="352">
        <f>K364-1003</f>
        <v>729.6</v>
      </c>
    </row>
    <row r="365" spans="5:13">
      <c r="E365" s="352"/>
      <c r="F365" s="352"/>
      <c r="G365" s="352"/>
      <c r="H365" s="352"/>
      <c r="I365" s="352"/>
      <c r="J365" s="352"/>
      <c r="K365" s="352"/>
      <c r="L365" s="352"/>
      <c r="M365" s="352"/>
    </row>
    <row r="366" spans="5:13">
      <c r="E366" s="352"/>
      <c r="F366" s="352"/>
      <c r="G366" s="352"/>
      <c r="H366" s="358" t="s">
        <v>931</v>
      </c>
      <c r="I366" s="352"/>
      <c r="J366" s="352"/>
      <c r="K366" s="352"/>
      <c r="L366" s="352"/>
      <c r="M366" s="352"/>
    </row>
    <row r="367" spans="5:13">
      <c r="E367" s="352"/>
      <c r="F367" s="352">
        <v>1</v>
      </c>
      <c r="G367" s="352" t="s">
        <v>1419</v>
      </c>
      <c r="H367" s="352" t="s">
        <v>2646</v>
      </c>
      <c r="I367" s="352">
        <f>I327</f>
        <v>783</v>
      </c>
      <c r="J367" s="352" t="s">
        <v>1419</v>
      </c>
      <c r="K367" s="352">
        <f>F367*I367</f>
        <v>783</v>
      </c>
      <c r="L367" s="352"/>
      <c r="M367" s="352"/>
    </row>
    <row r="368" spans="5:13">
      <c r="E368" s="352"/>
      <c r="F368" s="352">
        <v>2</v>
      </c>
      <c r="G368" s="352" t="s">
        <v>1419</v>
      </c>
      <c r="H368" s="352" t="s">
        <v>3137</v>
      </c>
      <c r="I368" s="352">
        <f>I328</f>
        <v>611</v>
      </c>
      <c r="J368" s="352" t="s">
        <v>1419</v>
      </c>
      <c r="K368" s="352">
        <f>F368*I368</f>
        <v>1222</v>
      </c>
      <c r="L368" s="352"/>
      <c r="M368" s="352"/>
    </row>
    <row r="369" spans="5:18">
      <c r="E369" s="352"/>
      <c r="F369" s="352"/>
      <c r="G369" s="352"/>
      <c r="H369" s="357" t="s">
        <v>3139</v>
      </c>
      <c r="I369" s="352"/>
      <c r="J369" s="352"/>
      <c r="K369" s="352">
        <f>SUM(K367:K368)</f>
        <v>2005</v>
      </c>
      <c r="L369" s="352"/>
      <c r="M369" s="352"/>
    </row>
    <row r="370" spans="5:18">
      <c r="E370" s="352"/>
      <c r="F370" s="352"/>
      <c r="G370" s="352"/>
      <c r="H370" s="359" t="s">
        <v>2841</v>
      </c>
      <c r="I370" s="352"/>
      <c r="J370" s="352"/>
      <c r="K370" s="360">
        <f>K369/3</f>
        <v>668.33</v>
      </c>
      <c r="L370" s="352"/>
      <c r="M370" s="352"/>
    </row>
    <row r="371" spans="5:18">
      <c r="E371" s="352"/>
      <c r="F371" s="352"/>
      <c r="G371" s="352"/>
      <c r="H371" s="352"/>
      <c r="I371" s="352"/>
      <c r="J371" s="352"/>
      <c r="K371" s="352"/>
      <c r="L371" s="352"/>
      <c r="M371" s="352"/>
    </row>
    <row r="372" spans="5:18">
      <c r="E372" s="352"/>
      <c r="F372" s="352"/>
      <c r="G372" s="352"/>
      <c r="H372" s="360" t="s">
        <v>2647</v>
      </c>
      <c r="I372" s="352"/>
      <c r="J372" s="352"/>
      <c r="K372" s="352"/>
      <c r="L372" s="352"/>
      <c r="M372" s="352"/>
    </row>
    <row r="373" spans="5:18">
      <c r="E373" s="352"/>
      <c r="F373" s="352"/>
      <c r="G373" s="352"/>
      <c r="H373" s="352"/>
      <c r="I373" s="352"/>
      <c r="J373" s="352"/>
      <c r="K373" s="352"/>
      <c r="L373" s="352"/>
      <c r="M373" s="352"/>
    </row>
    <row r="374" spans="5:18" ht="78.75">
      <c r="E374" s="352"/>
      <c r="F374" s="352"/>
      <c r="G374" s="352"/>
      <c r="H374" s="350" t="s">
        <v>2896</v>
      </c>
      <c r="I374" s="352"/>
      <c r="J374" s="352"/>
      <c r="K374" s="352"/>
      <c r="L374" s="352"/>
      <c r="M374" s="352"/>
      <c r="N374" s="352"/>
      <c r="O374" s="350" t="s">
        <v>5802</v>
      </c>
      <c r="P374" s="352"/>
      <c r="Q374" s="352"/>
      <c r="R374" s="352"/>
    </row>
    <row r="375" spans="5:18" ht="31.5">
      <c r="E375" s="352"/>
      <c r="F375" s="352">
        <v>1</v>
      </c>
      <c r="G375" s="352" t="s">
        <v>1419</v>
      </c>
      <c r="H375" s="351" t="s">
        <v>5754</v>
      </c>
      <c r="I375" s="421">
        <v>1315</v>
      </c>
      <c r="J375" s="352" t="s">
        <v>1419</v>
      </c>
      <c r="K375" s="352">
        <f>F375*I375</f>
        <v>1315</v>
      </c>
      <c r="L375" s="352"/>
      <c r="M375" s="352">
        <v>1</v>
      </c>
      <c r="N375" s="352" t="s">
        <v>1419</v>
      </c>
      <c r="O375" s="351" t="s">
        <v>5803</v>
      </c>
      <c r="P375" s="421">
        <v>2866</v>
      </c>
      <c r="Q375" s="352" t="s">
        <v>1419</v>
      </c>
      <c r="R375" s="352">
        <f>M375*P375</f>
        <v>2866</v>
      </c>
    </row>
    <row r="376" spans="5:18" ht="31.5">
      <c r="E376" s="352"/>
      <c r="F376" s="352">
        <v>1</v>
      </c>
      <c r="G376" s="352" t="s">
        <v>1419</v>
      </c>
      <c r="H376" s="351" t="s">
        <v>4850</v>
      </c>
      <c r="I376" s="352">
        <f>I361</f>
        <v>161.30000000000001</v>
      </c>
      <c r="J376" s="352" t="s">
        <v>1419</v>
      </c>
      <c r="K376" s="352">
        <f>F376*I376</f>
        <v>161.30000000000001</v>
      </c>
      <c r="L376" s="352"/>
      <c r="M376" s="352">
        <v>1</v>
      </c>
      <c r="N376" s="352" t="s">
        <v>1419</v>
      </c>
      <c r="O376" s="351" t="s">
        <v>4850</v>
      </c>
      <c r="P376" s="352">
        <f>I376</f>
        <v>161.30000000000001</v>
      </c>
      <c r="Q376" s="352" t="s">
        <v>1419</v>
      </c>
      <c r="R376" s="352">
        <f>M376*P376</f>
        <v>161.30000000000001</v>
      </c>
    </row>
    <row r="377" spans="5:18" ht="31.5">
      <c r="E377" s="352"/>
      <c r="F377" s="352"/>
      <c r="G377" s="352"/>
      <c r="H377" s="351" t="s">
        <v>2645</v>
      </c>
      <c r="I377" s="352"/>
      <c r="J377" s="352"/>
      <c r="K377" s="352">
        <v>14.37</v>
      </c>
      <c r="L377" s="352"/>
      <c r="M377" s="352"/>
      <c r="N377" s="352"/>
      <c r="O377" s="351" t="s">
        <v>2645</v>
      </c>
      <c r="P377" s="352"/>
      <c r="Q377" s="352"/>
      <c r="R377" s="352">
        <f>K377</f>
        <v>14.37</v>
      </c>
    </row>
    <row r="378" spans="5:18">
      <c r="E378" s="352"/>
      <c r="F378" s="352"/>
      <c r="G378" s="352"/>
      <c r="H378" s="352" t="s">
        <v>931</v>
      </c>
      <c r="I378" s="352"/>
      <c r="J378" s="352"/>
      <c r="K378" s="352">
        <f>K370</f>
        <v>668.33</v>
      </c>
      <c r="L378" s="352"/>
      <c r="M378" s="352"/>
      <c r="N378" s="352"/>
      <c r="O378" s="352" t="s">
        <v>931</v>
      </c>
      <c r="P378" s="352"/>
      <c r="Q378" s="352"/>
      <c r="R378" s="352">
        <f>K378</f>
        <v>668.33</v>
      </c>
    </row>
    <row r="379" spans="5:18">
      <c r="E379" s="352"/>
      <c r="F379" s="352"/>
      <c r="G379" s="352"/>
      <c r="H379" s="359" t="s">
        <v>1083</v>
      </c>
      <c r="I379" s="352"/>
      <c r="J379" s="352"/>
      <c r="K379" s="360">
        <f>SUM(K375:K378)</f>
        <v>2159</v>
      </c>
      <c r="L379" s="352">
        <f>2159-K379</f>
        <v>0</v>
      </c>
      <c r="M379" s="352"/>
      <c r="N379" s="352"/>
      <c r="O379" s="359" t="s">
        <v>1083</v>
      </c>
      <c r="P379" s="352"/>
      <c r="Q379" s="352"/>
      <c r="R379" s="360">
        <f>SUM(R375:R378)</f>
        <v>3710</v>
      </c>
    </row>
    <row r="380" spans="5:18">
      <c r="E380" s="352"/>
      <c r="F380" s="352"/>
      <c r="G380" s="352"/>
      <c r="H380" s="352"/>
      <c r="I380" s="352"/>
      <c r="J380" s="352"/>
      <c r="K380" s="352"/>
      <c r="L380" s="352"/>
      <c r="M380" s="352"/>
      <c r="N380" s="352"/>
      <c r="O380" s="352"/>
      <c r="P380" s="352"/>
      <c r="Q380" s="352"/>
      <c r="R380" s="352"/>
    </row>
    <row r="381" spans="5:18">
      <c r="E381" s="352"/>
      <c r="F381" s="352"/>
      <c r="G381" s="352"/>
      <c r="H381" s="360" t="s">
        <v>2662</v>
      </c>
      <c r="I381" s="352"/>
      <c r="J381" s="352"/>
      <c r="K381" s="352"/>
      <c r="L381" s="352"/>
      <c r="M381" s="352"/>
    </row>
    <row r="382" spans="5:18">
      <c r="E382" s="352"/>
      <c r="F382" s="352"/>
      <c r="G382" s="352"/>
      <c r="H382" s="352"/>
      <c r="I382" s="352"/>
      <c r="J382" s="352"/>
      <c r="K382" s="352"/>
      <c r="L382" s="352"/>
      <c r="M382" s="352"/>
    </row>
    <row r="383" spans="5:18" ht="63">
      <c r="E383" s="352"/>
      <c r="F383" s="352"/>
      <c r="G383" s="352"/>
      <c r="H383" s="350" t="s">
        <v>3196</v>
      </c>
      <c r="I383" s="352"/>
      <c r="J383" s="352"/>
      <c r="K383" s="352"/>
      <c r="L383" s="352"/>
      <c r="M383" s="352"/>
    </row>
    <row r="384" spans="5:18" ht="78.75">
      <c r="E384" s="352"/>
      <c r="F384" s="352"/>
      <c r="G384" s="352"/>
      <c r="H384" s="351" t="s">
        <v>3462</v>
      </c>
      <c r="I384" s="352"/>
      <c r="J384" s="352"/>
      <c r="K384" s="352"/>
      <c r="L384" s="352"/>
      <c r="M384" s="352"/>
    </row>
    <row r="385" spans="5:14">
      <c r="E385" s="352"/>
      <c r="F385" s="352"/>
      <c r="G385" s="352"/>
      <c r="H385" s="352"/>
      <c r="I385" s="352"/>
      <c r="J385" s="352"/>
      <c r="K385" s="352"/>
      <c r="L385" s="352"/>
      <c r="M385" s="352"/>
    </row>
    <row r="386" spans="5:14" ht="31.5">
      <c r="E386" s="352"/>
      <c r="F386" s="352">
        <v>1</v>
      </c>
      <c r="G386" s="352" t="s">
        <v>1419</v>
      </c>
      <c r="H386" s="351" t="s">
        <v>5207</v>
      </c>
      <c r="I386" s="353">
        <v>2311</v>
      </c>
      <c r="J386" s="352" t="s">
        <v>1419</v>
      </c>
      <c r="K386" s="352">
        <f>F386*I386</f>
        <v>2311</v>
      </c>
      <c r="L386" s="352"/>
      <c r="M386" s="352"/>
    </row>
    <row r="387" spans="5:14">
      <c r="E387" s="352"/>
      <c r="F387" s="352">
        <v>1</v>
      </c>
      <c r="G387" s="352" t="s">
        <v>1419</v>
      </c>
      <c r="H387" s="352" t="s">
        <v>3463</v>
      </c>
      <c r="I387" s="456">
        <f>K391</f>
        <v>422.33</v>
      </c>
      <c r="J387" s="352" t="s">
        <v>1419</v>
      </c>
      <c r="K387" s="352">
        <f>F387*I387</f>
        <v>422.33</v>
      </c>
      <c r="L387" s="352"/>
      <c r="M387" s="352"/>
    </row>
    <row r="388" spans="5:14" ht="31.5">
      <c r="E388" s="352"/>
      <c r="F388" s="352"/>
      <c r="G388" s="352"/>
      <c r="H388" s="351" t="s">
        <v>3464</v>
      </c>
      <c r="I388" s="352"/>
      <c r="J388" s="352"/>
      <c r="K388" s="352">
        <v>28.34</v>
      </c>
      <c r="L388" s="352"/>
      <c r="M388" s="352"/>
    </row>
    <row r="389" spans="5:14">
      <c r="E389" s="352"/>
      <c r="F389" s="352"/>
      <c r="G389" s="352"/>
      <c r="H389" s="352" t="s">
        <v>931</v>
      </c>
      <c r="I389" s="352"/>
      <c r="J389" s="352"/>
      <c r="K389" s="352">
        <f>K370</f>
        <v>668.33</v>
      </c>
      <c r="L389" s="352"/>
      <c r="M389" s="352"/>
    </row>
    <row r="390" spans="5:14">
      <c r="E390" s="352"/>
      <c r="F390" s="352"/>
      <c r="G390" s="352"/>
      <c r="H390" s="359" t="s">
        <v>1083</v>
      </c>
      <c r="I390" s="352"/>
      <c r="J390" s="352"/>
      <c r="K390" s="360">
        <f>SUM(K386:K389)</f>
        <v>3430</v>
      </c>
      <c r="L390" s="352">
        <f>3343-K390</f>
        <v>-87</v>
      </c>
      <c r="M390" s="352">
        <f>3533-K390</f>
        <v>103</v>
      </c>
    </row>
    <row r="391" spans="5:14" ht="31.5">
      <c r="E391" s="352"/>
      <c r="F391" s="352"/>
      <c r="G391" s="352"/>
      <c r="H391" s="351" t="s">
        <v>5875</v>
      </c>
      <c r="I391" s="353">
        <f>N391</f>
        <v>104280</v>
      </c>
      <c r="J391" s="369">
        <f>0.75*0.45*0.012</f>
        <v>4.0499999999999998E-3</v>
      </c>
      <c r="K391" s="352">
        <f>J391*I391</f>
        <v>422.33</v>
      </c>
      <c r="L391" s="352"/>
      <c r="M391" s="352"/>
      <c r="N391" s="180">
        <f>12980 +91300</f>
        <v>104280</v>
      </c>
    </row>
    <row r="392" spans="5:14">
      <c r="E392" s="352"/>
      <c r="F392" s="352"/>
      <c r="G392" s="352"/>
      <c r="H392" s="360" t="s">
        <v>3465</v>
      </c>
      <c r="I392" s="352"/>
      <c r="J392" s="352"/>
      <c r="K392" s="352"/>
      <c r="L392" s="352"/>
      <c r="M392" s="352"/>
    </row>
    <row r="393" spans="5:14">
      <c r="E393" s="352"/>
      <c r="F393" s="352"/>
      <c r="G393" s="352"/>
      <c r="H393" s="352"/>
      <c r="I393" s="352"/>
      <c r="J393" s="352"/>
      <c r="K393" s="352"/>
      <c r="L393" s="352"/>
      <c r="M393" s="352"/>
    </row>
    <row r="394" spans="5:14" ht="78.75">
      <c r="E394" s="352"/>
      <c r="F394" s="352"/>
      <c r="G394" s="352"/>
      <c r="H394" s="350" t="s">
        <v>2630</v>
      </c>
      <c r="I394" s="352"/>
      <c r="J394" s="352"/>
      <c r="K394" s="352"/>
      <c r="L394" s="352"/>
      <c r="M394" s="352"/>
    </row>
    <row r="395" spans="5:14">
      <c r="E395" s="352"/>
      <c r="F395" s="352"/>
      <c r="G395" s="352"/>
      <c r="H395" s="352"/>
      <c r="I395" s="352"/>
      <c r="J395" s="352"/>
      <c r="K395" s="352"/>
      <c r="L395" s="352"/>
      <c r="M395" s="352"/>
    </row>
    <row r="396" spans="5:14">
      <c r="E396" s="352"/>
      <c r="F396" s="352"/>
      <c r="G396" s="352"/>
      <c r="H396" s="352" t="s">
        <v>2631</v>
      </c>
      <c r="I396" s="352"/>
      <c r="J396" s="352"/>
      <c r="K396" s="352"/>
      <c r="L396" s="352"/>
      <c r="M396" s="352"/>
    </row>
    <row r="397" spans="5:14">
      <c r="E397" s="352"/>
      <c r="F397" s="352"/>
      <c r="G397" s="352"/>
      <c r="H397" s="352"/>
      <c r="I397" s="352"/>
      <c r="J397" s="352"/>
      <c r="K397" s="352"/>
      <c r="L397" s="352"/>
      <c r="M397" s="352"/>
    </row>
    <row r="398" spans="5:14">
      <c r="E398" s="352"/>
      <c r="F398" s="352"/>
      <c r="G398" s="352"/>
      <c r="H398" s="352" t="s">
        <v>3020</v>
      </c>
      <c r="I398" s="352"/>
      <c r="J398" s="352"/>
      <c r="K398" s="352">
        <f>K390</f>
        <v>3430</v>
      </c>
      <c r="L398" s="352"/>
      <c r="M398" s="352"/>
    </row>
    <row r="399" spans="5:14">
      <c r="E399" s="352"/>
      <c r="F399" s="352">
        <v>1</v>
      </c>
      <c r="G399" s="352" t="s">
        <v>1419</v>
      </c>
      <c r="H399" s="352" t="s">
        <v>5208</v>
      </c>
      <c r="I399" s="353">
        <v>3093</v>
      </c>
      <c r="J399" s="352" t="s">
        <v>1419</v>
      </c>
      <c r="K399" s="352">
        <f>F399*I399</f>
        <v>3093</v>
      </c>
      <c r="L399" s="352"/>
      <c r="M399" s="352"/>
    </row>
    <row r="400" spans="5:14">
      <c r="E400" s="352"/>
      <c r="F400" s="352">
        <v>1</v>
      </c>
      <c r="G400" s="352" t="s">
        <v>1419</v>
      </c>
      <c r="H400" s="352" t="s">
        <v>5876</v>
      </c>
      <c r="I400" s="456">
        <f>I386</f>
        <v>2311</v>
      </c>
      <c r="J400" s="352" t="s">
        <v>1419</v>
      </c>
      <c r="K400" s="352">
        <f>F400*I400</f>
        <v>2311</v>
      </c>
      <c r="L400" s="352"/>
      <c r="M400" s="352"/>
    </row>
    <row r="401" spans="5:19">
      <c r="E401" s="352"/>
      <c r="F401" s="352"/>
      <c r="G401" s="352"/>
      <c r="H401" s="352" t="s">
        <v>2310</v>
      </c>
      <c r="I401" s="352"/>
      <c r="J401" s="352"/>
      <c r="K401" s="352"/>
      <c r="L401" s="352"/>
      <c r="M401" s="352"/>
    </row>
    <row r="402" spans="5:19">
      <c r="E402" s="352"/>
      <c r="F402" s="352"/>
      <c r="G402" s="352"/>
      <c r="H402" s="359" t="s">
        <v>1083</v>
      </c>
      <c r="I402" s="352"/>
      <c r="J402" s="352"/>
      <c r="K402" s="360">
        <f>K398+K399-K400+K401</f>
        <v>4212</v>
      </c>
      <c r="L402" s="352">
        <f>4017-K402</f>
        <v>-195</v>
      </c>
      <c r="M402" s="352"/>
    </row>
    <row r="403" spans="5:19">
      <c r="E403" s="352"/>
      <c r="F403" s="352"/>
      <c r="G403" s="352"/>
      <c r="H403" s="352"/>
      <c r="I403" s="352"/>
      <c r="J403" s="352"/>
      <c r="K403" s="352">
        <f>K402*2</f>
        <v>8424</v>
      </c>
      <c r="L403" s="352"/>
      <c r="M403" s="352"/>
    </row>
    <row r="404" spans="5:19">
      <c r="E404" s="352"/>
      <c r="F404" s="352"/>
      <c r="G404" s="352"/>
      <c r="H404" s="360" t="s">
        <v>2647</v>
      </c>
      <c r="I404" s="352"/>
      <c r="J404" s="352"/>
      <c r="K404" s="352"/>
      <c r="L404" s="352"/>
      <c r="M404" s="352"/>
    </row>
    <row r="405" spans="5:19">
      <c r="E405" s="352"/>
      <c r="F405" s="352"/>
      <c r="G405" s="352"/>
      <c r="H405" s="352"/>
      <c r="I405" s="352"/>
      <c r="J405" s="352"/>
      <c r="K405" s="352"/>
      <c r="L405" s="352"/>
      <c r="M405" s="352"/>
      <c r="P405" s="180" t="s">
        <v>4888</v>
      </c>
    </row>
    <row r="406" spans="5:19" ht="31.5">
      <c r="E406" s="352"/>
      <c r="F406" s="352"/>
      <c r="G406" s="352"/>
      <c r="H406" s="350" t="s">
        <v>3411</v>
      </c>
      <c r="I406" s="352"/>
      <c r="J406" s="352"/>
      <c r="K406" s="352"/>
      <c r="L406" s="352"/>
      <c r="M406" s="352"/>
      <c r="O406" s="350" t="s">
        <v>4883</v>
      </c>
    </row>
    <row r="407" spans="5:19">
      <c r="E407" s="352"/>
      <c r="F407" s="352"/>
      <c r="G407" s="352"/>
      <c r="H407" s="352"/>
      <c r="I407" s="352"/>
      <c r="J407" s="352"/>
      <c r="K407" s="352"/>
      <c r="L407" s="352"/>
      <c r="M407" s="352"/>
    </row>
    <row r="408" spans="5:19" ht="78.75">
      <c r="E408" s="352"/>
      <c r="F408" s="352"/>
      <c r="G408" s="352"/>
      <c r="H408" s="351" t="s">
        <v>2362</v>
      </c>
      <c r="I408" s="352"/>
      <c r="J408" s="352"/>
      <c r="K408" s="352"/>
      <c r="L408" s="352"/>
      <c r="M408" s="352">
        <v>1</v>
      </c>
      <c r="N408" s="352" t="s">
        <v>1419</v>
      </c>
      <c r="O408" s="460" t="s">
        <v>4884</v>
      </c>
      <c r="P408" s="352">
        <v>3543</v>
      </c>
      <c r="Q408" s="352" t="s">
        <v>1419</v>
      </c>
      <c r="R408" s="352">
        <f>P408*M408</f>
        <v>3543</v>
      </c>
    </row>
    <row r="409" spans="5:19">
      <c r="E409" s="352"/>
      <c r="F409" s="352">
        <v>2</v>
      </c>
      <c r="G409" s="352" t="s">
        <v>1419</v>
      </c>
      <c r="H409" s="352" t="s">
        <v>5209</v>
      </c>
      <c r="I409" s="353">
        <v>558</v>
      </c>
      <c r="J409" s="352" t="s">
        <v>2935</v>
      </c>
      <c r="K409" s="352">
        <f>F409*(I409/100)</f>
        <v>11.16</v>
      </c>
      <c r="L409" s="352"/>
      <c r="M409" s="352"/>
      <c r="N409" s="352"/>
      <c r="O409" s="352"/>
      <c r="P409" s="353"/>
      <c r="Q409" s="352"/>
      <c r="R409" s="352"/>
    </row>
    <row r="410" spans="5:19">
      <c r="E410" s="352"/>
      <c r="F410" s="352">
        <v>2</v>
      </c>
      <c r="G410" s="352" t="s">
        <v>842</v>
      </c>
      <c r="H410" s="352" t="s">
        <v>2363</v>
      </c>
      <c r="I410" s="441">
        <v>914.1</v>
      </c>
      <c r="J410" s="352" t="s">
        <v>2364</v>
      </c>
      <c r="K410" s="352">
        <f>F410*(I410/100)</f>
        <v>18.28</v>
      </c>
      <c r="L410" s="352"/>
      <c r="M410" s="352">
        <v>1</v>
      </c>
      <c r="N410" s="352" t="s">
        <v>842</v>
      </c>
      <c r="O410" s="352" t="s">
        <v>4885</v>
      </c>
      <c r="P410" s="456">
        <v>10.45</v>
      </c>
      <c r="Q410" s="352" t="s">
        <v>4886</v>
      </c>
      <c r="R410" s="352">
        <f>P410*M410</f>
        <v>10.45</v>
      </c>
      <c r="S410" s="180">
        <f>R408+R410</f>
        <v>3553.45</v>
      </c>
    </row>
    <row r="411" spans="5:19">
      <c r="E411" s="352"/>
      <c r="F411" s="352"/>
      <c r="G411" s="352"/>
      <c r="H411" s="352" t="s">
        <v>2365</v>
      </c>
      <c r="I411" s="352"/>
      <c r="J411" s="352"/>
      <c r="K411" s="352">
        <v>8.61</v>
      </c>
      <c r="L411" s="352"/>
      <c r="M411" s="352"/>
      <c r="N411" s="352"/>
      <c r="O411" s="352" t="s">
        <v>4887</v>
      </c>
      <c r="P411" s="352"/>
      <c r="Q411" s="352"/>
      <c r="R411" s="352">
        <f>S410*1%</f>
        <v>35.53</v>
      </c>
    </row>
    <row r="412" spans="5:19">
      <c r="E412" s="352"/>
      <c r="F412" s="352"/>
      <c r="G412" s="352"/>
      <c r="H412" s="352" t="s">
        <v>3426</v>
      </c>
      <c r="I412" s="352"/>
      <c r="J412" s="352"/>
      <c r="K412" s="352">
        <f>K421</f>
        <v>260.75</v>
      </c>
      <c r="L412" s="352"/>
      <c r="M412" s="352"/>
      <c r="N412" s="352"/>
      <c r="O412" s="352" t="s">
        <v>3426</v>
      </c>
      <c r="P412" s="352"/>
      <c r="Q412" s="352"/>
      <c r="R412" s="352">
        <f>K412</f>
        <v>260.75</v>
      </c>
    </row>
    <row r="413" spans="5:19">
      <c r="E413" s="352"/>
      <c r="F413" s="352"/>
      <c r="G413" s="352"/>
      <c r="H413" s="352"/>
      <c r="I413" s="352"/>
      <c r="J413" s="352"/>
      <c r="K413" s="352"/>
      <c r="L413" s="352"/>
      <c r="M413" s="352"/>
      <c r="N413" s="352"/>
      <c r="O413" s="352"/>
      <c r="P413" s="352"/>
      <c r="Q413" s="352"/>
      <c r="R413" s="352">
        <v>0.27</v>
      </c>
    </row>
    <row r="414" spans="5:19">
      <c r="E414" s="352"/>
      <c r="F414" s="352"/>
      <c r="G414" s="352"/>
      <c r="H414" s="359" t="s">
        <v>1083</v>
      </c>
      <c r="I414" s="352"/>
      <c r="J414" s="352"/>
      <c r="K414" s="360">
        <f>SUM(K409:K412)</f>
        <v>298.8</v>
      </c>
      <c r="L414" s="352">
        <f>384.3+249</f>
        <v>633.29999999999995</v>
      </c>
      <c r="M414" s="352"/>
      <c r="N414" s="352"/>
      <c r="O414" s="359" t="s">
        <v>1083</v>
      </c>
      <c r="P414" s="352"/>
      <c r="Q414" s="352"/>
      <c r="R414" s="360">
        <f>SUM(R408:R413)</f>
        <v>3850</v>
      </c>
    </row>
    <row r="415" spans="5:19">
      <c r="E415" s="352"/>
      <c r="F415" s="352"/>
      <c r="G415" s="352"/>
      <c r="H415" s="352"/>
      <c r="I415" s="352"/>
      <c r="J415" s="352"/>
      <c r="K415" s="352"/>
      <c r="L415" s="352"/>
      <c r="M415" s="352"/>
    </row>
    <row r="416" spans="5:19">
      <c r="E416" s="352"/>
      <c r="F416" s="352"/>
      <c r="H416" s="358" t="s">
        <v>3427</v>
      </c>
      <c r="I416" s="352"/>
      <c r="J416" s="352"/>
      <c r="K416" s="352"/>
      <c r="L416" s="352"/>
      <c r="M416" s="352"/>
    </row>
    <row r="417" spans="5:18">
      <c r="E417" s="352"/>
      <c r="F417" s="352">
        <v>1</v>
      </c>
      <c r="G417" s="352" t="s">
        <v>1419</v>
      </c>
      <c r="H417" s="352" t="s">
        <v>2814</v>
      </c>
      <c r="I417" s="352">
        <f>I36</f>
        <v>783</v>
      </c>
      <c r="J417" s="352" t="s">
        <v>1419</v>
      </c>
      <c r="K417" s="352">
        <f>F417*I417</f>
        <v>783</v>
      </c>
      <c r="L417" s="352"/>
      <c r="M417" s="352"/>
    </row>
    <row r="418" spans="5:18">
      <c r="E418" s="352"/>
      <c r="F418" s="352">
        <v>2</v>
      </c>
      <c r="G418" s="352" t="s">
        <v>1419</v>
      </c>
      <c r="H418" s="352" t="s">
        <v>2633</v>
      </c>
      <c r="I418" s="352">
        <f>I37</f>
        <v>778</v>
      </c>
      <c r="J418" s="352" t="s">
        <v>1419</v>
      </c>
      <c r="K418" s="352">
        <f>F418*I418</f>
        <v>1556</v>
      </c>
      <c r="L418" s="352"/>
      <c r="M418" s="352"/>
    </row>
    <row r="419" spans="5:18">
      <c r="E419" s="352"/>
      <c r="F419" s="352">
        <v>3</v>
      </c>
      <c r="G419" s="352" t="s">
        <v>1419</v>
      </c>
      <c r="H419" s="352" t="s">
        <v>3137</v>
      </c>
      <c r="I419" s="352">
        <f>I38</f>
        <v>611</v>
      </c>
      <c r="J419" s="352" t="s">
        <v>1419</v>
      </c>
      <c r="K419" s="352">
        <f>F419*I419</f>
        <v>1833</v>
      </c>
      <c r="L419" s="352"/>
      <c r="M419"/>
      <c r="N419"/>
      <c r="O419" s="1564" t="s">
        <v>5957</v>
      </c>
      <c r="P419" s="1564"/>
      <c r="Q419" s="1564"/>
      <c r="R419"/>
    </row>
    <row r="420" spans="5:18">
      <c r="E420" s="352"/>
      <c r="F420" s="352"/>
      <c r="G420" s="352"/>
      <c r="H420" s="357" t="s">
        <v>3428</v>
      </c>
      <c r="I420" s="352"/>
      <c r="J420" s="352"/>
      <c r="K420" s="358">
        <f>SUM(K417:K419)</f>
        <v>4172</v>
      </c>
      <c r="L420" s="352"/>
      <c r="M420">
        <v>1</v>
      </c>
      <c r="N420" t="s">
        <v>1419</v>
      </c>
      <c r="O420" t="s">
        <v>5958</v>
      </c>
      <c r="P420">
        <v>606</v>
      </c>
      <c r="Q420" t="s">
        <v>1423</v>
      </c>
      <c r="R420">
        <f>M420*P420</f>
        <v>606</v>
      </c>
    </row>
    <row r="421" spans="5:18">
      <c r="E421" s="352"/>
      <c r="F421" s="352"/>
      <c r="G421" s="352"/>
      <c r="H421" s="359" t="s">
        <v>2841</v>
      </c>
      <c r="I421" s="352"/>
      <c r="J421" s="352"/>
      <c r="K421" s="360">
        <f>K420/16</f>
        <v>260.75</v>
      </c>
      <c r="L421" s="352"/>
      <c r="M421">
        <v>1</v>
      </c>
      <c r="N421" t="s">
        <v>1419</v>
      </c>
      <c r="O421" t="s">
        <v>5959</v>
      </c>
      <c r="P421">
        <v>1807</v>
      </c>
      <c r="Q421" t="s">
        <v>1423</v>
      </c>
      <c r="R421">
        <f t="shared" ref="R421:R425" si="14">M421*P421</f>
        <v>1807</v>
      </c>
    </row>
    <row r="422" spans="5:18">
      <c r="E422" s="352"/>
      <c r="F422" s="352"/>
      <c r="G422" s="352"/>
      <c r="H422" s="352"/>
      <c r="I422" s="352"/>
      <c r="J422" s="352"/>
      <c r="K422" s="352"/>
      <c r="L422" s="352"/>
      <c r="M422">
        <v>12</v>
      </c>
      <c r="N422" t="s">
        <v>1457</v>
      </c>
      <c r="O422" t="s">
        <v>5960</v>
      </c>
      <c r="P422">
        <v>128</v>
      </c>
      <c r="Q422" t="s">
        <v>1423</v>
      </c>
      <c r="R422">
        <f t="shared" si="14"/>
        <v>1536</v>
      </c>
    </row>
    <row r="423" spans="5:18">
      <c r="E423" s="352"/>
      <c r="F423" s="352"/>
      <c r="G423" s="352"/>
      <c r="H423" s="360" t="s">
        <v>3429</v>
      </c>
      <c r="I423" s="352"/>
      <c r="J423" s="352"/>
      <c r="K423" s="352"/>
      <c r="L423" s="352"/>
      <c r="M423">
        <v>1</v>
      </c>
      <c r="N423" t="s">
        <v>570</v>
      </c>
      <c r="O423" t="s">
        <v>5961</v>
      </c>
      <c r="P423">
        <v>2178</v>
      </c>
      <c r="Q423" t="s">
        <v>1423</v>
      </c>
      <c r="R423">
        <f t="shared" si="14"/>
        <v>2178</v>
      </c>
    </row>
    <row r="424" spans="5:18" ht="31.5">
      <c r="E424" s="352"/>
      <c r="F424" s="352"/>
      <c r="G424" s="352"/>
      <c r="H424" s="350" t="s">
        <v>3430</v>
      </c>
      <c r="I424" s="352"/>
      <c r="J424" s="352"/>
      <c r="K424" s="352"/>
      <c r="L424" s="352"/>
      <c r="M424">
        <v>1</v>
      </c>
      <c r="N424" t="s">
        <v>669</v>
      </c>
      <c r="O424" t="s">
        <v>5962</v>
      </c>
      <c r="P424">
        <v>60.8</v>
      </c>
      <c r="Q424" t="s">
        <v>455</v>
      </c>
      <c r="R424">
        <f t="shared" si="14"/>
        <v>60.8</v>
      </c>
    </row>
    <row r="425" spans="5:18">
      <c r="E425" s="352"/>
      <c r="F425" s="352"/>
      <c r="G425" s="352"/>
      <c r="H425" s="352"/>
      <c r="I425" s="352"/>
      <c r="J425" s="352"/>
      <c r="K425" s="352"/>
      <c r="L425" s="352"/>
      <c r="M425">
        <v>1</v>
      </c>
      <c r="N425" t="s">
        <v>1419</v>
      </c>
      <c r="O425" t="s">
        <v>5963</v>
      </c>
      <c r="P425">
        <v>26</v>
      </c>
      <c r="Q425" t="s">
        <v>1423</v>
      </c>
      <c r="R425">
        <f t="shared" si="14"/>
        <v>26</v>
      </c>
    </row>
    <row r="426" spans="5:18" ht="110.25">
      <c r="E426" s="352"/>
      <c r="F426" s="352"/>
      <c r="G426" s="352"/>
      <c r="H426" s="351" t="s">
        <v>2789</v>
      </c>
      <c r="I426" s="352"/>
      <c r="J426" s="352"/>
      <c r="K426" s="352"/>
      <c r="L426" s="352"/>
      <c r="M426"/>
      <c r="N426"/>
      <c r="O426"/>
      <c r="P426"/>
      <c r="Q426"/>
      <c r="R426" s="36">
        <f>SUM(R420:R425)</f>
        <v>6213.8</v>
      </c>
    </row>
    <row r="427" spans="5:18">
      <c r="E427" s="352"/>
      <c r="F427" s="352">
        <v>1.5</v>
      </c>
      <c r="G427" s="352" t="s">
        <v>842</v>
      </c>
      <c r="H427" s="352" t="s">
        <v>5210</v>
      </c>
      <c r="I427" s="353">
        <v>36.200000000000003</v>
      </c>
      <c r="J427" s="352" t="s">
        <v>842</v>
      </c>
      <c r="K427" s="352">
        <f>F427*I427</f>
        <v>54.3</v>
      </c>
      <c r="L427" s="352"/>
      <c r="M427"/>
      <c r="N427"/>
      <c r="O427" t="s">
        <v>5964</v>
      </c>
      <c r="P427"/>
      <c r="Q427"/>
      <c r="R427">
        <v>62.14</v>
      </c>
    </row>
    <row r="428" spans="5:18">
      <c r="E428" s="352"/>
      <c r="F428" s="352">
        <v>2</v>
      </c>
      <c r="G428" s="352" t="s">
        <v>1419</v>
      </c>
      <c r="H428" s="352" t="s">
        <v>2790</v>
      </c>
      <c r="I428" s="352">
        <f>I409</f>
        <v>558</v>
      </c>
      <c r="J428" s="352" t="s">
        <v>2935</v>
      </c>
      <c r="K428" s="352">
        <f>F428*(I428/100)</f>
        <v>11.16</v>
      </c>
      <c r="L428" s="352"/>
      <c r="M428"/>
      <c r="N428"/>
      <c r="O428" t="s">
        <v>5965</v>
      </c>
      <c r="P428"/>
      <c r="Q428"/>
      <c r="R428">
        <v>2086</v>
      </c>
    </row>
    <row r="429" spans="5:18">
      <c r="E429" s="352"/>
      <c r="F429" s="352">
        <v>2</v>
      </c>
      <c r="G429" s="352" t="s">
        <v>842</v>
      </c>
      <c r="H429" s="352" t="s">
        <v>2363</v>
      </c>
      <c r="I429" s="352">
        <f>I410</f>
        <v>914.1</v>
      </c>
      <c r="J429" s="352" t="s">
        <v>842</v>
      </c>
      <c r="K429" s="352">
        <f>F429*(I429/100)</f>
        <v>18.28</v>
      </c>
      <c r="L429" s="352"/>
      <c r="M429"/>
      <c r="N429"/>
      <c r="O429" t="s">
        <v>5966</v>
      </c>
      <c r="P429"/>
      <c r="Q429"/>
      <c r="R429">
        <f>SUM(R426:R428)</f>
        <v>8361.94</v>
      </c>
    </row>
    <row r="430" spans="5:18" ht="31.5">
      <c r="E430" s="352"/>
      <c r="F430" s="352"/>
      <c r="G430" s="352"/>
      <c r="H430" s="351" t="s">
        <v>2791</v>
      </c>
      <c r="I430" s="352"/>
      <c r="J430" s="352"/>
      <c r="K430" s="352">
        <v>6.06</v>
      </c>
      <c r="L430" s="352"/>
      <c r="M430"/>
      <c r="N430"/>
      <c r="O430"/>
      <c r="P430" t="s">
        <v>4399</v>
      </c>
      <c r="Q430" t="s">
        <v>736</v>
      </c>
      <c r="R430" s="36">
        <v>8362</v>
      </c>
    </row>
    <row r="431" spans="5:18">
      <c r="E431" s="352"/>
      <c r="F431" s="352"/>
      <c r="G431" s="352"/>
      <c r="H431" s="352" t="s">
        <v>931</v>
      </c>
      <c r="I431" s="352"/>
      <c r="J431" s="352"/>
      <c r="K431" s="352">
        <f>K439</f>
        <v>417.2</v>
      </c>
      <c r="L431" s="352"/>
      <c r="M431" s="352"/>
    </row>
    <row r="432" spans="5:18">
      <c r="E432" s="352"/>
      <c r="F432" s="352"/>
      <c r="G432" s="352"/>
      <c r="H432" s="359" t="s">
        <v>1083</v>
      </c>
      <c r="I432" s="352"/>
      <c r="J432" s="352"/>
      <c r="K432" s="360">
        <f>SUM(K427:K431)</f>
        <v>507</v>
      </c>
      <c r="L432" s="352">
        <f>K432-320</f>
        <v>187</v>
      </c>
      <c r="M432" s="352"/>
    </row>
    <row r="433" spans="5:13">
      <c r="E433" s="352"/>
      <c r="F433" s="352"/>
      <c r="G433" s="352"/>
      <c r="H433" s="352"/>
      <c r="I433" s="352"/>
      <c r="J433" s="352"/>
      <c r="K433" s="352"/>
      <c r="L433" s="352"/>
      <c r="M433" s="352"/>
    </row>
    <row r="434" spans="5:13">
      <c r="E434" s="352"/>
      <c r="F434" s="352"/>
      <c r="G434" s="352"/>
      <c r="H434" s="360" t="s">
        <v>142</v>
      </c>
      <c r="I434" s="352"/>
      <c r="J434" s="352"/>
      <c r="K434" s="352"/>
      <c r="L434" s="352"/>
      <c r="M434" s="352"/>
    </row>
    <row r="435" spans="5:13">
      <c r="E435" s="352"/>
      <c r="F435" s="352">
        <v>1</v>
      </c>
      <c r="G435" s="352" t="s">
        <v>1419</v>
      </c>
      <c r="H435" s="352" t="s">
        <v>2814</v>
      </c>
      <c r="I435" s="352">
        <f>I417</f>
        <v>783</v>
      </c>
      <c r="J435" s="352" t="s">
        <v>1419</v>
      </c>
      <c r="K435" s="352">
        <f>F435*I435</f>
        <v>783</v>
      </c>
      <c r="L435" s="352"/>
      <c r="M435" s="352"/>
    </row>
    <row r="436" spans="5:13">
      <c r="E436" s="352"/>
      <c r="F436" s="352">
        <v>2</v>
      </c>
      <c r="G436" s="352" t="s">
        <v>1419</v>
      </c>
      <c r="H436" s="352" t="s">
        <v>2633</v>
      </c>
      <c r="I436" s="352">
        <f>I418</f>
        <v>778</v>
      </c>
      <c r="J436" s="352" t="s">
        <v>1419</v>
      </c>
      <c r="K436" s="352">
        <f>F436*I436</f>
        <v>1556</v>
      </c>
      <c r="L436" s="352"/>
      <c r="M436" s="352"/>
    </row>
    <row r="437" spans="5:13">
      <c r="E437" s="352"/>
      <c r="F437" s="352">
        <v>3</v>
      </c>
      <c r="G437" s="352" t="s">
        <v>1419</v>
      </c>
      <c r="H437" s="352" t="s">
        <v>3137</v>
      </c>
      <c r="I437" s="352">
        <f>I419</f>
        <v>611</v>
      </c>
      <c r="J437" s="352" t="s">
        <v>1419</v>
      </c>
      <c r="K437" s="352">
        <f>F437*I437</f>
        <v>1833</v>
      </c>
      <c r="L437" s="352"/>
      <c r="M437" s="352"/>
    </row>
    <row r="438" spans="5:13">
      <c r="E438" s="352"/>
      <c r="F438" s="352"/>
      <c r="G438" s="352"/>
      <c r="H438" s="357" t="s">
        <v>2792</v>
      </c>
      <c r="I438" s="352"/>
      <c r="J438" s="352"/>
      <c r="K438" s="358">
        <f>SUM(K435:K437)</f>
        <v>4172</v>
      </c>
      <c r="L438" s="352"/>
      <c r="M438" s="352"/>
    </row>
    <row r="439" spans="5:13">
      <c r="E439" s="352"/>
      <c r="F439" s="352"/>
      <c r="G439" s="352"/>
      <c r="H439" s="359" t="s">
        <v>2841</v>
      </c>
      <c r="I439" s="352"/>
      <c r="J439" s="352"/>
      <c r="K439" s="360">
        <f>K438/10</f>
        <v>417.2</v>
      </c>
      <c r="L439" s="352"/>
      <c r="M439" s="352"/>
    </row>
    <row r="440" spans="5:13">
      <c r="E440" s="352"/>
      <c r="F440" s="352"/>
      <c r="G440" s="352"/>
      <c r="H440" s="352"/>
      <c r="I440" s="352"/>
      <c r="J440" s="352"/>
      <c r="K440" s="352"/>
      <c r="L440" s="352"/>
      <c r="M440" s="352"/>
    </row>
    <row r="441" spans="5:13">
      <c r="E441" s="352"/>
      <c r="F441" s="352"/>
      <c r="G441" s="352"/>
      <c r="H441" s="360" t="s">
        <v>3465</v>
      </c>
      <c r="I441" s="352"/>
      <c r="J441" s="352"/>
      <c r="K441" s="352"/>
      <c r="L441" s="352"/>
      <c r="M441" s="352"/>
    </row>
    <row r="442" spans="5:13" ht="63">
      <c r="E442" s="352"/>
      <c r="F442" s="352"/>
      <c r="G442" s="352"/>
      <c r="H442" s="351" t="s">
        <v>3176</v>
      </c>
      <c r="I442" s="352"/>
      <c r="J442" s="352"/>
      <c r="K442" s="352"/>
      <c r="L442" s="352"/>
      <c r="M442" s="352"/>
    </row>
    <row r="443" spans="5:13">
      <c r="E443" s="352"/>
      <c r="F443" s="352"/>
      <c r="G443" s="352"/>
      <c r="H443" s="352"/>
      <c r="I443" s="352"/>
      <c r="J443" s="352"/>
      <c r="K443" s="352"/>
      <c r="L443" s="352"/>
      <c r="M443" s="352"/>
    </row>
    <row r="444" spans="5:13">
      <c r="E444" s="352"/>
      <c r="F444" s="352">
        <v>1</v>
      </c>
      <c r="G444" s="352" t="s">
        <v>842</v>
      </c>
      <c r="H444" s="352" t="s">
        <v>2363</v>
      </c>
      <c r="I444" s="352">
        <f>I429</f>
        <v>914.1</v>
      </c>
      <c r="J444" s="352" t="s">
        <v>3177</v>
      </c>
      <c r="K444" s="352">
        <f>F444*(I444/100)</f>
        <v>9.14</v>
      </c>
      <c r="L444" s="352"/>
      <c r="M444" s="352"/>
    </row>
    <row r="445" spans="5:13">
      <c r="E445" s="352"/>
      <c r="F445" s="352"/>
      <c r="G445" s="352"/>
      <c r="H445" s="352" t="s">
        <v>142</v>
      </c>
      <c r="I445" s="352"/>
      <c r="J445" s="352"/>
      <c r="K445" s="352">
        <f>K452</f>
        <v>556.6</v>
      </c>
      <c r="L445" s="352"/>
      <c r="M445" s="352"/>
    </row>
    <row r="446" spans="5:13">
      <c r="E446" s="352"/>
      <c r="F446" s="352"/>
      <c r="G446" s="352"/>
      <c r="H446" s="352" t="s">
        <v>2366</v>
      </c>
      <c r="J446" s="352"/>
      <c r="K446" s="352">
        <v>5.26</v>
      </c>
      <c r="L446" s="352"/>
      <c r="M446" s="352"/>
    </row>
    <row r="447" spans="5:13">
      <c r="E447" s="352"/>
      <c r="F447" s="352"/>
      <c r="G447" s="352"/>
      <c r="H447" s="358" t="s">
        <v>3178</v>
      </c>
      <c r="I447" s="360" t="s">
        <v>1083</v>
      </c>
      <c r="J447" s="352"/>
      <c r="K447" s="360">
        <f>SUM(K444:K446)</f>
        <v>571</v>
      </c>
      <c r="L447" s="352">
        <f>467-K447</f>
        <v>-104</v>
      </c>
      <c r="M447" s="352"/>
    </row>
    <row r="448" spans="5:13">
      <c r="E448" s="352"/>
      <c r="F448" s="352">
        <v>1</v>
      </c>
      <c r="G448" s="352" t="s">
        <v>1419</v>
      </c>
      <c r="H448" s="352" t="s">
        <v>2814</v>
      </c>
      <c r="I448" s="352">
        <f>I435</f>
        <v>783</v>
      </c>
      <c r="J448" s="352" t="s">
        <v>1419</v>
      </c>
      <c r="K448" s="352">
        <f>F448*I448</f>
        <v>783</v>
      </c>
      <c r="L448" s="352"/>
      <c r="M448" s="352"/>
    </row>
    <row r="449" spans="5:13">
      <c r="E449" s="352"/>
      <c r="F449" s="352">
        <v>1</v>
      </c>
      <c r="G449" s="352" t="s">
        <v>1419</v>
      </c>
      <c r="H449" s="352" t="s">
        <v>2633</v>
      </c>
      <c r="I449" s="352">
        <f>I436</f>
        <v>778</v>
      </c>
      <c r="J449" s="352" t="s">
        <v>1419</v>
      </c>
      <c r="K449" s="352">
        <f>F449*I449</f>
        <v>778</v>
      </c>
      <c r="L449" s="352"/>
      <c r="M449" s="352"/>
    </row>
    <row r="450" spans="5:13">
      <c r="E450" s="352"/>
      <c r="F450" s="352">
        <v>2</v>
      </c>
      <c r="G450" s="352" t="s">
        <v>1419</v>
      </c>
      <c r="H450" s="352" t="s">
        <v>3137</v>
      </c>
      <c r="I450" s="352">
        <f>I437</f>
        <v>611</v>
      </c>
      <c r="J450" s="352" t="s">
        <v>1419</v>
      </c>
      <c r="K450" s="352">
        <f>F450*I450</f>
        <v>1222</v>
      </c>
      <c r="L450" s="352"/>
      <c r="M450" s="352"/>
    </row>
    <row r="451" spans="5:13">
      <c r="E451" s="352"/>
      <c r="F451" s="352"/>
      <c r="G451" s="352"/>
      <c r="H451" s="357" t="s">
        <v>3179</v>
      </c>
      <c r="I451" s="352"/>
      <c r="J451" s="352"/>
      <c r="K451" s="358">
        <f>SUM(K448:K450)</f>
        <v>2783</v>
      </c>
      <c r="L451" s="352"/>
      <c r="M451" s="352"/>
    </row>
    <row r="452" spans="5:13">
      <c r="E452" s="352"/>
      <c r="F452" s="352"/>
      <c r="G452" s="352"/>
      <c r="H452" s="359" t="s">
        <v>1083</v>
      </c>
      <c r="I452" s="352"/>
      <c r="J452" s="352"/>
      <c r="K452" s="360">
        <f>K451/5</f>
        <v>556.6</v>
      </c>
      <c r="L452" s="352"/>
      <c r="M452" s="352"/>
    </row>
    <row r="453" spans="5:13">
      <c r="E453" s="352"/>
      <c r="F453" s="352"/>
      <c r="G453" s="352"/>
      <c r="H453" s="370" t="s">
        <v>3180</v>
      </c>
      <c r="I453" s="352"/>
      <c r="J453" s="352"/>
      <c r="K453" s="352"/>
      <c r="L453" s="352"/>
      <c r="M453" s="352"/>
    </row>
    <row r="454" spans="5:13">
      <c r="E454" s="352"/>
      <c r="F454" s="352"/>
      <c r="G454" s="352"/>
      <c r="H454" s="360" t="s">
        <v>3181</v>
      </c>
      <c r="I454" s="352"/>
      <c r="J454" s="352"/>
      <c r="K454" s="352"/>
      <c r="L454" s="352"/>
      <c r="M454" s="352"/>
    </row>
    <row r="455" spans="5:13">
      <c r="E455" s="352"/>
      <c r="F455" s="352"/>
      <c r="G455" s="352"/>
      <c r="H455" s="360" t="s">
        <v>3182</v>
      </c>
      <c r="I455" s="352"/>
      <c r="J455" s="352"/>
      <c r="K455" s="352"/>
      <c r="L455" s="352"/>
      <c r="M455" s="352"/>
    </row>
    <row r="456" spans="5:13">
      <c r="E456" s="352"/>
      <c r="F456" s="352"/>
      <c r="G456" s="352"/>
      <c r="H456" s="361" t="s">
        <v>3183</v>
      </c>
      <c r="I456" s="352"/>
      <c r="J456" s="352"/>
      <c r="K456" s="352"/>
      <c r="L456" s="352"/>
      <c r="M456" s="352"/>
    </row>
    <row r="457" spans="5:13" ht="63">
      <c r="E457" s="352"/>
      <c r="F457" s="352"/>
      <c r="G457" s="352"/>
      <c r="H457" s="351" t="s">
        <v>3517</v>
      </c>
      <c r="I457" s="352"/>
      <c r="J457" s="352"/>
      <c r="K457" s="352"/>
      <c r="L457" s="352"/>
      <c r="M457" s="352"/>
    </row>
    <row r="458" spans="5:13">
      <c r="E458" s="352"/>
      <c r="F458" s="352"/>
      <c r="G458" s="352"/>
      <c r="H458" s="352"/>
      <c r="I458" s="352"/>
      <c r="J458" s="352"/>
      <c r="K458" s="352"/>
      <c r="L458" s="352"/>
      <c r="M458" s="352"/>
    </row>
    <row r="459" spans="5:13">
      <c r="E459" s="352"/>
      <c r="F459" s="352">
        <v>9.5</v>
      </c>
      <c r="G459" s="352" t="s">
        <v>1676</v>
      </c>
      <c r="H459" s="352" t="s">
        <v>4815</v>
      </c>
      <c r="I459" s="353">
        <v>101.5</v>
      </c>
      <c r="J459" s="352" t="s">
        <v>1676</v>
      </c>
      <c r="K459" s="352">
        <f>F459*I459</f>
        <v>964.25</v>
      </c>
      <c r="L459" s="352"/>
      <c r="M459" s="352"/>
    </row>
    <row r="460" spans="5:13">
      <c r="E460" s="352"/>
      <c r="F460" s="352">
        <v>0.5</v>
      </c>
      <c r="G460" s="352" t="s">
        <v>1676</v>
      </c>
      <c r="H460" s="352" t="s">
        <v>5798</v>
      </c>
      <c r="I460" s="521">
        <v>21.3</v>
      </c>
      <c r="J460" s="352"/>
      <c r="K460" s="352">
        <f>F460*I460</f>
        <v>10.65</v>
      </c>
      <c r="L460" s="352"/>
      <c r="M460" s="352"/>
    </row>
    <row r="461" spans="5:13">
      <c r="E461" s="352"/>
      <c r="F461" s="352"/>
      <c r="G461" s="352"/>
      <c r="H461" s="352" t="s">
        <v>1856</v>
      </c>
      <c r="I461" s="352"/>
      <c r="J461" s="352"/>
      <c r="K461" s="352">
        <f>K469</f>
        <v>1389</v>
      </c>
      <c r="L461" s="352"/>
      <c r="M461" s="352"/>
    </row>
    <row r="462" spans="5:13">
      <c r="E462" s="352"/>
      <c r="F462" s="352"/>
      <c r="G462" s="352"/>
      <c r="H462" s="352" t="s">
        <v>2310</v>
      </c>
      <c r="I462" s="352"/>
      <c r="J462" s="352"/>
      <c r="K462" s="352">
        <v>3.2</v>
      </c>
      <c r="L462" s="352">
        <f>24.2*90</f>
        <v>2178</v>
      </c>
      <c r="M462" s="352"/>
    </row>
    <row r="463" spans="5:13">
      <c r="E463" s="352"/>
      <c r="F463" s="352"/>
      <c r="G463" s="352"/>
      <c r="H463" s="357" t="s">
        <v>3433</v>
      </c>
      <c r="I463" s="352"/>
      <c r="J463" s="352"/>
      <c r="K463" s="358">
        <f>SUM(K459:K462)</f>
        <v>2367.1</v>
      </c>
      <c r="L463" s="352">
        <f>L462-K463</f>
        <v>-189.1</v>
      </c>
      <c r="M463" s="352"/>
    </row>
    <row r="464" spans="5:13">
      <c r="E464" s="352"/>
      <c r="F464" s="352"/>
      <c r="G464" s="352"/>
      <c r="H464" s="359" t="s">
        <v>2809</v>
      </c>
      <c r="I464" s="352"/>
      <c r="J464" s="352"/>
      <c r="K464" s="360">
        <f>K463/90</f>
        <v>26.3</v>
      </c>
      <c r="L464" s="352">
        <f>26.3*90</f>
        <v>2367</v>
      </c>
      <c r="M464" s="352">
        <f>L464-K463</f>
        <v>-0.1</v>
      </c>
    </row>
    <row r="465" spans="5:13">
      <c r="E465" s="352"/>
      <c r="F465" s="352"/>
      <c r="G465" s="352"/>
      <c r="H465" s="352"/>
      <c r="I465" s="352"/>
      <c r="J465" s="352"/>
      <c r="K465" s="360"/>
      <c r="L465" s="352">
        <f>L464-K463</f>
        <v>-0.1</v>
      </c>
      <c r="M465" s="352"/>
    </row>
    <row r="466" spans="5:13">
      <c r="E466" s="352"/>
      <c r="F466" s="352"/>
      <c r="G466" s="352"/>
      <c r="H466" s="358" t="s">
        <v>2691</v>
      </c>
      <c r="I466" s="352"/>
      <c r="J466" s="352"/>
      <c r="K466" s="352"/>
      <c r="L466" s="352"/>
      <c r="M466" s="352"/>
    </row>
    <row r="467" spans="5:13">
      <c r="E467" s="352"/>
      <c r="F467" s="352">
        <v>1</v>
      </c>
      <c r="G467" s="352"/>
      <c r="H467" s="352" t="s">
        <v>2633</v>
      </c>
      <c r="I467" s="352">
        <f>I449</f>
        <v>778</v>
      </c>
      <c r="J467" s="352" t="s">
        <v>1419</v>
      </c>
      <c r="K467" s="352">
        <f>F467*I467</f>
        <v>778</v>
      </c>
      <c r="L467" s="352"/>
      <c r="M467" s="352"/>
    </row>
    <row r="468" spans="5:13">
      <c r="E468" s="352"/>
      <c r="F468" s="352">
        <v>1</v>
      </c>
      <c r="G468" s="352"/>
      <c r="H468" s="352" t="s">
        <v>3137</v>
      </c>
      <c r="I468" s="352">
        <f>I450</f>
        <v>611</v>
      </c>
      <c r="J468" s="352" t="s">
        <v>1419</v>
      </c>
      <c r="K468" s="352">
        <f>F468*I468</f>
        <v>611</v>
      </c>
      <c r="L468" s="352"/>
      <c r="M468" s="352"/>
    </row>
    <row r="469" spans="5:13" ht="24.75">
      <c r="E469" s="352"/>
      <c r="F469" s="352"/>
      <c r="G469" s="352"/>
      <c r="H469" s="352"/>
      <c r="I469" s="352"/>
      <c r="J469" s="352"/>
      <c r="K469" s="360">
        <f>SUM(K467:K468)</f>
        <v>1389</v>
      </c>
      <c r="L469" s="792" t="s">
        <v>5799</v>
      </c>
      <c r="M469" s="352"/>
    </row>
    <row r="470" spans="5:13">
      <c r="E470" s="352"/>
      <c r="F470" s="352" t="s">
        <v>2692</v>
      </c>
      <c r="G470" s="352"/>
      <c r="H470" s="352"/>
      <c r="I470" s="352"/>
      <c r="J470" s="352"/>
      <c r="K470" s="352"/>
      <c r="L470" s="352"/>
      <c r="M470" s="352"/>
    </row>
    <row r="471" spans="5:13">
      <c r="E471" s="352"/>
      <c r="F471" s="352"/>
      <c r="G471" s="352"/>
      <c r="H471" s="352"/>
      <c r="I471" s="352"/>
      <c r="J471" s="352"/>
      <c r="K471" s="352"/>
      <c r="L471" s="352"/>
      <c r="M471" s="352"/>
    </row>
    <row r="472" spans="5:13">
      <c r="E472" s="352"/>
      <c r="F472" s="352"/>
      <c r="G472" s="352"/>
      <c r="H472" s="360" t="s">
        <v>2693</v>
      </c>
      <c r="I472" s="352"/>
      <c r="J472" s="352"/>
      <c r="K472" s="352"/>
      <c r="L472" s="352"/>
      <c r="M472" s="352"/>
    </row>
    <row r="473" spans="5:13">
      <c r="E473" s="352"/>
      <c r="F473" s="352"/>
      <c r="G473" s="352"/>
      <c r="H473" s="360" t="s">
        <v>2694</v>
      </c>
      <c r="I473" s="352"/>
      <c r="J473" s="352"/>
      <c r="K473" s="352"/>
      <c r="L473" s="352"/>
      <c r="M473" s="352"/>
    </row>
    <row r="474" spans="5:13">
      <c r="E474" s="352"/>
      <c r="F474" s="352"/>
      <c r="G474" s="352"/>
      <c r="H474" s="352"/>
      <c r="I474" s="352"/>
      <c r="J474" s="352"/>
      <c r="K474" s="352"/>
      <c r="L474" s="352"/>
      <c r="M474" s="352"/>
    </row>
    <row r="475" spans="5:13" ht="47.25">
      <c r="E475" s="352"/>
      <c r="F475" s="352"/>
      <c r="G475" s="352"/>
      <c r="H475" s="351" t="s">
        <v>2695</v>
      </c>
      <c r="I475" s="352"/>
      <c r="J475" s="352"/>
      <c r="K475" s="352"/>
      <c r="L475" s="352"/>
      <c r="M475" s="352"/>
    </row>
    <row r="476" spans="5:13">
      <c r="E476" s="352"/>
      <c r="F476" s="352">
        <v>2.5</v>
      </c>
      <c r="G476" s="352" t="s">
        <v>842</v>
      </c>
      <c r="H476" s="352" t="s">
        <v>5211</v>
      </c>
      <c r="I476" s="353">
        <v>163</v>
      </c>
      <c r="J476" s="352" t="s">
        <v>842</v>
      </c>
      <c r="K476" s="352">
        <f>F476*I476</f>
        <v>407.5</v>
      </c>
      <c r="L476" s="352"/>
      <c r="M476" s="352"/>
    </row>
    <row r="477" spans="5:13">
      <c r="E477" s="352"/>
      <c r="F477" s="352">
        <v>1</v>
      </c>
      <c r="G477" s="352" t="s">
        <v>842</v>
      </c>
      <c r="H477" s="352" t="s">
        <v>4816</v>
      </c>
      <c r="I477" s="353">
        <v>98.6</v>
      </c>
      <c r="J477" s="352" t="s">
        <v>842</v>
      </c>
      <c r="K477" s="352">
        <f t="shared" ref="K477:K486" si="15">F477*I477</f>
        <v>98.6</v>
      </c>
      <c r="L477" s="352"/>
      <c r="M477" s="352"/>
    </row>
    <row r="478" spans="5:13">
      <c r="E478" s="352"/>
      <c r="F478" s="352">
        <v>1</v>
      </c>
      <c r="G478" s="352" t="s">
        <v>842</v>
      </c>
      <c r="H478" s="352" t="s">
        <v>4817</v>
      </c>
      <c r="I478" s="353">
        <v>69.8</v>
      </c>
      <c r="J478" s="352" t="s">
        <v>842</v>
      </c>
      <c r="K478" s="352">
        <f t="shared" si="15"/>
        <v>69.8</v>
      </c>
      <c r="L478" s="352"/>
      <c r="M478" s="352"/>
    </row>
    <row r="479" spans="5:13">
      <c r="E479" s="352"/>
      <c r="F479" s="352">
        <v>1</v>
      </c>
      <c r="G479" s="352" t="s">
        <v>1419</v>
      </c>
      <c r="H479" s="352" t="s">
        <v>4818</v>
      </c>
      <c r="I479" s="353">
        <v>52</v>
      </c>
      <c r="J479" s="352" t="s">
        <v>1419</v>
      </c>
      <c r="K479" s="352">
        <f t="shared" si="15"/>
        <v>52</v>
      </c>
      <c r="L479" s="352"/>
      <c r="M479" s="352"/>
    </row>
    <row r="480" spans="5:13">
      <c r="E480" s="352"/>
      <c r="F480" s="352">
        <v>1</v>
      </c>
      <c r="G480" s="352" t="s">
        <v>286</v>
      </c>
      <c r="H480" s="352" t="s">
        <v>2699</v>
      </c>
      <c r="I480" s="521">
        <v>24.1</v>
      </c>
      <c r="J480" s="352" t="s">
        <v>286</v>
      </c>
      <c r="K480" s="352">
        <f t="shared" si="15"/>
        <v>24.1</v>
      </c>
      <c r="L480" s="352"/>
      <c r="M480" s="352"/>
    </row>
    <row r="481" spans="5:14">
      <c r="E481" s="352"/>
      <c r="F481" s="352">
        <v>1</v>
      </c>
      <c r="G481" s="352" t="s">
        <v>669</v>
      </c>
      <c r="H481" s="352" t="s">
        <v>4875</v>
      </c>
      <c r="I481" s="521">
        <v>447</v>
      </c>
      <c r="J481" s="352" t="s">
        <v>669</v>
      </c>
      <c r="K481" s="352">
        <f t="shared" si="15"/>
        <v>447</v>
      </c>
      <c r="L481" s="352"/>
      <c r="M481" s="352"/>
    </row>
    <row r="482" spans="5:14">
      <c r="E482" s="352"/>
      <c r="F482" s="352">
        <v>1</v>
      </c>
      <c r="G482" s="352" t="s">
        <v>1419</v>
      </c>
      <c r="H482" s="352" t="s">
        <v>2701</v>
      </c>
      <c r="I482" s="521">
        <v>100</v>
      </c>
      <c r="J482" s="352" t="s">
        <v>1419</v>
      </c>
      <c r="K482" s="352">
        <f t="shared" si="15"/>
        <v>100</v>
      </c>
      <c r="L482" s="352"/>
      <c r="M482" s="352"/>
    </row>
    <row r="483" spans="5:14">
      <c r="E483" s="352"/>
      <c r="F483" s="352">
        <v>40</v>
      </c>
      <c r="G483" s="352" t="s">
        <v>1676</v>
      </c>
      <c r="H483" s="352" t="s">
        <v>5800</v>
      </c>
      <c r="I483" s="521">
        <f>101.7/20.32</f>
        <v>5</v>
      </c>
      <c r="J483" s="352" t="s">
        <v>1676</v>
      </c>
      <c r="K483" s="352">
        <f t="shared" si="15"/>
        <v>200</v>
      </c>
      <c r="L483" s="352">
        <f>101.7/20.32</f>
        <v>5</v>
      </c>
      <c r="M483" s="352"/>
    </row>
    <row r="484" spans="5:14">
      <c r="E484" s="352"/>
      <c r="F484" s="352">
        <v>2</v>
      </c>
      <c r="G484" s="352" t="s">
        <v>1419</v>
      </c>
      <c r="H484" s="352" t="s">
        <v>4819</v>
      </c>
      <c r="I484" s="353">
        <v>13.6</v>
      </c>
      <c r="J484" s="352" t="s">
        <v>1419</v>
      </c>
      <c r="K484" s="352">
        <f t="shared" si="15"/>
        <v>27.2</v>
      </c>
      <c r="L484" s="352"/>
      <c r="M484" s="352"/>
      <c r="N484" s="180">
        <f>97.15/20.32</f>
        <v>4.78</v>
      </c>
    </row>
    <row r="485" spans="5:14">
      <c r="E485" s="352"/>
      <c r="F485" s="352">
        <v>4</v>
      </c>
      <c r="G485" s="352" t="s">
        <v>1419</v>
      </c>
      <c r="H485" s="352" t="s">
        <v>4820</v>
      </c>
      <c r="I485" s="353">
        <v>13.6</v>
      </c>
      <c r="J485" s="352" t="s">
        <v>1419</v>
      </c>
      <c r="K485" s="352">
        <f t="shared" si="15"/>
        <v>54.4</v>
      </c>
      <c r="L485" s="352"/>
      <c r="M485" s="352"/>
    </row>
    <row r="486" spans="5:14">
      <c r="E486" s="352"/>
      <c r="F486" s="352">
        <v>10</v>
      </c>
      <c r="G486" s="352" t="s">
        <v>1676</v>
      </c>
      <c r="H486" s="352" t="s">
        <v>5801</v>
      </c>
      <c r="I486" s="353">
        <v>3.7</v>
      </c>
      <c r="J486" s="352" t="s">
        <v>1676</v>
      </c>
      <c r="K486" s="352">
        <f t="shared" si="15"/>
        <v>37</v>
      </c>
      <c r="L486" s="352"/>
      <c r="M486" s="352"/>
    </row>
    <row r="487" spans="5:14">
      <c r="E487" s="352"/>
      <c r="F487" s="352"/>
      <c r="G487" s="352"/>
      <c r="H487" s="352" t="s">
        <v>2310</v>
      </c>
      <c r="I487" s="352"/>
      <c r="J487" s="352"/>
      <c r="K487" s="352">
        <v>9.4</v>
      </c>
      <c r="L487" s="352"/>
      <c r="M487" s="352"/>
    </row>
    <row r="488" spans="5:14">
      <c r="E488" s="352"/>
      <c r="F488" s="352"/>
      <c r="G488" s="352"/>
      <c r="H488" s="352" t="s">
        <v>931</v>
      </c>
      <c r="I488" s="352"/>
      <c r="J488" s="352"/>
      <c r="K488" s="361">
        <f>K494</f>
        <v>1394</v>
      </c>
      <c r="L488" s="352"/>
      <c r="M488" s="352"/>
    </row>
    <row r="489" spans="5:14">
      <c r="E489" s="352"/>
      <c r="F489" s="352"/>
      <c r="G489" s="352"/>
      <c r="H489" s="359" t="s">
        <v>1083</v>
      </c>
      <c r="I489" s="352"/>
      <c r="J489" s="352"/>
      <c r="K489" s="360">
        <f>SUM(K476:K488)</f>
        <v>2921</v>
      </c>
      <c r="L489" s="352">
        <f>K489-2920</f>
        <v>1</v>
      </c>
      <c r="M489" s="352"/>
    </row>
    <row r="490" spans="5:14">
      <c r="E490" s="352"/>
      <c r="F490" s="352"/>
      <c r="G490" s="352"/>
      <c r="H490" s="352"/>
      <c r="I490" s="352"/>
      <c r="J490" s="352"/>
      <c r="K490" s="352"/>
      <c r="L490" s="352"/>
      <c r="M490" s="352"/>
    </row>
    <row r="491" spans="5:14">
      <c r="E491" s="352"/>
      <c r="F491" s="352"/>
      <c r="G491" s="352"/>
      <c r="H491" s="358" t="s">
        <v>931</v>
      </c>
      <c r="I491" s="352"/>
      <c r="J491" s="352"/>
      <c r="K491" s="352"/>
      <c r="L491" s="352"/>
      <c r="M491" s="352"/>
    </row>
    <row r="492" spans="5:14">
      <c r="E492" s="352"/>
      <c r="F492" s="352">
        <v>1</v>
      </c>
      <c r="G492" s="352" t="s">
        <v>1419</v>
      </c>
      <c r="H492" s="352" t="s">
        <v>2814</v>
      </c>
      <c r="I492" s="352">
        <f>I448</f>
        <v>783</v>
      </c>
      <c r="J492" s="352" t="s">
        <v>1419</v>
      </c>
      <c r="K492" s="352">
        <f>F492*I492</f>
        <v>783</v>
      </c>
      <c r="L492" s="352"/>
      <c r="M492" s="352"/>
    </row>
    <row r="493" spans="5:14">
      <c r="E493" s="352"/>
      <c r="F493" s="352">
        <v>1</v>
      </c>
      <c r="G493" s="352" t="s">
        <v>1419</v>
      </c>
      <c r="H493" s="352" t="s">
        <v>3137</v>
      </c>
      <c r="I493" s="352">
        <f>I468</f>
        <v>611</v>
      </c>
      <c r="J493" s="352" t="s">
        <v>1419</v>
      </c>
      <c r="K493" s="352">
        <f>F493*I493</f>
        <v>611</v>
      </c>
      <c r="L493" s="352"/>
      <c r="M493" s="352"/>
    </row>
    <row r="494" spans="5:14">
      <c r="E494" s="352"/>
      <c r="F494" s="352"/>
      <c r="G494" s="352"/>
      <c r="H494" s="352"/>
      <c r="I494" s="352"/>
      <c r="J494" s="352"/>
      <c r="K494" s="360">
        <f>SUM(K492:K493)</f>
        <v>1394</v>
      </c>
      <c r="L494" s="352"/>
      <c r="M494" s="352"/>
    </row>
    <row r="495" spans="5:14">
      <c r="E495" s="352"/>
      <c r="F495" s="352"/>
      <c r="G495" s="352"/>
      <c r="H495" s="360" t="s">
        <v>2706</v>
      </c>
      <c r="I495" s="352"/>
      <c r="J495" s="352"/>
      <c r="K495" s="352"/>
      <c r="L495" s="352"/>
      <c r="M495" s="352"/>
    </row>
    <row r="496" spans="5:14">
      <c r="E496" s="352"/>
      <c r="F496" s="352"/>
      <c r="G496" s="352"/>
      <c r="H496" s="360" t="s">
        <v>2707</v>
      </c>
      <c r="I496" s="352"/>
      <c r="J496" s="352"/>
      <c r="K496" s="352"/>
      <c r="L496" s="352"/>
      <c r="M496" s="352"/>
    </row>
    <row r="497" spans="5:13">
      <c r="E497" s="352"/>
      <c r="F497" s="352"/>
      <c r="G497" s="352"/>
      <c r="H497" s="352"/>
      <c r="I497" s="352"/>
      <c r="J497" s="352"/>
      <c r="K497" s="352"/>
      <c r="L497" s="352"/>
      <c r="M497" s="352"/>
    </row>
    <row r="498" spans="5:13" ht="78.75">
      <c r="E498" s="352"/>
      <c r="F498" s="352"/>
      <c r="G498" s="352"/>
      <c r="H498" s="351" t="s">
        <v>3375</v>
      </c>
      <c r="I498" s="352"/>
      <c r="J498" s="352"/>
      <c r="K498" s="352"/>
      <c r="L498" s="352"/>
      <c r="M498" s="352"/>
    </row>
    <row r="499" spans="5:13">
      <c r="E499" s="352"/>
      <c r="F499" s="352"/>
      <c r="G499" s="352"/>
      <c r="H499" s="352"/>
      <c r="I499" s="352"/>
      <c r="J499" s="352"/>
      <c r="K499" s="352"/>
      <c r="L499" s="352"/>
      <c r="M499" s="352"/>
    </row>
    <row r="500" spans="5:13">
      <c r="E500" s="352"/>
      <c r="F500" s="352">
        <v>1</v>
      </c>
      <c r="G500" s="352" t="s">
        <v>1419</v>
      </c>
      <c r="H500" s="352" t="s">
        <v>3248</v>
      </c>
      <c r="I500" s="352">
        <f>K505</f>
        <v>62.57</v>
      </c>
      <c r="J500" s="352" t="s">
        <v>1423</v>
      </c>
      <c r="K500" s="352">
        <f>F500*I500</f>
        <v>62.57</v>
      </c>
      <c r="L500" s="352"/>
      <c r="M500" s="352"/>
    </row>
    <row r="501" spans="5:13" ht="47.25">
      <c r="E501" s="352"/>
      <c r="F501" s="352"/>
      <c r="G501" s="352"/>
      <c r="H501" s="351" t="s">
        <v>3249</v>
      </c>
      <c r="I501" s="352"/>
      <c r="J501" s="352" t="s">
        <v>669</v>
      </c>
      <c r="K501" s="352">
        <v>15.64</v>
      </c>
      <c r="L501" s="352"/>
      <c r="M501" s="352"/>
    </row>
    <row r="502" spans="5:13">
      <c r="E502" s="352"/>
      <c r="F502" s="352"/>
      <c r="G502" s="352"/>
      <c r="H502" s="352" t="s">
        <v>142</v>
      </c>
      <c r="I502" s="352"/>
      <c r="J502" s="352"/>
      <c r="K502" s="352">
        <f>K510</f>
        <v>311.7</v>
      </c>
      <c r="L502" s="352"/>
      <c r="M502" s="352"/>
    </row>
    <row r="503" spans="5:13">
      <c r="E503" s="352"/>
      <c r="F503" s="352"/>
      <c r="G503" s="352"/>
      <c r="H503" s="359" t="s">
        <v>1083</v>
      </c>
      <c r="I503" s="352"/>
      <c r="J503" s="352"/>
      <c r="K503" s="360">
        <f>SUM(K500:K502)</f>
        <v>389.91</v>
      </c>
      <c r="L503" s="352">
        <f>K503-261</f>
        <v>128.91</v>
      </c>
      <c r="M503" s="352"/>
    </row>
    <row r="504" spans="5:13">
      <c r="E504" s="352"/>
      <c r="F504" s="352"/>
      <c r="G504" s="352"/>
      <c r="H504" s="352"/>
      <c r="I504" s="352"/>
      <c r="J504" s="352"/>
      <c r="K504" s="352"/>
      <c r="L504" s="352"/>
      <c r="M504" s="352"/>
    </row>
    <row r="505" spans="5:13">
      <c r="E505" s="352"/>
      <c r="F505" s="352"/>
      <c r="G505" s="352"/>
      <c r="H505" s="360" t="s">
        <v>3250</v>
      </c>
      <c r="I505" s="456">
        <f>I391</f>
        <v>104280</v>
      </c>
      <c r="J505" s="457">
        <v>5.9999999999999995E-4</v>
      </c>
      <c r="K505" s="456">
        <f>ROUND(I505*J505,2)</f>
        <v>62.57</v>
      </c>
      <c r="L505" s="352"/>
      <c r="M505" s="352"/>
    </row>
    <row r="506" spans="5:13">
      <c r="E506" s="352"/>
      <c r="F506" s="352"/>
      <c r="G506" s="352"/>
      <c r="H506" s="352" t="s">
        <v>142</v>
      </c>
      <c r="I506" s="352"/>
      <c r="J506" s="352"/>
      <c r="K506" s="352"/>
      <c r="L506" s="352"/>
      <c r="M506" s="352"/>
    </row>
    <row r="507" spans="5:13">
      <c r="E507" s="352"/>
      <c r="F507" s="352">
        <v>1</v>
      </c>
      <c r="G507" s="352" t="s">
        <v>1419</v>
      </c>
      <c r="H507" s="352" t="s">
        <v>3251</v>
      </c>
      <c r="I507" s="352">
        <f>I448</f>
        <v>783</v>
      </c>
      <c r="J507" s="352" t="s">
        <v>1423</v>
      </c>
      <c r="K507" s="352">
        <f>F507*I507</f>
        <v>783</v>
      </c>
      <c r="L507" s="352"/>
      <c r="M507" s="352"/>
    </row>
    <row r="508" spans="5:13">
      <c r="E508" s="352"/>
      <c r="F508" s="352">
        <v>3</v>
      </c>
      <c r="G508" s="352" t="s">
        <v>1419</v>
      </c>
      <c r="H508" s="352" t="s">
        <v>2633</v>
      </c>
      <c r="I508" s="352">
        <f>I449</f>
        <v>778</v>
      </c>
      <c r="J508" s="352" t="s">
        <v>1423</v>
      </c>
      <c r="K508" s="352">
        <f>F508*I508</f>
        <v>2334</v>
      </c>
      <c r="L508" s="352"/>
      <c r="M508" s="352"/>
    </row>
    <row r="509" spans="5:13">
      <c r="E509" s="352"/>
      <c r="F509" s="352"/>
      <c r="G509" s="352"/>
      <c r="H509" s="357" t="s">
        <v>3252</v>
      </c>
      <c r="I509" s="352"/>
      <c r="J509" s="352"/>
      <c r="K509" s="361">
        <f>SUM(K507:K508)</f>
        <v>3117</v>
      </c>
      <c r="L509" s="352"/>
      <c r="M509" s="352"/>
    </row>
    <row r="510" spans="5:13">
      <c r="E510" s="352"/>
      <c r="F510" s="352"/>
      <c r="G510" s="352"/>
      <c r="H510" s="357" t="s">
        <v>3253</v>
      </c>
      <c r="I510" s="352"/>
      <c r="J510" s="352"/>
      <c r="K510" s="360">
        <f>K509/10</f>
        <v>311.7</v>
      </c>
      <c r="L510" s="352"/>
      <c r="M510" s="352"/>
    </row>
    <row r="511" spans="5:13">
      <c r="E511" s="352"/>
      <c r="F511" s="352"/>
      <c r="G511" s="352"/>
      <c r="H511" s="352"/>
      <c r="I511" s="352"/>
      <c r="J511" s="352"/>
      <c r="K511" s="352"/>
      <c r="L511" s="352"/>
      <c r="M511" s="352"/>
    </row>
    <row r="512" spans="5:13">
      <c r="E512" s="352"/>
      <c r="F512" s="352"/>
      <c r="G512" s="352"/>
      <c r="H512" s="360" t="s">
        <v>3254</v>
      </c>
      <c r="I512" s="352"/>
      <c r="J512" s="352"/>
      <c r="K512" s="352"/>
      <c r="L512" s="352"/>
      <c r="M512" s="352"/>
    </row>
    <row r="513" spans="5:13" ht="94.5">
      <c r="E513" s="352"/>
      <c r="F513" s="352"/>
      <c r="G513" s="352"/>
      <c r="H513" s="351" t="s">
        <v>3255</v>
      </c>
      <c r="I513" s="352"/>
      <c r="J513" s="352"/>
      <c r="K513" s="352"/>
      <c r="L513" s="352"/>
      <c r="M513" s="352"/>
    </row>
    <row r="514" spans="5:13">
      <c r="E514" s="352"/>
      <c r="F514" s="352"/>
      <c r="G514" s="352"/>
      <c r="H514" s="352"/>
      <c r="I514" s="352"/>
      <c r="J514" s="352"/>
      <c r="K514" s="352"/>
      <c r="L514" s="352"/>
      <c r="M514" s="352"/>
    </row>
    <row r="515" spans="5:13">
      <c r="E515" s="352"/>
      <c r="F515" s="352">
        <v>1</v>
      </c>
      <c r="G515" s="352" t="s">
        <v>1419</v>
      </c>
      <c r="H515" s="352" t="s">
        <v>5212</v>
      </c>
      <c r="I515" s="353">
        <v>348</v>
      </c>
      <c r="J515" s="352" t="s">
        <v>1419</v>
      </c>
      <c r="K515" s="352">
        <f>F515*I515</f>
        <v>348</v>
      </c>
      <c r="L515" s="352"/>
      <c r="M515" s="352"/>
    </row>
    <row r="516" spans="5:13" ht="47.25">
      <c r="E516" s="352"/>
      <c r="F516" s="352"/>
      <c r="G516" s="352"/>
      <c r="H516" s="351" t="s">
        <v>3257</v>
      </c>
      <c r="I516" s="352"/>
      <c r="J516" s="352"/>
      <c r="K516" s="352">
        <v>20.85</v>
      </c>
      <c r="L516" s="352"/>
      <c r="M516" s="352"/>
    </row>
    <row r="517" spans="5:13">
      <c r="E517" s="352"/>
      <c r="F517" s="352"/>
      <c r="G517" s="352"/>
      <c r="H517" s="352" t="s">
        <v>931</v>
      </c>
      <c r="I517" s="352"/>
      <c r="J517" s="352"/>
      <c r="K517" s="352">
        <f>K526</f>
        <v>420.15</v>
      </c>
      <c r="L517" s="352"/>
      <c r="M517" s="352"/>
    </row>
    <row r="518" spans="5:13">
      <c r="E518" s="352"/>
      <c r="F518" s="352"/>
      <c r="G518" s="352"/>
      <c r="H518" s="359" t="s">
        <v>1083</v>
      </c>
      <c r="I518" s="352"/>
      <c r="J518" s="352"/>
      <c r="K518" s="360">
        <f>SUM(K515:K517)</f>
        <v>789</v>
      </c>
      <c r="L518" s="352">
        <f>789-K518</f>
        <v>0</v>
      </c>
      <c r="M518" s="352"/>
    </row>
    <row r="519" spans="5:13">
      <c r="E519" s="352"/>
      <c r="F519" s="352"/>
      <c r="G519" s="352"/>
      <c r="H519" s="359"/>
      <c r="I519" s="352"/>
      <c r="J519" s="352"/>
      <c r="K519" s="360"/>
      <c r="L519" s="352"/>
      <c r="M519" s="352"/>
    </row>
    <row r="520" spans="5:13">
      <c r="E520" s="352"/>
      <c r="F520" s="352"/>
      <c r="G520" s="352"/>
      <c r="H520" s="352" t="s">
        <v>142</v>
      </c>
      <c r="I520" s="352"/>
      <c r="J520" s="352"/>
      <c r="K520" s="352"/>
      <c r="L520" s="352"/>
      <c r="M520" s="352"/>
    </row>
    <row r="521" spans="5:13">
      <c r="E521" s="352"/>
      <c r="F521" s="352">
        <v>1</v>
      </c>
      <c r="G521" s="352"/>
      <c r="H521" s="352" t="s">
        <v>2814</v>
      </c>
      <c r="I521" s="352">
        <f>I36</f>
        <v>783</v>
      </c>
      <c r="J521" s="352" t="s">
        <v>1419</v>
      </c>
      <c r="K521" s="352">
        <f>F521*I521</f>
        <v>783</v>
      </c>
      <c r="L521" s="352"/>
      <c r="M521" s="352"/>
    </row>
    <row r="522" spans="5:13">
      <c r="E522" s="352"/>
      <c r="F522" s="352">
        <v>3</v>
      </c>
      <c r="G522" s="352"/>
      <c r="H522" s="352" t="s">
        <v>2633</v>
      </c>
      <c r="I522" s="352">
        <f>I37</f>
        <v>778</v>
      </c>
      <c r="J522" s="352" t="s">
        <v>1419</v>
      </c>
      <c r="K522" s="352">
        <f>F522*I522</f>
        <v>2334</v>
      </c>
      <c r="L522" s="352"/>
      <c r="M522" s="352"/>
    </row>
    <row r="523" spans="5:13">
      <c r="E523" s="352"/>
      <c r="F523" s="352">
        <v>1</v>
      </c>
      <c r="G523" s="352"/>
      <c r="H523" s="352" t="s">
        <v>2370</v>
      </c>
      <c r="I523" s="352">
        <f>I38</f>
        <v>611</v>
      </c>
      <c r="J523" s="352" t="s">
        <v>1419</v>
      </c>
      <c r="K523" s="352">
        <f>F523*I523</f>
        <v>611</v>
      </c>
      <c r="L523" s="352"/>
      <c r="M523" s="352"/>
    </row>
    <row r="524" spans="5:13">
      <c r="E524" s="352"/>
      <c r="F524" s="352">
        <v>0.5</v>
      </c>
      <c r="G524" s="352"/>
      <c r="H524" s="352" t="s">
        <v>5213</v>
      </c>
      <c r="I524" s="353">
        <f>Data!AF9</f>
        <v>947</v>
      </c>
      <c r="J524" s="352" t="s">
        <v>1419</v>
      </c>
      <c r="K524" s="352">
        <f>F524*I524</f>
        <v>473.5</v>
      </c>
      <c r="L524" s="352"/>
      <c r="M524" s="352"/>
    </row>
    <row r="525" spans="5:13">
      <c r="E525" s="352"/>
      <c r="F525" s="352"/>
      <c r="G525" s="352"/>
      <c r="H525" s="357" t="s">
        <v>3258</v>
      </c>
      <c r="I525" s="352"/>
      <c r="J525" s="352"/>
      <c r="K525" s="358">
        <f>SUM(K521:K524)</f>
        <v>4201.5</v>
      </c>
      <c r="L525" s="352"/>
      <c r="M525" s="352"/>
    </row>
    <row r="526" spans="5:13">
      <c r="E526" s="352"/>
      <c r="F526" s="352"/>
      <c r="G526" s="352"/>
      <c r="H526" s="359" t="s">
        <v>3259</v>
      </c>
      <c r="I526" s="360"/>
      <c r="J526" s="360"/>
      <c r="K526" s="360">
        <f>K525/10</f>
        <v>420.15</v>
      </c>
      <c r="L526" s="352"/>
      <c r="M526" s="352"/>
    </row>
    <row r="527" spans="5:13">
      <c r="E527" s="352"/>
      <c r="F527" s="352"/>
      <c r="G527" s="352"/>
      <c r="H527" s="352"/>
      <c r="I527" s="352"/>
      <c r="J527" s="352"/>
      <c r="K527" s="352"/>
      <c r="L527" s="352"/>
      <c r="M527" s="352"/>
    </row>
    <row r="528" spans="5:13">
      <c r="E528" s="352"/>
      <c r="F528" s="352"/>
      <c r="G528" s="352"/>
      <c r="H528" s="360" t="s">
        <v>3260</v>
      </c>
      <c r="I528" s="352"/>
      <c r="J528" s="352"/>
      <c r="K528" s="352"/>
      <c r="L528" s="352"/>
      <c r="M528" s="352"/>
    </row>
    <row r="529" spans="5:13">
      <c r="E529" s="352"/>
      <c r="F529" s="352"/>
      <c r="G529" s="352"/>
      <c r="H529" s="360" t="s">
        <v>3261</v>
      </c>
      <c r="I529" s="352"/>
      <c r="J529" s="352"/>
      <c r="K529" s="352"/>
      <c r="L529" s="352"/>
      <c r="M529" s="352"/>
    </row>
    <row r="530" spans="5:13">
      <c r="E530" s="352"/>
      <c r="F530" s="352"/>
      <c r="G530" s="352"/>
      <c r="H530" s="352"/>
      <c r="I530" s="352"/>
      <c r="J530" s="352"/>
      <c r="K530" s="352"/>
      <c r="L530" s="352"/>
      <c r="M530" s="352"/>
    </row>
    <row r="531" spans="5:13" ht="94.5">
      <c r="E531" s="352"/>
      <c r="F531" s="352"/>
      <c r="G531" s="352"/>
      <c r="H531" s="351" t="s">
        <v>3291</v>
      </c>
      <c r="I531" s="352"/>
      <c r="J531" s="352"/>
      <c r="K531" s="352"/>
      <c r="L531" s="352"/>
      <c r="M531" s="352"/>
    </row>
    <row r="532" spans="5:13">
      <c r="E532" s="352"/>
      <c r="F532" s="352"/>
      <c r="G532" s="352"/>
      <c r="H532" s="352"/>
      <c r="I532" s="352"/>
      <c r="J532" s="352"/>
      <c r="K532" s="352"/>
      <c r="L532" s="352"/>
      <c r="M532" s="352"/>
    </row>
    <row r="533" spans="5:13">
      <c r="E533" s="352"/>
      <c r="F533" s="352">
        <v>1</v>
      </c>
      <c r="G533" s="352" t="s">
        <v>1419</v>
      </c>
      <c r="H533" s="352" t="s">
        <v>3292</v>
      </c>
      <c r="I533" s="352">
        <f>K538</f>
        <v>125.14</v>
      </c>
      <c r="J533" s="352" t="s">
        <v>1423</v>
      </c>
      <c r="K533" s="352">
        <f>F533*I533</f>
        <v>125.14</v>
      </c>
      <c r="L533" s="352"/>
      <c r="M533" s="352"/>
    </row>
    <row r="534" spans="5:13" ht="47.25">
      <c r="E534" s="352"/>
      <c r="F534" s="352" t="s">
        <v>669</v>
      </c>
      <c r="G534" s="352" t="s">
        <v>669</v>
      </c>
      <c r="H534" s="351" t="s">
        <v>3293</v>
      </c>
      <c r="I534" s="352" t="s">
        <v>669</v>
      </c>
      <c r="J534" s="352" t="s">
        <v>669</v>
      </c>
      <c r="K534" s="352">
        <v>43.16</v>
      </c>
      <c r="L534" s="352"/>
      <c r="M534" s="352"/>
    </row>
    <row r="535" spans="5:13">
      <c r="E535" s="352"/>
      <c r="F535" s="352"/>
      <c r="G535" s="352"/>
      <c r="H535" s="352" t="s">
        <v>142</v>
      </c>
      <c r="I535" s="352"/>
      <c r="J535" s="352"/>
      <c r="K535" s="352">
        <f>K510</f>
        <v>311.7</v>
      </c>
      <c r="L535" s="352"/>
      <c r="M535" s="352"/>
    </row>
    <row r="536" spans="5:13">
      <c r="E536" s="352"/>
      <c r="F536" s="352"/>
      <c r="G536" s="352"/>
      <c r="H536" s="359" t="s">
        <v>1083</v>
      </c>
      <c r="I536" s="352"/>
      <c r="J536" s="352"/>
      <c r="K536" s="360">
        <f>SUM(K533:K535)</f>
        <v>480</v>
      </c>
      <c r="L536" s="352">
        <f>K536-480</f>
        <v>0</v>
      </c>
      <c r="M536" s="352"/>
    </row>
    <row r="537" spans="5:13">
      <c r="E537" s="352"/>
      <c r="F537" s="352"/>
      <c r="G537" s="352"/>
      <c r="H537" s="352"/>
      <c r="I537" s="352"/>
      <c r="J537" s="352"/>
      <c r="K537" s="360"/>
      <c r="L537" s="352"/>
      <c r="M537" s="352"/>
    </row>
    <row r="538" spans="5:13">
      <c r="E538" s="352"/>
      <c r="F538" s="352"/>
      <c r="G538" s="352"/>
      <c r="H538" s="360" t="s">
        <v>3292</v>
      </c>
      <c r="I538" s="352">
        <f>I505</f>
        <v>104280</v>
      </c>
      <c r="J538" s="366">
        <f>0.0012</f>
        <v>1.1999999999999999E-3</v>
      </c>
      <c r="K538" s="360">
        <f>I538*J538</f>
        <v>125.14</v>
      </c>
      <c r="L538" s="352"/>
      <c r="M538" s="352"/>
    </row>
    <row r="539" spans="5:13">
      <c r="E539" s="352"/>
      <c r="F539" s="352"/>
      <c r="G539" s="352"/>
      <c r="H539" s="352"/>
      <c r="I539" s="352"/>
      <c r="J539" s="352"/>
      <c r="K539" s="352"/>
      <c r="L539" s="352"/>
      <c r="M539" s="352"/>
    </row>
    <row r="540" spans="5:13">
      <c r="E540" s="352"/>
      <c r="F540" s="352"/>
      <c r="G540" s="352"/>
      <c r="H540" s="360" t="s">
        <v>2706</v>
      </c>
      <c r="I540" s="352"/>
      <c r="J540" s="352"/>
      <c r="K540" s="352"/>
      <c r="L540" s="352"/>
      <c r="M540" s="352"/>
    </row>
    <row r="541" spans="5:13">
      <c r="E541" s="352"/>
      <c r="F541" s="352"/>
      <c r="G541" s="352"/>
      <c r="H541" s="352"/>
      <c r="I541" s="352"/>
      <c r="J541" s="352"/>
      <c r="K541" s="352"/>
      <c r="L541" s="352"/>
      <c r="M541" s="352"/>
    </row>
    <row r="542" spans="5:13">
      <c r="E542" s="352"/>
      <c r="F542" s="352"/>
      <c r="G542" s="352"/>
      <c r="H542" s="360" t="s">
        <v>2580</v>
      </c>
      <c r="I542" s="352"/>
      <c r="J542" s="352"/>
      <c r="K542" s="352"/>
      <c r="L542" s="352"/>
      <c r="M542" s="352"/>
    </row>
    <row r="543" spans="5:13">
      <c r="E543" s="352"/>
      <c r="F543" s="352"/>
      <c r="G543" s="352"/>
      <c r="H543" s="352"/>
      <c r="I543" s="352"/>
      <c r="J543" s="352"/>
      <c r="K543" s="352"/>
      <c r="L543" s="352"/>
      <c r="M543" s="352"/>
    </row>
    <row r="544" spans="5:13" ht="94.5">
      <c r="E544" s="352"/>
      <c r="F544" s="352"/>
      <c r="G544" s="352"/>
      <c r="H544" s="351" t="s">
        <v>2451</v>
      </c>
      <c r="I544" s="352"/>
      <c r="J544" s="352"/>
      <c r="K544" s="352"/>
      <c r="L544" s="352"/>
      <c r="M544" s="352"/>
    </row>
    <row r="545" spans="5:13">
      <c r="E545" s="352"/>
      <c r="F545" s="352"/>
      <c r="G545" s="352"/>
      <c r="H545" s="352"/>
      <c r="I545" s="352"/>
      <c r="J545" s="352"/>
      <c r="K545" s="352"/>
      <c r="L545" s="352"/>
      <c r="M545" s="352"/>
    </row>
    <row r="546" spans="5:13">
      <c r="E546" s="352"/>
      <c r="F546" s="352">
        <v>1</v>
      </c>
      <c r="G546" s="352" t="s">
        <v>1419</v>
      </c>
      <c r="H546" s="352" t="s">
        <v>3256</v>
      </c>
      <c r="I546" s="352">
        <f>I515</f>
        <v>348</v>
      </c>
      <c r="J546" s="352" t="s">
        <v>1419</v>
      </c>
      <c r="K546" s="352">
        <f>F546*I546</f>
        <v>348</v>
      </c>
      <c r="L546" s="352"/>
      <c r="M546" s="352"/>
    </row>
    <row r="547" spans="5:13" ht="47.25">
      <c r="E547" s="352"/>
      <c r="F547" s="352"/>
      <c r="G547" s="352"/>
      <c r="H547" s="351" t="s">
        <v>3257</v>
      </c>
      <c r="I547" s="352"/>
      <c r="J547" s="352"/>
      <c r="K547" s="352">
        <v>35.35</v>
      </c>
      <c r="L547" s="352"/>
      <c r="M547" s="352"/>
    </row>
    <row r="548" spans="5:13">
      <c r="E548" s="352"/>
      <c r="F548" s="352"/>
      <c r="G548" s="352"/>
      <c r="H548" s="352" t="s">
        <v>931</v>
      </c>
      <c r="I548" s="352"/>
      <c r="J548" s="352"/>
      <c r="K548" s="352">
        <f>K526</f>
        <v>420.15</v>
      </c>
      <c r="L548" s="352"/>
      <c r="M548" s="352"/>
    </row>
    <row r="549" spans="5:13">
      <c r="E549" s="352"/>
      <c r="F549" s="352"/>
      <c r="G549" s="352"/>
      <c r="H549" s="359" t="s">
        <v>1083</v>
      </c>
      <c r="I549" s="352"/>
      <c r="J549" s="352"/>
      <c r="K549" s="360">
        <f>SUM(K546:K548)</f>
        <v>803.5</v>
      </c>
      <c r="L549" s="352">
        <f>K549-551</f>
        <v>252.5</v>
      </c>
      <c r="M549" s="352"/>
    </row>
    <row r="550" spans="5:13">
      <c r="E550" s="352"/>
      <c r="F550" s="352"/>
      <c r="G550" s="352"/>
      <c r="H550" s="352"/>
      <c r="I550" s="352"/>
      <c r="J550" s="352"/>
      <c r="K550" s="352"/>
      <c r="L550" s="352"/>
      <c r="M550" s="352"/>
    </row>
    <row r="551" spans="5:13">
      <c r="E551" s="352"/>
      <c r="F551" s="352"/>
      <c r="G551" s="352"/>
      <c r="H551" s="360" t="s">
        <v>2452</v>
      </c>
      <c r="I551" s="352"/>
      <c r="J551" s="352"/>
      <c r="K551" s="352"/>
      <c r="L551" s="352"/>
      <c r="M551" s="352"/>
    </row>
    <row r="552" spans="5:13">
      <c r="E552" s="352"/>
      <c r="F552" s="352"/>
      <c r="G552" s="352"/>
      <c r="H552" s="360" t="s">
        <v>2453</v>
      </c>
      <c r="I552" s="352"/>
      <c r="J552" s="352"/>
      <c r="K552" s="352"/>
      <c r="L552" s="352"/>
      <c r="M552" s="352"/>
    </row>
    <row r="553" spans="5:13">
      <c r="E553" s="352"/>
      <c r="F553" s="352"/>
      <c r="G553" s="352"/>
      <c r="H553" s="352"/>
      <c r="I553" s="352"/>
      <c r="J553" s="352"/>
      <c r="K553" s="352"/>
      <c r="L553" s="352"/>
      <c r="M553" s="352"/>
    </row>
    <row r="554" spans="5:13" ht="31.5">
      <c r="E554" s="352"/>
      <c r="F554" s="352">
        <v>1</v>
      </c>
      <c r="G554" s="352" t="s">
        <v>1419</v>
      </c>
      <c r="H554" s="351" t="s">
        <v>5214</v>
      </c>
      <c r="I554" s="353">
        <v>1520</v>
      </c>
      <c r="J554" s="352" t="s">
        <v>1419</v>
      </c>
      <c r="K554" s="360">
        <f>F554*I554</f>
        <v>1520</v>
      </c>
      <c r="L554" s="352"/>
      <c r="M554" s="352"/>
    </row>
    <row r="555" spans="5:13">
      <c r="E555" s="352"/>
      <c r="F555" s="352"/>
      <c r="G555" s="352"/>
      <c r="H555" s="352"/>
      <c r="I555" s="352"/>
      <c r="J555" s="352"/>
      <c r="K555" s="352"/>
      <c r="L555" s="352"/>
      <c r="M555" s="352"/>
    </row>
    <row r="556" spans="5:13">
      <c r="E556" s="352"/>
      <c r="F556" s="352"/>
      <c r="G556" s="352"/>
      <c r="H556" s="360" t="s">
        <v>2454</v>
      </c>
      <c r="I556" s="352"/>
      <c r="J556" s="352"/>
      <c r="K556" s="352"/>
      <c r="L556" s="352"/>
      <c r="M556" s="352"/>
    </row>
    <row r="557" spans="5:13">
      <c r="E557" s="352"/>
      <c r="F557" s="352"/>
      <c r="G557" s="352"/>
      <c r="H557" s="360" t="s">
        <v>2441</v>
      </c>
      <c r="I557" s="352"/>
      <c r="J557" s="352"/>
      <c r="K557" s="352"/>
      <c r="L557" s="352"/>
      <c r="M557" s="352"/>
    </row>
    <row r="558" spans="5:13">
      <c r="E558" s="352"/>
      <c r="F558" s="352"/>
      <c r="G558" s="352"/>
      <c r="H558" s="352"/>
      <c r="I558" s="352"/>
      <c r="J558" s="352"/>
      <c r="K558" s="352"/>
      <c r="L558" s="352"/>
      <c r="M558" s="352"/>
    </row>
    <row r="559" spans="5:13" ht="31.5">
      <c r="E559" s="352"/>
      <c r="F559" s="352">
        <v>1</v>
      </c>
      <c r="G559" s="352" t="s">
        <v>1419</v>
      </c>
      <c r="H559" s="351" t="s">
        <v>5215</v>
      </c>
      <c r="I559" s="353">
        <v>1876</v>
      </c>
      <c r="J559" s="352" t="s">
        <v>1419</v>
      </c>
      <c r="K559" s="360">
        <f>F559*I559</f>
        <v>1876</v>
      </c>
      <c r="L559" s="352"/>
      <c r="M559" s="352"/>
    </row>
    <row r="560" spans="5:13">
      <c r="E560" s="352"/>
      <c r="F560" s="352"/>
      <c r="G560" s="352"/>
      <c r="H560" s="352"/>
      <c r="I560" s="352"/>
      <c r="J560" s="352"/>
      <c r="K560" s="352"/>
      <c r="L560" s="352"/>
      <c r="M560" s="352"/>
    </row>
    <row r="561" spans="5:16">
      <c r="E561" s="352"/>
      <c r="F561" s="352"/>
      <c r="G561" s="352"/>
      <c r="H561" s="360" t="s">
        <v>2442</v>
      </c>
      <c r="I561" s="352"/>
      <c r="J561" s="352"/>
      <c r="K561" s="352"/>
      <c r="L561" s="352"/>
      <c r="M561" s="352"/>
    </row>
    <row r="562" spans="5:16">
      <c r="E562" s="352"/>
      <c r="F562" s="352"/>
      <c r="G562" s="352"/>
      <c r="H562" s="360" t="s">
        <v>2443</v>
      </c>
      <c r="I562" s="352"/>
      <c r="J562" s="352"/>
      <c r="K562" s="352"/>
      <c r="L562" s="352"/>
      <c r="M562" s="352"/>
    </row>
    <row r="563" spans="5:16">
      <c r="E563" s="352"/>
      <c r="F563" s="352"/>
      <c r="G563" s="352"/>
      <c r="H563" s="358" t="s">
        <v>2444</v>
      </c>
      <c r="I563" s="352"/>
      <c r="J563" s="352"/>
      <c r="K563" s="352"/>
      <c r="L563" s="352"/>
      <c r="M563" s="352"/>
    </row>
    <row r="564" spans="5:16">
      <c r="E564" s="352"/>
      <c r="F564" s="352"/>
      <c r="G564" s="352"/>
      <c r="H564" s="352"/>
      <c r="I564" s="352"/>
      <c r="J564" s="352"/>
      <c r="K564" s="352"/>
      <c r="L564" s="352"/>
      <c r="M564" s="352"/>
    </row>
    <row r="565" spans="5:16" ht="63">
      <c r="E565" s="352"/>
      <c r="F565" s="352"/>
      <c r="G565" s="352"/>
      <c r="H565" s="351" t="s">
        <v>2755</v>
      </c>
      <c r="I565" s="352"/>
      <c r="J565" s="352"/>
      <c r="K565" s="352"/>
      <c r="L565" s="351" t="s">
        <v>3535</v>
      </c>
      <c r="M565" s="351" t="s">
        <v>3536</v>
      </c>
      <c r="N565" s="351" t="s">
        <v>3779</v>
      </c>
      <c r="O565" s="351" t="s">
        <v>3947</v>
      </c>
    </row>
    <row r="566" spans="5:16">
      <c r="E566" s="352"/>
      <c r="F566" s="352">
        <v>1</v>
      </c>
      <c r="G566" s="352" t="s">
        <v>1419</v>
      </c>
      <c r="H566" s="352" t="s">
        <v>5216</v>
      </c>
      <c r="I566" s="353">
        <v>85.2</v>
      </c>
      <c r="J566" s="352" t="s">
        <v>1419</v>
      </c>
      <c r="K566" s="352">
        <f>F566*I566</f>
        <v>85.2</v>
      </c>
      <c r="L566" s="421">
        <v>190.2</v>
      </c>
      <c r="M566" s="421">
        <v>48.05</v>
      </c>
      <c r="N566" s="421">
        <v>343.7</v>
      </c>
      <c r="O566" s="1041">
        <v>555</v>
      </c>
    </row>
    <row r="567" spans="5:16">
      <c r="E567" s="352"/>
      <c r="F567" s="352">
        <v>1</v>
      </c>
      <c r="G567" s="352" t="s">
        <v>1419</v>
      </c>
      <c r="H567" s="352" t="s">
        <v>2757</v>
      </c>
      <c r="I567" s="352">
        <f>K572</f>
        <v>31.28</v>
      </c>
      <c r="J567" s="352" t="s">
        <v>1419</v>
      </c>
      <c r="K567" s="352">
        <f>F567*I567</f>
        <v>31.28</v>
      </c>
      <c r="L567" s="352">
        <f t="shared" ref="L567:O569" si="16">K567</f>
        <v>31.28</v>
      </c>
      <c r="M567" s="352">
        <f t="shared" si="16"/>
        <v>31.28</v>
      </c>
      <c r="N567" s="352">
        <f t="shared" si="16"/>
        <v>31.28</v>
      </c>
      <c r="O567" s="181">
        <f t="shared" si="16"/>
        <v>31.28</v>
      </c>
    </row>
    <row r="568" spans="5:16">
      <c r="E568" s="352"/>
      <c r="F568" s="352"/>
      <c r="G568" s="352"/>
      <c r="H568" s="352" t="s">
        <v>931</v>
      </c>
      <c r="I568" s="352"/>
      <c r="J568" s="352"/>
      <c r="K568" s="352">
        <f>K579</f>
        <v>424.25</v>
      </c>
      <c r="L568" s="352">
        <f t="shared" si="16"/>
        <v>424.25</v>
      </c>
      <c r="M568" s="352">
        <f t="shared" si="16"/>
        <v>424.25</v>
      </c>
      <c r="N568" s="352">
        <f t="shared" si="16"/>
        <v>424.25</v>
      </c>
      <c r="O568" s="181">
        <f t="shared" si="16"/>
        <v>424.25</v>
      </c>
    </row>
    <row r="569" spans="5:16">
      <c r="E569" s="352"/>
      <c r="F569" s="352"/>
      <c r="G569" s="352"/>
      <c r="H569" s="352" t="s">
        <v>2758</v>
      </c>
      <c r="I569" s="352" t="s">
        <v>669</v>
      </c>
      <c r="J569" s="352"/>
      <c r="K569" s="352">
        <v>9.27</v>
      </c>
      <c r="L569" s="352">
        <f t="shared" si="16"/>
        <v>9.27</v>
      </c>
      <c r="M569" s="352">
        <f>L569+0.15</f>
        <v>9.42</v>
      </c>
      <c r="N569" s="352">
        <f>M569+0.05</f>
        <v>9.4700000000000006</v>
      </c>
      <c r="O569" s="181">
        <f>N569</f>
        <v>9.4700000000000006</v>
      </c>
      <c r="P569" s="364">
        <f>515-M570</f>
        <v>2</v>
      </c>
    </row>
    <row r="570" spans="5:16">
      <c r="E570" s="352"/>
      <c r="F570" s="352"/>
      <c r="G570" s="352"/>
      <c r="H570" s="359" t="s">
        <v>1083</v>
      </c>
      <c r="I570" s="352"/>
      <c r="J570" s="352"/>
      <c r="K570" s="360">
        <f>SUM(K566:K569)</f>
        <v>550</v>
      </c>
      <c r="L570" s="360">
        <f>SUM(L566:L569)</f>
        <v>655</v>
      </c>
      <c r="M570" s="360">
        <f>SUM(M566:M569)</f>
        <v>513</v>
      </c>
      <c r="N570" s="360">
        <f>SUM(N566:N569)</f>
        <v>808.7</v>
      </c>
      <c r="O570" s="360">
        <f>SUM(O566:O569)</f>
        <v>1020</v>
      </c>
    </row>
    <row r="571" spans="5:16">
      <c r="E571" s="352"/>
      <c r="F571" s="352"/>
      <c r="G571" s="352"/>
      <c r="H571" s="352"/>
      <c r="I571" s="352"/>
      <c r="J571" s="352"/>
      <c r="K571" s="352"/>
      <c r="L571" s="352"/>
      <c r="M571" s="352"/>
    </row>
    <row r="572" spans="5:16">
      <c r="E572" s="352"/>
      <c r="F572" s="352"/>
      <c r="G572" s="352"/>
      <c r="H572" s="360" t="s">
        <v>2759</v>
      </c>
      <c r="I572" s="352">
        <f>I538</f>
        <v>104280</v>
      </c>
      <c r="J572" s="366">
        <v>2.9999999999999997E-4</v>
      </c>
      <c r="K572" s="360">
        <f>I572*J572</f>
        <v>31.28</v>
      </c>
      <c r="L572" s="352">
        <f>K570-368</f>
        <v>182</v>
      </c>
      <c r="M572" s="352"/>
    </row>
    <row r="573" spans="5:16">
      <c r="E573" s="352"/>
      <c r="F573" s="352"/>
      <c r="G573" s="352"/>
      <c r="H573" s="352"/>
      <c r="I573" s="352"/>
      <c r="J573" s="352"/>
      <c r="K573" s="352"/>
      <c r="L573" s="352"/>
      <c r="M573" s="352"/>
    </row>
    <row r="574" spans="5:16">
      <c r="E574" s="352"/>
      <c r="F574" s="352"/>
      <c r="G574" s="352"/>
      <c r="H574" s="358" t="s">
        <v>142</v>
      </c>
      <c r="I574" s="352"/>
      <c r="J574" s="352"/>
      <c r="K574" s="352"/>
      <c r="L574" s="352"/>
      <c r="M574" s="352"/>
    </row>
    <row r="575" spans="5:16">
      <c r="E575" s="352"/>
      <c r="F575" s="352">
        <v>1</v>
      </c>
      <c r="G575" s="352" t="s">
        <v>1419</v>
      </c>
      <c r="H575" s="352" t="s">
        <v>2814</v>
      </c>
      <c r="I575" s="352">
        <f>I521</f>
        <v>783</v>
      </c>
      <c r="J575" s="352" t="s">
        <v>1419</v>
      </c>
      <c r="K575" s="352">
        <f>F575*I575</f>
        <v>783</v>
      </c>
      <c r="L575" s="352"/>
      <c r="M575" s="352"/>
    </row>
    <row r="576" spans="5:16">
      <c r="E576" s="352"/>
      <c r="F576" s="352">
        <v>1</v>
      </c>
      <c r="G576" s="352" t="s">
        <v>1419</v>
      </c>
      <c r="H576" s="352" t="s">
        <v>2633</v>
      </c>
      <c r="I576" s="352">
        <f>I522</f>
        <v>778</v>
      </c>
      <c r="J576" s="352" t="s">
        <v>1419</v>
      </c>
      <c r="K576" s="352">
        <f>F576*I576</f>
        <v>778</v>
      </c>
      <c r="L576" s="352"/>
      <c r="M576" s="352"/>
    </row>
    <row r="577" spans="5:15">
      <c r="E577" s="352"/>
      <c r="F577" s="352">
        <v>3</v>
      </c>
      <c r="G577" s="352" t="s">
        <v>1419</v>
      </c>
      <c r="H577" s="352" t="s">
        <v>2370</v>
      </c>
      <c r="I577" s="352">
        <f>I523</f>
        <v>611</v>
      </c>
      <c r="J577" s="352" t="s">
        <v>1419</v>
      </c>
      <c r="K577" s="352">
        <f>F577*I577</f>
        <v>1833</v>
      </c>
      <c r="L577" s="352"/>
      <c r="M577" s="352"/>
    </row>
    <row r="578" spans="5:15">
      <c r="E578" s="352"/>
      <c r="F578" s="352"/>
      <c r="G578" s="352"/>
      <c r="H578" s="357" t="s">
        <v>2708</v>
      </c>
      <c r="I578" s="352"/>
      <c r="J578" s="352"/>
      <c r="K578" s="352">
        <f>SUM(K575:K577)</f>
        <v>3394</v>
      </c>
      <c r="L578" s="352"/>
      <c r="M578" s="352"/>
    </row>
    <row r="579" spans="5:15">
      <c r="E579" s="352"/>
      <c r="F579" s="352"/>
      <c r="G579" s="352"/>
      <c r="H579" s="359" t="s">
        <v>2841</v>
      </c>
      <c r="I579" s="352"/>
      <c r="J579" s="352"/>
      <c r="K579" s="360">
        <f>K578/8</f>
        <v>424.25</v>
      </c>
      <c r="L579" s="352"/>
      <c r="M579" s="352"/>
    </row>
    <row r="580" spans="5:15">
      <c r="E580" s="352"/>
      <c r="F580" s="352"/>
      <c r="G580" s="352"/>
      <c r="H580" s="352"/>
      <c r="I580" s="352"/>
      <c r="J580" s="352"/>
      <c r="K580" s="352"/>
      <c r="L580" s="352"/>
      <c r="M580" s="352"/>
    </row>
    <row r="581" spans="5:15">
      <c r="E581" s="352"/>
      <c r="F581" s="352"/>
      <c r="G581" s="352"/>
      <c r="H581" s="360" t="s">
        <v>2709</v>
      </c>
      <c r="I581" s="352"/>
      <c r="J581" s="352"/>
      <c r="K581" s="352"/>
      <c r="L581" s="352"/>
      <c r="M581" s="352"/>
    </row>
    <row r="582" spans="5:15">
      <c r="E582" s="352"/>
      <c r="F582" s="352"/>
      <c r="G582" s="352"/>
      <c r="H582" s="360" t="s">
        <v>2710</v>
      </c>
      <c r="I582" s="352"/>
      <c r="J582" s="352"/>
      <c r="K582" s="352"/>
      <c r="L582" s="352"/>
      <c r="M582" s="352"/>
    </row>
    <row r="583" spans="5:15">
      <c r="E583" s="352"/>
      <c r="F583" s="352"/>
      <c r="G583" s="352"/>
      <c r="H583" s="352"/>
      <c r="I583" s="352"/>
      <c r="J583" s="352"/>
      <c r="K583" s="352"/>
      <c r="L583" s="352"/>
      <c r="M583" s="352"/>
    </row>
    <row r="584" spans="5:15" ht="63">
      <c r="E584" s="352"/>
      <c r="F584" s="352"/>
      <c r="G584" s="352"/>
      <c r="H584" s="351" t="s">
        <v>2715</v>
      </c>
      <c r="I584" s="352"/>
      <c r="J584" s="352"/>
      <c r="K584" s="352"/>
      <c r="L584" s="352" t="s">
        <v>3592</v>
      </c>
      <c r="M584" s="351" t="s">
        <v>3536</v>
      </c>
      <c r="N584" s="351" t="s">
        <v>3779</v>
      </c>
      <c r="O584" s="351" t="s">
        <v>3947</v>
      </c>
    </row>
    <row r="585" spans="5:15">
      <c r="E585" s="352"/>
      <c r="F585" s="352">
        <v>3</v>
      </c>
      <c r="G585" s="352" t="s">
        <v>1419</v>
      </c>
      <c r="H585" s="352" t="str">
        <f>H566</f>
        <v>32 Amps 500 V fuse units P-120 6-b</v>
      </c>
      <c r="I585" s="456">
        <f>I566</f>
        <v>85.2</v>
      </c>
      <c r="J585" s="352" t="s">
        <v>1423</v>
      </c>
      <c r="K585" s="352">
        <f>F585*I585</f>
        <v>255.6</v>
      </c>
      <c r="L585" s="352">
        <f>L566*3</f>
        <v>570.6</v>
      </c>
      <c r="M585" s="352">
        <f>M566*3</f>
        <v>144.15</v>
      </c>
      <c r="N585" s="352">
        <f>N566*3</f>
        <v>1031.0999999999999</v>
      </c>
      <c r="O585" s="352">
        <f>O566*3</f>
        <v>1665</v>
      </c>
    </row>
    <row r="586" spans="5:15">
      <c r="E586" s="352"/>
      <c r="F586" s="352">
        <v>1</v>
      </c>
      <c r="G586" s="352" t="s">
        <v>1419</v>
      </c>
      <c r="H586" s="352" t="s">
        <v>3248</v>
      </c>
      <c r="I586" s="352">
        <f>K591</f>
        <v>62.57</v>
      </c>
      <c r="J586" s="352" t="s">
        <v>1419</v>
      </c>
      <c r="K586" s="352">
        <f>F586*I586</f>
        <v>62.57</v>
      </c>
      <c r="L586" s="352">
        <f t="shared" ref="L586:O588" si="17">K586</f>
        <v>62.57</v>
      </c>
      <c r="M586" s="352">
        <f t="shared" si="17"/>
        <v>62.57</v>
      </c>
      <c r="N586" s="352">
        <f t="shared" si="17"/>
        <v>62.57</v>
      </c>
      <c r="O586" s="352">
        <f t="shared" si="17"/>
        <v>62.57</v>
      </c>
    </row>
    <row r="587" spans="5:15">
      <c r="E587" s="352"/>
      <c r="F587" s="352"/>
      <c r="G587" s="352"/>
      <c r="H587" s="352" t="s">
        <v>931</v>
      </c>
      <c r="I587" s="352"/>
      <c r="J587" s="352"/>
      <c r="K587" s="352">
        <f>K598</f>
        <v>500.63</v>
      </c>
      <c r="L587" s="352">
        <f t="shared" si="17"/>
        <v>500.63</v>
      </c>
      <c r="M587" s="352">
        <f t="shared" si="17"/>
        <v>500.63</v>
      </c>
      <c r="N587" s="352">
        <f t="shared" si="17"/>
        <v>500.63</v>
      </c>
      <c r="O587" s="352">
        <f t="shared" si="17"/>
        <v>500.63</v>
      </c>
    </row>
    <row r="588" spans="5:15">
      <c r="E588" s="352"/>
      <c r="F588" s="352"/>
      <c r="G588" s="352"/>
      <c r="H588" s="352" t="s">
        <v>2758</v>
      </c>
      <c r="I588" s="352" t="s">
        <v>669</v>
      </c>
      <c r="J588" s="352"/>
      <c r="K588" s="352">
        <v>6.2</v>
      </c>
      <c r="L588" s="352">
        <f t="shared" si="17"/>
        <v>6.2</v>
      </c>
      <c r="M588" s="352">
        <f t="shared" si="17"/>
        <v>6.2</v>
      </c>
      <c r="N588" s="352">
        <f t="shared" si="17"/>
        <v>6.2</v>
      </c>
      <c r="O588" s="352">
        <f t="shared" si="17"/>
        <v>6.2</v>
      </c>
    </row>
    <row r="589" spans="5:15">
      <c r="E589" s="352"/>
      <c r="F589" s="352"/>
      <c r="G589" s="352"/>
      <c r="H589" s="359" t="s">
        <v>1083</v>
      </c>
      <c r="I589" s="352"/>
      <c r="J589" s="352"/>
      <c r="K589" s="360">
        <f>SUM(K585:K588)</f>
        <v>825</v>
      </c>
      <c r="L589" s="360">
        <f>SUM(L585:L588)</f>
        <v>1140</v>
      </c>
      <c r="M589" s="360">
        <f>SUM(M585:M588)</f>
        <v>713.55</v>
      </c>
      <c r="N589" s="360">
        <f>SUM(N585:N588)</f>
        <v>1600.5</v>
      </c>
      <c r="O589" s="360">
        <f>SUM(O585:O588)</f>
        <v>2234.4</v>
      </c>
    </row>
    <row r="590" spans="5:15">
      <c r="E590" s="352"/>
      <c r="F590" s="352"/>
      <c r="G590" s="352"/>
      <c r="H590" s="359"/>
      <c r="I590" s="352"/>
      <c r="J590" s="352"/>
      <c r="K590" s="360"/>
      <c r="L590" s="352">
        <f>825-K589</f>
        <v>0</v>
      </c>
      <c r="M590" s="352"/>
    </row>
    <row r="591" spans="5:15">
      <c r="E591" s="352"/>
      <c r="F591" s="352"/>
      <c r="G591" s="352"/>
      <c r="H591" s="360" t="s">
        <v>3248</v>
      </c>
      <c r="I591" s="352">
        <f>I572</f>
        <v>104280</v>
      </c>
      <c r="J591" s="366">
        <v>5.9999999999999995E-4</v>
      </c>
      <c r="K591" s="360">
        <f>I591*J591</f>
        <v>62.57</v>
      </c>
      <c r="L591" s="352"/>
      <c r="M591" s="352"/>
    </row>
    <row r="592" spans="5:15">
      <c r="E592" s="352"/>
      <c r="F592" s="352"/>
      <c r="G592" s="352"/>
      <c r="H592" s="359"/>
      <c r="I592" s="352"/>
      <c r="J592" s="352"/>
      <c r="K592" s="352"/>
      <c r="L592" s="352"/>
      <c r="M592" s="352"/>
    </row>
    <row r="593" spans="5:13">
      <c r="E593" s="352"/>
      <c r="F593" s="352"/>
      <c r="G593" s="352"/>
      <c r="H593" s="358" t="s">
        <v>142</v>
      </c>
      <c r="I593" s="352"/>
      <c r="J593" s="352"/>
      <c r="K593" s="352"/>
      <c r="L593" s="352"/>
      <c r="M593" s="352"/>
    </row>
    <row r="594" spans="5:13">
      <c r="E594" s="352"/>
      <c r="F594" s="352">
        <v>1</v>
      </c>
      <c r="G594" s="352" t="s">
        <v>1419</v>
      </c>
      <c r="H594" s="352" t="s">
        <v>2814</v>
      </c>
      <c r="I594" s="352">
        <f>I575</f>
        <v>783</v>
      </c>
      <c r="J594" s="352" t="s">
        <v>1419</v>
      </c>
      <c r="K594" s="352">
        <f>F594*I594</f>
        <v>783</v>
      </c>
      <c r="L594" s="352"/>
      <c r="M594" s="352"/>
    </row>
    <row r="595" spans="5:13">
      <c r="E595" s="352"/>
      <c r="F595" s="352">
        <v>1</v>
      </c>
      <c r="G595" s="352" t="s">
        <v>1419</v>
      </c>
      <c r="H595" s="352" t="s">
        <v>2633</v>
      </c>
      <c r="I595" s="352">
        <f>I576</f>
        <v>778</v>
      </c>
      <c r="J595" s="352" t="s">
        <v>1419</v>
      </c>
      <c r="K595" s="352">
        <f>F595*I595</f>
        <v>778</v>
      </c>
      <c r="L595" s="352"/>
      <c r="M595" s="352"/>
    </row>
    <row r="596" spans="5:13">
      <c r="E596" s="352"/>
      <c r="F596" s="352">
        <v>4</v>
      </c>
      <c r="G596" s="352" t="s">
        <v>1419</v>
      </c>
      <c r="H596" s="352" t="s">
        <v>2370</v>
      </c>
      <c r="I596" s="352">
        <f>I577</f>
        <v>611</v>
      </c>
      <c r="J596" s="352" t="s">
        <v>1419</v>
      </c>
      <c r="K596" s="352">
        <f>F596*I596</f>
        <v>2444</v>
      </c>
      <c r="L596" s="352"/>
      <c r="M596" s="352"/>
    </row>
    <row r="597" spans="5:13">
      <c r="E597" s="352"/>
      <c r="F597" s="352"/>
      <c r="G597" s="352"/>
      <c r="H597" s="357" t="s">
        <v>2708</v>
      </c>
      <c r="I597" s="352"/>
      <c r="J597" s="352"/>
      <c r="K597" s="352">
        <f>SUM(K594:K596)</f>
        <v>4005</v>
      </c>
      <c r="L597" s="352"/>
      <c r="M597" s="352"/>
    </row>
    <row r="598" spans="5:13">
      <c r="E598" s="352"/>
      <c r="F598" s="352"/>
      <c r="G598" s="352"/>
      <c r="H598" s="359" t="s">
        <v>2942</v>
      </c>
      <c r="I598" s="352"/>
      <c r="J598" s="352"/>
      <c r="K598" s="360">
        <f>K597/8</f>
        <v>500.63</v>
      </c>
      <c r="L598" s="352"/>
      <c r="M598" s="352"/>
    </row>
    <row r="599" spans="5:13">
      <c r="E599" s="352"/>
      <c r="F599" s="352"/>
      <c r="G599" s="352"/>
      <c r="H599" s="352"/>
      <c r="I599" s="352"/>
      <c r="J599" s="352"/>
      <c r="K599" s="352"/>
      <c r="L599" s="352"/>
      <c r="M599" s="352"/>
    </row>
    <row r="600" spans="5:13">
      <c r="E600" s="352"/>
      <c r="F600" s="352"/>
      <c r="G600" s="352"/>
      <c r="H600" s="360" t="s">
        <v>2716</v>
      </c>
      <c r="I600" s="352"/>
      <c r="J600" s="352"/>
      <c r="K600" s="352"/>
      <c r="L600" s="352"/>
      <c r="M600" s="352"/>
    </row>
    <row r="601" spans="5:13">
      <c r="E601" s="352"/>
      <c r="F601" s="352"/>
      <c r="G601" s="352"/>
      <c r="H601" s="352"/>
      <c r="I601" s="352"/>
      <c r="J601" s="352"/>
      <c r="K601" s="352"/>
      <c r="L601" s="352"/>
      <c r="M601" s="352"/>
    </row>
    <row r="602" spans="5:13">
      <c r="E602" s="352"/>
      <c r="F602" s="352"/>
      <c r="G602" s="352"/>
      <c r="H602" s="360" t="s">
        <v>2717</v>
      </c>
      <c r="I602" s="352"/>
      <c r="J602" s="352"/>
      <c r="K602" s="352"/>
      <c r="L602" s="352"/>
      <c r="M602" s="352"/>
    </row>
    <row r="603" spans="5:13">
      <c r="E603" s="352"/>
      <c r="F603" s="352"/>
      <c r="G603" s="352"/>
      <c r="H603" s="352"/>
      <c r="I603" s="352"/>
      <c r="J603" s="352"/>
      <c r="K603" s="352"/>
      <c r="L603" s="352"/>
      <c r="M603" s="352"/>
    </row>
    <row r="604" spans="5:13" ht="78.75">
      <c r="E604" s="352"/>
      <c r="F604" s="352"/>
      <c r="G604" s="352"/>
      <c r="H604" s="351" t="s">
        <v>2406</v>
      </c>
      <c r="I604" s="352"/>
      <c r="J604" s="352"/>
      <c r="K604" s="352"/>
      <c r="L604" s="352"/>
      <c r="M604" s="352"/>
    </row>
    <row r="605" spans="5:13">
      <c r="E605" s="352"/>
      <c r="F605" s="352"/>
      <c r="G605" s="352"/>
      <c r="H605" s="352"/>
      <c r="I605" s="352"/>
      <c r="J605" s="352"/>
      <c r="K605" s="352"/>
      <c r="L605" s="352"/>
      <c r="M605" s="352"/>
    </row>
    <row r="606" spans="5:13">
      <c r="E606" s="352"/>
      <c r="F606" s="352">
        <v>1</v>
      </c>
      <c r="G606" s="352" t="s">
        <v>1419</v>
      </c>
      <c r="H606" s="352" t="s">
        <v>5217</v>
      </c>
      <c r="I606" s="421">
        <v>48.05</v>
      </c>
      <c r="J606" s="352" t="s">
        <v>1419</v>
      </c>
      <c r="K606" s="352">
        <f>F606*I606</f>
        <v>48.05</v>
      </c>
      <c r="L606" s="352"/>
      <c r="M606" s="352"/>
    </row>
    <row r="607" spans="5:13">
      <c r="E607" s="352"/>
      <c r="F607" s="352">
        <v>1</v>
      </c>
      <c r="G607" s="352" t="s">
        <v>1419</v>
      </c>
      <c r="H607" s="351" t="s">
        <v>2407</v>
      </c>
      <c r="I607" s="352">
        <f>K613</f>
        <v>234.63</v>
      </c>
      <c r="J607" s="352" t="s">
        <v>1419</v>
      </c>
      <c r="K607" s="352">
        <f>F607*I607</f>
        <v>234.63</v>
      </c>
      <c r="L607" s="352"/>
      <c r="M607" s="352"/>
    </row>
    <row r="608" spans="5:13">
      <c r="E608" s="352"/>
      <c r="F608" s="352">
        <v>1</v>
      </c>
      <c r="G608" s="352" t="s">
        <v>1419</v>
      </c>
      <c r="H608" s="352" t="s">
        <v>2408</v>
      </c>
      <c r="I608" s="441">
        <v>25</v>
      </c>
      <c r="J608" s="352" t="s">
        <v>2409</v>
      </c>
      <c r="K608" s="352">
        <f>F608*I608</f>
        <v>25</v>
      </c>
      <c r="L608" s="352"/>
      <c r="M608" s="352"/>
    </row>
    <row r="609" spans="5:57">
      <c r="E609" s="352"/>
      <c r="F609" s="352"/>
      <c r="G609" s="352"/>
      <c r="H609" s="352" t="s">
        <v>142</v>
      </c>
      <c r="I609" s="352"/>
      <c r="J609" s="352"/>
      <c r="K609" s="352">
        <f>K619</f>
        <v>501.25</v>
      </c>
      <c r="L609" s="352"/>
      <c r="M609" s="352"/>
    </row>
    <row r="610" spans="5:57">
      <c r="E610" s="352"/>
      <c r="F610" s="352"/>
      <c r="G610" s="352"/>
      <c r="H610" s="352" t="s">
        <v>2410</v>
      </c>
      <c r="I610" s="352"/>
      <c r="J610" s="352"/>
      <c r="K610" s="352">
        <v>9.82</v>
      </c>
      <c r="L610" s="352"/>
      <c r="M610" s="352"/>
    </row>
    <row r="611" spans="5:57">
      <c r="E611" s="352"/>
      <c r="F611" s="352"/>
      <c r="G611" s="352"/>
      <c r="H611" s="359" t="s">
        <v>2411</v>
      </c>
      <c r="I611" s="352"/>
      <c r="J611" s="352"/>
      <c r="K611" s="360">
        <f>SUM(K606:K610)</f>
        <v>818.75</v>
      </c>
      <c r="L611" s="352">
        <f>K611-592</f>
        <v>226.75</v>
      </c>
      <c r="M611" s="352"/>
    </row>
    <row r="612" spans="5:57">
      <c r="E612" s="352"/>
      <c r="F612" s="352"/>
      <c r="G612" s="352"/>
      <c r="H612" s="352"/>
      <c r="I612" s="352"/>
      <c r="J612" s="352"/>
      <c r="K612" s="352"/>
      <c r="L612" s="352"/>
      <c r="M612" s="352"/>
    </row>
    <row r="613" spans="5:57">
      <c r="E613" s="352"/>
      <c r="F613" s="352"/>
      <c r="G613" s="352"/>
      <c r="H613" s="360" t="s">
        <v>2412</v>
      </c>
      <c r="I613" s="352">
        <f>I591</f>
        <v>104280</v>
      </c>
      <c r="J613" s="372">
        <v>2.2499999999999998E-3</v>
      </c>
      <c r="K613" s="352">
        <f>I613*J613</f>
        <v>234.63</v>
      </c>
      <c r="L613" s="352"/>
      <c r="M613" s="352"/>
    </row>
    <row r="614" spans="5:57">
      <c r="E614" s="352"/>
      <c r="F614" s="352"/>
      <c r="G614" s="352"/>
      <c r="H614" s="352"/>
      <c r="I614" s="352"/>
      <c r="J614" s="352"/>
      <c r="K614" s="352"/>
      <c r="L614" s="352"/>
      <c r="M614" s="352"/>
    </row>
    <row r="615" spans="5:57">
      <c r="E615" s="352"/>
      <c r="F615" s="352"/>
      <c r="G615" s="352"/>
      <c r="H615" s="360" t="s">
        <v>931</v>
      </c>
      <c r="I615" s="352"/>
      <c r="J615" s="352"/>
      <c r="K615" s="352"/>
      <c r="L615" s="352"/>
      <c r="M615" s="352"/>
    </row>
    <row r="616" spans="5:57">
      <c r="E616" s="352"/>
      <c r="F616" s="352">
        <v>1</v>
      </c>
      <c r="G616" s="352" t="s">
        <v>1419</v>
      </c>
      <c r="H616" s="352" t="s">
        <v>2814</v>
      </c>
      <c r="I616" s="181">
        <f>I594</f>
        <v>783</v>
      </c>
      <c r="J616" s="352" t="s">
        <v>1419</v>
      </c>
      <c r="K616" s="352">
        <f>F616*I616</f>
        <v>783</v>
      </c>
      <c r="L616" s="352"/>
      <c r="M616" s="352"/>
    </row>
    <row r="617" spans="5:57">
      <c r="E617" s="352"/>
      <c r="F617" s="352">
        <v>2</v>
      </c>
      <c r="G617" s="352" t="s">
        <v>1419</v>
      </c>
      <c r="H617" s="352" t="s">
        <v>2634</v>
      </c>
      <c r="I617" s="181">
        <f>I596</f>
        <v>611</v>
      </c>
      <c r="J617" s="352" t="s">
        <v>1419</v>
      </c>
      <c r="K617" s="352">
        <f>F617*I617</f>
        <v>1222</v>
      </c>
      <c r="L617" s="352"/>
      <c r="M617" s="352"/>
    </row>
    <row r="618" spans="5:57">
      <c r="E618" s="352"/>
      <c r="F618" s="352"/>
      <c r="G618" s="352"/>
      <c r="H618" s="357" t="s">
        <v>2815</v>
      </c>
      <c r="I618" s="352"/>
      <c r="J618" s="352"/>
      <c r="K618" s="352">
        <f>SUM(K616:K617)</f>
        <v>2005</v>
      </c>
      <c r="L618" s="352"/>
      <c r="M618" s="352"/>
    </row>
    <row r="619" spans="5:57">
      <c r="E619" s="352"/>
      <c r="F619" s="352"/>
      <c r="G619" s="352"/>
      <c r="H619" s="359" t="s">
        <v>2841</v>
      </c>
      <c r="I619" s="352"/>
      <c r="J619" s="352"/>
      <c r="K619" s="360">
        <f>K618/4</f>
        <v>501.25</v>
      </c>
      <c r="L619" s="352"/>
      <c r="M619" s="352"/>
    </row>
    <row r="620" spans="5:57">
      <c r="E620" s="352"/>
      <c r="F620" s="352"/>
      <c r="G620" s="352"/>
      <c r="H620" s="352"/>
      <c r="I620" s="352"/>
      <c r="J620" s="352"/>
      <c r="K620" s="352"/>
      <c r="L620" s="352"/>
      <c r="M620" s="352"/>
    </row>
    <row r="621" spans="5:57">
      <c r="E621" s="352"/>
      <c r="F621" s="364"/>
      <c r="G621" s="364"/>
      <c r="H621" s="363" t="s">
        <v>2413</v>
      </c>
      <c r="I621" s="364"/>
      <c r="J621" s="364"/>
      <c r="K621" s="364"/>
      <c r="L621" s="364"/>
      <c r="M621" s="364"/>
      <c r="N621" s="153"/>
      <c r="O621" s="153"/>
      <c r="P621" s="153"/>
      <c r="Q621" s="153"/>
      <c r="R621" s="153"/>
      <c r="S621" s="153"/>
      <c r="T621" s="153"/>
      <c r="U621" s="153"/>
      <c r="V621" s="153"/>
      <c r="W621" s="153"/>
      <c r="X621" s="153"/>
      <c r="Y621" s="153"/>
      <c r="Z621" s="153"/>
      <c r="AA621" s="153"/>
      <c r="AB621" s="153"/>
      <c r="AC621" s="153"/>
      <c r="AD621" s="153"/>
      <c r="AE621" s="153"/>
      <c r="AF621" s="153"/>
      <c r="AG621" s="153"/>
      <c r="AH621" s="153"/>
      <c r="AI621" s="153"/>
      <c r="AJ621" s="153"/>
      <c r="AK621" s="153"/>
      <c r="AL621" s="153"/>
      <c r="AM621" s="153"/>
      <c r="AN621" s="153"/>
      <c r="AO621" s="153"/>
      <c r="AP621" s="153"/>
      <c r="AQ621" s="153"/>
      <c r="AR621" s="153"/>
      <c r="AS621" s="153"/>
      <c r="AT621" s="153"/>
      <c r="AU621" s="153"/>
      <c r="AV621" s="153"/>
      <c r="AW621" s="153"/>
      <c r="AX621" s="153"/>
      <c r="AY621" s="153"/>
      <c r="AZ621" s="153"/>
      <c r="BA621" s="153"/>
      <c r="BB621" s="153"/>
      <c r="BC621" s="153"/>
      <c r="BD621" s="153"/>
      <c r="BE621" s="153"/>
    </row>
    <row r="622" spans="5:57">
      <c r="E622" s="352"/>
      <c r="F622" s="352"/>
      <c r="G622" s="352"/>
      <c r="H622" s="360" t="s">
        <v>2414</v>
      </c>
      <c r="I622" s="352"/>
      <c r="J622" s="352"/>
      <c r="K622" s="352"/>
      <c r="L622" s="352"/>
      <c r="M622" s="352"/>
    </row>
    <row r="623" spans="5:57">
      <c r="E623" s="352"/>
      <c r="F623" s="352"/>
      <c r="G623" s="352"/>
      <c r="H623" s="352" t="s">
        <v>992</v>
      </c>
      <c r="I623" s="352"/>
      <c r="J623" s="352"/>
      <c r="K623" s="352"/>
      <c r="L623" s="352"/>
      <c r="M623" s="352"/>
    </row>
    <row r="624" spans="5:57">
      <c r="E624" s="352"/>
      <c r="F624" s="352">
        <v>1</v>
      </c>
      <c r="G624" s="352" t="s">
        <v>1419</v>
      </c>
      <c r="H624" s="352" t="s">
        <v>4467</v>
      </c>
      <c r="I624" s="456">
        <f>I554</f>
        <v>1520</v>
      </c>
      <c r="J624" s="352" t="s">
        <v>1419</v>
      </c>
      <c r="K624" s="352">
        <f>F624*I624</f>
        <v>1520</v>
      </c>
      <c r="L624" s="352"/>
      <c r="M624" s="352"/>
    </row>
    <row r="625" spans="5:13">
      <c r="E625" s="352"/>
      <c r="F625" s="352">
        <v>3</v>
      </c>
      <c r="G625" s="352" t="s">
        <v>1419</v>
      </c>
      <c r="H625" s="352" t="s">
        <v>5218</v>
      </c>
      <c r="I625" s="421">
        <v>128</v>
      </c>
      <c r="J625" s="352" t="s">
        <v>1419</v>
      </c>
      <c r="K625" s="352">
        <f>F625*I625</f>
        <v>384</v>
      </c>
      <c r="L625" s="352"/>
      <c r="M625" s="352"/>
    </row>
    <row r="626" spans="5:13">
      <c r="E626" s="352"/>
      <c r="F626" s="352"/>
      <c r="G626" s="352"/>
      <c r="H626" s="352" t="s">
        <v>2542</v>
      </c>
      <c r="I626" s="352"/>
      <c r="J626" s="352"/>
      <c r="K626" s="352">
        <f>K518</f>
        <v>789</v>
      </c>
      <c r="L626" s="352"/>
      <c r="M626" s="352"/>
    </row>
    <row r="627" spans="5:13">
      <c r="E627" s="352"/>
      <c r="F627" s="352"/>
      <c r="G627" s="352"/>
      <c r="H627" s="352" t="s">
        <v>2310</v>
      </c>
      <c r="I627" s="352"/>
      <c r="J627" s="352"/>
      <c r="K627" s="352">
        <v>2</v>
      </c>
      <c r="L627" s="352"/>
      <c r="M627" s="352"/>
    </row>
    <row r="628" spans="5:13">
      <c r="E628" s="352"/>
      <c r="F628" s="352"/>
      <c r="G628" s="352"/>
      <c r="H628" s="359" t="s">
        <v>2543</v>
      </c>
      <c r="I628" s="352"/>
      <c r="J628" s="352"/>
      <c r="K628" s="360">
        <f>SUM(K624:K627)</f>
        <v>2695</v>
      </c>
      <c r="L628" s="352"/>
      <c r="M628" s="352"/>
    </row>
    <row r="629" spans="5:13">
      <c r="E629" s="352"/>
      <c r="F629" s="352"/>
      <c r="G629" s="352"/>
      <c r="H629" s="352"/>
      <c r="I629" s="352"/>
      <c r="J629" s="352"/>
      <c r="K629" s="352"/>
      <c r="L629" s="352"/>
      <c r="M629" s="352"/>
    </row>
    <row r="630" spans="5:13">
      <c r="E630" s="352"/>
      <c r="F630" s="352"/>
      <c r="G630" s="352"/>
      <c r="H630" s="360" t="s">
        <v>2413</v>
      </c>
      <c r="I630" s="352"/>
      <c r="J630" s="352"/>
      <c r="K630" s="352"/>
      <c r="L630" s="352"/>
      <c r="M630" s="352"/>
    </row>
    <row r="631" spans="5:13">
      <c r="E631" s="352"/>
      <c r="F631" s="352"/>
      <c r="G631" s="352"/>
      <c r="H631" s="352"/>
      <c r="I631" s="352"/>
      <c r="J631" s="352"/>
      <c r="K631" s="352"/>
      <c r="L631" s="352"/>
      <c r="M631" s="352"/>
    </row>
    <row r="632" spans="5:13">
      <c r="E632" s="352"/>
      <c r="F632" s="352"/>
      <c r="G632" s="352"/>
      <c r="H632" s="360" t="s">
        <v>2544</v>
      </c>
      <c r="I632" s="352"/>
      <c r="J632" s="352"/>
      <c r="K632" s="352"/>
      <c r="L632" s="352"/>
      <c r="M632" s="352"/>
    </row>
    <row r="633" spans="5:13">
      <c r="E633" s="352"/>
      <c r="F633" s="352"/>
      <c r="G633" s="352"/>
      <c r="H633" s="352"/>
      <c r="I633" s="352"/>
      <c r="J633" s="352"/>
      <c r="K633" s="352"/>
      <c r="L633" s="352"/>
      <c r="M633" s="352"/>
    </row>
    <row r="634" spans="5:13">
      <c r="E634" s="352"/>
      <c r="F634" s="352">
        <v>1</v>
      </c>
      <c r="G634" s="352" t="s">
        <v>1419</v>
      </c>
      <c r="H634" s="352" t="s">
        <v>4469</v>
      </c>
      <c r="I634" s="181">
        <f>I559</f>
        <v>1876</v>
      </c>
      <c r="J634" s="352" t="s">
        <v>1419</v>
      </c>
      <c r="K634" s="352">
        <f>F634*I634</f>
        <v>1876</v>
      </c>
      <c r="L634" s="352"/>
      <c r="M634" s="352"/>
    </row>
    <row r="635" spans="5:13">
      <c r="E635" s="352"/>
      <c r="F635" s="352">
        <v>3</v>
      </c>
      <c r="G635" s="352" t="s">
        <v>1419</v>
      </c>
      <c r="H635" s="352" t="s">
        <v>4468</v>
      </c>
      <c r="I635" s="352">
        <f>I625</f>
        <v>128</v>
      </c>
      <c r="J635" s="352" t="s">
        <v>1419</v>
      </c>
      <c r="K635" s="352">
        <f>F635*I635</f>
        <v>384</v>
      </c>
      <c r="L635" s="352"/>
      <c r="M635" s="352"/>
    </row>
    <row r="636" spans="5:13">
      <c r="E636" s="352"/>
      <c r="F636" s="352"/>
      <c r="G636" s="352"/>
      <c r="H636" s="352" t="s">
        <v>2910</v>
      </c>
      <c r="I636" s="352"/>
      <c r="J636" s="352"/>
      <c r="K636" s="352">
        <f>K549</f>
        <v>803.5</v>
      </c>
      <c r="L636" s="352"/>
      <c r="M636" s="352"/>
    </row>
    <row r="637" spans="5:13">
      <c r="E637" s="352"/>
      <c r="F637" s="352"/>
      <c r="G637" s="352"/>
      <c r="H637" s="352" t="s">
        <v>2310</v>
      </c>
      <c r="I637" s="352"/>
      <c r="J637" s="352"/>
      <c r="K637" s="352">
        <f>5</f>
        <v>5</v>
      </c>
      <c r="L637" s="352"/>
      <c r="M637" s="352"/>
    </row>
    <row r="638" spans="5:13">
      <c r="E638" s="352"/>
      <c r="F638" s="352"/>
      <c r="G638" s="352"/>
      <c r="H638" s="359" t="s">
        <v>2911</v>
      </c>
      <c r="I638" s="352"/>
      <c r="J638" s="352"/>
      <c r="K638" s="360">
        <f>SUM(K634:K637)</f>
        <v>3068.5</v>
      </c>
      <c r="L638" s="352">
        <f>K638-2695</f>
        <v>373.5</v>
      </c>
      <c r="M638" s="352"/>
    </row>
    <row r="639" spans="5:13">
      <c r="E639" s="352"/>
      <c r="F639" s="352"/>
      <c r="G639" s="352"/>
      <c r="H639" s="352"/>
      <c r="I639" s="352"/>
      <c r="J639" s="352"/>
      <c r="K639" s="352"/>
      <c r="L639" s="352"/>
      <c r="M639" s="352"/>
    </row>
    <row r="640" spans="5:13">
      <c r="E640" s="352"/>
      <c r="F640" s="352"/>
      <c r="G640" s="352"/>
      <c r="H640" s="360" t="s">
        <v>2912</v>
      </c>
      <c r="I640" s="352"/>
      <c r="J640" s="352"/>
      <c r="K640" s="352"/>
      <c r="L640" s="352"/>
      <c r="M640" s="352"/>
    </row>
    <row r="641" spans="5:13">
      <c r="E641" s="352"/>
      <c r="F641" s="352"/>
      <c r="G641" s="352"/>
      <c r="H641" s="352"/>
      <c r="I641" s="352"/>
      <c r="J641" s="352"/>
      <c r="K641" s="352"/>
      <c r="L641" s="352"/>
      <c r="M641" s="352"/>
    </row>
    <row r="642" spans="5:13">
      <c r="E642" s="352"/>
      <c r="F642" s="352"/>
      <c r="G642" s="352"/>
      <c r="H642" s="360" t="s">
        <v>2913</v>
      </c>
      <c r="I642" s="352"/>
      <c r="J642" s="352"/>
      <c r="K642" s="352"/>
      <c r="L642" s="352"/>
      <c r="M642" s="352"/>
    </row>
    <row r="643" spans="5:13">
      <c r="E643" s="352"/>
      <c r="F643" s="352"/>
      <c r="G643" s="352"/>
      <c r="H643" s="352"/>
      <c r="I643" s="352"/>
      <c r="J643" s="352"/>
      <c r="K643" s="352"/>
      <c r="L643" s="352"/>
      <c r="M643" s="352"/>
    </row>
    <row r="644" spans="5:13" ht="78.75">
      <c r="E644" s="352"/>
      <c r="F644" s="352"/>
      <c r="G644" s="352"/>
      <c r="H644" s="351" t="s">
        <v>3452</v>
      </c>
      <c r="I644" s="352"/>
      <c r="J644" s="352"/>
      <c r="K644" s="352"/>
      <c r="L644" s="352"/>
      <c r="M644" s="352"/>
    </row>
    <row r="645" spans="5:13">
      <c r="E645" s="352"/>
      <c r="F645" s="352"/>
      <c r="G645" s="352"/>
      <c r="H645" s="352"/>
      <c r="I645" s="352"/>
      <c r="J645" s="352"/>
      <c r="K645" s="352"/>
      <c r="L645" s="352"/>
      <c r="M645" s="352"/>
    </row>
    <row r="646" spans="5:13">
      <c r="E646" s="352"/>
      <c r="F646" s="352">
        <v>3</v>
      </c>
      <c r="G646" s="352" t="s">
        <v>1419</v>
      </c>
      <c r="H646" s="352" t="s">
        <v>2914</v>
      </c>
      <c r="I646" s="352">
        <f>I566</f>
        <v>85.2</v>
      </c>
      <c r="J646" s="352" t="s">
        <v>1419</v>
      </c>
      <c r="K646" s="352">
        <f>F646*I646</f>
        <v>255.6</v>
      </c>
      <c r="L646" s="352"/>
      <c r="M646" s="352"/>
    </row>
    <row r="647" spans="5:13">
      <c r="E647" s="352"/>
      <c r="F647" s="352">
        <v>1</v>
      </c>
      <c r="G647" s="352" t="s">
        <v>1419</v>
      </c>
      <c r="H647" s="351" t="s">
        <v>2915</v>
      </c>
      <c r="I647" s="352">
        <f>K653</f>
        <v>351.95</v>
      </c>
      <c r="J647" s="352" t="s">
        <v>1419</v>
      </c>
      <c r="K647" s="352">
        <f>F647*I647</f>
        <v>351.95</v>
      </c>
      <c r="L647" s="352"/>
      <c r="M647" s="352"/>
    </row>
    <row r="648" spans="5:13">
      <c r="E648" s="352"/>
      <c r="F648" s="352">
        <v>1</v>
      </c>
      <c r="G648" s="352" t="s">
        <v>1419</v>
      </c>
      <c r="H648" s="352" t="s">
        <v>2408</v>
      </c>
      <c r="I648" s="352">
        <f>I608</f>
        <v>25</v>
      </c>
      <c r="J648" s="352" t="s">
        <v>2409</v>
      </c>
      <c r="K648" s="352">
        <f>F648*I648</f>
        <v>25</v>
      </c>
      <c r="L648" s="352"/>
      <c r="M648" s="352"/>
    </row>
    <row r="649" spans="5:13">
      <c r="E649" s="352"/>
      <c r="F649" s="352"/>
      <c r="G649" s="352"/>
      <c r="H649" s="352" t="s">
        <v>142</v>
      </c>
      <c r="I649" s="352"/>
      <c r="J649" s="352"/>
      <c r="K649" s="352">
        <f>K659</f>
        <v>668.33</v>
      </c>
      <c r="L649" s="352"/>
      <c r="M649" s="352"/>
    </row>
    <row r="650" spans="5:13">
      <c r="E650" s="352"/>
      <c r="F650" s="352"/>
      <c r="G650" s="352"/>
      <c r="H650" s="352" t="s">
        <v>2410</v>
      </c>
      <c r="I650" s="352"/>
      <c r="J650" s="352"/>
      <c r="K650" s="352">
        <v>8.1199999999999992</v>
      </c>
      <c r="L650" s="352"/>
      <c r="M650" s="352"/>
    </row>
    <row r="651" spans="5:13">
      <c r="E651" s="352"/>
      <c r="F651" s="352"/>
      <c r="G651" s="352"/>
      <c r="H651" s="359" t="s">
        <v>2411</v>
      </c>
      <c r="I651" s="352"/>
      <c r="J651" s="352"/>
      <c r="K651" s="360">
        <f>SUM(K646:K650)</f>
        <v>1309</v>
      </c>
      <c r="L651" s="352">
        <f>1309-K651</f>
        <v>0</v>
      </c>
      <c r="M651" s="352"/>
    </row>
    <row r="652" spans="5:13">
      <c r="E652" s="352"/>
      <c r="F652" s="352"/>
      <c r="G652" s="352"/>
      <c r="H652" s="352"/>
      <c r="I652" s="352"/>
      <c r="J652" s="352"/>
      <c r="K652" s="352"/>
      <c r="L652" s="352"/>
      <c r="M652" s="352"/>
    </row>
    <row r="653" spans="5:13">
      <c r="E653" s="352"/>
      <c r="F653" s="352"/>
      <c r="G653" s="352"/>
      <c r="H653" s="360" t="s">
        <v>2916</v>
      </c>
      <c r="I653" s="352">
        <f>I613</f>
        <v>104280</v>
      </c>
      <c r="J653" s="372">
        <v>3.375E-3</v>
      </c>
      <c r="K653" s="352">
        <f>I653*J653</f>
        <v>351.95</v>
      </c>
      <c r="L653" s="352"/>
      <c r="M653" s="352"/>
    </row>
    <row r="654" spans="5:13">
      <c r="E654" s="352"/>
      <c r="F654" s="352"/>
      <c r="G654" s="352"/>
      <c r="H654" s="352"/>
      <c r="I654" s="352"/>
      <c r="J654" s="352"/>
      <c r="K654" s="352"/>
      <c r="L654" s="352"/>
      <c r="M654" s="352"/>
    </row>
    <row r="655" spans="5:13">
      <c r="E655" s="352"/>
      <c r="F655" s="352"/>
      <c r="G655" s="352"/>
      <c r="H655" s="358" t="s">
        <v>931</v>
      </c>
      <c r="I655" s="352"/>
      <c r="J655" s="352"/>
      <c r="K655" s="352"/>
      <c r="L655" s="352"/>
      <c r="M655" s="352"/>
    </row>
    <row r="656" spans="5:13">
      <c r="E656" s="352"/>
      <c r="F656" s="352">
        <v>1</v>
      </c>
      <c r="G656" s="352" t="s">
        <v>1419</v>
      </c>
      <c r="H656" s="352" t="s">
        <v>2814</v>
      </c>
      <c r="I656" s="352">
        <f>I616</f>
        <v>783</v>
      </c>
      <c r="J656" s="352" t="s">
        <v>1419</v>
      </c>
      <c r="K656" s="352">
        <f>F656*I656</f>
        <v>783</v>
      </c>
      <c r="L656" s="352"/>
      <c r="M656" s="352"/>
    </row>
    <row r="657" spans="5:20">
      <c r="E657" s="352"/>
      <c r="F657" s="352">
        <v>2</v>
      </c>
      <c r="G657" s="352" t="s">
        <v>1419</v>
      </c>
      <c r="H657" s="352" t="s">
        <v>2634</v>
      </c>
      <c r="I657" s="352">
        <f>I617</f>
        <v>611</v>
      </c>
      <c r="J657" s="352" t="s">
        <v>1419</v>
      </c>
      <c r="K657" s="352">
        <f>F657*I657</f>
        <v>1222</v>
      </c>
      <c r="L657" s="352"/>
      <c r="M657" s="352"/>
    </row>
    <row r="658" spans="5:20">
      <c r="E658" s="352"/>
      <c r="F658" s="352"/>
      <c r="G658" s="352"/>
      <c r="H658" s="357" t="s">
        <v>2917</v>
      </c>
      <c r="I658" s="352"/>
      <c r="J658" s="360"/>
      <c r="K658" s="361">
        <f>SUM(K656:K657)</f>
        <v>2005</v>
      </c>
      <c r="L658" s="352"/>
      <c r="M658" s="352"/>
    </row>
    <row r="659" spans="5:20">
      <c r="E659" s="352"/>
      <c r="F659" s="352"/>
      <c r="G659" s="352"/>
      <c r="H659" s="359" t="s">
        <v>2841</v>
      </c>
      <c r="I659" s="352"/>
      <c r="J659" s="360"/>
      <c r="K659" s="360">
        <f>K658/3</f>
        <v>668.33</v>
      </c>
      <c r="L659" s="352"/>
      <c r="M659" s="352"/>
    </row>
    <row r="660" spans="5:20">
      <c r="E660" s="352"/>
      <c r="F660" s="352"/>
      <c r="G660" s="352"/>
      <c r="H660" s="352"/>
      <c r="I660" s="352"/>
      <c r="J660" s="352"/>
      <c r="K660" s="352"/>
      <c r="L660" s="352"/>
      <c r="M660" s="352"/>
    </row>
    <row r="661" spans="5:20">
      <c r="E661" s="352"/>
      <c r="F661" s="352"/>
      <c r="G661" s="352"/>
      <c r="H661" s="360" t="s">
        <v>2918</v>
      </c>
      <c r="I661" s="352"/>
      <c r="J661" s="352"/>
      <c r="K661" s="352"/>
      <c r="L661" s="352"/>
      <c r="M661" s="352"/>
    </row>
    <row r="662" spans="5:20">
      <c r="E662" s="352"/>
      <c r="F662" s="352"/>
      <c r="G662" s="352"/>
      <c r="H662" s="352"/>
      <c r="I662" s="352"/>
      <c r="J662" s="352"/>
      <c r="K662" s="352"/>
      <c r="L662" s="352"/>
      <c r="M662" s="352"/>
    </row>
    <row r="663" spans="5:20" ht="47.25">
      <c r="E663" s="352"/>
      <c r="F663" s="352"/>
      <c r="G663" s="352"/>
      <c r="H663" s="350" t="s">
        <v>2747</v>
      </c>
      <c r="I663" s="352"/>
      <c r="J663" s="352"/>
      <c r="K663" s="352"/>
      <c r="L663" s="352"/>
      <c r="M663" s="352"/>
      <c r="N663" s="352"/>
      <c r="O663" s="350" t="s">
        <v>307</v>
      </c>
      <c r="P663" s="352"/>
      <c r="Q663" s="352"/>
      <c r="R663" s="352"/>
    </row>
    <row r="664" spans="5:20" ht="31.5">
      <c r="E664" s="352"/>
      <c r="F664" s="352">
        <v>180</v>
      </c>
      <c r="G664" s="352" t="s">
        <v>842</v>
      </c>
      <c r="H664" s="351" t="s">
        <v>3985</v>
      </c>
      <c r="I664" s="456">
        <f>I281</f>
        <v>40.950000000000003</v>
      </c>
      <c r="J664" s="352" t="s">
        <v>842</v>
      </c>
      <c r="K664" s="352">
        <f>F664*I664</f>
        <v>7371</v>
      </c>
      <c r="L664" s="352"/>
      <c r="M664" s="352">
        <v>180</v>
      </c>
      <c r="N664" s="352" t="s">
        <v>842</v>
      </c>
      <c r="O664" s="351" t="s">
        <v>3984</v>
      </c>
      <c r="P664" s="353">
        <f>I270</f>
        <v>25.75</v>
      </c>
      <c r="Q664" s="352" t="s">
        <v>842</v>
      </c>
      <c r="R664" s="352">
        <f>M664*P664</f>
        <v>4635</v>
      </c>
    </row>
    <row r="665" spans="5:20">
      <c r="E665" s="352"/>
      <c r="F665" s="352">
        <v>4</v>
      </c>
      <c r="G665" s="352" t="s">
        <v>1676</v>
      </c>
      <c r="H665" s="352" t="s">
        <v>4851</v>
      </c>
      <c r="I665" s="353">
        <v>101.5</v>
      </c>
      <c r="J665" s="352" t="s">
        <v>1676</v>
      </c>
      <c r="K665" s="352">
        <f>F665*I665</f>
        <v>406</v>
      </c>
      <c r="L665" s="352"/>
      <c r="M665" s="352">
        <v>4</v>
      </c>
      <c r="N665" s="352" t="s">
        <v>1676</v>
      </c>
      <c r="O665" s="352" t="s">
        <v>3397</v>
      </c>
      <c r="P665" s="353">
        <f>I665</f>
        <v>101.5</v>
      </c>
      <c r="Q665" s="352" t="s">
        <v>1676</v>
      </c>
      <c r="R665" s="352">
        <f>M665*P665</f>
        <v>406</v>
      </c>
    </row>
    <row r="666" spans="5:20">
      <c r="E666" s="352"/>
      <c r="F666" s="352">
        <v>180</v>
      </c>
      <c r="G666" s="352" t="s">
        <v>1423</v>
      </c>
      <c r="H666" s="352" t="s">
        <v>5755</v>
      </c>
      <c r="I666" s="353">
        <f>ROUND(6.6/12,2)</f>
        <v>0.55000000000000004</v>
      </c>
      <c r="J666" s="352" t="s">
        <v>1423</v>
      </c>
      <c r="K666" s="352">
        <f>F666*I666</f>
        <v>99</v>
      </c>
      <c r="L666" s="352"/>
      <c r="M666" s="352">
        <v>180</v>
      </c>
      <c r="N666" s="352" t="s">
        <v>1423</v>
      </c>
      <c r="O666" s="352" t="s">
        <v>2749</v>
      </c>
      <c r="P666" s="353">
        <f>I666</f>
        <v>0.55000000000000004</v>
      </c>
      <c r="Q666" s="352" t="s">
        <v>1423</v>
      </c>
      <c r="R666" s="352">
        <f>M666*P666</f>
        <v>99</v>
      </c>
    </row>
    <row r="667" spans="5:20">
      <c r="E667" s="352"/>
      <c r="F667" s="352">
        <v>1</v>
      </c>
      <c r="G667" s="352" t="s">
        <v>1676</v>
      </c>
      <c r="H667" s="352" t="s">
        <v>2750</v>
      </c>
      <c r="I667" s="456">
        <f>I665</f>
        <v>101.5</v>
      </c>
      <c r="J667" s="352" t="s">
        <v>1676</v>
      </c>
      <c r="K667" s="352">
        <f>F667*I667</f>
        <v>101.5</v>
      </c>
      <c r="L667" s="352"/>
      <c r="M667" s="352">
        <v>1</v>
      </c>
      <c r="N667" s="352" t="s">
        <v>1676</v>
      </c>
      <c r="O667" s="352" t="s">
        <v>2750</v>
      </c>
      <c r="P667" s="353">
        <f>I667</f>
        <v>101.5</v>
      </c>
      <c r="Q667" s="352" t="s">
        <v>1676</v>
      </c>
      <c r="R667" s="352">
        <f>M667*P667</f>
        <v>101.5</v>
      </c>
    </row>
    <row r="668" spans="5:20">
      <c r="E668" s="352"/>
      <c r="F668" s="352"/>
      <c r="G668" s="352"/>
      <c r="H668" s="352" t="s">
        <v>931</v>
      </c>
      <c r="I668" s="352"/>
      <c r="J668" s="352"/>
      <c r="K668" s="352">
        <f>K677</f>
        <v>5853</v>
      </c>
      <c r="L668" s="352"/>
      <c r="M668" s="352"/>
      <c r="N668" s="352"/>
      <c r="O668" s="352" t="s">
        <v>931</v>
      </c>
      <c r="P668" s="352"/>
      <c r="Q668" s="352"/>
      <c r="R668" s="352">
        <f>R677</f>
        <v>5853</v>
      </c>
    </row>
    <row r="669" spans="5:20">
      <c r="E669" s="352"/>
      <c r="F669" s="352"/>
      <c r="G669" s="352"/>
      <c r="H669" s="352" t="s">
        <v>2751</v>
      </c>
      <c r="I669" s="352"/>
      <c r="J669" s="352"/>
      <c r="K669" s="352">
        <v>74.5</v>
      </c>
      <c r="L669" s="352"/>
      <c r="M669" s="352"/>
      <c r="N669" s="352"/>
      <c r="O669" s="352" t="s">
        <v>2751</v>
      </c>
      <c r="P669" s="352"/>
      <c r="Q669" s="352"/>
      <c r="R669" s="352">
        <v>45.1</v>
      </c>
    </row>
    <row r="670" spans="5:20">
      <c r="E670" s="352"/>
      <c r="F670" s="352"/>
      <c r="G670" s="352"/>
      <c r="H670" s="357" t="s">
        <v>2752</v>
      </c>
      <c r="I670" s="352"/>
      <c r="J670" s="352"/>
      <c r="K670" s="352">
        <f>SUM(K664:K669)</f>
        <v>13905</v>
      </c>
      <c r="L670" s="352">
        <f>154.5*90</f>
        <v>13905</v>
      </c>
      <c r="M670" s="352"/>
      <c r="N670" s="352"/>
      <c r="O670" s="357" t="s">
        <v>2752</v>
      </c>
      <c r="P670" s="352"/>
      <c r="Q670" s="352"/>
      <c r="R670" s="352">
        <f>SUM(R664:R669)</f>
        <v>11139.6</v>
      </c>
    </row>
    <row r="671" spans="5:20">
      <c r="E671" s="352"/>
      <c r="F671" s="352"/>
      <c r="G671" s="352"/>
      <c r="H671" s="359" t="s">
        <v>2433</v>
      </c>
      <c r="I671" s="352"/>
      <c r="J671" s="352"/>
      <c r="K671" s="360">
        <f>K670/90</f>
        <v>154.5</v>
      </c>
      <c r="L671" s="352">
        <f>L670-K670</f>
        <v>0</v>
      </c>
      <c r="M671" s="352"/>
      <c r="N671" s="352"/>
      <c r="O671" s="359" t="s">
        <v>2433</v>
      </c>
      <c r="P671" s="352"/>
      <c r="Q671" s="352"/>
      <c r="R671" s="360">
        <f>R670/90</f>
        <v>123.77</v>
      </c>
      <c r="S671" s="180">
        <f>114.2*90</f>
        <v>10278</v>
      </c>
      <c r="T671" s="180">
        <f>S671-R670</f>
        <v>-861.6</v>
      </c>
    </row>
    <row r="672" spans="5:20">
      <c r="E672" s="352"/>
      <c r="F672" s="352"/>
      <c r="G672" s="352"/>
      <c r="H672" s="358" t="s">
        <v>2691</v>
      </c>
      <c r="I672" s="352"/>
      <c r="J672" s="352"/>
      <c r="K672" s="352"/>
      <c r="L672" s="352"/>
      <c r="M672" s="352"/>
      <c r="N672" s="352"/>
      <c r="O672" s="358" t="s">
        <v>2691</v>
      </c>
      <c r="P672" s="352"/>
      <c r="Q672" s="352"/>
      <c r="R672" s="352"/>
    </row>
    <row r="673" spans="5:18">
      <c r="E673" s="352"/>
      <c r="F673" s="352">
        <v>1</v>
      </c>
      <c r="G673" s="352" t="s">
        <v>1419</v>
      </c>
      <c r="H673" s="361" t="s">
        <v>2753</v>
      </c>
      <c r="I673" s="352">
        <f>I35</f>
        <v>898</v>
      </c>
      <c r="J673" s="352" t="s">
        <v>1419</v>
      </c>
      <c r="K673" s="352">
        <f>F673*I673</f>
        <v>898</v>
      </c>
      <c r="L673" s="352"/>
      <c r="M673" s="352">
        <v>1</v>
      </c>
      <c r="N673" s="352" t="s">
        <v>1419</v>
      </c>
      <c r="O673" s="361" t="s">
        <v>2753</v>
      </c>
      <c r="P673" s="352">
        <f>I673</f>
        <v>898</v>
      </c>
      <c r="Q673" s="352" t="s">
        <v>1419</v>
      </c>
      <c r="R673" s="352">
        <f>M673*P673</f>
        <v>898</v>
      </c>
    </row>
    <row r="674" spans="5:18">
      <c r="E674" s="352"/>
      <c r="F674" s="352">
        <v>2</v>
      </c>
      <c r="G674" s="352" t="s">
        <v>1419</v>
      </c>
      <c r="H674" s="352" t="s">
        <v>2814</v>
      </c>
      <c r="I674" s="352">
        <f>I36</f>
        <v>783</v>
      </c>
      <c r="J674" s="352" t="s">
        <v>1419</v>
      </c>
      <c r="K674" s="352">
        <f>F674*I674</f>
        <v>1566</v>
      </c>
      <c r="L674" s="352"/>
      <c r="M674" s="352">
        <v>2</v>
      </c>
      <c r="N674" s="352" t="s">
        <v>1419</v>
      </c>
      <c r="O674" s="352" t="s">
        <v>2814</v>
      </c>
      <c r="P674" s="352">
        <f>I674</f>
        <v>783</v>
      </c>
      <c r="Q674" s="352" t="s">
        <v>1419</v>
      </c>
      <c r="R674" s="352">
        <f>M674*P674</f>
        <v>1566</v>
      </c>
    </row>
    <row r="675" spans="5:18">
      <c r="E675" s="352"/>
      <c r="F675" s="352">
        <v>2</v>
      </c>
      <c r="G675" s="352" t="s">
        <v>1419</v>
      </c>
      <c r="H675" s="352" t="s">
        <v>2633</v>
      </c>
      <c r="I675" s="352">
        <f>I37</f>
        <v>778</v>
      </c>
      <c r="J675" s="352" t="s">
        <v>1419</v>
      </c>
      <c r="K675" s="352">
        <f>F675*I675</f>
        <v>1556</v>
      </c>
      <c r="L675" s="352"/>
      <c r="M675" s="352">
        <v>2</v>
      </c>
      <c r="N675" s="352" t="s">
        <v>1419</v>
      </c>
      <c r="O675" s="352" t="s">
        <v>2633</v>
      </c>
      <c r="P675" s="352">
        <f>I675</f>
        <v>778</v>
      </c>
      <c r="Q675" s="352" t="s">
        <v>1419</v>
      </c>
      <c r="R675" s="352">
        <f>M675*P675</f>
        <v>1556</v>
      </c>
    </row>
    <row r="676" spans="5:18">
      <c r="E676" s="352"/>
      <c r="F676" s="352">
        <v>3</v>
      </c>
      <c r="G676" s="352" t="s">
        <v>1419</v>
      </c>
      <c r="H676" s="352" t="s">
        <v>2370</v>
      </c>
      <c r="I676" s="352">
        <f>I38</f>
        <v>611</v>
      </c>
      <c r="J676" s="352" t="s">
        <v>1419</v>
      </c>
      <c r="K676" s="352">
        <f>F676*I676</f>
        <v>1833</v>
      </c>
      <c r="L676" s="352"/>
      <c r="M676" s="352">
        <v>3</v>
      </c>
      <c r="N676" s="352" t="s">
        <v>1419</v>
      </c>
      <c r="O676" s="352" t="s">
        <v>2370</v>
      </c>
      <c r="P676" s="352">
        <f>I676</f>
        <v>611</v>
      </c>
      <c r="Q676" s="352" t="s">
        <v>1419</v>
      </c>
      <c r="R676" s="352">
        <f>M676*P676</f>
        <v>1833</v>
      </c>
    </row>
    <row r="677" spans="5:18">
      <c r="E677" s="352"/>
      <c r="F677" s="352"/>
      <c r="G677" s="352"/>
      <c r="H677" s="352"/>
      <c r="I677" s="352"/>
      <c r="J677" s="352"/>
      <c r="K677" s="360">
        <f>SUM(K673:K676)</f>
        <v>5853</v>
      </c>
      <c r="L677" s="352"/>
      <c r="M677" s="352"/>
      <c r="N677" s="352"/>
      <c r="O677" s="352"/>
      <c r="P677" s="352"/>
      <c r="Q677" s="352"/>
      <c r="R677" s="360">
        <f>SUM(R673:R676)</f>
        <v>5853</v>
      </c>
    </row>
    <row r="678" spans="5:18">
      <c r="E678" s="352"/>
      <c r="F678" s="352"/>
      <c r="G678" s="352"/>
      <c r="H678" s="352"/>
      <c r="I678" s="352"/>
      <c r="J678" s="352"/>
      <c r="K678" s="352"/>
      <c r="L678" s="352"/>
      <c r="M678" s="352"/>
    </row>
    <row r="679" spans="5:18">
      <c r="E679" s="352"/>
      <c r="F679" s="352"/>
      <c r="G679" s="352"/>
      <c r="H679" s="360" t="s">
        <v>2754</v>
      </c>
      <c r="I679" s="352"/>
      <c r="J679" s="352"/>
      <c r="K679" s="352"/>
      <c r="L679" s="352"/>
      <c r="M679" s="352"/>
    </row>
    <row r="680" spans="5:18" ht="31.5">
      <c r="E680" s="352"/>
      <c r="F680" s="352"/>
      <c r="G680" s="352"/>
      <c r="H680" s="350" t="s">
        <v>2345</v>
      </c>
      <c r="I680" s="352"/>
      <c r="J680" s="352"/>
      <c r="K680" s="352"/>
      <c r="L680" s="352"/>
      <c r="M680" s="352"/>
    </row>
    <row r="681" spans="5:18">
      <c r="E681" s="352"/>
      <c r="F681" s="352"/>
      <c r="G681" s="352"/>
      <c r="H681" s="352"/>
      <c r="I681" s="352"/>
      <c r="J681" s="352"/>
      <c r="K681" s="352"/>
      <c r="L681" s="352"/>
      <c r="M681" s="352"/>
    </row>
    <row r="682" spans="5:18" ht="47.25">
      <c r="E682" s="352"/>
      <c r="F682" s="352"/>
      <c r="G682" s="352"/>
      <c r="H682" s="351" t="s">
        <v>3986</v>
      </c>
      <c r="I682" s="352"/>
      <c r="J682" s="352"/>
      <c r="K682" s="352"/>
      <c r="L682" s="352"/>
      <c r="M682" s="352"/>
    </row>
    <row r="683" spans="5:18">
      <c r="E683" s="352"/>
      <c r="F683" s="352">
        <v>1</v>
      </c>
      <c r="G683" s="352" t="s">
        <v>842</v>
      </c>
      <c r="H683" s="352" t="s">
        <v>5219</v>
      </c>
      <c r="I683" s="353">
        <v>128</v>
      </c>
      <c r="J683" s="352" t="s">
        <v>842</v>
      </c>
      <c r="K683" s="357">
        <f>F683*I683</f>
        <v>128</v>
      </c>
      <c r="L683" s="352"/>
      <c r="M683" s="352"/>
    </row>
    <row r="684" spans="5:18">
      <c r="E684" s="352"/>
      <c r="F684" s="352"/>
      <c r="G684" s="352"/>
      <c r="H684" s="352" t="s">
        <v>2310</v>
      </c>
      <c r="I684" s="352"/>
      <c r="J684" s="352"/>
      <c r="K684" s="357">
        <v>2</v>
      </c>
      <c r="L684" s="352"/>
      <c r="M684" s="352"/>
    </row>
    <row r="685" spans="5:18">
      <c r="E685" s="352"/>
      <c r="F685" s="352"/>
      <c r="G685" s="352"/>
      <c r="H685" s="359" t="s">
        <v>3436</v>
      </c>
      <c r="I685" s="352"/>
      <c r="J685" s="352"/>
      <c r="K685" s="359">
        <f>SUM(K683:K684)</f>
        <v>130</v>
      </c>
      <c r="L685" s="352"/>
      <c r="M685" s="352">
        <f>K685-123</f>
        <v>7</v>
      </c>
    </row>
    <row r="686" spans="5:18">
      <c r="E686" s="352"/>
      <c r="F686" s="352"/>
      <c r="G686" s="352"/>
      <c r="H686" s="352"/>
      <c r="I686" s="352"/>
      <c r="J686" s="352"/>
      <c r="K686" s="352"/>
      <c r="L686" s="352"/>
      <c r="M686" s="352"/>
    </row>
    <row r="687" spans="5:18">
      <c r="E687" s="352"/>
      <c r="F687" s="352"/>
      <c r="G687" s="352"/>
      <c r="H687" s="360" t="s">
        <v>3437</v>
      </c>
      <c r="I687" s="352"/>
      <c r="J687" s="352"/>
      <c r="K687" s="352"/>
      <c r="L687" s="352"/>
      <c r="M687" s="352"/>
    </row>
    <row r="688" spans="5:18">
      <c r="E688" s="352"/>
      <c r="F688" s="352"/>
      <c r="G688" s="352"/>
      <c r="H688" s="360" t="s">
        <v>3438</v>
      </c>
      <c r="I688" s="352"/>
      <c r="J688" s="352"/>
      <c r="K688" s="352"/>
      <c r="L688" s="352"/>
      <c r="M688" s="352"/>
    </row>
    <row r="689" spans="5:13">
      <c r="E689" s="352"/>
      <c r="F689" s="352"/>
      <c r="G689" s="352"/>
      <c r="H689" s="352"/>
      <c r="I689" s="352"/>
      <c r="J689" s="352"/>
      <c r="K689" s="352"/>
      <c r="L689" s="352"/>
      <c r="M689" s="352"/>
    </row>
    <row r="690" spans="5:13" ht="47.25">
      <c r="E690" s="352"/>
      <c r="F690" s="352"/>
      <c r="G690" s="352"/>
      <c r="H690" s="373" t="s">
        <v>3439</v>
      </c>
      <c r="I690" s="352"/>
      <c r="J690" s="352"/>
      <c r="K690" s="352"/>
      <c r="L690" s="352"/>
      <c r="M690" s="352"/>
    </row>
    <row r="691" spans="5:13">
      <c r="E691" s="352"/>
      <c r="F691" s="352">
        <v>1</v>
      </c>
      <c r="G691" s="352" t="s">
        <v>842</v>
      </c>
      <c r="H691" s="352" t="s">
        <v>5220</v>
      </c>
      <c r="I691" s="353">
        <v>57.6</v>
      </c>
      <c r="J691" s="352" t="s">
        <v>364</v>
      </c>
      <c r="K691" s="352">
        <f>F692*I691</f>
        <v>187.2</v>
      </c>
      <c r="L691" s="352"/>
      <c r="M691" s="352"/>
    </row>
    <row r="692" spans="5:13">
      <c r="E692" s="352"/>
      <c r="F692" s="352">
        <v>3.25</v>
      </c>
      <c r="G692" s="352" t="s">
        <v>3440</v>
      </c>
      <c r="H692" s="352"/>
      <c r="I692" s="352"/>
      <c r="J692" s="352"/>
      <c r="K692" s="352"/>
      <c r="L692" s="352"/>
      <c r="M692" s="352"/>
    </row>
    <row r="693" spans="5:13">
      <c r="E693" s="352"/>
      <c r="F693" s="352"/>
      <c r="G693" s="352"/>
      <c r="H693" s="352" t="s">
        <v>2310</v>
      </c>
      <c r="I693" s="352"/>
      <c r="J693" s="352"/>
      <c r="K693" s="352">
        <v>2.7</v>
      </c>
      <c r="L693" s="352"/>
      <c r="M693" s="352"/>
    </row>
    <row r="694" spans="5:13">
      <c r="E694" s="352"/>
      <c r="F694" s="352"/>
      <c r="G694" s="352"/>
      <c r="H694" s="359" t="s">
        <v>2809</v>
      </c>
      <c r="I694" s="352"/>
      <c r="J694" s="352"/>
      <c r="K694" s="360">
        <f>SUM(K691:K693)</f>
        <v>189.9</v>
      </c>
      <c r="L694" s="352">
        <f>K694-145</f>
        <v>44.9</v>
      </c>
      <c r="M694" s="352"/>
    </row>
    <row r="695" spans="5:13">
      <c r="E695" s="352"/>
      <c r="F695" s="352"/>
      <c r="G695" s="352"/>
      <c r="H695" s="359"/>
      <c r="I695" s="352"/>
      <c r="J695" s="352"/>
      <c r="K695" s="360"/>
      <c r="L695" s="352"/>
      <c r="M695" s="352"/>
    </row>
    <row r="696" spans="5:13">
      <c r="E696" s="352"/>
      <c r="F696" s="352"/>
      <c r="G696" s="352"/>
      <c r="H696" s="360" t="s">
        <v>3441</v>
      </c>
      <c r="I696" s="352"/>
      <c r="J696" s="352"/>
      <c r="K696" s="352"/>
      <c r="L696" s="352"/>
      <c r="M696" s="352"/>
    </row>
    <row r="697" spans="5:13">
      <c r="E697" s="352"/>
      <c r="F697" s="352"/>
      <c r="G697" s="352"/>
      <c r="H697" s="352"/>
      <c r="I697" s="352"/>
      <c r="J697" s="352"/>
      <c r="K697" s="352"/>
      <c r="L697" s="352"/>
      <c r="M697" s="352"/>
    </row>
    <row r="698" spans="5:13" ht="47.25">
      <c r="E698" s="352"/>
      <c r="F698" s="352"/>
      <c r="G698" s="352"/>
      <c r="H698" s="350" t="s">
        <v>3442</v>
      </c>
      <c r="I698" s="352"/>
      <c r="J698" s="352"/>
      <c r="K698" s="352"/>
      <c r="L698" s="352"/>
      <c r="M698" s="352"/>
    </row>
    <row r="699" spans="5:13">
      <c r="E699" s="352"/>
      <c r="F699" s="352"/>
      <c r="G699" s="352"/>
      <c r="H699" s="352"/>
      <c r="I699" s="352"/>
      <c r="J699" s="352"/>
      <c r="K699" s="352"/>
      <c r="L699" s="352"/>
      <c r="M699" s="352"/>
    </row>
    <row r="700" spans="5:13" ht="126">
      <c r="E700" s="352"/>
      <c r="F700" s="352"/>
      <c r="G700" s="352"/>
      <c r="H700" s="373" t="s">
        <v>2972</v>
      </c>
      <c r="I700" s="352"/>
      <c r="J700" s="352"/>
      <c r="K700" s="352"/>
      <c r="L700" s="352"/>
      <c r="M700" s="352"/>
    </row>
    <row r="701" spans="5:13">
      <c r="E701" s="352"/>
      <c r="F701" s="352"/>
      <c r="G701" s="352"/>
      <c r="H701" s="352"/>
      <c r="I701" s="352"/>
      <c r="J701" s="352"/>
      <c r="K701" s="352"/>
      <c r="L701" s="352"/>
      <c r="M701" s="352"/>
    </row>
    <row r="702" spans="5:13" ht="31.5">
      <c r="E702" s="352"/>
      <c r="F702" s="352">
        <v>360</v>
      </c>
      <c r="G702" s="352" t="s">
        <v>842</v>
      </c>
      <c r="H702" s="351" t="s">
        <v>3985</v>
      </c>
      <c r="I702" s="352">
        <f>I664</f>
        <v>40.950000000000003</v>
      </c>
      <c r="J702" s="352" t="s">
        <v>842</v>
      </c>
      <c r="K702" s="352">
        <f>F702*I702</f>
        <v>14742</v>
      </c>
      <c r="L702" s="352"/>
      <c r="M702" s="352"/>
    </row>
    <row r="703" spans="5:13">
      <c r="E703" s="352"/>
      <c r="F703" s="352">
        <v>4</v>
      </c>
      <c r="G703" s="352" t="s">
        <v>1676</v>
      </c>
      <c r="H703" s="352" t="s">
        <v>3397</v>
      </c>
      <c r="I703" s="352">
        <f>I665</f>
        <v>101.5</v>
      </c>
      <c r="J703" s="352" t="s">
        <v>1676</v>
      </c>
      <c r="K703" s="352">
        <f>F703*I703</f>
        <v>406</v>
      </c>
      <c r="L703" s="352"/>
      <c r="M703" s="352"/>
    </row>
    <row r="704" spans="5:13">
      <c r="E704" s="352"/>
      <c r="F704" s="352">
        <v>360</v>
      </c>
      <c r="G704" s="352" t="s">
        <v>1423</v>
      </c>
      <c r="H704" s="352" t="s">
        <v>2749</v>
      </c>
      <c r="I704" s="352">
        <f>I666</f>
        <v>0.55000000000000004</v>
      </c>
      <c r="J704" s="352" t="s">
        <v>1423</v>
      </c>
      <c r="K704" s="352">
        <f>F704*I704</f>
        <v>198</v>
      </c>
      <c r="L704" s="352"/>
      <c r="M704" s="352"/>
    </row>
    <row r="705" spans="5:13">
      <c r="E705" s="352"/>
      <c r="F705" s="352">
        <v>1.5</v>
      </c>
      <c r="G705" s="352" t="s">
        <v>1676</v>
      </c>
      <c r="H705" s="352" t="s">
        <v>2750</v>
      </c>
      <c r="I705" s="352">
        <f>I667</f>
        <v>101.5</v>
      </c>
      <c r="J705" s="352" t="s">
        <v>1676</v>
      </c>
      <c r="K705" s="352">
        <f>F705*I705</f>
        <v>152.25</v>
      </c>
      <c r="L705" s="352"/>
      <c r="M705" s="352"/>
    </row>
    <row r="706" spans="5:13">
      <c r="E706" s="352"/>
      <c r="F706" s="352"/>
      <c r="G706" s="352"/>
      <c r="H706" s="352" t="s">
        <v>4852</v>
      </c>
      <c r="I706" s="352"/>
      <c r="J706" s="352"/>
      <c r="K706" s="352">
        <f>K677*1.5</f>
        <v>8779.5</v>
      </c>
      <c r="L706" s="352"/>
      <c r="M706" s="352"/>
    </row>
    <row r="707" spans="5:13">
      <c r="E707" s="352"/>
      <c r="F707" s="352"/>
      <c r="G707" s="352"/>
      <c r="H707" s="352" t="s">
        <v>2751</v>
      </c>
      <c r="I707" s="352"/>
      <c r="J707" s="352"/>
      <c r="K707" s="352">
        <v>22.25</v>
      </c>
      <c r="L707" s="352"/>
      <c r="M707" s="352"/>
    </row>
    <row r="708" spans="5:13">
      <c r="E708" s="352"/>
      <c r="F708" s="352"/>
      <c r="G708" s="352"/>
      <c r="H708" s="357" t="s">
        <v>2752</v>
      </c>
      <c r="I708" s="352"/>
      <c r="J708" s="352"/>
      <c r="K708" s="352">
        <f>SUM(K702:K707)</f>
        <v>24300</v>
      </c>
      <c r="L708" s="352"/>
      <c r="M708" s="352"/>
    </row>
    <row r="709" spans="5:13">
      <c r="E709" s="352"/>
      <c r="F709" s="352"/>
      <c r="G709" s="352"/>
      <c r="H709" s="359" t="s">
        <v>2433</v>
      </c>
      <c r="I709" s="352"/>
      <c r="J709" s="352"/>
      <c r="K709" s="360">
        <f>K708/90</f>
        <v>270</v>
      </c>
      <c r="L709" s="352">
        <f>270*90</f>
        <v>24300</v>
      </c>
      <c r="M709" s="352"/>
    </row>
    <row r="710" spans="5:13">
      <c r="E710" s="352"/>
      <c r="F710" s="352"/>
      <c r="G710" s="352"/>
      <c r="H710" s="352"/>
      <c r="I710" s="352"/>
      <c r="J710" s="352"/>
      <c r="K710" s="352"/>
      <c r="L710" s="352">
        <f>L709-K708</f>
        <v>0</v>
      </c>
      <c r="M710" s="352"/>
    </row>
    <row r="711" spans="5:13">
      <c r="E711" s="352"/>
      <c r="F711" s="352"/>
      <c r="G711" s="352"/>
      <c r="H711" s="360" t="s">
        <v>2974</v>
      </c>
      <c r="I711" s="352"/>
      <c r="J711" s="352"/>
      <c r="K711" s="352"/>
      <c r="L711" s="352"/>
      <c r="M711" s="352"/>
    </row>
    <row r="712" spans="5:13" ht="31.5">
      <c r="E712" s="352"/>
      <c r="F712" s="352"/>
      <c r="G712" s="352"/>
      <c r="H712" s="350" t="s">
        <v>2415</v>
      </c>
      <c r="I712" s="352"/>
      <c r="J712" s="352"/>
      <c r="K712" s="352"/>
      <c r="L712" s="352"/>
      <c r="M712" s="352"/>
    </row>
    <row r="713" spans="5:13">
      <c r="E713" s="352"/>
      <c r="F713" s="352"/>
      <c r="G713" s="352"/>
      <c r="H713" s="352"/>
      <c r="I713" s="352"/>
      <c r="J713" s="352"/>
      <c r="K713" s="352"/>
      <c r="L713" s="352"/>
      <c r="M713" s="352"/>
    </row>
    <row r="714" spans="5:13" ht="47.25">
      <c r="E714" s="352"/>
      <c r="F714" s="352"/>
      <c r="G714" s="352"/>
      <c r="H714" s="373" t="s">
        <v>2346</v>
      </c>
      <c r="I714" s="352"/>
      <c r="J714" s="352"/>
      <c r="K714" s="352"/>
      <c r="L714" s="352"/>
      <c r="M714" s="352"/>
    </row>
    <row r="715" spans="5:13">
      <c r="E715" s="352"/>
      <c r="F715" s="352">
        <v>1</v>
      </c>
      <c r="G715" s="352" t="s">
        <v>842</v>
      </c>
      <c r="H715" s="352" t="s">
        <v>5221</v>
      </c>
      <c r="I715" s="421">
        <v>163</v>
      </c>
      <c r="J715" s="352" t="s">
        <v>842</v>
      </c>
      <c r="K715" s="357">
        <f>F715*I715</f>
        <v>163</v>
      </c>
      <c r="L715" s="352"/>
      <c r="M715" s="352"/>
    </row>
    <row r="716" spans="5:13">
      <c r="E716" s="352"/>
      <c r="F716" s="352"/>
      <c r="G716" s="352"/>
      <c r="H716" s="352" t="s">
        <v>2310</v>
      </c>
      <c r="I716" s="352"/>
      <c r="J716" s="352"/>
      <c r="K716" s="357">
        <v>2</v>
      </c>
      <c r="L716" s="352"/>
      <c r="M716" s="352"/>
    </row>
    <row r="717" spans="5:13">
      <c r="E717" s="352"/>
      <c r="F717" s="352"/>
      <c r="G717" s="352"/>
      <c r="H717" s="359" t="s">
        <v>3436</v>
      </c>
      <c r="I717" s="352"/>
      <c r="J717" s="352"/>
      <c r="K717" s="359">
        <f>SUM(K715:K716)</f>
        <v>165</v>
      </c>
      <c r="L717" s="352"/>
      <c r="M717" s="352">
        <f>K717-154</f>
        <v>11</v>
      </c>
    </row>
    <row r="718" spans="5:13">
      <c r="E718" s="352"/>
      <c r="F718" s="352"/>
      <c r="G718" s="352"/>
      <c r="H718" s="352"/>
      <c r="I718" s="352"/>
      <c r="J718" s="352"/>
      <c r="K718" s="352"/>
      <c r="L718" s="352"/>
      <c r="M718" s="352"/>
    </row>
    <row r="719" spans="5:13">
      <c r="E719" s="352"/>
      <c r="F719" s="352"/>
      <c r="G719" s="352"/>
      <c r="H719" s="360" t="s">
        <v>2347</v>
      </c>
      <c r="I719" s="352"/>
      <c r="J719" s="352"/>
      <c r="K719" s="352"/>
      <c r="L719" s="352"/>
      <c r="M719" s="352"/>
    </row>
    <row r="720" spans="5:13">
      <c r="E720" s="352"/>
      <c r="F720" s="352"/>
      <c r="G720" s="352"/>
      <c r="H720" s="360" t="s">
        <v>3438</v>
      </c>
      <c r="I720" s="352"/>
      <c r="J720" s="352"/>
      <c r="K720" s="352"/>
      <c r="L720" s="352"/>
      <c r="M720" s="352"/>
    </row>
    <row r="721" spans="5:15">
      <c r="E721" s="352"/>
      <c r="F721" s="352"/>
      <c r="G721" s="352"/>
      <c r="H721" s="352"/>
      <c r="I721" s="352"/>
      <c r="J721" s="352"/>
      <c r="K721" s="352"/>
      <c r="L721" s="352"/>
      <c r="M721" s="352"/>
    </row>
    <row r="722" spans="5:15" ht="47.25">
      <c r="E722" s="352"/>
      <c r="F722" s="352"/>
      <c r="G722" s="352"/>
      <c r="H722" s="373" t="s">
        <v>3439</v>
      </c>
      <c r="I722" s="352"/>
      <c r="J722" s="352"/>
      <c r="K722" s="352"/>
      <c r="L722" s="352"/>
      <c r="M722" s="352"/>
    </row>
    <row r="723" spans="5:15">
      <c r="E723" s="352"/>
      <c r="F723" s="352">
        <v>1</v>
      </c>
      <c r="G723" s="352" t="s">
        <v>842</v>
      </c>
      <c r="H723" s="352" t="str">
        <f>H691</f>
        <v>40 x 40 x 6 mm MS angle (P-126  part -G)</v>
      </c>
      <c r="I723" s="352">
        <f>I691</f>
        <v>57.6</v>
      </c>
      <c r="J723" s="352" t="s">
        <v>364</v>
      </c>
      <c r="K723" s="352">
        <f>F724*I723</f>
        <v>187.2</v>
      </c>
      <c r="L723" s="352"/>
      <c r="M723" s="352"/>
    </row>
    <row r="724" spans="5:15">
      <c r="E724" s="352"/>
      <c r="F724" s="352">
        <v>3.25</v>
      </c>
      <c r="G724" s="352" t="s">
        <v>3440</v>
      </c>
      <c r="H724" s="352"/>
      <c r="I724" s="352"/>
      <c r="J724" s="352"/>
      <c r="K724" s="352"/>
      <c r="L724" s="352"/>
      <c r="M724" s="352"/>
    </row>
    <row r="725" spans="5:15">
      <c r="E725" s="352"/>
      <c r="F725" s="352"/>
      <c r="G725" s="352"/>
      <c r="H725" s="352" t="s">
        <v>2310</v>
      </c>
      <c r="I725" s="352"/>
      <c r="J725" s="352"/>
      <c r="K725" s="352">
        <v>2.8</v>
      </c>
      <c r="L725" s="352"/>
      <c r="M725" s="352"/>
    </row>
    <row r="726" spans="5:15">
      <c r="E726" s="352"/>
      <c r="F726" s="352"/>
      <c r="G726" s="352"/>
      <c r="H726" s="359" t="s">
        <v>2809</v>
      </c>
      <c r="I726" s="352"/>
      <c r="J726" s="352"/>
      <c r="K726" s="360">
        <f>SUM(K723:K725)</f>
        <v>190</v>
      </c>
      <c r="L726" s="352">
        <f>K726-190</f>
        <v>0</v>
      </c>
      <c r="M726" s="352">
        <f>147.6-148.6</f>
        <v>-1</v>
      </c>
    </row>
    <row r="727" spans="5:15">
      <c r="E727" s="352"/>
      <c r="F727" s="352"/>
      <c r="G727" s="352"/>
      <c r="H727" s="352"/>
      <c r="I727" s="352"/>
      <c r="J727" s="352"/>
      <c r="K727" s="352"/>
      <c r="L727" s="352"/>
      <c r="M727" s="352"/>
    </row>
    <row r="728" spans="5:15">
      <c r="E728" s="352"/>
      <c r="F728" s="352"/>
      <c r="G728" s="352"/>
      <c r="H728" s="360" t="s">
        <v>2348</v>
      </c>
      <c r="I728" s="352"/>
      <c r="J728" s="352"/>
      <c r="K728" s="352"/>
      <c r="L728" s="352"/>
      <c r="M728" s="352"/>
    </row>
    <row r="729" spans="5:15">
      <c r="E729" s="352"/>
      <c r="F729" s="352"/>
      <c r="G729" s="352"/>
      <c r="H729" s="352"/>
      <c r="I729" s="352"/>
      <c r="J729" s="352"/>
      <c r="K729" s="352"/>
      <c r="L729" s="352"/>
      <c r="M729" s="352"/>
    </row>
    <row r="730" spans="5:15" ht="81">
      <c r="E730" s="352"/>
      <c r="F730" s="352"/>
      <c r="G730" s="352"/>
      <c r="H730" s="373" t="s">
        <v>3453</v>
      </c>
      <c r="I730" s="352"/>
      <c r="J730" s="352"/>
      <c r="K730" s="352"/>
      <c r="L730" s="352"/>
      <c r="M730" s="352"/>
    </row>
    <row r="731" spans="5:15">
      <c r="E731" s="352"/>
      <c r="F731" s="352">
        <v>30.42</v>
      </c>
      <c r="G731" s="352" t="s">
        <v>2190</v>
      </c>
      <c r="H731" s="352" t="s">
        <v>5222</v>
      </c>
      <c r="I731" s="430">
        <f>106.25+106.25+(36.95/3)</f>
        <v>224.82</v>
      </c>
      <c r="J731" s="352" t="s">
        <v>2190</v>
      </c>
      <c r="K731" s="352">
        <f>F731*I731</f>
        <v>6839.02</v>
      </c>
      <c r="L731" s="352">
        <f>61.1*2</f>
        <v>122.2</v>
      </c>
      <c r="M731" s="352">
        <f>21.4/3</f>
        <v>7.13</v>
      </c>
      <c r="N731" s="180">
        <f>73.1+73.1</f>
        <v>146.19999999999999</v>
      </c>
      <c r="O731" s="180">
        <f>M731+N731</f>
        <v>153.33000000000001</v>
      </c>
    </row>
    <row r="732" spans="5:15">
      <c r="E732" s="352"/>
      <c r="F732" s="352">
        <v>6.1</v>
      </c>
      <c r="G732" s="352" t="s">
        <v>2190</v>
      </c>
      <c r="H732" s="1" t="s">
        <v>4434</v>
      </c>
      <c r="I732" s="352">
        <f>Data!Y16</f>
        <v>1312</v>
      </c>
      <c r="J732" s="352" t="s">
        <v>2190</v>
      </c>
      <c r="K732" s="352">
        <f>F732*I732</f>
        <v>8003.2</v>
      </c>
      <c r="L732" s="352">
        <f>L731+M731</f>
        <v>129.33000000000001</v>
      </c>
      <c r="M732" s="352"/>
      <c r="N732" s="180">
        <f>25.5/3</f>
        <v>8.5</v>
      </c>
    </row>
    <row r="733" spans="5:15">
      <c r="E733" s="352"/>
      <c r="F733" s="352">
        <v>750</v>
      </c>
      <c r="G733" s="352" t="s">
        <v>1419</v>
      </c>
      <c r="H733" s="352" t="s">
        <v>4821</v>
      </c>
      <c r="I733" s="352">
        <f>Data!Y18</f>
        <v>5709</v>
      </c>
      <c r="J733" s="352" t="s">
        <v>1507</v>
      </c>
      <c r="K733" s="352">
        <f>F733*I733/1000</f>
        <v>4281.75</v>
      </c>
      <c r="L733" s="352"/>
      <c r="M733" s="352"/>
      <c r="N733" s="180">
        <f>SUM(N731:N732)</f>
        <v>154.69999999999999</v>
      </c>
    </row>
    <row r="734" spans="5:15">
      <c r="E734" s="352"/>
      <c r="F734" s="352"/>
      <c r="G734" s="352"/>
      <c r="H734" s="352" t="s">
        <v>931</v>
      </c>
      <c r="I734" s="352"/>
      <c r="J734" s="352"/>
      <c r="K734" s="352">
        <f>K743</f>
        <v>4125</v>
      </c>
      <c r="L734" s="352"/>
      <c r="M734" s="352"/>
    </row>
    <row r="735" spans="5:15">
      <c r="E735" s="352"/>
      <c r="F735" s="352"/>
      <c r="G735" s="352"/>
      <c r="H735" s="352" t="s">
        <v>2310</v>
      </c>
      <c r="I735" s="352"/>
      <c r="J735" s="352"/>
      <c r="K735" s="352">
        <v>61.03</v>
      </c>
      <c r="L735" s="352">
        <f>112.2-K735</f>
        <v>51.17</v>
      </c>
      <c r="M735" s="352"/>
    </row>
    <row r="736" spans="5:15">
      <c r="E736" s="352"/>
      <c r="F736" s="352"/>
      <c r="G736" s="352"/>
      <c r="H736" s="357" t="s">
        <v>2752</v>
      </c>
      <c r="I736" s="352"/>
      <c r="J736" s="352"/>
      <c r="K736" s="352">
        <f>SUM(K731:K735)</f>
        <v>23310</v>
      </c>
      <c r="L736" s="352">
        <f>K736-M737</f>
        <v>0</v>
      </c>
      <c r="M736" s="352"/>
    </row>
    <row r="737" spans="5:13">
      <c r="E737" s="352"/>
      <c r="F737" s="352"/>
      <c r="G737" s="352"/>
      <c r="H737" s="359" t="s">
        <v>2433</v>
      </c>
      <c r="I737" s="352"/>
      <c r="J737" s="352"/>
      <c r="K737" s="360">
        <f>K736/90</f>
        <v>259</v>
      </c>
      <c r="L737" s="352"/>
      <c r="M737" s="352">
        <f>259*90</f>
        <v>23310</v>
      </c>
    </row>
    <row r="738" spans="5:13">
      <c r="E738" s="352"/>
      <c r="F738" s="352"/>
      <c r="G738" s="352"/>
      <c r="H738" s="352"/>
      <c r="I738" s="352"/>
      <c r="J738" s="352"/>
      <c r="K738" s="352"/>
      <c r="L738" s="352"/>
      <c r="M738" s="352">
        <f>M737-K736</f>
        <v>0</v>
      </c>
    </row>
    <row r="739" spans="5:13">
      <c r="E739" s="352"/>
      <c r="F739" s="352"/>
      <c r="G739" s="352"/>
      <c r="H739" s="358" t="s">
        <v>142</v>
      </c>
      <c r="K739" s="352"/>
      <c r="L739" s="352"/>
      <c r="M739" s="352"/>
    </row>
    <row r="740" spans="5:13">
      <c r="E740" s="352"/>
      <c r="F740" s="352">
        <v>1</v>
      </c>
      <c r="G740" s="352" t="s">
        <v>1419</v>
      </c>
      <c r="H740" s="361" t="s">
        <v>2753</v>
      </c>
      <c r="I740" s="181">
        <f>I673</f>
        <v>898</v>
      </c>
      <c r="J740" s="352" t="s">
        <v>1419</v>
      </c>
      <c r="K740" s="352">
        <f>F740*I740</f>
        <v>898</v>
      </c>
      <c r="L740" s="352"/>
      <c r="M740" s="352"/>
    </row>
    <row r="741" spans="5:13">
      <c r="E741" s="352"/>
      <c r="F741" s="352">
        <v>1</v>
      </c>
      <c r="G741" s="352" t="s">
        <v>1419</v>
      </c>
      <c r="H741" s="352" t="s">
        <v>2814</v>
      </c>
      <c r="I741" s="181">
        <f>I674</f>
        <v>783</v>
      </c>
      <c r="J741" s="352" t="s">
        <v>1419</v>
      </c>
      <c r="K741" s="352">
        <f>F741*I741</f>
        <v>783</v>
      </c>
      <c r="L741" s="352"/>
      <c r="M741" s="352"/>
    </row>
    <row r="742" spans="5:13">
      <c r="E742" s="352"/>
      <c r="F742" s="352">
        <v>4</v>
      </c>
      <c r="G742" s="352" t="s">
        <v>1419</v>
      </c>
      <c r="H742" s="352" t="s">
        <v>2370</v>
      </c>
      <c r="I742" s="352">
        <f>I676</f>
        <v>611</v>
      </c>
      <c r="J742" s="352" t="s">
        <v>1419</v>
      </c>
      <c r="K742" s="352">
        <f>F742*I742</f>
        <v>2444</v>
      </c>
      <c r="L742" s="352"/>
      <c r="M742" s="352"/>
    </row>
    <row r="743" spans="5:13">
      <c r="E743" s="352"/>
      <c r="F743" s="352"/>
      <c r="G743" s="352"/>
      <c r="H743" s="352"/>
      <c r="I743" s="352"/>
      <c r="J743" s="352"/>
      <c r="K743" s="360">
        <f>SUM(K740:K742)</f>
        <v>4125</v>
      </c>
      <c r="L743" s="352"/>
      <c r="M743" s="352"/>
    </row>
    <row r="744" spans="5:13" s="424" customFormat="1">
      <c r="E744" s="423"/>
      <c r="F744" s="423"/>
      <c r="G744" s="423"/>
      <c r="H744" s="1053" t="s">
        <v>2416</v>
      </c>
      <c r="I744" s="423"/>
      <c r="J744" s="423"/>
      <c r="K744" s="423"/>
      <c r="L744" s="423"/>
      <c r="M744" s="423"/>
    </row>
    <row r="745" spans="5:13">
      <c r="E745" s="352"/>
      <c r="F745" s="352"/>
      <c r="G745" s="352"/>
      <c r="H745" s="352"/>
      <c r="I745" s="352"/>
      <c r="J745" s="352"/>
      <c r="K745" s="352"/>
      <c r="L745" s="352"/>
      <c r="M745" s="352"/>
    </row>
    <row r="746" spans="5:13">
      <c r="E746" s="352"/>
      <c r="F746" s="352"/>
      <c r="G746" s="352"/>
      <c r="H746" s="360" t="s">
        <v>3379</v>
      </c>
      <c r="I746" s="352"/>
      <c r="J746" s="352"/>
      <c r="K746" s="352"/>
      <c r="L746" s="352"/>
      <c r="M746" s="352"/>
    </row>
    <row r="747" spans="5:13" ht="63">
      <c r="E747" s="352"/>
      <c r="F747" s="352"/>
      <c r="G747" s="352"/>
      <c r="H747" s="373" t="s">
        <v>2797</v>
      </c>
      <c r="I747" s="352"/>
      <c r="J747" s="352"/>
      <c r="K747" s="352"/>
      <c r="L747" s="352"/>
      <c r="M747" s="352"/>
    </row>
    <row r="748" spans="5:13">
      <c r="E748" s="352"/>
      <c r="F748" s="352">
        <v>1</v>
      </c>
      <c r="G748" s="352" t="s">
        <v>2684</v>
      </c>
      <c r="H748" s="352" t="s">
        <v>5223</v>
      </c>
      <c r="I748" s="353">
        <v>66.8</v>
      </c>
      <c r="J748" s="352" t="s">
        <v>2684</v>
      </c>
      <c r="K748" s="352">
        <f>F748*I748</f>
        <v>66.8</v>
      </c>
      <c r="L748" s="352"/>
      <c r="M748" s="352"/>
    </row>
    <row r="749" spans="5:13">
      <c r="E749" s="352"/>
      <c r="F749" s="352">
        <v>300</v>
      </c>
      <c r="G749" s="352" t="s">
        <v>1419</v>
      </c>
      <c r="H749" s="352" t="s">
        <v>5224</v>
      </c>
      <c r="I749" s="353">
        <v>69.400000000000006</v>
      </c>
      <c r="J749" s="352" t="s">
        <v>2684</v>
      </c>
      <c r="K749" s="352">
        <f>F749*(I749/144)</f>
        <v>144.58000000000001</v>
      </c>
      <c r="L749" s="352"/>
      <c r="M749" s="352"/>
    </row>
    <row r="750" spans="5:13">
      <c r="E750" s="352"/>
      <c r="F750" s="352">
        <v>300</v>
      </c>
      <c r="G750" s="352" t="s">
        <v>1419</v>
      </c>
      <c r="H750" s="352" t="s">
        <v>5225</v>
      </c>
      <c r="I750" s="353">
        <v>287</v>
      </c>
      <c r="J750" s="352" t="s">
        <v>1507</v>
      </c>
      <c r="K750" s="352">
        <f>F750*(I750/1000)</f>
        <v>86.1</v>
      </c>
      <c r="L750" s="352"/>
      <c r="M750" s="352"/>
    </row>
    <row r="751" spans="5:13">
      <c r="E751" s="352"/>
      <c r="F751" s="352"/>
      <c r="G751" s="352"/>
      <c r="H751" s="352" t="s">
        <v>2798</v>
      </c>
      <c r="I751" s="352"/>
      <c r="J751" s="352"/>
      <c r="K751" s="352">
        <v>60.52</v>
      </c>
      <c r="L751" s="352"/>
      <c r="M751" s="352"/>
    </row>
    <row r="752" spans="5:13">
      <c r="E752" s="352"/>
      <c r="F752" s="352"/>
      <c r="G752" s="352"/>
      <c r="H752" s="352" t="s">
        <v>931</v>
      </c>
      <c r="I752" s="352"/>
      <c r="J752" s="352"/>
      <c r="K752" s="352">
        <f>K762</f>
        <v>14582</v>
      </c>
      <c r="L752" s="352"/>
      <c r="M752" s="352"/>
    </row>
    <row r="753" spans="5:13">
      <c r="E753" s="352"/>
      <c r="F753" s="352"/>
      <c r="G753" s="352"/>
      <c r="H753" s="357" t="s">
        <v>2799</v>
      </c>
      <c r="I753" s="352"/>
      <c r="J753" s="352"/>
      <c r="K753" s="358">
        <f>SUM(K748:K752)</f>
        <v>14940</v>
      </c>
      <c r="L753" s="352"/>
      <c r="M753" s="352"/>
    </row>
    <row r="754" spans="5:13">
      <c r="E754" s="352"/>
      <c r="F754" s="352"/>
      <c r="G754" s="352"/>
      <c r="H754" s="359" t="s">
        <v>2809</v>
      </c>
      <c r="I754" s="352"/>
      <c r="J754" s="352"/>
      <c r="K754" s="360">
        <f>K753/90</f>
        <v>166</v>
      </c>
      <c r="L754" s="352">
        <f>166*90</f>
        <v>14940</v>
      </c>
      <c r="M754" s="352">
        <f>L754-K753</f>
        <v>0</v>
      </c>
    </row>
    <row r="755" spans="5:13">
      <c r="E755" s="352"/>
      <c r="F755" s="352"/>
      <c r="G755" s="352"/>
      <c r="H755" s="352"/>
      <c r="I755" s="352"/>
      <c r="J755" s="352"/>
      <c r="K755" s="352"/>
      <c r="L755" s="352"/>
      <c r="M755" s="352"/>
    </row>
    <row r="756" spans="5:13">
      <c r="E756" s="352"/>
      <c r="F756" s="352"/>
      <c r="G756" s="352"/>
      <c r="H756" s="358" t="s">
        <v>2691</v>
      </c>
      <c r="I756" s="352"/>
      <c r="J756" s="352"/>
      <c r="K756" s="352"/>
      <c r="L756" s="352"/>
      <c r="M756" s="352"/>
    </row>
    <row r="757" spans="5:13">
      <c r="E757" s="352"/>
      <c r="F757" s="352">
        <v>1</v>
      </c>
      <c r="G757" s="352" t="s">
        <v>1419</v>
      </c>
      <c r="H757" s="361" t="s">
        <v>2800</v>
      </c>
      <c r="I757" s="352">
        <f>I524</f>
        <v>947</v>
      </c>
      <c r="J757" s="352" t="s">
        <v>1419</v>
      </c>
      <c r="K757" s="352">
        <f>F757*I757</f>
        <v>947</v>
      </c>
      <c r="L757" s="352"/>
      <c r="M757" s="352"/>
    </row>
    <row r="758" spans="5:13">
      <c r="E758" s="352"/>
      <c r="F758" s="352">
        <v>2</v>
      </c>
      <c r="G758" s="352" t="s">
        <v>1419</v>
      </c>
      <c r="H758" s="352" t="s">
        <v>2814</v>
      </c>
      <c r="I758" s="352">
        <f>I674</f>
        <v>783</v>
      </c>
      <c r="J758" s="352" t="s">
        <v>1419</v>
      </c>
      <c r="K758" s="352">
        <f>F758*I758</f>
        <v>1566</v>
      </c>
      <c r="L758" s="352"/>
      <c r="M758" s="352"/>
    </row>
    <row r="759" spans="5:13">
      <c r="E759" s="352"/>
      <c r="F759" s="352">
        <v>3</v>
      </c>
      <c r="G759" s="352" t="s">
        <v>1419</v>
      </c>
      <c r="H759" s="352" t="s">
        <v>2633</v>
      </c>
      <c r="I759" s="352">
        <f>I675</f>
        <v>778</v>
      </c>
      <c r="J759" s="352" t="s">
        <v>1419</v>
      </c>
      <c r="K759" s="352">
        <f>F759*I759</f>
        <v>2334</v>
      </c>
      <c r="L759" s="352"/>
      <c r="M759" s="352"/>
    </row>
    <row r="760" spans="5:13">
      <c r="E760" s="352"/>
      <c r="F760" s="352">
        <v>4</v>
      </c>
      <c r="G760" s="352" t="s">
        <v>1419</v>
      </c>
      <c r="H760" s="352" t="s">
        <v>2370</v>
      </c>
      <c r="I760" s="352">
        <f>I676</f>
        <v>611</v>
      </c>
      <c r="J760" s="352" t="s">
        <v>1419</v>
      </c>
      <c r="K760" s="352">
        <f>F760*I760</f>
        <v>2444</v>
      </c>
      <c r="L760" s="352"/>
      <c r="M760" s="352"/>
    </row>
    <row r="761" spans="5:13">
      <c r="E761" s="352"/>
      <c r="F761" s="352"/>
      <c r="G761" s="352"/>
      <c r="H761" s="357" t="s">
        <v>2801</v>
      </c>
      <c r="I761" s="352"/>
      <c r="J761" s="352"/>
      <c r="K761" s="352">
        <f>SUM(K757:K760)</f>
        <v>7291</v>
      </c>
      <c r="L761" s="352"/>
      <c r="M761" s="352"/>
    </row>
    <row r="762" spans="5:13">
      <c r="E762" s="352"/>
      <c r="F762" s="352"/>
      <c r="G762" s="352"/>
      <c r="H762" s="359" t="s">
        <v>2802</v>
      </c>
      <c r="I762" s="352"/>
      <c r="J762" s="352"/>
      <c r="K762" s="360">
        <f>K761*2</f>
        <v>14582</v>
      </c>
      <c r="L762" s="352"/>
      <c r="M762" s="352"/>
    </row>
    <row r="763" spans="5:13">
      <c r="E763" s="352"/>
      <c r="F763" s="352"/>
      <c r="G763" s="352"/>
      <c r="H763" s="352"/>
      <c r="I763" s="352"/>
      <c r="J763" s="352"/>
      <c r="K763" s="352"/>
      <c r="L763" s="352"/>
      <c r="M763" s="352"/>
    </row>
    <row r="764" spans="5:13">
      <c r="E764" s="352"/>
      <c r="F764" s="352"/>
      <c r="G764" s="352"/>
      <c r="H764" s="360" t="s">
        <v>2803</v>
      </c>
      <c r="I764" s="352"/>
      <c r="J764" s="352"/>
      <c r="K764" s="352"/>
      <c r="L764" s="352"/>
      <c r="M764" s="352"/>
    </row>
    <row r="765" spans="5:13">
      <c r="E765" s="352"/>
      <c r="F765" s="352"/>
      <c r="G765" s="352"/>
      <c r="H765" s="352"/>
      <c r="I765" s="352"/>
      <c r="J765" s="352"/>
      <c r="K765" s="352"/>
      <c r="L765" s="352"/>
      <c r="M765" s="352"/>
    </row>
    <row r="766" spans="5:13">
      <c r="E766" s="352"/>
      <c r="F766" s="352"/>
      <c r="G766" s="352"/>
      <c r="H766" s="360" t="s">
        <v>2804</v>
      </c>
      <c r="I766" s="352"/>
      <c r="J766" s="352"/>
      <c r="K766" s="352"/>
      <c r="L766" s="352"/>
      <c r="M766" s="352"/>
    </row>
    <row r="767" spans="5:13">
      <c r="E767" s="352"/>
      <c r="F767" s="352"/>
      <c r="G767" s="352"/>
      <c r="H767" s="352"/>
      <c r="I767" s="352"/>
      <c r="J767" s="352"/>
      <c r="K767" s="352"/>
      <c r="L767" s="352"/>
      <c r="M767" s="352"/>
    </row>
    <row r="768" spans="5:13" ht="157.5">
      <c r="E768" s="352"/>
      <c r="F768" s="352"/>
      <c r="G768" s="352"/>
      <c r="H768" s="373" t="s">
        <v>3167</v>
      </c>
      <c r="I768" s="352"/>
      <c r="J768" s="352"/>
      <c r="K768" s="352"/>
      <c r="L768" s="352"/>
      <c r="M768" s="352"/>
    </row>
    <row r="769" spans="5:20">
      <c r="E769" s="352"/>
      <c r="F769" s="352"/>
      <c r="G769" s="352"/>
      <c r="H769" s="360" t="s">
        <v>3157</v>
      </c>
      <c r="I769" s="352"/>
      <c r="J769" s="352"/>
      <c r="K769" s="352"/>
      <c r="L769" s="352"/>
      <c r="M769" s="352"/>
    </row>
    <row r="770" spans="5:20">
      <c r="E770" s="352"/>
      <c r="F770" s="352"/>
      <c r="G770" s="352"/>
      <c r="H770" s="352"/>
      <c r="I770" s="352"/>
      <c r="J770" s="352"/>
      <c r="K770" s="352"/>
      <c r="L770" s="352"/>
      <c r="M770" s="352"/>
    </row>
    <row r="771" spans="5:20" ht="189">
      <c r="E771" s="352"/>
      <c r="F771" s="352"/>
      <c r="G771" s="352"/>
      <c r="H771" s="373" t="s">
        <v>2864</v>
      </c>
      <c r="I771" s="352"/>
      <c r="J771" s="352"/>
      <c r="K771" s="352"/>
      <c r="L771" s="352"/>
      <c r="M771" s="352"/>
    </row>
    <row r="772" spans="5:20">
      <c r="E772" s="352"/>
      <c r="F772" s="352"/>
      <c r="G772" s="352"/>
      <c r="H772" s="358" t="s">
        <v>2865</v>
      </c>
      <c r="I772" s="358" t="s">
        <v>2866</v>
      </c>
      <c r="J772" s="358" t="s">
        <v>2867</v>
      </c>
      <c r="K772" s="358" t="s">
        <v>2868</v>
      </c>
      <c r="L772" s="358" t="s">
        <v>2869</v>
      </c>
      <c r="M772" s="352"/>
    </row>
    <row r="773" spans="5:20">
      <c r="E773" s="352"/>
      <c r="F773" s="352"/>
      <c r="G773" s="352"/>
      <c r="H773" s="352" t="s">
        <v>4474</v>
      </c>
      <c r="I773" s="353">
        <v>3110</v>
      </c>
      <c r="J773" s="521">
        <v>2970</v>
      </c>
      <c r="K773" s="353">
        <v>3012</v>
      </c>
      <c r="L773" s="353">
        <v>3055</v>
      </c>
      <c r="M773" s="352"/>
    </row>
    <row r="774" spans="5:20">
      <c r="E774" s="352"/>
      <c r="F774" s="352"/>
      <c r="G774" s="352"/>
      <c r="H774" s="352" t="s">
        <v>5226</v>
      </c>
      <c r="I774" s="421">
        <v>175.4</v>
      </c>
      <c r="J774" s="421">
        <v>428</v>
      </c>
      <c r="K774" s="374">
        <v>577</v>
      </c>
      <c r="L774" s="374">
        <v>674</v>
      </c>
      <c r="M774" s="352"/>
    </row>
    <row r="775" spans="5:20">
      <c r="E775" s="352"/>
      <c r="F775" s="352"/>
      <c r="G775" s="352"/>
      <c r="H775" s="359" t="s">
        <v>2870</v>
      </c>
      <c r="I775" s="360">
        <f>SUM(I773:I774)</f>
        <v>3285.4</v>
      </c>
      <c r="J775" s="360">
        <f>SUM(J773:J774)</f>
        <v>3398</v>
      </c>
      <c r="K775" s="371">
        <f>SUM(K773:K774)</f>
        <v>3589</v>
      </c>
      <c r="L775" s="371">
        <f>SUM(L773:L774)</f>
        <v>3729</v>
      </c>
      <c r="M775" s="352"/>
    </row>
    <row r="776" spans="5:20">
      <c r="E776" s="352"/>
      <c r="F776" s="352"/>
      <c r="G776" s="352"/>
      <c r="H776" s="352"/>
      <c r="I776" s="352"/>
      <c r="J776" s="352"/>
      <c r="K776" s="352"/>
      <c r="L776" s="352"/>
      <c r="M776" s="352"/>
    </row>
    <row r="777" spans="5:20">
      <c r="E777" s="352"/>
      <c r="F777" s="352"/>
      <c r="G777" s="352"/>
      <c r="H777" s="360" t="s">
        <v>2871</v>
      </c>
      <c r="I777" s="352"/>
      <c r="J777" s="352"/>
      <c r="K777" s="352"/>
      <c r="L777" s="352"/>
      <c r="M777" s="352"/>
    </row>
    <row r="778" spans="5:20">
      <c r="E778" s="352"/>
      <c r="F778" s="352"/>
      <c r="G778" s="352"/>
      <c r="H778" s="352"/>
      <c r="I778" s="352"/>
      <c r="J778" s="352"/>
      <c r="K778" s="352"/>
      <c r="L778" s="352"/>
      <c r="M778" s="352"/>
    </row>
    <row r="779" spans="5:20">
      <c r="E779" s="352"/>
      <c r="F779" s="352"/>
      <c r="G779" s="352"/>
      <c r="H779" s="360" t="s">
        <v>2872</v>
      </c>
      <c r="I779" s="352"/>
      <c r="J779" s="352"/>
      <c r="K779" s="352"/>
      <c r="L779" s="352"/>
      <c r="M779" s="352"/>
    </row>
    <row r="780" spans="5:20" ht="78.75">
      <c r="E780" s="352"/>
      <c r="F780" s="352"/>
      <c r="G780" s="352"/>
      <c r="H780" s="373" t="s">
        <v>2927</v>
      </c>
      <c r="I780" s="352"/>
      <c r="J780" s="352"/>
      <c r="K780" s="352"/>
      <c r="L780" s="352"/>
      <c r="M780" s="1532" t="s">
        <v>4866</v>
      </c>
      <c r="N780" s="1532"/>
      <c r="O780" s="1532"/>
      <c r="P780" s="1532"/>
      <c r="Q780" s="1532"/>
      <c r="R780" s="1532"/>
    </row>
    <row r="781" spans="5:20" ht="15.75" customHeight="1">
      <c r="E781" s="352"/>
      <c r="F781" s="352"/>
      <c r="G781" s="352"/>
      <c r="H781" s="352"/>
      <c r="I781" s="352"/>
      <c r="J781" s="352"/>
      <c r="K781" s="352"/>
      <c r="L781" s="352"/>
      <c r="M781" s="1533" t="s">
        <v>4867</v>
      </c>
      <c r="N781" s="1533"/>
      <c r="O781" s="1533"/>
      <c r="P781" s="1533"/>
      <c r="Q781" s="1533"/>
      <c r="R781" s="1533"/>
    </row>
    <row r="782" spans="5:20">
      <c r="E782" s="352"/>
      <c r="F782" s="352">
        <v>2</v>
      </c>
      <c r="G782" s="352" t="s">
        <v>842</v>
      </c>
      <c r="H782" s="352" t="s">
        <v>5227</v>
      </c>
      <c r="I782" s="353">
        <v>98.6</v>
      </c>
      <c r="J782" s="352" t="s">
        <v>842</v>
      </c>
      <c r="K782" s="352">
        <f>F782*I782</f>
        <v>197.2</v>
      </c>
      <c r="L782" s="352"/>
      <c r="M782" s="465"/>
      <c r="N782" s="465"/>
      <c r="O782" s="465"/>
      <c r="P782" s="465"/>
      <c r="Q782" s="465"/>
      <c r="R782" s="465"/>
    </row>
    <row r="783" spans="5:20">
      <c r="E783" s="352"/>
      <c r="F783" s="352">
        <v>2</v>
      </c>
      <c r="G783" s="352" t="s">
        <v>2031</v>
      </c>
      <c r="H783" s="352" t="s">
        <v>2928</v>
      </c>
      <c r="I783" s="352">
        <v>35</v>
      </c>
      <c r="J783" s="352" t="s">
        <v>2031</v>
      </c>
      <c r="K783" s="352">
        <f>F783*I783</f>
        <v>70</v>
      </c>
      <c r="L783" s="352"/>
      <c r="M783" s="467">
        <v>1.5</v>
      </c>
      <c r="N783" s="465" t="s">
        <v>842</v>
      </c>
      <c r="O783" s="465" t="s">
        <v>4485</v>
      </c>
      <c r="P783" s="467">
        <f>I683</f>
        <v>128</v>
      </c>
      <c r="Q783" s="465" t="s">
        <v>842</v>
      </c>
      <c r="R783" s="467">
        <f>P783*M783</f>
        <v>192</v>
      </c>
    </row>
    <row r="784" spans="5:20">
      <c r="E784" s="352"/>
      <c r="F784" s="352">
        <v>1</v>
      </c>
      <c r="G784" s="352" t="s">
        <v>1419</v>
      </c>
      <c r="H784" s="352" t="s">
        <v>4475</v>
      </c>
      <c r="I784" s="352">
        <f>M566</f>
        <v>48.05</v>
      </c>
      <c r="J784" s="352" t="s">
        <v>1423</v>
      </c>
      <c r="K784" s="352">
        <f>F784*I784</f>
        <v>48.05</v>
      </c>
      <c r="L784" s="352"/>
      <c r="M784" s="467">
        <v>2</v>
      </c>
      <c r="N784" s="465" t="s">
        <v>2031</v>
      </c>
      <c r="O784" s="465" t="s">
        <v>2928</v>
      </c>
      <c r="P784" s="467">
        <f>I783</f>
        <v>35</v>
      </c>
      <c r="Q784" s="465" t="s">
        <v>2031</v>
      </c>
      <c r="R784" s="467">
        <f>M784*P784</f>
        <v>70</v>
      </c>
      <c r="T784" s="180" t="s">
        <v>5523</v>
      </c>
    </row>
    <row r="785" spans="5:18">
      <c r="E785" s="352"/>
      <c r="F785" s="352">
        <v>1</v>
      </c>
      <c r="G785" s="352" t="s">
        <v>1419</v>
      </c>
      <c r="H785" s="352" t="s">
        <v>2929</v>
      </c>
      <c r="I785" s="352">
        <f>K798</f>
        <v>31.28</v>
      </c>
      <c r="J785" s="352" t="s">
        <v>1423</v>
      </c>
      <c r="K785" s="352">
        <f>F785*I785</f>
        <v>31.28</v>
      </c>
      <c r="L785" s="352"/>
      <c r="M785" s="467"/>
      <c r="N785" s="465"/>
      <c r="O785" s="465"/>
      <c r="P785" s="468"/>
      <c r="Q785" s="465"/>
      <c r="R785" s="467"/>
    </row>
    <row r="786" spans="5:18">
      <c r="E786" s="352"/>
      <c r="F786" s="352">
        <v>8</v>
      </c>
      <c r="G786" s="352" t="s">
        <v>842</v>
      </c>
      <c r="H786" s="352" t="s">
        <v>2930</v>
      </c>
      <c r="I786" s="352">
        <f>I270</f>
        <v>25.75</v>
      </c>
      <c r="J786" s="352" t="s">
        <v>3363</v>
      </c>
      <c r="K786" s="352">
        <f>F786*I786</f>
        <v>206</v>
      </c>
      <c r="L786" s="352"/>
      <c r="M786" s="467"/>
      <c r="N786" s="465"/>
      <c r="O786" s="465"/>
      <c r="P786" s="467"/>
      <c r="Q786" s="465"/>
      <c r="R786" s="467"/>
    </row>
    <row r="787" spans="5:18" ht="47.25">
      <c r="E787" s="352"/>
      <c r="F787" s="352">
        <v>1</v>
      </c>
      <c r="G787" s="352" t="s">
        <v>1419</v>
      </c>
      <c r="H787" s="373" t="s">
        <v>2931</v>
      </c>
      <c r="I787" s="352"/>
      <c r="J787" s="352"/>
      <c r="K787" s="352">
        <f>K797</f>
        <v>1690</v>
      </c>
      <c r="L787" s="352"/>
      <c r="M787" s="467">
        <v>8</v>
      </c>
      <c r="N787" s="465" t="s">
        <v>842</v>
      </c>
      <c r="O787" s="469" t="s">
        <v>2930</v>
      </c>
      <c r="P787" s="467">
        <f>I786</f>
        <v>25.75</v>
      </c>
      <c r="Q787" s="465" t="s">
        <v>3363</v>
      </c>
      <c r="R787" s="467">
        <f>M787*P787</f>
        <v>206</v>
      </c>
    </row>
    <row r="788" spans="5:18" ht="45">
      <c r="E788" s="352"/>
      <c r="F788" s="352"/>
      <c r="G788" s="352"/>
      <c r="H788" s="373" t="s">
        <v>2538</v>
      </c>
      <c r="I788" s="352" t="s">
        <v>669</v>
      </c>
      <c r="J788" s="352"/>
      <c r="K788" s="352">
        <v>15.8</v>
      </c>
      <c r="L788" s="352"/>
      <c r="M788" s="467">
        <v>1</v>
      </c>
      <c r="N788" s="465" t="s">
        <v>1419</v>
      </c>
      <c r="O788" s="469" t="s">
        <v>2931</v>
      </c>
      <c r="P788" s="467">
        <f>R798</f>
        <v>1690</v>
      </c>
      <c r="Q788" s="465" t="s">
        <v>1423</v>
      </c>
      <c r="R788" s="467">
        <f>R798</f>
        <v>1690</v>
      </c>
    </row>
    <row r="789" spans="5:18" ht="30">
      <c r="E789" s="352"/>
      <c r="F789" s="352"/>
      <c r="G789" s="352"/>
      <c r="H789" s="359" t="s">
        <v>2411</v>
      </c>
      <c r="I789" s="352"/>
      <c r="J789" s="352"/>
      <c r="K789" s="360">
        <f>SUM(K782:K788)</f>
        <v>2258.33</v>
      </c>
      <c r="L789" s="352">
        <f>K789-1616</f>
        <v>642.33000000000004</v>
      </c>
      <c r="M789" s="467"/>
      <c r="N789" s="465"/>
      <c r="O789" s="469" t="s">
        <v>2538</v>
      </c>
      <c r="P789" s="1534" t="s">
        <v>669</v>
      </c>
      <c r="Q789" s="1534"/>
      <c r="R789" s="467">
        <v>16</v>
      </c>
    </row>
    <row r="790" spans="5:18">
      <c r="E790" s="352"/>
      <c r="F790" s="352"/>
      <c r="G790" s="352"/>
      <c r="H790" s="352"/>
      <c r="I790" s="352"/>
      <c r="J790" s="352"/>
      <c r="K790" s="352"/>
      <c r="L790" s="352"/>
      <c r="M790" s="467"/>
      <c r="N790" s="465"/>
      <c r="O790" s="470" t="s">
        <v>2411</v>
      </c>
      <c r="P790" s="465"/>
      <c r="Q790" s="465"/>
      <c r="R790" s="470">
        <f>SUM(R783:R789)</f>
        <v>2174</v>
      </c>
    </row>
    <row r="791" spans="5:18">
      <c r="E791" s="352"/>
      <c r="F791" s="352"/>
      <c r="G791" s="352"/>
      <c r="H791" s="358" t="s">
        <v>2539</v>
      </c>
      <c r="I791" s="352"/>
      <c r="J791" s="352"/>
      <c r="K791" s="352"/>
      <c r="L791" s="352"/>
      <c r="M791" s="467"/>
      <c r="N791" s="465"/>
      <c r="O791" s="465"/>
      <c r="P791" s="465"/>
      <c r="Q791" s="465"/>
      <c r="R791" s="465"/>
    </row>
    <row r="792" spans="5:18">
      <c r="E792" s="352"/>
      <c r="F792" s="352">
        <v>1</v>
      </c>
      <c r="G792" s="352" t="s">
        <v>1419</v>
      </c>
      <c r="H792" s="361" t="s">
        <v>2753</v>
      </c>
      <c r="I792" s="352">
        <f>I673</f>
        <v>898</v>
      </c>
      <c r="J792" s="352" t="s">
        <v>1419</v>
      </c>
      <c r="K792" s="352">
        <f>F792*I792</f>
        <v>898</v>
      </c>
      <c r="L792" s="352"/>
      <c r="M792" s="467"/>
      <c r="N792" s="465"/>
      <c r="O792" s="471" t="s">
        <v>2539</v>
      </c>
      <c r="P792" s="465"/>
      <c r="Q792" s="465"/>
      <c r="R792" s="465"/>
    </row>
    <row r="793" spans="5:18">
      <c r="E793" s="352"/>
      <c r="F793" s="352">
        <v>1</v>
      </c>
      <c r="G793" s="352" t="s">
        <v>1419</v>
      </c>
      <c r="H793" s="352" t="s">
        <v>2814</v>
      </c>
      <c r="I793" s="352">
        <f>I674</f>
        <v>783</v>
      </c>
      <c r="J793" s="352" t="s">
        <v>1419</v>
      </c>
      <c r="K793" s="352">
        <f>F793*I793</f>
        <v>783</v>
      </c>
      <c r="L793" s="352"/>
      <c r="M793" s="467">
        <v>1</v>
      </c>
      <c r="N793" s="465" t="s">
        <v>1419</v>
      </c>
      <c r="O793" s="465" t="s">
        <v>2753</v>
      </c>
      <c r="P793" s="467">
        <f>I792</f>
        <v>898</v>
      </c>
      <c r="Q793" s="465" t="s">
        <v>1419</v>
      </c>
      <c r="R793" s="465">
        <f>M793*P793</f>
        <v>898</v>
      </c>
    </row>
    <row r="794" spans="5:18">
      <c r="E794" s="352"/>
      <c r="F794" s="352">
        <v>2</v>
      </c>
      <c r="G794" s="352" t="s">
        <v>1419</v>
      </c>
      <c r="H794" s="352" t="s">
        <v>2633</v>
      </c>
      <c r="I794" s="352">
        <f>I675</f>
        <v>778</v>
      </c>
      <c r="J794" s="352" t="s">
        <v>1419</v>
      </c>
      <c r="K794" s="352">
        <f>F794*I794</f>
        <v>1556</v>
      </c>
      <c r="L794" s="352"/>
      <c r="M794" s="467">
        <v>1</v>
      </c>
      <c r="N794" s="465" t="s">
        <v>1419</v>
      </c>
      <c r="O794" s="465" t="s">
        <v>2814</v>
      </c>
      <c r="P794" s="467">
        <f>I793</f>
        <v>783</v>
      </c>
      <c r="Q794" s="465" t="s">
        <v>1419</v>
      </c>
      <c r="R794" s="465">
        <f>M794*P794</f>
        <v>783</v>
      </c>
    </row>
    <row r="795" spans="5:18">
      <c r="E795" s="352"/>
      <c r="F795" s="352">
        <v>3</v>
      </c>
      <c r="G795" s="352" t="s">
        <v>1419</v>
      </c>
      <c r="H795" s="352" t="s">
        <v>2370</v>
      </c>
      <c r="I795" s="352">
        <f>I676</f>
        <v>611</v>
      </c>
      <c r="J795" s="352" t="s">
        <v>1419</v>
      </c>
      <c r="K795" s="352">
        <f>F795*I795</f>
        <v>1833</v>
      </c>
      <c r="L795" s="352"/>
      <c r="M795" s="467">
        <v>2</v>
      </c>
      <c r="N795" s="465" t="s">
        <v>1419</v>
      </c>
      <c r="O795" s="465" t="s">
        <v>2633</v>
      </c>
      <c r="P795" s="467">
        <f>I794</f>
        <v>778</v>
      </c>
      <c r="Q795" s="465" t="s">
        <v>1419</v>
      </c>
      <c r="R795" s="465">
        <f>M795*P795</f>
        <v>1556</v>
      </c>
    </row>
    <row r="796" spans="5:18">
      <c r="E796" s="352"/>
      <c r="F796" s="352"/>
      <c r="G796" s="352"/>
      <c r="H796" s="357" t="s">
        <v>2917</v>
      </c>
      <c r="I796" s="352"/>
      <c r="J796" s="352"/>
      <c r="K796" s="358">
        <f>SUM(K792:K795)</f>
        <v>5070</v>
      </c>
      <c r="L796" s="352"/>
      <c r="M796" s="467">
        <v>3</v>
      </c>
      <c r="N796" s="465" t="s">
        <v>1419</v>
      </c>
      <c r="O796" s="465" t="s">
        <v>2370</v>
      </c>
      <c r="P796" s="467">
        <f>I795</f>
        <v>611</v>
      </c>
      <c r="Q796" s="465" t="s">
        <v>1419</v>
      </c>
      <c r="R796" s="465">
        <f>M796*P796</f>
        <v>1833</v>
      </c>
    </row>
    <row r="797" spans="5:18">
      <c r="E797" s="352"/>
      <c r="F797" s="352"/>
      <c r="G797" s="352"/>
      <c r="H797" s="359" t="s">
        <v>2841</v>
      </c>
      <c r="I797" s="352"/>
      <c r="J797" s="352"/>
      <c r="K797" s="360">
        <f>K796/3</f>
        <v>1690</v>
      </c>
      <c r="L797" s="352"/>
      <c r="M797" s="465"/>
      <c r="N797" s="465"/>
      <c r="O797" s="467" t="s">
        <v>2917</v>
      </c>
      <c r="P797" s="465"/>
      <c r="Q797" s="465"/>
      <c r="R797" s="471">
        <f>SUM(R793:R796)</f>
        <v>5070</v>
      </c>
    </row>
    <row r="798" spans="5:18">
      <c r="E798" s="352"/>
      <c r="F798" s="352"/>
      <c r="G798" s="352"/>
      <c r="H798" s="360" t="s">
        <v>2540</v>
      </c>
      <c r="I798" s="352">
        <f>I653</f>
        <v>104280</v>
      </c>
      <c r="J798" s="366">
        <v>2.9999999999999997E-4</v>
      </c>
      <c r="K798" s="360">
        <f>I798*J798</f>
        <v>31.28</v>
      </c>
      <c r="L798" s="352"/>
      <c r="M798" s="465"/>
      <c r="N798" s="465"/>
      <c r="O798" s="470" t="s">
        <v>2841</v>
      </c>
      <c r="P798" s="465"/>
      <c r="Q798" s="465"/>
      <c r="R798" s="466">
        <f>R797/3</f>
        <v>1690</v>
      </c>
    </row>
    <row r="799" spans="5:18">
      <c r="E799" s="352"/>
      <c r="F799" s="352"/>
      <c r="G799" s="352"/>
      <c r="H799" s="352"/>
      <c r="I799" s="352"/>
      <c r="J799" s="352"/>
      <c r="K799" s="352"/>
      <c r="L799" s="352"/>
      <c r="M799" s="465"/>
      <c r="N799" s="465"/>
      <c r="O799" s="472"/>
      <c r="P799" s="473"/>
      <c r="Q799" s="474"/>
      <c r="R799" s="472"/>
    </row>
    <row r="800" spans="5:18">
      <c r="E800" s="352"/>
      <c r="F800" s="352"/>
      <c r="G800" s="352"/>
      <c r="H800" s="360" t="s">
        <v>2413</v>
      </c>
      <c r="I800" s="352"/>
      <c r="J800" s="352"/>
      <c r="K800" s="352"/>
      <c r="L800" s="352"/>
      <c r="M800" s="465"/>
      <c r="N800" s="465"/>
      <c r="O800" s="465"/>
      <c r="P800" s="465"/>
      <c r="Q800" s="465"/>
      <c r="R800" s="465"/>
    </row>
    <row r="801" spans="5:26">
      <c r="E801" s="352"/>
      <c r="F801" s="352"/>
      <c r="G801" s="352"/>
      <c r="H801" s="352"/>
      <c r="I801" s="352"/>
      <c r="J801" s="352"/>
      <c r="K801" s="352"/>
      <c r="L801" s="352"/>
      <c r="M801" s="465"/>
      <c r="N801" s="465"/>
      <c r="O801" s="466" t="s">
        <v>2413</v>
      </c>
      <c r="P801" s="465"/>
      <c r="Q801" s="465"/>
      <c r="R801" s="465"/>
      <c r="T801" s="465"/>
      <c r="U801" s="465"/>
      <c r="V801" s="466" t="s">
        <v>2413</v>
      </c>
      <c r="W801" s="465"/>
      <c r="X801" s="465"/>
      <c r="Y801" s="465"/>
    </row>
    <row r="802" spans="5:26">
      <c r="E802" s="352"/>
      <c r="F802" s="352"/>
      <c r="G802" s="352"/>
      <c r="H802" s="360" t="s">
        <v>3165</v>
      </c>
      <c r="I802" s="352"/>
      <c r="J802" s="352"/>
      <c r="K802" s="352"/>
      <c r="L802" s="352"/>
      <c r="M802" s="465"/>
      <c r="N802" s="465"/>
      <c r="O802" s="466"/>
      <c r="P802" s="465"/>
      <c r="Q802" s="465"/>
      <c r="R802" s="465"/>
      <c r="T802" s="465"/>
      <c r="U802" s="465"/>
      <c r="V802" s="466"/>
      <c r="W802" s="465"/>
      <c r="X802" s="465"/>
      <c r="Y802" s="465"/>
    </row>
    <row r="803" spans="5:26">
      <c r="E803" s="352"/>
      <c r="F803" s="352"/>
      <c r="G803" s="352"/>
      <c r="H803" s="352"/>
      <c r="I803" s="352"/>
      <c r="J803" s="352"/>
      <c r="K803" s="352"/>
      <c r="L803" s="352"/>
      <c r="M803" s="465"/>
      <c r="N803" s="465"/>
      <c r="O803" s="466" t="s">
        <v>4868</v>
      </c>
      <c r="P803" s="465"/>
      <c r="Q803" s="465"/>
      <c r="R803" s="465"/>
      <c r="T803" s="465"/>
      <c r="U803" s="465"/>
      <c r="V803" s="466" t="s">
        <v>5500</v>
      </c>
      <c r="W803" s="465"/>
      <c r="X803" s="465"/>
      <c r="Y803" s="465"/>
    </row>
    <row r="804" spans="5:26">
      <c r="E804" s="352"/>
      <c r="F804" s="352">
        <v>1</v>
      </c>
      <c r="G804" s="352" t="s">
        <v>1419</v>
      </c>
      <c r="H804" s="351" t="s">
        <v>5228</v>
      </c>
      <c r="I804" s="421">
        <v>648</v>
      </c>
      <c r="J804" s="352" t="s">
        <v>1419</v>
      </c>
      <c r="K804" s="352">
        <f>F804*I804</f>
        <v>648</v>
      </c>
      <c r="L804" s="352"/>
      <c r="M804" s="465"/>
      <c r="N804" s="465"/>
      <c r="O804" s="466"/>
      <c r="P804" s="465"/>
      <c r="Q804" s="465"/>
      <c r="R804" s="465"/>
      <c r="T804" s="465"/>
      <c r="U804" s="465"/>
      <c r="V804" s="466"/>
      <c r="W804" s="465"/>
      <c r="X804" s="465"/>
      <c r="Y804" s="465"/>
    </row>
    <row r="805" spans="5:26">
      <c r="E805" s="352"/>
      <c r="F805" s="352">
        <v>1</v>
      </c>
      <c r="G805" s="352" t="s">
        <v>1419</v>
      </c>
      <c r="H805" s="351" t="s">
        <v>5229</v>
      </c>
      <c r="I805" s="421">
        <v>36.200000000000003</v>
      </c>
      <c r="J805" s="352" t="s">
        <v>1419</v>
      </c>
      <c r="K805" s="352">
        <f>F805*I805</f>
        <v>36.200000000000003</v>
      </c>
      <c r="L805" s="352"/>
      <c r="M805" s="465">
        <v>1</v>
      </c>
      <c r="N805" s="465" t="s">
        <v>1419</v>
      </c>
      <c r="O805" s="469" t="s">
        <v>5756</v>
      </c>
      <c r="P805" s="871">
        <v>1193</v>
      </c>
      <c r="Q805" s="465" t="s">
        <v>1419</v>
      </c>
      <c r="R805" s="465">
        <f>M805*P805</f>
        <v>1193</v>
      </c>
      <c r="T805" s="465">
        <v>1</v>
      </c>
      <c r="U805" s="465" t="s">
        <v>1419</v>
      </c>
      <c r="V805" s="469" t="s">
        <v>5757</v>
      </c>
      <c r="W805" s="871">
        <v>1856</v>
      </c>
      <c r="X805" s="465" t="s">
        <v>1419</v>
      </c>
      <c r="Y805" s="465">
        <f>T805*W805</f>
        <v>1856</v>
      </c>
    </row>
    <row r="806" spans="5:26">
      <c r="E806" s="352"/>
      <c r="F806" s="352">
        <v>1</v>
      </c>
      <c r="G806" s="352" t="s">
        <v>1419</v>
      </c>
      <c r="H806" s="373" t="s">
        <v>931</v>
      </c>
      <c r="I806" s="352">
        <f>K789</f>
        <v>2258.33</v>
      </c>
      <c r="J806" s="352" t="s">
        <v>1419</v>
      </c>
      <c r="K806" s="352">
        <f>F806*I806</f>
        <v>2258.33</v>
      </c>
      <c r="L806" s="352"/>
      <c r="M806" s="465">
        <v>1</v>
      </c>
      <c r="N806" s="465" t="s">
        <v>1419</v>
      </c>
      <c r="O806" s="469" t="s">
        <v>931</v>
      </c>
      <c r="P806" s="467">
        <f>R790</f>
        <v>2174</v>
      </c>
      <c r="Q806" s="465" t="s">
        <v>1419</v>
      </c>
      <c r="R806" s="465">
        <f>M806*P806</f>
        <v>2174</v>
      </c>
      <c r="T806" s="465">
        <v>1</v>
      </c>
      <c r="U806" s="465" t="s">
        <v>1419</v>
      </c>
      <c r="V806" s="469" t="s">
        <v>931</v>
      </c>
      <c r="W806" s="467">
        <f>P806</f>
        <v>2174</v>
      </c>
      <c r="X806" s="465" t="s">
        <v>1419</v>
      </c>
      <c r="Y806" s="465">
        <f>T806*W806</f>
        <v>2174</v>
      </c>
    </row>
    <row r="807" spans="5:26">
      <c r="E807" s="352"/>
      <c r="F807" s="352"/>
      <c r="G807" s="352"/>
      <c r="H807" s="351" t="s">
        <v>2310</v>
      </c>
      <c r="I807" s="352"/>
      <c r="J807" s="352"/>
      <c r="K807" s="352">
        <v>3.47</v>
      </c>
      <c r="L807" s="352"/>
      <c r="M807" s="465"/>
      <c r="N807" s="465"/>
      <c r="O807" s="469" t="s">
        <v>2310</v>
      </c>
      <c r="P807" s="465"/>
      <c r="Q807" s="465"/>
      <c r="R807" s="465"/>
      <c r="T807" s="465"/>
      <c r="U807" s="465"/>
      <c r="V807" s="469" t="s">
        <v>2310</v>
      </c>
      <c r="W807" s="465"/>
      <c r="X807" s="465"/>
      <c r="Y807" s="465"/>
    </row>
    <row r="808" spans="5:26">
      <c r="E808" s="352"/>
      <c r="F808" s="352"/>
      <c r="G808" s="352"/>
      <c r="H808" s="359" t="s">
        <v>1083</v>
      </c>
      <c r="I808" s="352"/>
      <c r="J808" s="352"/>
      <c r="K808" s="360">
        <f>SUM(K804:K807)</f>
        <v>2946</v>
      </c>
      <c r="L808" s="352">
        <f>K808-2946</f>
        <v>0</v>
      </c>
      <c r="M808" s="465"/>
      <c r="N808" s="465"/>
      <c r="O808" s="470" t="s">
        <v>1083</v>
      </c>
      <c r="P808" s="465"/>
      <c r="Q808" s="465"/>
      <c r="R808" s="466">
        <f>SUM(R805:R807)</f>
        <v>3367</v>
      </c>
      <c r="S808" s="180">
        <f>R808-2219</f>
        <v>1148</v>
      </c>
      <c r="T808" s="465"/>
      <c r="U808" s="465"/>
      <c r="V808" s="470" t="s">
        <v>1083</v>
      </c>
      <c r="W808" s="465"/>
      <c r="X808" s="465"/>
      <c r="Y808" s="466">
        <f>SUM(Y805:Y807)</f>
        <v>4030</v>
      </c>
      <c r="Z808" s="180">
        <f>Y808-2219</f>
        <v>1811</v>
      </c>
    </row>
    <row r="809" spans="5:26">
      <c r="E809" s="352"/>
      <c r="F809" s="352"/>
      <c r="G809" s="352"/>
      <c r="H809" s="352"/>
      <c r="I809" s="352"/>
      <c r="J809" s="352"/>
      <c r="K809" s="352"/>
      <c r="L809" s="352"/>
      <c r="M809" s="465"/>
      <c r="N809" s="465"/>
      <c r="P809" s="465"/>
      <c r="Q809" s="465"/>
      <c r="R809" s="466"/>
      <c r="T809" s="465"/>
      <c r="U809" s="465"/>
      <c r="W809" s="465"/>
      <c r="X809" s="465"/>
      <c r="Y809" s="466"/>
    </row>
    <row r="810" spans="5:26">
      <c r="E810" s="352"/>
      <c r="F810" s="352"/>
      <c r="G810" s="352"/>
      <c r="H810" s="360" t="s">
        <v>3152</v>
      </c>
      <c r="I810" s="352"/>
      <c r="J810" s="352"/>
      <c r="K810" s="352"/>
      <c r="L810" s="352"/>
      <c r="M810" s="352"/>
    </row>
    <row r="811" spans="5:26" ht="63">
      <c r="E811" s="352"/>
      <c r="F811" s="352"/>
      <c r="G811" s="352"/>
      <c r="H811" s="373" t="s">
        <v>3153</v>
      </c>
      <c r="I811" s="352"/>
      <c r="J811" s="352"/>
      <c r="K811" s="352"/>
      <c r="L811" s="352"/>
      <c r="M811" s="1532" t="s">
        <v>4321</v>
      </c>
      <c r="N811" s="1532"/>
      <c r="O811" s="1532"/>
      <c r="P811" s="1532"/>
      <c r="Q811" s="1532"/>
      <c r="R811" s="1532"/>
      <c r="T811" s="465"/>
      <c r="U811" s="465"/>
      <c r="V811" s="466" t="s">
        <v>2413</v>
      </c>
      <c r="W811" s="465"/>
      <c r="X811" s="465"/>
      <c r="Y811" s="465"/>
    </row>
    <row r="812" spans="5:26">
      <c r="E812" s="352"/>
      <c r="F812" s="352"/>
      <c r="G812" s="352"/>
      <c r="H812" s="352"/>
      <c r="I812" s="352"/>
      <c r="J812" s="352"/>
      <c r="K812" s="352"/>
      <c r="L812" s="352"/>
      <c r="M812" s="656">
        <v>1</v>
      </c>
      <c r="N812" s="656" t="s">
        <v>1419</v>
      </c>
      <c r="O812" s="656" t="s">
        <v>4322</v>
      </c>
      <c r="P812" s="869">
        <v>7000</v>
      </c>
      <c r="Q812" s="656" t="s">
        <v>4323</v>
      </c>
      <c r="R812" s="656">
        <f>P812*M812</f>
        <v>7000</v>
      </c>
      <c r="T812" s="465"/>
      <c r="U812" s="465"/>
      <c r="V812" s="466"/>
      <c r="W812" s="465"/>
      <c r="X812" s="465"/>
      <c r="Y812" s="465"/>
    </row>
    <row r="813" spans="5:26">
      <c r="E813" s="352"/>
      <c r="F813" s="352">
        <v>1.5</v>
      </c>
      <c r="G813" s="352" t="s">
        <v>842</v>
      </c>
      <c r="H813" s="352" t="s">
        <v>5230</v>
      </c>
      <c r="I813" s="353">
        <v>209</v>
      </c>
      <c r="J813" s="352" t="s">
        <v>842</v>
      </c>
      <c r="K813" s="352">
        <f>F813*I813</f>
        <v>313.5</v>
      </c>
      <c r="L813" s="352"/>
      <c r="M813" s="467">
        <v>2</v>
      </c>
      <c r="N813" s="465" t="s">
        <v>2031</v>
      </c>
      <c r="O813" s="465" t="s">
        <v>2928</v>
      </c>
      <c r="P813" s="870">
        <f>I783</f>
        <v>35</v>
      </c>
      <c r="Q813" s="465" t="s">
        <v>2031</v>
      </c>
      <c r="R813" s="656">
        <f>P813*M813</f>
        <v>70</v>
      </c>
      <c r="T813" s="465"/>
      <c r="U813" s="465"/>
      <c r="V813" s="466" t="s">
        <v>5758</v>
      </c>
      <c r="W813" s="465"/>
      <c r="X813" s="465"/>
      <c r="Y813" s="465"/>
    </row>
    <row r="814" spans="5:26" ht="45">
      <c r="E814" s="352"/>
      <c r="F814" s="352">
        <v>2</v>
      </c>
      <c r="G814" s="352" t="s">
        <v>3163</v>
      </c>
      <c r="H814" s="352" t="s">
        <v>3164</v>
      </c>
      <c r="I814" s="352">
        <f>I783</f>
        <v>35</v>
      </c>
      <c r="J814" s="352" t="s">
        <v>3163</v>
      </c>
      <c r="K814" s="352">
        <f>F814*I814</f>
        <v>70</v>
      </c>
      <c r="L814" s="352"/>
      <c r="M814" s="467">
        <v>1</v>
      </c>
      <c r="N814" s="465" t="s">
        <v>1419</v>
      </c>
      <c r="O814" s="469" t="s">
        <v>2931</v>
      </c>
      <c r="P814" s="467">
        <f>R823</f>
        <v>1690</v>
      </c>
      <c r="Q814" s="465" t="s">
        <v>1423</v>
      </c>
      <c r="R814" s="656">
        <f>P814*M814</f>
        <v>1690</v>
      </c>
      <c r="T814" s="465"/>
      <c r="U814" s="465"/>
      <c r="V814" s="466"/>
      <c r="W814" s="465"/>
      <c r="X814" s="465"/>
      <c r="Y814" s="465"/>
    </row>
    <row r="815" spans="5:26" ht="30">
      <c r="E815" s="352"/>
      <c r="F815" s="352">
        <v>1</v>
      </c>
      <c r="G815" s="352" t="s">
        <v>1419</v>
      </c>
      <c r="H815" s="352" t="s">
        <v>4201</v>
      </c>
      <c r="I815" s="352">
        <f>I784</f>
        <v>48.05</v>
      </c>
      <c r="J815" s="352" t="s">
        <v>1419</v>
      </c>
      <c r="K815" s="352">
        <f>F815*I815</f>
        <v>48.05</v>
      </c>
      <c r="L815" s="352"/>
      <c r="M815" s="460"/>
      <c r="N815" s="460"/>
      <c r="O815" s="469" t="s">
        <v>2538</v>
      </c>
      <c r="P815" s="1534" t="s">
        <v>669</v>
      </c>
      <c r="Q815" s="1534"/>
      <c r="R815" s="467">
        <v>17</v>
      </c>
      <c r="T815" s="465">
        <v>1</v>
      </c>
      <c r="U815" s="465" t="s">
        <v>1419</v>
      </c>
      <c r="V815" s="469" t="s">
        <v>5759</v>
      </c>
      <c r="W815" s="475">
        <v>11890</v>
      </c>
      <c r="X815" s="465" t="s">
        <v>1419</v>
      </c>
      <c r="Y815" s="465">
        <f>T815*W815</f>
        <v>11890</v>
      </c>
    </row>
    <row r="816" spans="5:26">
      <c r="E816" s="352"/>
      <c r="F816" s="352">
        <v>1</v>
      </c>
      <c r="G816" s="352" t="s">
        <v>1419</v>
      </c>
      <c r="H816" s="352" t="s">
        <v>3288</v>
      </c>
      <c r="I816" s="352">
        <f>I785</f>
        <v>31.28</v>
      </c>
      <c r="J816" s="352" t="s">
        <v>1419</v>
      </c>
      <c r="K816" s="352">
        <f>F816*I816</f>
        <v>31.28</v>
      </c>
      <c r="L816" s="352"/>
      <c r="M816" s="467"/>
      <c r="N816" s="465"/>
      <c r="O816" s="466" t="s">
        <v>2841</v>
      </c>
      <c r="P816" s="657"/>
      <c r="Q816" s="466"/>
      <c r="R816" s="470">
        <f>SUM(R812:R815)</f>
        <v>8777</v>
      </c>
      <c r="S816" s="180">
        <f>R816-8625</f>
        <v>152</v>
      </c>
      <c r="T816" s="465">
        <v>1</v>
      </c>
      <c r="U816" s="465" t="s">
        <v>1419</v>
      </c>
      <c r="V816" s="469" t="s">
        <v>931</v>
      </c>
      <c r="W816" s="475">
        <f>W806</f>
        <v>2174</v>
      </c>
      <c r="X816" s="465" t="s">
        <v>1419</v>
      </c>
      <c r="Y816" s="465">
        <f>T816*W816</f>
        <v>2174</v>
      </c>
    </row>
    <row r="817" spans="5:25">
      <c r="E817" s="352"/>
      <c r="F817" s="352">
        <v>8</v>
      </c>
      <c r="G817" s="352" t="s">
        <v>842</v>
      </c>
      <c r="H817" s="352" t="s">
        <v>2930</v>
      </c>
      <c r="I817" s="352">
        <f>I786</f>
        <v>25.75</v>
      </c>
      <c r="J817" s="352" t="s">
        <v>3363</v>
      </c>
      <c r="K817" s="352">
        <f>F817*I817</f>
        <v>206</v>
      </c>
      <c r="L817" s="352"/>
      <c r="M817" s="467"/>
      <c r="N817" s="465"/>
      <c r="O817" s="471" t="s">
        <v>2539</v>
      </c>
      <c r="P817" s="465"/>
      <c r="Q817" s="465"/>
      <c r="R817" s="465"/>
      <c r="T817" s="465"/>
      <c r="U817" s="465"/>
      <c r="V817" s="469" t="s">
        <v>2310</v>
      </c>
      <c r="W817" s="465"/>
      <c r="X817" s="465"/>
      <c r="Y817" s="465"/>
    </row>
    <row r="818" spans="5:25" ht="47.25">
      <c r="E818" s="352"/>
      <c r="F818" s="352"/>
      <c r="G818" s="352"/>
      <c r="H818" s="373" t="s">
        <v>2931</v>
      </c>
      <c r="I818" s="352"/>
      <c r="J818" s="352"/>
      <c r="K818" s="352">
        <f>K797</f>
        <v>1690</v>
      </c>
      <c r="L818" s="352"/>
      <c r="M818" s="467">
        <v>1</v>
      </c>
      <c r="N818" s="465" t="s">
        <v>1419</v>
      </c>
      <c r="O818" s="465" t="s">
        <v>2753</v>
      </c>
      <c r="P818" s="467">
        <f>P793</f>
        <v>898</v>
      </c>
      <c r="Q818" s="465" t="s">
        <v>1419</v>
      </c>
      <c r="R818" s="465">
        <f>M818*P818</f>
        <v>898</v>
      </c>
      <c r="T818" s="465"/>
      <c r="U818" s="465"/>
      <c r="V818" s="470" t="s">
        <v>1083</v>
      </c>
      <c r="W818" s="465"/>
      <c r="X818" s="465"/>
      <c r="Y818" s="466">
        <f>SUM(Y815:Y817)</f>
        <v>14064</v>
      </c>
    </row>
    <row r="819" spans="5:25" ht="31.5">
      <c r="E819" s="352"/>
      <c r="F819" s="352"/>
      <c r="G819" s="352"/>
      <c r="H819" s="373" t="s">
        <v>2538</v>
      </c>
      <c r="I819" s="352"/>
      <c r="J819" s="352" t="s">
        <v>669</v>
      </c>
      <c r="K819" s="352">
        <v>14.87</v>
      </c>
      <c r="L819" s="352"/>
      <c r="M819" s="467">
        <v>1</v>
      </c>
      <c r="N819" s="465" t="s">
        <v>1419</v>
      </c>
      <c r="O819" s="465" t="s">
        <v>2814</v>
      </c>
      <c r="P819" s="467">
        <f>P794</f>
        <v>783</v>
      </c>
      <c r="Q819" s="465" t="s">
        <v>1419</v>
      </c>
      <c r="R819" s="465">
        <f>M819*P819</f>
        <v>783</v>
      </c>
    </row>
    <row r="820" spans="5:25">
      <c r="E820" s="352"/>
      <c r="F820" s="352"/>
      <c r="G820" s="352"/>
      <c r="H820" s="359" t="s">
        <v>2411</v>
      </c>
      <c r="I820" s="352"/>
      <c r="J820" s="352"/>
      <c r="K820" s="360">
        <f>SUM(K813:K819)</f>
        <v>2373.6999999999998</v>
      </c>
      <c r="L820" s="352">
        <f>1625-K820</f>
        <v>-748.7</v>
      </c>
      <c r="M820" s="467">
        <v>2</v>
      </c>
      <c r="N820" s="465" t="s">
        <v>1419</v>
      </c>
      <c r="O820" s="465" t="s">
        <v>2633</v>
      </c>
      <c r="P820" s="467">
        <f>P795</f>
        <v>778</v>
      </c>
      <c r="Q820" s="465" t="s">
        <v>1419</v>
      </c>
      <c r="R820" s="465">
        <f>M820*P820</f>
        <v>1556</v>
      </c>
    </row>
    <row r="821" spans="5:25">
      <c r="E821" s="352"/>
      <c r="F821" s="352"/>
      <c r="G821" s="352"/>
      <c r="H821" s="352"/>
      <c r="I821" s="352"/>
      <c r="J821" s="352"/>
      <c r="K821" s="352"/>
      <c r="L821" s="352"/>
      <c r="M821" s="467">
        <v>3</v>
      </c>
      <c r="N821" s="465" t="s">
        <v>1419</v>
      </c>
      <c r="O821" s="465" t="s">
        <v>2370</v>
      </c>
      <c r="P821" s="467">
        <f>P796</f>
        <v>611</v>
      </c>
      <c r="Q821" s="465" t="s">
        <v>1419</v>
      </c>
      <c r="R821" s="465">
        <f>M821*P821</f>
        <v>1833</v>
      </c>
    </row>
    <row r="822" spans="5:25">
      <c r="E822" s="352"/>
      <c r="F822" s="352"/>
      <c r="G822" s="352"/>
      <c r="H822" s="352"/>
      <c r="I822" s="352"/>
      <c r="J822" s="352"/>
      <c r="K822" s="352"/>
      <c r="L822" s="352"/>
      <c r="M822" s="465"/>
      <c r="N822" s="465"/>
      <c r="O822" s="467" t="s">
        <v>2917</v>
      </c>
      <c r="P822" s="465"/>
      <c r="Q822" s="465"/>
      <c r="R822" s="471">
        <f>SUM(R818:R821)</f>
        <v>5070</v>
      </c>
    </row>
    <row r="823" spans="5:25">
      <c r="E823" s="352"/>
      <c r="F823" s="352"/>
      <c r="G823" s="352"/>
      <c r="H823" s="352"/>
      <c r="I823" s="352"/>
      <c r="J823" s="352"/>
      <c r="K823" s="352"/>
      <c r="L823" s="352"/>
      <c r="M823" s="465"/>
      <c r="N823" s="465"/>
      <c r="O823" s="470" t="s">
        <v>2841</v>
      </c>
      <c r="P823" s="465"/>
      <c r="Q823" s="465"/>
      <c r="R823" s="466">
        <f>R822/3</f>
        <v>1690</v>
      </c>
    </row>
    <row r="824" spans="5:25">
      <c r="E824" s="352"/>
      <c r="F824" s="352"/>
      <c r="G824" s="352"/>
      <c r="H824" s="352"/>
      <c r="I824" s="352"/>
      <c r="J824" s="352"/>
      <c r="K824" s="352"/>
      <c r="L824" s="352"/>
      <c r="M824" s="352"/>
    </row>
    <row r="825" spans="5:25">
      <c r="E825" s="352"/>
      <c r="F825" s="352"/>
      <c r="G825" s="352"/>
      <c r="H825" s="371" t="s">
        <v>2871</v>
      </c>
      <c r="I825" s="352"/>
      <c r="J825" s="352"/>
      <c r="K825" s="352"/>
      <c r="L825" s="352"/>
      <c r="M825" s="352"/>
    </row>
    <row r="826" spans="5:25">
      <c r="E826" s="352"/>
      <c r="F826" s="352"/>
      <c r="G826" s="352"/>
      <c r="H826" s="352"/>
      <c r="I826" s="352"/>
      <c r="J826" s="352"/>
      <c r="K826" s="352"/>
      <c r="L826" s="352"/>
      <c r="M826" s="352"/>
    </row>
    <row r="827" spans="5:25">
      <c r="E827" s="352"/>
      <c r="F827" s="352"/>
      <c r="G827" s="352"/>
      <c r="H827" s="371" t="s">
        <v>3070</v>
      </c>
      <c r="I827" s="352"/>
      <c r="J827" s="352"/>
      <c r="K827" s="352"/>
      <c r="L827" s="352"/>
      <c r="M827" s="352"/>
    </row>
    <row r="828" spans="5:25">
      <c r="E828" s="352"/>
      <c r="F828" s="352"/>
      <c r="G828" s="352"/>
      <c r="H828" s="352"/>
      <c r="I828" s="352"/>
      <c r="J828" s="352"/>
      <c r="K828" s="352"/>
      <c r="L828" s="352"/>
      <c r="M828" s="352"/>
    </row>
    <row r="829" spans="5:25" ht="315" customHeight="1">
      <c r="E829" s="352"/>
      <c r="F829" s="352"/>
      <c r="G829" s="352"/>
      <c r="H829" s="373" t="s">
        <v>2581</v>
      </c>
      <c r="I829" s="352"/>
      <c r="J829" s="352"/>
      <c r="K829" s="352"/>
      <c r="L829" s="352"/>
      <c r="M829" s="1563" t="s">
        <v>4895</v>
      </c>
      <c r="N829" s="1563"/>
      <c r="O829" s="1563"/>
      <c r="P829" s="1563"/>
      <c r="Q829" s="1563"/>
      <c r="R829" s="1563"/>
    </row>
    <row r="830" spans="5:25">
      <c r="E830" s="352"/>
      <c r="F830" s="352"/>
      <c r="G830" s="352"/>
      <c r="H830" s="352"/>
      <c r="I830" s="352"/>
      <c r="J830" s="352"/>
      <c r="K830" s="352"/>
      <c r="L830" s="352"/>
      <c r="M830" s="465"/>
      <c r="N830" s="465"/>
      <c r="O830" s="465"/>
      <c r="P830" s="465"/>
      <c r="Q830" s="465"/>
      <c r="R830" s="465"/>
    </row>
    <row r="831" spans="5:25">
      <c r="E831" s="352"/>
      <c r="F831" s="352"/>
      <c r="G831" s="352"/>
      <c r="H831" s="360" t="s">
        <v>2887</v>
      </c>
      <c r="I831" s="352"/>
      <c r="K831" s="352"/>
      <c r="L831" s="352"/>
      <c r="M831" s="467">
        <v>1</v>
      </c>
      <c r="N831" s="465" t="s">
        <v>570</v>
      </c>
      <c r="O831" s="465" t="s">
        <v>5231</v>
      </c>
      <c r="P831" s="871">
        <v>5310</v>
      </c>
      <c r="Q831" s="465" t="s">
        <v>570</v>
      </c>
      <c r="R831" s="467">
        <f>P831*M831</f>
        <v>5310</v>
      </c>
    </row>
    <row r="832" spans="5:25" ht="47.25">
      <c r="E832" s="352"/>
      <c r="F832" s="352">
        <v>1</v>
      </c>
      <c r="G832" s="352" t="s">
        <v>1419</v>
      </c>
      <c r="H832" s="351" t="s">
        <v>4476</v>
      </c>
      <c r="I832" s="456">
        <f>I546</f>
        <v>348</v>
      </c>
      <c r="J832" s="352" t="s">
        <v>1419</v>
      </c>
      <c r="K832" s="352">
        <f>F832*I832</f>
        <v>348</v>
      </c>
      <c r="L832" s="352"/>
      <c r="M832" s="805">
        <v>1</v>
      </c>
      <c r="N832" s="806" t="s">
        <v>570</v>
      </c>
      <c r="O832" s="806" t="s">
        <v>5232</v>
      </c>
      <c r="P832" s="872">
        <v>1287</v>
      </c>
      <c r="Q832" s="806" t="s">
        <v>570</v>
      </c>
      <c r="R832" s="805">
        <f>M832*P832</f>
        <v>1287</v>
      </c>
    </row>
    <row r="833" spans="4:18">
      <c r="E833" s="352"/>
      <c r="F833" s="352">
        <v>1</v>
      </c>
      <c r="G833" s="352" t="s">
        <v>1419</v>
      </c>
      <c r="H833" s="352" t="s">
        <v>2888</v>
      </c>
      <c r="I833" s="352">
        <f>K847</f>
        <v>281.56</v>
      </c>
      <c r="J833" s="352" t="s">
        <v>1419</v>
      </c>
      <c r="K833" s="352">
        <f t="shared" ref="K833:K843" si="18">F833*I833</f>
        <v>281.56</v>
      </c>
      <c r="L833" s="352"/>
      <c r="M833" s="805">
        <v>3</v>
      </c>
      <c r="N833" s="806" t="s">
        <v>570</v>
      </c>
      <c r="O833" s="806" t="s">
        <v>5233</v>
      </c>
      <c r="P833" s="872">
        <v>1591</v>
      </c>
      <c r="Q833" s="806" t="s">
        <v>570</v>
      </c>
      <c r="R833" s="805">
        <f>M833*P833</f>
        <v>4773</v>
      </c>
    </row>
    <row r="834" spans="4:18">
      <c r="E834" s="352"/>
      <c r="F834" s="352">
        <v>1</v>
      </c>
      <c r="G834" s="352" t="s">
        <v>1419</v>
      </c>
      <c r="H834" s="352" t="s">
        <v>3949</v>
      </c>
      <c r="I834" s="456">
        <f>I585</f>
        <v>85.2</v>
      </c>
      <c r="J834" s="352" t="s">
        <v>1419</v>
      </c>
      <c r="K834" s="352">
        <f t="shared" si="18"/>
        <v>85.2</v>
      </c>
      <c r="L834" s="352"/>
      <c r="M834" s="805">
        <v>3</v>
      </c>
      <c r="N834" s="806" t="s">
        <v>570</v>
      </c>
      <c r="O834" s="806" t="s">
        <v>4896</v>
      </c>
      <c r="P834" s="872">
        <v>581</v>
      </c>
      <c r="Q834" s="806" t="s">
        <v>570</v>
      </c>
      <c r="R834" s="805">
        <f>M834*P834</f>
        <v>1743</v>
      </c>
    </row>
    <row r="835" spans="4:18">
      <c r="E835" s="352"/>
      <c r="F835" s="352">
        <v>1</v>
      </c>
      <c r="G835" s="352" t="s">
        <v>1419</v>
      </c>
      <c r="H835" s="352" t="s">
        <v>2890</v>
      </c>
      <c r="I835" s="352">
        <f>I648</f>
        <v>25</v>
      </c>
      <c r="J835" s="352" t="s">
        <v>1419</v>
      </c>
      <c r="K835" s="352">
        <f t="shared" si="18"/>
        <v>25</v>
      </c>
      <c r="L835" s="352"/>
      <c r="M835" s="467">
        <v>12</v>
      </c>
      <c r="N835" s="806" t="s">
        <v>570</v>
      </c>
      <c r="O835" s="469" t="s">
        <v>4897</v>
      </c>
      <c r="P835" s="467">
        <v>127</v>
      </c>
      <c r="Q835" s="806" t="s">
        <v>570</v>
      </c>
      <c r="R835" s="467">
        <f>M835*P835</f>
        <v>1524</v>
      </c>
    </row>
    <row r="836" spans="4:18">
      <c r="E836" s="352"/>
      <c r="F836" s="352">
        <v>5</v>
      </c>
      <c r="G836" s="352" t="s">
        <v>842</v>
      </c>
      <c r="H836" s="352" t="s">
        <v>4822</v>
      </c>
      <c r="I836" s="353">
        <f>I782</f>
        <v>98.6</v>
      </c>
      <c r="J836" s="352" t="s">
        <v>842</v>
      </c>
      <c r="K836" s="352">
        <f t="shared" si="18"/>
        <v>493</v>
      </c>
      <c r="L836" s="352"/>
      <c r="M836" s="467"/>
      <c r="N836" s="465" t="s">
        <v>669</v>
      </c>
      <c r="O836" s="469" t="s">
        <v>4898</v>
      </c>
      <c r="P836" s="467"/>
      <c r="Q836" s="465" t="s">
        <v>669</v>
      </c>
      <c r="R836" s="871">
        <v>60.8</v>
      </c>
    </row>
    <row r="837" spans="4:18" ht="31.5">
      <c r="E837" s="352"/>
      <c r="F837" s="352">
        <v>20</v>
      </c>
      <c r="G837" s="352" t="s">
        <v>842</v>
      </c>
      <c r="H837" s="373" t="s">
        <v>2748</v>
      </c>
      <c r="I837" s="352">
        <f>I267</f>
        <v>40.950000000000003</v>
      </c>
      <c r="J837" s="352" t="s">
        <v>842</v>
      </c>
      <c r="K837" s="352">
        <f t="shared" si="18"/>
        <v>819</v>
      </c>
      <c r="L837" s="352"/>
      <c r="M837" s="467"/>
      <c r="N837" s="465" t="s">
        <v>669</v>
      </c>
      <c r="O837" s="469" t="s">
        <v>4899</v>
      </c>
      <c r="P837" s="1534" t="s">
        <v>669</v>
      </c>
      <c r="Q837" s="1534"/>
      <c r="R837" s="870"/>
    </row>
    <row r="838" spans="4:18">
      <c r="E838" s="352"/>
      <c r="F838" s="352"/>
      <c r="G838" s="352"/>
      <c r="H838" s="360" t="s">
        <v>3282</v>
      </c>
      <c r="I838" s="352"/>
      <c r="J838" s="352"/>
      <c r="K838" s="352"/>
      <c r="L838" s="352"/>
      <c r="M838" s="467"/>
      <c r="N838" s="465"/>
      <c r="P838" s="465"/>
      <c r="Q838" s="465"/>
      <c r="R838" s="470">
        <f>SUM(R831:R837)</f>
        <v>14697.8</v>
      </c>
    </row>
    <row r="839" spans="4:18" ht="47.25">
      <c r="E839" s="352"/>
      <c r="F839" s="352">
        <v>1</v>
      </c>
      <c r="G839" s="352" t="s">
        <v>1419</v>
      </c>
      <c r="H839" s="373" t="s">
        <v>3316</v>
      </c>
      <c r="I839" s="352">
        <f>I832</f>
        <v>348</v>
      </c>
      <c r="J839" s="352" t="s">
        <v>1419</v>
      </c>
      <c r="K839" s="352">
        <f t="shared" si="18"/>
        <v>348</v>
      </c>
      <c r="L839" s="352"/>
      <c r="M839" s="467"/>
      <c r="N839" s="465"/>
      <c r="O839" s="806" t="s">
        <v>2546</v>
      </c>
      <c r="P839" s="806"/>
      <c r="Q839" s="806"/>
      <c r="R839" s="805">
        <f>R838*1%</f>
        <v>146.97999999999999</v>
      </c>
    </row>
    <row r="840" spans="4:18">
      <c r="E840" s="352"/>
      <c r="F840" s="352">
        <v>1</v>
      </c>
      <c r="G840" s="352" t="s">
        <v>1419</v>
      </c>
      <c r="H840" s="352" t="s">
        <v>5234</v>
      </c>
      <c r="I840" s="421">
        <v>775</v>
      </c>
      <c r="J840" s="352" t="s">
        <v>1419</v>
      </c>
      <c r="K840" s="352">
        <f t="shared" si="18"/>
        <v>775</v>
      </c>
      <c r="L840" s="352"/>
      <c r="M840" s="352"/>
      <c r="O840" s="807" t="s">
        <v>4900</v>
      </c>
      <c r="R840" s="875">
        <v>1898</v>
      </c>
    </row>
    <row r="841" spans="4:18">
      <c r="E841" s="352"/>
      <c r="F841" s="352">
        <v>1</v>
      </c>
      <c r="G841" s="352" t="s">
        <v>1419</v>
      </c>
      <c r="H841" s="352" t="s">
        <v>3317</v>
      </c>
      <c r="I841" s="720">
        <v>93.5</v>
      </c>
      <c r="J841" s="352" t="s">
        <v>1419</v>
      </c>
      <c r="K841" s="352">
        <f t="shared" si="18"/>
        <v>93.5</v>
      </c>
      <c r="L841" s="352"/>
      <c r="M841" s="352"/>
      <c r="O841" s="470" t="s">
        <v>2411</v>
      </c>
      <c r="R841" s="180">
        <f>R840+R839+R838</f>
        <v>16742.78</v>
      </c>
    </row>
    <row r="842" spans="4:18">
      <c r="E842" s="352"/>
      <c r="F842" s="352">
        <v>1</v>
      </c>
      <c r="G842" s="352" t="s">
        <v>1419</v>
      </c>
      <c r="H842" s="352" t="s">
        <v>3318</v>
      </c>
      <c r="I842" s="720">
        <v>89.6</v>
      </c>
      <c r="J842" s="352" t="s">
        <v>1419</v>
      </c>
      <c r="K842" s="352">
        <f t="shared" si="18"/>
        <v>89.6</v>
      </c>
      <c r="L842" s="352"/>
      <c r="M842" s="352"/>
      <c r="O842" s="470" t="s">
        <v>4399</v>
      </c>
      <c r="R842" s="189">
        <v>16417</v>
      </c>
    </row>
    <row r="843" spans="4:18">
      <c r="E843" s="352"/>
      <c r="F843" s="352">
        <v>1</v>
      </c>
      <c r="G843" s="352" t="s">
        <v>1419</v>
      </c>
      <c r="H843" s="352" t="s">
        <v>2888</v>
      </c>
      <c r="I843" s="352">
        <f>K847</f>
        <v>281.56</v>
      </c>
      <c r="J843" s="352" t="s">
        <v>1419</v>
      </c>
      <c r="K843" s="352">
        <f t="shared" si="18"/>
        <v>281.56</v>
      </c>
      <c r="L843" s="352"/>
      <c r="M843" s="352"/>
    </row>
    <row r="844" spans="4:18">
      <c r="E844" s="352"/>
      <c r="F844" s="352"/>
      <c r="G844" s="352"/>
      <c r="H844" s="352" t="s">
        <v>2668</v>
      </c>
      <c r="I844" s="352"/>
      <c r="J844" s="352"/>
      <c r="K844" s="352">
        <f>K797</f>
        <v>1690</v>
      </c>
      <c r="L844" s="352"/>
      <c r="M844" s="352"/>
    </row>
    <row r="845" spans="4:18" ht="31.5">
      <c r="D845" s="375">
        <f>0.6*0.225*0.02</f>
        <v>2.7000000000000001E-3</v>
      </c>
      <c r="E845" s="352"/>
      <c r="F845" s="352"/>
      <c r="G845" s="352"/>
      <c r="H845" s="373" t="s">
        <v>2669</v>
      </c>
      <c r="I845" s="352"/>
      <c r="J845" s="352"/>
      <c r="K845" s="352">
        <v>10.49</v>
      </c>
      <c r="L845" s="352"/>
      <c r="M845" s="352"/>
    </row>
    <row r="846" spans="4:18">
      <c r="E846" s="352"/>
      <c r="F846" s="352"/>
      <c r="G846" s="352"/>
      <c r="H846" s="357" t="s">
        <v>1083</v>
      </c>
      <c r="I846" s="352"/>
      <c r="J846" s="352"/>
      <c r="K846" s="360">
        <f>SUM(K832:K845)</f>
        <v>5339.91</v>
      </c>
      <c r="L846" s="352"/>
      <c r="M846" s="467">
        <v>1</v>
      </c>
      <c r="N846" s="465" t="s">
        <v>570</v>
      </c>
      <c r="O846" s="465" t="s">
        <v>5231</v>
      </c>
      <c r="P846" s="871">
        <v>5310</v>
      </c>
      <c r="Q846" s="465" t="s">
        <v>570</v>
      </c>
      <c r="R846" s="467">
        <f>P846*M846</f>
        <v>5310</v>
      </c>
    </row>
    <row r="847" spans="4:18">
      <c r="E847" s="352"/>
      <c r="F847" s="352"/>
      <c r="G847" s="352"/>
      <c r="H847" s="360" t="s">
        <v>4853</v>
      </c>
      <c r="I847" s="352">
        <f>I798</f>
        <v>104280</v>
      </c>
      <c r="J847" s="366">
        <v>2.7000000000000001E-3</v>
      </c>
      <c r="K847" s="360">
        <f>I847*J847</f>
        <v>281.56</v>
      </c>
      <c r="L847" s="352"/>
      <c r="M847" s="805">
        <v>1</v>
      </c>
      <c r="N847" s="806" t="s">
        <v>570</v>
      </c>
      <c r="O847" s="806" t="s">
        <v>5335</v>
      </c>
      <c r="P847" s="872">
        <v>6920</v>
      </c>
      <c r="Q847" s="806" t="s">
        <v>570</v>
      </c>
      <c r="R847" s="467">
        <f>P847*M847</f>
        <v>6920</v>
      </c>
    </row>
    <row r="848" spans="4:18">
      <c r="E848" s="352"/>
      <c r="F848" s="352"/>
      <c r="G848" s="352"/>
      <c r="H848" s="360" t="s">
        <v>2670</v>
      </c>
      <c r="I848" s="352"/>
      <c r="J848" s="352"/>
      <c r="K848" s="352"/>
      <c r="L848" s="352"/>
      <c r="M848" s="805">
        <v>3</v>
      </c>
      <c r="N848" s="806" t="s">
        <v>570</v>
      </c>
      <c r="O848" s="806" t="s">
        <v>5334</v>
      </c>
      <c r="P848" s="872">
        <v>496</v>
      </c>
      <c r="Q848" s="806" t="s">
        <v>570</v>
      </c>
      <c r="R848" s="467">
        <f>P848*M848</f>
        <v>1488</v>
      </c>
    </row>
    <row r="849" spans="5:18">
      <c r="E849" s="352"/>
      <c r="F849" s="352"/>
      <c r="G849" s="352"/>
      <c r="H849" s="360"/>
      <c r="I849" s="352"/>
      <c r="J849" s="352"/>
      <c r="K849" s="352"/>
      <c r="L849" s="352"/>
      <c r="M849" s="805">
        <v>3</v>
      </c>
      <c r="N849" s="806" t="s">
        <v>570</v>
      </c>
      <c r="O849" s="806" t="s">
        <v>4896</v>
      </c>
      <c r="P849" s="872">
        <v>1591</v>
      </c>
      <c r="Q849" s="806" t="s">
        <v>570</v>
      </c>
      <c r="R849" s="467">
        <f>P849*M849</f>
        <v>4773</v>
      </c>
    </row>
    <row r="850" spans="5:18" ht="31.5">
      <c r="E850" s="352"/>
      <c r="F850" s="352"/>
      <c r="G850" s="352"/>
      <c r="H850" s="350" t="s">
        <v>1754</v>
      </c>
      <c r="I850" s="352"/>
      <c r="J850" s="352"/>
      <c r="K850" s="352"/>
      <c r="L850" s="352"/>
      <c r="M850" s="467">
        <v>12</v>
      </c>
      <c r="N850" s="806" t="s">
        <v>570</v>
      </c>
      <c r="O850" s="469" t="s">
        <v>4897</v>
      </c>
      <c r="P850" s="467">
        <v>127</v>
      </c>
      <c r="Q850" s="806" t="s">
        <v>570</v>
      </c>
      <c r="R850" s="467">
        <f>P850*M850</f>
        <v>1524</v>
      </c>
    </row>
    <row r="851" spans="5:18">
      <c r="E851" s="352"/>
      <c r="F851" s="352"/>
      <c r="G851" s="352"/>
      <c r="H851" s="352" t="s">
        <v>813</v>
      </c>
      <c r="I851" s="352"/>
      <c r="J851" s="352"/>
      <c r="K851" s="352"/>
      <c r="L851" s="352"/>
      <c r="M851" s="467"/>
      <c r="N851" s="465" t="s">
        <v>669</v>
      </c>
      <c r="O851" s="469" t="s">
        <v>4898</v>
      </c>
      <c r="P851" s="467"/>
      <c r="Q851" s="465" t="s">
        <v>669</v>
      </c>
      <c r="R851" s="467">
        <f>R837</f>
        <v>0</v>
      </c>
    </row>
    <row r="852" spans="5:18" ht="31.5">
      <c r="E852" s="352"/>
      <c r="F852" s="352">
        <v>90</v>
      </c>
      <c r="G852" s="352" t="s">
        <v>377</v>
      </c>
      <c r="H852" s="351" t="s">
        <v>2253</v>
      </c>
      <c r="I852" s="456">
        <f>I165</f>
        <v>20</v>
      </c>
      <c r="J852" s="352" t="s">
        <v>377</v>
      </c>
      <c r="K852" s="352">
        <f>F852*I852</f>
        <v>1800</v>
      </c>
      <c r="L852" s="352"/>
      <c r="M852" s="467"/>
      <c r="N852" s="465" t="s">
        <v>669</v>
      </c>
      <c r="O852" s="469" t="s">
        <v>4899</v>
      </c>
      <c r="P852" s="1534" t="s">
        <v>669</v>
      </c>
      <c r="Q852" s="1534"/>
      <c r="R852" s="467">
        <f>R838</f>
        <v>14697.8</v>
      </c>
    </row>
    <row r="853" spans="5:18">
      <c r="E853" s="352"/>
      <c r="F853" s="352">
        <v>0.15</v>
      </c>
      <c r="G853" s="352" t="s">
        <v>535</v>
      </c>
      <c r="H853" s="352" t="s">
        <v>878</v>
      </c>
      <c r="I853" s="456">
        <f>Data!Y31</f>
        <v>6040</v>
      </c>
      <c r="J853" s="352" t="s">
        <v>535</v>
      </c>
      <c r="K853" s="352">
        <f>F853*I853</f>
        <v>906</v>
      </c>
      <c r="L853" s="352"/>
      <c r="M853" s="467"/>
      <c r="N853" s="465"/>
      <c r="P853" s="465"/>
      <c r="Q853" s="465"/>
      <c r="R853" s="470">
        <f>SUM(R846:R852)</f>
        <v>34712.800000000003</v>
      </c>
    </row>
    <row r="854" spans="5:18">
      <c r="E854" s="352"/>
      <c r="F854" s="352">
        <v>1</v>
      </c>
      <c r="G854" s="352" t="s">
        <v>785</v>
      </c>
      <c r="H854" s="352" t="s">
        <v>376</v>
      </c>
      <c r="I854" s="352">
        <f>I793</f>
        <v>783</v>
      </c>
      <c r="J854" s="352" t="s">
        <v>785</v>
      </c>
      <c r="K854" s="352">
        <f>F854*I854</f>
        <v>783</v>
      </c>
      <c r="L854" s="352"/>
      <c r="M854" s="467"/>
      <c r="N854" s="465"/>
      <c r="O854" s="806" t="s">
        <v>2546</v>
      </c>
      <c r="P854" s="806"/>
      <c r="Q854" s="806"/>
      <c r="R854" s="805">
        <f>R853*1%</f>
        <v>347.13</v>
      </c>
    </row>
    <row r="855" spans="5:18">
      <c r="E855" s="352"/>
      <c r="F855" s="352">
        <v>2</v>
      </c>
      <c r="G855" s="352" t="s">
        <v>785</v>
      </c>
      <c r="H855" s="352" t="s">
        <v>1744</v>
      </c>
      <c r="I855" s="456">
        <f>I40</f>
        <v>884</v>
      </c>
      <c r="J855" s="352" t="s">
        <v>785</v>
      </c>
      <c r="K855" s="352">
        <f>F855*I855</f>
        <v>1768</v>
      </c>
      <c r="L855" s="352"/>
      <c r="M855" s="352"/>
      <c r="O855" s="807" t="s">
        <v>4900</v>
      </c>
      <c r="R855" s="875">
        <v>1898</v>
      </c>
    </row>
    <row r="856" spans="5:18">
      <c r="E856" s="352"/>
      <c r="F856" s="352">
        <v>4</v>
      </c>
      <c r="G856" s="352" t="s">
        <v>785</v>
      </c>
      <c r="H856" s="352" t="s">
        <v>1309</v>
      </c>
      <c r="I856" s="352">
        <f>I760</f>
        <v>611</v>
      </c>
      <c r="J856" s="352" t="s">
        <v>785</v>
      </c>
      <c r="K856" s="352">
        <f>F856*I856</f>
        <v>2444</v>
      </c>
      <c r="L856" s="352"/>
      <c r="M856" s="352"/>
      <c r="O856" s="470" t="s">
        <v>2411</v>
      </c>
      <c r="R856" s="180">
        <f>R855+R854+R853</f>
        <v>36957.93</v>
      </c>
    </row>
    <row r="857" spans="5:18">
      <c r="E857" s="352"/>
      <c r="F857" s="352"/>
      <c r="G857" s="352"/>
      <c r="H857" s="351" t="s">
        <v>378</v>
      </c>
      <c r="I857" s="352"/>
      <c r="J857" s="352"/>
      <c r="K857" s="352">
        <v>106</v>
      </c>
      <c r="L857" s="352"/>
      <c r="M857" s="352"/>
      <c r="O857" s="470" t="s">
        <v>4399</v>
      </c>
      <c r="R857" s="189">
        <v>37000</v>
      </c>
    </row>
    <row r="858" spans="5:18">
      <c r="E858" s="352"/>
      <c r="F858" s="352"/>
      <c r="G858" s="352"/>
      <c r="H858" s="357" t="s">
        <v>2306</v>
      </c>
      <c r="I858" s="352"/>
      <c r="J858" s="352"/>
      <c r="K858" s="352">
        <f>SUM(K852:K857)</f>
        <v>7807</v>
      </c>
      <c r="L858" s="352"/>
      <c r="M858" s="352">
        <f>K858-M859</f>
        <v>2083</v>
      </c>
    </row>
    <row r="859" spans="5:18">
      <c r="E859" s="352"/>
      <c r="F859" s="352"/>
      <c r="G859" s="352"/>
      <c r="H859" s="359" t="s">
        <v>1144</v>
      </c>
      <c r="I859" s="352"/>
      <c r="J859" s="352"/>
      <c r="K859" s="376">
        <f>K858/90</f>
        <v>86.74</v>
      </c>
      <c r="L859" s="352">
        <f>80.7*90</f>
        <v>7263</v>
      </c>
      <c r="M859" s="352">
        <f>63.6*90</f>
        <v>5724</v>
      </c>
    </row>
    <row r="860" spans="5:18">
      <c r="E860" s="352"/>
      <c r="F860" s="352"/>
      <c r="G860" s="352"/>
      <c r="H860" s="352"/>
      <c r="I860" s="352"/>
      <c r="J860" s="352"/>
      <c r="K860" s="352"/>
      <c r="L860" s="352">
        <f>L859-K858</f>
        <v>-544</v>
      </c>
      <c r="M860" s="352"/>
    </row>
    <row r="861" spans="5:18">
      <c r="E861" s="352"/>
      <c r="F861" s="352"/>
      <c r="G861" s="352"/>
      <c r="H861" s="360" t="s">
        <v>2671</v>
      </c>
      <c r="I861" s="352"/>
      <c r="J861" s="352"/>
      <c r="K861" s="352"/>
      <c r="L861" s="352"/>
      <c r="M861" s="352"/>
    </row>
    <row r="862" spans="5:18" ht="45">
      <c r="E862" s="352"/>
      <c r="F862" s="352"/>
      <c r="G862" s="352"/>
      <c r="H862" s="352" t="s">
        <v>2672</v>
      </c>
      <c r="I862" s="352"/>
      <c r="J862" s="352"/>
      <c r="K862" s="352">
        <f>K859</f>
        <v>86.74</v>
      </c>
      <c r="L862" s="352"/>
      <c r="M862" s="456"/>
      <c r="N862" s="878"/>
      <c r="O862" s="469" t="s">
        <v>4895</v>
      </c>
      <c r="P862" s="878"/>
      <c r="Q862" s="878"/>
      <c r="R862" s="878"/>
    </row>
    <row r="863" spans="5:18" ht="30">
      <c r="E863" s="352"/>
      <c r="F863" s="352">
        <v>1</v>
      </c>
      <c r="G863" s="352" t="s">
        <v>842</v>
      </c>
      <c r="H863" s="352" t="s">
        <v>4202</v>
      </c>
      <c r="I863" s="352">
        <f>I852</f>
        <v>20</v>
      </c>
      <c r="J863" s="352" t="s">
        <v>842</v>
      </c>
      <c r="K863" s="352">
        <f>F863*I863</f>
        <v>20</v>
      </c>
      <c r="L863" s="352"/>
      <c r="M863" s="467">
        <v>1</v>
      </c>
      <c r="N863" s="465" t="s">
        <v>570</v>
      </c>
      <c r="O863" s="469" t="s">
        <v>5231</v>
      </c>
      <c r="P863" s="467">
        <v>5310</v>
      </c>
      <c r="Q863" s="465" t="s">
        <v>570</v>
      </c>
      <c r="R863" s="467">
        <f>P863*M863</f>
        <v>5310</v>
      </c>
    </row>
    <row r="864" spans="5:18">
      <c r="E864" s="352"/>
      <c r="F864" s="352">
        <v>1</v>
      </c>
      <c r="G864" s="352" t="s">
        <v>842</v>
      </c>
      <c r="H864" s="352" t="s">
        <v>4477</v>
      </c>
      <c r="I864" s="352">
        <f>I282</f>
        <v>29.8</v>
      </c>
      <c r="J864" s="352" t="s">
        <v>842</v>
      </c>
      <c r="K864" s="352">
        <f>F864*I864</f>
        <v>29.8</v>
      </c>
      <c r="L864" s="352"/>
      <c r="M864" s="805">
        <v>1</v>
      </c>
      <c r="N864" s="806" t="s">
        <v>570</v>
      </c>
      <c r="O864" s="806" t="s">
        <v>5232</v>
      </c>
      <c r="P864" s="805">
        <v>1617</v>
      </c>
      <c r="Q864" s="806" t="s">
        <v>570</v>
      </c>
      <c r="R864" s="467">
        <f>P864*M864</f>
        <v>1617</v>
      </c>
    </row>
    <row r="865" spans="5:18">
      <c r="E865" s="352"/>
      <c r="F865" s="352"/>
      <c r="G865" s="352"/>
      <c r="H865" s="352"/>
      <c r="I865" s="352"/>
      <c r="J865" s="352"/>
      <c r="K865" s="360">
        <f>(K862-K863)+K864</f>
        <v>96.54</v>
      </c>
      <c r="L865" s="352"/>
      <c r="M865" s="805">
        <v>3</v>
      </c>
      <c r="N865" s="806" t="s">
        <v>570</v>
      </c>
      <c r="O865" s="806" t="s">
        <v>5366</v>
      </c>
      <c r="P865" s="805">
        <v>2157</v>
      </c>
      <c r="Q865" s="806" t="s">
        <v>570</v>
      </c>
      <c r="R865" s="467">
        <f>P865*M865</f>
        <v>6471</v>
      </c>
    </row>
    <row r="866" spans="5:18">
      <c r="E866" s="352"/>
      <c r="F866" s="352"/>
      <c r="G866" s="352"/>
      <c r="H866" s="360" t="s">
        <v>2674</v>
      </c>
      <c r="I866" s="352"/>
      <c r="J866" s="352"/>
      <c r="K866" s="352"/>
      <c r="L866" s="352"/>
      <c r="M866" s="805">
        <v>3</v>
      </c>
      <c r="N866" s="806" t="s">
        <v>570</v>
      </c>
      <c r="O866" s="806" t="s">
        <v>5367</v>
      </c>
      <c r="P866" s="805">
        <v>829</v>
      </c>
      <c r="Q866" s="806" t="s">
        <v>570</v>
      </c>
      <c r="R866" s="467">
        <f>P866*M866</f>
        <v>2487</v>
      </c>
    </row>
    <row r="867" spans="5:18">
      <c r="E867" s="352"/>
      <c r="F867" s="352"/>
      <c r="G867" s="352"/>
      <c r="H867" s="360"/>
      <c r="I867" s="352"/>
      <c r="J867" s="352"/>
      <c r="K867" s="352"/>
      <c r="L867" s="352"/>
      <c r="M867" s="467">
        <v>12</v>
      </c>
      <c r="N867" s="806" t="s">
        <v>570</v>
      </c>
      <c r="O867" s="469" t="s">
        <v>4897</v>
      </c>
      <c r="P867" s="467">
        <v>173</v>
      </c>
      <c r="Q867" s="806" t="s">
        <v>570</v>
      </c>
      <c r="R867" s="467">
        <f>P867*M867</f>
        <v>2076</v>
      </c>
    </row>
    <row r="868" spans="5:18">
      <c r="E868" s="352"/>
      <c r="F868" s="352"/>
      <c r="G868" s="352"/>
      <c r="H868" s="360" t="s">
        <v>2675</v>
      </c>
      <c r="I868" s="352"/>
      <c r="J868" s="352"/>
      <c r="K868" s="352"/>
      <c r="L868" s="352"/>
      <c r="M868" s="467"/>
      <c r="N868" s="465" t="s">
        <v>669</v>
      </c>
      <c r="O868" s="469" t="s">
        <v>4898</v>
      </c>
      <c r="P868" s="467"/>
      <c r="Q868" s="465" t="s">
        <v>669</v>
      </c>
      <c r="R868" s="889">
        <v>55.3</v>
      </c>
    </row>
    <row r="869" spans="5:18">
      <c r="E869" s="352"/>
      <c r="F869" s="352">
        <v>1</v>
      </c>
      <c r="G869" s="352" t="s">
        <v>1419</v>
      </c>
      <c r="H869" s="352" t="s">
        <v>5235</v>
      </c>
      <c r="I869" s="353">
        <v>37.1</v>
      </c>
      <c r="J869" s="352" t="s">
        <v>1419</v>
      </c>
      <c r="K869" s="352">
        <f>F869*I869</f>
        <v>37.1</v>
      </c>
      <c r="L869" s="352"/>
      <c r="M869" s="467"/>
      <c r="N869" s="465" t="s">
        <v>669</v>
      </c>
      <c r="O869" s="469" t="s">
        <v>4899</v>
      </c>
      <c r="P869" s="1534" t="s">
        <v>669</v>
      </c>
      <c r="Q869" s="1534"/>
      <c r="R869" s="467">
        <v>24</v>
      </c>
    </row>
    <row r="870" spans="5:18">
      <c r="E870" s="352"/>
      <c r="F870" s="355">
        <v>1.4999999999999999E-2</v>
      </c>
      <c r="G870" s="352" t="s">
        <v>2322</v>
      </c>
      <c r="H870" s="373" t="s">
        <v>3533</v>
      </c>
      <c r="I870" s="352">
        <f>I169</f>
        <v>661</v>
      </c>
      <c r="J870" s="352" t="s">
        <v>2322</v>
      </c>
      <c r="K870" s="352">
        <f>F870*I870</f>
        <v>9.92</v>
      </c>
      <c r="L870" s="352"/>
      <c r="M870" s="467"/>
      <c r="N870" s="465"/>
      <c r="O870" s="878"/>
      <c r="P870" s="465"/>
      <c r="Q870" s="465"/>
      <c r="R870" s="470">
        <f>SUM(R863:R869)</f>
        <v>18040.3</v>
      </c>
    </row>
    <row r="871" spans="5:18">
      <c r="E871" s="352"/>
      <c r="F871" s="352"/>
      <c r="G871" s="352"/>
      <c r="H871" s="352" t="s">
        <v>3523</v>
      </c>
      <c r="I871" s="352"/>
      <c r="J871" s="352" t="s">
        <v>669</v>
      </c>
      <c r="K871" s="352">
        <v>7.45</v>
      </c>
      <c r="L871" s="352"/>
      <c r="M871" s="467"/>
      <c r="N871" s="465"/>
      <c r="O871" s="806" t="s">
        <v>2546</v>
      </c>
      <c r="P871" s="806"/>
      <c r="Q871" s="806"/>
      <c r="R871" s="805">
        <f>R870*1%</f>
        <v>180.4</v>
      </c>
    </row>
    <row r="872" spans="5:18">
      <c r="E872" s="352"/>
      <c r="F872" s="352"/>
      <c r="G872" s="352"/>
      <c r="H872" s="359" t="s">
        <v>1083</v>
      </c>
      <c r="I872" s="352"/>
      <c r="J872" s="352"/>
      <c r="K872" s="360">
        <f>SUM(K869:K871)</f>
        <v>54.47</v>
      </c>
      <c r="L872" s="352">
        <f>K872-49</f>
        <v>5.47</v>
      </c>
      <c r="M872" s="456"/>
      <c r="N872" s="878"/>
      <c r="O872" s="807" t="s">
        <v>5368</v>
      </c>
      <c r="P872" s="878"/>
      <c r="Q872" s="878"/>
      <c r="R872" s="878">
        <v>2252</v>
      </c>
    </row>
    <row r="873" spans="5:18">
      <c r="E873" s="352"/>
      <c r="F873" s="352"/>
      <c r="G873" s="352"/>
      <c r="H873" s="352"/>
      <c r="I873" s="352"/>
      <c r="J873" s="352"/>
      <c r="K873" s="352"/>
      <c r="L873" s="352"/>
      <c r="M873" s="456"/>
      <c r="N873" s="878"/>
      <c r="O873" s="470" t="s">
        <v>2411</v>
      </c>
      <c r="P873" s="878"/>
      <c r="Q873" s="878"/>
      <c r="R873" s="878">
        <f>SUM(R870:R872)</f>
        <v>20472.7</v>
      </c>
    </row>
    <row r="874" spans="5:18">
      <c r="E874" s="352"/>
      <c r="F874" s="352"/>
      <c r="G874" s="352"/>
      <c r="H874" s="360" t="s">
        <v>3524</v>
      </c>
      <c r="I874" s="352"/>
      <c r="J874" s="352"/>
      <c r="K874" s="352"/>
      <c r="L874" s="352"/>
      <c r="M874" s="456"/>
      <c r="N874" s="878"/>
      <c r="O874" s="470" t="s">
        <v>4399</v>
      </c>
      <c r="P874" s="878"/>
      <c r="Q874" s="878"/>
      <c r="R874" s="189">
        <v>20473</v>
      </c>
    </row>
    <row r="875" spans="5:18">
      <c r="E875" s="352"/>
      <c r="F875" s="352"/>
      <c r="G875" s="352"/>
      <c r="H875" s="352"/>
      <c r="I875" s="352"/>
      <c r="J875" s="352"/>
      <c r="K875" s="352"/>
      <c r="L875" s="352"/>
      <c r="M875" s="456"/>
      <c r="N875" s="878"/>
      <c r="O875" s="878"/>
      <c r="P875" s="878"/>
      <c r="Q875" s="878"/>
      <c r="R875" s="878"/>
    </row>
    <row r="876" spans="5:18" ht="47.25">
      <c r="E876" s="352"/>
      <c r="F876" s="352"/>
      <c r="G876" s="352"/>
      <c r="H876" s="478" t="s">
        <v>3454</v>
      </c>
      <c r="I876" s="352"/>
      <c r="J876" s="352"/>
      <c r="K876" s="352"/>
      <c r="L876" s="352"/>
      <c r="M876" s="352"/>
    </row>
    <row r="877" spans="5:18">
      <c r="E877" s="352"/>
      <c r="F877" s="352"/>
      <c r="G877" s="352"/>
      <c r="H877" s="352"/>
      <c r="I877" s="352"/>
      <c r="J877" s="352"/>
      <c r="K877" s="352"/>
      <c r="L877" s="352"/>
      <c r="M877" s="352"/>
    </row>
    <row r="878" spans="5:18">
      <c r="E878" s="352"/>
      <c r="F878" s="352">
        <v>1</v>
      </c>
      <c r="G878" s="352" t="s">
        <v>1419</v>
      </c>
      <c r="H878" s="352" t="s">
        <v>5236</v>
      </c>
      <c r="I878" s="353">
        <v>13.8</v>
      </c>
      <c r="J878" s="352" t="s">
        <v>1419</v>
      </c>
      <c r="K878" s="352">
        <f>F878*I878</f>
        <v>13.8</v>
      </c>
      <c r="L878" s="352"/>
      <c r="M878" s="352"/>
    </row>
    <row r="879" spans="5:18">
      <c r="E879" s="352"/>
      <c r="F879" s="352">
        <v>0.01</v>
      </c>
      <c r="G879" s="352" t="s">
        <v>3525</v>
      </c>
      <c r="H879" s="352" t="s">
        <v>3533</v>
      </c>
      <c r="I879" s="352">
        <f>I870</f>
        <v>661</v>
      </c>
      <c r="J879" s="352" t="s">
        <v>2322</v>
      </c>
      <c r="K879" s="352">
        <f>F879*I879</f>
        <v>6.61</v>
      </c>
      <c r="L879" s="352"/>
      <c r="M879" s="352"/>
    </row>
    <row r="880" spans="5:18">
      <c r="E880" s="352"/>
      <c r="F880" s="352">
        <v>1</v>
      </c>
      <c r="G880" s="352" t="s">
        <v>1419</v>
      </c>
      <c r="H880" s="352" t="s">
        <v>3526</v>
      </c>
      <c r="I880" s="521">
        <v>49.5</v>
      </c>
      <c r="J880" s="352" t="s">
        <v>1419</v>
      </c>
      <c r="K880" s="352">
        <f>F880*I880</f>
        <v>49.5</v>
      </c>
      <c r="L880" s="352"/>
      <c r="M880" s="352"/>
    </row>
    <row r="881" spans="5:13">
      <c r="E881" s="352"/>
      <c r="F881" s="352"/>
      <c r="G881" s="352"/>
      <c r="H881" s="352" t="s">
        <v>3527</v>
      </c>
      <c r="I881" s="352" t="s">
        <v>669</v>
      </c>
      <c r="J881" s="352"/>
      <c r="K881" s="352">
        <v>7.1</v>
      </c>
      <c r="L881" s="352"/>
      <c r="M881" s="352"/>
    </row>
    <row r="882" spans="5:13">
      <c r="E882" s="352"/>
      <c r="F882" s="352"/>
      <c r="G882" s="352"/>
      <c r="H882" s="359" t="s">
        <v>3528</v>
      </c>
      <c r="I882" s="352"/>
      <c r="J882" s="352"/>
      <c r="K882" s="360">
        <f>SUM(K878:K881)</f>
        <v>77.010000000000005</v>
      </c>
      <c r="L882" s="352"/>
      <c r="M882" s="352">
        <f>K882-76.7</f>
        <v>0.31</v>
      </c>
    </row>
    <row r="883" spans="5:13">
      <c r="E883" s="352"/>
      <c r="F883" s="352"/>
      <c r="G883" s="352"/>
      <c r="H883" s="352"/>
      <c r="I883" s="352"/>
      <c r="J883" s="352"/>
      <c r="K883" s="352"/>
      <c r="L883" s="352"/>
      <c r="M883" s="352"/>
    </row>
    <row r="884" spans="5:13">
      <c r="E884" s="352"/>
      <c r="F884" s="352"/>
      <c r="G884" s="352"/>
      <c r="H884" s="360" t="s">
        <v>3529</v>
      </c>
      <c r="I884" s="352"/>
      <c r="J884" s="352"/>
      <c r="K884" s="352"/>
      <c r="L884" s="352"/>
      <c r="M884" s="352"/>
    </row>
    <row r="885" spans="5:13">
      <c r="E885" s="352"/>
      <c r="F885" s="352"/>
      <c r="G885" s="352"/>
      <c r="H885" s="352"/>
      <c r="I885" s="352"/>
      <c r="J885" s="352"/>
      <c r="K885" s="352"/>
      <c r="L885" s="352"/>
      <c r="M885" s="352"/>
    </row>
    <row r="886" spans="5:13" ht="283.5">
      <c r="E886" s="352"/>
      <c r="F886" s="352"/>
      <c r="G886" s="352"/>
      <c r="H886" s="464" t="s">
        <v>3036</v>
      </c>
      <c r="I886" s="352"/>
      <c r="J886" s="352"/>
      <c r="K886" s="352"/>
      <c r="L886" s="352"/>
      <c r="M886" s="352"/>
    </row>
    <row r="887" spans="5:13">
      <c r="E887" s="352"/>
      <c r="F887" s="352"/>
      <c r="G887" s="352"/>
      <c r="H887" s="352"/>
      <c r="I887" s="352"/>
      <c r="J887" s="352"/>
      <c r="K887" s="352"/>
      <c r="L887" s="352"/>
      <c r="M887" s="352"/>
    </row>
    <row r="888" spans="5:13">
      <c r="E888" s="352"/>
      <c r="F888" s="352">
        <v>6</v>
      </c>
      <c r="G888" s="352" t="s">
        <v>842</v>
      </c>
      <c r="H888" s="352" t="s">
        <v>5237</v>
      </c>
      <c r="I888" s="353">
        <v>244.4</v>
      </c>
      <c r="J888" s="352" t="s">
        <v>842</v>
      </c>
      <c r="K888" s="352">
        <f>F888*I888</f>
        <v>1466.4</v>
      </c>
      <c r="L888" s="352"/>
      <c r="M888" s="352"/>
    </row>
    <row r="889" spans="5:13">
      <c r="F889" s="352">
        <v>2</v>
      </c>
      <c r="G889" s="352" t="s">
        <v>842</v>
      </c>
      <c r="H889" s="352" t="str">
        <f>H836</f>
        <v>20 mm dia 'B' class GI pipe p- 50 it-142 iv</v>
      </c>
      <c r="I889" s="352">
        <f>I836</f>
        <v>98.6</v>
      </c>
      <c r="J889" s="352" t="s">
        <v>842</v>
      </c>
      <c r="K889" s="352">
        <f>F889*I889</f>
        <v>197.2</v>
      </c>
      <c r="L889" s="352"/>
      <c r="M889" s="352"/>
    </row>
    <row r="890" spans="5:13">
      <c r="F890" s="352">
        <v>1</v>
      </c>
      <c r="G890" s="352" t="s">
        <v>1419</v>
      </c>
      <c r="H890" s="352" t="s">
        <v>4854</v>
      </c>
      <c r="I890" s="421">
        <v>225.4</v>
      </c>
      <c r="J890" s="352" t="s">
        <v>1419</v>
      </c>
      <c r="K890" s="352">
        <f>F890*I890</f>
        <v>225.4</v>
      </c>
      <c r="L890" s="352"/>
      <c r="M890" s="352"/>
    </row>
    <row r="891" spans="5:13">
      <c r="F891" s="352">
        <v>1</v>
      </c>
      <c r="G891" s="352" t="s">
        <v>1419</v>
      </c>
      <c r="H891" s="352" t="s">
        <v>5238</v>
      </c>
      <c r="I891" s="421">
        <v>115.1</v>
      </c>
      <c r="J891" s="352" t="s">
        <v>1419</v>
      </c>
      <c r="K891" s="352">
        <f>F891*I891</f>
        <v>115.1</v>
      </c>
      <c r="L891" s="352"/>
      <c r="M891" s="352"/>
    </row>
    <row r="892" spans="5:13">
      <c r="F892" s="355">
        <v>0.23799999999999999</v>
      </c>
      <c r="G892" s="352" t="s">
        <v>2190</v>
      </c>
      <c r="H892" s="352" t="s">
        <v>4855</v>
      </c>
      <c r="I892" s="521">
        <v>6400</v>
      </c>
      <c r="J892" s="352" t="s">
        <v>2190</v>
      </c>
      <c r="K892" s="352">
        <f>F892*I892</f>
        <v>1523.2</v>
      </c>
      <c r="L892" s="352"/>
      <c r="M892" s="352"/>
    </row>
    <row r="893" spans="5:13" ht="31.5">
      <c r="F893" s="352"/>
      <c r="G893" s="352" t="s">
        <v>669</v>
      </c>
      <c r="H893" s="373" t="s">
        <v>3118</v>
      </c>
      <c r="I893" s="352" t="s">
        <v>669</v>
      </c>
      <c r="J893" s="352"/>
      <c r="K893" s="352">
        <v>250</v>
      </c>
      <c r="L893" s="352"/>
      <c r="M893" s="352"/>
    </row>
    <row r="894" spans="5:13" ht="47.25">
      <c r="F894" s="352">
        <v>1</v>
      </c>
      <c r="G894" s="352" t="s">
        <v>1419</v>
      </c>
      <c r="H894" s="351" t="s">
        <v>2760</v>
      </c>
      <c r="I894" s="352" t="s">
        <v>669</v>
      </c>
      <c r="J894" s="352"/>
      <c r="K894" s="352">
        <v>97.7</v>
      </c>
      <c r="L894" s="352"/>
      <c r="M894" s="352"/>
    </row>
    <row r="895" spans="5:13" ht="31.5">
      <c r="F895" s="352">
        <v>8</v>
      </c>
      <c r="G895" s="352" t="s">
        <v>842</v>
      </c>
      <c r="H895" s="373" t="s">
        <v>2761</v>
      </c>
      <c r="I895" s="352">
        <f>I12</f>
        <v>16.55</v>
      </c>
      <c r="J895" s="352"/>
      <c r="K895" s="352">
        <f>F895*I895</f>
        <v>132.4</v>
      </c>
      <c r="L895" s="352"/>
      <c r="M895" s="352"/>
    </row>
    <row r="896" spans="5:13">
      <c r="F896" s="352"/>
      <c r="G896" s="352"/>
      <c r="H896" s="352" t="s">
        <v>931</v>
      </c>
      <c r="I896" s="352"/>
      <c r="J896" s="352"/>
      <c r="K896" s="352">
        <f>K903</f>
        <v>3169.5</v>
      </c>
      <c r="L896" s="352"/>
      <c r="M896" s="352"/>
    </row>
    <row r="897" spans="5:13">
      <c r="E897" s="352"/>
      <c r="F897" s="352"/>
      <c r="G897" s="352"/>
      <c r="H897" s="359" t="s">
        <v>1083</v>
      </c>
      <c r="I897" s="352"/>
      <c r="J897" s="352"/>
      <c r="K897" s="360">
        <f>SUM(K888:K896)+1.1</f>
        <v>7178</v>
      </c>
      <c r="L897" s="352"/>
      <c r="M897" s="352">
        <f>K897-5160</f>
        <v>2018</v>
      </c>
    </row>
    <row r="898" spans="5:13">
      <c r="E898" s="352"/>
      <c r="F898" s="352"/>
      <c r="G898" s="352"/>
      <c r="H898" s="352"/>
      <c r="I898" s="352"/>
      <c r="J898" s="352"/>
      <c r="K898" s="352"/>
      <c r="L898" s="352"/>
      <c r="M898" s="352"/>
    </row>
    <row r="899" spans="5:13">
      <c r="E899" s="352"/>
      <c r="F899" s="352"/>
      <c r="G899" s="352"/>
      <c r="H899" s="358" t="s">
        <v>142</v>
      </c>
      <c r="I899" s="352"/>
      <c r="J899" s="352"/>
      <c r="K899" s="352"/>
      <c r="L899" s="352"/>
      <c r="M899" s="352"/>
    </row>
    <row r="900" spans="5:13">
      <c r="E900" s="352"/>
      <c r="F900" s="352">
        <v>0.5</v>
      </c>
      <c r="G900" s="352" t="s">
        <v>1419</v>
      </c>
      <c r="H900" s="352" t="s">
        <v>2814</v>
      </c>
      <c r="I900" s="352">
        <f>I793</f>
        <v>783</v>
      </c>
      <c r="J900" s="352" t="s">
        <v>1419</v>
      </c>
      <c r="K900" s="352">
        <f>F900*I900</f>
        <v>391.5</v>
      </c>
      <c r="L900" s="352"/>
      <c r="M900" s="352"/>
    </row>
    <row r="901" spans="5:13">
      <c r="E901" s="352"/>
      <c r="F901" s="352">
        <v>2</v>
      </c>
      <c r="G901" s="352" t="s">
        <v>1419</v>
      </c>
      <c r="H901" s="352" t="s">
        <v>2633</v>
      </c>
      <c r="I901" s="352">
        <f>I794</f>
        <v>778</v>
      </c>
      <c r="J901" s="352" t="s">
        <v>1419</v>
      </c>
      <c r="K901" s="352">
        <f>F901*I901</f>
        <v>1556</v>
      </c>
      <c r="L901" s="352"/>
      <c r="M901" s="352"/>
    </row>
    <row r="902" spans="5:13">
      <c r="E902" s="352"/>
      <c r="F902" s="352">
        <v>2</v>
      </c>
      <c r="G902" s="352" t="s">
        <v>1419</v>
      </c>
      <c r="H902" s="352" t="s">
        <v>2370</v>
      </c>
      <c r="I902" s="352">
        <f>I795</f>
        <v>611</v>
      </c>
      <c r="J902" s="352" t="s">
        <v>1419</v>
      </c>
      <c r="K902" s="352">
        <f>F902*I902</f>
        <v>1222</v>
      </c>
      <c r="L902" s="352"/>
      <c r="M902" s="352"/>
    </row>
    <row r="903" spans="5:13">
      <c r="E903" s="352"/>
      <c r="F903" s="352"/>
      <c r="G903" s="352"/>
      <c r="H903" s="352"/>
      <c r="I903" s="352"/>
      <c r="J903" s="352"/>
      <c r="K903" s="358">
        <f>SUM(K900:K902)</f>
        <v>3169.5</v>
      </c>
      <c r="L903" s="352"/>
      <c r="M903" s="352"/>
    </row>
    <row r="904" spans="5:13">
      <c r="E904" s="352"/>
      <c r="F904" s="352"/>
      <c r="G904" s="352"/>
      <c r="H904" s="352"/>
      <c r="I904" s="352"/>
      <c r="J904" s="352"/>
      <c r="K904" s="352"/>
      <c r="L904" s="352"/>
      <c r="M904" s="352"/>
    </row>
    <row r="905" spans="5:13">
      <c r="E905" s="352"/>
      <c r="F905" s="352"/>
      <c r="G905" s="352"/>
      <c r="H905" s="360" t="s">
        <v>2762</v>
      </c>
      <c r="I905" s="352"/>
      <c r="J905" s="352"/>
      <c r="K905" s="352"/>
      <c r="L905" s="352"/>
      <c r="M905" s="352"/>
    </row>
    <row r="906" spans="5:13">
      <c r="E906" s="352"/>
      <c r="F906" s="352"/>
      <c r="G906" s="352"/>
      <c r="H906" s="352"/>
      <c r="I906" s="352"/>
      <c r="J906" s="352"/>
      <c r="K906" s="352"/>
      <c r="L906" s="352"/>
      <c r="M906" s="352"/>
    </row>
    <row r="907" spans="5:13">
      <c r="E907" s="352"/>
      <c r="F907" s="352"/>
      <c r="G907" s="352"/>
      <c r="H907" s="360" t="s">
        <v>4856</v>
      </c>
      <c r="I907" s="352"/>
      <c r="J907" s="352"/>
      <c r="K907" s="352"/>
      <c r="L907" s="352"/>
      <c r="M907" s="352"/>
    </row>
    <row r="908" spans="5:13">
      <c r="E908" s="352"/>
      <c r="F908" s="352"/>
      <c r="G908" s="352"/>
      <c r="H908" s="352"/>
      <c r="I908" s="352"/>
      <c r="J908" s="352"/>
      <c r="K908" s="352"/>
      <c r="L908" s="352"/>
      <c r="M908" s="352"/>
    </row>
    <row r="909" spans="5:13">
      <c r="E909" s="352"/>
      <c r="F909" s="352">
        <v>1</v>
      </c>
      <c r="G909" s="352" t="s">
        <v>1419</v>
      </c>
      <c r="H909" s="352" t="s">
        <v>5239</v>
      </c>
      <c r="I909" s="374">
        <v>1447</v>
      </c>
      <c r="J909" s="352" t="s">
        <v>1419</v>
      </c>
      <c r="K909" s="352">
        <f>F909*I909</f>
        <v>1447</v>
      </c>
      <c r="L909" s="352"/>
      <c r="M909" s="352"/>
    </row>
    <row r="910" spans="5:13">
      <c r="E910" s="352"/>
      <c r="F910" s="352"/>
      <c r="G910" s="352"/>
      <c r="H910" s="352" t="s">
        <v>2510</v>
      </c>
      <c r="I910" s="353">
        <v>337.6</v>
      </c>
      <c r="J910" s="352" t="s">
        <v>1419</v>
      </c>
      <c r="K910" s="352">
        <f>I910</f>
        <v>337.6</v>
      </c>
      <c r="L910" s="352"/>
      <c r="M910" s="352"/>
    </row>
    <row r="911" spans="5:13" ht="31.5">
      <c r="E911" s="352"/>
      <c r="F911" s="352"/>
      <c r="G911" s="352"/>
      <c r="H911" s="351" t="s">
        <v>5760</v>
      </c>
      <c r="I911" s="352"/>
      <c r="J911" s="352"/>
      <c r="K911" s="521">
        <v>31.6</v>
      </c>
      <c r="L911" s="352"/>
      <c r="M911" s="352">
        <f>K909+K910+K911</f>
        <v>1816.2</v>
      </c>
    </row>
    <row r="912" spans="5:13">
      <c r="E912" s="352"/>
      <c r="F912" s="352"/>
      <c r="G912" s="352"/>
      <c r="H912" s="352" t="s">
        <v>2920</v>
      </c>
      <c r="I912" s="352"/>
      <c r="J912" s="361">
        <f>SUM(K909:K911)</f>
        <v>1816.2</v>
      </c>
      <c r="K912" s="352">
        <f>J912*1%+0.39</f>
        <v>18.55</v>
      </c>
      <c r="L912" s="352"/>
      <c r="M912" s="352"/>
    </row>
    <row r="913" spans="5:13">
      <c r="E913" s="352"/>
      <c r="F913" s="352"/>
      <c r="G913" s="352"/>
      <c r="H913" s="352" t="s">
        <v>2921</v>
      </c>
      <c r="I913" s="352"/>
      <c r="J913" s="352"/>
      <c r="K913" s="352">
        <f>K920</f>
        <v>501.25</v>
      </c>
      <c r="L913" s="352"/>
      <c r="M913" s="352"/>
    </row>
    <row r="914" spans="5:13">
      <c r="E914" s="352"/>
      <c r="F914" s="352"/>
      <c r="G914" s="352"/>
      <c r="H914" s="359" t="s">
        <v>2922</v>
      </c>
      <c r="I914" s="352"/>
      <c r="J914" s="352"/>
      <c r="K914" s="360">
        <f>SUM(K909:K913)</f>
        <v>2336</v>
      </c>
      <c r="L914" s="352">
        <f>K914-2336</f>
        <v>0</v>
      </c>
      <c r="M914" s="352">
        <f>1883-K914</f>
        <v>-453</v>
      </c>
    </row>
    <row r="915" spans="5:13">
      <c r="E915" s="352"/>
      <c r="F915" s="352"/>
      <c r="G915" s="352"/>
      <c r="H915" s="352"/>
      <c r="I915" s="352"/>
      <c r="J915" s="352"/>
      <c r="K915" s="352"/>
      <c r="L915" s="352"/>
      <c r="M915" s="352"/>
    </row>
    <row r="916" spans="5:13">
      <c r="E916" s="352"/>
      <c r="F916" s="352"/>
      <c r="G916" s="352"/>
      <c r="H916" s="358" t="s">
        <v>931</v>
      </c>
      <c r="I916" s="352"/>
      <c r="J916" s="352"/>
      <c r="K916" s="352"/>
      <c r="L916" s="352"/>
      <c r="M916" s="352"/>
    </row>
    <row r="917" spans="5:13">
      <c r="E917" s="352"/>
      <c r="F917" s="352">
        <v>1</v>
      </c>
      <c r="G917" s="352" t="s">
        <v>1419</v>
      </c>
      <c r="H917" s="352" t="s">
        <v>2814</v>
      </c>
      <c r="I917" s="352">
        <f>I900</f>
        <v>783</v>
      </c>
      <c r="J917" s="352" t="s">
        <v>1419</v>
      </c>
      <c r="K917" s="352">
        <f>F917*I917</f>
        <v>783</v>
      </c>
      <c r="L917" s="352"/>
      <c r="M917" s="352"/>
    </row>
    <row r="918" spans="5:13">
      <c r="E918" s="352"/>
      <c r="F918" s="352">
        <v>2</v>
      </c>
      <c r="G918" s="352" t="s">
        <v>1419</v>
      </c>
      <c r="H918" s="352" t="s">
        <v>2370</v>
      </c>
      <c r="I918" s="352">
        <f>I902</f>
        <v>611</v>
      </c>
      <c r="J918" s="352" t="s">
        <v>1419</v>
      </c>
      <c r="K918" s="352">
        <f>F918*I918</f>
        <v>1222</v>
      </c>
      <c r="L918" s="352"/>
      <c r="M918" s="352"/>
    </row>
    <row r="919" spans="5:13">
      <c r="E919" s="352"/>
      <c r="F919" s="352"/>
      <c r="G919" s="352"/>
      <c r="H919" s="357" t="s">
        <v>2923</v>
      </c>
      <c r="I919" s="352"/>
      <c r="J919" s="352"/>
      <c r="K919" s="358">
        <f>SUM(K917:K918)</f>
        <v>2005</v>
      </c>
      <c r="L919" s="352"/>
      <c r="M919" s="352"/>
    </row>
    <row r="920" spans="5:13">
      <c r="E920" s="352"/>
      <c r="F920" s="352"/>
      <c r="G920" s="352"/>
      <c r="H920" s="359" t="s">
        <v>2841</v>
      </c>
      <c r="I920" s="352"/>
      <c r="J920" s="352"/>
      <c r="K920" s="360">
        <f>K919/4</f>
        <v>501.25</v>
      </c>
      <c r="L920" s="352"/>
      <c r="M920" s="352"/>
    </row>
    <row r="921" spans="5:13">
      <c r="E921" s="352"/>
      <c r="F921" s="352"/>
      <c r="G921" s="352"/>
      <c r="H921" s="352"/>
      <c r="I921" s="352"/>
      <c r="J921" s="352"/>
      <c r="K921" s="352"/>
      <c r="L921" s="352"/>
      <c r="M921" s="352"/>
    </row>
    <row r="922" spans="5:13">
      <c r="E922" s="352"/>
      <c r="F922" s="352"/>
      <c r="G922" s="352"/>
      <c r="H922" s="352"/>
      <c r="I922" s="352"/>
      <c r="J922" s="352"/>
      <c r="K922" s="352"/>
      <c r="L922" s="352"/>
      <c r="M922" s="352"/>
    </row>
    <row r="923" spans="5:13">
      <c r="E923" s="352"/>
      <c r="F923" s="352"/>
      <c r="G923" s="352"/>
      <c r="H923" s="360" t="s">
        <v>2924</v>
      </c>
      <c r="I923" s="352"/>
      <c r="J923" s="352"/>
      <c r="K923" s="352"/>
      <c r="L923" s="352"/>
      <c r="M923" s="352"/>
    </row>
    <row r="924" spans="5:13">
      <c r="E924" s="352"/>
      <c r="F924" s="352"/>
      <c r="G924" s="352"/>
      <c r="H924" s="352"/>
      <c r="I924" s="352"/>
      <c r="J924" s="352"/>
      <c r="K924" s="352"/>
      <c r="L924" s="352"/>
      <c r="M924" s="352"/>
    </row>
    <row r="925" spans="5:13">
      <c r="E925" s="352"/>
      <c r="F925" s="352"/>
      <c r="G925" s="352"/>
      <c r="H925" s="360" t="s">
        <v>2925</v>
      </c>
      <c r="I925" s="352"/>
      <c r="J925" s="352"/>
      <c r="K925" s="352"/>
      <c r="L925" s="352"/>
      <c r="M925" s="352"/>
    </row>
    <row r="926" spans="5:13">
      <c r="E926" s="352"/>
      <c r="F926" s="352"/>
      <c r="G926" s="352"/>
      <c r="H926" s="352"/>
      <c r="I926" s="352"/>
      <c r="J926" s="352"/>
      <c r="K926" s="352"/>
      <c r="L926" s="352"/>
      <c r="M926" s="352"/>
    </row>
    <row r="927" spans="5:13">
      <c r="E927" s="352"/>
      <c r="F927" s="352"/>
      <c r="G927" s="352"/>
      <c r="H927" s="352" t="s">
        <v>5240</v>
      </c>
      <c r="I927" s="374">
        <v>1265</v>
      </c>
      <c r="J927" s="352" t="s">
        <v>1419</v>
      </c>
      <c r="K927" s="352">
        <f>I927</f>
        <v>1265</v>
      </c>
      <c r="L927" s="352"/>
      <c r="M927" s="352"/>
    </row>
    <row r="928" spans="5:13">
      <c r="E928" s="352"/>
      <c r="F928" s="352"/>
      <c r="G928" s="352"/>
      <c r="H928" s="352" t="s">
        <v>2510</v>
      </c>
      <c r="I928" s="352">
        <f>I910</f>
        <v>337.6</v>
      </c>
      <c r="J928" s="352" t="s">
        <v>1419</v>
      </c>
      <c r="K928" s="352">
        <f>I928</f>
        <v>337.6</v>
      </c>
      <c r="L928" s="352"/>
      <c r="M928" s="352"/>
    </row>
    <row r="929" spans="5:13" ht="31.5">
      <c r="E929" s="352"/>
      <c r="F929" s="352"/>
      <c r="G929" s="352"/>
      <c r="H929" s="373" t="str">
        <f>H911</f>
        <v>Clamp fixing by cheche screws bolts and nuts including connections ( as per SD-114, Elec Data 2022-23)</v>
      </c>
      <c r="I929" s="352"/>
      <c r="J929" s="352"/>
      <c r="K929" s="421">
        <f>K911</f>
        <v>31.6</v>
      </c>
      <c r="L929" s="352">
        <f>K927+K928+K929</f>
        <v>1634.2</v>
      </c>
      <c r="M929" s="352"/>
    </row>
    <row r="930" spans="5:13">
      <c r="E930" s="352"/>
      <c r="F930" s="352"/>
      <c r="G930" s="352"/>
      <c r="H930" s="352" t="s">
        <v>2920</v>
      </c>
      <c r="I930" s="352"/>
      <c r="J930" s="352"/>
      <c r="K930" s="352">
        <f>SUM(K927:K929)*1%-1.79</f>
        <v>14.55</v>
      </c>
      <c r="L930" s="352"/>
      <c r="M930" s="352"/>
    </row>
    <row r="931" spans="5:13">
      <c r="E931" s="352"/>
      <c r="F931" s="352"/>
      <c r="G931" s="352"/>
      <c r="H931" s="352" t="s">
        <v>2921</v>
      </c>
      <c r="I931" s="352"/>
      <c r="J931" s="352"/>
      <c r="K931" s="352">
        <f>K913</f>
        <v>501.25</v>
      </c>
      <c r="L931" s="352"/>
      <c r="M931" s="352"/>
    </row>
    <row r="932" spans="5:13">
      <c r="E932" s="352"/>
      <c r="F932" s="352"/>
      <c r="G932" s="352"/>
      <c r="H932" s="359" t="s">
        <v>2922</v>
      </c>
      <c r="I932" s="352"/>
      <c r="J932" s="352"/>
      <c r="K932" s="360">
        <f>SUM(K927:K931)</f>
        <v>2150</v>
      </c>
      <c r="L932" s="352">
        <f>2150-K932</f>
        <v>0</v>
      </c>
      <c r="M932" s="352"/>
    </row>
    <row r="933" spans="5:13">
      <c r="E933" s="352"/>
      <c r="F933" s="352"/>
      <c r="G933" s="352"/>
      <c r="H933" s="352"/>
      <c r="I933" s="352"/>
      <c r="J933" s="352"/>
      <c r="K933" s="352"/>
      <c r="L933" s="352"/>
      <c r="M933" s="352"/>
    </row>
    <row r="934" spans="5:13">
      <c r="E934" s="352"/>
      <c r="F934" s="352"/>
      <c r="G934" s="352"/>
      <c r="H934" s="360" t="s">
        <v>2926</v>
      </c>
      <c r="I934" s="352"/>
      <c r="J934" s="352"/>
      <c r="K934" s="352"/>
      <c r="L934" s="352"/>
      <c r="M934" s="352"/>
    </row>
    <row r="935" spans="5:13">
      <c r="E935" s="352"/>
      <c r="F935" s="352">
        <v>1</v>
      </c>
      <c r="G935" s="352" t="s">
        <v>1419</v>
      </c>
      <c r="H935" s="352" t="s">
        <v>5241</v>
      </c>
      <c r="I935" s="353">
        <v>1366</v>
      </c>
      <c r="J935" s="352" t="s">
        <v>1419</v>
      </c>
      <c r="K935" s="352">
        <f>F935*I935</f>
        <v>1366</v>
      </c>
      <c r="L935" s="352"/>
      <c r="M935" s="352"/>
    </row>
    <row r="936" spans="5:13">
      <c r="E936" s="352"/>
      <c r="F936" s="352">
        <v>1</v>
      </c>
      <c r="G936" s="352" t="s">
        <v>1419</v>
      </c>
      <c r="H936" s="352" t="s">
        <v>5242</v>
      </c>
      <c r="I936" s="421">
        <v>185.9</v>
      </c>
      <c r="J936" s="352" t="s">
        <v>1419</v>
      </c>
      <c r="K936" s="352">
        <f>F936*I936</f>
        <v>185.9</v>
      </c>
      <c r="L936" s="352"/>
      <c r="M936" s="352"/>
    </row>
    <row r="937" spans="5:13">
      <c r="E937" s="352"/>
      <c r="F937" s="352"/>
      <c r="G937" s="352"/>
      <c r="H937" s="359" t="s">
        <v>2922</v>
      </c>
      <c r="I937" s="352"/>
      <c r="J937" s="352"/>
      <c r="K937" s="360">
        <f>SUM(K935:K936)+0.8</f>
        <v>1552.7</v>
      </c>
      <c r="L937" s="352"/>
      <c r="M937" s="352"/>
    </row>
    <row r="938" spans="5:13">
      <c r="E938" s="352"/>
      <c r="F938" s="352"/>
      <c r="G938" s="352"/>
      <c r="H938" s="359"/>
      <c r="I938" s="352"/>
      <c r="J938" s="352"/>
      <c r="K938" s="360"/>
      <c r="L938" s="352"/>
      <c r="M938" s="352"/>
    </row>
    <row r="939" spans="5:13">
      <c r="E939" s="352"/>
      <c r="F939" s="352"/>
      <c r="G939" s="352"/>
      <c r="H939" s="479" t="s">
        <v>2478</v>
      </c>
      <c r="I939" s="352"/>
      <c r="J939" s="352"/>
      <c r="K939" s="352"/>
      <c r="L939" s="352"/>
      <c r="M939" s="352"/>
    </row>
    <row r="940" spans="5:13">
      <c r="E940" s="352"/>
      <c r="F940" s="352">
        <v>1</v>
      </c>
      <c r="G940" s="352" t="s">
        <v>1419</v>
      </c>
      <c r="H940" s="352" t="s">
        <v>5243</v>
      </c>
      <c r="I940" s="421">
        <v>309</v>
      </c>
      <c r="J940" s="352" t="s">
        <v>1419</v>
      </c>
      <c r="K940" s="352">
        <f>F940*I940</f>
        <v>309</v>
      </c>
      <c r="L940" s="352"/>
      <c r="M940" s="352"/>
    </row>
    <row r="941" spans="5:13">
      <c r="E941" s="352"/>
      <c r="F941" s="352">
        <v>1</v>
      </c>
      <c r="G941" s="352" t="s">
        <v>1419</v>
      </c>
      <c r="H941" s="352" t="s">
        <v>5244</v>
      </c>
      <c r="I941" s="421">
        <v>36.200000000000003</v>
      </c>
      <c r="J941" s="352" t="s">
        <v>1419</v>
      </c>
      <c r="K941" s="352">
        <f>F941*I941</f>
        <v>36.200000000000003</v>
      </c>
      <c r="L941" s="352"/>
      <c r="M941" s="352"/>
    </row>
    <row r="942" spans="5:13">
      <c r="E942" s="352"/>
      <c r="F942" s="352"/>
      <c r="G942" s="352"/>
      <c r="H942" s="352" t="s">
        <v>2481</v>
      </c>
      <c r="I942" s="352"/>
      <c r="J942" s="352"/>
      <c r="K942" s="352">
        <f>K412</f>
        <v>260.75</v>
      </c>
      <c r="L942" s="352"/>
      <c r="M942" s="352"/>
    </row>
    <row r="943" spans="5:13">
      <c r="E943" s="352"/>
      <c r="F943" s="352"/>
      <c r="G943" s="352"/>
      <c r="H943" s="352" t="s">
        <v>2310</v>
      </c>
      <c r="I943" s="352"/>
      <c r="J943" s="352"/>
      <c r="K943" s="352">
        <v>3.35</v>
      </c>
      <c r="L943" s="352"/>
      <c r="M943" s="352"/>
    </row>
    <row r="944" spans="5:13">
      <c r="E944" s="352"/>
      <c r="F944" s="352"/>
      <c r="G944" s="352"/>
      <c r="H944" s="359" t="s">
        <v>2922</v>
      </c>
      <c r="I944" s="352"/>
      <c r="J944" s="352"/>
      <c r="K944" s="360">
        <f>SUM(K940:K943)</f>
        <v>609.29999999999995</v>
      </c>
      <c r="L944" s="352">
        <f>K944-697</f>
        <v>-87.7</v>
      </c>
      <c r="M944" s="352"/>
    </row>
    <row r="945" spans="5:13">
      <c r="E945" s="352"/>
      <c r="F945" s="352"/>
      <c r="G945" s="352"/>
      <c r="H945" s="352"/>
      <c r="I945" s="352"/>
      <c r="J945" s="352"/>
      <c r="K945" s="352"/>
      <c r="L945" s="352"/>
      <c r="M945" s="352"/>
    </row>
    <row r="946" spans="5:13">
      <c r="E946" s="352"/>
      <c r="F946" s="352"/>
      <c r="G946" s="352"/>
      <c r="H946" s="479" t="s">
        <v>2482</v>
      </c>
      <c r="I946" s="352"/>
      <c r="J946" s="352"/>
      <c r="K946" s="352"/>
      <c r="L946" s="352"/>
      <c r="M946" s="352"/>
    </row>
    <row r="947" spans="5:13">
      <c r="E947" s="352"/>
      <c r="F947" s="352">
        <v>1</v>
      </c>
      <c r="G947" s="352" t="s">
        <v>1419</v>
      </c>
      <c r="H947" s="352" t="s">
        <v>5245</v>
      </c>
      <c r="I947" s="421">
        <v>279.2</v>
      </c>
      <c r="J947" s="352" t="s">
        <v>1419</v>
      </c>
      <c r="K947" s="352">
        <f>F947*I947</f>
        <v>279.2</v>
      </c>
      <c r="L947" s="352"/>
      <c r="M947" s="352"/>
    </row>
    <row r="948" spans="5:13">
      <c r="E948" s="352"/>
      <c r="F948" s="352">
        <v>1</v>
      </c>
      <c r="G948" s="352" t="s">
        <v>1419</v>
      </c>
      <c r="H948" s="352" t="s">
        <v>5246</v>
      </c>
      <c r="I948" s="421">
        <v>35.4</v>
      </c>
      <c r="J948" s="352" t="s">
        <v>1419</v>
      </c>
      <c r="K948" s="352">
        <f>F948*I948</f>
        <v>35.4</v>
      </c>
      <c r="L948" s="352"/>
      <c r="M948" s="352"/>
    </row>
    <row r="949" spans="5:13">
      <c r="E949" s="352"/>
      <c r="F949" s="352"/>
      <c r="G949" s="352"/>
      <c r="H949" s="352" t="s">
        <v>2481</v>
      </c>
      <c r="I949" s="352"/>
      <c r="J949" s="352"/>
      <c r="K949" s="352">
        <f>K942</f>
        <v>260.75</v>
      </c>
      <c r="L949" s="352"/>
      <c r="M949" s="352"/>
    </row>
    <row r="950" spans="5:13">
      <c r="E950" s="352"/>
      <c r="F950" s="352"/>
      <c r="G950" s="352"/>
      <c r="H950" s="352" t="s">
        <v>2310</v>
      </c>
      <c r="I950" s="352"/>
      <c r="J950" s="352"/>
      <c r="K950" s="352">
        <v>2.15</v>
      </c>
      <c r="L950" s="352"/>
      <c r="M950" s="352"/>
    </row>
    <row r="951" spans="5:13">
      <c r="E951" s="352"/>
      <c r="F951" s="352"/>
      <c r="G951" s="352"/>
      <c r="H951" s="359" t="s">
        <v>2922</v>
      </c>
      <c r="I951" s="352"/>
      <c r="J951" s="352"/>
      <c r="K951" s="360">
        <f>SUM(K947:K950)</f>
        <v>577.5</v>
      </c>
      <c r="L951" s="352">
        <f>K951-496</f>
        <v>81.5</v>
      </c>
      <c r="M951" s="352"/>
    </row>
    <row r="952" spans="5:13">
      <c r="E952" s="352"/>
      <c r="F952" s="352"/>
      <c r="G952" s="352"/>
      <c r="H952" s="352"/>
      <c r="I952" s="352"/>
      <c r="J952" s="352"/>
      <c r="K952" s="352"/>
      <c r="L952" s="352"/>
      <c r="M952" s="352"/>
    </row>
    <row r="953" spans="5:13">
      <c r="E953" s="352"/>
      <c r="F953" s="352"/>
      <c r="G953" s="352"/>
      <c r="H953" s="352"/>
      <c r="I953" s="352"/>
      <c r="J953" s="352"/>
      <c r="K953" s="352"/>
      <c r="L953" s="352"/>
      <c r="M953" s="352"/>
    </row>
    <row r="954" spans="5:13">
      <c r="E954" s="352"/>
      <c r="F954" s="352"/>
      <c r="G954" s="352"/>
      <c r="H954" s="352"/>
      <c r="I954" s="352"/>
      <c r="J954" s="352"/>
      <c r="K954" s="352"/>
      <c r="L954" s="352"/>
      <c r="M954" s="352"/>
    </row>
    <row r="955" spans="5:13" ht="19.5">
      <c r="E955" s="352"/>
      <c r="F955" s="352"/>
      <c r="G955" s="352"/>
      <c r="H955" s="793" t="s">
        <v>4829</v>
      </c>
      <c r="I955" s="352"/>
      <c r="J955" s="352"/>
      <c r="K955" s="352"/>
      <c r="L955" s="352"/>
      <c r="M955" s="352"/>
    </row>
    <row r="956" spans="5:13">
      <c r="E956" s="352"/>
      <c r="F956" s="352">
        <v>1</v>
      </c>
      <c r="G956" s="352" t="s">
        <v>1419</v>
      </c>
      <c r="H956" s="352" t="s">
        <v>5761</v>
      </c>
      <c r="I956" s="421">
        <v>391</v>
      </c>
      <c r="J956" s="352" t="s">
        <v>1419</v>
      </c>
      <c r="K956" s="352">
        <f>F956*I956</f>
        <v>391</v>
      </c>
      <c r="L956" s="352"/>
      <c r="M956" s="352"/>
    </row>
    <row r="957" spans="5:13">
      <c r="E957" s="352"/>
      <c r="F957" s="352"/>
      <c r="G957" s="352"/>
      <c r="H957" s="352"/>
      <c r="I957" s="421"/>
      <c r="J957" s="352" t="s">
        <v>1419</v>
      </c>
      <c r="K957" s="352">
        <f>F957*I957</f>
        <v>0</v>
      </c>
      <c r="L957" s="352"/>
      <c r="M957" s="352"/>
    </row>
    <row r="958" spans="5:13">
      <c r="E958" s="352"/>
      <c r="F958" s="352"/>
      <c r="G958" s="352"/>
      <c r="H958" s="352" t="s">
        <v>4857</v>
      </c>
      <c r="I958" s="352"/>
      <c r="J958" s="352"/>
      <c r="K958" s="352">
        <f>K414</f>
        <v>298.8</v>
      </c>
      <c r="L958" s="352"/>
      <c r="M958" s="352"/>
    </row>
    <row r="959" spans="5:13">
      <c r="E959" s="352"/>
      <c r="F959" s="352"/>
      <c r="G959" s="352"/>
      <c r="H959" s="352" t="s">
        <v>2310</v>
      </c>
      <c r="I959" s="352"/>
      <c r="J959" s="352"/>
      <c r="K959" s="352">
        <v>0.2</v>
      </c>
      <c r="L959" s="352"/>
      <c r="M959" s="352"/>
    </row>
    <row r="960" spans="5:13">
      <c r="E960" s="352"/>
      <c r="F960" s="352"/>
      <c r="G960" s="352"/>
      <c r="H960" s="359" t="s">
        <v>2922</v>
      </c>
      <c r="I960" s="352"/>
      <c r="J960" s="352"/>
      <c r="K960" s="360">
        <f>SUM(K956:K959)</f>
        <v>690</v>
      </c>
      <c r="L960" s="352">
        <f>690-K960</f>
        <v>0</v>
      </c>
      <c r="M960" s="352"/>
    </row>
    <row r="961" spans="5:13">
      <c r="E961" s="352"/>
      <c r="F961" s="352"/>
      <c r="G961" s="352"/>
      <c r="H961" s="352"/>
      <c r="I961" s="352"/>
      <c r="J961" s="352"/>
      <c r="K961" s="352"/>
      <c r="L961" s="352"/>
      <c r="M961" s="352"/>
    </row>
    <row r="962" spans="5:13">
      <c r="E962" s="352"/>
      <c r="F962" s="352"/>
      <c r="G962" s="352"/>
      <c r="H962" s="352"/>
      <c r="I962" s="352"/>
      <c r="J962" s="352"/>
      <c r="K962" s="352"/>
      <c r="L962" s="352"/>
      <c r="M962" s="352"/>
    </row>
    <row r="963" spans="5:13">
      <c r="E963" s="352"/>
      <c r="F963" s="352"/>
      <c r="G963" s="352"/>
      <c r="H963" s="352"/>
      <c r="I963" s="352"/>
      <c r="J963" s="352"/>
      <c r="K963" s="352"/>
      <c r="L963" s="352"/>
      <c r="M963" s="352"/>
    </row>
    <row r="964" spans="5:13">
      <c r="E964" s="352"/>
      <c r="F964" s="352"/>
      <c r="G964" s="352"/>
      <c r="H964" s="352"/>
      <c r="I964" s="352"/>
      <c r="J964" s="352"/>
      <c r="K964" s="352"/>
      <c r="L964" s="352"/>
      <c r="M964" s="352"/>
    </row>
    <row r="965" spans="5:13">
      <c r="E965" s="352"/>
      <c r="F965" s="352"/>
      <c r="G965" s="352"/>
      <c r="H965" s="352"/>
      <c r="I965" s="352"/>
      <c r="J965" s="352"/>
      <c r="K965" s="352"/>
      <c r="L965" s="352"/>
      <c r="M965" s="352"/>
    </row>
    <row r="966" spans="5:13">
      <c r="E966" s="352"/>
      <c r="F966" s="352"/>
      <c r="G966" s="352"/>
      <c r="J966" s="180"/>
      <c r="L966" s="352"/>
      <c r="M966" s="352"/>
    </row>
    <row r="967" spans="5:13">
      <c r="E967" s="352"/>
      <c r="F967" s="352"/>
      <c r="G967" s="352"/>
      <c r="H967" s="352"/>
      <c r="I967" s="352"/>
      <c r="J967" s="352"/>
      <c r="K967" s="360"/>
      <c r="L967" s="352"/>
      <c r="M967" s="352"/>
    </row>
    <row r="968" spans="5:13">
      <c r="E968" s="352"/>
      <c r="F968" s="352"/>
      <c r="G968" s="352"/>
      <c r="H968" s="352"/>
      <c r="I968" s="352"/>
      <c r="J968" s="352"/>
      <c r="K968" s="352"/>
      <c r="L968" s="352"/>
      <c r="M968" s="352"/>
    </row>
    <row r="969" spans="5:13">
      <c r="E969" s="352"/>
      <c r="H969" s="189" t="s">
        <v>2488</v>
      </c>
      <c r="L969" s="352"/>
      <c r="M969" s="352"/>
    </row>
    <row r="970" spans="5:13">
      <c r="E970" s="352"/>
      <c r="L970" s="352"/>
      <c r="M970" s="352"/>
    </row>
    <row r="971" spans="5:13">
      <c r="E971" s="352"/>
      <c r="H971" s="189" t="s">
        <v>2330</v>
      </c>
      <c r="L971" s="352"/>
      <c r="M971" s="352"/>
    </row>
    <row r="972" spans="5:13">
      <c r="E972" s="352"/>
      <c r="L972" s="352"/>
      <c r="M972" s="352"/>
    </row>
    <row r="973" spans="5:13" ht="157.5">
      <c r="E973" s="352"/>
      <c r="H973" s="351" t="s">
        <v>2721</v>
      </c>
      <c r="L973" s="352"/>
      <c r="M973" s="352"/>
    </row>
    <row r="974" spans="5:13" ht="31.5">
      <c r="E974" s="352"/>
      <c r="F974" s="352">
        <v>90</v>
      </c>
      <c r="G974" s="352" t="s">
        <v>842</v>
      </c>
      <c r="H974" s="273" t="s">
        <v>2586</v>
      </c>
      <c r="I974" s="352">
        <f>I12</f>
        <v>16.55</v>
      </c>
      <c r="J974" s="352" t="s">
        <v>2587</v>
      </c>
      <c r="K974" s="352">
        <f>F974*I974</f>
        <v>1489.5</v>
      </c>
      <c r="L974" s="352"/>
      <c r="M974" s="352"/>
    </row>
    <row r="975" spans="5:13" ht="31.5">
      <c r="E975" s="352"/>
      <c r="F975" s="352">
        <v>45</v>
      </c>
      <c r="G975" s="352" t="s">
        <v>842</v>
      </c>
      <c r="H975" s="351" t="s">
        <v>2403</v>
      </c>
      <c r="I975" s="352">
        <f>I13</f>
        <v>20</v>
      </c>
      <c r="J975" s="352" t="s">
        <v>2404</v>
      </c>
      <c r="K975" s="352">
        <f>F975*I975</f>
        <v>900</v>
      </c>
      <c r="L975" s="352"/>
      <c r="M975" s="352"/>
    </row>
    <row r="976" spans="5:13">
      <c r="E976" s="352"/>
      <c r="F976" s="352">
        <v>20</v>
      </c>
      <c r="G976" s="352" t="s">
        <v>1419</v>
      </c>
      <c r="H976" s="352" t="s">
        <v>2405</v>
      </c>
      <c r="I976" s="352">
        <f>I14</f>
        <v>3.15</v>
      </c>
      <c r="J976" s="352" t="s">
        <v>1419</v>
      </c>
      <c r="K976" s="352">
        <f>F976*I976</f>
        <v>63</v>
      </c>
      <c r="L976" s="352"/>
      <c r="M976" s="352"/>
    </row>
    <row r="977" spans="5:13">
      <c r="E977" s="352"/>
      <c r="F977" s="352">
        <v>150</v>
      </c>
      <c r="G977" s="352" t="s">
        <v>1419</v>
      </c>
      <c r="H977" s="352" t="s">
        <v>4481</v>
      </c>
      <c r="I977" s="353">
        <f>I1113</f>
        <v>287</v>
      </c>
      <c r="J977" s="352" t="s">
        <v>2723</v>
      </c>
      <c r="K977" s="352">
        <f>(F977*I977)/1000</f>
        <v>43.05</v>
      </c>
      <c r="L977" s="352"/>
      <c r="M977" s="352"/>
    </row>
    <row r="978" spans="5:13">
      <c r="E978" s="352"/>
      <c r="F978" s="352">
        <v>10</v>
      </c>
      <c r="G978" s="352" t="s">
        <v>1419</v>
      </c>
      <c r="H978" s="352" t="s">
        <v>3448</v>
      </c>
      <c r="I978" s="352">
        <f>I15</f>
        <v>1.34</v>
      </c>
      <c r="J978" s="352" t="s">
        <v>1419</v>
      </c>
      <c r="K978" s="352">
        <f>F978*I978</f>
        <v>13.4</v>
      </c>
      <c r="L978" s="352"/>
      <c r="M978" s="352"/>
    </row>
    <row r="979" spans="5:13">
      <c r="E979" s="352"/>
      <c r="F979" s="352">
        <v>10</v>
      </c>
      <c r="G979" s="352" t="s">
        <v>1419</v>
      </c>
      <c r="H979" s="352" t="s">
        <v>5247</v>
      </c>
      <c r="I979" s="421">
        <v>43.25</v>
      </c>
      <c r="J979" s="352" t="s">
        <v>3451</v>
      </c>
      <c r="K979" s="352">
        <f>(F979*I979)/12</f>
        <v>36.04</v>
      </c>
      <c r="L979" s="352"/>
      <c r="M979" s="352"/>
    </row>
    <row r="980" spans="5:13">
      <c r="E980" s="352"/>
      <c r="F980" s="355">
        <v>1.4999999999999999E-2</v>
      </c>
      <c r="G980" s="352" t="s">
        <v>2322</v>
      </c>
      <c r="H980" s="352" t="s">
        <v>3319</v>
      </c>
      <c r="I980" s="352">
        <f>I18</f>
        <v>661</v>
      </c>
      <c r="J980" s="352" t="s">
        <v>2322</v>
      </c>
      <c r="K980" s="352">
        <f t="shared" ref="K980:K990" si="19">F980*I980</f>
        <v>9.92</v>
      </c>
      <c r="L980" s="352"/>
      <c r="M980" s="352"/>
    </row>
    <row r="981" spans="5:13">
      <c r="E981" s="352"/>
      <c r="F981" s="352">
        <v>10</v>
      </c>
      <c r="G981" s="352" t="s">
        <v>1419</v>
      </c>
      <c r="H981" s="352" t="s">
        <v>3320</v>
      </c>
      <c r="I981" s="352">
        <f>I19</f>
        <v>16.21</v>
      </c>
      <c r="J981" s="352" t="s">
        <v>1419</v>
      </c>
      <c r="K981" s="352">
        <f>(F981*I981)</f>
        <v>162.1</v>
      </c>
      <c r="L981" s="352"/>
      <c r="M981" s="352"/>
    </row>
    <row r="982" spans="5:13">
      <c r="E982" s="352"/>
      <c r="F982" s="352">
        <v>10</v>
      </c>
      <c r="G982" s="352" t="s">
        <v>1419</v>
      </c>
      <c r="H982" s="352" t="s">
        <v>2676</v>
      </c>
      <c r="I982" s="352">
        <f>I20</f>
        <v>13.8</v>
      </c>
      <c r="J982" s="352" t="s">
        <v>1419</v>
      </c>
      <c r="K982" s="352">
        <f t="shared" si="19"/>
        <v>138</v>
      </c>
      <c r="L982" s="352"/>
      <c r="M982" s="352"/>
    </row>
    <row r="983" spans="5:13">
      <c r="E983" s="352"/>
      <c r="F983" s="352">
        <v>1</v>
      </c>
      <c r="G983" s="352" t="s">
        <v>2684</v>
      </c>
      <c r="H983" s="352" t="s">
        <v>4823</v>
      </c>
      <c r="I983" s="352">
        <f>I749</f>
        <v>69.400000000000006</v>
      </c>
      <c r="J983" s="352" t="s">
        <v>2684</v>
      </c>
      <c r="K983" s="352">
        <f>F983*I983</f>
        <v>69.400000000000006</v>
      </c>
      <c r="L983" s="352"/>
      <c r="M983" s="352"/>
    </row>
    <row r="984" spans="5:13">
      <c r="E984" s="352"/>
      <c r="F984" s="352">
        <v>72</v>
      </c>
      <c r="G984" s="352" t="s">
        <v>1419</v>
      </c>
      <c r="H984" s="352" t="s">
        <v>2725</v>
      </c>
      <c r="I984" s="609">
        <v>47.7</v>
      </c>
      <c r="J984" s="352" t="s">
        <v>2684</v>
      </c>
      <c r="K984" s="352">
        <f>(F984*I984)/144</f>
        <v>23.85</v>
      </c>
      <c r="L984" s="352"/>
      <c r="M984" s="352"/>
    </row>
    <row r="985" spans="5:13">
      <c r="E985" s="352"/>
      <c r="F985" s="356">
        <v>0.16666666666666666</v>
      </c>
      <c r="G985" s="352" t="s">
        <v>2680</v>
      </c>
      <c r="H985" s="352" t="s">
        <v>395</v>
      </c>
      <c r="I985" s="537">
        <f>I269</f>
        <v>302</v>
      </c>
      <c r="J985" s="352" t="s">
        <v>2680</v>
      </c>
      <c r="K985" s="352">
        <f t="shared" si="19"/>
        <v>50.33</v>
      </c>
      <c r="L985" s="352"/>
      <c r="M985" s="352"/>
    </row>
    <row r="986" spans="5:13">
      <c r="E986" s="352"/>
      <c r="F986" s="352">
        <v>10</v>
      </c>
      <c r="G986" s="352" t="s">
        <v>1419</v>
      </c>
      <c r="H986" s="352" t="s">
        <v>5248</v>
      </c>
      <c r="I986" s="421">
        <v>13.8</v>
      </c>
      <c r="J986" s="352" t="s">
        <v>1419</v>
      </c>
      <c r="K986" s="352">
        <f t="shared" si="19"/>
        <v>138</v>
      </c>
      <c r="L986" s="352"/>
      <c r="M986" s="352"/>
    </row>
    <row r="987" spans="5:13">
      <c r="E987" s="352"/>
      <c r="F987" s="352">
        <v>1</v>
      </c>
      <c r="G987" s="352" t="s">
        <v>1419</v>
      </c>
      <c r="H987" s="352" t="s">
        <v>5249</v>
      </c>
      <c r="I987" s="421">
        <v>16.5</v>
      </c>
      <c r="J987" s="352" t="s">
        <v>1419</v>
      </c>
      <c r="K987" s="352">
        <f t="shared" si="19"/>
        <v>16.5</v>
      </c>
      <c r="L987" s="352"/>
      <c r="M987" s="352"/>
    </row>
    <row r="988" spans="5:13">
      <c r="E988" s="352"/>
      <c r="F988" s="352">
        <v>0.1</v>
      </c>
      <c r="G988" s="352" t="s">
        <v>2322</v>
      </c>
      <c r="H988" s="352" t="s">
        <v>3085</v>
      </c>
      <c r="I988" s="352">
        <f>I24</f>
        <v>661</v>
      </c>
      <c r="J988" s="352" t="s">
        <v>2322</v>
      </c>
      <c r="K988" s="352">
        <f t="shared" si="19"/>
        <v>66.099999999999994</v>
      </c>
      <c r="L988" s="352"/>
      <c r="M988" s="352"/>
    </row>
    <row r="989" spans="5:13" ht="31.5">
      <c r="E989" s="352"/>
      <c r="F989" s="352">
        <v>45</v>
      </c>
      <c r="G989" s="352" t="s">
        <v>842</v>
      </c>
      <c r="H989" s="273" t="s">
        <v>2686</v>
      </c>
      <c r="I989" s="352">
        <f>I25</f>
        <v>16.55</v>
      </c>
      <c r="J989" s="352" t="s">
        <v>3363</v>
      </c>
      <c r="K989" s="352">
        <f t="shared" si="19"/>
        <v>744.75</v>
      </c>
      <c r="L989" s="352"/>
      <c r="M989" s="352"/>
    </row>
    <row r="990" spans="5:13">
      <c r="E990" s="352"/>
      <c r="F990" s="356">
        <v>0.5</v>
      </c>
      <c r="G990" s="352" t="s">
        <v>55</v>
      </c>
      <c r="H990" s="273" t="s">
        <v>3988</v>
      </c>
      <c r="I990" s="352">
        <f>Data!I3241</f>
        <v>227.6</v>
      </c>
      <c r="J990" s="352" t="s">
        <v>55</v>
      </c>
      <c r="K990" s="352">
        <f t="shared" si="19"/>
        <v>113.8</v>
      </c>
      <c r="L990" s="352"/>
      <c r="M990" s="352"/>
    </row>
    <row r="991" spans="5:13">
      <c r="E991" s="352"/>
      <c r="F991" s="352">
        <v>10</v>
      </c>
      <c r="G991" s="352" t="s">
        <v>3367</v>
      </c>
      <c r="H991" s="352" t="s">
        <v>931</v>
      </c>
      <c r="I991" s="352"/>
      <c r="J991" s="352" t="s">
        <v>669</v>
      </c>
      <c r="K991" s="352">
        <f>K1010</f>
        <v>4828</v>
      </c>
      <c r="L991" s="352"/>
      <c r="M991" s="352"/>
    </row>
    <row r="992" spans="5:13">
      <c r="E992" s="352"/>
      <c r="F992" s="352" t="s">
        <v>669</v>
      </c>
      <c r="G992" s="352"/>
      <c r="H992" s="352" t="s">
        <v>3086</v>
      </c>
      <c r="I992" s="352"/>
      <c r="J992" s="352" t="s">
        <v>669</v>
      </c>
      <c r="K992" s="352">
        <v>44.26</v>
      </c>
      <c r="L992" s="352"/>
      <c r="M992" s="352"/>
    </row>
    <row r="993" spans="5:13">
      <c r="E993" s="352"/>
      <c r="F993" s="352"/>
      <c r="G993" s="352"/>
      <c r="H993" s="357" t="s">
        <v>3366</v>
      </c>
      <c r="I993" s="352"/>
      <c r="J993" s="352"/>
      <c r="K993" s="358">
        <f>SUM(K974:K992)</f>
        <v>8950</v>
      </c>
      <c r="L993" s="352"/>
      <c r="M993" s="352"/>
    </row>
    <row r="994" spans="5:13">
      <c r="E994" s="352"/>
      <c r="F994" s="352"/>
      <c r="G994" s="352"/>
      <c r="H994" s="359" t="s">
        <v>3368</v>
      </c>
      <c r="I994" s="352"/>
      <c r="J994" s="352"/>
      <c r="K994" s="360">
        <f>K993/10</f>
        <v>895</v>
      </c>
      <c r="L994" s="352">
        <f>895*10</f>
        <v>8950</v>
      </c>
      <c r="M994" s="352">
        <f>L994-K993</f>
        <v>0</v>
      </c>
    </row>
    <row r="995" spans="5:13">
      <c r="E995" s="352"/>
      <c r="F995" s="352"/>
      <c r="G995" s="352"/>
      <c r="H995" s="352"/>
      <c r="I995" s="352"/>
      <c r="J995" s="352"/>
      <c r="K995" s="352"/>
      <c r="L995" s="352"/>
      <c r="M995" s="352"/>
    </row>
    <row r="996" spans="5:13">
      <c r="E996" s="352"/>
      <c r="F996" s="352"/>
      <c r="G996" s="352"/>
      <c r="H996" s="352"/>
      <c r="I996" s="352"/>
      <c r="J996" s="352"/>
      <c r="K996" s="352"/>
      <c r="L996" s="352"/>
      <c r="M996" s="352"/>
    </row>
    <row r="997" spans="5:13">
      <c r="E997" s="352"/>
      <c r="F997" s="352"/>
      <c r="G997" s="352"/>
      <c r="H997" s="352"/>
      <c r="I997" s="352"/>
      <c r="J997" s="352"/>
      <c r="K997" s="352"/>
      <c r="L997" s="352"/>
      <c r="M997" s="352"/>
    </row>
    <row r="998" spans="5:13">
      <c r="E998" s="352"/>
      <c r="F998" s="352"/>
      <c r="G998" s="352"/>
      <c r="H998" s="352"/>
      <c r="I998" s="352"/>
      <c r="J998" s="352"/>
      <c r="K998" s="352"/>
      <c r="L998" s="352"/>
      <c r="M998" s="352"/>
    </row>
    <row r="999" spans="5:13">
      <c r="E999" s="352"/>
      <c r="F999" s="352"/>
      <c r="G999" s="360" t="s">
        <v>3370</v>
      </c>
      <c r="H999" s="352"/>
      <c r="I999" s="352"/>
      <c r="J999" s="352"/>
      <c r="M999" s="352"/>
    </row>
    <row r="1000" spans="5:13">
      <c r="E1000" s="352"/>
      <c r="F1000" s="352"/>
      <c r="G1000" s="352"/>
      <c r="H1000" s="352"/>
      <c r="I1000" s="352"/>
      <c r="J1000" s="352"/>
      <c r="M1000" s="352"/>
    </row>
    <row r="1001" spans="5:13">
      <c r="E1001" s="352"/>
      <c r="F1001" s="352"/>
      <c r="G1001" s="360" t="s">
        <v>3446</v>
      </c>
      <c r="H1001" s="352"/>
      <c r="I1001" s="352"/>
      <c r="J1001" s="352"/>
      <c r="M1001" s="352"/>
    </row>
    <row r="1002" spans="5:13">
      <c r="E1002" s="352"/>
      <c r="F1002" s="352"/>
      <c r="G1002" s="352"/>
      <c r="H1002" s="352"/>
      <c r="I1002" s="352"/>
      <c r="J1002" s="352"/>
      <c r="M1002" s="352"/>
    </row>
    <row r="1003" spans="5:13">
      <c r="E1003" s="352"/>
      <c r="F1003" s="352">
        <v>1</v>
      </c>
      <c r="G1003" s="352" t="s">
        <v>1419</v>
      </c>
      <c r="H1003" s="352" t="s">
        <v>3372</v>
      </c>
      <c r="I1003" s="352">
        <f>I35</f>
        <v>898</v>
      </c>
      <c r="J1003" s="352" t="s">
        <v>1419</v>
      </c>
      <c r="K1003" s="352">
        <f>F1003*I1003</f>
        <v>898</v>
      </c>
      <c r="L1003" s="352"/>
      <c r="M1003" s="352"/>
    </row>
    <row r="1004" spans="5:13">
      <c r="F1004" s="352">
        <v>2</v>
      </c>
      <c r="G1004" s="352" t="s">
        <v>1419</v>
      </c>
      <c r="H1004" s="352" t="s">
        <v>3373</v>
      </c>
      <c r="I1004" s="352">
        <f>I36</f>
        <v>783</v>
      </c>
      <c r="J1004" s="352" t="s">
        <v>1419</v>
      </c>
      <c r="K1004" s="352">
        <f>F1004*I1004</f>
        <v>1566</v>
      </c>
      <c r="L1004" s="352"/>
      <c r="M1004" s="352"/>
    </row>
    <row r="1005" spans="5:13">
      <c r="F1005" s="352">
        <v>3</v>
      </c>
      <c r="G1005" s="352" t="s">
        <v>1419</v>
      </c>
      <c r="H1005" s="352" t="s">
        <v>3374</v>
      </c>
      <c r="I1005" s="352">
        <f>I37</f>
        <v>778</v>
      </c>
      <c r="J1005" s="352" t="s">
        <v>1419</v>
      </c>
      <c r="K1005" s="352">
        <f>F1005*I1005</f>
        <v>2334</v>
      </c>
      <c r="L1005" s="352"/>
      <c r="M1005" s="352"/>
    </row>
    <row r="1006" spans="5:13">
      <c r="F1006" s="352">
        <v>4</v>
      </c>
      <c r="G1006" s="352" t="s">
        <v>1419</v>
      </c>
      <c r="H1006" s="352" t="s">
        <v>2370</v>
      </c>
      <c r="I1006" s="352">
        <f>I38</f>
        <v>611</v>
      </c>
      <c r="J1006" s="352" t="s">
        <v>1419</v>
      </c>
      <c r="K1006" s="352">
        <f>F1006*I1006</f>
        <v>2444</v>
      </c>
      <c r="L1006" s="352"/>
      <c r="M1006" s="352"/>
    </row>
    <row r="1007" spans="5:13">
      <c r="F1007" s="352"/>
      <c r="G1007" s="352"/>
      <c r="H1007" s="352"/>
      <c r="I1007" s="352"/>
      <c r="J1007" s="352"/>
      <c r="K1007" s="352"/>
      <c r="L1007" s="352"/>
      <c r="M1007" s="352"/>
    </row>
    <row r="1008" spans="5:13">
      <c r="F1008" s="352"/>
      <c r="G1008" s="180"/>
      <c r="H1008" s="362"/>
      <c r="J1008" s="180"/>
      <c r="K1008" s="363">
        <f>SUM(K1003:K1006)</f>
        <v>7242</v>
      </c>
      <c r="L1008" s="363"/>
      <c r="M1008" s="352"/>
    </row>
    <row r="1009" spans="5:13">
      <c r="E1009" s="352"/>
      <c r="F1009" s="352"/>
      <c r="G1009" s="180"/>
      <c r="H1009" s="362"/>
      <c r="J1009" s="180"/>
      <c r="M1009" s="352"/>
    </row>
    <row r="1010" spans="5:13" ht="51">
      <c r="E1010" s="352"/>
      <c r="F1010" s="352"/>
      <c r="G1010" s="180"/>
      <c r="H1010" s="362" t="s">
        <v>2893</v>
      </c>
      <c r="J1010" s="364"/>
      <c r="K1010" s="190">
        <f>K1008*2/3</f>
        <v>4828</v>
      </c>
      <c r="L1010" s="190"/>
      <c r="M1010" s="352"/>
    </row>
    <row r="1011" spans="5:13">
      <c r="E1011" s="352"/>
      <c r="F1011" s="352"/>
      <c r="G1011" s="352"/>
      <c r="H1011" s="352"/>
      <c r="I1011" s="352"/>
      <c r="J1011" s="352"/>
      <c r="K1011" s="352"/>
      <c r="L1011" s="352"/>
      <c r="M1011" s="352"/>
    </row>
    <row r="1012" spans="5:13">
      <c r="E1012" s="352"/>
      <c r="F1012" s="352"/>
      <c r="G1012" s="352"/>
      <c r="H1012" s="189" t="s">
        <v>3087</v>
      </c>
      <c r="I1012" s="352"/>
      <c r="J1012" s="352"/>
      <c r="K1012" s="352"/>
      <c r="L1012" s="352"/>
      <c r="M1012" s="352"/>
    </row>
    <row r="1013" spans="5:13">
      <c r="E1013" s="352"/>
      <c r="F1013" s="352"/>
      <c r="G1013" s="352"/>
      <c r="H1013" s="352"/>
      <c r="I1013" s="352"/>
      <c r="J1013" s="352"/>
      <c r="K1013" s="352"/>
      <c r="L1013" s="352"/>
      <c r="M1013" s="352"/>
    </row>
    <row r="1014" spans="5:13" ht="173.25">
      <c r="E1014" s="352"/>
      <c r="F1014" s="352"/>
      <c r="G1014" s="352"/>
      <c r="H1014" s="351" t="s">
        <v>3105</v>
      </c>
      <c r="I1014" s="352"/>
      <c r="J1014" s="352"/>
      <c r="K1014" s="352"/>
      <c r="L1014" s="352"/>
      <c r="M1014" s="352"/>
    </row>
    <row r="1015" spans="5:13">
      <c r="E1015" s="352"/>
      <c r="F1015" s="352"/>
      <c r="G1015" s="352"/>
      <c r="H1015" s="352" t="s">
        <v>2493</v>
      </c>
      <c r="I1015" s="352"/>
      <c r="J1015" s="352"/>
      <c r="K1015" s="352">
        <f>K993-K992</f>
        <v>8905.74</v>
      </c>
      <c r="L1015" s="352"/>
      <c r="M1015" s="352"/>
    </row>
    <row r="1016" spans="5:13">
      <c r="E1016" s="352"/>
      <c r="F1016" s="352"/>
      <c r="G1016" s="352"/>
      <c r="H1016" s="352" t="s">
        <v>2494</v>
      </c>
      <c r="I1016" s="352"/>
      <c r="J1016" s="352"/>
      <c r="K1016" s="352">
        <f>K982</f>
        <v>138</v>
      </c>
      <c r="L1016" s="352"/>
      <c r="M1016" s="352"/>
    </row>
    <row r="1017" spans="5:13">
      <c r="E1017" s="352"/>
      <c r="F1017" s="352"/>
      <c r="G1017" s="352"/>
      <c r="H1017" s="352" t="str">
        <f>H50</f>
        <v>Add cost of Bakelite battern type holders 10 Nos @ Rs 16.65 / Each p-116,  it-25</v>
      </c>
      <c r="I1017" s="352"/>
      <c r="J1017" s="352"/>
      <c r="K1017" s="352">
        <f>K50</f>
        <v>166.5</v>
      </c>
      <c r="L1017" s="352"/>
      <c r="M1017" s="352"/>
    </row>
    <row r="1018" spans="5:13">
      <c r="E1018" s="352"/>
      <c r="F1018" s="352"/>
      <c r="G1018" s="352"/>
      <c r="H1018" s="352" t="s">
        <v>2310</v>
      </c>
      <c r="I1018" s="352"/>
      <c r="J1018" s="352"/>
      <c r="K1018" s="352">
        <v>35.76</v>
      </c>
      <c r="L1018" s="352"/>
      <c r="M1018" s="352"/>
    </row>
    <row r="1019" spans="5:13">
      <c r="E1019" s="352"/>
      <c r="F1019" s="352"/>
      <c r="G1019" s="352"/>
      <c r="H1019" s="357" t="s">
        <v>2472</v>
      </c>
      <c r="I1019" s="352"/>
      <c r="J1019" s="352"/>
      <c r="K1019" s="358">
        <f>K1015-K1016+K1017+K1018</f>
        <v>8970</v>
      </c>
      <c r="L1019" s="352">
        <f>L1020-K1019</f>
        <v>0</v>
      </c>
      <c r="M1019" s="352"/>
    </row>
    <row r="1020" spans="5:13">
      <c r="E1020" s="352"/>
      <c r="F1020" s="352"/>
      <c r="G1020" s="352"/>
      <c r="H1020" s="359" t="s">
        <v>2473</v>
      </c>
      <c r="I1020" s="352"/>
      <c r="J1020" s="352"/>
      <c r="K1020" s="360">
        <f>K1019/10</f>
        <v>897</v>
      </c>
      <c r="L1020" s="352">
        <f>897*10</f>
        <v>8970</v>
      </c>
      <c r="M1020" s="352"/>
    </row>
    <row r="1021" spans="5:13">
      <c r="E1021" s="352"/>
      <c r="F1021" s="352"/>
      <c r="G1021" s="352"/>
      <c r="H1021" s="352"/>
      <c r="I1021" s="352"/>
      <c r="J1021" s="352"/>
      <c r="K1021" s="352"/>
      <c r="L1021" s="352">
        <f>L1020-K1019</f>
        <v>0</v>
      </c>
      <c r="M1021" s="352"/>
    </row>
    <row r="1022" spans="5:13">
      <c r="E1022" s="352"/>
      <c r="F1022" s="352"/>
      <c r="G1022" s="352"/>
      <c r="H1022" s="352"/>
      <c r="I1022" s="352"/>
      <c r="J1022" s="352"/>
      <c r="K1022" s="352"/>
      <c r="L1022" s="352"/>
      <c r="M1022" s="352"/>
    </row>
    <row r="1023" spans="5:13">
      <c r="E1023" s="352"/>
      <c r="F1023" s="352"/>
      <c r="G1023" s="352"/>
      <c r="H1023" s="352"/>
      <c r="I1023" s="352"/>
      <c r="J1023" s="352"/>
      <c r="K1023" s="352"/>
      <c r="L1023" s="352"/>
      <c r="M1023" s="352"/>
    </row>
    <row r="1024" spans="5:13" ht="47.25">
      <c r="E1024" s="352"/>
      <c r="F1024" s="352"/>
      <c r="G1024" s="352"/>
      <c r="H1024" s="350" t="s">
        <v>3447</v>
      </c>
      <c r="I1024" s="352"/>
      <c r="J1024" s="352"/>
      <c r="K1024" s="352"/>
      <c r="L1024" s="352"/>
      <c r="M1024" s="352"/>
    </row>
    <row r="1025" spans="5:13">
      <c r="E1025" s="352"/>
      <c r="F1025" s="352"/>
      <c r="G1025" s="352"/>
      <c r="H1025" s="352"/>
      <c r="I1025" s="352"/>
      <c r="J1025" s="352"/>
      <c r="K1025" s="352"/>
      <c r="L1025" s="352"/>
      <c r="M1025" s="352"/>
    </row>
    <row r="1026" spans="5:13" ht="189">
      <c r="E1026" s="352"/>
      <c r="F1026" s="352"/>
      <c r="G1026" s="352"/>
      <c r="H1026" s="351" t="s">
        <v>3434</v>
      </c>
      <c r="I1026" s="352"/>
      <c r="J1026" s="352"/>
      <c r="K1026" s="352"/>
      <c r="L1026" s="352"/>
      <c r="M1026" s="352"/>
    </row>
    <row r="1027" spans="5:13">
      <c r="E1027" s="352"/>
      <c r="F1027" s="352"/>
      <c r="G1027" s="352"/>
      <c r="H1027" s="352" t="s">
        <v>3456</v>
      </c>
      <c r="I1027" s="352"/>
      <c r="J1027" s="352"/>
      <c r="K1027" s="352">
        <f>K1015</f>
        <v>8905.74</v>
      </c>
      <c r="L1027" s="352"/>
      <c r="M1027" s="352"/>
    </row>
    <row r="1028" spans="5:13">
      <c r="E1028" s="352"/>
      <c r="F1028" s="352"/>
      <c r="G1028" s="352"/>
      <c r="H1028" s="352" t="s">
        <v>3043</v>
      </c>
      <c r="I1028" s="352"/>
      <c r="J1028" s="352"/>
      <c r="K1028" s="352">
        <f>K1016</f>
        <v>138</v>
      </c>
      <c r="L1028" s="352"/>
      <c r="M1028" s="352"/>
    </row>
    <row r="1029" spans="5:13">
      <c r="E1029" s="352"/>
      <c r="F1029" s="352"/>
      <c r="G1029" s="352"/>
      <c r="H1029" s="352" t="s">
        <v>3044</v>
      </c>
      <c r="I1029" s="352"/>
      <c r="J1029" s="352"/>
      <c r="K1029" s="352">
        <f>K979</f>
        <v>36.04</v>
      </c>
      <c r="L1029" s="352"/>
      <c r="M1029" s="352"/>
    </row>
    <row r="1030" spans="5:13">
      <c r="E1030" s="352"/>
      <c r="F1030" s="352"/>
      <c r="G1030" s="352"/>
      <c r="H1030" s="352" t="s">
        <v>3045</v>
      </c>
      <c r="I1030" s="352"/>
      <c r="J1030" s="352"/>
      <c r="K1030" s="352">
        <f>K62</f>
        <v>162.1</v>
      </c>
      <c r="L1030" s="352"/>
      <c r="M1030" s="352"/>
    </row>
    <row r="1031" spans="5:13">
      <c r="E1031" s="352"/>
      <c r="F1031" s="352"/>
      <c r="G1031" s="352"/>
      <c r="H1031" s="352" t="s">
        <v>4482</v>
      </c>
      <c r="I1031" s="352"/>
      <c r="J1031" s="352"/>
      <c r="K1031" s="421">
        <f>K63</f>
        <v>417</v>
      </c>
      <c r="L1031" s="352"/>
      <c r="M1031" s="352"/>
    </row>
    <row r="1032" spans="5:13">
      <c r="E1032" s="352"/>
      <c r="F1032" s="352"/>
      <c r="H1032" s="352" t="s">
        <v>5250</v>
      </c>
      <c r="I1032" s="352"/>
      <c r="J1032" s="352"/>
      <c r="K1032" s="421">
        <f>10*16.65</f>
        <v>166.5</v>
      </c>
      <c r="L1032" s="352"/>
      <c r="M1032" s="352"/>
    </row>
    <row r="1033" spans="5:13">
      <c r="E1033" s="352"/>
      <c r="F1033" s="352"/>
      <c r="G1033" s="352"/>
      <c r="H1033" s="352" t="s">
        <v>5251</v>
      </c>
      <c r="I1033" s="352"/>
      <c r="J1033" s="352"/>
      <c r="K1033" s="421">
        <f>16.5*10</f>
        <v>165</v>
      </c>
      <c r="L1033" s="352"/>
      <c r="M1033" s="352"/>
    </row>
    <row r="1034" spans="5:13">
      <c r="E1034" s="352"/>
      <c r="F1034" s="352"/>
      <c r="G1034" s="352"/>
      <c r="H1034" s="352" t="s">
        <v>2310</v>
      </c>
      <c r="I1034" s="352"/>
      <c r="J1034" s="352"/>
      <c r="K1034" s="352">
        <v>31.9</v>
      </c>
      <c r="L1034" s="352"/>
      <c r="M1034" s="352"/>
    </row>
    <row r="1035" spans="5:13">
      <c r="E1035" s="352"/>
      <c r="F1035" s="352"/>
      <c r="G1035" s="352"/>
      <c r="H1035" s="357" t="s">
        <v>2472</v>
      </c>
      <c r="I1035" s="352"/>
      <c r="J1035" s="352"/>
      <c r="K1035" s="358">
        <f>(K1027-K1028-K1029-K1030)+(K1031+K1032+K1033+K1034)</f>
        <v>9350</v>
      </c>
      <c r="L1035" s="352"/>
      <c r="M1035" s="352"/>
    </row>
    <row r="1036" spans="5:13">
      <c r="E1036" s="352"/>
      <c r="F1036" s="352"/>
      <c r="G1036" s="352"/>
      <c r="H1036" s="359" t="s">
        <v>3220</v>
      </c>
      <c r="I1036" s="352"/>
      <c r="J1036" s="352"/>
      <c r="K1036" s="360">
        <f>K1035/10</f>
        <v>935</v>
      </c>
      <c r="L1036" s="352">
        <f>935*10</f>
        <v>9350</v>
      </c>
      <c r="M1036" s="352">
        <f>L1036-K1035</f>
        <v>0</v>
      </c>
    </row>
    <row r="1037" spans="5:13">
      <c r="E1037" s="352"/>
      <c r="F1037" s="352"/>
      <c r="G1037" s="352"/>
      <c r="H1037" s="352"/>
      <c r="I1037" s="352"/>
      <c r="J1037" s="352"/>
      <c r="K1037" s="352"/>
      <c r="L1037" s="352"/>
      <c r="M1037" s="352"/>
    </row>
    <row r="1038" spans="5:13">
      <c r="E1038" s="352"/>
      <c r="F1038" s="352"/>
      <c r="G1038" s="352"/>
      <c r="H1038" s="352"/>
      <c r="I1038" s="352"/>
      <c r="J1038" s="352"/>
      <c r="K1038" s="352"/>
      <c r="L1038" s="352"/>
      <c r="M1038" s="352"/>
    </row>
    <row r="1039" spans="5:13">
      <c r="E1039" s="352"/>
      <c r="F1039" s="352"/>
      <c r="G1039" s="352"/>
      <c r="H1039" s="352"/>
      <c r="I1039" s="352"/>
      <c r="J1039" s="352"/>
      <c r="K1039" s="352"/>
      <c r="L1039" s="352"/>
      <c r="M1039" s="352"/>
    </row>
    <row r="1040" spans="5:13">
      <c r="E1040" s="352"/>
      <c r="F1040" s="352"/>
      <c r="G1040" s="352"/>
      <c r="H1040" s="352"/>
      <c r="I1040" s="352"/>
      <c r="J1040" s="352"/>
      <c r="K1040" s="352"/>
      <c r="L1040" s="352"/>
      <c r="M1040" s="352"/>
    </row>
    <row r="1041" spans="5:13">
      <c r="E1041" s="352"/>
      <c r="F1041" s="352"/>
      <c r="G1041" s="352"/>
      <c r="H1041" s="352"/>
      <c r="I1041" s="352"/>
      <c r="J1041" s="352"/>
      <c r="K1041" s="352"/>
      <c r="L1041" s="352"/>
      <c r="M1041" s="352"/>
    </row>
    <row r="1042" spans="5:13">
      <c r="E1042" s="352"/>
      <c r="F1042" s="352"/>
      <c r="G1042" s="352"/>
      <c r="H1042" s="350" t="s">
        <v>4863</v>
      </c>
      <c r="I1042" s="352"/>
      <c r="J1042" s="352"/>
      <c r="K1042" s="352"/>
      <c r="L1042" s="352"/>
      <c r="M1042" s="352"/>
    </row>
    <row r="1043" spans="5:13">
      <c r="E1043" s="352"/>
      <c r="F1043" s="352"/>
      <c r="G1043" s="352"/>
      <c r="I1043" s="352"/>
      <c r="J1043" s="352"/>
      <c r="K1043" s="352"/>
      <c r="L1043" s="352"/>
      <c r="M1043" s="352"/>
    </row>
    <row r="1044" spans="5:13">
      <c r="E1044" s="352"/>
      <c r="F1044" s="352"/>
      <c r="G1044" s="352"/>
      <c r="I1044" s="352"/>
      <c r="J1044" s="352"/>
      <c r="K1044" s="352"/>
      <c r="L1044" s="352"/>
      <c r="M1044" s="352"/>
    </row>
    <row r="1045" spans="5:13">
      <c r="E1045" s="352"/>
      <c r="F1045" s="352"/>
      <c r="G1045" s="352"/>
      <c r="I1045" s="352"/>
      <c r="J1045" s="352"/>
      <c r="K1045" s="352"/>
      <c r="L1045" s="352"/>
      <c r="M1045" s="352"/>
    </row>
    <row r="1046" spans="5:13">
      <c r="E1046" s="352"/>
      <c r="F1046" s="352"/>
      <c r="G1046" s="352"/>
      <c r="I1046" s="352"/>
      <c r="J1046" s="352"/>
      <c r="K1046" s="352"/>
      <c r="L1046" s="352"/>
      <c r="M1046" s="352"/>
    </row>
    <row r="1047" spans="5:13" ht="157.5">
      <c r="E1047" s="352"/>
      <c r="F1047" s="352"/>
      <c r="G1047" s="352"/>
      <c r="H1047" s="351" t="s">
        <v>4859</v>
      </c>
      <c r="I1047" s="352"/>
      <c r="J1047" s="352"/>
      <c r="K1047" s="352"/>
      <c r="L1047" s="352"/>
      <c r="M1047" s="352"/>
    </row>
    <row r="1048" spans="5:13">
      <c r="E1048" s="352"/>
      <c r="F1048" s="352"/>
      <c r="G1048" s="352"/>
      <c r="H1048" s="352"/>
      <c r="I1048" s="352"/>
      <c r="J1048" s="352"/>
      <c r="K1048" s="352"/>
      <c r="L1048" s="352"/>
      <c r="M1048" s="352"/>
    </row>
    <row r="1049" spans="5:13">
      <c r="E1049" s="352"/>
      <c r="F1049" s="352"/>
      <c r="G1049" s="352"/>
      <c r="H1049" s="352"/>
      <c r="I1049" s="352"/>
      <c r="J1049" s="352"/>
      <c r="K1049" s="352"/>
      <c r="L1049" s="352"/>
      <c r="M1049" s="352"/>
    </row>
    <row r="1050" spans="5:13">
      <c r="E1050" s="352"/>
      <c r="F1050" s="352"/>
      <c r="G1050" s="352"/>
      <c r="H1050" s="352"/>
      <c r="I1050" s="352"/>
      <c r="J1050" s="352"/>
      <c r="K1050" s="352"/>
      <c r="L1050" s="352"/>
      <c r="M1050" s="352"/>
    </row>
    <row r="1051" spans="5:13">
      <c r="E1051" s="352"/>
      <c r="F1051" s="352"/>
      <c r="G1051" s="352"/>
      <c r="H1051" s="352" t="s">
        <v>2493</v>
      </c>
      <c r="I1051" s="352"/>
      <c r="J1051" s="352"/>
      <c r="K1051" s="352">
        <f>K1027</f>
        <v>8905.74</v>
      </c>
      <c r="L1051" s="352"/>
      <c r="M1051" s="352"/>
    </row>
    <row r="1052" spans="5:13">
      <c r="E1052" s="352"/>
      <c r="F1052" s="352"/>
      <c r="G1052" s="352"/>
      <c r="H1052" s="352" t="s">
        <v>4860</v>
      </c>
      <c r="I1052" s="352"/>
      <c r="J1052" s="352"/>
      <c r="K1052" s="352">
        <f>K986</f>
        <v>138</v>
      </c>
      <c r="L1052" s="352"/>
      <c r="M1052" s="352"/>
    </row>
    <row r="1053" spans="5:13">
      <c r="E1053" s="352"/>
      <c r="F1053" s="352"/>
      <c r="G1053" s="352"/>
      <c r="H1053" s="352" t="s">
        <v>2863</v>
      </c>
      <c r="I1053" s="352"/>
      <c r="J1053" s="352"/>
      <c r="K1053" s="352">
        <f>K988</f>
        <v>66.099999999999994</v>
      </c>
      <c r="L1053" s="352"/>
      <c r="M1053" s="352"/>
    </row>
    <row r="1054" spans="5:13" ht="31.5">
      <c r="E1054" s="352"/>
      <c r="F1054" s="352"/>
      <c r="G1054" s="352"/>
      <c r="H1054" s="351" t="s">
        <v>5252</v>
      </c>
      <c r="I1054" s="352"/>
      <c r="J1054" s="352"/>
      <c r="K1054" s="421">
        <f>69.9*10</f>
        <v>699</v>
      </c>
      <c r="L1054" s="352"/>
      <c r="M1054" s="352"/>
    </row>
    <row r="1055" spans="5:13">
      <c r="E1055" s="352"/>
      <c r="F1055" s="352"/>
      <c r="G1055" s="352"/>
      <c r="H1055" s="352" t="s">
        <v>5877</v>
      </c>
      <c r="I1055" s="352"/>
      <c r="J1055" s="352"/>
      <c r="K1055" s="421">
        <f>0.6*661</f>
        <v>396.6</v>
      </c>
      <c r="L1055" s="352"/>
      <c r="M1055" s="352"/>
    </row>
    <row r="1056" spans="5:13">
      <c r="E1056" s="352"/>
      <c r="F1056" s="352"/>
      <c r="G1056" s="352"/>
      <c r="H1056" s="352" t="s">
        <v>3088</v>
      </c>
      <c r="I1056" s="352"/>
      <c r="J1056" s="352"/>
      <c r="K1056" s="352">
        <v>22.76</v>
      </c>
      <c r="L1056" s="352"/>
      <c r="M1056" s="352"/>
    </row>
    <row r="1057" spans="5:13">
      <c r="E1057" s="352"/>
      <c r="F1057" s="352"/>
      <c r="G1057" s="352"/>
      <c r="H1057" s="357" t="s">
        <v>2472</v>
      </c>
      <c r="I1057" s="352"/>
      <c r="J1057" s="352"/>
      <c r="K1057" s="358">
        <f>K1051-K1052-K1053+K1054+K1055+K1056</f>
        <v>9820</v>
      </c>
      <c r="L1057" s="352"/>
      <c r="M1057" s="352"/>
    </row>
    <row r="1058" spans="5:13">
      <c r="E1058" s="352"/>
      <c r="F1058" s="352"/>
      <c r="G1058" s="352"/>
      <c r="H1058" s="359" t="s">
        <v>2473</v>
      </c>
      <c r="I1058" s="352"/>
      <c r="J1058" s="352"/>
      <c r="K1058" s="360">
        <f>K1057/10</f>
        <v>982</v>
      </c>
      <c r="L1058" s="352">
        <f>982*10</f>
        <v>9820</v>
      </c>
      <c r="M1058" s="352"/>
    </row>
    <row r="1059" spans="5:13">
      <c r="E1059" s="352"/>
      <c r="F1059" s="352"/>
      <c r="G1059" s="352"/>
      <c r="H1059" s="352"/>
      <c r="I1059" s="352"/>
      <c r="J1059" s="352"/>
      <c r="K1059" s="352"/>
      <c r="L1059" s="352">
        <f>L1058-K1057</f>
        <v>0</v>
      </c>
      <c r="M1059" s="352"/>
    </row>
    <row r="1060" spans="5:13">
      <c r="E1060" s="352"/>
      <c r="F1060" s="352"/>
      <c r="G1060" s="352"/>
      <c r="H1060" s="352"/>
      <c r="I1060" s="352"/>
      <c r="J1060" s="352"/>
      <c r="K1060" s="352">
        <f>K1058*6</f>
        <v>5892</v>
      </c>
      <c r="L1060" s="352"/>
      <c r="M1060" s="352"/>
    </row>
    <row r="1061" spans="5:13">
      <c r="E1061" s="352"/>
      <c r="F1061" s="352"/>
      <c r="G1061" s="352"/>
      <c r="H1061" s="352"/>
      <c r="I1061" s="352"/>
      <c r="J1061" s="352"/>
      <c r="K1061" s="352"/>
      <c r="L1061" s="352"/>
      <c r="M1061" s="352"/>
    </row>
    <row r="1062" spans="5:13">
      <c r="E1062" s="352"/>
      <c r="F1062" s="352"/>
      <c r="G1062" s="352"/>
      <c r="H1062" s="350" t="s">
        <v>4862</v>
      </c>
      <c r="I1062" s="352"/>
      <c r="J1062" s="352"/>
      <c r="K1062" s="352"/>
      <c r="L1062" s="352"/>
      <c r="M1062" s="352"/>
    </row>
    <row r="1063" spans="5:13" ht="173.25">
      <c r="E1063" s="352"/>
      <c r="F1063" s="352"/>
      <c r="G1063" s="352"/>
      <c r="H1063" s="351" t="s">
        <v>4861</v>
      </c>
      <c r="I1063" s="352"/>
      <c r="J1063" s="352"/>
      <c r="K1063" s="352"/>
      <c r="L1063" s="352"/>
      <c r="M1063" s="352"/>
    </row>
    <row r="1064" spans="5:13" ht="31.5">
      <c r="E1064" s="352"/>
      <c r="F1064" s="352">
        <v>90</v>
      </c>
      <c r="G1064" s="352" t="s">
        <v>842</v>
      </c>
      <c r="H1064" s="273" t="s">
        <v>2586</v>
      </c>
      <c r="I1064" s="352">
        <f>I218</f>
        <v>16.55</v>
      </c>
      <c r="J1064" s="352" t="s">
        <v>2587</v>
      </c>
      <c r="K1064" s="352">
        <f>F1064*I1064</f>
        <v>1489.5</v>
      </c>
      <c r="L1064" s="352"/>
      <c r="M1064" s="352"/>
    </row>
    <row r="1065" spans="5:13" ht="31.5">
      <c r="E1065" s="352"/>
      <c r="F1065" s="352">
        <v>30</v>
      </c>
      <c r="G1065" s="352" t="s">
        <v>842</v>
      </c>
      <c r="H1065" s="351" t="s">
        <v>2403</v>
      </c>
      <c r="I1065" s="352">
        <f>I219</f>
        <v>20</v>
      </c>
      <c r="J1065" s="352" t="s">
        <v>842</v>
      </c>
      <c r="K1065" s="352">
        <f t="shared" ref="K1065:K1074" si="20">F1065*I1065</f>
        <v>600</v>
      </c>
      <c r="L1065" s="352"/>
      <c r="M1065" s="352"/>
    </row>
    <row r="1066" spans="5:13">
      <c r="E1066" s="352"/>
      <c r="F1066" s="352">
        <v>10</v>
      </c>
      <c r="G1066" s="352" t="s">
        <v>1419</v>
      </c>
      <c r="H1066" s="352" t="s">
        <v>2405</v>
      </c>
      <c r="I1066" s="352">
        <f>I220</f>
        <v>3.15</v>
      </c>
      <c r="J1066" s="352" t="s">
        <v>1419</v>
      </c>
      <c r="K1066" s="352">
        <f t="shared" si="20"/>
        <v>31.5</v>
      </c>
      <c r="L1066" s="352"/>
      <c r="M1066" s="352"/>
    </row>
    <row r="1067" spans="5:13">
      <c r="E1067" s="352"/>
      <c r="F1067" s="352">
        <v>5</v>
      </c>
      <c r="G1067" s="352" t="s">
        <v>1419</v>
      </c>
      <c r="H1067" s="352" t="s">
        <v>3448</v>
      </c>
      <c r="I1067" s="352">
        <f>I221</f>
        <v>1.34</v>
      </c>
      <c r="J1067" s="352" t="s">
        <v>1419</v>
      </c>
      <c r="K1067" s="352">
        <f t="shared" si="20"/>
        <v>6.7</v>
      </c>
      <c r="L1067" s="352"/>
      <c r="M1067" s="352"/>
    </row>
    <row r="1068" spans="5:13">
      <c r="E1068" s="352"/>
      <c r="F1068" s="352">
        <v>10</v>
      </c>
      <c r="G1068" s="352" t="s">
        <v>1419</v>
      </c>
      <c r="H1068" s="352" t="s">
        <v>2490</v>
      </c>
      <c r="I1068" s="352">
        <f>I222</f>
        <v>20.11</v>
      </c>
      <c r="J1068" s="352" t="s">
        <v>1419</v>
      </c>
      <c r="K1068" s="352">
        <f t="shared" si="20"/>
        <v>201.1</v>
      </c>
      <c r="L1068" s="352"/>
      <c r="M1068" s="352"/>
    </row>
    <row r="1069" spans="5:13">
      <c r="E1069" s="352"/>
      <c r="F1069" s="352">
        <v>5</v>
      </c>
      <c r="G1069" s="352" t="s">
        <v>1419</v>
      </c>
      <c r="H1069" s="352" t="s">
        <v>4865</v>
      </c>
      <c r="I1069" s="721">
        <v>5.58</v>
      </c>
      <c r="J1069" s="352" t="s">
        <v>1423</v>
      </c>
      <c r="K1069" s="352">
        <f t="shared" si="20"/>
        <v>27.9</v>
      </c>
      <c r="L1069" s="352"/>
      <c r="M1069" s="352"/>
    </row>
    <row r="1070" spans="5:13">
      <c r="E1070" s="352"/>
      <c r="F1070" s="352">
        <v>5</v>
      </c>
      <c r="G1070" s="352" t="s">
        <v>1419</v>
      </c>
      <c r="H1070" s="352" t="s">
        <v>2676</v>
      </c>
      <c r="I1070" s="352">
        <f>I223</f>
        <v>13.8</v>
      </c>
      <c r="J1070" s="352" t="s">
        <v>1419</v>
      </c>
      <c r="K1070" s="352">
        <f t="shared" si="20"/>
        <v>69</v>
      </c>
      <c r="L1070" s="352"/>
      <c r="M1070" s="352"/>
    </row>
    <row r="1071" spans="5:13">
      <c r="E1071" s="352"/>
      <c r="F1071" s="355">
        <v>0.09</v>
      </c>
      <c r="G1071" s="352" t="s">
        <v>2322</v>
      </c>
      <c r="H1071" s="352" t="s">
        <v>2599</v>
      </c>
      <c r="I1071" s="352">
        <f>I226</f>
        <v>661</v>
      </c>
      <c r="J1071" s="352" t="s">
        <v>2322</v>
      </c>
      <c r="K1071" s="352">
        <f t="shared" si="20"/>
        <v>59.49</v>
      </c>
      <c r="L1071" s="352"/>
      <c r="M1071" s="352"/>
    </row>
    <row r="1072" spans="5:13">
      <c r="E1072" s="352"/>
      <c r="F1072" s="352">
        <v>1</v>
      </c>
      <c r="G1072" s="352" t="s">
        <v>2680</v>
      </c>
      <c r="H1072" s="352" t="s">
        <v>395</v>
      </c>
      <c r="I1072" s="352">
        <f>Data!Y31/20</f>
        <v>302</v>
      </c>
      <c r="J1072" s="352" t="s">
        <v>2680</v>
      </c>
      <c r="K1072" s="352">
        <f t="shared" si="20"/>
        <v>302</v>
      </c>
      <c r="L1072" s="352"/>
      <c r="M1072" s="352"/>
    </row>
    <row r="1073" spans="5:13">
      <c r="E1073" s="352"/>
      <c r="F1073" s="352">
        <v>6</v>
      </c>
      <c r="G1073" s="352" t="s">
        <v>1419</v>
      </c>
      <c r="H1073" s="352" t="s">
        <v>4864</v>
      </c>
      <c r="I1073" s="352">
        <f>I987</f>
        <v>16.5</v>
      </c>
      <c r="J1073" s="352" t="s">
        <v>1423</v>
      </c>
      <c r="K1073" s="352">
        <f t="shared" si="20"/>
        <v>99</v>
      </c>
      <c r="L1073" s="352"/>
      <c r="M1073" s="352"/>
    </row>
    <row r="1074" spans="5:13" ht="31.5">
      <c r="E1074" s="352"/>
      <c r="F1074" s="352">
        <v>30</v>
      </c>
      <c r="G1074" s="352" t="s">
        <v>842</v>
      </c>
      <c r="H1074" s="273" t="s">
        <v>2686</v>
      </c>
      <c r="I1074" s="352">
        <f>I1064</f>
        <v>16.55</v>
      </c>
      <c r="J1074" s="352" t="s">
        <v>2587</v>
      </c>
      <c r="K1074" s="352">
        <f t="shared" si="20"/>
        <v>496.5</v>
      </c>
      <c r="L1074" s="352"/>
      <c r="M1074" s="352"/>
    </row>
    <row r="1075" spans="5:13">
      <c r="E1075" s="352"/>
      <c r="F1075" s="352"/>
      <c r="G1075" s="352"/>
      <c r="H1075" s="352" t="s">
        <v>931</v>
      </c>
      <c r="I1075" s="352"/>
      <c r="J1075" s="352"/>
      <c r="K1075" s="352">
        <f>K1008</f>
        <v>7242</v>
      </c>
      <c r="L1075" s="352"/>
      <c r="M1075" s="352"/>
    </row>
    <row r="1076" spans="5:13">
      <c r="E1076" s="352"/>
      <c r="F1076" s="352"/>
      <c r="G1076" s="352"/>
      <c r="H1076" s="352" t="s">
        <v>2310</v>
      </c>
      <c r="I1076" s="352"/>
      <c r="J1076" s="352"/>
      <c r="K1076" s="352">
        <v>12.8</v>
      </c>
      <c r="L1076" s="352"/>
      <c r="M1076" s="352"/>
    </row>
    <row r="1077" spans="5:13">
      <c r="E1077" s="352"/>
      <c r="F1077" s="352"/>
      <c r="G1077" s="352"/>
      <c r="H1077" s="357" t="s">
        <v>2600</v>
      </c>
      <c r="I1077" s="352"/>
      <c r="J1077" s="352"/>
      <c r="K1077" s="358">
        <f>SUM(K1064:K1076)</f>
        <v>10637.49</v>
      </c>
      <c r="L1077" s="352"/>
      <c r="M1077" s="352"/>
    </row>
    <row r="1078" spans="5:13">
      <c r="E1078" s="352"/>
      <c r="F1078" s="352"/>
      <c r="G1078" s="352"/>
      <c r="H1078" s="359" t="s">
        <v>3220</v>
      </c>
      <c r="I1078" s="352"/>
      <c r="J1078" s="352"/>
      <c r="K1078" s="360">
        <f>K1077/5</f>
        <v>2127.5</v>
      </c>
      <c r="L1078" s="352">
        <f>1964*5</f>
        <v>9820</v>
      </c>
      <c r="M1078" s="352">
        <f>K1077/5</f>
        <v>2127.5</v>
      </c>
    </row>
    <row r="1079" spans="5:13">
      <c r="E1079" s="352"/>
      <c r="F1079" s="352"/>
      <c r="G1079" s="352"/>
      <c r="H1079" s="360"/>
      <c r="I1079" s="352"/>
      <c r="J1079" s="352"/>
      <c r="K1079" s="352"/>
      <c r="L1079" s="352">
        <f>L1078-K1077</f>
        <v>-817.49</v>
      </c>
      <c r="M1079" s="352"/>
    </row>
    <row r="1080" spans="5:13">
      <c r="E1080" s="352"/>
      <c r="F1080" s="352"/>
      <c r="G1080" s="352"/>
      <c r="H1080" s="360" t="s">
        <v>1545</v>
      </c>
      <c r="I1080" s="352"/>
      <c r="J1080" s="352"/>
      <c r="K1080" s="352"/>
      <c r="L1080" s="352"/>
      <c r="M1080" s="352"/>
    </row>
    <row r="1081" spans="5:13">
      <c r="E1081" s="352"/>
      <c r="F1081" s="352"/>
      <c r="G1081" s="352"/>
      <c r="H1081" s="352"/>
      <c r="I1081" s="352"/>
      <c r="J1081" s="352"/>
      <c r="K1081" s="352"/>
      <c r="L1081" s="352"/>
      <c r="M1081" s="352"/>
    </row>
    <row r="1082" spans="5:13" ht="157.5">
      <c r="E1082" s="352"/>
      <c r="F1082" s="352"/>
      <c r="G1082" s="352"/>
      <c r="H1082" s="351" t="s">
        <v>2770</v>
      </c>
      <c r="I1082" s="352"/>
      <c r="J1082" s="352"/>
      <c r="K1082" s="352"/>
      <c r="L1082" s="352"/>
      <c r="M1082" s="352"/>
    </row>
    <row r="1083" spans="5:13" ht="31.5">
      <c r="E1083" s="352"/>
      <c r="F1083" s="352">
        <v>90</v>
      </c>
      <c r="G1083" s="352" t="s">
        <v>842</v>
      </c>
      <c r="H1083" s="273" t="s">
        <v>2586</v>
      </c>
      <c r="I1083" s="352">
        <f>I120</f>
        <v>16.55</v>
      </c>
      <c r="J1083" s="352" t="s">
        <v>842</v>
      </c>
      <c r="K1083" s="352">
        <f>F1083*I1083</f>
        <v>1489.5</v>
      </c>
      <c r="L1083" s="352"/>
      <c r="M1083" s="352"/>
    </row>
    <row r="1084" spans="5:13" ht="31.5">
      <c r="E1084" s="352"/>
      <c r="F1084" s="352">
        <v>45</v>
      </c>
      <c r="G1084" s="352" t="s">
        <v>842</v>
      </c>
      <c r="H1084" s="351" t="s">
        <v>2403</v>
      </c>
      <c r="I1084" s="352">
        <f t="shared" ref="I1084:I1093" si="21">I121</f>
        <v>20</v>
      </c>
      <c r="J1084" s="352" t="s">
        <v>842</v>
      </c>
      <c r="K1084" s="352">
        <f t="shared" ref="K1084:K1093" si="22">F1084*I1084</f>
        <v>900</v>
      </c>
      <c r="L1084" s="352"/>
      <c r="M1084" s="352"/>
    </row>
    <row r="1085" spans="5:13">
      <c r="E1085" s="352"/>
      <c r="F1085" s="352">
        <v>20</v>
      </c>
      <c r="G1085" s="352" t="s">
        <v>1419</v>
      </c>
      <c r="H1085" s="352" t="s">
        <v>2405</v>
      </c>
      <c r="I1085" s="352">
        <f t="shared" si="21"/>
        <v>3.15</v>
      </c>
      <c r="J1085" s="352" t="s">
        <v>3451</v>
      </c>
      <c r="K1085" s="352">
        <f t="shared" si="22"/>
        <v>63</v>
      </c>
      <c r="L1085" s="352"/>
      <c r="M1085" s="352"/>
    </row>
    <row r="1086" spans="5:13">
      <c r="E1086" s="352"/>
      <c r="F1086" s="352">
        <v>10</v>
      </c>
      <c r="G1086" s="352" t="s">
        <v>1419</v>
      </c>
      <c r="H1086" s="352" t="s">
        <v>3448</v>
      </c>
      <c r="I1086" s="352">
        <f t="shared" si="21"/>
        <v>1.34</v>
      </c>
      <c r="J1086" s="352" t="s">
        <v>3451</v>
      </c>
      <c r="K1086" s="352">
        <f t="shared" si="22"/>
        <v>13.4</v>
      </c>
      <c r="L1086" s="352"/>
      <c r="M1086" s="352"/>
    </row>
    <row r="1087" spans="5:13">
      <c r="E1087" s="352"/>
      <c r="F1087" s="352">
        <v>1</v>
      </c>
      <c r="G1087" s="352" t="s">
        <v>1419</v>
      </c>
      <c r="H1087" s="352" t="s">
        <v>2491</v>
      </c>
      <c r="I1087" s="352">
        <f t="shared" si="21"/>
        <v>70.7</v>
      </c>
      <c r="J1087" s="352" t="s">
        <v>1419</v>
      </c>
      <c r="K1087" s="352">
        <f t="shared" si="22"/>
        <v>70.7</v>
      </c>
      <c r="L1087" s="352"/>
      <c r="M1087" s="352"/>
    </row>
    <row r="1088" spans="5:13">
      <c r="E1088" s="352"/>
      <c r="F1088" s="355">
        <v>1.4999999999999999E-2</v>
      </c>
      <c r="G1088" s="352" t="s">
        <v>2322</v>
      </c>
      <c r="H1088" s="352" t="s">
        <v>2599</v>
      </c>
      <c r="I1088" s="352">
        <f t="shared" si="21"/>
        <v>661</v>
      </c>
      <c r="J1088" s="352" t="s">
        <v>2322</v>
      </c>
      <c r="K1088" s="352">
        <f t="shared" si="22"/>
        <v>9.92</v>
      </c>
      <c r="L1088" s="352"/>
      <c r="M1088" s="352"/>
    </row>
    <row r="1089" spans="5:13">
      <c r="E1089" s="352"/>
      <c r="F1089" s="352">
        <v>15</v>
      </c>
      <c r="G1089" s="352" t="s">
        <v>1419</v>
      </c>
      <c r="H1089" s="352" t="s">
        <v>2771</v>
      </c>
      <c r="I1089" s="352">
        <f t="shared" si="21"/>
        <v>40.31</v>
      </c>
      <c r="J1089" s="352" t="s">
        <v>1419</v>
      </c>
      <c r="K1089" s="352">
        <f t="shared" si="22"/>
        <v>604.65</v>
      </c>
      <c r="L1089" s="352"/>
      <c r="M1089" s="352"/>
    </row>
    <row r="1090" spans="5:13">
      <c r="E1090" s="352"/>
      <c r="F1090" s="352">
        <v>15</v>
      </c>
      <c r="G1090" s="352" t="s">
        <v>1419</v>
      </c>
      <c r="H1090" s="352" t="s">
        <v>2491</v>
      </c>
      <c r="I1090" s="352">
        <f t="shared" si="21"/>
        <v>70.7</v>
      </c>
      <c r="J1090" s="352" t="s">
        <v>1419</v>
      </c>
      <c r="K1090" s="352">
        <f t="shared" si="22"/>
        <v>1060.5</v>
      </c>
      <c r="L1090" s="352"/>
      <c r="M1090" s="352"/>
    </row>
    <row r="1091" spans="5:13">
      <c r="E1091" s="352"/>
      <c r="F1091" s="355">
        <v>0.22500000000000001</v>
      </c>
      <c r="G1091" s="352" t="s">
        <v>2322</v>
      </c>
      <c r="H1091" s="352" t="s">
        <v>2599</v>
      </c>
      <c r="I1091" s="352">
        <f t="shared" si="21"/>
        <v>661</v>
      </c>
      <c r="J1091" s="352" t="s">
        <v>2772</v>
      </c>
      <c r="K1091" s="352">
        <f t="shared" si="22"/>
        <v>148.72999999999999</v>
      </c>
      <c r="L1091" s="352"/>
      <c r="M1091" s="352"/>
    </row>
    <row r="1092" spans="5:13">
      <c r="E1092" s="352"/>
      <c r="F1092" s="352">
        <v>1.25</v>
      </c>
      <c r="G1092" s="352" t="s">
        <v>2680</v>
      </c>
      <c r="H1092" s="352" t="s">
        <v>395</v>
      </c>
      <c r="I1092" s="352">
        <f t="shared" si="21"/>
        <v>302</v>
      </c>
      <c r="J1092" s="352" t="s">
        <v>2680</v>
      </c>
      <c r="K1092" s="352">
        <f t="shared" si="22"/>
        <v>377.5</v>
      </c>
      <c r="L1092" s="352"/>
      <c r="M1092" s="352"/>
    </row>
    <row r="1093" spans="5:13" ht="31.5">
      <c r="E1093" s="352"/>
      <c r="F1093" s="352">
        <v>45</v>
      </c>
      <c r="G1093" s="352" t="s">
        <v>2322</v>
      </c>
      <c r="H1093" s="273" t="s">
        <v>2686</v>
      </c>
      <c r="I1093" s="352">
        <f t="shared" si="21"/>
        <v>16.55</v>
      </c>
      <c r="J1093" s="352" t="s">
        <v>842</v>
      </c>
      <c r="K1093" s="352">
        <f t="shared" si="22"/>
        <v>744.75</v>
      </c>
      <c r="L1093" s="352"/>
      <c r="M1093" s="352"/>
    </row>
    <row r="1094" spans="5:13">
      <c r="E1094" s="352"/>
      <c r="F1094" s="352"/>
      <c r="G1094" s="352"/>
      <c r="H1094" s="352" t="s">
        <v>931</v>
      </c>
      <c r="I1094" s="352"/>
      <c r="J1094" s="352"/>
      <c r="K1094" s="352">
        <f>K1010</f>
        <v>4828</v>
      </c>
      <c r="L1094" s="352"/>
      <c r="M1094" s="352"/>
    </row>
    <row r="1095" spans="5:13">
      <c r="E1095" s="352"/>
      <c r="F1095" s="352"/>
      <c r="G1095" s="352"/>
      <c r="H1095" s="352" t="s">
        <v>2310</v>
      </c>
      <c r="I1095" s="352"/>
      <c r="J1095" s="352"/>
      <c r="K1095" s="352">
        <v>39.35</v>
      </c>
      <c r="L1095" s="352"/>
      <c r="M1095" s="352"/>
    </row>
    <row r="1096" spans="5:13">
      <c r="E1096" s="352"/>
      <c r="F1096" s="352"/>
      <c r="G1096" s="352"/>
      <c r="H1096" s="357" t="s">
        <v>2773</v>
      </c>
      <c r="I1096" s="352"/>
      <c r="J1096" s="352"/>
      <c r="K1096" s="358">
        <f>SUM(K1083:K1095)</f>
        <v>10350</v>
      </c>
      <c r="L1096" s="352"/>
      <c r="M1096" s="352"/>
    </row>
    <row r="1097" spans="5:13">
      <c r="E1097" s="352"/>
      <c r="F1097" s="352"/>
      <c r="G1097" s="352"/>
      <c r="H1097" s="359" t="s">
        <v>3220</v>
      </c>
      <c r="I1097" s="352"/>
      <c r="J1097" s="352"/>
      <c r="K1097" s="360">
        <f>K1096/15</f>
        <v>690</v>
      </c>
      <c r="L1097" s="352">
        <f>690*15</f>
        <v>10350</v>
      </c>
      <c r="M1097" s="352">
        <f>L1097-K1096</f>
        <v>0</v>
      </c>
    </row>
    <row r="1098" spans="5:13">
      <c r="E1098" s="352"/>
      <c r="F1098" s="352"/>
      <c r="G1098" s="352"/>
      <c r="H1098" s="360" t="s">
        <v>931</v>
      </c>
      <c r="I1098" s="352"/>
      <c r="J1098" s="352"/>
      <c r="K1098" s="360"/>
      <c r="L1098" s="352">
        <f>L1097-K1096</f>
        <v>0</v>
      </c>
      <c r="M1098" s="352"/>
    </row>
    <row r="1099" spans="5:13">
      <c r="E1099" s="352"/>
      <c r="F1099" s="352">
        <v>1</v>
      </c>
      <c r="G1099" s="352" t="s">
        <v>1419</v>
      </c>
      <c r="H1099" s="352" t="s">
        <v>3372</v>
      </c>
      <c r="I1099" s="352">
        <f>I35</f>
        <v>898</v>
      </c>
      <c r="J1099" s="352" t="s">
        <v>1419</v>
      </c>
      <c r="K1099" s="352">
        <f>F1099*I1099</f>
        <v>898</v>
      </c>
      <c r="L1099" s="352"/>
      <c r="M1099" s="352"/>
    </row>
    <row r="1100" spans="5:13">
      <c r="E1100" s="352"/>
      <c r="F1100" s="352">
        <v>2</v>
      </c>
      <c r="G1100" s="352" t="s">
        <v>1419</v>
      </c>
      <c r="H1100" s="352" t="s">
        <v>3373</v>
      </c>
      <c r="I1100" s="352">
        <f>I36</f>
        <v>783</v>
      </c>
      <c r="J1100" s="352" t="s">
        <v>1419</v>
      </c>
      <c r="K1100" s="352">
        <f>F1100*I1100</f>
        <v>1566</v>
      </c>
      <c r="L1100" s="352"/>
      <c r="M1100" s="352"/>
    </row>
    <row r="1101" spans="5:13">
      <c r="E1101" s="352"/>
      <c r="F1101" s="352">
        <v>3</v>
      </c>
      <c r="G1101" s="352" t="s">
        <v>1419</v>
      </c>
      <c r="H1101" s="352" t="s">
        <v>3374</v>
      </c>
      <c r="I1101" s="352">
        <f>I37</f>
        <v>778</v>
      </c>
      <c r="J1101" s="352" t="s">
        <v>1419</v>
      </c>
      <c r="K1101" s="352">
        <f>F1101*I1101</f>
        <v>2334</v>
      </c>
      <c r="L1101" s="352"/>
      <c r="M1101" s="352"/>
    </row>
    <row r="1102" spans="5:13">
      <c r="E1102" s="352"/>
      <c r="F1102" s="352">
        <v>4</v>
      </c>
      <c r="G1102" s="352" t="s">
        <v>1419</v>
      </c>
      <c r="H1102" s="352" t="s">
        <v>2370</v>
      </c>
      <c r="I1102" s="352">
        <f>I38</f>
        <v>611</v>
      </c>
      <c r="J1102" s="352" t="s">
        <v>1419</v>
      </c>
      <c r="K1102" s="352">
        <f>F1102*I1102</f>
        <v>2444</v>
      </c>
      <c r="L1102" s="352"/>
      <c r="M1102" s="352"/>
    </row>
    <row r="1103" spans="5:13">
      <c r="E1103" s="352"/>
      <c r="F1103" s="352"/>
      <c r="G1103" s="352"/>
      <c r="H1103" s="359"/>
      <c r="I1103" s="352"/>
      <c r="J1103" s="352"/>
      <c r="K1103" s="360">
        <f>SUM(K1099:K1102)</f>
        <v>7242</v>
      </c>
      <c r="L1103" s="352"/>
      <c r="M1103" s="352"/>
    </row>
    <row r="1104" spans="5:13">
      <c r="E1104" s="352"/>
      <c r="F1104" s="352"/>
      <c r="G1104" s="352"/>
      <c r="H1104" s="359"/>
      <c r="I1104" s="352"/>
      <c r="J1104" s="352"/>
      <c r="K1104" s="360"/>
      <c r="L1104" s="352"/>
      <c r="M1104" s="352"/>
    </row>
    <row r="1105" spans="5:13">
      <c r="E1105" s="352"/>
      <c r="F1105" s="352"/>
      <c r="G1105" s="352"/>
      <c r="H1105" s="359"/>
      <c r="I1105" s="352"/>
      <c r="J1105" s="352"/>
      <c r="K1105" s="360"/>
      <c r="L1105" s="352"/>
      <c r="M1105" s="352"/>
    </row>
    <row r="1106" spans="5:13">
      <c r="E1106" s="352"/>
      <c r="F1106" s="352"/>
      <c r="G1106" s="352"/>
      <c r="H1106" s="360" t="s">
        <v>2430</v>
      </c>
      <c r="I1106" s="352"/>
      <c r="J1106" s="352"/>
      <c r="K1106" s="352"/>
      <c r="L1106" s="352"/>
      <c r="M1106" s="352"/>
    </row>
    <row r="1107" spans="5:13">
      <c r="E1107" s="352"/>
      <c r="F1107" s="352"/>
      <c r="G1107" s="352"/>
      <c r="H1107" s="352"/>
      <c r="I1107" s="352"/>
      <c r="J1107" s="352"/>
      <c r="K1107" s="352"/>
      <c r="L1107" s="352"/>
      <c r="M1107" s="352"/>
    </row>
    <row r="1108" spans="5:13" ht="110.25">
      <c r="E1108" s="352"/>
      <c r="F1108" s="352"/>
      <c r="G1108" s="352"/>
      <c r="H1108" s="351" t="s">
        <v>3591</v>
      </c>
      <c r="I1108" s="352"/>
      <c r="J1108" s="352"/>
      <c r="K1108" s="352"/>
      <c r="L1108" s="352"/>
      <c r="M1108" s="352"/>
    </row>
    <row r="1109" spans="5:13">
      <c r="E1109" s="352"/>
      <c r="F1109" s="352"/>
      <c r="G1109" s="352"/>
      <c r="H1109" s="352"/>
      <c r="I1109" s="352"/>
      <c r="J1109" s="352"/>
      <c r="K1109" s="352"/>
      <c r="L1109" s="352"/>
      <c r="M1109" s="352"/>
    </row>
    <row r="1110" spans="5:13" ht="31.5">
      <c r="E1110" s="352"/>
      <c r="F1110" s="352">
        <v>180</v>
      </c>
      <c r="G1110" s="352" t="s">
        <v>842</v>
      </c>
      <c r="H1110" s="273" t="s">
        <v>2586</v>
      </c>
      <c r="I1110" s="352">
        <f>I241</f>
        <v>16.55</v>
      </c>
      <c r="J1110" s="352" t="s">
        <v>842</v>
      </c>
      <c r="K1110" s="352">
        <f>I1110*F1110</f>
        <v>2979</v>
      </c>
      <c r="L1110" s="352"/>
      <c r="M1110" s="352"/>
    </row>
    <row r="1111" spans="5:13" ht="31.5">
      <c r="E1111" s="352"/>
      <c r="F1111" s="352">
        <v>90</v>
      </c>
      <c r="G1111" s="352" t="s">
        <v>842</v>
      </c>
      <c r="H1111" s="351" t="s">
        <v>2403</v>
      </c>
      <c r="I1111" s="352">
        <f>I242</f>
        <v>20</v>
      </c>
      <c r="J1111" s="352" t="s">
        <v>842</v>
      </c>
      <c r="K1111" s="352">
        <f t="shared" ref="K1111:K1116" si="23">I1111*F1111</f>
        <v>1800</v>
      </c>
      <c r="L1111" s="352"/>
      <c r="M1111" s="352"/>
    </row>
    <row r="1112" spans="5:13">
      <c r="E1112" s="352"/>
      <c r="F1112" s="352">
        <v>1</v>
      </c>
      <c r="G1112" s="352" t="s">
        <v>3188</v>
      </c>
      <c r="H1112" s="351" t="s">
        <v>4869</v>
      </c>
      <c r="I1112" s="421">
        <v>39</v>
      </c>
      <c r="J1112" s="352" t="s">
        <v>3188</v>
      </c>
      <c r="K1112" s="352">
        <f t="shared" si="23"/>
        <v>39</v>
      </c>
      <c r="L1112" s="352"/>
      <c r="M1112" s="352"/>
    </row>
    <row r="1113" spans="5:13">
      <c r="E1113" s="352"/>
      <c r="F1113" s="352">
        <v>300</v>
      </c>
      <c r="G1113" s="352" t="s">
        <v>1457</v>
      </c>
      <c r="H1113" s="351" t="s">
        <v>4870</v>
      </c>
      <c r="I1113" s="352">
        <f>I750</f>
        <v>287</v>
      </c>
      <c r="J1113" s="352" t="s">
        <v>3192</v>
      </c>
      <c r="K1113" s="352">
        <f>(I1113*F1113)/1000</f>
        <v>86.1</v>
      </c>
      <c r="L1113" s="352"/>
      <c r="M1113" s="352"/>
    </row>
    <row r="1114" spans="5:13">
      <c r="E1114" s="352"/>
      <c r="F1114" s="352">
        <v>2</v>
      </c>
      <c r="G1114" s="352" t="s">
        <v>2684</v>
      </c>
      <c r="H1114" s="351" t="s">
        <v>3191</v>
      </c>
      <c r="I1114" s="352">
        <f>I983</f>
        <v>69.400000000000006</v>
      </c>
      <c r="J1114" s="352" t="s">
        <v>3188</v>
      </c>
      <c r="K1114" s="352">
        <f t="shared" si="23"/>
        <v>138.80000000000001</v>
      </c>
      <c r="L1114" s="352"/>
      <c r="M1114" s="352"/>
    </row>
    <row r="1115" spans="5:13">
      <c r="E1115" s="352"/>
      <c r="F1115" s="352">
        <v>0.33</v>
      </c>
      <c r="G1115" s="352" t="s">
        <v>2680</v>
      </c>
      <c r="H1115" s="352" t="s">
        <v>395</v>
      </c>
      <c r="I1115" s="352">
        <f>I243</f>
        <v>302</v>
      </c>
      <c r="J1115" s="352" t="s">
        <v>2680</v>
      </c>
      <c r="K1115" s="352">
        <f t="shared" si="23"/>
        <v>99.66</v>
      </c>
      <c r="L1115" s="352"/>
      <c r="M1115" s="352"/>
    </row>
    <row r="1116" spans="5:13" ht="31.5">
      <c r="E1116" s="352"/>
      <c r="F1116" s="352">
        <v>90</v>
      </c>
      <c r="G1116" s="352" t="s">
        <v>842</v>
      </c>
      <c r="H1116" s="273" t="s">
        <v>2686</v>
      </c>
      <c r="I1116" s="352">
        <f>I244</f>
        <v>16.55</v>
      </c>
      <c r="J1116" s="352" t="s">
        <v>2587</v>
      </c>
      <c r="K1116" s="352">
        <f t="shared" si="23"/>
        <v>1489.5</v>
      </c>
      <c r="L1116" s="352"/>
      <c r="M1116" s="352"/>
    </row>
    <row r="1117" spans="5:13">
      <c r="E1117" s="352"/>
      <c r="F1117" s="399" t="s">
        <v>3195</v>
      </c>
      <c r="G1117" s="352"/>
      <c r="H1117" s="352" t="s">
        <v>931</v>
      </c>
      <c r="I1117" s="352">
        <f>K1103</f>
        <v>7242</v>
      </c>
      <c r="J1117" s="352"/>
      <c r="K1117" s="352">
        <f>2/3*I1117</f>
        <v>4828</v>
      </c>
      <c r="L1117" s="352"/>
      <c r="M1117" s="352"/>
    </row>
    <row r="1118" spans="5:13">
      <c r="E1118" s="352"/>
      <c r="F1118" s="352"/>
      <c r="G1118" s="352"/>
      <c r="H1118" s="352"/>
      <c r="I1118" s="352"/>
      <c r="J1118" s="352"/>
      <c r="K1118" s="352">
        <f>SUM(K1110:K1117)</f>
        <v>11460.06</v>
      </c>
      <c r="L1118" s="352"/>
      <c r="M1118" s="352"/>
    </row>
    <row r="1119" spans="5:13">
      <c r="E1119" s="352"/>
      <c r="F1119" s="352"/>
      <c r="G1119" s="352"/>
      <c r="H1119" s="352" t="s">
        <v>2310</v>
      </c>
      <c r="I1119" s="352"/>
      <c r="J1119" s="352"/>
      <c r="K1119" s="352">
        <v>77.94</v>
      </c>
      <c r="L1119" s="352"/>
      <c r="M1119" s="352"/>
    </row>
    <row r="1120" spans="5:13">
      <c r="E1120" s="352"/>
      <c r="F1120" s="352"/>
      <c r="G1120" s="352"/>
      <c r="H1120" s="357" t="s">
        <v>2432</v>
      </c>
      <c r="I1120" s="352"/>
      <c r="J1120" s="352"/>
      <c r="K1120" s="358">
        <f>SUM(K1118:K1119)</f>
        <v>11538</v>
      </c>
      <c r="L1120" s="352">
        <f>128.2*90</f>
        <v>11538</v>
      </c>
      <c r="M1120" s="352">
        <f>L1120-K1120</f>
        <v>0</v>
      </c>
    </row>
    <row r="1121" spans="5:13">
      <c r="E1121" s="352"/>
      <c r="F1121" s="352"/>
      <c r="G1121" s="352"/>
      <c r="H1121" s="359" t="s">
        <v>2433</v>
      </c>
      <c r="I1121" s="352"/>
      <c r="J1121" s="352"/>
      <c r="K1121" s="360">
        <f>K1120/90</f>
        <v>128.19999999999999</v>
      </c>
      <c r="L1121" s="352">
        <f>119.3*90</f>
        <v>10737</v>
      </c>
      <c r="M1121" s="352"/>
    </row>
    <row r="1122" spans="5:13">
      <c r="E1122" s="352"/>
      <c r="F1122" s="352"/>
      <c r="G1122" s="352"/>
      <c r="H1122" s="352"/>
      <c r="I1122" s="352"/>
      <c r="J1122" s="352"/>
      <c r="K1122" s="352"/>
      <c r="L1122" s="352">
        <f>L1121-K1120</f>
        <v>-801</v>
      </c>
      <c r="M1122" s="352"/>
    </row>
    <row r="1123" spans="5:13">
      <c r="E1123" s="352"/>
      <c r="F1123" s="352"/>
      <c r="G1123" s="352"/>
      <c r="H1123" s="360" t="s">
        <v>3193</v>
      </c>
      <c r="I1123" s="352"/>
      <c r="J1123" s="352"/>
      <c r="K1123" s="352"/>
      <c r="L1123" s="352"/>
      <c r="M1123" s="352"/>
    </row>
    <row r="1124" spans="5:13">
      <c r="E1124" s="352"/>
      <c r="F1124" s="352"/>
      <c r="G1124" s="352"/>
      <c r="H1124" s="352"/>
      <c r="I1124" s="352"/>
      <c r="J1124" s="352"/>
      <c r="K1124" s="352"/>
      <c r="L1124" s="352"/>
      <c r="M1124" s="352"/>
    </row>
    <row r="1125" spans="5:13" ht="110.25">
      <c r="E1125" s="352"/>
      <c r="F1125" s="352"/>
      <c r="G1125" s="352"/>
      <c r="H1125" s="351" t="s">
        <v>3066</v>
      </c>
      <c r="I1125" s="352"/>
      <c r="J1125" s="352"/>
      <c r="K1125" s="352"/>
      <c r="L1125" s="352"/>
      <c r="M1125" s="352"/>
    </row>
    <row r="1126" spans="5:13">
      <c r="E1126" s="352"/>
      <c r="F1126" s="352"/>
      <c r="G1126" s="352"/>
      <c r="H1126" s="352"/>
      <c r="I1126" s="352"/>
      <c r="J1126" s="352"/>
      <c r="K1126" s="352"/>
      <c r="L1126" s="352"/>
      <c r="M1126" s="352"/>
    </row>
    <row r="1127" spans="5:13">
      <c r="E1127" s="352"/>
      <c r="F1127" s="352"/>
      <c r="G1127" s="352"/>
      <c r="H1127" s="352" t="s">
        <v>3194</v>
      </c>
      <c r="I1127" s="352"/>
      <c r="J1127" s="352"/>
      <c r="K1127" s="352">
        <f>K1120</f>
        <v>11538</v>
      </c>
      <c r="L1127" s="352"/>
      <c r="M1127" s="352"/>
    </row>
    <row r="1128" spans="5:13" ht="31.5">
      <c r="E1128" s="352"/>
      <c r="F1128" s="352">
        <v>180</v>
      </c>
      <c r="G1128" s="352" t="s">
        <v>842</v>
      </c>
      <c r="H1128" s="351" t="s">
        <v>3299</v>
      </c>
      <c r="I1128" s="352">
        <f>I257</f>
        <v>25.75</v>
      </c>
      <c r="J1128" s="352" t="s">
        <v>842</v>
      </c>
      <c r="K1128" s="352">
        <f>F1128*I1128</f>
        <v>4635</v>
      </c>
      <c r="L1128" s="352"/>
      <c r="M1128" s="352"/>
    </row>
    <row r="1129" spans="5:13" ht="31.5">
      <c r="E1129" s="352"/>
      <c r="F1129" s="352">
        <v>180</v>
      </c>
      <c r="G1129" s="352" t="s">
        <v>842</v>
      </c>
      <c r="H1129" s="351" t="s">
        <v>3015</v>
      </c>
      <c r="I1129" s="352">
        <f>I1110</f>
        <v>16.55</v>
      </c>
      <c r="J1129" s="352" t="s">
        <v>2587</v>
      </c>
      <c r="K1129" s="352">
        <f>F1129*I1129</f>
        <v>2979</v>
      </c>
      <c r="L1129" s="352"/>
      <c r="M1129" s="352"/>
    </row>
    <row r="1130" spans="5:13">
      <c r="E1130" s="352"/>
      <c r="F1130" s="352"/>
      <c r="G1130" s="352"/>
      <c r="H1130" s="352" t="s">
        <v>2310</v>
      </c>
      <c r="I1130" s="352"/>
      <c r="J1130" s="352"/>
      <c r="K1130" s="352"/>
      <c r="L1130" s="352"/>
      <c r="M1130" s="352"/>
    </row>
    <row r="1131" spans="5:13">
      <c r="E1131" s="352"/>
      <c r="F1131" s="352"/>
      <c r="G1131" s="352"/>
      <c r="H1131" s="357" t="s">
        <v>3016</v>
      </c>
      <c r="I1131" s="352"/>
      <c r="J1131" s="352"/>
      <c r="K1131" s="358">
        <f>K1127+K1128-K1129+K1130</f>
        <v>13194</v>
      </c>
      <c r="L1131" s="352"/>
      <c r="M1131" s="352"/>
    </row>
    <row r="1132" spans="5:13">
      <c r="E1132" s="352"/>
      <c r="F1132" s="352"/>
      <c r="G1132" s="352"/>
      <c r="H1132" s="359" t="s">
        <v>2433</v>
      </c>
      <c r="I1132" s="352"/>
      <c r="J1132" s="352"/>
      <c r="K1132" s="360">
        <f>K1131/90</f>
        <v>146.6</v>
      </c>
      <c r="L1132" s="352">
        <f>K1132*30</f>
        <v>4398</v>
      </c>
      <c r="M1132" s="352"/>
    </row>
    <row r="1133" spans="5:13">
      <c r="E1133" s="352"/>
      <c r="F1133" s="352"/>
      <c r="G1133" s="352"/>
      <c r="H1133" s="352"/>
      <c r="I1133" s="352"/>
      <c r="J1133" s="352"/>
      <c r="K1133" s="352"/>
      <c r="L1133" s="352"/>
      <c r="M1133" s="352"/>
    </row>
    <row r="1134" spans="5:13">
      <c r="E1134" s="352"/>
      <c r="F1134" s="352"/>
      <c r="G1134" s="352"/>
      <c r="H1134" s="352"/>
      <c r="I1134" s="352"/>
      <c r="J1134" s="352"/>
      <c r="K1134" s="352"/>
      <c r="L1134" s="352"/>
      <c r="M1134" s="352"/>
    </row>
    <row r="1135" spans="5:13">
      <c r="E1135" s="352"/>
      <c r="F1135" s="352"/>
      <c r="G1135" s="352"/>
      <c r="H1135" s="360"/>
      <c r="I1135" s="352"/>
      <c r="J1135" s="352"/>
      <c r="K1135" s="352"/>
      <c r="L1135" s="352"/>
      <c r="M1135" s="352"/>
    </row>
    <row r="1136" spans="5:13">
      <c r="E1136" s="352"/>
      <c r="F1136" s="352"/>
      <c r="G1136" s="352"/>
      <c r="H1136" s="360" t="s">
        <v>4204</v>
      </c>
      <c r="I1136" s="352"/>
      <c r="J1136" s="352"/>
      <c r="K1136" s="352"/>
      <c r="L1136" s="352"/>
      <c r="M1136" s="352"/>
    </row>
    <row r="1137" spans="5:13">
      <c r="E1137" s="352"/>
      <c r="F1137" s="352"/>
      <c r="G1137" s="352"/>
      <c r="H1137" s="352"/>
      <c r="I1137" s="352"/>
      <c r="J1137" s="352"/>
      <c r="K1137" s="352"/>
      <c r="L1137" s="352"/>
      <c r="M1137" s="352"/>
    </row>
    <row r="1138" spans="5:13" ht="110.25">
      <c r="E1138" s="352"/>
      <c r="F1138" s="352"/>
      <c r="G1138" s="352"/>
      <c r="H1138" s="351" t="s">
        <v>3066</v>
      </c>
      <c r="I1138" s="352"/>
      <c r="J1138" s="352"/>
      <c r="K1138" s="352"/>
      <c r="L1138" s="352"/>
      <c r="M1138" s="352"/>
    </row>
    <row r="1139" spans="5:13">
      <c r="E1139" s="352"/>
      <c r="F1139" s="352"/>
      <c r="G1139" s="352"/>
      <c r="H1139" s="352"/>
      <c r="I1139" s="352"/>
      <c r="J1139" s="352"/>
      <c r="K1139" s="352"/>
      <c r="L1139" s="352"/>
      <c r="M1139" s="352"/>
    </row>
    <row r="1140" spans="5:13">
      <c r="E1140" s="352"/>
      <c r="F1140" s="352"/>
      <c r="G1140" s="352"/>
      <c r="H1140" s="352" t="s">
        <v>3194</v>
      </c>
      <c r="I1140" s="352"/>
      <c r="J1140" s="352"/>
      <c r="K1140" s="352">
        <f>K1127</f>
        <v>11538</v>
      </c>
      <c r="L1140" s="352"/>
      <c r="M1140" s="352"/>
    </row>
    <row r="1141" spans="5:13" ht="31.5">
      <c r="E1141" s="352"/>
      <c r="F1141" s="352">
        <v>180</v>
      </c>
      <c r="G1141" s="352" t="s">
        <v>842</v>
      </c>
      <c r="H1141" s="351" t="s">
        <v>4483</v>
      </c>
      <c r="I1141" s="352">
        <f>I702</f>
        <v>40.950000000000003</v>
      </c>
      <c r="J1141" s="352" t="s">
        <v>842</v>
      </c>
      <c r="K1141" s="352">
        <f>F1141*I1141</f>
        <v>7371</v>
      </c>
      <c r="L1141" s="352"/>
      <c r="M1141" s="352"/>
    </row>
    <row r="1142" spans="5:13" ht="31.5">
      <c r="E1142" s="352"/>
      <c r="F1142" s="352">
        <v>180</v>
      </c>
      <c r="G1142" s="352" t="s">
        <v>842</v>
      </c>
      <c r="H1142" s="351" t="s">
        <v>3015</v>
      </c>
      <c r="I1142" s="352">
        <f>I1129</f>
        <v>16.55</v>
      </c>
      <c r="J1142" s="352" t="s">
        <v>2587</v>
      </c>
      <c r="K1142" s="352">
        <f>F1142*I1142</f>
        <v>2979</v>
      </c>
      <c r="L1142" s="352"/>
      <c r="M1142" s="352"/>
    </row>
    <row r="1143" spans="5:13">
      <c r="E1143" s="352"/>
      <c r="F1143" s="352"/>
      <c r="G1143" s="352"/>
      <c r="H1143" s="352" t="s">
        <v>2310</v>
      </c>
      <c r="I1143" s="352"/>
      <c r="J1143" s="352"/>
      <c r="K1143" s="352"/>
      <c r="L1143" s="352"/>
      <c r="M1143" s="352"/>
    </row>
    <row r="1144" spans="5:13">
      <c r="E1144" s="352"/>
      <c r="F1144" s="352"/>
      <c r="G1144" s="352"/>
      <c r="H1144" s="357" t="s">
        <v>3016</v>
      </c>
      <c r="I1144" s="352"/>
      <c r="J1144" s="352"/>
      <c r="K1144" s="358">
        <f>K1140+K1141-K1142+K1143</f>
        <v>15930</v>
      </c>
      <c r="L1144" s="352"/>
      <c r="M1144" s="352"/>
    </row>
    <row r="1145" spans="5:13">
      <c r="E1145" s="352"/>
      <c r="F1145" s="352"/>
      <c r="G1145" s="352"/>
      <c r="H1145" s="359" t="s">
        <v>2433</v>
      </c>
      <c r="I1145" s="352"/>
      <c r="J1145" s="352"/>
      <c r="K1145" s="360">
        <f>K1144/90</f>
        <v>177</v>
      </c>
      <c r="L1145" s="352"/>
      <c r="M1145" s="352"/>
    </row>
    <row r="1146" spans="5:13">
      <c r="E1146" s="352"/>
      <c r="F1146" s="352"/>
      <c r="G1146" s="352"/>
      <c r="H1146" s="352"/>
      <c r="I1146" s="352"/>
      <c r="J1146" s="352"/>
      <c r="K1146" s="352"/>
      <c r="L1146" s="352"/>
      <c r="M1146" s="352"/>
    </row>
    <row r="1147" spans="5:13">
      <c r="E1147" s="352"/>
      <c r="F1147" s="352"/>
      <c r="G1147" s="352"/>
      <c r="H1147" s="273"/>
      <c r="I1147" s="352"/>
      <c r="J1147" s="352"/>
      <c r="K1147" s="352"/>
      <c r="L1147" s="352"/>
      <c r="M1147" s="352"/>
    </row>
    <row r="1148" spans="5:13">
      <c r="E1148" s="352"/>
      <c r="F1148" s="352"/>
      <c r="G1148" s="352"/>
      <c r="H1148" s="360" t="s">
        <v>4205</v>
      </c>
      <c r="I1148" s="352"/>
      <c r="J1148" s="352"/>
      <c r="K1148" s="352"/>
      <c r="L1148" s="352"/>
      <c r="M1148" s="352"/>
    </row>
    <row r="1149" spans="5:13">
      <c r="E1149" s="352"/>
      <c r="F1149" s="352"/>
      <c r="G1149" s="352"/>
      <c r="H1149" s="352"/>
      <c r="I1149" s="352"/>
      <c r="J1149" s="352"/>
      <c r="K1149" s="352"/>
      <c r="L1149" s="352"/>
      <c r="M1149" s="352"/>
    </row>
    <row r="1150" spans="5:13" ht="59.25" customHeight="1">
      <c r="E1150" s="352"/>
      <c r="F1150" s="352"/>
      <c r="G1150" s="352"/>
      <c r="H1150" s="351" t="s">
        <v>3066</v>
      </c>
      <c r="I1150" s="352"/>
      <c r="J1150" s="352"/>
      <c r="K1150" s="352"/>
      <c r="L1150" s="352"/>
      <c r="M1150" s="352"/>
    </row>
    <row r="1151" spans="5:13">
      <c r="E1151" s="352"/>
      <c r="F1151" s="352"/>
      <c r="G1151" s="352"/>
      <c r="H1151" s="352"/>
      <c r="I1151" s="352"/>
      <c r="J1151" s="352"/>
      <c r="K1151" s="352"/>
      <c r="L1151" s="352"/>
      <c r="M1151" s="352"/>
    </row>
    <row r="1152" spans="5:13">
      <c r="E1152" s="352"/>
      <c r="F1152" s="352"/>
      <c r="G1152" s="352"/>
      <c r="H1152" s="352" t="s">
        <v>3194</v>
      </c>
      <c r="I1152" s="352"/>
      <c r="J1152" s="352"/>
      <c r="K1152" s="352">
        <f>K1140</f>
        <v>11538</v>
      </c>
      <c r="L1152" s="352"/>
      <c r="M1152" s="352"/>
    </row>
    <row r="1153" spans="5:13" ht="31.5">
      <c r="E1153" s="352"/>
      <c r="F1153" s="352">
        <v>360</v>
      </c>
      <c r="G1153" s="352" t="s">
        <v>842</v>
      </c>
      <c r="H1153" s="351" t="s">
        <v>4484</v>
      </c>
      <c r="I1153" s="421">
        <v>85.3</v>
      </c>
      <c r="J1153" s="352" t="s">
        <v>842</v>
      </c>
      <c r="K1153" s="352">
        <f>F1153*I1153</f>
        <v>30708</v>
      </c>
      <c r="L1153" s="352"/>
      <c r="M1153" s="352"/>
    </row>
    <row r="1154" spans="5:13" ht="31.5">
      <c r="E1154" s="352"/>
      <c r="F1154" s="352">
        <v>180</v>
      </c>
      <c r="G1154" s="352" t="s">
        <v>842</v>
      </c>
      <c r="H1154" s="351" t="s">
        <v>3015</v>
      </c>
      <c r="I1154" s="352">
        <f>I1142</f>
        <v>16.55</v>
      </c>
      <c r="J1154" s="352" t="s">
        <v>2587</v>
      </c>
      <c r="K1154" s="352">
        <f>F1154*I1154</f>
        <v>2979</v>
      </c>
      <c r="L1154" s="352"/>
      <c r="M1154" s="352"/>
    </row>
    <row r="1155" spans="5:13">
      <c r="E1155" s="352"/>
      <c r="F1155" s="352"/>
      <c r="G1155" s="352"/>
      <c r="H1155" s="352" t="s">
        <v>2310</v>
      </c>
      <c r="I1155" s="352"/>
      <c r="J1155" s="352"/>
      <c r="K1155" s="352">
        <v>45</v>
      </c>
      <c r="L1155" s="352"/>
      <c r="M1155" s="352"/>
    </row>
    <row r="1156" spans="5:13">
      <c r="E1156" s="352"/>
      <c r="F1156" s="352"/>
      <c r="G1156" s="352"/>
      <c r="H1156" s="357" t="s">
        <v>3016</v>
      </c>
      <c r="I1156" s="352"/>
      <c r="J1156" s="352"/>
      <c r="K1156" s="358">
        <f>K1152+K1153-K1154+K1155</f>
        <v>39312</v>
      </c>
      <c r="L1156" s="352"/>
      <c r="M1156" s="352"/>
    </row>
    <row r="1157" spans="5:13">
      <c r="E1157" s="352"/>
      <c r="F1157" s="352"/>
      <c r="G1157" s="352"/>
      <c r="H1157" s="359" t="s">
        <v>2433</v>
      </c>
      <c r="I1157" s="352"/>
      <c r="J1157" s="352"/>
      <c r="K1157" s="360">
        <f>K1156/90</f>
        <v>436.8</v>
      </c>
      <c r="L1157" s="352">
        <f>K1157-430</f>
        <v>6.8</v>
      </c>
      <c r="M1157" s="352"/>
    </row>
    <row r="1158" spans="5:13">
      <c r="E1158" s="352"/>
      <c r="F1158" s="352"/>
      <c r="G1158" s="352"/>
      <c r="H1158" s="352"/>
      <c r="I1158" s="352"/>
      <c r="J1158" s="352"/>
      <c r="K1158" s="352"/>
      <c r="L1158" s="352">
        <f>430*90</f>
        <v>38700</v>
      </c>
      <c r="M1158" s="352"/>
    </row>
    <row r="1159" spans="5:13">
      <c r="E1159" s="352"/>
      <c r="F1159" s="352"/>
      <c r="G1159" s="352"/>
      <c r="H1159" s="352"/>
      <c r="I1159" s="352"/>
      <c r="J1159" s="352"/>
      <c r="K1159" s="352"/>
      <c r="L1159" s="352">
        <f>K1156-L1158</f>
        <v>612</v>
      </c>
      <c r="M1159" s="352"/>
    </row>
    <row r="1160" spans="5:13">
      <c r="E1160" s="352"/>
      <c r="F1160" s="352"/>
      <c r="G1160" s="352"/>
      <c r="H1160" s="352"/>
      <c r="I1160" s="352"/>
      <c r="J1160" s="352"/>
      <c r="K1160" s="352"/>
      <c r="L1160" s="352"/>
      <c r="M1160" s="352"/>
    </row>
    <row r="1161" spans="5:13">
      <c r="E1161" s="352"/>
      <c r="F1161" s="352"/>
      <c r="G1161" s="352"/>
      <c r="H1161" s="352"/>
      <c r="I1161" s="352"/>
      <c r="J1161" s="352"/>
      <c r="K1161" s="352"/>
      <c r="L1161" s="352"/>
      <c r="M1161" s="352"/>
    </row>
    <row r="1162" spans="5:13">
      <c r="E1162" s="352"/>
      <c r="F1162" s="352"/>
      <c r="G1162" s="352"/>
      <c r="H1162" s="352"/>
      <c r="I1162" s="352"/>
      <c r="J1162" s="352"/>
      <c r="K1162" s="352"/>
      <c r="L1162" s="352"/>
      <c r="M1162" s="352"/>
    </row>
    <row r="1163" spans="5:13">
      <c r="E1163" s="352"/>
      <c r="F1163" s="352"/>
      <c r="G1163" s="352"/>
      <c r="H1163" s="352"/>
      <c r="I1163" s="352"/>
      <c r="J1163" s="352"/>
      <c r="K1163" s="352"/>
      <c r="L1163" s="352"/>
      <c r="M1163" s="352"/>
    </row>
    <row r="1164" spans="5:13">
      <c r="E1164" s="352"/>
      <c r="F1164" s="352"/>
      <c r="G1164" s="352"/>
      <c r="H1164" s="352"/>
      <c r="I1164" s="352"/>
      <c r="J1164" s="352"/>
      <c r="K1164" s="352"/>
      <c r="L1164" s="352"/>
      <c r="M1164" s="352"/>
    </row>
    <row r="1165" spans="5:13">
      <c r="E1165" s="352"/>
      <c r="F1165" s="352"/>
      <c r="G1165" s="352"/>
      <c r="H1165" s="352"/>
      <c r="I1165" s="352"/>
      <c r="J1165" s="352"/>
      <c r="K1165" s="352"/>
      <c r="L1165" s="352"/>
      <c r="M1165" s="352"/>
    </row>
    <row r="1166" spans="5:13">
      <c r="E1166" s="352"/>
      <c r="F1166" s="352"/>
      <c r="G1166" s="352"/>
      <c r="H1166" s="352"/>
      <c r="I1166" s="352"/>
      <c r="J1166" s="352"/>
      <c r="K1166" s="352"/>
      <c r="L1166" s="352"/>
      <c r="M1166" s="352"/>
    </row>
    <row r="1167" spans="5:13">
      <c r="E1167" s="352"/>
      <c r="F1167" s="352"/>
      <c r="G1167" s="352"/>
      <c r="H1167" s="352"/>
      <c r="I1167" s="352"/>
      <c r="J1167" s="352"/>
      <c r="K1167" s="352"/>
      <c r="L1167" s="352"/>
      <c r="M1167" s="352"/>
    </row>
    <row r="1168" spans="5:13">
      <c r="E1168" s="352"/>
      <c r="F1168" s="352"/>
      <c r="G1168" s="352"/>
      <c r="H1168" s="352"/>
      <c r="I1168" s="352"/>
      <c r="J1168" s="352"/>
      <c r="K1168" s="352"/>
      <c r="L1168" s="352"/>
      <c r="M1168" s="352"/>
    </row>
    <row r="1169" spans="5:13">
      <c r="E1169" s="352"/>
      <c r="F1169" s="352"/>
      <c r="G1169" s="352"/>
      <c r="H1169" s="360" t="s">
        <v>4545</v>
      </c>
      <c r="I1169" s="352"/>
      <c r="J1169" s="352"/>
      <c r="K1169" s="352"/>
      <c r="L1169" s="352"/>
      <c r="M1169" s="352"/>
    </row>
    <row r="1170" spans="5:13">
      <c r="E1170" s="352"/>
      <c r="F1170" s="352"/>
      <c r="G1170" s="352"/>
      <c r="H1170" s="352"/>
      <c r="I1170" s="352"/>
      <c r="J1170" s="352"/>
      <c r="K1170" s="352"/>
      <c r="L1170" s="352"/>
      <c r="M1170" s="352"/>
    </row>
    <row r="1171" spans="5:13" ht="110.25">
      <c r="E1171" s="352"/>
      <c r="F1171" s="352"/>
      <c r="G1171" s="352"/>
      <c r="H1171" s="351" t="s">
        <v>3066</v>
      </c>
      <c r="I1171" s="352"/>
      <c r="J1171" s="352"/>
      <c r="K1171" s="352"/>
      <c r="L1171" s="352"/>
      <c r="M1171" s="352"/>
    </row>
    <row r="1172" spans="5:13">
      <c r="E1172" s="352"/>
      <c r="F1172" s="352"/>
      <c r="G1172" s="352"/>
      <c r="H1172" s="352"/>
      <c r="I1172" s="352"/>
      <c r="J1172" s="352"/>
      <c r="K1172" s="352"/>
      <c r="L1172" s="352"/>
      <c r="M1172" s="352"/>
    </row>
    <row r="1173" spans="5:13">
      <c r="E1173" s="352"/>
      <c r="F1173" s="352"/>
      <c r="G1173" s="352"/>
      <c r="H1173" s="352" t="s">
        <v>3194</v>
      </c>
      <c r="I1173" s="352"/>
      <c r="J1173" s="352"/>
      <c r="K1173" s="352">
        <f>K1152</f>
        <v>11538</v>
      </c>
      <c r="L1173" s="352"/>
      <c r="M1173" s="352"/>
    </row>
    <row r="1174" spans="5:13" ht="31.5">
      <c r="E1174" s="352"/>
      <c r="F1174" s="352">
        <v>360</v>
      </c>
      <c r="G1174" s="352" t="s">
        <v>842</v>
      </c>
      <c r="H1174" s="351" t="s">
        <v>4546</v>
      </c>
      <c r="I1174" s="421">
        <v>56.7</v>
      </c>
      <c r="J1174" s="352" t="s">
        <v>842</v>
      </c>
      <c r="K1174" s="352">
        <f>F1174*I1174</f>
        <v>20412</v>
      </c>
      <c r="L1174" s="352"/>
      <c r="M1174" s="352"/>
    </row>
    <row r="1175" spans="5:13" ht="31.5">
      <c r="E1175" s="352"/>
      <c r="F1175" s="352">
        <v>180</v>
      </c>
      <c r="G1175" s="352" t="s">
        <v>842</v>
      </c>
      <c r="H1175" s="351" t="s">
        <v>3015</v>
      </c>
      <c r="I1175" s="352">
        <f>I1142</f>
        <v>16.55</v>
      </c>
      <c r="J1175" s="352" t="s">
        <v>2587</v>
      </c>
      <c r="K1175" s="352">
        <f>F1175*I1175</f>
        <v>2979</v>
      </c>
      <c r="L1175" s="352"/>
      <c r="M1175" s="352"/>
    </row>
    <row r="1176" spans="5:13">
      <c r="E1176" s="352"/>
      <c r="F1176" s="352"/>
      <c r="G1176" s="352"/>
      <c r="H1176" s="352" t="s">
        <v>2310</v>
      </c>
      <c r="I1176" s="352"/>
      <c r="J1176" s="352"/>
      <c r="K1176" s="352"/>
      <c r="L1176" s="352"/>
      <c r="M1176" s="352"/>
    </row>
    <row r="1177" spans="5:13">
      <c r="E1177" s="352"/>
      <c r="F1177" s="352"/>
      <c r="G1177" s="352"/>
      <c r="H1177" s="357" t="s">
        <v>3016</v>
      </c>
      <c r="I1177" s="352"/>
      <c r="J1177" s="352"/>
      <c r="K1177" s="358">
        <f>K1173+K1174-K1175+K1176</f>
        <v>28971</v>
      </c>
      <c r="L1177" s="352"/>
      <c r="M1177" s="352"/>
    </row>
    <row r="1178" spans="5:13">
      <c r="E1178" s="352"/>
      <c r="F1178" s="352"/>
      <c r="G1178" s="352"/>
      <c r="H1178" s="359" t="s">
        <v>2433</v>
      </c>
      <c r="I1178" s="352"/>
      <c r="J1178" s="352"/>
      <c r="K1178" s="360">
        <f>K1177/90</f>
        <v>321.89999999999998</v>
      </c>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52"/>
      <c r="I1183" s="352"/>
      <c r="J1183" s="352"/>
      <c r="K1183" s="352"/>
      <c r="L1183" s="352"/>
      <c r="M1183" s="352"/>
    </row>
    <row r="1184" spans="5:13">
      <c r="E1184" s="352"/>
      <c r="F1184" s="352"/>
      <c r="G1184" s="352"/>
      <c r="H1184" s="360" t="s">
        <v>4547</v>
      </c>
      <c r="I1184" s="352"/>
      <c r="J1184" s="352"/>
      <c r="K1184" s="352"/>
      <c r="L1184" s="352"/>
      <c r="M1184" s="352"/>
    </row>
    <row r="1185" spans="5:13">
      <c r="E1185" s="352"/>
      <c r="F1185" s="352"/>
      <c r="G1185" s="352"/>
      <c r="H1185" s="352"/>
      <c r="I1185" s="352"/>
      <c r="J1185" s="352"/>
      <c r="K1185" s="352"/>
      <c r="L1185" s="352"/>
      <c r="M1185" s="352"/>
    </row>
    <row r="1186" spans="5:13" ht="110.25">
      <c r="E1186" s="352"/>
      <c r="F1186" s="352"/>
      <c r="G1186" s="352"/>
      <c r="H1186" s="351" t="s">
        <v>3066</v>
      </c>
      <c r="I1186" s="352"/>
      <c r="J1186" s="352"/>
      <c r="K1186" s="352"/>
      <c r="L1186" s="352"/>
      <c r="M1186" s="352"/>
    </row>
    <row r="1187" spans="5:13">
      <c r="E1187" s="352"/>
      <c r="F1187" s="352"/>
      <c r="G1187" s="352"/>
      <c r="H1187" s="352"/>
      <c r="I1187" s="352"/>
      <c r="J1187" s="352"/>
      <c r="K1187" s="352"/>
      <c r="L1187" s="352"/>
      <c r="M1187" s="352"/>
    </row>
    <row r="1188" spans="5:13">
      <c r="E1188" s="352"/>
      <c r="F1188" s="352"/>
      <c r="G1188" s="352"/>
      <c r="H1188" s="352" t="s">
        <v>3194</v>
      </c>
      <c r="I1188" s="352"/>
      <c r="J1188" s="352"/>
      <c r="K1188" s="352">
        <f>K1173</f>
        <v>11538</v>
      </c>
      <c r="L1188" s="352"/>
      <c r="M1188" s="352"/>
    </row>
    <row r="1189" spans="5:13" ht="31.5">
      <c r="E1189" s="352"/>
      <c r="F1189" s="352">
        <v>360</v>
      </c>
      <c r="G1189" s="352" t="s">
        <v>842</v>
      </c>
      <c r="H1189" s="351" t="s">
        <v>4548</v>
      </c>
      <c r="I1189" s="421">
        <v>38.299999999999997</v>
      </c>
      <c r="J1189" s="352" t="s">
        <v>842</v>
      </c>
      <c r="K1189" s="352">
        <f>F1189*I1189</f>
        <v>13788</v>
      </c>
      <c r="L1189" s="352"/>
      <c r="M1189" s="352"/>
    </row>
    <row r="1190" spans="5:13" ht="31.5">
      <c r="E1190" s="352"/>
      <c r="F1190" s="352">
        <v>180</v>
      </c>
      <c r="G1190" s="352" t="s">
        <v>842</v>
      </c>
      <c r="H1190" s="351" t="s">
        <v>3015</v>
      </c>
      <c r="I1190" s="352">
        <f>I1175</f>
        <v>16.55</v>
      </c>
      <c r="J1190" s="352" t="s">
        <v>2587</v>
      </c>
      <c r="K1190" s="352">
        <f>F1190*I1190</f>
        <v>2979</v>
      </c>
      <c r="L1190" s="352"/>
      <c r="M1190" s="352"/>
    </row>
    <row r="1191" spans="5:13">
      <c r="E1191" s="352"/>
      <c r="F1191" s="352"/>
      <c r="G1191" s="352"/>
      <c r="H1191" s="352" t="s">
        <v>2310</v>
      </c>
      <c r="I1191" s="352"/>
      <c r="J1191" s="352"/>
      <c r="K1191" s="352"/>
      <c r="L1191" s="352"/>
      <c r="M1191" s="352"/>
    </row>
    <row r="1192" spans="5:13">
      <c r="E1192" s="352"/>
      <c r="F1192" s="352"/>
      <c r="G1192" s="352"/>
      <c r="H1192" s="357" t="s">
        <v>3016</v>
      </c>
      <c r="I1192" s="352"/>
      <c r="J1192" s="352"/>
      <c r="K1192" s="358">
        <f>K1188+K1189-K1190+K1191</f>
        <v>22347</v>
      </c>
      <c r="L1192" s="352"/>
      <c r="M1192" s="352"/>
    </row>
    <row r="1193" spans="5:13">
      <c r="E1193" s="352"/>
      <c r="F1193" s="352"/>
      <c r="G1193" s="352"/>
      <c r="H1193" s="359" t="s">
        <v>2433</v>
      </c>
      <c r="I1193" s="352"/>
      <c r="J1193" s="352"/>
      <c r="K1193" s="360">
        <f>K1192/90</f>
        <v>248.3</v>
      </c>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352"/>
      <c r="G1196" s="352"/>
      <c r="H1196" s="352"/>
      <c r="I1196" s="352"/>
      <c r="J1196" s="352"/>
      <c r="K1196" s="352"/>
      <c r="L1196" s="352"/>
      <c r="M1196" s="352"/>
    </row>
    <row r="1197" spans="5:13">
      <c r="E1197" s="352"/>
      <c r="F1197" s="658"/>
      <c r="G1197" s="659"/>
      <c r="H1197" s="660" t="s">
        <v>4324</v>
      </c>
      <c r="I1197" s="658"/>
      <c r="J1197" s="661"/>
      <c r="K1197" s="662"/>
      <c r="L1197" s="352"/>
      <c r="M1197" s="352"/>
    </row>
    <row r="1198" spans="5:13">
      <c r="E1198" s="352"/>
      <c r="F1198" s="658"/>
      <c r="G1198" s="659"/>
      <c r="H1198" s="663" t="s">
        <v>4325</v>
      </c>
      <c r="I1198" s="658"/>
      <c r="J1198" s="661"/>
      <c r="K1198" s="658"/>
      <c r="L1198" s="352"/>
      <c r="M1198" s="352"/>
    </row>
    <row r="1199" spans="5:13">
      <c r="E1199" s="352"/>
      <c r="F1199" s="658"/>
      <c r="G1199" s="659"/>
      <c r="H1199" s="664" t="s">
        <v>4326</v>
      </c>
      <c r="I1199" s="658"/>
      <c r="J1199" s="661"/>
      <c r="K1199" s="658"/>
      <c r="L1199" s="352"/>
      <c r="M1199" s="352"/>
    </row>
    <row r="1200" spans="5:13">
      <c r="E1200" s="352"/>
      <c r="F1200" s="658"/>
      <c r="G1200" s="659"/>
      <c r="H1200" s="663" t="s">
        <v>4327</v>
      </c>
      <c r="I1200" s="658"/>
      <c r="J1200" s="661">
        <f>3.3*3.3*2+6.6+6.6+6.6</f>
        <v>41.58</v>
      </c>
      <c r="K1200" s="658"/>
      <c r="L1200" s="352"/>
      <c r="M1200" s="352"/>
    </row>
    <row r="1201" spans="5:13">
      <c r="E1201" s="352"/>
      <c r="F1201" s="658"/>
      <c r="G1201" s="659"/>
      <c r="H1201" s="663" t="s">
        <v>4328</v>
      </c>
      <c r="I1201" s="658"/>
      <c r="J1201" s="661"/>
      <c r="K1201" s="658"/>
      <c r="L1201" s="352"/>
      <c r="M1201" s="352"/>
    </row>
    <row r="1202" spans="5:13">
      <c r="E1202" s="352"/>
      <c r="F1202" s="658"/>
      <c r="G1202" s="659"/>
      <c r="H1202" s="663" t="s">
        <v>4329</v>
      </c>
      <c r="I1202" s="658"/>
      <c r="J1202" s="661"/>
      <c r="K1202" s="658"/>
      <c r="L1202" s="352"/>
      <c r="M1202" s="352"/>
    </row>
    <row r="1203" spans="5:13">
      <c r="E1203" s="352"/>
      <c r="F1203" s="658"/>
      <c r="G1203" s="659"/>
      <c r="H1203" s="663" t="s">
        <v>4330</v>
      </c>
      <c r="I1203" s="658"/>
      <c r="J1203" s="661"/>
      <c r="K1203" s="658"/>
      <c r="L1203" s="352"/>
      <c r="M1203" s="352"/>
    </row>
    <row r="1204" spans="5:13">
      <c r="E1204" s="352"/>
      <c r="F1204" s="658"/>
      <c r="G1204" s="659"/>
      <c r="H1204" s="663" t="s">
        <v>4331</v>
      </c>
      <c r="I1204" s="658"/>
      <c r="J1204" s="661"/>
      <c r="K1204" s="658"/>
      <c r="L1204" s="352"/>
      <c r="M1204" s="352"/>
    </row>
    <row r="1205" spans="5:13">
      <c r="E1205" s="352"/>
      <c r="F1205" s="658"/>
      <c r="G1205" s="659"/>
      <c r="H1205" s="664"/>
      <c r="I1205" s="658"/>
      <c r="J1205" s="661"/>
      <c r="K1205" s="658"/>
      <c r="L1205" s="352"/>
      <c r="M1205" s="352"/>
    </row>
    <row r="1206" spans="5:13">
      <c r="E1206" s="352"/>
      <c r="F1206" s="658"/>
      <c r="G1206" s="659"/>
      <c r="H1206" s="663" t="s">
        <v>4332</v>
      </c>
      <c r="I1206" s="658"/>
      <c r="J1206" s="661"/>
      <c r="K1206" s="658"/>
      <c r="L1206" s="352"/>
      <c r="M1206" s="352"/>
    </row>
    <row r="1207" spans="5:13">
      <c r="E1207" s="352"/>
      <c r="F1207" s="665"/>
      <c r="G1207" s="659"/>
      <c r="H1207" s="664" t="s">
        <v>4333</v>
      </c>
      <c r="I1207" s="658"/>
      <c r="J1207" s="661"/>
      <c r="K1207" s="658"/>
      <c r="L1207" s="352"/>
      <c r="M1207" s="352"/>
    </row>
    <row r="1208" spans="5:13">
      <c r="E1208" s="352"/>
      <c r="F1208" s="658"/>
      <c r="G1208" s="659"/>
      <c r="H1208" s="663" t="s">
        <v>4334</v>
      </c>
      <c r="I1208" s="658"/>
      <c r="J1208" s="661"/>
      <c r="K1208" s="658"/>
      <c r="L1208" s="352"/>
      <c r="M1208" s="352"/>
    </row>
    <row r="1209" spans="5:13">
      <c r="E1209" s="352"/>
      <c r="F1209" s="666">
        <v>53.512999999999998</v>
      </c>
      <c r="G1209" s="659" t="s">
        <v>929</v>
      </c>
      <c r="H1209" s="663" t="s">
        <v>5275</v>
      </c>
      <c r="I1209" s="873">
        <v>51.4</v>
      </c>
      <c r="J1209" s="661" t="s">
        <v>929</v>
      </c>
      <c r="K1209" s="658">
        <f>I1209*F1209</f>
        <v>2750.57</v>
      </c>
      <c r="L1209" s="352"/>
      <c r="M1209" s="352"/>
    </row>
    <row r="1210" spans="5:13">
      <c r="E1210" s="352"/>
      <c r="F1210" s="665"/>
      <c r="G1210" s="659"/>
      <c r="H1210" s="664" t="s">
        <v>4335</v>
      </c>
      <c r="I1210" s="658"/>
      <c r="J1210" s="661"/>
      <c r="K1210" s="658"/>
      <c r="L1210" s="352"/>
      <c r="M1210" s="352"/>
    </row>
    <row r="1211" spans="5:13">
      <c r="E1211" s="352"/>
      <c r="F1211" s="658"/>
      <c r="G1211" s="659"/>
      <c r="H1211" s="663" t="s">
        <v>4336</v>
      </c>
      <c r="I1211" s="658"/>
      <c r="J1211" s="661"/>
      <c r="K1211" s="658"/>
      <c r="L1211" s="352"/>
      <c r="M1211" s="352"/>
    </row>
    <row r="1212" spans="5:13">
      <c r="E1212" s="352"/>
      <c r="F1212" s="658"/>
      <c r="G1212" s="659"/>
      <c r="H1212" s="663" t="s">
        <v>4337</v>
      </c>
      <c r="I1212" s="658"/>
      <c r="J1212" s="661"/>
      <c r="K1212" s="658"/>
      <c r="L1212" s="352"/>
      <c r="M1212" s="352"/>
    </row>
    <row r="1213" spans="5:13">
      <c r="E1213" s="352"/>
      <c r="F1213" s="658"/>
      <c r="G1213" s="659"/>
      <c r="H1213" s="663" t="s">
        <v>4338</v>
      </c>
      <c r="I1213" s="658"/>
      <c r="J1213" s="661"/>
      <c r="K1213" s="658"/>
      <c r="L1213" s="352"/>
      <c r="M1213" s="352"/>
    </row>
    <row r="1214" spans="5:13">
      <c r="E1214" s="352"/>
      <c r="F1214" s="658"/>
      <c r="G1214" s="659"/>
      <c r="H1214" s="663" t="s">
        <v>4339</v>
      </c>
      <c r="I1214" s="658"/>
      <c r="J1214" s="661"/>
      <c r="K1214" s="658"/>
      <c r="L1214" s="352"/>
      <c r="M1214" s="352"/>
    </row>
    <row r="1215" spans="5:13" ht="25.5">
      <c r="E1215" s="352"/>
      <c r="F1215" s="658"/>
      <c r="G1215" s="659"/>
      <c r="H1215" s="663" t="s">
        <v>4340</v>
      </c>
      <c r="I1215" s="658"/>
      <c r="J1215" s="661"/>
      <c r="K1215" s="658"/>
      <c r="L1215" s="352"/>
      <c r="M1215" s="352"/>
    </row>
    <row r="1216" spans="5:13">
      <c r="E1216" s="352"/>
      <c r="F1216" s="658"/>
      <c r="G1216" s="659"/>
      <c r="H1216" s="663" t="s">
        <v>4341</v>
      </c>
      <c r="I1216" s="658"/>
      <c r="J1216" s="661"/>
      <c r="K1216" s="658"/>
      <c r="L1216" s="352"/>
      <c r="M1216" s="352"/>
    </row>
    <row r="1217" spans="5:13">
      <c r="E1217" s="352"/>
      <c r="F1217" s="658"/>
      <c r="G1217" s="659"/>
      <c r="H1217" s="663" t="s">
        <v>4342</v>
      </c>
      <c r="I1217" s="658"/>
      <c r="J1217" s="661"/>
      <c r="K1217" s="658"/>
      <c r="L1217" s="352"/>
      <c r="M1217" s="352"/>
    </row>
    <row r="1218" spans="5:13">
      <c r="E1218" s="352"/>
      <c r="F1218" s="658">
        <v>18.600000000000001</v>
      </c>
      <c r="G1218" s="659" t="s">
        <v>929</v>
      </c>
      <c r="H1218" s="663" t="s">
        <v>4343</v>
      </c>
      <c r="I1218" s="658">
        <f>I1209</f>
        <v>51.4</v>
      </c>
      <c r="J1218" s="661" t="s">
        <v>929</v>
      </c>
      <c r="K1218" s="658">
        <f>SUM(F1218*I1218)</f>
        <v>956.04</v>
      </c>
      <c r="L1218" s="352"/>
      <c r="M1218" s="352"/>
    </row>
    <row r="1219" spans="5:13">
      <c r="E1219" s="352"/>
      <c r="F1219" s="658"/>
      <c r="G1219" s="659"/>
      <c r="H1219" s="664" t="s">
        <v>4344</v>
      </c>
      <c r="I1219" s="658"/>
      <c r="J1219" s="661"/>
      <c r="K1219" s="658"/>
      <c r="L1219" s="352"/>
      <c r="M1219" s="352"/>
    </row>
    <row r="1220" spans="5:13">
      <c r="E1220" s="352"/>
      <c r="F1220" s="658"/>
      <c r="G1220" s="659"/>
      <c r="H1220" s="663" t="s">
        <v>4345</v>
      </c>
      <c r="I1220" s="658"/>
      <c r="J1220" s="661"/>
      <c r="K1220" s="658"/>
      <c r="L1220" s="352"/>
      <c r="M1220" s="352"/>
    </row>
    <row r="1221" spans="5:13">
      <c r="E1221" s="352"/>
      <c r="F1221" s="658"/>
      <c r="G1221" s="659"/>
      <c r="H1221" s="663" t="s">
        <v>4346</v>
      </c>
      <c r="I1221" s="658"/>
      <c r="J1221" s="661"/>
      <c r="K1221" s="658"/>
      <c r="L1221" s="352"/>
      <c r="M1221" s="352"/>
    </row>
    <row r="1222" spans="5:13">
      <c r="E1222" s="352"/>
      <c r="F1222" s="658"/>
      <c r="G1222" s="659"/>
      <c r="H1222" s="663" t="s">
        <v>4347</v>
      </c>
      <c r="I1222" s="658"/>
      <c r="J1222" s="661"/>
      <c r="K1222" s="658"/>
      <c r="L1222" s="352"/>
      <c r="M1222" s="352"/>
    </row>
    <row r="1223" spans="5:13">
      <c r="E1223" s="352"/>
      <c r="F1223" s="658"/>
      <c r="G1223" s="659"/>
      <c r="H1223" s="663" t="s">
        <v>4348</v>
      </c>
      <c r="I1223" s="658"/>
      <c r="J1223" s="661"/>
      <c r="K1223" s="658"/>
      <c r="L1223" s="352"/>
      <c r="M1223" s="352"/>
    </row>
    <row r="1224" spans="5:13">
      <c r="E1224" s="352"/>
      <c r="F1224" s="658"/>
      <c r="G1224" s="659"/>
      <c r="H1224" s="663" t="s">
        <v>4349</v>
      </c>
      <c r="I1224" s="658"/>
      <c r="J1224" s="661"/>
      <c r="K1224" s="658"/>
      <c r="L1224" s="352"/>
      <c r="M1224" s="352"/>
    </row>
    <row r="1225" spans="5:13" ht="25.5">
      <c r="E1225" s="352"/>
      <c r="F1225" s="658"/>
      <c r="G1225" s="659"/>
      <c r="H1225" s="663" t="s">
        <v>4350</v>
      </c>
      <c r="I1225" s="658"/>
      <c r="J1225" s="661"/>
      <c r="K1225" s="658"/>
      <c r="L1225" s="352"/>
      <c r="M1225" s="352"/>
    </row>
    <row r="1226" spans="5:13">
      <c r="E1226" s="352"/>
      <c r="F1226" s="658"/>
      <c r="G1226" s="659"/>
      <c r="H1226" s="663" t="s">
        <v>4351</v>
      </c>
      <c r="I1226" s="658"/>
      <c r="J1226" s="661"/>
      <c r="K1226" s="658"/>
      <c r="L1226" s="352"/>
      <c r="M1226" s="352"/>
    </row>
    <row r="1227" spans="5:13">
      <c r="E1227" s="352"/>
      <c r="F1227" s="658"/>
      <c r="G1227" s="659"/>
      <c r="H1227" s="663" t="s">
        <v>4352</v>
      </c>
      <c r="I1227" s="658"/>
      <c r="J1227" s="661"/>
      <c r="K1227" s="658"/>
      <c r="L1227" s="352"/>
      <c r="M1227" s="352"/>
    </row>
    <row r="1228" spans="5:13" ht="25.5">
      <c r="E1228" s="352"/>
      <c r="F1228" s="658"/>
      <c r="G1228" s="659"/>
      <c r="H1228" s="663" t="s">
        <v>4353</v>
      </c>
      <c r="I1228" s="658"/>
      <c r="J1228" s="661"/>
      <c r="K1228" s="658"/>
      <c r="L1228" s="352"/>
      <c r="M1228" s="352"/>
    </row>
    <row r="1229" spans="5:13">
      <c r="E1229" s="352"/>
      <c r="F1229" s="658"/>
      <c r="G1229" s="659"/>
      <c r="H1229" s="663" t="s">
        <v>4354</v>
      </c>
      <c r="I1229" s="658"/>
      <c r="J1229" s="661"/>
      <c r="K1229" s="658"/>
      <c r="L1229" s="352"/>
      <c r="M1229" s="352"/>
    </row>
    <row r="1230" spans="5:13">
      <c r="E1230" s="352"/>
      <c r="F1230" s="658"/>
      <c r="G1230" s="659"/>
      <c r="H1230" s="663"/>
      <c r="I1230" s="658"/>
      <c r="J1230" s="661"/>
      <c r="K1230" s="658"/>
      <c r="L1230" s="352"/>
      <c r="M1230" s="352"/>
    </row>
    <row r="1231" spans="5:13">
      <c r="E1231" s="352"/>
      <c r="F1231" s="658"/>
      <c r="G1231" s="659"/>
      <c r="H1231" s="663" t="s">
        <v>4355</v>
      </c>
      <c r="I1231" s="658"/>
      <c r="J1231" s="661"/>
      <c r="K1231" s="658"/>
      <c r="L1231" s="352"/>
      <c r="M1231" s="352"/>
    </row>
    <row r="1232" spans="5:13">
      <c r="E1232" s="352"/>
      <c r="F1232" s="658"/>
      <c r="G1232" s="659"/>
      <c r="H1232" s="663"/>
      <c r="I1232" s="658"/>
      <c r="J1232" s="661"/>
      <c r="K1232" s="658"/>
      <c r="L1232" s="352"/>
      <c r="M1232" s="352"/>
    </row>
    <row r="1233" spans="5:13">
      <c r="E1233" s="352"/>
      <c r="F1233" s="658">
        <v>5.92</v>
      </c>
      <c r="G1233" s="659" t="s">
        <v>929</v>
      </c>
      <c r="H1233" s="663" t="s">
        <v>5253</v>
      </c>
      <c r="I1233" s="873">
        <v>526</v>
      </c>
      <c r="J1233" s="661" t="s">
        <v>929</v>
      </c>
      <c r="K1233" s="658">
        <f>SUM(F1233*I1233)</f>
        <v>3113.92</v>
      </c>
      <c r="L1233" s="352"/>
      <c r="M1233" s="352"/>
    </row>
    <row r="1234" spans="5:13">
      <c r="E1234" s="352"/>
      <c r="F1234" s="658">
        <f>F1233</f>
        <v>5.92</v>
      </c>
      <c r="G1234" s="659" t="s">
        <v>929</v>
      </c>
      <c r="H1234" s="663" t="s">
        <v>4356</v>
      </c>
      <c r="I1234" s="874">
        <v>10</v>
      </c>
      <c r="J1234" s="661" t="s">
        <v>929</v>
      </c>
      <c r="K1234" s="658">
        <f>SUM(F1234*I1234)</f>
        <v>59.2</v>
      </c>
      <c r="L1234" s="352"/>
      <c r="M1234" s="352"/>
    </row>
    <row r="1235" spans="5:13">
      <c r="E1235" s="352"/>
      <c r="F1235" s="658"/>
      <c r="G1235" s="659"/>
      <c r="H1235" s="663"/>
      <c r="I1235" s="658"/>
      <c r="J1235" s="661"/>
      <c r="K1235" s="658"/>
      <c r="L1235" s="352"/>
      <c r="M1235" s="352"/>
    </row>
    <row r="1236" spans="5:13">
      <c r="E1236" s="352"/>
      <c r="F1236" s="658"/>
      <c r="G1236" s="659"/>
      <c r="H1236" s="664" t="s">
        <v>4357</v>
      </c>
      <c r="I1236" s="658"/>
      <c r="J1236" s="661"/>
      <c r="K1236" s="658"/>
      <c r="L1236" s="352"/>
      <c r="M1236" s="352"/>
    </row>
    <row r="1237" spans="5:13">
      <c r="E1237" s="352"/>
      <c r="F1237" s="658"/>
      <c r="G1237" s="659"/>
      <c r="H1237" s="663" t="s">
        <v>4358</v>
      </c>
      <c r="I1237" s="658"/>
      <c r="J1237" s="661"/>
      <c r="K1237" s="658"/>
      <c r="L1237" s="352"/>
      <c r="M1237" s="352"/>
    </row>
    <row r="1238" spans="5:13">
      <c r="E1238" s="352"/>
      <c r="F1238" s="658"/>
      <c r="G1238" s="659"/>
      <c r="H1238" s="663" t="s">
        <v>4359</v>
      </c>
      <c r="I1238" s="658"/>
      <c r="J1238" s="661"/>
      <c r="K1238" s="658"/>
      <c r="L1238" s="352"/>
      <c r="M1238" s="352"/>
    </row>
    <row r="1239" spans="5:13">
      <c r="E1239" s="352"/>
      <c r="F1239" s="658"/>
      <c r="G1239" s="659"/>
      <c r="H1239" s="663" t="s">
        <v>4360</v>
      </c>
      <c r="I1239" s="658"/>
      <c r="J1239" s="661"/>
      <c r="K1239" s="658"/>
      <c r="L1239" s="352"/>
      <c r="M1239" s="352"/>
    </row>
    <row r="1240" spans="5:13">
      <c r="E1240" s="352"/>
      <c r="F1240" s="658">
        <v>3.6</v>
      </c>
      <c r="G1240" s="659" t="s">
        <v>929</v>
      </c>
      <c r="H1240" s="663" t="s">
        <v>5254</v>
      </c>
      <c r="I1240" s="873">
        <v>94.9</v>
      </c>
      <c r="J1240" s="661" t="s">
        <v>929</v>
      </c>
      <c r="K1240" s="658">
        <f>I1240*F1240</f>
        <v>341.64</v>
      </c>
      <c r="L1240" s="352"/>
      <c r="M1240" s="352"/>
    </row>
    <row r="1241" spans="5:13">
      <c r="E1241" s="352"/>
      <c r="F1241" s="658"/>
      <c r="G1241" s="659"/>
      <c r="H1241" s="664" t="s">
        <v>4361</v>
      </c>
      <c r="I1241" s="658"/>
      <c r="J1241" s="661"/>
      <c r="K1241" s="658"/>
      <c r="L1241" s="352"/>
      <c r="M1241" s="352"/>
    </row>
    <row r="1242" spans="5:13">
      <c r="E1242" s="352"/>
      <c r="F1242" s="658">
        <v>3</v>
      </c>
      <c r="G1242" s="659" t="s">
        <v>1051</v>
      </c>
      <c r="H1242" s="663" t="s">
        <v>5255</v>
      </c>
      <c r="I1242" s="873">
        <v>550</v>
      </c>
      <c r="J1242" s="661" t="s">
        <v>1423</v>
      </c>
      <c r="K1242" s="658">
        <f>I1242*F1242</f>
        <v>1650</v>
      </c>
      <c r="L1242" s="352"/>
      <c r="M1242" s="352"/>
    </row>
    <row r="1243" spans="5:13">
      <c r="E1243" s="352"/>
      <c r="F1243" s="658">
        <v>1</v>
      </c>
      <c r="G1243" s="659" t="s">
        <v>1051</v>
      </c>
      <c r="H1243" s="663" t="s">
        <v>5256</v>
      </c>
      <c r="I1243" s="873">
        <v>340.3</v>
      </c>
      <c r="J1243" s="661" t="s">
        <v>1423</v>
      </c>
      <c r="K1243" s="658">
        <f>I1243*F1243</f>
        <v>340.3</v>
      </c>
      <c r="L1243" s="352"/>
      <c r="M1243" s="352"/>
    </row>
    <row r="1244" spans="5:13">
      <c r="E1244" s="352"/>
      <c r="F1244" s="658">
        <v>1</v>
      </c>
      <c r="G1244" s="659" t="s">
        <v>1051</v>
      </c>
      <c r="H1244" s="663" t="s">
        <v>4362</v>
      </c>
      <c r="I1244" s="874">
        <f>I1243</f>
        <v>340.3</v>
      </c>
      <c r="J1244" s="661" t="s">
        <v>1423</v>
      </c>
      <c r="K1244" s="658">
        <f>I1244*F1244</f>
        <v>340.3</v>
      </c>
      <c r="L1244" s="352"/>
      <c r="M1244" s="352"/>
    </row>
    <row r="1245" spans="5:13">
      <c r="E1245" s="352"/>
      <c r="F1245" s="667">
        <v>800</v>
      </c>
      <c r="G1245" s="661" t="s">
        <v>4363</v>
      </c>
      <c r="H1245" s="663" t="s">
        <v>4364</v>
      </c>
      <c r="I1245" s="658">
        <v>1</v>
      </c>
      <c r="J1245" s="661" t="s">
        <v>4363</v>
      </c>
      <c r="K1245" s="658">
        <f>SUM(F1245*I1245)</f>
        <v>800</v>
      </c>
      <c r="L1245" s="352"/>
      <c r="M1245" s="352"/>
    </row>
    <row r="1246" spans="5:13">
      <c r="E1246" s="352"/>
      <c r="F1246" s="658"/>
      <c r="G1246" s="659"/>
      <c r="H1246" s="663" t="s">
        <v>4365</v>
      </c>
      <c r="I1246" s="658"/>
      <c r="J1246" s="661"/>
      <c r="K1246" s="658"/>
      <c r="L1246" s="352"/>
      <c r="M1246" s="352"/>
    </row>
    <row r="1247" spans="5:13">
      <c r="E1247" s="352"/>
      <c r="F1247" s="658"/>
      <c r="G1247" s="659"/>
      <c r="H1247" s="663" t="s">
        <v>4366</v>
      </c>
      <c r="I1247" s="658"/>
      <c r="J1247" s="661"/>
      <c r="K1247" s="658"/>
      <c r="L1247" s="352"/>
      <c r="M1247" s="352"/>
    </row>
    <row r="1248" spans="5:13">
      <c r="E1248" s="352"/>
      <c r="F1248" s="668">
        <v>0.27</v>
      </c>
      <c r="G1248" s="659" t="s">
        <v>4367</v>
      </c>
      <c r="H1248" s="663" t="s">
        <v>5257</v>
      </c>
      <c r="I1248" s="658">
        <f>630*2</f>
        <v>1260</v>
      </c>
      <c r="J1248" s="669" t="s">
        <v>4367</v>
      </c>
      <c r="K1248" s="658">
        <f t="shared" ref="K1248:K1255" si="24">SUM(F1248*I1248)</f>
        <v>340.2</v>
      </c>
      <c r="L1248" s="352"/>
      <c r="M1248" s="352"/>
    </row>
    <row r="1249" spans="5:13">
      <c r="E1249" s="352"/>
      <c r="F1249" s="658">
        <v>9</v>
      </c>
      <c r="G1249" s="659" t="s">
        <v>1457</v>
      </c>
      <c r="H1249" s="663" t="s">
        <v>4368</v>
      </c>
      <c r="I1249" s="874">
        <v>20</v>
      </c>
      <c r="J1249" s="661" t="s">
        <v>1746</v>
      </c>
      <c r="K1249" s="658">
        <f t="shared" si="24"/>
        <v>180</v>
      </c>
      <c r="L1249" s="352"/>
      <c r="M1249" s="352"/>
    </row>
    <row r="1250" spans="5:13">
      <c r="E1250" s="352"/>
      <c r="F1250" s="658">
        <v>2</v>
      </c>
      <c r="G1250" s="659" t="s">
        <v>147</v>
      </c>
      <c r="H1250" s="663" t="s">
        <v>4369</v>
      </c>
      <c r="I1250" s="874">
        <v>280</v>
      </c>
      <c r="J1250" s="661" t="s">
        <v>147</v>
      </c>
      <c r="K1250" s="658">
        <f t="shared" si="24"/>
        <v>560</v>
      </c>
      <c r="L1250" s="352"/>
      <c r="M1250" s="352"/>
    </row>
    <row r="1251" spans="5:13">
      <c r="E1251" s="352"/>
      <c r="F1251" s="658">
        <v>5</v>
      </c>
      <c r="G1251" s="659" t="s">
        <v>3516</v>
      </c>
      <c r="H1251" s="663" t="s">
        <v>5258</v>
      </c>
      <c r="I1251" s="873">
        <v>9.8000000000000007</v>
      </c>
      <c r="J1251" s="669" t="s">
        <v>3516</v>
      </c>
      <c r="K1251" s="658">
        <f t="shared" si="24"/>
        <v>49</v>
      </c>
      <c r="L1251" s="352"/>
      <c r="M1251" s="352"/>
    </row>
    <row r="1252" spans="5:13">
      <c r="E1252" s="352"/>
      <c r="F1252" s="670">
        <v>53.512999999999998</v>
      </c>
      <c r="G1252" s="671" t="s">
        <v>929</v>
      </c>
      <c r="H1252" s="663" t="s">
        <v>5259</v>
      </c>
      <c r="I1252" s="672">
        <v>47.8</v>
      </c>
      <c r="J1252" s="673" t="s">
        <v>929</v>
      </c>
      <c r="K1252" s="672">
        <f t="shared" si="24"/>
        <v>2557.92</v>
      </c>
      <c r="L1252" s="352"/>
      <c r="M1252" s="352"/>
    </row>
    <row r="1253" spans="5:13">
      <c r="E1253" s="352"/>
      <c r="F1253" s="670">
        <v>18.600000000000001</v>
      </c>
      <c r="G1253" s="671" t="s">
        <v>929</v>
      </c>
      <c r="H1253" s="663" t="s">
        <v>5260</v>
      </c>
      <c r="I1253" s="672">
        <v>47.8</v>
      </c>
      <c r="J1253" s="673" t="s">
        <v>929</v>
      </c>
      <c r="K1253" s="672">
        <f>SUM(F1253*I1253)</f>
        <v>889.08</v>
      </c>
      <c r="L1253" s="352"/>
      <c r="M1253" s="352"/>
    </row>
    <row r="1254" spans="5:13">
      <c r="E1254" s="352"/>
      <c r="F1254" s="658">
        <v>12</v>
      </c>
      <c r="G1254" s="659" t="s">
        <v>1457</v>
      </c>
      <c r="H1254" s="663" t="s">
        <v>4370</v>
      </c>
      <c r="I1254" s="874">
        <v>1898</v>
      </c>
      <c r="J1254" s="669" t="s">
        <v>1423</v>
      </c>
      <c r="K1254" s="658">
        <f t="shared" si="24"/>
        <v>22776</v>
      </c>
      <c r="L1254" s="352"/>
      <c r="M1254" s="352"/>
    </row>
    <row r="1255" spans="5:13">
      <c r="E1255" s="352"/>
      <c r="F1255" s="658">
        <v>83.16</v>
      </c>
      <c r="G1255" s="659" t="s">
        <v>4371</v>
      </c>
      <c r="H1255" s="663" t="s">
        <v>4372</v>
      </c>
      <c r="I1255" s="658">
        <v>10</v>
      </c>
      <c r="J1255" s="669" t="s">
        <v>4373</v>
      </c>
      <c r="K1255" s="658">
        <f t="shared" si="24"/>
        <v>831.6</v>
      </c>
      <c r="L1255" s="352"/>
      <c r="M1255" s="352"/>
    </row>
    <row r="1256" spans="5:13" ht="25.5">
      <c r="E1256" s="352"/>
      <c r="F1256" s="665">
        <v>24</v>
      </c>
      <c r="G1256" s="659" t="s">
        <v>4374</v>
      </c>
      <c r="H1256" s="674" t="s">
        <v>5261</v>
      </c>
      <c r="I1256" s="658">
        <v>56.7</v>
      </c>
      <c r="J1256" s="675" t="s">
        <v>4375</v>
      </c>
      <c r="K1256" s="658">
        <f>I1256*F1256</f>
        <v>1360.8</v>
      </c>
      <c r="L1256" s="352"/>
      <c r="M1256" s="352"/>
    </row>
    <row r="1257" spans="5:13">
      <c r="E1257" s="352"/>
      <c r="F1257" s="658"/>
      <c r="G1257" s="659"/>
      <c r="H1257" s="663" t="s">
        <v>4376</v>
      </c>
      <c r="I1257" s="658"/>
      <c r="J1257" s="661"/>
      <c r="K1257" s="658">
        <v>200</v>
      </c>
      <c r="L1257" s="352"/>
      <c r="M1257" s="352"/>
    </row>
    <row r="1258" spans="5:13">
      <c r="E1258" s="352"/>
      <c r="F1258" s="658"/>
      <c r="G1258" s="659"/>
      <c r="H1258" s="663"/>
      <c r="I1258" s="658" t="s">
        <v>2284</v>
      </c>
      <c r="J1258" s="661"/>
      <c r="K1258" s="662">
        <f>SUM(K1209:K1257)</f>
        <v>40096.57</v>
      </c>
      <c r="L1258" s="352"/>
      <c r="M1258" s="352"/>
    </row>
    <row r="1259" spans="5:13" ht="25.5">
      <c r="E1259" s="352"/>
      <c r="F1259" s="658"/>
      <c r="G1259" s="659"/>
      <c r="H1259" s="663" t="s">
        <v>4377</v>
      </c>
      <c r="I1259" s="658"/>
      <c r="J1259" s="661"/>
      <c r="K1259" s="658">
        <f>K1258*2/100</f>
        <v>801.93</v>
      </c>
      <c r="L1259" s="352"/>
      <c r="M1259" s="352"/>
    </row>
    <row r="1260" spans="5:13">
      <c r="E1260" s="352"/>
      <c r="F1260" s="658"/>
      <c r="G1260" s="659"/>
      <c r="H1260" s="663"/>
      <c r="I1260" s="658"/>
      <c r="J1260" s="661"/>
      <c r="K1260" s="662">
        <f>SUM(K1258:K1259)</f>
        <v>40898.5</v>
      </c>
      <c r="L1260" s="352"/>
      <c r="M1260" s="352"/>
    </row>
    <row r="1261" spans="5:13">
      <c r="E1261" s="352"/>
      <c r="F1261" s="658"/>
      <c r="G1261" s="659"/>
      <c r="H1261" s="664" t="s">
        <v>4378</v>
      </c>
      <c r="I1261" s="658"/>
      <c r="J1261" s="661"/>
      <c r="K1261" s="658"/>
      <c r="L1261" s="352"/>
      <c r="M1261" s="352"/>
    </row>
    <row r="1262" spans="5:13">
      <c r="E1262" s="352"/>
      <c r="F1262" s="658"/>
      <c r="G1262" s="659"/>
      <c r="H1262" s="663" t="s">
        <v>4379</v>
      </c>
      <c r="I1262" s="658"/>
      <c r="J1262" s="661"/>
      <c r="K1262" s="658">
        <v>1500</v>
      </c>
      <c r="L1262" s="352"/>
      <c r="M1262" s="352"/>
    </row>
    <row r="1263" spans="5:13">
      <c r="E1263" s="352"/>
      <c r="F1263" s="658"/>
      <c r="G1263" s="659"/>
      <c r="H1263" s="663" t="s">
        <v>4380</v>
      </c>
      <c r="I1263" s="658"/>
      <c r="J1263" s="661"/>
      <c r="K1263" s="658">
        <v>4000</v>
      </c>
      <c r="L1263" s="352"/>
      <c r="M1263" s="352"/>
    </row>
    <row r="1264" spans="5:13">
      <c r="E1264" s="352"/>
      <c r="F1264" s="658"/>
      <c r="G1264" s="659"/>
      <c r="H1264" s="663"/>
      <c r="I1264" s="658"/>
      <c r="J1264" s="661"/>
      <c r="K1264" s="662">
        <f>SUM(K1260:K1263)</f>
        <v>46398.5</v>
      </c>
      <c r="L1264" s="352"/>
      <c r="M1264" s="352"/>
    </row>
    <row r="1265" spans="5:13">
      <c r="E1265" s="352"/>
      <c r="F1265" s="658"/>
      <c r="G1265" s="659"/>
      <c r="H1265" s="663"/>
      <c r="I1265" s="658"/>
      <c r="J1265" s="661"/>
      <c r="K1265" s="658" t="s">
        <v>4381</v>
      </c>
      <c r="L1265" s="352"/>
      <c r="M1265" s="352"/>
    </row>
    <row r="1266" spans="5:13">
      <c r="E1266" s="352"/>
      <c r="F1266" s="658"/>
      <c r="G1266" s="659"/>
      <c r="H1266" s="663"/>
      <c r="I1266" s="658"/>
      <c r="J1266" s="661"/>
      <c r="K1266" s="676">
        <f>K1264</f>
        <v>46398.5</v>
      </c>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H5085" s="273"/>
      <c r="M5085" s="352"/>
    </row>
    <row r="5086" spans="5:13">
      <c r="H5086" s="273"/>
      <c r="M5086" s="352"/>
    </row>
    <row r="5087" spans="5:13">
      <c r="H5087" s="273"/>
    </row>
    <row r="5088" spans="5:13">
      <c r="H5088" s="273"/>
    </row>
    <row r="5089" spans="8:8">
      <c r="H5089" s="273"/>
    </row>
    <row r="5090" spans="8:8">
      <c r="H5090" s="273"/>
    </row>
    <row r="5091" spans="8:8">
      <c r="H5091" s="273"/>
    </row>
    <row r="5092" spans="8:8">
      <c r="H5092" s="273"/>
    </row>
    <row r="5093" spans="8:8">
      <c r="H5093" s="273"/>
    </row>
    <row r="5094" spans="8:8">
      <c r="H5094" s="273"/>
    </row>
    <row r="5095" spans="8:8">
      <c r="H5095" s="273"/>
    </row>
    <row r="5096" spans="8:8">
      <c r="H5096" s="273"/>
    </row>
    <row r="5097" spans="8:8">
      <c r="H5097" s="273"/>
    </row>
    <row r="5098" spans="8:8">
      <c r="H5098" s="273"/>
    </row>
    <row r="5099" spans="8:8">
      <c r="H5099" s="273"/>
    </row>
    <row r="5100" spans="8:8">
      <c r="H5100" s="273"/>
    </row>
    <row r="5101" spans="8:8">
      <c r="H5101" s="273"/>
    </row>
    <row r="5102" spans="8:8">
      <c r="H5102" s="273"/>
    </row>
    <row r="5103" spans="8:8">
      <c r="H5103" s="273"/>
    </row>
    <row r="5104" spans="8:8">
      <c r="H5104" s="273"/>
    </row>
    <row r="5105" spans="8:8">
      <c r="H5105" s="273"/>
    </row>
    <row r="5106" spans="8:8">
      <c r="H5106" s="273"/>
    </row>
    <row r="5107" spans="8:8">
      <c r="H5107" s="273"/>
    </row>
    <row r="5108" spans="8:8">
      <c r="H5108" s="273"/>
    </row>
    <row r="5109" spans="8:8">
      <c r="H5109" s="273"/>
    </row>
    <row r="5110" spans="8:8">
      <c r="H5110" s="273"/>
    </row>
    <row r="5111" spans="8:8">
      <c r="H5111" s="273"/>
    </row>
    <row r="5112" spans="8:8">
      <c r="H5112" s="273"/>
    </row>
    <row r="5113" spans="8:8">
      <c r="H5113" s="273"/>
    </row>
    <row r="5114" spans="8:8">
      <c r="H5114" s="273"/>
    </row>
    <row r="5115" spans="8:8">
      <c r="H5115" s="273"/>
    </row>
    <row r="5116" spans="8:8">
      <c r="H5116" s="273"/>
    </row>
    <row r="5117" spans="8:8">
      <c r="H5117" s="273"/>
    </row>
    <row r="5118" spans="8:8">
      <c r="H5118" s="273"/>
    </row>
    <row r="5119" spans="8:8">
      <c r="H5119" s="273"/>
    </row>
    <row r="5120" spans="8:8">
      <c r="H5120" s="273"/>
    </row>
    <row r="5121" spans="8:8">
      <c r="H5121" s="273"/>
    </row>
    <row r="5122" spans="8:8">
      <c r="H5122" s="273"/>
    </row>
    <row r="5123" spans="8:8">
      <c r="H5123" s="273"/>
    </row>
    <row r="5124" spans="8:8">
      <c r="H5124" s="273"/>
    </row>
    <row r="5125" spans="8:8">
      <c r="H5125" s="273"/>
    </row>
    <row r="5126" spans="8:8">
      <c r="H5126" s="273"/>
    </row>
    <row r="5127" spans="8:8">
      <c r="H5127" s="273"/>
    </row>
    <row r="5128" spans="8:8">
      <c r="H5128" s="273"/>
    </row>
    <row r="5129" spans="8:8">
      <c r="H5129" s="273"/>
    </row>
    <row r="5130" spans="8:8">
      <c r="H5130" s="273"/>
    </row>
    <row r="5131" spans="8:8">
      <c r="H5131" s="273"/>
    </row>
    <row r="5132" spans="8:8">
      <c r="H5132" s="273"/>
    </row>
    <row r="5133" spans="8:8">
      <c r="H5133" s="273"/>
    </row>
    <row r="5134" spans="8:8">
      <c r="H5134" s="273"/>
    </row>
    <row r="5135" spans="8:8">
      <c r="H5135" s="273"/>
    </row>
    <row r="5136" spans="8:8">
      <c r="H5136" s="273"/>
    </row>
    <row r="5137" spans="8:8">
      <c r="H5137" s="273"/>
    </row>
    <row r="5138" spans="8:8">
      <c r="H5138" s="273"/>
    </row>
    <row r="5139" spans="8:8">
      <c r="H5139" s="273"/>
    </row>
    <row r="5140" spans="8:8">
      <c r="H5140" s="273"/>
    </row>
    <row r="5141" spans="8:8">
      <c r="H5141" s="273"/>
    </row>
    <row r="5142" spans="8:8">
      <c r="H5142" s="273"/>
    </row>
    <row r="5143" spans="8:8">
      <c r="H5143" s="273"/>
    </row>
    <row r="5144" spans="8:8">
      <c r="H5144" s="273"/>
    </row>
    <row r="5145" spans="8:8">
      <c r="H5145" s="273"/>
    </row>
    <row r="5146" spans="8:8">
      <c r="H5146" s="273"/>
    </row>
    <row r="5147" spans="8:8">
      <c r="H5147" s="273"/>
    </row>
    <row r="5148" spans="8:8">
      <c r="H5148" s="273"/>
    </row>
    <row r="5149" spans="8:8">
      <c r="H5149" s="273"/>
    </row>
    <row r="5150" spans="8:8">
      <c r="H5150" s="273"/>
    </row>
    <row r="5151" spans="8:8">
      <c r="H5151" s="273"/>
    </row>
    <row r="5152" spans="8:8">
      <c r="H5152" s="273"/>
    </row>
    <row r="5153" spans="8:8">
      <c r="H5153" s="273"/>
    </row>
    <row r="5154" spans="8:8">
      <c r="H5154" s="273"/>
    </row>
    <row r="5155" spans="8:8">
      <c r="H5155" s="273"/>
    </row>
    <row r="5156" spans="8:8">
      <c r="H5156" s="273"/>
    </row>
    <row r="5157" spans="8:8">
      <c r="H5157" s="273"/>
    </row>
    <row r="5158" spans="8:8">
      <c r="H5158" s="273"/>
    </row>
    <row r="5159" spans="8:8">
      <c r="H5159" s="273"/>
    </row>
    <row r="5160" spans="8:8">
      <c r="H5160" s="273"/>
    </row>
    <row r="5161" spans="8:8">
      <c r="H5161" s="273"/>
    </row>
    <row r="5162" spans="8:8">
      <c r="H5162" s="273"/>
    </row>
    <row r="5163" spans="8:8">
      <c r="H5163" s="273"/>
    </row>
    <row r="5164" spans="8:8">
      <c r="H5164" s="273"/>
    </row>
    <row r="5165" spans="8:8">
      <c r="H5165" s="273"/>
    </row>
    <row r="5166" spans="8:8">
      <c r="H5166" s="273"/>
    </row>
    <row r="5167" spans="8:8">
      <c r="H5167" s="273"/>
    </row>
    <row r="5168" spans="8:8">
      <c r="H5168" s="273"/>
    </row>
    <row r="5169" spans="8:8">
      <c r="H5169" s="273"/>
    </row>
    <row r="5170" spans="8:8">
      <c r="H5170" s="273"/>
    </row>
    <row r="5171" spans="8:8">
      <c r="H5171" s="273"/>
    </row>
    <row r="5172" spans="8:8">
      <c r="H5172" s="273"/>
    </row>
    <row r="5173" spans="8:8">
      <c r="H5173" s="273"/>
    </row>
    <row r="5174" spans="8:8">
      <c r="H5174" s="273"/>
    </row>
    <row r="5175" spans="8:8">
      <c r="H5175" s="273"/>
    </row>
    <row r="5176" spans="8:8">
      <c r="H5176" s="273"/>
    </row>
    <row r="5177" spans="8:8">
      <c r="H5177" s="273"/>
    </row>
    <row r="5178" spans="8:8">
      <c r="H5178" s="273"/>
    </row>
    <row r="5179" spans="8:8">
      <c r="H5179" s="273"/>
    </row>
    <row r="5180" spans="8:8">
      <c r="H5180" s="273"/>
    </row>
    <row r="5181" spans="8:8">
      <c r="H5181" s="273"/>
    </row>
    <row r="5182" spans="8:8">
      <c r="H5182" s="273"/>
    </row>
    <row r="5183" spans="8:8">
      <c r="H5183" s="273"/>
    </row>
    <row r="5184" spans="8:8">
      <c r="H5184" s="273"/>
    </row>
    <row r="5185" spans="8:8">
      <c r="H5185" s="273"/>
    </row>
    <row r="5186" spans="8:8">
      <c r="H5186" s="273"/>
    </row>
    <row r="5187" spans="8:8">
      <c r="H5187" s="273"/>
    </row>
    <row r="5188" spans="8:8">
      <c r="H5188" s="273"/>
    </row>
    <row r="5189" spans="8:8">
      <c r="H5189" s="273"/>
    </row>
    <row r="5190" spans="8:8">
      <c r="H5190" s="273"/>
    </row>
    <row r="5191" spans="8:8">
      <c r="H5191" s="273"/>
    </row>
    <row r="5192" spans="8:8">
      <c r="H5192" s="273"/>
    </row>
    <row r="5193" spans="8:8">
      <c r="H5193" s="273"/>
    </row>
    <row r="5194" spans="8:8">
      <c r="H5194" s="273"/>
    </row>
    <row r="5195" spans="8:8">
      <c r="H5195" s="273"/>
    </row>
    <row r="5196" spans="8:8">
      <c r="H5196" s="273"/>
    </row>
    <row r="5197" spans="8:8">
      <c r="H5197" s="273"/>
    </row>
    <row r="5198" spans="8:8">
      <c r="H5198" s="273"/>
    </row>
    <row r="5199" spans="8:8">
      <c r="H5199" s="273"/>
    </row>
    <row r="5200" spans="8:8">
      <c r="H5200" s="273"/>
    </row>
    <row r="5201" spans="8:8">
      <c r="H5201" s="273"/>
    </row>
    <row r="5202" spans="8:8">
      <c r="H5202" s="273"/>
    </row>
    <row r="5203" spans="8:8">
      <c r="H5203" s="273"/>
    </row>
    <row r="5204" spans="8:8">
      <c r="H5204" s="273"/>
    </row>
    <row r="5205" spans="8:8">
      <c r="H5205" s="273"/>
    </row>
    <row r="5206" spans="8:8">
      <c r="H5206" s="273"/>
    </row>
    <row r="5207" spans="8:8">
      <c r="H5207" s="273"/>
    </row>
    <row r="5208" spans="8:8">
      <c r="H5208" s="273"/>
    </row>
    <row r="5209" spans="8:8">
      <c r="H5209" s="273"/>
    </row>
    <row r="5210" spans="8:8">
      <c r="H5210" s="273"/>
    </row>
    <row r="5211" spans="8:8">
      <c r="H5211" s="273"/>
    </row>
    <row r="5212" spans="8:8">
      <c r="H5212" s="273"/>
    </row>
    <row r="5213" spans="8:8">
      <c r="H5213" s="273"/>
    </row>
    <row r="5214" spans="8:8">
      <c r="H5214" s="273"/>
    </row>
    <row r="5215" spans="8:8">
      <c r="H5215" s="273"/>
    </row>
    <row r="5216" spans="8:8">
      <c r="H5216" s="273"/>
    </row>
    <row r="5217" spans="8:8">
      <c r="H5217" s="273"/>
    </row>
    <row r="5218" spans="8:8">
      <c r="H5218" s="273"/>
    </row>
    <row r="5219" spans="8:8">
      <c r="H5219" s="273"/>
    </row>
    <row r="5220" spans="8:8">
      <c r="H5220" s="273"/>
    </row>
    <row r="5221" spans="8:8">
      <c r="H5221" s="273"/>
    </row>
    <row r="5222" spans="8:8">
      <c r="H5222" s="273"/>
    </row>
    <row r="5223" spans="8:8">
      <c r="H5223" s="273"/>
    </row>
    <row r="5224" spans="8:8">
      <c r="H5224" s="273"/>
    </row>
    <row r="5225" spans="8:8">
      <c r="H5225" s="273"/>
    </row>
    <row r="5226" spans="8:8">
      <c r="H5226" s="273"/>
    </row>
    <row r="5227" spans="8:8">
      <c r="H5227" s="273"/>
    </row>
    <row r="5228" spans="8:8">
      <c r="H5228" s="273"/>
    </row>
    <row r="5229" spans="8:8">
      <c r="H5229" s="273"/>
    </row>
    <row r="5230" spans="8:8">
      <c r="H5230" s="273"/>
    </row>
    <row r="5231" spans="8:8">
      <c r="H5231" s="273"/>
    </row>
    <row r="5232" spans="8:8">
      <c r="H5232" s="273"/>
    </row>
    <row r="5233" spans="8:8">
      <c r="H5233" s="273"/>
    </row>
    <row r="5234" spans="8:8">
      <c r="H5234" s="273"/>
    </row>
    <row r="5235" spans="8:8">
      <c r="H5235" s="273"/>
    </row>
    <row r="5236" spans="8:8">
      <c r="H5236" s="273"/>
    </row>
    <row r="5237" spans="8:8">
      <c r="H5237" s="273"/>
    </row>
    <row r="5238" spans="8:8">
      <c r="H5238" s="273"/>
    </row>
    <row r="5239" spans="8:8">
      <c r="H5239" s="273"/>
    </row>
    <row r="5240" spans="8:8">
      <c r="H5240" s="273"/>
    </row>
    <row r="5241" spans="8:8">
      <c r="H5241" s="273"/>
    </row>
    <row r="5242" spans="8:8">
      <c r="H5242" s="273"/>
    </row>
    <row r="5243" spans="8:8">
      <c r="H5243" s="273"/>
    </row>
    <row r="5244" spans="8:8">
      <c r="H5244" s="273"/>
    </row>
    <row r="5245" spans="8:8">
      <c r="H5245" s="273"/>
    </row>
    <row r="5246" spans="8:8">
      <c r="H5246" s="273"/>
    </row>
    <row r="5247" spans="8:8">
      <c r="H5247" s="273"/>
    </row>
    <row r="5248" spans="8:8">
      <c r="H5248" s="273"/>
    </row>
    <row r="5249" spans="8:8">
      <c r="H5249" s="273"/>
    </row>
    <row r="5250" spans="8:8">
      <c r="H5250" s="273"/>
    </row>
    <row r="5251" spans="8:8">
      <c r="H5251" s="273"/>
    </row>
    <row r="5252" spans="8:8">
      <c r="H5252" s="273"/>
    </row>
    <row r="5253" spans="8:8">
      <c r="H5253" s="273"/>
    </row>
    <row r="5254" spans="8:8">
      <c r="H5254" s="273"/>
    </row>
    <row r="5255" spans="8:8">
      <c r="H5255" s="273"/>
    </row>
    <row r="5256" spans="8:8">
      <c r="H5256" s="273"/>
    </row>
    <row r="5257" spans="8:8">
      <c r="H5257" s="273"/>
    </row>
    <row r="5258" spans="8:8">
      <c r="H5258" s="273"/>
    </row>
    <row r="5259" spans="8:8">
      <c r="H5259" s="273"/>
    </row>
    <row r="5260" spans="8:8">
      <c r="H5260" s="273"/>
    </row>
    <row r="5261" spans="8:8">
      <c r="H5261" s="273"/>
    </row>
    <row r="5262" spans="8:8">
      <c r="H5262" s="273"/>
    </row>
    <row r="5263" spans="8:8">
      <c r="H5263" s="273"/>
    </row>
    <row r="5264" spans="8:8">
      <c r="H5264" s="273"/>
    </row>
    <row r="5265" spans="8:8">
      <c r="H5265" s="273"/>
    </row>
    <row r="5266" spans="8:8">
      <c r="H5266" s="273"/>
    </row>
    <row r="5267" spans="8:8">
      <c r="H5267" s="273"/>
    </row>
    <row r="5268" spans="8:8">
      <c r="H5268" s="273"/>
    </row>
    <row r="5269" spans="8:8">
      <c r="H5269" s="273"/>
    </row>
    <row r="5270" spans="8:8">
      <c r="H5270" s="273"/>
    </row>
    <row r="5271" spans="8:8">
      <c r="H5271" s="273"/>
    </row>
    <row r="5272" spans="8:8">
      <c r="H5272" s="273"/>
    </row>
    <row r="5273" spans="8:8">
      <c r="H5273" s="273"/>
    </row>
    <row r="5274" spans="8:8">
      <c r="H5274" s="273"/>
    </row>
    <row r="5275" spans="8:8">
      <c r="H5275" s="273"/>
    </row>
    <row r="5276" spans="8:8">
      <c r="H5276" s="273"/>
    </row>
    <row r="5277" spans="8:8">
      <c r="H5277" s="273"/>
    </row>
    <row r="5278" spans="8:8">
      <c r="H5278" s="273"/>
    </row>
    <row r="5279" spans="8:8">
      <c r="H5279" s="273"/>
    </row>
    <row r="5280" spans="8:8">
      <c r="H5280" s="273"/>
    </row>
    <row r="5281" spans="8:8">
      <c r="H5281" s="273"/>
    </row>
    <row r="5282" spans="8:8">
      <c r="H5282" s="273"/>
    </row>
    <row r="5283" spans="8:8">
      <c r="H5283" s="273"/>
    </row>
    <row r="5284" spans="8:8">
      <c r="H5284" s="273"/>
    </row>
    <row r="5285" spans="8:8">
      <c r="H5285" s="273"/>
    </row>
    <row r="5286" spans="8:8">
      <c r="H5286" s="273"/>
    </row>
    <row r="5287" spans="8:8">
      <c r="H5287" s="273"/>
    </row>
    <row r="5288" spans="8:8">
      <c r="H5288" s="273"/>
    </row>
    <row r="5289" spans="8:8">
      <c r="H5289" s="273"/>
    </row>
    <row r="5290" spans="8:8">
      <c r="H5290" s="273"/>
    </row>
    <row r="5291" spans="8:8">
      <c r="H5291" s="273"/>
    </row>
    <row r="5292" spans="8:8">
      <c r="H5292" s="273"/>
    </row>
    <row r="5293" spans="8:8">
      <c r="H5293" s="273"/>
    </row>
    <row r="5294" spans="8:8">
      <c r="H5294" s="273"/>
    </row>
    <row r="5295" spans="8:8">
      <c r="H5295" s="273"/>
    </row>
    <row r="5296" spans="8:8">
      <c r="H5296" s="273"/>
    </row>
    <row r="5297" spans="8:8">
      <c r="H5297" s="273"/>
    </row>
    <row r="5298" spans="8:8">
      <c r="H5298" s="273"/>
    </row>
    <row r="5299" spans="8:8">
      <c r="H5299" s="273"/>
    </row>
    <row r="5300" spans="8:8">
      <c r="H5300" s="273"/>
    </row>
    <row r="5301" spans="8:8">
      <c r="H5301" s="273"/>
    </row>
    <row r="5302" spans="8:8">
      <c r="H5302" s="273"/>
    </row>
    <row r="5303" spans="8:8">
      <c r="H5303" s="273"/>
    </row>
    <row r="5304" spans="8:8">
      <c r="H5304" s="273"/>
    </row>
    <row r="5305" spans="8:8">
      <c r="H5305" s="273"/>
    </row>
    <row r="5306" spans="8:8">
      <c r="H5306" s="273"/>
    </row>
    <row r="5307" spans="8:8">
      <c r="H5307" s="273"/>
    </row>
    <row r="5308" spans="8:8">
      <c r="H5308" s="273"/>
    </row>
    <row r="5309" spans="8:8">
      <c r="H5309" s="273"/>
    </row>
    <row r="5310" spans="8:8">
      <c r="H5310" s="273"/>
    </row>
    <row r="5311" spans="8:8">
      <c r="H5311" s="273"/>
    </row>
    <row r="5312" spans="8:8">
      <c r="H5312" s="273"/>
    </row>
    <row r="5313" spans="8:8">
      <c r="H5313" s="273"/>
    </row>
    <row r="5314" spans="8:8">
      <c r="H5314" s="273"/>
    </row>
    <row r="5315" spans="8:8">
      <c r="H5315" s="273"/>
    </row>
    <row r="5316" spans="8:8">
      <c r="H5316" s="273"/>
    </row>
    <row r="5317" spans="8:8">
      <c r="H5317" s="273"/>
    </row>
    <row r="5318" spans="8:8">
      <c r="H5318" s="273"/>
    </row>
    <row r="5319" spans="8:8">
      <c r="H5319" s="273"/>
    </row>
    <row r="5320" spans="8:8">
      <c r="H5320" s="273"/>
    </row>
    <row r="5321" spans="8:8">
      <c r="H5321" s="273"/>
    </row>
    <row r="5322" spans="8:8">
      <c r="H5322" s="273"/>
    </row>
    <row r="5323" spans="8:8">
      <c r="H5323" s="273"/>
    </row>
    <row r="5324" spans="8:8">
      <c r="H5324" s="273"/>
    </row>
    <row r="5325" spans="8:8">
      <c r="H5325" s="273"/>
    </row>
    <row r="5326" spans="8:8">
      <c r="H5326" s="273"/>
    </row>
    <row r="5327" spans="8:8">
      <c r="H5327" s="273"/>
    </row>
    <row r="5328" spans="8:8">
      <c r="H5328" s="273"/>
    </row>
    <row r="5329" spans="8:8">
      <c r="H5329" s="273"/>
    </row>
    <row r="5330" spans="8:8">
      <c r="H5330" s="273"/>
    </row>
    <row r="5331" spans="8:8">
      <c r="H5331" s="273"/>
    </row>
    <row r="5332" spans="8:8">
      <c r="H5332" s="273"/>
    </row>
    <row r="5333" spans="8:8">
      <c r="H5333" s="273"/>
    </row>
    <row r="5334" spans="8:8">
      <c r="H5334" s="273"/>
    </row>
    <row r="5335" spans="8:8">
      <c r="H5335" s="273"/>
    </row>
    <row r="5336" spans="8:8">
      <c r="H5336" s="273"/>
    </row>
    <row r="5337" spans="8:8">
      <c r="H5337" s="273"/>
    </row>
    <row r="5338" spans="8:8">
      <c r="H5338" s="273"/>
    </row>
    <row r="5339" spans="8:8">
      <c r="H5339" s="273"/>
    </row>
    <row r="5340" spans="8:8">
      <c r="H5340" s="273"/>
    </row>
    <row r="5341" spans="8:8">
      <c r="H5341" s="273"/>
    </row>
    <row r="5342" spans="8:8">
      <c r="H5342" s="273"/>
    </row>
    <row r="5343" spans="8:8">
      <c r="H5343" s="273"/>
    </row>
    <row r="5344" spans="8:8">
      <c r="H5344" s="273"/>
    </row>
    <row r="5345" spans="8:8">
      <c r="H5345" s="273"/>
    </row>
    <row r="5346" spans="8:8">
      <c r="H5346" s="273"/>
    </row>
    <row r="5347" spans="8:8">
      <c r="H5347" s="273"/>
    </row>
    <row r="5348" spans="8:8">
      <c r="H5348" s="273"/>
    </row>
    <row r="5349" spans="8:8">
      <c r="H5349" s="273"/>
    </row>
    <row r="5350" spans="8:8">
      <c r="H5350" s="273"/>
    </row>
    <row r="5351" spans="8:8">
      <c r="H5351" s="273"/>
    </row>
    <row r="5352" spans="8:8">
      <c r="H5352" s="273"/>
    </row>
    <row r="5353" spans="8:8">
      <c r="H5353" s="273"/>
    </row>
    <row r="5354" spans="8:8">
      <c r="H5354" s="273"/>
    </row>
    <row r="5355" spans="8:8">
      <c r="H5355" s="273"/>
    </row>
    <row r="5356" spans="8:8">
      <c r="H5356" s="273"/>
    </row>
    <row r="5357" spans="8:8">
      <c r="H5357" s="273"/>
    </row>
    <row r="5358" spans="8:8">
      <c r="H5358" s="273"/>
    </row>
    <row r="5359" spans="8:8">
      <c r="H5359" s="273"/>
    </row>
    <row r="5360" spans="8:8">
      <c r="H5360" s="273"/>
    </row>
    <row r="5361" spans="8:8">
      <c r="H5361" s="273"/>
    </row>
    <row r="5362" spans="8:8">
      <c r="H5362" s="273"/>
    </row>
    <row r="5363" spans="8:8">
      <c r="H5363" s="273"/>
    </row>
    <row r="5364" spans="8:8">
      <c r="H5364" s="273"/>
    </row>
    <row r="5365" spans="8:8">
      <c r="H5365" s="273"/>
    </row>
    <row r="5366" spans="8:8">
      <c r="H5366" s="273"/>
    </row>
    <row r="5367" spans="8:8">
      <c r="H5367" s="273"/>
    </row>
    <row r="5368" spans="8:8">
      <c r="H5368" s="273"/>
    </row>
    <row r="5369" spans="8:8">
      <c r="H5369" s="273"/>
    </row>
    <row r="5370" spans="8:8">
      <c r="H5370" s="273"/>
    </row>
    <row r="5371" spans="8:8">
      <c r="H5371" s="273"/>
    </row>
    <row r="5372" spans="8:8">
      <c r="H5372" s="273"/>
    </row>
    <row r="5373" spans="8:8">
      <c r="H5373" s="273"/>
    </row>
    <row r="5374" spans="8:8">
      <c r="H5374" s="273"/>
    </row>
    <row r="5375" spans="8:8">
      <c r="H5375" s="273"/>
    </row>
    <row r="5376" spans="8:8">
      <c r="H5376" s="273"/>
    </row>
    <row r="5377" spans="8:8">
      <c r="H5377" s="273"/>
    </row>
    <row r="5378" spans="8:8">
      <c r="H5378" s="273"/>
    </row>
    <row r="5379" spans="8:8">
      <c r="H5379" s="273"/>
    </row>
    <row r="5380" spans="8:8">
      <c r="H5380" s="273"/>
    </row>
    <row r="5381" spans="8:8">
      <c r="H5381" s="273"/>
    </row>
    <row r="5382" spans="8:8">
      <c r="H5382" s="273"/>
    </row>
    <row r="5383" spans="8:8">
      <c r="H5383" s="273"/>
    </row>
    <row r="5384" spans="8:8">
      <c r="H5384" s="273"/>
    </row>
    <row r="5385" spans="8:8">
      <c r="H5385" s="273"/>
    </row>
    <row r="5386" spans="8:8">
      <c r="H5386" s="273"/>
    </row>
    <row r="5387" spans="8:8">
      <c r="H5387" s="273"/>
    </row>
    <row r="5388" spans="8:8">
      <c r="H5388" s="273"/>
    </row>
    <row r="5389" spans="8:8">
      <c r="H5389" s="273"/>
    </row>
    <row r="5390" spans="8:8">
      <c r="H5390" s="273"/>
    </row>
    <row r="5391" spans="8:8">
      <c r="H5391" s="273"/>
    </row>
    <row r="5392" spans="8:8">
      <c r="H5392" s="273"/>
    </row>
    <row r="5393" spans="8:8">
      <c r="H5393" s="273"/>
    </row>
    <row r="5394" spans="8:8">
      <c r="H5394" s="273"/>
    </row>
    <row r="5395" spans="8:8">
      <c r="H5395" s="273"/>
    </row>
    <row r="5396" spans="8:8">
      <c r="H5396" s="273"/>
    </row>
    <row r="5397" spans="8:8">
      <c r="H5397" s="273"/>
    </row>
    <row r="5398" spans="8:8">
      <c r="H5398" s="273"/>
    </row>
    <row r="5399" spans="8:8">
      <c r="H5399" s="273"/>
    </row>
    <row r="5400" spans="8:8">
      <c r="H5400" s="273"/>
    </row>
    <row r="5401" spans="8:8">
      <c r="H5401" s="273"/>
    </row>
    <row r="5402" spans="8:8">
      <c r="H5402" s="273"/>
    </row>
    <row r="5403" spans="8:8">
      <c r="H5403" s="273"/>
    </row>
    <row r="5404" spans="8:8">
      <c r="H5404" s="273"/>
    </row>
    <row r="5405" spans="8:8">
      <c r="H5405" s="273"/>
    </row>
    <row r="5406" spans="8:8">
      <c r="H5406" s="273"/>
    </row>
    <row r="5407" spans="8:8">
      <c r="H5407" s="273"/>
    </row>
    <row r="5408" spans="8:8">
      <c r="H5408" s="273"/>
    </row>
    <row r="5409" spans="8:8">
      <c r="H5409" s="273"/>
    </row>
    <row r="5410" spans="8:8">
      <c r="H5410" s="273"/>
    </row>
    <row r="5411" spans="8:8">
      <c r="H5411" s="273"/>
    </row>
    <row r="5412" spans="8:8">
      <c r="H5412" s="273"/>
    </row>
    <row r="5413" spans="8:8">
      <c r="H5413" s="273"/>
    </row>
    <row r="5414" spans="8:8">
      <c r="H5414" s="273"/>
    </row>
    <row r="5415" spans="8:8">
      <c r="H5415" s="273"/>
    </row>
    <row r="5416" spans="8:8">
      <c r="H5416" s="273"/>
    </row>
    <row r="5417" spans="8:8">
      <c r="H5417" s="273"/>
    </row>
    <row r="5418" spans="8:8">
      <c r="H5418" s="273"/>
    </row>
    <row r="5419" spans="8:8">
      <c r="H5419" s="273"/>
    </row>
    <row r="5420" spans="8:8">
      <c r="H5420" s="273"/>
    </row>
    <row r="5421" spans="8:8">
      <c r="H5421" s="273"/>
    </row>
    <row r="5422" spans="8:8">
      <c r="H5422" s="273"/>
    </row>
    <row r="5423" spans="8:8">
      <c r="H5423" s="273"/>
    </row>
    <row r="5424" spans="8:8">
      <c r="H5424" s="273"/>
    </row>
    <row r="5425" spans="8:8">
      <c r="H5425" s="273"/>
    </row>
    <row r="5426" spans="8:8">
      <c r="H5426" s="273"/>
    </row>
    <row r="5427" spans="8:8">
      <c r="H5427" s="273"/>
    </row>
    <row r="5428" spans="8:8">
      <c r="H5428" s="273"/>
    </row>
    <row r="5429" spans="8:8">
      <c r="H5429" s="273"/>
    </row>
    <row r="5430" spans="8:8">
      <c r="H5430" s="273"/>
    </row>
    <row r="5431" spans="8:8">
      <c r="H5431" s="273"/>
    </row>
    <row r="5432" spans="8:8">
      <c r="H5432" s="273"/>
    </row>
    <row r="5433" spans="8:8">
      <c r="H5433" s="273"/>
    </row>
    <row r="5434" spans="8:8">
      <c r="H5434" s="273"/>
    </row>
    <row r="5435" spans="8:8">
      <c r="H5435" s="273"/>
    </row>
    <row r="5436" spans="8:8">
      <c r="H5436" s="273"/>
    </row>
    <row r="5437" spans="8:8">
      <c r="H5437" s="273"/>
    </row>
    <row r="5438" spans="8:8">
      <c r="H5438" s="273"/>
    </row>
    <row r="5439" spans="8:8">
      <c r="H5439" s="273"/>
    </row>
    <row r="5440" spans="8:8">
      <c r="H5440" s="273"/>
    </row>
    <row r="5441" spans="8:8">
      <c r="H5441" s="273"/>
    </row>
    <row r="5442" spans="8:8">
      <c r="H5442" s="273"/>
    </row>
    <row r="5443" spans="8:8">
      <c r="H5443" s="273"/>
    </row>
    <row r="5444" spans="8:8">
      <c r="H5444" s="273"/>
    </row>
    <row r="5445" spans="8:8">
      <c r="H5445" s="273"/>
    </row>
    <row r="5446" spans="8:8">
      <c r="H5446" s="273"/>
    </row>
    <row r="5447" spans="8:8">
      <c r="H5447" s="273"/>
    </row>
    <row r="5448" spans="8:8">
      <c r="H5448" s="273"/>
    </row>
    <row r="5449" spans="8:8">
      <c r="H5449" s="273"/>
    </row>
    <row r="5450" spans="8:8">
      <c r="H5450" s="273"/>
    </row>
    <row r="5451" spans="8:8">
      <c r="H5451" s="273"/>
    </row>
    <row r="5452" spans="8:8">
      <c r="H5452" s="273"/>
    </row>
    <row r="5453" spans="8:8">
      <c r="H5453" s="273"/>
    </row>
    <row r="5454" spans="8:8">
      <c r="H5454" s="273"/>
    </row>
    <row r="5455" spans="8:8">
      <c r="H5455" s="273"/>
    </row>
    <row r="5456" spans="8:8">
      <c r="H5456" s="273"/>
    </row>
    <row r="5457" spans="8:8">
      <c r="H5457" s="273"/>
    </row>
    <row r="5458" spans="8:8">
      <c r="H5458" s="273"/>
    </row>
    <row r="5459" spans="8:8">
      <c r="H5459" s="273"/>
    </row>
    <row r="5460" spans="8:8">
      <c r="H5460" s="273"/>
    </row>
    <row r="5461" spans="8:8">
      <c r="H5461" s="273"/>
    </row>
    <row r="5462" spans="8:8">
      <c r="H5462" s="273"/>
    </row>
    <row r="5463" spans="8:8">
      <c r="H5463" s="273"/>
    </row>
    <row r="5464" spans="8:8">
      <c r="H5464" s="273"/>
    </row>
    <row r="5465" spans="8:8">
      <c r="H5465" s="273"/>
    </row>
    <row r="5466" spans="8:8">
      <c r="H5466" s="273"/>
    </row>
    <row r="5467" spans="8:8">
      <c r="H5467" s="273"/>
    </row>
    <row r="5468" spans="8:8">
      <c r="H5468" s="273"/>
    </row>
    <row r="5469" spans="8:8">
      <c r="H5469" s="273"/>
    </row>
    <row r="5470" spans="8:8">
      <c r="H5470" s="273"/>
    </row>
    <row r="5471" spans="8:8">
      <c r="H5471" s="273"/>
    </row>
    <row r="5472" spans="8:8">
      <c r="H5472" s="273"/>
    </row>
    <row r="5473" spans="8:8">
      <c r="H5473" s="273"/>
    </row>
    <row r="5474" spans="8:8">
      <c r="H5474" s="273"/>
    </row>
    <row r="5475" spans="8:8">
      <c r="H5475" s="273"/>
    </row>
    <row r="5476" spans="8:8">
      <c r="H5476" s="273"/>
    </row>
  </sheetData>
  <mergeCells count="11">
    <mergeCell ref="P852:Q852"/>
    <mergeCell ref="P837:Q837"/>
    <mergeCell ref="O280:P280"/>
    <mergeCell ref="P869:Q869"/>
    <mergeCell ref="M780:R780"/>
    <mergeCell ref="P789:Q789"/>
    <mergeCell ref="M811:R811"/>
    <mergeCell ref="P815:Q815"/>
    <mergeCell ref="M829:R829"/>
    <mergeCell ref="M781:R781"/>
    <mergeCell ref="O419:Q419"/>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10.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1775</v>
      </c>
    </row>
    <row r="2" spans="1:6">
      <c r="C2" s="39" t="s">
        <v>4000</v>
      </c>
    </row>
    <row r="5" spans="1:6">
      <c r="A5" s="75">
        <v>2.2800000000000001E-2</v>
      </c>
      <c r="B5" s="53" t="s">
        <v>885</v>
      </c>
      <c r="C5" s="54" t="s">
        <v>3197</v>
      </c>
      <c r="D5" s="54">
        <f>[7]Data!I2634</f>
        <v>121800</v>
      </c>
      <c r="E5" s="71" t="s">
        <v>885</v>
      </c>
      <c r="F5" s="54">
        <f>D5*A5</f>
        <v>2777.04</v>
      </c>
    </row>
    <row r="6" spans="1:6">
      <c r="A6" s="75">
        <v>3.5400000000000001E-2</v>
      </c>
      <c r="B6" s="53" t="s">
        <v>885</v>
      </c>
      <c r="C6" s="54" t="s">
        <v>2536</v>
      </c>
      <c r="D6" s="54">
        <f>[7]Data!I2635</f>
        <v>108400</v>
      </c>
      <c r="E6" s="71" t="s">
        <v>885</v>
      </c>
      <c r="F6" s="54">
        <f t="shared" ref="F6:F15" si="0">D6*A6</f>
        <v>3837.36</v>
      </c>
    </row>
    <row r="7" spans="1:6">
      <c r="A7" s="76">
        <v>3.2300000000000002E-2</v>
      </c>
      <c r="B7" s="53" t="s">
        <v>885</v>
      </c>
      <c r="C7" t="s">
        <v>4035</v>
      </c>
      <c r="D7" s="54">
        <f>[7]Data!I2636</f>
        <v>116700</v>
      </c>
      <c r="E7" s="71" t="s">
        <v>885</v>
      </c>
      <c r="F7" s="54">
        <f t="shared" si="0"/>
        <v>3769.41</v>
      </c>
    </row>
    <row r="8" spans="1:6">
      <c r="A8" s="73">
        <v>2.835</v>
      </c>
      <c r="B8" s="53" t="s">
        <v>621</v>
      </c>
      <c r="C8" s="54" t="s">
        <v>899</v>
      </c>
      <c r="D8" s="54">
        <v>843</v>
      </c>
      <c r="E8" s="71" t="s">
        <v>621</v>
      </c>
      <c r="F8" s="54">
        <f t="shared" si="0"/>
        <v>2389.91</v>
      </c>
    </row>
    <row r="9" spans="1:6">
      <c r="A9" s="54">
        <v>2</v>
      </c>
      <c r="B9" s="53" t="s">
        <v>1907</v>
      </c>
      <c r="C9" t="s">
        <v>3817</v>
      </c>
      <c r="D9" s="518">
        <v>450</v>
      </c>
      <c r="E9" s="71" t="s">
        <v>1423</v>
      </c>
      <c r="F9" s="54">
        <f t="shared" si="0"/>
        <v>900</v>
      </c>
    </row>
    <row r="10" spans="1:6">
      <c r="A10" s="54">
        <v>6</v>
      </c>
      <c r="B10" s="53" t="s">
        <v>1907</v>
      </c>
      <c r="C10" t="s">
        <v>3818</v>
      </c>
      <c r="D10" s="518">
        <v>79</v>
      </c>
      <c r="E10" s="71" t="s">
        <v>1423</v>
      </c>
      <c r="F10" s="54">
        <f t="shared" si="0"/>
        <v>474</v>
      </c>
    </row>
    <row r="11" spans="1:6">
      <c r="A11" s="54">
        <v>4</v>
      </c>
      <c r="B11" s="53" t="s">
        <v>1907</v>
      </c>
      <c r="C11" t="s">
        <v>3819</v>
      </c>
      <c r="D11" s="518">
        <v>130</v>
      </c>
      <c r="E11" s="71" t="s">
        <v>1423</v>
      </c>
      <c r="F11" s="54">
        <f t="shared" si="0"/>
        <v>520</v>
      </c>
    </row>
    <row r="12" spans="1:6">
      <c r="A12" s="54">
        <v>1</v>
      </c>
      <c r="B12" s="53" t="s">
        <v>1907</v>
      </c>
      <c r="C12" t="s">
        <v>3820</v>
      </c>
      <c r="D12" s="518">
        <v>985</v>
      </c>
      <c r="E12" s="71" t="s">
        <v>1423</v>
      </c>
      <c r="F12" s="54">
        <f t="shared" si="0"/>
        <v>985</v>
      </c>
    </row>
    <row r="13" spans="1:6">
      <c r="A13" s="54">
        <v>2</v>
      </c>
      <c r="B13" s="53" t="s">
        <v>1907</v>
      </c>
      <c r="C13" t="s">
        <v>3812</v>
      </c>
      <c r="D13" s="518">
        <v>24.6</v>
      </c>
      <c r="E13" s="71" t="s">
        <v>1423</v>
      </c>
      <c r="F13" s="54">
        <f t="shared" si="0"/>
        <v>49.2</v>
      </c>
    </row>
    <row r="14" spans="1:6">
      <c r="A14" s="54">
        <v>2</v>
      </c>
      <c r="B14" s="53" t="s">
        <v>1907</v>
      </c>
      <c r="C14" s="54" t="s">
        <v>2018</v>
      </c>
      <c r="D14" s="54">
        <v>51.3</v>
      </c>
      <c r="E14" s="71" t="s">
        <v>1423</v>
      </c>
      <c r="F14" s="54">
        <f t="shared" si="0"/>
        <v>102.6</v>
      </c>
    </row>
    <row r="15" spans="1:6">
      <c r="A15" s="438">
        <v>118</v>
      </c>
      <c r="B15" s="72"/>
      <c r="C15" s="438" t="s">
        <v>1163</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2119</v>
      </c>
      <c r="D18" s="54"/>
      <c r="E18" s="71"/>
      <c r="F18" s="36">
        <f>F16/2.835</f>
        <v>5676.76</v>
      </c>
    </row>
    <row r="19" spans="1:7">
      <c r="A19" s="54"/>
      <c r="B19" s="72"/>
      <c r="E19" s="10"/>
      <c r="F19" s="55" t="s">
        <v>148</v>
      </c>
    </row>
    <row r="20" spans="1:7">
      <c r="B20" s="3"/>
      <c r="E20" s="10"/>
    </row>
    <row r="21" spans="1:7" ht="16.5">
      <c r="A21" s="1566" t="s">
        <v>4001</v>
      </c>
      <c r="B21" s="1566"/>
      <c r="C21" s="1566"/>
      <c r="D21" s="562"/>
      <c r="E21" s="563"/>
      <c r="F21" s="564"/>
      <c r="G21" s="565"/>
    </row>
    <row r="22" spans="1:7" ht="16.5">
      <c r="A22" s="1566"/>
      <c r="B22" s="1566"/>
      <c r="C22" s="1566"/>
      <c r="D22" s="1568"/>
      <c r="E22" s="1568"/>
      <c r="F22" s="1568"/>
      <c r="G22" s="1568"/>
    </row>
    <row r="23" spans="1:7" ht="16.5">
      <c r="A23" s="566">
        <v>11.61</v>
      </c>
      <c r="B23" s="567" t="s">
        <v>929</v>
      </c>
      <c r="C23" s="568" t="s">
        <v>1888</v>
      </c>
      <c r="D23" s="564">
        <f>Data!V1352</f>
        <v>325</v>
      </c>
      <c r="E23" s="567" t="s">
        <v>929</v>
      </c>
      <c r="F23" s="564">
        <f>D23*A23</f>
        <v>3773.25</v>
      </c>
      <c r="G23" s="565"/>
    </row>
    <row r="24" spans="1:7" ht="16.5">
      <c r="A24" s="566">
        <v>7.8</v>
      </c>
      <c r="B24" s="567" t="s">
        <v>842</v>
      </c>
      <c r="C24" s="568" t="s">
        <v>4002</v>
      </c>
      <c r="D24" s="564">
        <f>Data!V1357</f>
        <v>29.05</v>
      </c>
      <c r="E24" s="567" t="s">
        <v>842</v>
      </c>
      <c r="F24" s="564">
        <f t="shared" ref="F24:F29" si="1">D24*A24</f>
        <v>226.59</v>
      </c>
      <c r="G24" s="565"/>
    </row>
    <row r="25" spans="1:7" ht="16.5">
      <c r="A25" s="566">
        <v>1.62</v>
      </c>
      <c r="B25" s="567" t="s">
        <v>236</v>
      </c>
      <c r="C25" s="568" t="s">
        <v>4003</v>
      </c>
      <c r="D25" s="564">
        <f>Data!P1395</f>
        <v>306.89999999999998</v>
      </c>
      <c r="E25" s="567" t="s">
        <v>236</v>
      </c>
      <c r="F25" s="564">
        <f t="shared" si="1"/>
        <v>497.18</v>
      </c>
      <c r="G25" s="565"/>
    </row>
    <row r="26" spans="1:7" ht="16.5">
      <c r="A26" s="566">
        <v>2</v>
      </c>
      <c r="B26" s="567" t="s">
        <v>785</v>
      </c>
      <c r="C26" s="568" t="s">
        <v>4004</v>
      </c>
      <c r="D26" s="564">
        <f>Data!P1398</f>
        <v>57.65</v>
      </c>
      <c r="E26" s="567" t="s">
        <v>785</v>
      </c>
      <c r="F26" s="564">
        <f t="shared" si="1"/>
        <v>115.3</v>
      </c>
      <c r="G26" s="565"/>
    </row>
    <row r="27" spans="1:7" ht="16.5">
      <c r="A27" s="566">
        <v>2</v>
      </c>
      <c r="B27" s="567" t="s">
        <v>785</v>
      </c>
      <c r="C27" s="568" t="s">
        <v>4005</v>
      </c>
      <c r="D27" s="564">
        <v>350</v>
      </c>
      <c r="E27" s="567" t="s">
        <v>785</v>
      </c>
      <c r="F27" s="564">
        <f t="shared" si="1"/>
        <v>700</v>
      </c>
      <c r="G27" s="565"/>
    </row>
    <row r="28" spans="1:7" ht="16.5">
      <c r="A28" s="566">
        <v>4</v>
      </c>
      <c r="B28" s="567" t="s">
        <v>785</v>
      </c>
      <c r="C28" s="568" t="s">
        <v>4006</v>
      </c>
      <c r="D28" s="564">
        <f>Data!P1401</f>
        <v>15</v>
      </c>
      <c r="E28" s="567" t="s">
        <v>785</v>
      </c>
      <c r="F28" s="564">
        <f t="shared" si="1"/>
        <v>60</v>
      </c>
      <c r="G28" s="565"/>
    </row>
    <row r="29" spans="1:7" ht="16.5">
      <c r="A29" s="566">
        <v>1.62</v>
      </c>
      <c r="B29" s="567" t="s">
        <v>2322</v>
      </c>
      <c r="C29" s="568" t="s">
        <v>4007</v>
      </c>
      <c r="D29" s="564">
        <f>D42</f>
        <v>2085.6</v>
      </c>
      <c r="E29" s="567" t="s">
        <v>2322</v>
      </c>
      <c r="F29" s="564">
        <f t="shared" si="1"/>
        <v>3378.67</v>
      </c>
      <c r="G29" s="565"/>
    </row>
    <row r="30" spans="1:7" ht="16.5">
      <c r="A30" s="562"/>
      <c r="B30" s="569"/>
      <c r="C30" s="568" t="s">
        <v>2310</v>
      </c>
      <c r="D30" s="562"/>
      <c r="E30" s="563"/>
      <c r="F30" s="564"/>
      <c r="G30" s="565"/>
    </row>
    <row r="31" spans="1:7" ht="16.5">
      <c r="A31" s="562"/>
      <c r="B31" s="562"/>
      <c r="C31" s="570" t="s">
        <v>3925</v>
      </c>
      <c r="D31" s="562"/>
      <c r="E31" s="562"/>
      <c r="F31" s="571">
        <f>SUM(F23:F30)</f>
        <v>8750.99</v>
      </c>
      <c r="G31" s="572" t="s">
        <v>1423</v>
      </c>
    </row>
    <row r="32" spans="1:7" ht="16.5">
      <c r="A32" s="562"/>
      <c r="B32" s="562"/>
      <c r="C32" s="36" t="s">
        <v>4008</v>
      </c>
      <c r="D32" s="562"/>
      <c r="E32" s="562"/>
      <c r="F32" s="36">
        <f>F31/A29</f>
        <v>5401.85</v>
      </c>
      <c r="G32" s="562" t="s">
        <v>2322</v>
      </c>
    </row>
    <row r="33" spans="1:11" ht="16.5">
      <c r="A33" s="572"/>
      <c r="B33" s="572"/>
      <c r="C33" s="573"/>
      <c r="D33" s="572"/>
      <c r="E33" s="572"/>
      <c r="F33" s="572"/>
      <c r="G33" s="562"/>
    </row>
    <row r="34" spans="1:11" ht="16.5">
      <c r="A34" s="562"/>
      <c r="B34" s="569"/>
      <c r="C34" s="561" t="s">
        <v>4009</v>
      </c>
      <c r="D34" s="561"/>
      <c r="E34" s="561"/>
      <c r="F34" s="561"/>
      <c r="G34" s="562"/>
    </row>
    <row r="35" spans="1:11" ht="16.5">
      <c r="A35" s="566"/>
      <c r="B35" s="567"/>
      <c r="C35" s="574" t="s">
        <v>4010</v>
      </c>
      <c r="D35" s="564"/>
      <c r="E35" s="567"/>
      <c r="F35" s="564"/>
      <c r="G35" s="562"/>
    </row>
    <row r="36" spans="1:11" ht="16.5">
      <c r="A36" s="566">
        <v>12.08</v>
      </c>
      <c r="B36" s="567" t="s">
        <v>929</v>
      </c>
      <c r="C36" s="568" t="s">
        <v>1888</v>
      </c>
      <c r="D36" s="564">
        <f t="shared" ref="D36:D41" si="2">D23</f>
        <v>325</v>
      </c>
      <c r="E36" s="567" t="s">
        <v>929</v>
      </c>
      <c r="F36" s="564">
        <f>D36*A36</f>
        <v>3926</v>
      </c>
      <c r="G36" s="562"/>
      <c r="I36">
        <f>Data!I4007</f>
        <v>306.89999999999998</v>
      </c>
      <c r="J36" s="50">
        <f>Data!F4007</f>
        <v>1.823</v>
      </c>
      <c r="K36">
        <f>Data!K4007</f>
        <v>559.48</v>
      </c>
    </row>
    <row r="37" spans="1:11" ht="16.5">
      <c r="A37" s="566">
        <v>8.1</v>
      </c>
      <c r="B37" s="567" t="s">
        <v>236</v>
      </c>
      <c r="C37" s="568" t="s">
        <v>4002</v>
      </c>
      <c r="D37" s="564">
        <f t="shared" si="2"/>
        <v>29.05</v>
      </c>
      <c r="E37" s="567" t="s">
        <v>236</v>
      </c>
      <c r="F37" s="564">
        <f t="shared" ref="F37:F42" si="3">D37*A37</f>
        <v>235.31</v>
      </c>
      <c r="G37" s="562"/>
      <c r="I37">
        <f>Data!I4008</f>
        <v>29.05</v>
      </c>
      <c r="J37" s="50">
        <f>Data!F4008</f>
        <v>8.1</v>
      </c>
    </row>
    <row r="38" spans="1:11" ht="16.5">
      <c r="A38" s="566">
        <v>1.823</v>
      </c>
      <c r="B38" s="567" t="s">
        <v>842</v>
      </c>
      <c r="C38" s="568" t="s">
        <v>4003</v>
      </c>
      <c r="D38" s="564">
        <f t="shared" si="2"/>
        <v>306.89999999999998</v>
      </c>
      <c r="E38" s="567" t="s">
        <v>842</v>
      </c>
      <c r="F38" s="564">
        <f t="shared" si="3"/>
        <v>559.48</v>
      </c>
      <c r="G38" s="562"/>
      <c r="I38">
        <f>Data!I4009</f>
        <v>350</v>
      </c>
      <c r="J38" s="50">
        <f>Data!F4009</f>
        <v>2</v>
      </c>
    </row>
    <row r="39" spans="1:11" ht="16.5">
      <c r="A39" s="566">
        <v>2</v>
      </c>
      <c r="B39" s="567" t="s">
        <v>4011</v>
      </c>
      <c r="C39" s="568" t="s">
        <v>4004</v>
      </c>
      <c r="D39" s="564">
        <f t="shared" si="2"/>
        <v>57.65</v>
      </c>
      <c r="E39" s="567" t="s">
        <v>785</v>
      </c>
      <c r="F39" s="564">
        <f t="shared" si="3"/>
        <v>115.3</v>
      </c>
      <c r="G39" s="562"/>
      <c r="I39">
        <f>Data!I4010</f>
        <v>57.65</v>
      </c>
      <c r="J39" s="50">
        <f>Data!F4010</f>
        <v>2</v>
      </c>
    </row>
    <row r="40" spans="1:11" ht="16.5">
      <c r="A40" s="566">
        <v>2</v>
      </c>
      <c r="B40" s="567" t="s">
        <v>785</v>
      </c>
      <c r="C40" s="568" t="s">
        <v>4005</v>
      </c>
      <c r="D40" s="564">
        <f t="shared" si="2"/>
        <v>350</v>
      </c>
      <c r="E40" s="567" t="s">
        <v>785</v>
      </c>
      <c r="F40" s="564">
        <f t="shared" si="3"/>
        <v>700</v>
      </c>
      <c r="G40" s="562"/>
      <c r="I40">
        <f>Data!I4011</f>
        <v>15</v>
      </c>
      <c r="J40" s="50">
        <f>Data!F4011</f>
        <v>4</v>
      </c>
    </row>
    <row r="41" spans="1:11" ht="16.5">
      <c r="A41" s="566">
        <v>4</v>
      </c>
      <c r="B41" s="567" t="s">
        <v>785</v>
      </c>
      <c r="C41" s="568" t="s">
        <v>4006</v>
      </c>
      <c r="D41" s="564">
        <f t="shared" si="2"/>
        <v>15</v>
      </c>
      <c r="E41" s="567" t="s">
        <v>785</v>
      </c>
      <c r="F41" s="564">
        <f t="shared" si="3"/>
        <v>60</v>
      </c>
      <c r="G41" s="562"/>
      <c r="I41">
        <f>Data!I4012</f>
        <v>2085.6</v>
      </c>
      <c r="J41" s="50">
        <f>Data!F4012</f>
        <v>1.823</v>
      </c>
    </row>
    <row r="42" spans="1:11" ht="16.5">
      <c r="A42" s="566">
        <v>1.823</v>
      </c>
      <c r="B42" s="567" t="s">
        <v>2322</v>
      </c>
      <c r="C42" s="568" t="s">
        <v>4007</v>
      </c>
      <c r="D42" s="562">
        <f>F52</f>
        <v>2085.6</v>
      </c>
      <c r="E42" s="567" t="s">
        <v>2322</v>
      </c>
      <c r="F42" s="564">
        <f t="shared" si="3"/>
        <v>3802.05</v>
      </c>
      <c r="G42" s="562"/>
      <c r="I42">
        <f>Data!I4013</f>
        <v>0</v>
      </c>
      <c r="J42" s="50">
        <f>Data!F4013</f>
        <v>0</v>
      </c>
    </row>
    <row r="43" spans="1:11" ht="16.5">
      <c r="A43" s="566"/>
      <c r="B43" s="567"/>
      <c r="C43" s="568" t="s">
        <v>2310</v>
      </c>
      <c r="D43" s="562"/>
      <c r="E43" s="563"/>
      <c r="F43" s="564"/>
      <c r="G43" s="562"/>
    </row>
    <row r="44" spans="1:11" ht="16.5">
      <c r="A44" s="562"/>
      <c r="B44" s="569"/>
      <c r="C44" s="568"/>
      <c r="D44" s="562"/>
      <c r="E44" s="563"/>
      <c r="F44" s="564"/>
      <c r="G44" s="562"/>
    </row>
    <row r="45" spans="1:11" ht="16.5">
      <c r="A45" s="562"/>
      <c r="B45" s="562"/>
      <c r="C45" s="575" t="s">
        <v>3925</v>
      </c>
      <c r="D45" s="562"/>
      <c r="E45" s="562"/>
      <c r="F45" s="564">
        <f>SUM(F36:F44)</f>
        <v>9398.14</v>
      </c>
      <c r="G45" s="562" t="s">
        <v>1423</v>
      </c>
    </row>
    <row r="46" spans="1:11" ht="19.5">
      <c r="A46" s="562"/>
      <c r="B46" s="562"/>
      <c r="C46" s="36" t="s">
        <v>4012</v>
      </c>
      <c r="D46" s="572"/>
      <c r="E46" s="572"/>
      <c r="F46" s="216">
        <f>F45/A42</f>
        <v>5155.32</v>
      </c>
      <c r="G46" s="572" t="s">
        <v>2322</v>
      </c>
    </row>
    <row r="47" spans="1:11" ht="16.5">
      <c r="A47" s="562"/>
      <c r="B47" s="562"/>
      <c r="C47" s="575"/>
      <c r="D47" s="562"/>
      <c r="E47" s="562"/>
      <c r="F47" s="562"/>
      <c r="G47" s="562"/>
    </row>
    <row r="48" spans="1:11" ht="16.5">
      <c r="A48" s="564">
        <v>1</v>
      </c>
      <c r="B48" s="567" t="s">
        <v>884</v>
      </c>
      <c r="C48" s="568" t="s">
        <v>4013</v>
      </c>
      <c r="D48" s="564">
        <f>Data!AE17</f>
        <v>919.6</v>
      </c>
      <c r="E48" s="568" t="s">
        <v>884</v>
      </c>
      <c r="F48" s="564">
        <f>D48*A48</f>
        <v>919.6</v>
      </c>
      <c r="G48" s="562"/>
    </row>
    <row r="49" spans="1:7" ht="16.5">
      <c r="A49" s="564">
        <v>1</v>
      </c>
      <c r="B49" s="567" t="s">
        <v>884</v>
      </c>
      <c r="C49" s="568" t="s">
        <v>4014</v>
      </c>
      <c r="D49" s="564">
        <f>Data!AE11</f>
        <v>679.8</v>
      </c>
      <c r="E49" s="568" t="s">
        <v>884</v>
      </c>
      <c r="F49" s="564">
        <f>D49*A49</f>
        <v>679.8</v>
      </c>
      <c r="G49" s="562"/>
    </row>
    <row r="50" spans="1:7" ht="16.5">
      <c r="A50" s="564">
        <v>0.5</v>
      </c>
      <c r="B50" s="567" t="s">
        <v>884</v>
      </c>
      <c r="C50" s="568" t="s">
        <v>4015</v>
      </c>
      <c r="D50" s="564">
        <f>Data!AE20</f>
        <v>972.4</v>
      </c>
      <c r="E50" s="568" t="s">
        <v>884</v>
      </c>
      <c r="F50" s="564">
        <f>D50*A50</f>
        <v>486.2</v>
      </c>
      <c r="G50" s="562"/>
    </row>
    <row r="51" spans="1:7" ht="16.5">
      <c r="A51" s="562"/>
      <c r="B51" s="569"/>
      <c r="C51" s="562"/>
      <c r="D51" s="562"/>
      <c r="E51" s="576"/>
      <c r="F51" s="577" t="s">
        <v>1615</v>
      </c>
      <c r="G51" s="562"/>
    </row>
    <row r="52" spans="1:7" ht="16.5">
      <c r="A52" s="562"/>
      <c r="B52" s="569"/>
      <c r="C52" s="568" t="s">
        <v>4016</v>
      </c>
      <c r="D52" s="562"/>
      <c r="E52" s="576"/>
      <c r="F52" s="571">
        <f>SUM(F48:F51)</f>
        <v>2085.6</v>
      </c>
      <c r="G52" s="562"/>
    </row>
    <row r="53" spans="1:7" ht="16.5">
      <c r="A53" s="562"/>
      <c r="B53" s="569"/>
      <c r="C53" s="562"/>
      <c r="D53" s="562"/>
      <c r="E53" s="576"/>
      <c r="F53" s="577" t="s">
        <v>1615</v>
      </c>
      <c r="G53" s="562"/>
    </row>
    <row r="54" spans="1:7" ht="16.5">
      <c r="A54" s="572"/>
      <c r="B54" s="572"/>
      <c r="C54" s="573"/>
      <c r="D54" s="572"/>
      <c r="E54" s="572"/>
      <c r="F54" s="572"/>
      <c r="G54" s="562"/>
    </row>
    <row r="55" spans="1:7" ht="16.5">
      <c r="A55" s="562"/>
      <c r="B55" s="1566" t="s">
        <v>4017</v>
      </c>
      <c r="C55" s="1566"/>
      <c r="D55" s="1566"/>
      <c r="E55" s="1566"/>
      <c r="F55" s="1566"/>
      <c r="G55" s="562"/>
    </row>
    <row r="56" spans="1:7" ht="16.5">
      <c r="A56" s="566"/>
      <c r="B56" s="567"/>
      <c r="C56" s="574" t="s">
        <v>4018</v>
      </c>
      <c r="D56" s="564"/>
      <c r="E56" s="567"/>
      <c r="F56" s="564"/>
      <c r="G56" s="562"/>
    </row>
    <row r="57" spans="1:7" ht="16.5">
      <c r="A57" s="566"/>
      <c r="B57" s="567"/>
      <c r="C57" s="568"/>
      <c r="D57" s="564"/>
      <c r="E57" s="567"/>
      <c r="F57" s="564"/>
      <c r="G57" s="562"/>
    </row>
    <row r="58" spans="1:7" ht="16.5">
      <c r="A58" s="566"/>
      <c r="B58" s="567"/>
      <c r="C58" s="568"/>
      <c r="D58" s="564"/>
      <c r="E58" s="567"/>
      <c r="F58" s="564"/>
      <c r="G58" s="562"/>
    </row>
    <row r="59" spans="1:7" ht="16.5">
      <c r="A59" s="566">
        <v>17.510000000000002</v>
      </c>
      <c r="B59" s="567" t="s">
        <v>929</v>
      </c>
      <c r="C59" s="568" t="s">
        <v>4019</v>
      </c>
      <c r="D59" s="564">
        <f>D36</f>
        <v>325</v>
      </c>
      <c r="E59" s="567" t="s">
        <v>929</v>
      </c>
      <c r="F59" s="564">
        <f>D59*A59</f>
        <v>5690.75</v>
      </c>
      <c r="G59" s="562"/>
    </row>
    <row r="60" spans="1:7" ht="16.5">
      <c r="A60" s="566">
        <v>2.48</v>
      </c>
      <c r="B60" s="567" t="s">
        <v>236</v>
      </c>
      <c r="C60" s="568" t="s">
        <v>4003</v>
      </c>
      <c r="D60" s="564">
        <f>D38</f>
        <v>306.89999999999998</v>
      </c>
      <c r="E60" s="567" t="s">
        <v>236</v>
      </c>
      <c r="F60" s="564">
        <f t="shared" ref="F60:F65" si="4">D60*A60</f>
        <v>761.11</v>
      </c>
      <c r="G60" s="562"/>
    </row>
    <row r="61" spans="1:7" ht="16.5">
      <c r="A61" s="566">
        <v>14.7</v>
      </c>
      <c r="B61" s="567" t="s">
        <v>842</v>
      </c>
      <c r="C61" s="568" t="s">
        <v>4261</v>
      </c>
      <c r="D61" s="564">
        <v>27.1</v>
      </c>
      <c r="E61" s="567" t="s">
        <v>842</v>
      </c>
      <c r="F61" s="564">
        <f t="shared" si="4"/>
        <v>398.37</v>
      </c>
      <c r="G61" s="562"/>
    </row>
    <row r="62" spans="1:7" ht="16.5">
      <c r="A62" s="566">
        <v>3</v>
      </c>
      <c r="B62" s="567" t="s">
        <v>4011</v>
      </c>
      <c r="C62" s="568" t="s">
        <v>4005</v>
      </c>
      <c r="D62" s="564">
        <v>175</v>
      </c>
      <c r="E62" s="567" t="s">
        <v>785</v>
      </c>
      <c r="F62" s="564">
        <f t="shared" si="4"/>
        <v>525</v>
      </c>
      <c r="G62" s="562"/>
    </row>
    <row r="63" spans="1:7" ht="16.5">
      <c r="A63" s="566">
        <v>3</v>
      </c>
      <c r="B63" s="567" t="s">
        <v>785</v>
      </c>
      <c r="C63" s="568" t="s">
        <v>4004</v>
      </c>
      <c r="D63" s="564">
        <v>60</v>
      </c>
      <c r="E63" s="567" t="s">
        <v>785</v>
      </c>
      <c r="F63" s="564">
        <f t="shared" si="4"/>
        <v>180</v>
      </c>
      <c r="G63" s="562"/>
    </row>
    <row r="64" spans="1:7" ht="16.5">
      <c r="A64" s="566">
        <v>6</v>
      </c>
      <c r="B64" s="567" t="s">
        <v>785</v>
      </c>
      <c r="C64" s="568" t="s">
        <v>4006</v>
      </c>
      <c r="D64" s="564">
        <v>15</v>
      </c>
      <c r="E64" s="567" t="s">
        <v>785</v>
      </c>
      <c r="F64" s="564">
        <f t="shared" si="4"/>
        <v>90</v>
      </c>
      <c r="G64" s="562"/>
    </row>
    <row r="65" spans="1:7" ht="16.5">
      <c r="A65" s="566">
        <v>2.48</v>
      </c>
      <c r="B65" s="567" t="s">
        <v>2322</v>
      </c>
      <c r="C65" s="568" t="s">
        <v>4007</v>
      </c>
      <c r="D65" s="562">
        <f>F76</f>
        <v>2085.6</v>
      </c>
      <c r="E65" s="567" t="s">
        <v>2322</v>
      </c>
      <c r="F65" s="564">
        <f t="shared" si="4"/>
        <v>5172.29</v>
      </c>
      <c r="G65" s="562"/>
    </row>
    <row r="66" spans="1:7" ht="16.5">
      <c r="A66" s="566"/>
      <c r="B66" s="567"/>
      <c r="C66" s="568" t="s">
        <v>2310</v>
      </c>
      <c r="D66" s="562"/>
      <c r="E66" s="563"/>
      <c r="F66" s="564"/>
      <c r="G66" s="562"/>
    </row>
    <row r="67" spans="1:7" ht="16.5">
      <c r="A67" s="562"/>
      <c r="B67" s="569"/>
      <c r="C67" s="568"/>
      <c r="D67" s="562"/>
      <c r="E67" s="563"/>
      <c r="F67" s="564"/>
      <c r="G67" s="562"/>
    </row>
    <row r="68" spans="1:7" ht="16.5">
      <c r="A68" s="562"/>
      <c r="B68" s="562"/>
      <c r="C68" s="575" t="s">
        <v>3925</v>
      </c>
      <c r="D68" s="562"/>
      <c r="E68" s="562"/>
      <c r="F68" s="571">
        <f>SUM(F59:F67)</f>
        <v>12817.52</v>
      </c>
      <c r="G68" s="572" t="s">
        <v>1423</v>
      </c>
    </row>
    <row r="69" spans="1:7" ht="16.5">
      <c r="A69" s="562"/>
      <c r="B69" s="562"/>
      <c r="C69" s="575"/>
      <c r="D69" s="562"/>
      <c r="E69" s="562"/>
      <c r="F69" s="36">
        <f>F68/A65</f>
        <v>5168.3500000000004</v>
      </c>
      <c r="G69" s="562" t="s">
        <v>2322</v>
      </c>
    </row>
    <row r="70" spans="1:7" ht="16.5">
      <c r="A70" s="562"/>
      <c r="B70" s="562"/>
      <c r="C70" s="575"/>
      <c r="D70" s="562"/>
      <c r="E70" s="562"/>
      <c r="F70" s="562"/>
      <c r="G70" s="562"/>
    </row>
    <row r="71" spans="1:7" ht="16.5">
      <c r="A71" s="564">
        <v>1</v>
      </c>
      <c r="B71" s="567" t="s">
        <v>884</v>
      </c>
      <c r="C71" s="568" t="s">
        <v>4013</v>
      </c>
      <c r="D71" s="564">
        <f>D48</f>
        <v>919.6</v>
      </c>
      <c r="E71" s="568" t="s">
        <v>884</v>
      </c>
      <c r="F71" s="564">
        <f>D71*A71</f>
        <v>919.6</v>
      </c>
      <c r="G71" s="562"/>
    </row>
    <row r="72" spans="1:7" ht="16.5">
      <c r="A72" s="564">
        <v>1</v>
      </c>
      <c r="B72" s="567" t="s">
        <v>884</v>
      </c>
      <c r="C72" s="568" t="s">
        <v>4014</v>
      </c>
      <c r="D72" s="564">
        <f>D49</f>
        <v>679.8</v>
      </c>
      <c r="E72" s="568" t="s">
        <v>884</v>
      </c>
      <c r="F72" s="564">
        <f>D72*A72</f>
        <v>679.8</v>
      </c>
      <c r="G72" s="562"/>
    </row>
    <row r="73" spans="1:7" ht="16.5">
      <c r="A73" s="564">
        <v>0.5</v>
      </c>
      <c r="B73" s="567" t="s">
        <v>884</v>
      </c>
      <c r="C73" s="568" t="s">
        <v>4015</v>
      </c>
      <c r="D73" s="564">
        <f>D50</f>
        <v>972.4</v>
      </c>
      <c r="E73" s="568" t="s">
        <v>884</v>
      </c>
      <c r="F73" s="564">
        <f>D73*A73</f>
        <v>486.2</v>
      </c>
      <c r="G73" s="562"/>
    </row>
    <row r="74" spans="1:7" ht="16.5">
      <c r="A74" s="562"/>
      <c r="B74" s="567" t="s">
        <v>455</v>
      </c>
      <c r="C74" s="568" t="s">
        <v>1870</v>
      </c>
      <c r="D74" s="568" t="s">
        <v>992</v>
      </c>
      <c r="E74" s="568" t="s">
        <v>455</v>
      </c>
      <c r="F74" s="564"/>
      <c r="G74" s="562"/>
    </row>
    <row r="75" spans="1:7" ht="16.5">
      <c r="A75" s="562"/>
      <c r="B75" s="569"/>
      <c r="C75" s="562"/>
      <c r="D75" s="562"/>
      <c r="E75" s="576"/>
      <c r="F75" s="577" t="s">
        <v>1615</v>
      </c>
      <c r="G75" s="562"/>
    </row>
    <row r="76" spans="1:7" ht="16.5">
      <c r="A76" s="562"/>
      <c r="B76" s="569"/>
      <c r="C76" s="568" t="s">
        <v>4016</v>
      </c>
      <c r="D76" s="562"/>
      <c r="E76" s="576"/>
      <c r="F76" s="571">
        <f>SUM(F71:F75)</f>
        <v>2085.6</v>
      </c>
      <c r="G76" s="562"/>
    </row>
    <row r="77" spans="1:7" ht="16.5">
      <c r="A77" s="562"/>
      <c r="B77" s="569"/>
      <c r="C77" s="562"/>
      <c r="D77" s="562"/>
      <c r="E77" s="576"/>
      <c r="F77" s="577" t="s">
        <v>1615</v>
      </c>
      <c r="G77" s="562"/>
    </row>
    <row r="78" spans="1:7" ht="16.5">
      <c r="A78" s="562"/>
      <c r="B78" s="569"/>
      <c r="C78" s="568"/>
      <c r="D78" s="562"/>
      <c r="E78" s="576"/>
      <c r="F78" s="564"/>
      <c r="G78" s="562"/>
    </row>
    <row r="79" spans="1:7" ht="16.5">
      <c r="A79" s="562"/>
      <c r="B79" s="562"/>
      <c r="C79" s="562"/>
      <c r="D79" s="562"/>
      <c r="E79" s="562"/>
      <c r="F79" s="562"/>
      <c r="G79" s="562"/>
    </row>
    <row r="80" spans="1:7" ht="16.5">
      <c r="A80" s="562"/>
      <c r="B80" s="1566" t="s">
        <v>4020</v>
      </c>
      <c r="C80" s="1566"/>
      <c r="D80" s="1566"/>
      <c r="E80" s="561"/>
      <c r="F80" s="561"/>
      <c r="G80" s="562"/>
    </row>
    <row r="81" spans="1:7" ht="16.5">
      <c r="A81" s="566"/>
      <c r="B81" s="567"/>
      <c r="C81" s="574" t="s">
        <v>4021</v>
      </c>
      <c r="D81" s="564"/>
      <c r="E81" s="567"/>
      <c r="F81" s="564"/>
      <c r="G81" s="562"/>
    </row>
    <row r="82" spans="1:7" ht="16.5">
      <c r="A82" s="566"/>
      <c r="B82" s="567"/>
      <c r="C82" s="568"/>
      <c r="D82" s="564"/>
      <c r="E82" s="567"/>
      <c r="F82" s="564"/>
      <c r="G82" s="562"/>
    </row>
    <row r="83" spans="1:7" ht="16.5">
      <c r="A83" s="566"/>
      <c r="B83" s="567"/>
      <c r="C83" s="568"/>
      <c r="D83" s="564"/>
      <c r="E83" s="567"/>
      <c r="F83" s="564"/>
      <c r="G83" s="562"/>
    </row>
    <row r="84" spans="1:7" ht="16.5">
      <c r="A84" s="566">
        <v>4.88</v>
      </c>
      <c r="B84" s="567" t="s">
        <v>929</v>
      </c>
      <c r="C84" s="568" t="s">
        <v>4022</v>
      </c>
      <c r="D84" s="564">
        <f>D59</f>
        <v>325</v>
      </c>
      <c r="E84" s="567" t="s">
        <v>929</v>
      </c>
      <c r="F84" s="564">
        <f>D84*A84</f>
        <v>1586</v>
      </c>
      <c r="G84" s="562"/>
    </row>
    <row r="85" spans="1:7" ht="16.5">
      <c r="A85" s="566">
        <v>7.76</v>
      </c>
      <c r="B85" s="567" t="s">
        <v>929</v>
      </c>
      <c r="C85" s="568" t="s">
        <v>4023</v>
      </c>
      <c r="D85" s="564">
        <f>D84</f>
        <v>325</v>
      </c>
      <c r="E85" s="567" t="s">
        <v>929</v>
      </c>
      <c r="F85" s="564">
        <f t="shared" ref="F85:F93" si="5">D85*A85</f>
        <v>2522</v>
      </c>
      <c r="G85" s="562"/>
    </row>
    <row r="86" spans="1:7" ht="16.5">
      <c r="A86" s="566">
        <v>3.03</v>
      </c>
      <c r="B86" s="567" t="s">
        <v>929</v>
      </c>
      <c r="C86" s="568" t="s">
        <v>4024</v>
      </c>
      <c r="D86" s="564">
        <f>D85</f>
        <v>325</v>
      </c>
      <c r="E86" s="567" t="s">
        <v>929</v>
      </c>
      <c r="F86" s="564">
        <f t="shared" si="5"/>
        <v>984.75</v>
      </c>
      <c r="G86" s="562"/>
    </row>
    <row r="87" spans="1:7" ht="16.5">
      <c r="A87" s="566">
        <v>1.45</v>
      </c>
      <c r="B87" s="567" t="s">
        <v>929</v>
      </c>
      <c r="C87" s="568" t="s">
        <v>4019</v>
      </c>
      <c r="D87" s="564">
        <f>D86</f>
        <v>325</v>
      </c>
      <c r="E87" s="567" t="s">
        <v>929</v>
      </c>
      <c r="F87" s="564">
        <f t="shared" si="5"/>
        <v>471.25</v>
      </c>
      <c r="G87" s="562"/>
    </row>
    <row r="88" spans="1:7" ht="16.5">
      <c r="A88" s="566">
        <v>2.4300000000000002</v>
      </c>
      <c r="B88" s="567" t="s">
        <v>236</v>
      </c>
      <c r="C88" s="568" t="s">
        <v>4003</v>
      </c>
      <c r="D88" s="564">
        <v>209.9</v>
      </c>
      <c r="E88" s="567" t="s">
        <v>236</v>
      </c>
      <c r="F88" s="564">
        <f t="shared" si="5"/>
        <v>510.06</v>
      </c>
      <c r="G88" s="562"/>
    </row>
    <row r="89" spans="1:7" ht="16.5">
      <c r="A89" s="566">
        <v>11.7</v>
      </c>
      <c r="B89" s="567" t="s">
        <v>842</v>
      </c>
      <c r="C89" s="568" t="s">
        <v>4002</v>
      </c>
      <c r="D89" s="564">
        <f>D61</f>
        <v>27.1</v>
      </c>
      <c r="E89" s="567" t="s">
        <v>842</v>
      </c>
      <c r="F89" s="564">
        <f t="shared" si="5"/>
        <v>317.07</v>
      </c>
      <c r="G89" s="562"/>
    </row>
    <row r="90" spans="1:7" ht="16.5">
      <c r="A90" s="566">
        <v>3</v>
      </c>
      <c r="B90" s="567" t="s">
        <v>4011</v>
      </c>
      <c r="C90" s="568" t="s">
        <v>4025</v>
      </c>
      <c r="D90" s="564">
        <v>175</v>
      </c>
      <c r="E90" s="567" t="s">
        <v>785</v>
      </c>
      <c r="F90" s="564">
        <f t="shared" si="5"/>
        <v>525</v>
      </c>
      <c r="G90" s="562"/>
    </row>
    <row r="91" spans="1:7" ht="16.5">
      <c r="A91" s="566">
        <v>3</v>
      </c>
      <c r="B91" s="567" t="s">
        <v>785</v>
      </c>
      <c r="C91" s="568" t="s">
        <v>4004</v>
      </c>
      <c r="D91" s="564">
        <v>60</v>
      </c>
      <c r="E91" s="567" t="s">
        <v>785</v>
      </c>
      <c r="F91" s="564">
        <f t="shared" si="5"/>
        <v>180</v>
      </c>
      <c r="G91" s="562"/>
    </row>
    <row r="92" spans="1:7" ht="16.5">
      <c r="A92" s="566">
        <v>4</v>
      </c>
      <c r="B92" s="567" t="s">
        <v>785</v>
      </c>
      <c r="C92" s="568" t="s">
        <v>4006</v>
      </c>
      <c r="D92" s="564">
        <v>15</v>
      </c>
      <c r="E92" s="567" t="s">
        <v>785</v>
      </c>
      <c r="F92" s="564">
        <f t="shared" si="5"/>
        <v>60</v>
      </c>
      <c r="G92" s="562"/>
    </row>
    <row r="93" spans="1:7" ht="16.5">
      <c r="A93" s="566">
        <v>2.4300000000000002</v>
      </c>
      <c r="B93" s="567" t="s">
        <v>2322</v>
      </c>
      <c r="C93" s="568" t="s">
        <v>4007</v>
      </c>
      <c r="D93" s="562">
        <f>D65</f>
        <v>2085.6</v>
      </c>
      <c r="E93" s="567" t="s">
        <v>2322</v>
      </c>
      <c r="F93" s="564">
        <f t="shared" si="5"/>
        <v>5068.01</v>
      </c>
      <c r="G93" s="562"/>
    </row>
    <row r="94" spans="1:7" ht="16.5">
      <c r="A94" s="566"/>
      <c r="B94" s="567"/>
      <c r="C94" s="568" t="s">
        <v>2310</v>
      </c>
      <c r="D94" s="562"/>
      <c r="E94" s="563"/>
      <c r="F94" s="564">
        <v>11.26</v>
      </c>
      <c r="G94" s="562">
        <v>0</v>
      </c>
    </row>
    <row r="95" spans="1:7" ht="16.5">
      <c r="A95" s="562"/>
      <c r="B95" s="569"/>
      <c r="C95" s="568"/>
      <c r="D95" s="562"/>
      <c r="E95" s="563"/>
      <c r="F95" s="564"/>
      <c r="G95" s="562"/>
    </row>
    <row r="96" spans="1:7" ht="16.5">
      <c r="A96" s="562"/>
      <c r="B96" s="562"/>
      <c r="C96" s="575" t="s">
        <v>3925</v>
      </c>
      <c r="D96" s="562"/>
      <c r="E96" s="562"/>
      <c r="F96" s="571">
        <f>SUM(F84:F95)</f>
        <v>12235.4</v>
      </c>
      <c r="G96" s="572" t="s">
        <v>1423</v>
      </c>
    </row>
    <row r="97" spans="1:7" ht="16.5">
      <c r="A97" s="562"/>
      <c r="B97" s="562"/>
      <c r="C97" s="575"/>
      <c r="D97" s="562"/>
      <c r="E97" s="562"/>
      <c r="F97" s="36">
        <f>F96/A93</f>
        <v>5035.1400000000003</v>
      </c>
      <c r="G97" s="562" t="s">
        <v>2322</v>
      </c>
    </row>
    <row r="98" spans="1:7" ht="16.5">
      <c r="A98" s="562"/>
      <c r="B98" s="562"/>
      <c r="C98" s="575"/>
      <c r="D98" s="562"/>
      <c r="E98" s="562"/>
      <c r="F98" s="562"/>
      <c r="G98" s="562"/>
    </row>
    <row r="99" spans="1:7" ht="16.5">
      <c r="A99" s="564">
        <v>1</v>
      </c>
      <c r="B99" s="567" t="s">
        <v>884</v>
      </c>
      <c r="C99" s="568" t="s">
        <v>4013</v>
      </c>
      <c r="D99" s="564">
        <f>D71</f>
        <v>919.6</v>
      </c>
      <c r="E99" s="568" t="s">
        <v>884</v>
      </c>
      <c r="F99" s="564">
        <f>D99*A99</f>
        <v>919.6</v>
      </c>
      <c r="G99" s="562"/>
    </row>
    <row r="100" spans="1:7" ht="16.5">
      <c r="A100" s="564">
        <v>1</v>
      </c>
      <c r="B100" s="567" t="s">
        <v>884</v>
      </c>
      <c r="C100" s="568" t="s">
        <v>4014</v>
      </c>
      <c r="D100" s="564">
        <f>D72</f>
        <v>679.8</v>
      </c>
      <c r="E100" s="568" t="s">
        <v>884</v>
      </c>
      <c r="F100" s="564">
        <f>D100*A100</f>
        <v>679.8</v>
      </c>
      <c r="G100" s="562"/>
    </row>
    <row r="101" spans="1:7" ht="16.5">
      <c r="A101" s="564">
        <v>0.5</v>
      </c>
      <c r="B101" s="567" t="s">
        <v>884</v>
      </c>
      <c r="C101" s="568" t="s">
        <v>4015</v>
      </c>
      <c r="D101" s="564">
        <f>D73</f>
        <v>972.4</v>
      </c>
      <c r="E101" s="568" t="s">
        <v>884</v>
      </c>
      <c r="F101" s="564">
        <f>D101*A101</f>
        <v>486.2</v>
      </c>
      <c r="G101" s="562"/>
    </row>
    <row r="102" spans="1:7" ht="16.5">
      <c r="A102" s="562"/>
      <c r="B102" s="567"/>
      <c r="C102" s="568"/>
      <c r="D102" s="564"/>
      <c r="E102" s="568"/>
      <c r="F102" s="564"/>
      <c r="G102" s="562"/>
    </row>
    <row r="103" spans="1:7" ht="16.5">
      <c r="A103" s="562"/>
      <c r="B103" s="569"/>
      <c r="C103" s="568" t="s">
        <v>4016</v>
      </c>
      <c r="D103" s="562"/>
      <c r="E103" s="576"/>
      <c r="F103" s="571">
        <f>SUM(F99:F102)</f>
        <v>2085.6</v>
      </c>
      <c r="G103" s="562"/>
    </row>
    <row r="104" spans="1:7" ht="16.5">
      <c r="A104" s="562"/>
      <c r="B104" s="569"/>
      <c r="C104" s="562"/>
      <c r="D104" s="562"/>
      <c r="E104" s="576"/>
      <c r="F104" s="577" t="s">
        <v>1615</v>
      </c>
      <c r="G104" s="562"/>
    </row>
    <row r="105" spans="1:7" ht="16.5">
      <c r="A105" s="562"/>
      <c r="B105" s="562"/>
      <c r="C105" s="562"/>
      <c r="D105" s="562"/>
      <c r="E105" s="562"/>
      <c r="F105" s="562"/>
      <c r="G105" s="562"/>
    </row>
    <row r="106" spans="1:7" ht="16.5">
      <c r="A106" s="1566" t="s">
        <v>4026</v>
      </c>
      <c r="B106" s="1566"/>
      <c r="C106" s="1566"/>
      <c r="D106" s="1566"/>
      <c r="E106" s="1566"/>
      <c r="F106" s="1566"/>
      <c r="G106" s="562"/>
    </row>
    <row r="107" spans="1:7" ht="16.5">
      <c r="A107" s="1566"/>
      <c r="B107" s="1566"/>
      <c r="C107" s="1566"/>
      <c r="D107" s="1566"/>
      <c r="E107" s="1566"/>
      <c r="F107" s="1566"/>
      <c r="G107" s="562"/>
    </row>
    <row r="108" spans="1:7" ht="16.5">
      <c r="A108" s="566"/>
      <c r="B108" s="567"/>
      <c r="C108" s="568"/>
      <c r="D108" s="564"/>
      <c r="E108" s="567"/>
      <c r="F108" s="564"/>
      <c r="G108" s="562"/>
    </row>
    <row r="109" spans="1:7" ht="16.5">
      <c r="A109" s="566">
        <v>10.33</v>
      </c>
      <c r="B109" s="567" t="s">
        <v>929</v>
      </c>
      <c r="C109" s="568" t="s">
        <v>4019</v>
      </c>
      <c r="D109" s="564">
        <f>D87</f>
        <v>325</v>
      </c>
      <c r="E109" s="567" t="s">
        <v>929</v>
      </c>
      <c r="F109" s="564">
        <f>D109*A109</f>
        <v>3357.25</v>
      </c>
      <c r="G109" s="562"/>
    </row>
    <row r="110" spans="1:7" ht="16.5">
      <c r="A110" s="566">
        <v>1.42</v>
      </c>
      <c r="B110" s="567" t="s">
        <v>236</v>
      </c>
      <c r="C110" s="568" t="s">
        <v>4003</v>
      </c>
      <c r="D110" s="564">
        <v>208.8</v>
      </c>
      <c r="E110" s="567" t="s">
        <v>236</v>
      </c>
      <c r="F110" s="564">
        <f t="shared" ref="F110:F115" si="6">D110*A110</f>
        <v>296.5</v>
      </c>
      <c r="G110" s="562"/>
    </row>
    <row r="111" spans="1:7" ht="16.5">
      <c r="A111" s="566">
        <v>6.9</v>
      </c>
      <c r="B111" s="567" t="s">
        <v>842</v>
      </c>
      <c r="C111" s="568" t="s">
        <v>4002</v>
      </c>
      <c r="D111" s="564">
        <f>D89</f>
        <v>27.1</v>
      </c>
      <c r="E111" s="567" t="s">
        <v>842</v>
      </c>
      <c r="F111" s="564">
        <f t="shared" si="6"/>
        <v>186.99</v>
      </c>
      <c r="G111" s="562"/>
    </row>
    <row r="112" spans="1:7" ht="16.5">
      <c r="A112" s="566">
        <v>2</v>
      </c>
      <c r="B112" s="567" t="s">
        <v>4011</v>
      </c>
      <c r="C112" s="568" t="str">
        <f>C36</f>
        <v>Aluminium section</v>
      </c>
      <c r="D112" s="564">
        <v>350</v>
      </c>
      <c r="E112" s="567" t="s">
        <v>785</v>
      </c>
      <c r="F112" s="564">
        <f t="shared" si="6"/>
        <v>700</v>
      </c>
      <c r="G112" s="562"/>
    </row>
    <row r="113" spans="1:8" ht="16.5">
      <c r="A113" s="566">
        <v>2</v>
      </c>
      <c r="B113" s="567" t="s">
        <v>785</v>
      </c>
      <c r="C113" s="568" t="s">
        <v>4004</v>
      </c>
      <c r="D113" s="564">
        <v>48</v>
      </c>
      <c r="E113" s="567" t="s">
        <v>785</v>
      </c>
      <c r="F113" s="564">
        <f t="shared" si="6"/>
        <v>96</v>
      </c>
      <c r="G113" s="562"/>
    </row>
    <row r="114" spans="1:8" ht="16.5">
      <c r="A114" s="566">
        <v>4</v>
      </c>
      <c r="B114" s="567" t="s">
        <v>785</v>
      </c>
      <c r="C114" s="568" t="s">
        <v>4006</v>
      </c>
      <c r="D114" s="564">
        <v>15</v>
      </c>
      <c r="E114" s="567" t="s">
        <v>785</v>
      </c>
      <c r="F114" s="564">
        <f t="shared" si="6"/>
        <v>60</v>
      </c>
      <c r="G114" s="562"/>
    </row>
    <row r="115" spans="1:8" ht="16.5">
      <c r="A115" s="566">
        <v>1.42</v>
      </c>
      <c r="B115" s="567" t="s">
        <v>2322</v>
      </c>
      <c r="C115" s="568" t="s">
        <v>4007</v>
      </c>
      <c r="D115" s="562">
        <f>F125</f>
        <v>2085.6</v>
      </c>
      <c r="E115" s="567" t="s">
        <v>2322</v>
      </c>
      <c r="F115" s="564">
        <f t="shared" si="6"/>
        <v>2961.55</v>
      </c>
      <c r="G115" s="562"/>
    </row>
    <row r="116" spans="1:8" ht="16.5">
      <c r="A116" s="566"/>
      <c r="B116" s="567"/>
      <c r="C116" s="568" t="s">
        <v>2310</v>
      </c>
      <c r="D116" s="562"/>
      <c r="E116" s="563"/>
      <c r="F116" s="564">
        <v>3.06</v>
      </c>
      <c r="G116" s="562"/>
    </row>
    <row r="117" spans="1:8" ht="16.5">
      <c r="A117" s="566"/>
      <c r="B117" s="567"/>
      <c r="C117" s="568"/>
      <c r="D117" s="562"/>
      <c r="E117" s="567"/>
      <c r="F117" s="564"/>
      <c r="G117" s="562"/>
    </row>
    <row r="118" spans="1:8" ht="16.5">
      <c r="A118" s="566"/>
      <c r="B118" s="567"/>
      <c r="C118" s="570" t="s">
        <v>3595</v>
      </c>
      <c r="D118" s="572"/>
      <c r="E118" s="561"/>
      <c r="F118" s="571">
        <f>SUM(F109:F117)</f>
        <v>7661.35</v>
      </c>
      <c r="G118" s="572" t="s">
        <v>1423</v>
      </c>
      <c r="H118">
        <f>F118/A115</f>
        <v>5395.32</v>
      </c>
    </row>
    <row r="119" spans="1:8" ht="16.5">
      <c r="A119" s="562"/>
      <c r="B119" s="562"/>
      <c r="C119" s="575"/>
      <c r="D119" s="562"/>
      <c r="E119" s="562"/>
      <c r="F119" s="562"/>
      <c r="G119" s="562"/>
    </row>
    <row r="120" spans="1:8" ht="16.5">
      <c r="A120" s="564">
        <v>1</v>
      </c>
      <c r="B120" s="567" t="s">
        <v>884</v>
      </c>
      <c r="C120" s="568" t="s">
        <v>4013</v>
      </c>
      <c r="D120" s="564">
        <f>D99</f>
        <v>919.6</v>
      </c>
      <c r="E120" s="568" t="s">
        <v>884</v>
      </c>
      <c r="F120" s="564">
        <f>D120*A120</f>
        <v>919.6</v>
      </c>
      <c r="G120" s="562"/>
    </row>
    <row r="121" spans="1:8" ht="16.5">
      <c r="A121" s="564">
        <v>1</v>
      </c>
      <c r="B121" s="567" t="s">
        <v>884</v>
      </c>
      <c r="C121" s="568" t="s">
        <v>4014</v>
      </c>
      <c r="D121" s="564">
        <f>D100</f>
        <v>679.8</v>
      </c>
      <c r="E121" s="568" t="s">
        <v>884</v>
      </c>
      <c r="F121" s="564">
        <f>D121*A121</f>
        <v>679.8</v>
      </c>
      <c r="G121" s="562"/>
    </row>
    <row r="122" spans="1:8" ht="16.5">
      <c r="A122" s="564">
        <v>0.5</v>
      </c>
      <c r="B122" s="567" t="s">
        <v>884</v>
      </c>
      <c r="C122" s="568" t="s">
        <v>4015</v>
      </c>
      <c r="D122" s="564">
        <f>D101</f>
        <v>972.4</v>
      </c>
      <c r="E122" s="568" t="s">
        <v>884</v>
      </c>
      <c r="F122" s="564">
        <f>D122*A122</f>
        <v>486.2</v>
      </c>
      <c r="G122" s="562"/>
    </row>
    <row r="123" spans="1:8" ht="16.5">
      <c r="A123" s="562"/>
      <c r="B123" s="567"/>
      <c r="C123" s="568"/>
      <c r="D123" s="564"/>
      <c r="E123" s="568"/>
      <c r="F123" s="564"/>
      <c r="G123" s="562"/>
    </row>
    <row r="124" spans="1:8" ht="16.5">
      <c r="A124" s="562"/>
      <c r="B124" s="569"/>
      <c r="C124" s="562"/>
      <c r="D124" s="562"/>
      <c r="E124" s="576"/>
      <c r="F124" s="577" t="s">
        <v>1615</v>
      </c>
      <c r="G124" s="562"/>
    </row>
    <row r="125" spans="1:8" ht="16.5">
      <c r="A125" s="562"/>
      <c r="B125" s="569"/>
      <c r="C125" s="568" t="s">
        <v>4016</v>
      </c>
      <c r="D125" s="562"/>
      <c r="E125" s="576"/>
      <c r="F125" s="571">
        <f>SUM(F120:F124)</f>
        <v>2085.6</v>
      </c>
      <c r="G125" s="562"/>
    </row>
    <row r="126" spans="1:8" ht="16.5">
      <c r="A126" s="562"/>
      <c r="B126" s="569"/>
      <c r="C126" s="568"/>
      <c r="D126" s="562"/>
      <c r="E126" s="576"/>
      <c r="F126" s="571"/>
      <c r="G126" s="562"/>
    </row>
    <row r="127" spans="1:8" ht="16.5">
      <c r="A127" s="562"/>
      <c r="B127" s="569"/>
      <c r="C127" s="562"/>
      <c r="D127" s="562"/>
      <c r="E127" s="576"/>
      <c r="F127" s="577" t="s">
        <v>1615</v>
      </c>
      <c r="G127" s="562"/>
    </row>
    <row r="128" spans="1:8" ht="16.5">
      <c r="A128" s="562"/>
      <c r="B128" s="1566" t="s">
        <v>4027</v>
      </c>
      <c r="C128" s="1566"/>
      <c r="D128" s="1566"/>
      <c r="E128" s="561"/>
      <c r="F128" s="561"/>
      <c r="G128" s="562"/>
    </row>
    <row r="129" spans="1:7" ht="16.5">
      <c r="A129" s="566"/>
      <c r="B129" s="567"/>
      <c r="C129" s="574" t="s">
        <v>4021</v>
      </c>
      <c r="D129" s="564"/>
      <c r="E129" s="567"/>
      <c r="F129" s="564"/>
      <c r="G129" s="562"/>
    </row>
    <row r="130" spans="1:7" ht="16.5">
      <c r="A130" s="566"/>
      <c r="B130" s="567"/>
      <c r="C130" s="568"/>
      <c r="D130" s="564"/>
      <c r="E130" s="567"/>
      <c r="F130" s="564"/>
      <c r="G130" s="562"/>
    </row>
    <row r="131" spans="1:7" ht="16.5">
      <c r="A131" s="566"/>
      <c r="B131" s="567"/>
      <c r="C131" s="568"/>
      <c r="D131" s="564"/>
      <c r="E131" s="567"/>
      <c r="F131" s="564"/>
      <c r="G131" s="562"/>
    </row>
    <row r="132" spans="1:7" ht="16.5">
      <c r="A132" s="566">
        <v>4.42</v>
      </c>
      <c r="B132" s="567" t="s">
        <v>929</v>
      </c>
      <c r="C132" s="568" t="s">
        <v>4022</v>
      </c>
      <c r="D132" s="564">
        <f>D109</f>
        <v>325</v>
      </c>
      <c r="E132" s="567" t="s">
        <v>929</v>
      </c>
      <c r="F132" s="564">
        <f>D132*A132</f>
        <v>1436.5</v>
      </c>
      <c r="G132" s="562"/>
    </row>
    <row r="133" spans="1:7" ht="16.5">
      <c r="A133" s="566">
        <v>7.36</v>
      </c>
      <c r="B133" s="567" t="s">
        <v>929</v>
      </c>
      <c r="C133" s="568" t="s">
        <v>4023</v>
      </c>
      <c r="D133" s="564">
        <f>D132</f>
        <v>325</v>
      </c>
      <c r="E133" s="567" t="s">
        <v>929</v>
      </c>
      <c r="F133" s="564">
        <f t="shared" ref="F133:F141" si="7">D133*A133</f>
        <v>2392</v>
      </c>
      <c r="G133" s="562"/>
    </row>
    <row r="134" spans="1:7" ht="16.5">
      <c r="A134" s="566">
        <v>3.03</v>
      </c>
      <c r="B134" s="567" t="s">
        <v>929</v>
      </c>
      <c r="C134" s="568" t="s">
        <v>4024</v>
      </c>
      <c r="D134" s="564">
        <f>D133</f>
        <v>325</v>
      </c>
      <c r="E134" s="567" t="s">
        <v>929</v>
      </c>
      <c r="F134" s="564">
        <f t="shared" si="7"/>
        <v>984.75</v>
      </c>
      <c r="G134" s="562"/>
    </row>
    <row r="135" spans="1:7" ht="16.5">
      <c r="A135" s="566">
        <v>1.38</v>
      </c>
      <c r="B135" s="567" t="s">
        <v>929</v>
      </c>
      <c r="C135" s="568" t="s">
        <v>4019</v>
      </c>
      <c r="D135" s="564">
        <f>D134</f>
        <v>325</v>
      </c>
      <c r="E135" s="567" t="s">
        <v>929</v>
      </c>
      <c r="F135" s="564">
        <f t="shared" si="7"/>
        <v>448.5</v>
      </c>
      <c r="G135" s="562"/>
    </row>
    <row r="136" spans="1:7" ht="16.5">
      <c r="A136" s="566">
        <v>2.0249999999999999</v>
      </c>
      <c r="B136" s="567" t="s">
        <v>236</v>
      </c>
      <c r="C136" s="568" t="s">
        <v>1889</v>
      </c>
      <c r="D136" s="564">
        <f>D110</f>
        <v>208.8</v>
      </c>
      <c r="E136" s="567" t="s">
        <v>236</v>
      </c>
      <c r="F136" s="564">
        <f t="shared" si="7"/>
        <v>422.82</v>
      </c>
      <c r="G136" s="562"/>
    </row>
    <row r="137" spans="1:7" ht="16.5">
      <c r="A137" s="566">
        <v>11.1</v>
      </c>
      <c r="B137" s="567" t="s">
        <v>842</v>
      </c>
      <c r="C137" s="568" t="s">
        <v>1890</v>
      </c>
      <c r="D137" s="564">
        <f>D111</f>
        <v>27.1</v>
      </c>
      <c r="E137" s="567" t="s">
        <v>842</v>
      </c>
      <c r="F137" s="564">
        <f t="shared" si="7"/>
        <v>300.81</v>
      </c>
      <c r="G137" s="562"/>
    </row>
    <row r="138" spans="1:7" ht="16.5">
      <c r="A138" s="566">
        <v>3</v>
      </c>
      <c r="B138" s="567" t="s">
        <v>4011</v>
      </c>
      <c r="C138" s="568" t="str">
        <f>C62</f>
        <v>10" I Max hinges (304 grade) qtn</v>
      </c>
      <c r="D138" s="564">
        <f>D112</f>
        <v>350</v>
      </c>
      <c r="E138" s="567" t="s">
        <v>785</v>
      </c>
      <c r="F138" s="564">
        <f t="shared" si="7"/>
        <v>1050</v>
      </c>
      <c r="G138" s="562"/>
    </row>
    <row r="139" spans="1:7" ht="16.5">
      <c r="A139" s="566">
        <v>3</v>
      </c>
      <c r="B139" s="567" t="s">
        <v>785</v>
      </c>
      <c r="C139" s="568" t="s">
        <v>4028</v>
      </c>
      <c r="D139" s="564">
        <f>D113</f>
        <v>48</v>
      </c>
      <c r="E139" s="567" t="s">
        <v>785</v>
      </c>
      <c r="F139" s="564">
        <f t="shared" si="7"/>
        <v>144</v>
      </c>
      <c r="G139" s="562"/>
    </row>
    <row r="140" spans="1:7" ht="16.5">
      <c r="A140" s="566">
        <v>4</v>
      </c>
      <c r="B140" s="567" t="s">
        <v>785</v>
      </c>
      <c r="C140" s="568" t="s">
        <v>4029</v>
      </c>
      <c r="D140" s="564">
        <v>15</v>
      </c>
      <c r="E140" s="567" t="s">
        <v>785</v>
      </c>
      <c r="F140" s="564">
        <f t="shared" si="7"/>
        <v>60</v>
      </c>
      <c r="G140" s="562"/>
    </row>
    <row r="141" spans="1:7" ht="16.5">
      <c r="A141" s="566">
        <v>2.0249999999999999</v>
      </c>
      <c r="B141" s="567" t="s">
        <v>2322</v>
      </c>
      <c r="C141" s="568" t="s">
        <v>1896</v>
      </c>
      <c r="D141" s="562">
        <f>F152</f>
        <v>2085.6</v>
      </c>
      <c r="E141" s="567" t="s">
        <v>2322</v>
      </c>
      <c r="F141" s="564">
        <f t="shared" si="7"/>
        <v>4223.34</v>
      </c>
      <c r="G141" s="562"/>
    </row>
    <row r="142" spans="1:7" ht="16.5">
      <c r="A142" s="566"/>
      <c r="B142" s="567"/>
      <c r="C142" s="568" t="s">
        <v>1897</v>
      </c>
      <c r="D142" s="562"/>
      <c r="E142" s="563"/>
      <c r="F142" s="564"/>
      <c r="G142" s="562"/>
    </row>
    <row r="143" spans="1:7" ht="16.5">
      <c r="A143" s="562"/>
      <c r="B143" s="569"/>
      <c r="C143" s="568"/>
      <c r="D143" s="562"/>
      <c r="E143" s="563"/>
      <c r="F143" s="564"/>
      <c r="G143" s="562"/>
    </row>
    <row r="144" spans="1:7" ht="16.5">
      <c r="A144" s="562"/>
      <c r="B144" s="562"/>
      <c r="C144" s="575" t="s">
        <v>3925</v>
      </c>
      <c r="D144" s="562"/>
      <c r="E144" s="562"/>
      <c r="F144" s="572">
        <f>SUM(F132:F143)</f>
        <v>11462.72</v>
      </c>
      <c r="G144" s="572" t="s">
        <v>1423</v>
      </c>
    </row>
    <row r="145" spans="1:7" ht="16.5">
      <c r="A145" s="562"/>
      <c r="B145" s="562"/>
      <c r="C145" s="36" t="s">
        <v>4030</v>
      </c>
      <c r="D145" s="562"/>
      <c r="E145" s="562"/>
      <c r="F145" s="36">
        <f>F144/A136</f>
        <v>5660.6</v>
      </c>
      <c r="G145" s="562" t="s">
        <v>2322</v>
      </c>
    </row>
    <row r="146" spans="1:7" ht="16.5">
      <c r="A146" s="562"/>
      <c r="B146" s="562"/>
      <c r="C146" s="575"/>
      <c r="D146" s="562"/>
      <c r="E146" s="562"/>
      <c r="F146" s="562"/>
      <c r="G146" s="562"/>
    </row>
    <row r="147" spans="1:7" ht="16.5">
      <c r="A147" s="564">
        <v>1</v>
      </c>
      <c r="B147" s="567" t="s">
        <v>884</v>
      </c>
      <c r="C147" s="568" t="s">
        <v>4013</v>
      </c>
      <c r="D147" s="564">
        <f>D120</f>
        <v>919.6</v>
      </c>
      <c r="E147" s="568" t="s">
        <v>884</v>
      </c>
      <c r="F147" s="564">
        <f>D147*A147</f>
        <v>919.6</v>
      </c>
      <c r="G147" s="562"/>
    </row>
    <row r="148" spans="1:7" ht="16.5">
      <c r="A148" s="564">
        <v>1</v>
      </c>
      <c r="B148" s="567" t="s">
        <v>884</v>
      </c>
      <c r="C148" s="568" t="s">
        <v>4014</v>
      </c>
      <c r="D148" s="564">
        <f>D121</f>
        <v>679.8</v>
      </c>
      <c r="E148" s="568" t="s">
        <v>884</v>
      </c>
      <c r="F148" s="564">
        <f>D148*A148</f>
        <v>679.8</v>
      </c>
      <c r="G148" s="562"/>
    </row>
    <row r="149" spans="1:7" ht="16.5">
      <c r="A149" s="564">
        <v>0.5</v>
      </c>
      <c r="B149" s="567" t="s">
        <v>884</v>
      </c>
      <c r="C149" s="568" t="s">
        <v>4015</v>
      </c>
      <c r="D149" s="564">
        <f>D122</f>
        <v>972.4</v>
      </c>
      <c r="E149" s="568" t="s">
        <v>884</v>
      </c>
      <c r="F149" s="564">
        <f>D149*A149</f>
        <v>486.2</v>
      </c>
      <c r="G149" s="562"/>
    </row>
    <row r="150" spans="1:7" ht="16.5">
      <c r="A150" s="562"/>
      <c r="B150" s="567"/>
      <c r="C150" s="568"/>
      <c r="D150" s="564"/>
      <c r="E150" s="568"/>
      <c r="F150" s="564"/>
      <c r="G150" s="562"/>
    </row>
    <row r="151" spans="1:7" ht="16.5">
      <c r="A151" s="562"/>
      <c r="B151" s="569"/>
      <c r="C151" s="562"/>
      <c r="D151" s="562"/>
      <c r="E151" s="576"/>
      <c r="F151" s="577" t="s">
        <v>1615</v>
      </c>
      <c r="G151" s="562"/>
    </row>
    <row r="152" spans="1:7" ht="16.5">
      <c r="A152" s="562"/>
      <c r="B152" s="569"/>
      <c r="C152" s="568" t="s">
        <v>4016</v>
      </c>
      <c r="D152" s="562"/>
      <c r="E152" s="576"/>
      <c r="F152" s="571">
        <f>SUM(F147:F151)</f>
        <v>2085.6</v>
      </c>
      <c r="G152" s="562"/>
    </row>
    <row r="153" spans="1:7" ht="16.5">
      <c r="A153" s="562"/>
      <c r="B153" s="569"/>
      <c r="C153" s="562"/>
      <c r="D153" s="562"/>
      <c r="E153" s="576"/>
      <c r="F153" s="577" t="s">
        <v>1615</v>
      </c>
      <c r="G153" s="562"/>
    </row>
    <row r="155" spans="1:7">
      <c r="A155" s="1566" t="s">
        <v>4031</v>
      </c>
      <c r="B155" s="1566"/>
      <c r="C155" s="1566"/>
      <c r="D155" s="1566"/>
      <c r="E155" s="1566"/>
      <c r="F155" s="1566"/>
    </row>
    <row r="156" spans="1:7">
      <c r="A156" s="1566"/>
      <c r="B156" s="1566"/>
      <c r="C156" s="1566"/>
      <c r="D156" s="1566"/>
      <c r="E156" s="1566"/>
      <c r="F156" s="1566"/>
    </row>
    <row r="157" spans="1:7" ht="16.5">
      <c r="A157" s="566"/>
      <c r="B157" s="567"/>
      <c r="C157" s="568"/>
      <c r="D157" s="564"/>
      <c r="E157" s="567"/>
      <c r="F157" s="564"/>
    </row>
    <row r="158" spans="1:7" ht="16.5">
      <c r="A158" s="566">
        <v>6.56</v>
      </c>
      <c r="B158" s="567" t="s">
        <v>929</v>
      </c>
      <c r="C158" s="568" t="s">
        <v>4019</v>
      </c>
      <c r="D158" s="564">
        <f>D135</f>
        <v>325</v>
      </c>
      <c r="E158" s="567" t="s">
        <v>929</v>
      </c>
      <c r="F158" s="564">
        <f>D158*A158</f>
        <v>2132</v>
      </c>
    </row>
    <row r="159" spans="1:7" ht="16.5">
      <c r="A159" s="566">
        <v>1.0129999999999999</v>
      </c>
      <c r="B159" s="567" t="s">
        <v>236</v>
      </c>
      <c r="C159" s="568" t="s">
        <v>4003</v>
      </c>
      <c r="D159" s="564">
        <f>D136</f>
        <v>208.8</v>
      </c>
      <c r="E159" s="567" t="s">
        <v>236</v>
      </c>
      <c r="F159" s="564">
        <f t="shared" ref="F159:F164" si="8">D159*A159</f>
        <v>211.51</v>
      </c>
    </row>
    <row r="160" spans="1:7" ht="16.5">
      <c r="A160" s="566">
        <v>4.2</v>
      </c>
      <c r="B160" s="567" t="s">
        <v>842</v>
      </c>
      <c r="C160" s="568" t="s">
        <v>4002</v>
      </c>
      <c r="D160" s="564">
        <f>D137</f>
        <v>27.1</v>
      </c>
      <c r="E160" s="567" t="s">
        <v>842</v>
      </c>
      <c r="F160" s="564">
        <f t="shared" si="8"/>
        <v>113.82</v>
      </c>
    </row>
    <row r="161" spans="1:7" ht="16.5">
      <c r="A161" s="566">
        <v>1</v>
      </c>
      <c r="B161" s="567" t="s">
        <v>4011</v>
      </c>
      <c r="C161" s="568" t="str">
        <f>C138</f>
        <v>10" I Max hinges (304 grade) qtn</v>
      </c>
      <c r="D161" s="564">
        <f>D138</f>
        <v>350</v>
      </c>
      <c r="E161" s="567" t="s">
        <v>785</v>
      </c>
      <c r="F161" s="564">
        <f t="shared" si="8"/>
        <v>350</v>
      </c>
    </row>
    <row r="162" spans="1:7" ht="16.5">
      <c r="A162" s="566">
        <v>1</v>
      </c>
      <c r="B162" s="567" t="s">
        <v>785</v>
      </c>
      <c r="C162" s="568" t="s">
        <v>4004</v>
      </c>
      <c r="D162" s="564">
        <f>D139</f>
        <v>48</v>
      </c>
      <c r="E162" s="567" t="s">
        <v>785</v>
      </c>
      <c r="F162" s="564">
        <f t="shared" si="8"/>
        <v>48</v>
      </c>
    </row>
    <row r="163" spans="1:7" ht="16.5">
      <c r="A163" s="566">
        <v>4</v>
      </c>
      <c r="B163" s="567" t="s">
        <v>785</v>
      </c>
      <c r="C163" s="568" t="s">
        <v>4006</v>
      </c>
      <c r="D163" s="564">
        <v>15</v>
      </c>
      <c r="E163" s="567" t="s">
        <v>785</v>
      </c>
      <c r="F163" s="564">
        <f>D163*A163</f>
        <v>60</v>
      </c>
    </row>
    <row r="164" spans="1:7" ht="16.5">
      <c r="A164" s="566">
        <v>1.0129999999999999</v>
      </c>
      <c r="B164" s="567" t="s">
        <v>2322</v>
      </c>
      <c r="C164" s="568" t="s">
        <v>4007</v>
      </c>
      <c r="D164" s="562">
        <f>D141</f>
        <v>2085.6</v>
      </c>
      <c r="E164" s="567" t="s">
        <v>2322</v>
      </c>
      <c r="F164" s="564">
        <f t="shared" si="8"/>
        <v>2112.71</v>
      </c>
    </row>
    <row r="165" spans="1:7" ht="16.5">
      <c r="A165" s="566"/>
      <c r="B165" s="567"/>
      <c r="C165" s="568" t="s">
        <v>2310</v>
      </c>
      <c r="D165" s="562"/>
      <c r="E165" s="563"/>
      <c r="F165" s="564"/>
    </row>
    <row r="166" spans="1:7" ht="23.25" customHeight="1">
      <c r="A166" s="566"/>
      <c r="B166" s="567"/>
      <c r="C166" s="570" t="s">
        <v>3595</v>
      </c>
      <c r="D166" s="572"/>
      <c r="E166" s="561"/>
      <c r="F166" s="571">
        <f>SUM(F158:F165)</f>
        <v>5028.04</v>
      </c>
    </row>
    <row r="167" spans="1:7" ht="13.5" customHeight="1">
      <c r="A167" s="566"/>
      <c r="B167" s="567"/>
      <c r="C167" s="36" t="s">
        <v>4032</v>
      </c>
      <c r="D167" s="562"/>
      <c r="E167" s="562"/>
      <c r="F167" s="36">
        <f>F166/A164</f>
        <v>4963.51</v>
      </c>
      <c r="G167" s="562" t="s">
        <v>2322</v>
      </c>
    </row>
    <row r="168" spans="1:7" ht="16.5">
      <c r="A168" s="562"/>
      <c r="B168" s="562"/>
      <c r="C168" s="575"/>
      <c r="D168" s="562"/>
      <c r="E168" s="562"/>
      <c r="F168" s="562"/>
    </row>
    <row r="169" spans="1:7" ht="16.5">
      <c r="A169" s="564">
        <v>1</v>
      </c>
      <c r="B169" s="567" t="s">
        <v>884</v>
      </c>
      <c r="C169" s="568" t="s">
        <v>4013</v>
      </c>
      <c r="D169" s="564">
        <f>D147</f>
        <v>919.6</v>
      </c>
      <c r="E169" s="568" t="s">
        <v>884</v>
      </c>
      <c r="F169" s="564">
        <f>D169*A169</f>
        <v>919.6</v>
      </c>
    </row>
    <row r="170" spans="1:7" ht="16.5">
      <c r="A170" s="564">
        <v>1</v>
      </c>
      <c r="B170" s="567" t="s">
        <v>884</v>
      </c>
      <c r="C170" s="568" t="s">
        <v>4014</v>
      </c>
      <c r="D170" s="564">
        <f>D148</f>
        <v>679.8</v>
      </c>
      <c r="E170" s="568" t="s">
        <v>884</v>
      </c>
      <c r="F170" s="564">
        <f>D170*A170</f>
        <v>679.8</v>
      </c>
    </row>
    <row r="171" spans="1:7" ht="16.5">
      <c r="A171" s="564">
        <v>0.5</v>
      </c>
      <c r="B171" s="567" t="s">
        <v>884</v>
      </c>
      <c r="C171" s="568" t="s">
        <v>4015</v>
      </c>
      <c r="D171" s="564">
        <f>D149</f>
        <v>972.4</v>
      </c>
      <c r="E171" s="568" t="s">
        <v>884</v>
      </c>
      <c r="F171" s="564">
        <f>D171*A171</f>
        <v>486.2</v>
      </c>
    </row>
    <row r="172" spans="1:7" ht="35.25" hidden="1" customHeight="1">
      <c r="A172" s="562"/>
      <c r="B172" s="567"/>
      <c r="C172" s="568"/>
      <c r="D172" s="564"/>
      <c r="E172" s="568"/>
      <c r="F172" s="564"/>
    </row>
    <row r="173" spans="1:7" ht="15.75" hidden="1" customHeight="1">
      <c r="A173" s="562"/>
      <c r="B173" s="569"/>
      <c r="C173" s="562"/>
      <c r="D173" s="562"/>
      <c r="E173" s="576"/>
      <c r="F173" s="577" t="s">
        <v>1615</v>
      </c>
    </row>
    <row r="174" spans="1:7" ht="15.75" hidden="1" customHeight="1">
      <c r="A174" s="562"/>
      <c r="B174" s="569"/>
      <c r="C174" s="568" t="s">
        <v>4016</v>
      </c>
      <c r="D174" s="562"/>
      <c r="E174" s="576"/>
      <c r="F174" s="571">
        <f>SUM(F169:F173)</f>
        <v>2085.6</v>
      </c>
    </row>
    <row r="175" spans="1:7" ht="15.75" hidden="1" customHeight="1">
      <c r="A175" s="562"/>
      <c r="B175" s="569"/>
      <c r="C175" s="562"/>
      <c r="D175" s="562"/>
      <c r="E175" s="576"/>
      <c r="F175" s="577" t="s">
        <v>1615</v>
      </c>
    </row>
    <row r="176" spans="1:7">
      <c r="F176" s="36">
        <f>SUM(F174)</f>
        <v>2085.6</v>
      </c>
    </row>
    <row r="178" spans="1:7" ht="19.5">
      <c r="B178" s="3"/>
      <c r="C178" s="216"/>
      <c r="D178" s="1567"/>
      <c r="E178" s="1567"/>
      <c r="F178" s="1567"/>
    </row>
    <row r="179" spans="1:7">
      <c r="A179" s="15"/>
      <c r="B179" s="7"/>
      <c r="C179" s="1"/>
      <c r="D179" s="8"/>
      <c r="E179" s="7"/>
      <c r="F179" s="8"/>
    </row>
    <row r="180" spans="1:7">
      <c r="A180" s="117"/>
      <c r="B180" s="118" t="s">
        <v>2290</v>
      </c>
      <c r="C180" s="119" t="s">
        <v>4733</v>
      </c>
      <c r="D180" s="110"/>
      <c r="E180" s="113"/>
      <c r="F180" s="110"/>
      <c r="G180" s="50"/>
    </row>
    <row r="181" spans="1:7">
      <c r="A181" s="110"/>
      <c r="B181" s="111"/>
      <c r="C181" s="119" t="s">
        <v>4734</v>
      </c>
      <c r="D181" s="110"/>
      <c r="E181" s="113"/>
      <c r="F181" s="110"/>
      <c r="G181" s="50"/>
    </row>
    <row r="182" spans="1:7" ht="18">
      <c r="A182" s="110"/>
      <c r="B182" s="111"/>
      <c r="C182" s="382" t="s">
        <v>4735</v>
      </c>
      <c r="D182" s="110"/>
      <c r="E182" s="113"/>
      <c r="F182" s="110"/>
      <c r="G182" s="50"/>
    </row>
    <row r="183" spans="1:7">
      <c r="A183" s="110"/>
      <c r="B183" s="111"/>
      <c r="C183" s="120" t="s">
        <v>1615</v>
      </c>
      <c r="D183" s="110"/>
      <c r="E183" s="113"/>
      <c r="F183" s="110"/>
      <c r="G183" s="50"/>
    </row>
    <row r="184" spans="1:7">
      <c r="A184" s="110"/>
      <c r="B184" s="111"/>
      <c r="C184" s="771" t="s">
        <v>4736</v>
      </c>
      <c r="D184" s="114"/>
      <c r="E184" s="383"/>
      <c r="F184" s="110"/>
      <c r="G184" s="50"/>
    </row>
    <row r="185" spans="1:7">
      <c r="A185" s="110"/>
      <c r="B185" s="111"/>
      <c r="C185" s="119" t="s">
        <v>4737</v>
      </c>
      <c r="D185" s="114"/>
      <c r="E185" s="383"/>
      <c r="F185" s="110"/>
      <c r="G185" s="50"/>
    </row>
    <row r="186" spans="1:7">
      <c r="A186" s="110"/>
      <c r="B186" s="111"/>
      <c r="C186" s="119" t="s">
        <v>4738</v>
      </c>
      <c r="G186" s="50"/>
    </row>
    <row r="187" spans="1:7">
      <c r="A187" s="110"/>
      <c r="B187" s="111"/>
      <c r="C187" s="119" t="s">
        <v>4755</v>
      </c>
      <c r="D187" s="114" t="s">
        <v>2091</v>
      </c>
      <c r="E187" s="384">
        <f>2*2*3*0.15*0.15</f>
        <v>0.27</v>
      </c>
      <c r="F187" s="110" t="s">
        <v>2190</v>
      </c>
      <c r="G187" s="50"/>
    </row>
    <row r="188" spans="1:7" ht="39" customHeight="1">
      <c r="A188" s="110"/>
      <c r="B188" s="111"/>
      <c r="C188" s="119" t="s">
        <v>4739</v>
      </c>
      <c r="D188" s="114" t="s">
        <v>2091</v>
      </c>
      <c r="E188" s="384">
        <f>4*2*0.15*0.15*2.4</f>
        <v>0.432</v>
      </c>
      <c r="F188" s="110" t="s">
        <v>2190</v>
      </c>
      <c r="G188" s="50"/>
    </row>
    <row r="189" spans="1:7" ht="22.5" customHeight="1">
      <c r="A189" s="110"/>
      <c r="B189" s="111"/>
      <c r="C189" s="119"/>
      <c r="D189" s="114"/>
      <c r="E189" s="120" t="s">
        <v>1615</v>
      </c>
      <c r="F189" s="130"/>
      <c r="G189" s="50"/>
    </row>
    <row r="190" spans="1:7" ht="16.5" customHeight="1">
      <c r="A190" s="110"/>
      <c r="B190" s="111"/>
      <c r="C190" s="110"/>
      <c r="D190" s="110"/>
      <c r="E190" s="415">
        <f>SUM(E187:E189)</f>
        <v>0.70199999999999996</v>
      </c>
      <c r="F190" s="36" t="s">
        <v>2190</v>
      </c>
      <c r="G190" s="50"/>
    </row>
    <row r="191" spans="1:7" ht="16.5" customHeight="1">
      <c r="A191" s="110"/>
      <c r="B191" s="111"/>
      <c r="C191" s="119" t="s">
        <v>4756</v>
      </c>
      <c r="D191" s="110"/>
      <c r="E191" s="157"/>
      <c r="F191" s="135"/>
      <c r="G191" s="50"/>
    </row>
    <row r="192" spans="1:7" ht="27.75" customHeight="1">
      <c r="A192" s="110"/>
      <c r="B192" s="111"/>
      <c r="C192" s="119" t="s">
        <v>4740</v>
      </c>
      <c r="D192" s="110"/>
      <c r="E192" s="391"/>
      <c r="F192" s="135"/>
      <c r="G192" s="50"/>
    </row>
    <row r="193" spans="1:8" ht="14.25" customHeight="1">
      <c r="A193" s="110"/>
      <c r="B193" s="111"/>
      <c r="C193" s="119"/>
      <c r="D193" s="110"/>
      <c r="E193" s="391"/>
      <c r="F193" s="135"/>
      <c r="G193" s="50"/>
    </row>
    <row r="194" spans="1:8" ht="39" customHeight="1">
      <c r="A194" s="136">
        <f>D197</f>
        <v>0.1208</v>
      </c>
      <c r="B194" s="111" t="s">
        <v>885</v>
      </c>
      <c r="C194" s="772" t="s">
        <v>4741</v>
      </c>
      <c r="D194" s="381">
        <f>3*1*1.8*0.15*0.05</f>
        <v>4.0500000000000001E-2</v>
      </c>
      <c r="E194" s="110">
        <v>106376</v>
      </c>
      <c r="F194" s="117" t="s">
        <v>885</v>
      </c>
      <c r="G194" s="121">
        <f>E194*A194</f>
        <v>12850.22</v>
      </c>
    </row>
    <row r="195" spans="1:8" ht="39" customHeight="1">
      <c r="A195" s="136"/>
      <c r="B195" s="111"/>
      <c r="C195" s="110" t="s">
        <v>4742</v>
      </c>
      <c r="D195" s="136">
        <f>6*1*0.1*0.05*2.15</f>
        <v>6.4500000000000002E-2</v>
      </c>
      <c r="E195" s="117"/>
      <c r="F195" s="121"/>
      <c r="G195" s="50"/>
    </row>
    <row r="196" spans="1:8" ht="39" customHeight="1">
      <c r="A196" s="136"/>
      <c r="B196" s="111"/>
      <c r="C196" s="110" t="s">
        <v>4743</v>
      </c>
      <c r="D196" s="136">
        <f>2*3*0.35*0.15*0.05</f>
        <v>1.5800000000000002E-2</v>
      </c>
      <c r="E196" s="117"/>
      <c r="F196" s="121"/>
      <c r="G196" s="50"/>
    </row>
    <row r="197" spans="1:8" ht="39" customHeight="1">
      <c r="A197" s="136"/>
      <c r="B197" s="111"/>
      <c r="C197" s="110"/>
      <c r="D197" s="775">
        <f>SUM(D194:D196)</f>
        <v>0.1208</v>
      </c>
      <c r="E197" s="117"/>
      <c r="F197" s="121"/>
      <c r="G197" s="50"/>
    </row>
    <row r="198" spans="1:8" ht="54.75" customHeight="1">
      <c r="A198" s="130">
        <v>4.5969999999999997E-2</v>
      </c>
      <c r="B198" s="118" t="s">
        <v>885</v>
      </c>
      <c r="C198" s="126" t="s">
        <v>4758</v>
      </c>
      <c r="D198" s="168">
        <f>8*1*0.815*0.35*0.01875</f>
        <v>4.2790000000000002E-2</v>
      </c>
      <c r="E198" s="121">
        <v>101921</v>
      </c>
      <c r="F198" s="117" t="s">
        <v>885</v>
      </c>
      <c r="G198" s="121">
        <f>E198*A198</f>
        <v>4685.3100000000004</v>
      </c>
      <c r="H198" s="50"/>
    </row>
    <row r="199" spans="1:8" ht="30.75">
      <c r="A199" s="130">
        <f>D199</f>
        <v>3.98</v>
      </c>
      <c r="B199" s="118" t="s">
        <v>885</v>
      </c>
      <c r="C199" s="126" t="s">
        <v>4757</v>
      </c>
      <c r="D199">
        <f>1.85*2.15</f>
        <v>3.98</v>
      </c>
      <c r="E199" s="121">
        <f>Data!AE30</f>
        <v>1602.7</v>
      </c>
      <c r="F199" s="117" t="s">
        <v>2322</v>
      </c>
      <c r="G199" s="121">
        <f>E199*A199</f>
        <v>6378.75</v>
      </c>
      <c r="H199" s="50"/>
    </row>
    <row r="200" spans="1:8">
      <c r="A200" s="130">
        <f>D200</f>
        <v>17.399999999999999</v>
      </c>
      <c r="B200" s="118" t="s">
        <v>1805</v>
      </c>
      <c r="C200" s="126" t="s">
        <v>4759</v>
      </c>
      <c r="D200">
        <f>6*2+3*1.8</f>
        <v>17.399999999999999</v>
      </c>
      <c r="E200" s="121">
        <v>30</v>
      </c>
      <c r="F200" s="117" t="s">
        <v>1805</v>
      </c>
      <c r="G200" s="121">
        <f>E200*A200</f>
        <v>522</v>
      </c>
      <c r="H200" s="50"/>
    </row>
    <row r="201" spans="1:8">
      <c r="A201" s="132"/>
      <c r="B201" s="111"/>
      <c r="C201" s="119"/>
      <c r="E201" s="121"/>
      <c r="F201" s="113"/>
      <c r="G201" s="121">
        <f>E201*A201</f>
        <v>0</v>
      </c>
      <c r="H201" s="50"/>
    </row>
    <row r="202" spans="1:8">
      <c r="A202" s="132"/>
      <c r="B202" s="111"/>
      <c r="C202" s="119" t="s">
        <v>4760</v>
      </c>
      <c r="E202" s="121"/>
      <c r="F202" s="113"/>
      <c r="G202" s="121"/>
      <c r="H202" s="50"/>
    </row>
    <row r="203" spans="1:8" ht="37.5" customHeight="1">
      <c r="A203" s="132">
        <f>D205</f>
        <v>1.26</v>
      </c>
      <c r="B203" s="118" t="s">
        <v>621</v>
      </c>
      <c r="C203" s="126" t="s">
        <v>4763</v>
      </c>
      <c r="D203">
        <f>2*1*0.35*1.4</f>
        <v>0.98</v>
      </c>
      <c r="E203" s="121">
        <v>336</v>
      </c>
      <c r="F203" s="113" t="s">
        <v>621</v>
      </c>
      <c r="G203" s="121">
        <f>E203*A203</f>
        <v>423.36</v>
      </c>
      <c r="H203" s="50"/>
    </row>
    <row r="204" spans="1:8" ht="37.5" customHeight="1">
      <c r="A204" s="132"/>
      <c r="B204" s="118"/>
      <c r="C204" s="126" t="s">
        <v>4761</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1805</v>
      </c>
      <c r="C206" s="126" t="s">
        <v>4764</v>
      </c>
      <c r="D206">
        <v>9.8000000000000007</v>
      </c>
      <c r="E206" s="121">
        <v>59</v>
      </c>
      <c r="F206" s="113" t="s">
        <v>842</v>
      </c>
      <c r="G206" s="121">
        <f t="shared" ref="G206:G214" si="9">E206*A206</f>
        <v>578.20000000000005</v>
      </c>
      <c r="H206" s="50"/>
    </row>
    <row r="207" spans="1:8" ht="47.25">
      <c r="A207" s="132">
        <f>D207</f>
        <v>1.51</v>
      </c>
      <c r="B207" s="118" t="s">
        <v>621</v>
      </c>
      <c r="C207" s="773" t="s">
        <v>4744</v>
      </c>
      <c r="D207">
        <f>2*1*0.35*2.15</f>
        <v>1.51</v>
      </c>
      <c r="E207" s="121">
        <f>Data!AE32</f>
        <v>1498.2</v>
      </c>
      <c r="F207" s="117" t="s">
        <v>621</v>
      </c>
      <c r="G207" s="121">
        <f t="shared" si="9"/>
        <v>2262.2800000000002</v>
      </c>
      <c r="H207" s="50"/>
    </row>
    <row r="208" spans="1:8">
      <c r="A208" s="121"/>
      <c r="B208" s="118"/>
      <c r="C208" s="108" t="s">
        <v>2865</v>
      </c>
      <c r="E208" s="121"/>
      <c r="F208" s="117"/>
      <c r="G208" s="121">
        <f t="shared" si="9"/>
        <v>0</v>
      </c>
      <c r="H208" s="50"/>
    </row>
    <row r="209" spans="1:8">
      <c r="A209" s="121">
        <v>8</v>
      </c>
      <c r="B209" s="118" t="s">
        <v>884</v>
      </c>
      <c r="C209" s="119" t="s">
        <v>4745</v>
      </c>
      <c r="E209" s="121">
        <f>Data!P2645</f>
        <v>214.1</v>
      </c>
      <c r="F209" s="117" t="s">
        <v>884</v>
      </c>
      <c r="G209" s="121">
        <f t="shared" si="9"/>
        <v>1712.8</v>
      </c>
      <c r="H209" s="50"/>
    </row>
    <row r="210" spans="1:8">
      <c r="A210" s="121">
        <v>3</v>
      </c>
      <c r="B210" s="118" t="s">
        <v>884</v>
      </c>
      <c r="C210" s="119" t="s">
        <v>4746</v>
      </c>
      <c r="E210" s="121">
        <f>Data!P2646</f>
        <v>408</v>
      </c>
      <c r="F210" s="117" t="s">
        <v>884</v>
      </c>
      <c r="G210" s="121">
        <f t="shared" si="9"/>
        <v>1224</v>
      </c>
      <c r="H210" s="50"/>
    </row>
    <row r="211" spans="1:8">
      <c r="A211" s="121">
        <v>1</v>
      </c>
      <c r="B211" s="118" t="s">
        <v>884</v>
      </c>
      <c r="C211" s="119" t="s">
        <v>4747</v>
      </c>
      <c r="E211" s="774">
        <v>320</v>
      </c>
      <c r="F211" s="117" t="s">
        <v>884</v>
      </c>
      <c r="G211" s="121">
        <f t="shared" si="9"/>
        <v>320</v>
      </c>
      <c r="H211" s="50"/>
    </row>
    <row r="212" spans="1:8">
      <c r="A212" s="121">
        <v>2</v>
      </c>
      <c r="B212" s="118" t="s">
        <v>884</v>
      </c>
      <c r="C212" s="119" t="s">
        <v>4748</v>
      </c>
      <c r="E212" s="121">
        <v>650</v>
      </c>
      <c r="F212" s="117" t="s">
        <v>884</v>
      </c>
      <c r="G212" s="121">
        <f t="shared" si="9"/>
        <v>1300</v>
      </c>
      <c r="H212" s="50"/>
    </row>
    <row r="213" spans="1:8">
      <c r="A213" s="121">
        <v>2</v>
      </c>
      <c r="B213" s="118" t="s">
        <v>884</v>
      </c>
      <c r="C213" s="119" t="s">
        <v>4749</v>
      </c>
      <c r="E213" s="121">
        <v>200</v>
      </c>
      <c r="F213" s="117" t="s">
        <v>884</v>
      </c>
      <c r="G213" s="121">
        <f t="shared" si="9"/>
        <v>400</v>
      </c>
      <c r="H213" s="50"/>
    </row>
    <row r="214" spans="1:8">
      <c r="A214" s="121">
        <v>2</v>
      </c>
      <c r="B214" s="118" t="s">
        <v>884</v>
      </c>
      <c r="C214" s="119" t="s">
        <v>4750</v>
      </c>
      <c r="E214" s="121">
        <v>60</v>
      </c>
      <c r="F214" s="117" t="s">
        <v>884</v>
      </c>
      <c r="G214" s="121">
        <f t="shared" si="9"/>
        <v>120</v>
      </c>
      <c r="H214" s="50"/>
    </row>
    <row r="215" spans="1:8" hidden="1">
      <c r="A215" s="110"/>
      <c r="B215" s="111"/>
      <c r="C215" s="110" t="s">
        <v>4751</v>
      </c>
      <c r="E215" s="117" t="s">
        <v>669</v>
      </c>
      <c r="F215" s="113"/>
      <c r="G215" s="392">
        <v>400</v>
      </c>
      <c r="H215" s="50"/>
    </row>
    <row r="216" spans="1:8">
      <c r="A216" s="110"/>
      <c r="B216" s="111"/>
      <c r="C216" s="110" t="s">
        <v>4762</v>
      </c>
      <c r="E216" s="121"/>
      <c r="F216" s="113" t="s">
        <v>669</v>
      </c>
      <c r="G216" s="124">
        <v>400</v>
      </c>
      <c r="H216" s="50"/>
    </row>
    <row r="217" spans="1:8">
      <c r="A217" s="110"/>
      <c r="B217" s="111"/>
      <c r="E217" s="121"/>
      <c r="F217" s="113"/>
      <c r="G217" s="121"/>
      <c r="H217" s="50"/>
    </row>
    <row r="218" spans="1:8">
      <c r="A218" s="110"/>
      <c r="B218" s="111"/>
      <c r="C218" s="119" t="s">
        <v>3925</v>
      </c>
      <c r="E218" s="121"/>
      <c r="F218" s="113"/>
      <c r="G218" s="120">
        <f>SUM(G194:G217)</f>
        <v>33576.92</v>
      </c>
      <c r="H218" s="50"/>
    </row>
    <row r="219" spans="1:8">
      <c r="A219" s="110"/>
      <c r="B219" s="111"/>
      <c r="C219" s="108" t="s">
        <v>562</v>
      </c>
      <c r="E219" s="110"/>
      <c r="F219" s="115" t="s">
        <v>736</v>
      </c>
      <c r="G219" s="109">
        <v>27750</v>
      </c>
      <c r="H219" s="415" t="s">
        <v>3695</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566" t="s">
        <v>4277</v>
      </c>
      <c r="B247" s="1566"/>
      <c r="C247" s="1566"/>
      <c r="D247" s="1566"/>
      <c r="E247" s="561"/>
      <c r="F247" s="561"/>
      <c r="G247" s="562"/>
    </row>
    <row r="248" spans="1:8" ht="16.5">
      <c r="A248" s="566"/>
      <c r="B248" s="567"/>
      <c r="C248" s="574"/>
      <c r="D248" s="564"/>
      <c r="E248" s="567"/>
      <c r="F248" s="564"/>
      <c r="G248" s="562"/>
    </row>
    <row r="249" spans="1:8" ht="16.5">
      <c r="A249" s="566"/>
      <c r="B249" s="567"/>
      <c r="C249" s="568"/>
      <c r="D249" s="564"/>
      <c r="E249" s="567"/>
      <c r="F249" s="564"/>
      <c r="G249" s="562"/>
    </row>
    <row r="250" spans="1:8" ht="16.5">
      <c r="A250" s="566">
        <v>28.49</v>
      </c>
      <c r="B250" s="567" t="s">
        <v>929</v>
      </c>
      <c r="C250" s="650" t="s">
        <v>4278</v>
      </c>
      <c r="D250" s="564">
        <v>292</v>
      </c>
      <c r="E250" s="567" t="s">
        <v>929</v>
      </c>
      <c r="F250" s="564">
        <f>D250*A250</f>
        <v>8319.08</v>
      </c>
      <c r="G250" s="562"/>
    </row>
    <row r="251" spans="1:8" ht="16.5">
      <c r="A251" s="615">
        <v>3.82</v>
      </c>
      <c r="B251" s="567" t="s">
        <v>842</v>
      </c>
      <c r="C251" s="568" t="s">
        <v>4210</v>
      </c>
      <c r="D251" s="564">
        <v>36.299999999999997</v>
      </c>
      <c r="E251" s="567" t="s">
        <v>842</v>
      </c>
      <c r="F251" s="564">
        <v>501.66</v>
      </c>
      <c r="G251" s="562"/>
    </row>
    <row r="252" spans="1:8" ht="16.5">
      <c r="A252" s="566">
        <v>1.52</v>
      </c>
      <c r="B252" s="567" t="s">
        <v>236</v>
      </c>
      <c r="C252" s="568" t="s">
        <v>4208</v>
      </c>
      <c r="D252" s="564">
        <v>387.2</v>
      </c>
      <c r="E252" s="567" t="s">
        <v>236</v>
      </c>
      <c r="F252" s="564">
        <f t="shared" ref="F252:F261" si="10">D252*A252</f>
        <v>588.54</v>
      </c>
      <c r="G252" s="562"/>
    </row>
    <row r="253" spans="1:8" ht="16.5">
      <c r="A253" s="566">
        <v>1.52</v>
      </c>
      <c r="B253" s="567" t="s">
        <v>236</v>
      </c>
      <c r="C253" s="568" t="s">
        <v>4209</v>
      </c>
      <c r="D253" s="564">
        <v>695</v>
      </c>
      <c r="E253" s="567" t="s">
        <v>785</v>
      </c>
      <c r="F253" s="564">
        <f t="shared" si="10"/>
        <v>1056.4000000000001</v>
      </c>
      <c r="G253" s="562"/>
    </row>
    <row r="254" spans="1:8" ht="16.5">
      <c r="A254" s="566">
        <v>3</v>
      </c>
      <c r="B254" s="567" t="s">
        <v>225</v>
      </c>
      <c r="C254" s="568" t="s">
        <v>4211</v>
      </c>
      <c r="D254" s="564">
        <v>9</v>
      </c>
      <c r="E254" s="567" t="s">
        <v>225</v>
      </c>
      <c r="F254" s="564">
        <f t="shared" si="10"/>
        <v>27</v>
      </c>
      <c r="G254" s="562"/>
      <c r="H254" s="612"/>
    </row>
    <row r="255" spans="1:8" ht="16.5">
      <c r="A255" s="566">
        <v>4.2</v>
      </c>
      <c r="B255" s="567" t="s">
        <v>1423</v>
      </c>
      <c r="C255" s="568" t="s">
        <v>4279</v>
      </c>
      <c r="D255" s="564">
        <v>8.4499999999999993</v>
      </c>
      <c r="E255" s="567" t="s">
        <v>785</v>
      </c>
      <c r="F255" s="564">
        <f t="shared" si="10"/>
        <v>35.49</v>
      </c>
      <c r="G255" s="562"/>
      <c r="H255" s="612"/>
    </row>
    <row r="256" spans="1:8" ht="16.5">
      <c r="A256" s="566">
        <v>3.15</v>
      </c>
      <c r="B256" s="567" t="s">
        <v>2322</v>
      </c>
      <c r="C256" s="568" t="s">
        <v>4007</v>
      </c>
      <c r="D256" s="562">
        <f>F272</f>
        <v>0</v>
      </c>
      <c r="E256" s="567" t="s">
        <v>2322</v>
      </c>
      <c r="F256" s="564">
        <f t="shared" si="10"/>
        <v>0</v>
      </c>
      <c r="G256" s="562"/>
      <c r="H256" s="612"/>
    </row>
    <row r="257" spans="1:8" ht="16.5">
      <c r="A257" s="36">
        <v>1</v>
      </c>
      <c r="B257" s="72" t="s">
        <v>1907</v>
      </c>
      <c r="C257" s="36" t="s">
        <v>4280</v>
      </c>
      <c r="D257" s="36">
        <v>44.4</v>
      </c>
      <c r="E257" s="98" t="s">
        <v>1423</v>
      </c>
      <c r="F257" s="36">
        <f t="shared" si="10"/>
        <v>44.4</v>
      </c>
      <c r="G257" s="562"/>
      <c r="H257" s="612"/>
    </row>
    <row r="258" spans="1:8" ht="16.5">
      <c r="A258" s="36">
        <v>1</v>
      </c>
      <c r="B258" s="72" t="s">
        <v>1907</v>
      </c>
      <c r="C258" s="36" t="s">
        <v>4281</v>
      </c>
      <c r="D258" s="36">
        <v>867.3</v>
      </c>
      <c r="E258" s="98" t="s">
        <v>1423</v>
      </c>
      <c r="F258" s="36">
        <f t="shared" si="10"/>
        <v>867.3</v>
      </c>
      <c r="G258" s="562"/>
      <c r="H258" s="612"/>
    </row>
    <row r="259" spans="1:8" ht="18">
      <c r="A259" s="616">
        <v>45</v>
      </c>
      <c r="B259" s="617" t="s">
        <v>1907</v>
      </c>
      <c r="C259" s="616" t="s">
        <v>4282</v>
      </c>
      <c r="D259" s="618">
        <v>1.65</v>
      </c>
      <c r="E259" s="619" t="s">
        <v>1419</v>
      </c>
      <c r="F259" s="564">
        <f t="shared" si="10"/>
        <v>74.25</v>
      </c>
      <c r="G259" s="562"/>
      <c r="H259" s="612"/>
    </row>
    <row r="260" spans="1:8" ht="18">
      <c r="A260" s="616">
        <v>2</v>
      </c>
      <c r="B260" s="617" t="s">
        <v>1907</v>
      </c>
      <c r="C260" s="616" t="s">
        <v>4283</v>
      </c>
      <c r="D260" s="618">
        <v>76.2</v>
      </c>
      <c r="E260" s="98" t="s">
        <v>1423</v>
      </c>
      <c r="F260" s="564">
        <f t="shared" si="10"/>
        <v>152.4</v>
      </c>
      <c r="G260" s="562"/>
      <c r="H260" s="612"/>
    </row>
    <row r="261" spans="1:8" ht="18">
      <c r="A261" s="616">
        <v>2</v>
      </c>
      <c r="B261" s="617" t="s">
        <v>1907</v>
      </c>
      <c r="C261" s="616" t="s">
        <v>4284</v>
      </c>
      <c r="D261" s="618">
        <v>50.6</v>
      </c>
      <c r="E261" s="98" t="s">
        <v>1423</v>
      </c>
      <c r="F261" s="564">
        <f t="shared" si="10"/>
        <v>101.2</v>
      </c>
      <c r="G261" s="562"/>
      <c r="H261" s="612"/>
    </row>
    <row r="262" spans="1:8" ht="16.5">
      <c r="F262" s="50"/>
      <c r="G262" s="562"/>
      <c r="H262" s="612"/>
    </row>
    <row r="263" spans="1:8" ht="16.5">
      <c r="A263" s="566"/>
      <c r="B263" s="567"/>
      <c r="C263" s="568"/>
      <c r="D263" s="562"/>
      <c r="E263" s="563"/>
      <c r="F263" s="564"/>
      <c r="G263" s="562"/>
      <c r="H263" s="612"/>
    </row>
    <row r="264" spans="1:8" ht="16.5">
      <c r="A264" s="566"/>
      <c r="B264" s="567"/>
      <c r="C264" s="1" t="s">
        <v>4285</v>
      </c>
      <c r="E264" s="567"/>
      <c r="F264" s="564">
        <f>SUM(F250:F263)</f>
        <v>11767.72</v>
      </c>
      <c r="G264" s="562"/>
      <c r="H264" s="612"/>
    </row>
    <row r="265" spans="1:8" ht="16.5">
      <c r="A265" s="566"/>
      <c r="B265" s="567"/>
      <c r="C265" s="1" t="s">
        <v>562</v>
      </c>
      <c r="E265" s="561"/>
      <c r="F265" s="571">
        <f>F264/3.15</f>
        <v>3735.78</v>
      </c>
      <c r="G265" s="572" t="s">
        <v>1423</v>
      </c>
      <c r="H265" s="612"/>
    </row>
    <row r="266" spans="1:8" ht="16.5">
      <c r="A266" s="562"/>
      <c r="B266" s="562"/>
      <c r="C266" s="575"/>
      <c r="D266" s="562"/>
      <c r="E266" s="562"/>
      <c r="F266" s="562"/>
      <c r="G266" s="562"/>
      <c r="H266" s="612"/>
    </row>
    <row r="267" spans="1:8" ht="16.5">
      <c r="A267" s="564">
        <v>1</v>
      </c>
      <c r="B267" s="567" t="s">
        <v>884</v>
      </c>
      <c r="C267" s="568" t="s">
        <v>4013</v>
      </c>
      <c r="D267" s="564">
        <f>E218</f>
        <v>0</v>
      </c>
      <c r="E267" s="568" t="s">
        <v>884</v>
      </c>
      <c r="F267" s="564">
        <f>D267*A267</f>
        <v>0</v>
      </c>
      <c r="G267" s="562"/>
      <c r="H267" s="612"/>
    </row>
    <row r="268" spans="1:8" ht="16.5">
      <c r="A268" s="564">
        <v>1</v>
      </c>
      <c r="B268" s="567" t="s">
        <v>884</v>
      </c>
      <c r="C268" s="568" t="s">
        <v>4014</v>
      </c>
      <c r="D268" s="564">
        <f>E219</f>
        <v>0</v>
      </c>
      <c r="E268" s="568" t="s">
        <v>884</v>
      </c>
      <c r="F268" s="564">
        <f>D268*A268</f>
        <v>0</v>
      </c>
      <c r="G268" s="562"/>
      <c r="H268" s="612"/>
    </row>
    <row r="269" spans="1:8" ht="16.5">
      <c r="A269" s="564">
        <v>0.5</v>
      </c>
      <c r="B269" s="567" t="s">
        <v>884</v>
      </c>
      <c r="C269" s="568" t="s">
        <v>4015</v>
      </c>
      <c r="D269" s="564">
        <f>D220</f>
        <v>0</v>
      </c>
      <c r="E269" s="568" t="s">
        <v>884</v>
      </c>
      <c r="F269" s="564">
        <f>D269*A269</f>
        <v>0</v>
      </c>
      <c r="G269" s="562"/>
      <c r="H269" s="612"/>
    </row>
    <row r="270" spans="1:8" ht="16.5">
      <c r="A270" s="562"/>
      <c r="B270" s="567" t="s">
        <v>455</v>
      </c>
      <c r="C270" s="568"/>
      <c r="D270" s="564"/>
      <c r="E270" s="568" t="s">
        <v>455</v>
      </c>
      <c r="F270" s="564"/>
      <c r="G270" s="562"/>
      <c r="H270" s="612"/>
    </row>
    <row r="271" spans="1:8" ht="16.5">
      <c r="A271" s="562"/>
      <c r="B271" s="569"/>
      <c r="C271" s="562"/>
      <c r="D271" s="562"/>
      <c r="E271" s="576"/>
      <c r="F271" s="577" t="s">
        <v>1615</v>
      </c>
      <c r="G271" s="562"/>
      <c r="H271" s="612"/>
    </row>
    <row r="272" spans="1:8" ht="16.5">
      <c r="A272" s="562"/>
      <c r="B272" s="569"/>
      <c r="C272" s="568" t="s">
        <v>4016</v>
      </c>
      <c r="D272" s="562"/>
      <c r="E272" s="576"/>
      <c r="F272" s="571">
        <f>SUM(F267:F271)</f>
        <v>0</v>
      </c>
      <c r="G272" s="562"/>
      <c r="H272" s="612"/>
    </row>
    <row r="273" spans="1:8" ht="16.5">
      <c r="A273" s="562"/>
      <c r="B273" s="569"/>
      <c r="C273" s="562"/>
      <c r="D273" s="562"/>
      <c r="E273" s="576"/>
      <c r="F273" s="577" t="s">
        <v>1615</v>
      </c>
      <c r="G273" s="562"/>
      <c r="H273" s="612"/>
    </row>
    <row r="274" spans="1:8">
      <c r="H274" s="612"/>
    </row>
    <row r="275" spans="1:8">
      <c r="H275" s="612"/>
    </row>
    <row r="276" spans="1:8">
      <c r="A276" s="612"/>
      <c r="B276" s="612"/>
      <c r="C276" s="612" t="s">
        <v>4286</v>
      </c>
      <c r="D276" s="612"/>
      <c r="E276" s="612"/>
      <c r="F276" s="612"/>
      <c r="H276" s="612"/>
    </row>
    <row r="277" spans="1:8" ht="16.5">
      <c r="A277" s="1566" t="s">
        <v>4289</v>
      </c>
      <c r="B277" s="1566"/>
      <c r="C277" s="1566"/>
      <c r="D277" s="1566"/>
      <c r="E277" s="561"/>
      <c r="F277" s="561"/>
      <c r="H277" s="612"/>
    </row>
    <row r="278" spans="1:8" ht="16.5">
      <c r="A278" s="566"/>
      <c r="B278" s="567"/>
      <c r="C278" s="574"/>
      <c r="D278" s="564"/>
      <c r="E278" s="567"/>
      <c r="F278" s="564"/>
      <c r="H278" s="612"/>
    </row>
    <row r="279" spans="1:8" ht="16.5">
      <c r="A279" s="566"/>
      <c r="B279" s="567"/>
      <c r="C279" s="568"/>
      <c r="D279" s="564"/>
      <c r="E279" s="567"/>
      <c r="F279" s="564"/>
    </row>
    <row r="280" spans="1:8" ht="16.5">
      <c r="A280" s="566">
        <v>29.06</v>
      </c>
      <c r="B280" s="567" t="s">
        <v>929</v>
      </c>
      <c r="C280" s="650" t="s">
        <v>4287</v>
      </c>
      <c r="D280" s="564">
        <v>321</v>
      </c>
      <c r="E280" s="567" t="s">
        <v>929</v>
      </c>
      <c r="F280" s="564">
        <f>D280*A280</f>
        <v>9328.26</v>
      </c>
    </row>
    <row r="281" spans="1:8" ht="16.5">
      <c r="A281" s="615">
        <v>9.24</v>
      </c>
      <c r="B281" s="567" t="s">
        <v>842</v>
      </c>
      <c r="C281" s="568" t="s">
        <v>4210</v>
      </c>
      <c r="D281" s="564">
        <v>38.799999999999997</v>
      </c>
      <c r="E281" s="567" t="s">
        <v>842</v>
      </c>
      <c r="F281" s="564">
        <f t="shared" ref="F281:F291" si="11">D281*A281</f>
        <v>358.51</v>
      </c>
    </row>
    <row r="282" spans="1:8" ht="16.5">
      <c r="A282" s="566">
        <v>1.49</v>
      </c>
      <c r="B282" s="567" t="s">
        <v>236</v>
      </c>
      <c r="C282" s="568" t="s">
        <v>4208</v>
      </c>
      <c r="D282" s="564">
        <v>394</v>
      </c>
      <c r="E282" s="567" t="s">
        <v>236</v>
      </c>
      <c r="F282" s="564">
        <f t="shared" si="11"/>
        <v>587.05999999999995</v>
      </c>
    </row>
    <row r="283" spans="1:8" ht="16.5">
      <c r="A283" s="566">
        <v>0.75</v>
      </c>
      <c r="B283" s="567" t="s">
        <v>236</v>
      </c>
      <c r="C283" s="568" t="s">
        <v>4209</v>
      </c>
      <c r="D283" s="564">
        <v>695</v>
      </c>
      <c r="E283" s="567" t="s">
        <v>785</v>
      </c>
      <c r="F283" s="564">
        <f t="shared" si="11"/>
        <v>521.25</v>
      </c>
    </row>
    <row r="284" spans="1:8" ht="16.5">
      <c r="A284" s="566">
        <v>2</v>
      </c>
      <c r="B284" s="567" t="s">
        <v>225</v>
      </c>
      <c r="C284" s="568" t="s">
        <v>4211</v>
      </c>
      <c r="D284" s="564">
        <v>9</v>
      </c>
      <c r="E284" s="567" t="s">
        <v>225</v>
      </c>
      <c r="F284" s="564">
        <f t="shared" si="11"/>
        <v>18</v>
      </c>
    </row>
    <row r="285" spans="1:8" ht="16.5">
      <c r="A285" s="566">
        <v>7.08</v>
      </c>
      <c r="B285" s="567" t="s">
        <v>1423</v>
      </c>
      <c r="C285" s="568" t="s">
        <v>4279</v>
      </c>
      <c r="D285" s="564">
        <v>8.6</v>
      </c>
      <c r="E285" s="567" t="s">
        <v>785</v>
      </c>
      <c r="F285" s="564">
        <f t="shared" si="11"/>
        <v>60.89</v>
      </c>
    </row>
    <row r="286" spans="1:8" ht="16.5">
      <c r="A286" s="566">
        <v>2.1</v>
      </c>
      <c r="B286" s="567" t="s">
        <v>2322</v>
      </c>
      <c r="C286" s="568" t="s">
        <v>4007</v>
      </c>
      <c r="D286" s="562">
        <f>D263</f>
        <v>0</v>
      </c>
      <c r="E286" s="567" t="s">
        <v>2322</v>
      </c>
      <c r="F286" s="564">
        <f t="shared" si="11"/>
        <v>0</v>
      </c>
    </row>
    <row r="287" spans="1:8" ht="16.5">
      <c r="A287" s="647">
        <v>1</v>
      </c>
      <c r="B287" s="651" t="s">
        <v>1907</v>
      </c>
      <c r="C287" s="647" t="s">
        <v>4280</v>
      </c>
      <c r="D287" s="647">
        <v>48.9</v>
      </c>
      <c r="E287" s="652" t="s">
        <v>1423</v>
      </c>
      <c r="F287" s="564">
        <f t="shared" si="11"/>
        <v>48.9</v>
      </c>
    </row>
    <row r="288" spans="1:8" ht="16.5">
      <c r="A288" s="647">
        <v>1</v>
      </c>
      <c r="B288" s="651" t="s">
        <v>1907</v>
      </c>
      <c r="C288" s="647" t="s">
        <v>4281</v>
      </c>
      <c r="D288" s="647">
        <v>884</v>
      </c>
      <c r="E288" s="652" t="s">
        <v>1423</v>
      </c>
      <c r="F288" s="564">
        <f t="shared" si="11"/>
        <v>884</v>
      </c>
    </row>
    <row r="289" spans="1:7" ht="18">
      <c r="A289" s="616">
        <v>6</v>
      </c>
      <c r="B289" s="617" t="s">
        <v>1907</v>
      </c>
      <c r="C289" s="616" t="s">
        <v>4288</v>
      </c>
      <c r="D289" s="618">
        <f>D260</f>
        <v>76.2</v>
      </c>
      <c r="E289" s="619" t="s">
        <v>1419</v>
      </c>
      <c r="F289" s="564">
        <f t="shared" si="11"/>
        <v>457.2</v>
      </c>
    </row>
    <row r="290" spans="1:7" ht="18">
      <c r="A290" s="616">
        <v>2</v>
      </c>
      <c r="B290" s="617" t="s">
        <v>1907</v>
      </c>
      <c r="C290" s="616" t="s">
        <v>4283</v>
      </c>
      <c r="D290" s="618">
        <v>108.7</v>
      </c>
      <c r="E290" s="652" t="s">
        <v>1423</v>
      </c>
      <c r="F290" s="564">
        <f t="shared" si="11"/>
        <v>217.4</v>
      </c>
    </row>
    <row r="291" spans="1:7" ht="18">
      <c r="A291" s="616">
        <v>2</v>
      </c>
      <c r="B291" s="617" t="s">
        <v>1907</v>
      </c>
      <c r="C291" s="616" t="s">
        <v>4284</v>
      </c>
      <c r="D291" s="618">
        <v>54.1</v>
      </c>
      <c r="E291" s="652" t="s">
        <v>1423</v>
      </c>
      <c r="F291" s="564">
        <f t="shared" si="11"/>
        <v>108.2</v>
      </c>
    </row>
    <row r="292" spans="1:7">
      <c r="A292" s="579"/>
      <c r="B292" s="579"/>
      <c r="C292" s="579"/>
      <c r="D292" s="579"/>
      <c r="E292" s="579"/>
      <c r="F292" s="50">
        <f>SUM(F280:F291)</f>
        <v>12589.67</v>
      </c>
    </row>
    <row r="293" spans="1:7" ht="16.5">
      <c r="A293" s="612"/>
      <c r="B293" s="612"/>
      <c r="C293" s="612"/>
      <c r="D293" s="612"/>
      <c r="E293" s="612"/>
      <c r="F293" s="564">
        <f>F292/A286</f>
        <v>5995.08</v>
      </c>
    </row>
    <row r="294" spans="1:7">
      <c r="A294" s="612"/>
      <c r="B294" s="612"/>
      <c r="C294" s="612"/>
      <c r="D294" s="612"/>
      <c r="E294" s="612"/>
      <c r="F294" s="612"/>
    </row>
    <row r="297" spans="1:7" ht="19.5">
      <c r="A297" s="677"/>
      <c r="B297" s="678"/>
      <c r="C297" s="679" t="s">
        <v>4382</v>
      </c>
      <c r="D297" s="680"/>
      <c r="E297" s="681"/>
      <c r="F297" s="680"/>
      <c r="G297" s="682"/>
    </row>
    <row r="298" spans="1:7" ht="18.75">
      <c r="A298" s="683">
        <v>3.488</v>
      </c>
      <c r="B298" s="684" t="s">
        <v>929</v>
      </c>
      <c r="C298" s="685" t="s">
        <v>4383</v>
      </c>
      <c r="D298" s="686">
        <f>D132</f>
        <v>325</v>
      </c>
      <c r="E298" s="684" t="s">
        <v>929</v>
      </c>
      <c r="F298" s="686">
        <f t="shared" ref="F298:F307" si="12">D298*A298</f>
        <v>1133.5999999999999</v>
      </c>
      <c r="G298" s="682"/>
    </row>
    <row r="299" spans="1:7" ht="18.75">
      <c r="A299" s="683">
        <v>4.38</v>
      </c>
      <c r="B299" s="684" t="s">
        <v>929</v>
      </c>
      <c r="C299" s="685" t="s">
        <v>4384</v>
      </c>
      <c r="D299" s="686">
        <f>D133</f>
        <v>325</v>
      </c>
      <c r="E299" s="684" t="s">
        <v>929</v>
      </c>
      <c r="F299" s="686">
        <f t="shared" si="12"/>
        <v>1423.5</v>
      </c>
      <c r="G299" s="682"/>
    </row>
    <row r="300" spans="1:7" ht="18.75">
      <c r="A300" s="683">
        <v>1.18</v>
      </c>
      <c r="B300" s="684" t="s">
        <v>929</v>
      </c>
      <c r="C300" s="685" t="s">
        <v>4385</v>
      </c>
      <c r="D300" s="686">
        <f>D134</f>
        <v>325</v>
      </c>
      <c r="E300" s="684" t="s">
        <v>929</v>
      </c>
      <c r="F300" s="686">
        <f t="shared" si="12"/>
        <v>383.5</v>
      </c>
      <c r="G300" s="682"/>
    </row>
    <row r="301" spans="1:7" ht="18.75">
      <c r="A301" s="683">
        <v>0.82</v>
      </c>
      <c r="B301" s="684" t="s">
        <v>929</v>
      </c>
      <c r="C301" s="685" t="s">
        <v>4386</v>
      </c>
      <c r="D301" s="686">
        <f>D135</f>
        <v>325</v>
      </c>
      <c r="E301" s="684" t="s">
        <v>929</v>
      </c>
      <c r="F301" s="686">
        <f t="shared" si="12"/>
        <v>266.5</v>
      </c>
      <c r="G301" s="682"/>
    </row>
    <row r="302" spans="1:7" ht="18.75">
      <c r="A302" s="683">
        <v>1.26</v>
      </c>
      <c r="B302" s="684" t="s">
        <v>236</v>
      </c>
      <c r="C302" s="685" t="s">
        <v>1889</v>
      </c>
      <c r="D302" s="686">
        <f t="shared" ref="D302:D307" si="13">D136</f>
        <v>208.8</v>
      </c>
      <c r="E302" s="684" t="s">
        <v>236</v>
      </c>
      <c r="F302" s="686">
        <f t="shared" si="12"/>
        <v>263.08999999999997</v>
      </c>
      <c r="G302" s="682"/>
    </row>
    <row r="303" spans="1:7" ht="18.75">
      <c r="A303" s="683">
        <v>6.6</v>
      </c>
      <c r="B303" s="684" t="s">
        <v>842</v>
      </c>
      <c r="C303" s="685" t="s">
        <v>4002</v>
      </c>
      <c r="D303" s="686">
        <f t="shared" si="13"/>
        <v>27.1</v>
      </c>
      <c r="E303" s="684" t="s">
        <v>842</v>
      </c>
      <c r="F303" s="686">
        <f t="shared" si="12"/>
        <v>178.86</v>
      </c>
      <c r="G303" s="682"/>
    </row>
    <row r="304" spans="1:7" ht="18.75">
      <c r="A304" s="683">
        <v>2</v>
      </c>
      <c r="B304" s="684" t="s">
        <v>785</v>
      </c>
      <c r="C304" s="685" t="s">
        <v>4387</v>
      </c>
      <c r="D304" s="686">
        <f t="shared" si="13"/>
        <v>350</v>
      </c>
      <c r="E304" s="684" t="s">
        <v>4388</v>
      </c>
      <c r="F304" s="686">
        <f t="shared" si="12"/>
        <v>700</v>
      </c>
      <c r="G304" s="682"/>
    </row>
    <row r="305" spans="1:8" ht="18.75">
      <c r="A305" s="683">
        <v>2</v>
      </c>
      <c r="B305" s="684" t="s">
        <v>785</v>
      </c>
      <c r="C305" s="685" t="s">
        <v>4028</v>
      </c>
      <c r="D305" s="686">
        <f t="shared" si="13"/>
        <v>48</v>
      </c>
      <c r="E305" s="684" t="s">
        <v>785</v>
      </c>
      <c r="F305" s="686">
        <f t="shared" si="12"/>
        <v>96</v>
      </c>
      <c r="G305" s="682"/>
    </row>
    <row r="306" spans="1:8" ht="18.75">
      <c r="A306" s="683">
        <v>4</v>
      </c>
      <c r="B306" s="684" t="s">
        <v>785</v>
      </c>
      <c r="C306" s="685" t="s">
        <v>1895</v>
      </c>
      <c r="D306" s="686">
        <f t="shared" si="13"/>
        <v>15</v>
      </c>
      <c r="E306" s="684" t="s">
        <v>785</v>
      </c>
      <c r="F306" s="686">
        <f t="shared" si="12"/>
        <v>60</v>
      </c>
      <c r="G306" s="682"/>
    </row>
    <row r="307" spans="1:8" ht="18.75">
      <c r="A307" s="683">
        <v>1.26</v>
      </c>
      <c r="B307" s="684" t="s">
        <v>2322</v>
      </c>
      <c r="C307" s="685" t="s">
        <v>1896</v>
      </c>
      <c r="D307" s="686">
        <f t="shared" si="13"/>
        <v>2085.6</v>
      </c>
      <c r="E307" s="684" t="s">
        <v>2322</v>
      </c>
      <c r="F307" s="686">
        <f t="shared" si="12"/>
        <v>2627.86</v>
      </c>
      <c r="G307" s="682"/>
    </row>
    <row r="308" spans="1:8" ht="18.75">
      <c r="A308" s="677"/>
      <c r="B308" s="678"/>
      <c r="C308" s="685" t="s">
        <v>1897</v>
      </c>
      <c r="D308" s="680"/>
      <c r="E308" s="687"/>
      <c r="F308" s="686">
        <v>9.4</v>
      </c>
      <c r="G308" s="682"/>
    </row>
    <row r="309" spans="1:8" ht="19.5">
      <c r="A309" s="677"/>
      <c r="B309" s="680"/>
      <c r="C309" s="688" t="s">
        <v>3615</v>
      </c>
      <c r="D309" s="680"/>
      <c r="E309" s="680"/>
      <c r="F309" s="689">
        <f>SUM(F298:F308)</f>
        <v>7142.31</v>
      </c>
      <c r="G309" s="682" t="s">
        <v>1423</v>
      </c>
    </row>
    <row r="310" spans="1:8">
      <c r="F310" s="36">
        <f>F309/1.26</f>
        <v>5668.5</v>
      </c>
      <c r="G310" t="s">
        <v>2322</v>
      </c>
    </row>
    <row r="315" spans="1:8">
      <c r="A315" s="1569" t="s">
        <v>4595</v>
      </c>
      <c r="B315" s="1569"/>
      <c r="C315" s="1569"/>
      <c r="D315" s="1569"/>
      <c r="E315" s="1569"/>
      <c r="F315" s="1569"/>
      <c r="G315" s="1569"/>
      <c r="H315" s="1569"/>
    </row>
    <row r="316" spans="1:8">
      <c r="A316" s="1569" t="s">
        <v>4596</v>
      </c>
      <c r="B316" s="1569"/>
      <c r="C316" s="1569"/>
      <c r="D316" s="1569"/>
      <c r="E316" s="1569"/>
      <c r="F316" s="1569"/>
      <c r="G316" s="1569"/>
      <c r="H316" s="1569"/>
    </row>
    <row r="317" spans="1:8">
      <c r="A317" s="612"/>
      <c r="B317" s="612" t="s">
        <v>4597</v>
      </c>
      <c r="C317" s="612" t="s">
        <v>4598</v>
      </c>
      <c r="D317" s="612"/>
      <c r="E317" s="612"/>
      <c r="F317" s="612"/>
      <c r="G317" s="612"/>
      <c r="H317" s="612"/>
    </row>
    <row r="318" spans="1:8">
      <c r="A318" s="612"/>
      <c r="B318" s="612"/>
      <c r="C318" s="612" t="s">
        <v>4599</v>
      </c>
      <c r="D318" s="612" t="s">
        <v>2091</v>
      </c>
      <c r="E318" s="612" t="s">
        <v>4600</v>
      </c>
      <c r="F318" s="612" t="s">
        <v>2091</v>
      </c>
      <c r="G318" s="94">
        <f>1*1.2*1.558</f>
        <v>1.87</v>
      </c>
      <c r="H318" s="612" t="s">
        <v>1676</v>
      </c>
    </row>
    <row r="319" spans="1:8">
      <c r="A319" s="612"/>
      <c r="B319" s="612" t="s">
        <v>4601</v>
      </c>
      <c r="C319" s="612" t="s">
        <v>4602</v>
      </c>
      <c r="D319" s="612"/>
      <c r="E319" s="612"/>
      <c r="F319" s="612"/>
      <c r="G319" s="612"/>
      <c r="H319" s="612"/>
    </row>
    <row r="320" spans="1:8">
      <c r="A320" s="612"/>
      <c r="B320" s="612"/>
      <c r="C320" s="612" t="s">
        <v>4603</v>
      </c>
      <c r="D320" s="612" t="s">
        <v>2091</v>
      </c>
      <c r="E320" s="612" t="s">
        <v>4604</v>
      </c>
      <c r="F320" s="612" t="s">
        <v>2091</v>
      </c>
      <c r="G320" s="94">
        <f>1*2*1.35*0.695</f>
        <v>1.88</v>
      </c>
      <c r="H320" s="612" t="s">
        <v>1676</v>
      </c>
    </row>
    <row r="321" spans="1:8">
      <c r="A321" s="612"/>
      <c r="B321" s="612" t="s">
        <v>4605</v>
      </c>
      <c r="C321" s="612" t="s">
        <v>4606</v>
      </c>
      <c r="D321" s="612"/>
      <c r="E321" s="612"/>
      <c r="F321" s="612"/>
      <c r="G321" s="94"/>
      <c r="H321" s="612"/>
    </row>
    <row r="322" spans="1:8">
      <c r="A322" s="612"/>
      <c r="B322" s="612"/>
      <c r="C322" s="612" t="s">
        <v>4607</v>
      </c>
      <c r="D322" s="612" t="s">
        <v>2091</v>
      </c>
      <c r="E322" s="612" t="s">
        <v>4608</v>
      </c>
      <c r="F322" s="612" t="s">
        <v>2091</v>
      </c>
      <c r="G322" s="94">
        <f>1*1*1.2*1.088</f>
        <v>1.31</v>
      </c>
      <c r="H322" s="612" t="s">
        <v>1676</v>
      </c>
    </row>
    <row r="323" spans="1:8">
      <c r="A323" s="612"/>
      <c r="B323" s="612" t="s">
        <v>4609</v>
      </c>
      <c r="C323" s="612" t="s">
        <v>4610</v>
      </c>
      <c r="D323" s="612"/>
      <c r="E323" s="612"/>
      <c r="F323" s="612"/>
      <c r="G323" s="94"/>
      <c r="H323" s="612"/>
    </row>
    <row r="324" spans="1:8">
      <c r="A324" s="612"/>
      <c r="B324" s="612"/>
      <c r="C324" s="612" t="s">
        <v>4611</v>
      </c>
      <c r="D324" s="612" t="s">
        <v>2091</v>
      </c>
      <c r="E324" s="612" t="s">
        <v>4612</v>
      </c>
      <c r="F324" s="612" t="s">
        <v>2091</v>
      </c>
      <c r="G324" s="94">
        <f>1*2*1.25*0.605</f>
        <v>1.51</v>
      </c>
      <c r="H324" s="612" t="s">
        <v>1676</v>
      </c>
    </row>
    <row r="325" spans="1:8">
      <c r="A325" s="612"/>
      <c r="B325" s="612" t="s">
        <v>4613</v>
      </c>
      <c r="C325" s="612" t="s">
        <v>4614</v>
      </c>
      <c r="D325" s="612"/>
      <c r="E325" s="612"/>
      <c r="F325" s="612"/>
      <c r="G325" s="94"/>
      <c r="H325" s="612"/>
    </row>
    <row r="326" spans="1:8">
      <c r="A326" s="612"/>
      <c r="B326" s="612"/>
      <c r="C326" s="612" t="s">
        <v>4615</v>
      </c>
      <c r="D326" s="612" t="s">
        <v>2091</v>
      </c>
      <c r="E326" s="612" t="s">
        <v>4616</v>
      </c>
      <c r="F326" s="612" t="s">
        <v>2091</v>
      </c>
      <c r="G326" s="94">
        <f>1*2*1.25*0.488</f>
        <v>1.22</v>
      </c>
      <c r="H326" s="612" t="s">
        <v>1676</v>
      </c>
    </row>
    <row r="327" spans="1:8">
      <c r="A327" s="612"/>
      <c r="B327" s="612" t="s">
        <v>4613</v>
      </c>
      <c r="C327" s="612" t="s">
        <v>4617</v>
      </c>
      <c r="D327" s="612"/>
      <c r="E327" s="612"/>
      <c r="F327" s="612"/>
      <c r="G327" s="94"/>
      <c r="H327" s="612"/>
    </row>
    <row r="328" spans="1:8">
      <c r="A328" s="612"/>
      <c r="B328" s="612"/>
      <c r="C328" s="612" t="s">
        <v>4618</v>
      </c>
      <c r="D328" s="612" t="s">
        <v>2091</v>
      </c>
      <c r="E328" s="612" t="s">
        <v>4619</v>
      </c>
      <c r="F328" s="612" t="s">
        <v>2091</v>
      </c>
      <c r="G328" s="94">
        <f>2*2*0.55*0.355</f>
        <v>0.78</v>
      </c>
      <c r="H328" s="612" t="s">
        <v>1676</v>
      </c>
    </row>
    <row r="329" spans="1:8">
      <c r="A329" s="612"/>
      <c r="B329" s="612"/>
      <c r="C329" s="612"/>
      <c r="D329" s="612"/>
      <c r="E329" s="612"/>
      <c r="F329" s="612"/>
      <c r="G329" s="94">
        <f>SUM(G318:G328)</f>
        <v>8.57</v>
      </c>
      <c r="H329" s="612" t="s">
        <v>1676</v>
      </c>
    </row>
    <row r="330" spans="1:8">
      <c r="A330" s="612"/>
      <c r="B330" s="612"/>
      <c r="C330" s="612"/>
      <c r="D330" s="612"/>
      <c r="E330" s="612" t="s">
        <v>4620</v>
      </c>
      <c r="F330" s="612" t="s">
        <v>2091</v>
      </c>
      <c r="G330" s="94">
        <f>G329*10%</f>
        <v>0.86</v>
      </c>
      <c r="H330" s="612" t="s">
        <v>1676</v>
      </c>
    </row>
    <row r="331" spans="1:8">
      <c r="A331" s="612"/>
      <c r="B331" s="612"/>
      <c r="C331" s="612"/>
      <c r="D331" s="612"/>
      <c r="E331" s="612"/>
      <c r="F331" s="612"/>
      <c r="G331" s="624">
        <f>SUM(G329:G330)</f>
        <v>9.43</v>
      </c>
      <c r="H331" s="612" t="s">
        <v>1676</v>
      </c>
    </row>
    <row r="332" spans="1:8">
      <c r="A332" s="612"/>
      <c r="B332" s="612"/>
      <c r="C332" s="612"/>
      <c r="D332" s="612"/>
      <c r="E332" s="612"/>
      <c r="F332" s="612"/>
      <c r="G332" s="612"/>
      <c r="H332" s="612"/>
    </row>
    <row r="333" spans="1:8">
      <c r="A333" s="612"/>
      <c r="B333" s="757" t="s">
        <v>4621</v>
      </c>
      <c r="C333" s="612" t="s">
        <v>4622</v>
      </c>
      <c r="D333" s="612"/>
      <c r="E333" s="612"/>
      <c r="F333" s="612"/>
      <c r="G333" s="612"/>
      <c r="H333" s="612"/>
    </row>
    <row r="334" spans="1:8" ht="17.25">
      <c r="A334" s="612"/>
      <c r="B334" s="612"/>
      <c r="C334" s="612" t="s">
        <v>4623</v>
      </c>
      <c r="D334" s="612" t="s">
        <v>2091</v>
      </c>
      <c r="E334" s="612" t="s">
        <v>4624</v>
      </c>
      <c r="F334" s="612" t="s">
        <v>2091</v>
      </c>
      <c r="G334" s="612">
        <f>1*2*0.55*1.25</f>
        <v>1.375</v>
      </c>
      <c r="H334" s="612" t="s">
        <v>4625</v>
      </c>
    </row>
    <row r="335" spans="1:8">
      <c r="A335" s="612"/>
      <c r="B335" s="612"/>
      <c r="C335" s="612"/>
      <c r="D335" s="612"/>
      <c r="E335" s="612"/>
      <c r="F335" s="612"/>
      <c r="G335" s="612"/>
      <c r="H335" s="612"/>
    </row>
    <row r="336" spans="1:8">
      <c r="A336" s="612"/>
      <c r="B336" s="757" t="s">
        <v>4626</v>
      </c>
      <c r="C336" s="612" t="s">
        <v>4002</v>
      </c>
      <c r="D336" s="612" t="s">
        <v>2091</v>
      </c>
      <c r="E336" s="612" t="s">
        <v>4627</v>
      </c>
      <c r="F336" s="612" t="s">
        <v>2091</v>
      </c>
      <c r="G336" s="612">
        <f>1*2*2*3.6</f>
        <v>14.4</v>
      </c>
      <c r="H336" s="612" t="s">
        <v>842</v>
      </c>
    </row>
    <row r="337" spans="1:8">
      <c r="A337" s="612"/>
      <c r="B337" s="612"/>
      <c r="C337" s="612"/>
      <c r="D337" s="612"/>
      <c r="E337" s="612"/>
      <c r="F337" s="612"/>
      <c r="G337" s="612"/>
      <c r="H337" s="612"/>
    </row>
    <row r="338" spans="1:8" ht="17.25">
      <c r="A338" s="612"/>
      <c r="B338" s="757" t="s">
        <v>4628</v>
      </c>
      <c r="C338" s="612" t="s">
        <v>4629</v>
      </c>
      <c r="D338" s="612" t="s">
        <v>2091</v>
      </c>
      <c r="E338" s="612" t="s">
        <v>4630</v>
      </c>
      <c r="F338" s="612" t="s">
        <v>2091</v>
      </c>
      <c r="G338" s="612">
        <f>1.2*1.35</f>
        <v>1.62</v>
      </c>
      <c r="H338" s="612" t="s">
        <v>4625</v>
      </c>
    </row>
    <row r="339" spans="1:8">
      <c r="A339" s="612"/>
      <c r="B339" s="612"/>
      <c r="C339" s="612"/>
      <c r="D339" s="612"/>
      <c r="E339" s="612"/>
      <c r="F339" s="612"/>
      <c r="G339" s="612"/>
      <c r="H339" s="612"/>
    </row>
    <row r="340" spans="1:8">
      <c r="A340" s="612"/>
      <c r="B340" s="612"/>
      <c r="C340" s="612"/>
      <c r="D340" s="612"/>
      <c r="E340" s="612"/>
      <c r="F340" s="612"/>
      <c r="G340" s="612"/>
      <c r="H340" s="612"/>
    </row>
    <row r="341" spans="1:8">
      <c r="A341" s="612"/>
      <c r="B341" s="612"/>
      <c r="C341" s="612"/>
      <c r="D341" s="612"/>
      <c r="E341" s="612"/>
      <c r="F341" s="612"/>
      <c r="G341" s="612"/>
      <c r="H341" s="612"/>
    </row>
    <row r="342" spans="1:8">
      <c r="A342" s="15">
        <v>9.43</v>
      </c>
      <c r="B342" s="7" t="s">
        <v>929</v>
      </c>
      <c r="C342" s="1" t="s">
        <v>4631</v>
      </c>
      <c r="D342" s="8"/>
      <c r="E342" s="8">
        <v>287</v>
      </c>
      <c r="F342" s="7" t="s">
        <v>929</v>
      </c>
      <c r="G342" s="8">
        <f t="shared" ref="G342:G347" si="14">E342*A342</f>
        <v>2706.41</v>
      </c>
      <c r="H342" s="612"/>
    </row>
    <row r="343" spans="1:8">
      <c r="A343" s="15">
        <f>G334</f>
        <v>1.375</v>
      </c>
      <c r="B343" s="7" t="s">
        <v>236</v>
      </c>
      <c r="C343" s="1" t="s">
        <v>4632</v>
      </c>
      <c r="D343" s="8"/>
      <c r="E343" s="8">
        <v>336</v>
      </c>
      <c r="F343" s="7" t="s">
        <v>236</v>
      </c>
      <c r="G343" s="8">
        <f t="shared" si="14"/>
        <v>462</v>
      </c>
      <c r="H343" s="612"/>
    </row>
    <row r="344" spans="1:8">
      <c r="A344" s="15">
        <v>14.4</v>
      </c>
      <c r="B344" s="7" t="s">
        <v>842</v>
      </c>
      <c r="C344" s="1" t="s">
        <v>1890</v>
      </c>
      <c r="D344" s="8"/>
      <c r="E344" s="8">
        <v>27.1</v>
      </c>
      <c r="F344" s="7" t="s">
        <v>842</v>
      </c>
      <c r="G344" s="8">
        <f t="shared" si="14"/>
        <v>390.24</v>
      </c>
      <c r="H344" s="612"/>
    </row>
    <row r="345" spans="1:8">
      <c r="A345" s="15">
        <v>1</v>
      </c>
      <c r="B345" s="7" t="s">
        <v>785</v>
      </c>
      <c r="C345" s="1" t="s">
        <v>4633</v>
      </c>
      <c r="D345" s="8"/>
      <c r="E345" s="8">
        <v>59.4</v>
      </c>
      <c r="F345" s="7" t="s">
        <v>785</v>
      </c>
      <c r="G345" s="8">
        <f t="shared" si="14"/>
        <v>59.4</v>
      </c>
      <c r="H345" s="612"/>
    </row>
    <row r="346" spans="1:8">
      <c r="A346" s="15">
        <v>1</v>
      </c>
      <c r="B346" s="7" t="s">
        <v>785</v>
      </c>
      <c r="C346" s="1" t="s">
        <v>4634</v>
      </c>
      <c r="D346" s="8"/>
      <c r="E346" s="8">
        <v>13.1</v>
      </c>
      <c r="F346" s="7" t="s">
        <v>785</v>
      </c>
      <c r="G346" s="8">
        <f t="shared" si="14"/>
        <v>13.1</v>
      </c>
      <c r="H346" s="612"/>
    </row>
    <row r="347" spans="1:8">
      <c r="A347" s="15">
        <v>1.62</v>
      </c>
      <c r="B347" s="7" t="s">
        <v>2322</v>
      </c>
      <c r="C347" s="1" t="s">
        <v>1896</v>
      </c>
      <c r="D347" s="579"/>
      <c r="E347" s="579">
        <f>G357</f>
        <v>1110</v>
      </c>
      <c r="F347" s="7" t="s">
        <v>2322</v>
      </c>
      <c r="G347" s="8">
        <f t="shared" si="14"/>
        <v>1798.2</v>
      </c>
      <c r="H347" s="612"/>
    </row>
    <row r="348" spans="1:8">
      <c r="A348" s="579"/>
      <c r="B348" s="644"/>
      <c r="C348" s="1" t="s">
        <v>2310</v>
      </c>
      <c r="D348" s="579"/>
      <c r="E348" s="580"/>
      <c r="F348" s="8" t="s">
        <v>669</v>
      </c>
      <c r="G348" s="612">
        <v>2.56</v>
      </c>
      <c r="H348" s="612"/>
    </row>
    <row r="349" spans="1:8">
      <c r="A349" s="579"/>
      <c r="B349" s="579"/>
      <c r="C349" s="6" t="s">
        <v>4635</v>
      </c>
      <c r="D349" s="579"/>
      <c r="E349" s="579"/>
      <c r="F349" s="439"/>
      <c r="G349" s="579">
        <f>SUM(G342:G348)</f>
        <v>5431.91</v>
      </c>
      <c r="H349" s="612"/>
    </row>
    <row r="350" spans="1:8">
      <c r="A350" s="579"/>
      <c r="B350" s="579"/>
      <c r="C350" s="758" t="s">
        <v>4636</v>
      </c>
      <c r="D350" s="642" t="s">
        <v>2091</v>
      </c>
      <c r="E350" s="642"/>
      <c r="F350" s="647"/>
      <c r="G350" s="624">
        <f>G349/A347</f>
        <v>3353.03</v>
      </c>
      <c r="H350" s="612"/>
    </row>
    <row r="351" spans="1:8">
      <c r="A351" s="612"/>
      <c r="B351" s="612"/>
      <c r="C351" s="612"/>
      <c r="D351" s="612"/>
      <c r="E351" s="612"/>
      <c r="F351" s="612"/>
      <c r="G351" s="612"/>
      <c r="H351" s="612"/>
    </row>
    <row r="352" spans="1:8">
      <c r="A352" s="612"/>
      <c r="B352" s="612"/>
      <c r="C352" s="620" t="s">
        <v>4637</v>
      </c>
      <c r="D352" s="612"/>
      <c r="E352" s="612"/>
      <c r="F352" s="612"/>
      <c r="G352" s="612"/>
      <c r="H352" s="612"/>
    </row>
    <row r="353" spans="1:8">
      <c r="A353" s="8">
        <v>1</v>
      </c>
      <c r="B353" s="7" t="s">
        <v>884</v>
      </c>
      <c r="C353" s="1" t="s">
        <v>4638</v>
      </c>
      <c r="D353" s="8"/>
      <c r="E353" s="8">
        <v>501</v>
      </c>
      <c r="F353" s="1" t="s">
        <v>884</v>
      </c>
      <c r="G353" s="612">
        <f>E353*A353</f>
        <v>501</v>
      </c>
      <c r="H353" s="612"/>
    </row>
    <row r="354" spans="1:8">
      <c r="A354" s="8">
        <v>1</v>
      </c>
      <c r="B354" s="7" t="s">
        <v>884</v>
      </c>
      <c r="C354" s="1" t="s">
        <v>4639</v>
      </c>
      <c r="D354" s="8"/>
      <c r="E354" s="8">
        <v>355</v>
      </c>
      <c r="F354" s="1" t="s">
        <v>884</v>
      </c>
      <c r="G354" s="612">
        <f>E354*A354</f>
        <v>355</v>
      </c>
      <c r="H354" s="612"/>
    </row>
    <row r="355" spans="1:8">
      <c r="A355" s="8">
        <v>0.5</v>
      </c>
      <c r="B355" s="7" t="s">
        <v>884</v>
      </c>
      <c r="C355" s="1" t="s">
        <v>4640</v>
      </c>
      <c r="D355" s="8"/>
      <c r="E355" s="8">
        <v>508</v>
      </c>
      <c r="F355" s="1" t="s">
        <v>884</v>
      </c>
      <c r="G355" s="612">
        <f>E355*A355</f>
        <v>254</v>
      </c>
      <c r="H355" s="612"/>
    </row>
    <row r="356" spans="1:8">
      <c r="A356" s="579"/>
      <c r="B356" s="644"/>
      <c r="C356" s="1"/>
      <c r="D356" s="579"/>
      <c r="E356" s="645"/>
      <c r="F356" s="5"/>
      <c r="G356" s="612"/>
      <c r="H356" s="612"/>
    </row>
    <row r="357" spans="1:8">
      <c r="A357" s="579"/>
      <c r="B357" s="644"/>
      <c r="C357" s="1" t="s">
        <v>4016</v>
      </c>
      <c r="D357" s="579"/>
      <c r="E357" s="645"/>
      <c r="F357" s="38"/>
      <c r="G357" s="642">
        <f>SUM(G353:G356)</f>
        <v>1110</v>
      </c>
      <c r="H357" s="612"/>
    </row>
    <row r="358" spans="1:8">
      <c r="A358" s="579"/>
      <c r="B358" s="644"/>
      <c r="C358" s="579"/>
      <c r="D358" s="579"/>
      <c r="E358" s="645"/>
      <c r="F358" s="5"/>
      <c r="G358" s="612"/>
      <c r="H358" s="612"/>
    </row>
    <row r="359" spans="1:8">
      <c r="A359" s="759"/>
      <c r="B359" s="760"/>
      <c r="C359" s="704"/>
      <c r="D359" s="759"/>
      <c r="E359" s="761"/>
      <c r="F359" s="762"/>
      <c r="G359" s="763"/>
      <c r="H359" s="763"/>
    </row>
    <row r="360" spans="1:8">
      <c r="A360" s="612"/>
      <c r="B360" s="612"/>
      <c r="C360" s="612"/>
      <c r="D360" s="612"/>
      <c r="E360" s="612"/>
      <c r="F360" s="612"/>
      <c r="G360" s="612"/>
      <c r="H360" s="612"/>
    </row>
    <row r="361" spans="1:8">
      <c r="A361" s="1569" t="s">
        <v>4641</v>
      </c>
      <c r="B361" s="1569"/>
      <c r="C361" s="1569"/>
      <c r="D361" s="1569"/>
      <c r="E361" s="1569"/>
      <c r="F361" s="1569"/>
      <c r="G361" s="1569"/>
      <c r="H361" s="1569"/>
    </row>
    <row r="362" spans="1:8">
      <c r="A362" s="612"/>
      <c r="B362" s="612" t="s">
        <v>4597</v>
      </c>
      <c r="C362" s="612" t="s">
        <v>4598</v>
      </c>
      <c r="D362" s="612"/>
      <c r="E362" s="612"/>
      <c r="F362" s="612"/>
      <c r="G362" s="612"/>
      <c r="H362" s="612"/>
    </row>
    <row r="363" spans="1:8">
      <c r="A363" s="612"/>
      <c r="B363" s="612"/>
      <c r="C363" s="612" t="s">
        <v>4599</v>
      </c>
      <c r="D363" s="612" t="s">
        <v>2091</v>
      </c>
      <c r="E363" s="612" t="s">
        <v>4642</v>
      </c>
      <c r="F363" s="612" t="s">
        <v>2091</v>
      </c>
      <c r="G363" s="94">
        <f>1*2*2.4*1.558</f>
        <v>7.48</v>
      </c>
      <c r="H363" s="612" t="s">
        <v>1676</v>
      </c>
    </row>
    <row r="364" spans="1:8">
      <c r="A364" s="612"/>
      <c r="B364" s="612" t="s">
        <v>4601</v>
      </c>
      <c r="C364" s="612" t="s">
        <v>4602</v>
      </c>
      <c r="D364" s="612"/>
      <c r="E364" s="612"/>
      <c r="F364" s="612"/>
      <c r="G364" s="94"/>
      <c r="H364" s="612"/>
    </row>
    <row r="365" spans="1:8">
      <c r="A365" s="612"/>
      <c r="B365" s="612"/>
      <c r="C365" s="612" t="s">
        <v>4603</v>
      </c>
      <c r="D365" s="612" t="s">
        <v>2091</v>
      </c>
      <c r="E365" s="612" t="s">
        <v>4643</v>
      </c>
      <c r="F365" s="612" t="s">
        <v>2091</v>
      </c>
      <c r="G365" s="94">
        <f>1*4*1.05*0.695</f>
        <v>2.92</v>
      </c>
      <c r="H365" s="612" t="s">
        <v>1676</v>
      </c>
    </row>
    <row r="366" spans="1:8">
      <c r="A366" s="612"/>
      <c r="B366" s="612" t="s">
        <v>4605</v>
      </c>
      <c r="C366" s="612" t="s">
        <v>4606</v>
      </c>
      <c r="D366" s="612"/>
      <c r="E366" s="612"/>
      <c r="F366" s="612"/>
      <c r="G366" s="94"/>
      <c r="H366" s="612"/>
    </row>
    <row r="367" spans="1:8">
      <c r="A367" s="612"/>
      <c r="B367" s="612"/>
      <c r="C367" s="612" t="s">
        <v>4607</v>
      </c>
      <c r="D367" s="612" t="s">
        <v>2091</v>
      </c>
      <c r="E367" s="612" t="s">
        <v>4644</v>
      </c>
      <c r="F367" s="612" t="s">
        <v>2091</v>
      </c>
      <c r="G367" s="94">
        <f>1*1*2.4*1.088</f>
        <v>2.61</v>
      </c>
      <c r="H367" s="612" t="s">
        <v>1676</v>
      </c>
    </row>
    <row r="368" spans="1:8">
      <c r="A368" s="612"/>
      <c r="B368" s="612" t="s">
        <v>4609</v>
      </c>
      <c r="C368" s="612" t="s">
        <v>4610</v>
      </c>
      <c r="D368" s="612"/>
      <c r="E368" s="612"/>
      <c r="F368" s="612"/>
      <c r="G368" s="94"/>
      <c r="H368" s="612"/>
    </row>
    <row r="369" spans="1:8">
      <c r="A369" s="612"/>
      <c r="B369" s="612"/>
      <c r="C369" s="612" t="s">
        <v>4611</v>
      </c>
      <c r="D369" s="612" t="s">
        <v>2091</v>
      </c>
      <c r="E369" s="612" t="s">
        <v>4645</v>
      </c>
      <c r="F369" s="612" t="s">
        <v>2091</v>
      </c>
      <c r="G369" s="94">
        <f>1*4*0.95*0.605</f>
        <v>2.2999999999999998</v>
      </c>
      <c r="H369" s="612" t="s">
        <v>1676</v>
      </c>
    </row>
    <row r="370" spans="1:8">
      <c r="A370" s="612"/>
      <c r="B370" s="612" t="s">
        <v>4613</v>
      </c>
      <c r="C370" s="612" t="s">
        <v>4614</v>
      </c>
      <c r="D370" s="612"/>
      <c r="E370" s="612"/>
      <c r="F370" s="612"/>
      <c r="G370" s="94"/>
      <c r="H370" s="612"/>
    </row>
    <row r="371" spans="1:8">
      <c r="A371" s="612"/>
      <c r="B371" s="612"/>
      <c r="C371" s="612" t="s">
        <v>4615</v>
      </c>
      <c r="D371" s="612" t="s">
        <v>2091</v>
      </c>
      <c r="E371" s="612" t="s">
        <v>4646</v>
      </c>
      <c r="F371" s="612" t="s">
        <v>2091</v>
      </c>
      <c r="G371" s="94">
        <f>1*4*0.95*0.488</f>
        <v>1.85</v>
      </c>
      <c r="H371" s="612" t="s">
        <v>1676</v>
      </c>
    </row>
    <row r="372" spans="1:8">
      <c r="A372" s="612"/>
      <c r="B372" s="612" t="s">
        <v>4613</v>
      </c>
      <c r="C372" s="612" t="s">
        <v>4617</v>
      </c>
      <c r="D372" s="612"/>
      <c r="E372" s="612"/>
      <c r="F372" s="612"/>
      <c r="G372" s="94"/>
      <c r="H372" s="612"/>
    </row>
    <row r="373" spans="1:8">
      <c r="A373" s="612"/>
      <c r="B373" s="612"/>
      <c r="C373" s="612" t="s">
        <v>4618</v>
      </c>
      <c r="D373" s="612" t="s">
        <v>2091</v>
      </c>
      <c r="E373" s="612" t="s">
        <v>4647</v>
      </c>
      <c r="F373" s="612" t="s">
        <v>2091</v>
      </c>
      <c r="G373" s="94">
        <f>2*4*0.55*0.355</f>
        <v>1.56</v>
      </c>
      <c r="H373" s="612" t="s">
        <v>1676</v>
      </c>
    </row>
    <row r="374" spans="1:8">
      <c r="A374" s="612"/>
      <c r="B374" s="612"/>
      <c r="C374" s="612"/>
      <c r="D374" s="612"/>
      <c r="E374" s="612"/>
      <c r="F374" s="612"/>
      <c r="G374" s="94">
        <f>SUM(G363:G373)</f>
        <v>18.72</v>
      </c>
      <c r="H374" s="612" t="s">
        <v>1676</v>
      </c>
    </row>
    <row r="375" spans="1:8">
      <c r="A375" s="612"/>
      <c r="B375" s="612"/>
      <c r="C375" s="612"/>
      <c r="D375" s="612"/>
      <c r="E375" s="612" t="s">
        <v>4620</v>
      </c>
      <c r="F375" s="612" t="s">
        <v>2091</v>
      </c>
      <c r="G375" s="94">
        <f>G374*10%</f>
        <v>1.87</v>
      </c>
      <c r="H375" s="612" t="s">
        <v>1676</v>
      </c>
    </row>
    <row r="376" spans="1:8">
      <c r="A376" s="612"/>
      <c r="B376" s="612"/>
      <c r="C376" s="612"/>
      <c r="D376" s="612"/>
      <c r="E376" s="612"/>
      <c r="F376" s="612"/>
      <c r="G376" s="624">
        <f>SUM(G374:G375)</f>
        <v>20.59</v>
      </c>
      <c r="H376" s="612" t="s">
        <v>1676</v>
      </c>
    </row>
    <row r="377" spans="1:8">
      <c r="A377" s="612"/>
      <c r="B377" s="612"/>
      <c r="C377" s="612"/>
      <c r="D377" s="612"/>
      <c r="E377" s="612"/>
      <c r="F377" s="612"/>
      <c r="G377" s="612"/>
      <c r="H377" s="612"/>
    </row>
    <row r="378" spans="1:8">
      <c r="A378" s="612"/>
      <c r="B378" s="757" t="s">
        <v>4621</v>
      </c>
      <c r="C378" s="612" t="s">
        <v>4622</v>
      </c>
      <c r="D378" s="612"/>
      <c r="E378" s="612"/>
      <c r="F378" s="612"/>
      <c r="G378" s="94"/>
      <c r="H378" s="612"/>
    </row>
    <row r="379" spans="1:8" ht="17.25">
      <c r="A379" s="612"/>
      <c r="B379" s="612"/>
      <c r="C379" s="612" t="s">
        <v>4623</v>
      </c>
      <c r="D379" s="612" t="s">
        <v>2091</v>
      </c>
      <c r="E379" s="612" t="s">
        <v>4648</v>
      </c>
      <c r="F379" s="612" t="s">
        <v>2091</v>
      </c>
      <c r="G379" s="764">
        <f>1*4*0.55*0.95</f>
        <v>2.09</v>
      </c>
      <c r="H379" s="612" t="s">
        <v>4625</v>
      </c>
    </row>
    <row r="380" spans="1:8">
      <c r="A380" s="612"/>
      <c r="B380" s="612"/>
      <c r="C380" s="612"/>
      <c r="D380" s="612"/>
      <c r="E380" s="612"/>
      <c r="F380" s="612"/>
      <c r="G380" s="94"/>
      <c r="H380" s="612"/>
    </row>
    <row r="381" spans="1:8">
      <c r="A381" s="612"/>
      <c r="B381" s="757" t="s">
        <v>4626</v>
      </c>
      <c r="C381" s="612" t="s">
        <v>4002</v>
      </c>
      <c r="D381" s="612" t="s">
        <v>2091</v>
      </c>
      <c r="E381" s="612" t="s">
        <v>4649</v>
      </c>
      <c r="F381" s="612" t="s">
        <v>2091</v>
      </c>
      <c r="G381" s="94">
        <f>1*2*4*3.3</f>
        <v>26.4</v>
      </c>
      <c r="H381" s="612" t="s">
        <v>842</v>
      </c>
    </row>
    <row r="382" spans="1:8">
      <c r="A382" s="612"/>
      <c r="B382" s="612"/>
      <c r="C382" s="612"/>
      <c r="D382" s="612"/>
      <c r="E382" s="612"/>
      <c r="F382" s="612"/>
      <c r="G382" s="94"/>
      <c r="H382" s="612"/>
    </row>
    <row r="383" spans="1:8" ht="17.25">
      <c r="A383" s="612"/>
      <c r="B383" s="757" t="s">
        <v>4628</v>
      </c>
      <c r="C383" s="612" t="s">
        <v>4629</v>
      </c>
      <c r="D383" s="612" t="s">
        <v>2091</v>
      </c>
      <c r="E383" s="612" t="s">
        <v>4650</v>
      </c>
      <c r="F383" s="612" t="s">
        <v>2091</v>
      </c>
      <c r="G383" s="94">
        <f>2.4*1.05</f>
        <v>2.52</v>
      </c>
      <c r="H383" s="612" t="s">
        <v>4625</v>
      </c>
    </row>
    <row r="384" spans="1:8">
      <c r="A384" s="612"/>
      <c r="B384" s="612"/>
      <c r="C384" s="612"/>
      <c r="D384" s="612"/>
      <c r="E384" s="612"/>
      <c r="F384" s="612"/>
      <c r="G384" s="612"/>
      <c r="H384" s="612"/>
    </row>
    <row r="385" spans="1:8">
      <c r="A385" s="612"/>
      <c r="B385" s="612"/>
      <c r="C385" s="612"/>
      <c r="D385" s="612"/>
      <c r="E385" s="612"/>
      <c r="F385" s="612"/>
      <c r="G385" s="612"/>
      <c r="H385" s="612"/>
    </row>
    <row r="386" spans="1:8">
      <c r="A386" s="612"/>
      <c r="B386" s="612"/>
      <c r="C386" s="612"/>
      <c r="D386" s="612"/>
      <c r="E386" s="612"/>
      <c r="F386" s="612"/>
      <c r="G386" s="612"/>
      <c r="H386" s="612"/>
    </row>
    <row r="387" spans="1:8">
      <c r="A387" s="15">
        <v>20.59</v>
      </c>
      <c r="B387" s="7" t="s">
        <v>929</v>
      </c>
      <c r="C387" s="1" t="s">
        <v>4631</v>
      </c>
      <c r="D387" s="8"/>
      <c r="E387" s="8">
        <v>287</v>
      </c>
      <c r="F387" s="7" t="s">
        <v>929</v>
      </c>
      <c r="G387" s="8">
        <f t="shared" ref="G387:G392" si="15">E387*A387</f>
        <v>5909.33</v>
      </c>
      <c r="H387" s="612"/>
    </row>
    <row r="388" spans="1:8">
      <c r="A388" s="15">
        <v>2.09</v>
      </c>
      <c r="B388" s="7" t="s">
        <v>236</v>
      </c>
      <c r="C388" s="1" t="s">
        <v>4632</v>
      </c>
      <c r="D388" s="8"/>
      <c r="E388" s="8">
        <v>336</v>
      </c>
      <c r="F388" s="7" t="s">
        <v>236</v>
      </c>
      <c r="G388" s="8">
        <f t="shared" si="15"/>
        <v>702.24</v>
      </c>
      <c r="H388" s="612"/>
    </row>
    <row r="389" spans="1:8">
      <c r="A389" s="15">
        <v>26.4</v>
      </c>
      <c r="B389" s="7" t="s">
        <v>842</v>
      </c>
      <c r="C389" s="1" t="s">
        <v>1890</v>
      </c>
      <c r="D389" s="8"/>
      <c r="E389" s="8">
        <v>27.1</v>
      </c>
      <c r="F389" s="7" t="s">
        <v>842</v>
      </c>
      <c r="G389" s="8">
        <f t="shared" si="15"/>
        <v>715.44</v>
      </c>
      <c r="H389" s="612"/>
    </row>
    <row r="390" spans="1:8">
      <c r="A390" s="15">
        <v>1</v>
      </c>
      <c r="B390" s="7" t="s">
        <v>785</v>
      </c>
      <c r="C390" s="1" t="s">
        <v>4633</v>
      </c>
      <c r="D390" s="8"/>
      <c r="E390" s="8">
        <v>59.4</v>
      </c>
      <c r="F390" s="7" t="s">
        <v>785</v>
      </c>
      <c r="G390" s="8">
        <f t="shared" si="15"/>
        <v>59.4</v>
      </c>
      <c r="H390" s="612"/>
    </row>
    <row r="391" spans="1:8">
      <c r="A391" s="15">
        <v>1</v>
      </c>
      <c r="B391" s="7" t="s">
        <v>785</v>
      </c>
      <c r="C391" s="1" t="s">
        <v>4634</v>
      </c>
      <c r="D391" s="8"/>
      <c r="E391" s="8">
        <v>13.1</v>
      </c>
      <c r="F391" s="7" t="s">
        <v>785</v>
      </c>
      <c r="G391" s="8">
        <f t="shared" si="15"/>
        <v>13.1</v>
      </c>
      <c r="H391" s="612"/>
    </row>
    <row r="392" spans="1:8">
      <c r="A392" s="15">
        <v>2.52</v>
      </c>
      <c r="B392" s="7" t="s">
        <v>2322</v>
      </c>
      <c r="C392" s="1" t="s">
        <v>1896</v>
      </c>
      <c r="D392" s="579"/>
      <c r="E392" s="579">
        <f>G402</f>
        <v>1110</v>
      </c>
      <c r="F392" s="7" t="s">
        <v>2322</v>
      </c>
      <c r="G392" s="8">
        <f t="shared" si="15"/>
        <v>2797.2</v>
      </c>
      <c r="H392" s="612"/>
    </row>
    <row r="393" spans="1:8">
      <c r="A393" s="579"/>
      <c r="B393" s="644"/>
      <c r="C393" s="1" t="s">
        <v>2310</v>
      </c>
      <c r="D393" s="579"/>
      <c r="E393" s="580"/>
      <c r="F393" s="8" t="s">
        <v>669</v>
      </c>
      <c r="G393" s="579">
        <v>4.26</v>
      </c>
      <c r="H393" s="612"/>
    </row>
    <row r="394" spans="1:8">
      <c r="A394" s="579"/>
      <c r="B394" s="579"/>
      <c r="C394" s="6" t="s">
        <v>1440</v>
      </c>
      <c r="D394" s="579"/>
      <c r="E394" s="579"/>
      <c r="F394" s="439"/>
      <c r="G394" s="644">
        <f>SUM(G387:G393)</f>
        <v>10200.969999999999</v>
      </c>
      <c r="H394" s="612"/>
    </row>
    <row r="395" spans="1:8">
      <c r="A395" s="579"/>
      <c r="B395" s="579"/>
      <c r="C395" s="758" t="s">
        <v>4636</v>
      </c>
      <c r="D395" s="642" t="s">
        <v>2091</v>
      </c>
      <c r="E395" s="642"/>
      <c r="F395" s="647"/>
      <c r="G395" s="624">
        <f>G394/A392</f>
        <v>4048</v>
      </c>
      <c r="H395" s="612"/>
    </row>
    <row r="396" spans="1:8">
      <c r="A396" s="612"/>
      <c r="B396" s="612"/>
      <c r="C396" s="612"/>
      <c r="D396" s="612"/>
      <c r="E396" s="612"/>
      <c r="F396" s="612"/>
      <c r="G396" s="612"/>
      <c r="H396" s="612"/>
    </row>
    <row r="397" spans="1:8">
      <c r="A397" s="612"/>
      <c r="B397" s="612"/>
      <c r="C397" s="620" t="s">
        <v>4637</v>
      </c>
      <c r="D397" s="612"/>
      <c r="E397" s="612"/>
      <c r="F397" s="612"/>
      <c r="G397" s="612"/>
      <c r="H397" s="612"/>
    </row>
    <row r="398" spans="1:8">
      <c r="A398" s="8">
        <v>1</v>
      </c>
      <c r="B398" s="7" t="s">
        <v>884</v>
      </c>
      <c r="C398" s="1" t="s">
        <v>4638</v>
      </c>
      <c r="D398" s="8"/>
      <c r="E398" s="8">
        <v>501</v>
      </c>
      <c r="F398" s="1" t="s">
        <v>884</v>
      </c>
      <c r="G398" s="94">
        <f>E398*A398</f>
        <v>501</v>
      </c>
      <c r="H398" s="612"/>
    </row>
    <row r="399" spans="1:8">
      <c r="A399" s="8">
        <v>1</v>
      </c>
      <c r="B399" s="7" t="s">
        <v>884</v>
      </c>
      <c r="C399" s="1" t="s">
        <v>4639</v>
      </c>
      <c r="D399" s="8"/>
      <c r="E399" s="8">
        <v>355</v>
      </c>
      <c r="F399" s="1" t="s">
        <v>884</v>
      </c>
      <c r="G399" s="94">
        <f>E399*A399</f>
        <v>355</v>
      </c>
      <c r="H399" s="612"/>
    </row>
    <row r="400" spans="1:8">
      <c r="A400" s="8">
        <v>0.5</v>
      </c>
      <c r="B400" s="7" t="s">
        <v>884</v>
      </c>
      <c r="C400" s="1" t="s">
        <v>4640</v>
      </c>
      <c r="D400" s="8"/>
      <c r="E400" s="8">
        <v>508</v>
      </c>
      <c r="F400" s="1" t="s">
        <v>884</v>
      </c>
      <c r="G400" s="94">
        <f>E400*A400</f>
        <v>254</v>
      </c>
      <c r="H400" s="612"/>
    </row>
    <row r="401" spans="1:8">
      <c r="A401" s="579"/>
      <c r="B401" s="644"/>
      <c r="C401" s="1"/>
      <c r="D401" s="579"/>
      <c r="E401" s="645"/>
      <c r="F401" s="5"/>
      <c r="G401" s="612"/>
      <c r="H401" s="612"/>
    </row>
    <row r="402" spans="1:8">
      <c r="A402" s="579"/>
      <c r="B402" s="644"/>
      <c r="C402" s="1" t="s">
        <v>4016</v>
      </c>
      <c r="D402" s="579"/>
      <c r="E402" s="645"/>
      <c r="F402" s="38"/>
      <c r="G402" s="642">
        <f>SUM(G398:G401)</f>
        <v>1110</v>
      </c>
      <c r="H402" s="612"/>
    </row>
    <row r="403" spans="1:8">
      <c r="A403" s="579"/>
      <c r="B403" s="644"/>
      <c r="C403" s="579"/>
      <c r="D403" s="579"/>
      <c r="E403" s="645"/>
      <c r="F403" s="5"/>
      <c r="G403" s="612"/>
      <c r="H403" s="612"/>
    </row>
    <row r="404" spans="1:8">
      <c r="A404" s="763"/>
      <c r="B404" s="763"/>
      <c r="C404" s="763"/>
      <c r="D404" s="763"/>
      <c r="E404" s="763"/>
      <c r="F404" s="763"/>
      <c r="G404" s="763"/>
      <c r="H404" s="763"/>
    </row>
    <row r="405" spans="1:8">
      <c r="A405" s="612"/>
      <c r="B405" s="612"/>
      <c r="C405" s="612"/>
      <c r="D405" s="612"/>
      <c r="E405" s="612"/>
      <c r="F405" s="612"/>
      <c r="G405" s="612"/>
      <c r="H405" s="612"/>
    </row>
    <row r="406" spans="1:8">
      <c r="A406" s="1569" t="s">
        <v>4651</v>
      </c>
      <c r="B406" s="1569"/>
      <c r="C406" s="1569"/>
      <c r="D406" s="1569"/>
      <c r="E406" s="1569"/>
      <c r="F406" s="1569"/>
      <c r="G406" s="1569"/>
      <c r="H406" s="1569"/>
    </row>
    <row r="407" spans="1:8">
      <c r="A407" s="612"/>
      <c r="B407" s="612" t="s">
        <v>4597</v>
      </c>
      <c r="C407" s="612" t="s">
        <v>4598</v>
      </c>
      <c r="D407" s="612"/>
      <c r="E407" s="612"/>
      <c r="F407" s="612"/>
      <c r="G407" s="612"/>
      <c r="H407" s="612"/>
    </row>
    <row r="408" spans="1:8">
      <c r="A408" s="612"/>
      <c r="B408" s="612"/>
      <c r="C408" s="612" t="s">
        <v>4599</v>
      </c>
      <c r="D408" s="612" t="s">
        <v>2091</v>
      </c>
      <c r="E408" s="612" t="s">
        <v>4652</v>
      </c>
      <c r="F408" s="612" t="s">
        <v>2091</v>
      </c>
      <c r="G408" s="94">
        <f>1*1*0.9*1.558</f>
        <v>1.4</v>
      </c>
      <c r="H408" s="612" t="s">
        <v>1676</v>
      </c>
    </row>
    <row r="409" spans="1:8">
      <c r="A409" s="612"/>
      <c r="B409" s="612" t="s">
        <v>4601</v>
      </c>
      <c r="C409" s="612" t="s">
        <v>4602</v>
      </c>
      <c r="D409" s="612"/>
      <c r="E409" s="612"/>
      <c r="F409" s="612"/>
      <c r="G409" s="612"/>
      <c r="H409" s="612"/>
    </row>
    <row r="410" spans="1:8">
      <c r="A410" s="612"/>
      <c r="B410" s="612"/>
      <c r="C410" s="612" t="s">
        <v>4603</v>
      </c>
      <c r="D410" s="612" t="s">
        <v>2091</v>
      </c>
      <c r="E410" s="612" t="s">
        <v>4604</v>
      </c>
      <c r="F410" s="612" t="s">
        <v>2091</v>
      </c>
      <c r="G410" s="94">
        <f>1*2*1.35*0.695</f>
        <v>1.88</v>
      </c>
      <c r="H410" s="612" t="s">
        <v>1676</v>
      </c>
    </row>
    <row r="411" spans="1:8">
      <c r="A411" s="612"/>
      <c r="B411" s="612" t="s">
        <v>4605</v>
      </c>
      <c r="C411" s="612" t="s">
        <v>4606</v>
      </c>
      <c r="D411" s="612"/>
      <c r="E411" s="612"/>
      <c r="F411" s="612"/>
      <c r="G411" s="94"/>
      <c r="H411" s="612"/>
    </row>
    <row r="412" spans="1:8">
      <c r="A412" s="612"/>
      <c r="B412" s="612"/>
      <c r="C412" s="612" t="s">
        <v>4607</v>
      </c>
      <c r="D412" s="612" t="s">
        <v>2091</v>
      </c>
      <c r="E412" s="612" t="s">
        <v>4653</v>
      </c>
      <c r="F412" s="612" t="s">
        <v>2091</v>
      </c>
      <c r="G412" s="94">
        <f>1*1*0.9*1.088</f>
        <v>0.98</v>
      </c>
      <c r="H412" s="612" t="s">
        <v>1676</v>
      </c>
    </row>
    <row r="413" spans="1:8">
      <c r="A413" s="612"/>
      <c r="B413" s="612" t="s">
        <v>4609</v>
      </c>
      <c r="C413" s="612" t="s">
        <v>4610</v>
      </c>
      <c r="D413" s="612"/>
      <c r="E413" s="612"/>
      <c r="F413" s="612"/>
      <c r="G413" s="94"/>
      <c r="H413" s="612"/>
    </row>
    <row r="414" spans="1:8">
      <c r="A414" s="612"/>
      <c r="B414" s="612"/>
      <c r="C414" s="612" t="s">
        <v>4611</v>
      </c>
      <c r="D414" s="612" t="s">
        <v>2091</v>
      </c>
      <c r="E414" s="612" t="s">
        <v>4612</v>
      </c>
      <c r="F414" s="612" t="s">
        <v>2091</v>
      </c>
      <c r="G414" s="94">
        <f>1*2*1.25*0.605</f>
        <v>1.51</v>
      </c>
      <c r="H414" s="612" t="s">
        <v>1676</v>
      </c>
    </row>
    <row r="415" spans="1:8">
      <c r="A415" s="612"/>
      <c r="B415" s="612" t="s">
        <v>4613</v>
      </c>
      <c r="C415" s="612" t="s">
        <v>4614</v>
      </c>
      <c r="D415" s="612"/>
      <c r="E415" s="612"/>
      <c r="F415" s="612"/>
      <c r="G415" s="94"/>
      <c r="H415" s="612"/>
    </row>
    <row r="416" spans="1:8">
      <c r="A416" s="612"/>
      <c r="B416" s="612"/>
      <c r="C416" s="612" t="s">
        <v>4615</v>
      </c>
      <c r="D416" s="612" t="s">
        <v>2091</v>
      </c>
      <c r="E416" s="612" t="s">
        <v>4616</v>
      </c>
      <c r="F416" s="612" t="s">
        <v>2091</v>
      </c>
      <c r="G416" s="94">
        <f>1*2*1.25*0.488</f>
        <v>1.22</v>
      </c>
      <c r="H416" s="612" t="s">
        <v>1676</v>
      </c>
    </row>
    <row r="417" spans="1:8">
      <c r="A417" s="612"/>
      <c r="B417" s="612" t="s">
        <v>4613</v>
      </c>
      <c r="C417" s="612" t="s">
        <v>4617</v>
      </c>
      <c r="D417" s="612"/>
      <c r="E417" s="612"/>
      <c r="F417" s="612"/>
      <c r="G417" s="94"/>
      <c r="H417" s="612"/>
    </row>
    <row r="418" spans="1:8">
      <c r="A418" s="612"/>
      <c r="B418" s="612"/>
      <c r="C418" s="612" t="s">
        <v>4618</v>
      </c>
      <c r="D418" s="612" t="s">
        <v>2091</v>
      </c>
      <c r="E418" s="612" t="s">
        <v>4654</v>
      </c>
      <c r="F418" s="612" t="s">
        <v>2091</v>
      </c>
      <c r="G418" s="94">
        <f>2*2*0.45*0.355</f>
        <v>0.64</v>
      </c>
      <c r="H418" s="612" t="s">
        <v>1676</v>
      </c>
    </row>
    <row r="419" spans="1:8">
      <c r="A419" s="612"/>
      <c r="B419" s="612"/>
      <c r="C419" s="612"/>
      <c r="D419" s="612"/>
      <c r="E419" s="612"/>
      <c r="F419" s="612"/>
      <c r="G419" s="94">
        <f>SUM(G408:G418)</f>
        <v>7.63</v>
      </c>
      <c r="H419" s="612" t="s">
        <v>1676</v>
      </c>
    </row>
    <row r="420" spans="1:8">
      <c r="A420" s="612"/>
      <c r="B420" s="612"/>
      <c r="C420" s="612"/>
      <c r="D420" s="612"/>
      <c r="E420" s="612" t="s">
        <v>4620</v>
      </c>
      <c r="F420" s="612" t="s">
        <v>2091</v>
      </c>
      <c r="G420" s="94">
        <f>G419*10%</f>
        <v>0.76</v>
      </c>
      <c r="H420" s="612" t="s">
        <v>1676</v>
      </c>
    </row>
    <row r="421" spans="1:8">
      <c r="A421" s="612"/>
      <c r="B421" s="612"/>
      <c r="C421" s="612"/>
      <c r="D421" s="612"/>
      <c r="E421" s="612"/>
      <c r="F421" s="612"/>
      <c r="G421" s="765">
        <f>SUM(G419:G420)</f>
        <v>8.39</v>
      </c>
      <c r="H421" s="612" t="s">
        <v>1676</v>
      </c>
    </row>
    <row r="422" spans="1:8">
      <c r="A422" s="612"/>
      <c r="B422" s="612"/>
      <c r="C422" s="612"/>
      <c r="D422" s="612"/>
      <c r="E422" s="612"/>
      <c r="F422" s="612"/>
      <c r="G422" s="612"/>
      <c r="H422" s="612"/>
    </row>
    <row r="423" spans="1:8">
      <c r="A423" s="612"/>
      <c r="B423" s="757" t="s">
        <v>4621</v>
      </c>
      <c r="C423" s="612" t="s">
        <v>4622</v>
      </c>
      <c r="D423" s="612"/>
      <c r="E423" s="612"/>
      <c r="F423" s="612"/>
      <c r="G423" s="612"/>
      <c r="H423" s="612"/>
    </row>
    <row r="424" spans="1:8" ht="17.25">
      <c r="A424" s="612"/>
      <c r="B424" s="612"/>
      <c r="C424" s="612" t="s">
        <v>4623</v>
      </c>
      <c r="D424" s="612" t="s">
        <v>2091</v>
      </c>
      <c r="E424" s="612" t="s">
        <v>4655</v>
      </c>
      <c r="F424" s="612" t="s">
        <v>2091</v>
      </c>
      <c r="G424" s="764">
        <f>1*2*0.45*1.25</f>
        <v>1.125</v>
      </c>
      <c r="H424" s="612" t="s">
        <v>4625</v>
      </c>
    </row>
    <row r="425" spans="1:8">
      <c r="A425" s="612"/>
      <c r="B425" s="612"/>
      <c r="C425" s="612"/>
      <c r="D425" s="612"/>
      <c r="E425" s="612"/>
      <c r="F425" s="612"/>
      <c r="G425" s="94"/>
      <c r="H425" s="612"/>
    </row>
    <row r="426" spans="1:8">
      <c r="A426" s="612"/>
      <c r="B426" s="757" t="s">
        <v>4626</v>
      </c>
      <c r="C426" s="612" t="s">
        <v>4002</v>
      </c>
      <c r="D426" s="612" t="s">
        <v>2091</v>
      </c>
      <c r="E426" s="612" t="s">
        <v>4656</v>
      </c>
      <c r="F426" s="612" t="s">
        <v>2091</v>
      </c>
      <c r="G426" s="94">
        <f>1*2*2*3.4</f>
        <v>13.6</v>
      </c>
      <c r="H426" s="612" t="s">
        <v>842</v>
      </c>
    </row>
    <row r="427" spans="1:8">
      <c r="A427" s="612"/>
      <c r="B427" s="612"/>
      <c r="C427" s="612"/>
      <c r="D427" s="612"/>
      <c r="E427" s="612"/>
      <c r="F427" s="612"/>
      <c r="G427" s="94"/>
      <c r="H427" s="612"/>
    </row>
    <row r="428" spans="1:8" ht="17.25">
      <c r="A428" s="612"/>
      <c r="B428" s="757" t="s">
        <v>4628</v>
      </c>
      <c r="C428" s="612" t="s">
        <v>4629</v>
      </c>
      <c r="D428" s="612" t="s">
        <v>2091</v>
      </c>
      <c r="E428" s="612" t="s">
        <v>4657</v>
      </c>
      <c r="F428" s="612" t="s">
        <v>2091</v>
      </c>
      <c r="G428" s="94">
        <f>0.9*1.35</f>
        <v>1.22</v>
      </c>
      <c r="H428" s="612" t="s">
        <v>4625</v>
      </c>
    </row>
    <row r="429" spans="1:8">
      <c r="A429" s="612"/>
      <c r="B429" s="612"/>
      <c r="C429" s="612"/>
      <c r="D429" s="612"/>
      <c r="E429" s="612"/>
      <c r="F429" s="612"/>
      <c r="G429" s="612"/>
      <c r="H429" s="612"/>
    </row>
    <row r="430" spans="1:8">
      <c r="A430" s="612"/>
      <c r="B430" s="612"/>
      <c r="C430" s="612"/>
      <c r="D430" s="612"/>
      <c r="E430" s="612"/>
      <c r="F430" s="612"/>
      <c r="G430" s="612"/>
      <c r="H430" s="612"/>
    </row>
    <row r="431" spans="1:8">
      <c r="A431" s="612"/>
      <c r="B431" s="612"/>
      <c r="C431" s="612"/>
      <c r="D431" s="612"/>
      <c r="E431" s="612"/>
      <c r="F431" s="612"/>
      <c r="G431" s="612"/>
      <c r="H431" s="612"/>
    </row>
    <row r="432" spans="1:8">
      <c r="A432" s="15">
        <f>G421</f>
        <v>8.39</v>
      </c>
      <c r="B432" s="7" t="s">
        <v>929</v>
      </c>
      <c r="C432" s="1" t="s">
        <v>4631</v>
      </c>
      <c r="D432" s="8"/>
      <c r="E432" s="8">
        <v>287</v>
      </c>
      <c r="F432" s="7" t="s">
        <v>929</v>
      </c>
      <c r="G432" s="8">
        <f t="shared" ref="G432:G437" si="16">E432*A432</f>
        <v>2407.9299999999998</v>
      </c>
      <c r="H432" s="612"/>
    </row>
    <row r="433" spans="1:8">
      <c r="A433" s="15">
        <f>G424</f>
        <v>1.125</v>
      </c>
      <c r="B433" s="7" t="s">
        <v>236</v>
      </c>
      <c r="C433" s="1" t="s">
        <v>4632</v>
      </c>
      <c r="D433" s="8"/>
      <c r="E433" s="8">
        <v>336</v>
      </c>
      <c r="F433" s="7" t="s">
        <v>236</v>
      </c>
      <c r="G433" s="8">
        <f t="shared" si="16"/>
        <v>378</v>
      </c>
      <c r="H433" s="612"/>
    </row>
    <row r="434" spans="1:8">
      <c r="A434" s="15">
        <v>13.6</v>
      </c>
      <c r="B434" s="7" t="s">
        <v>842</v>
      </c>
      <c r="C434" s="1" t="s">
        <v>1890</v>
      </c>
      <c r="D434" s="8"/>
      <c r="E434" s="8">
        <v>27.1</v>
      </c>
      <c r="F434" s="7" t="s">
        <v>842</v>
      </c>
      <c r="G434" s="8">
        <f t="shared" si="16"/>
        <v>368.56</v>
      </c>
      <c r="H434" s="612"/>
    </row>
    <row r="435" spans="1:8">
      <c r="A435" s="15">
        <v>1</v>
      </c>
      <c r="B435" s="7" t="s">
        <v>785</v>
      </c>
      <c r="C435" s="1" t="s">
        <v>4633</v>
      </c>
      <c r="D435" s="8"/>
      <c r="E435" s="8">
        <v>59.4</v>
      </c>
      <c r="F435" s="7" t="s">
        <v>785</v>
      </c>
      <c r="G435" s="8">
        <f t="shared" si="16"/>
        <v>59.4</v>
      </c>
      <c r="H435" s="612"/>
    </row>
    <row r="436" spans="1:8">
      <c r="A436" s="15">
        <v>1</v>
      </c>
      <c r="B436" s="7" t="s">
        <v>785</v>
      </c>
      <c r="C436" s="1" t="s">
        <v>4634</v>
      </c>
      <c r="D436" s="8"/>
      <c r="E436" s="8">
        <v>13.1</v>
      </c>
      <c r="F436" s="7" t="s">
        <v>785</v>
      </c>
      <c r="G436" s="8">
        <f t="shared" si="16"/>
        <v>13.1</v>
      </c>
      <c r="H436" s="612"/>
    </row>
    <row r="437" spans="1:8">
      <c r="A437" s="15">
        <v>1.22</v>
      </c>
      <c r="B437" s="7" t="s">
        <v>2322</v>
      </c>
      <c r="C437" s="1" t="s">
        <v>1896</v>
      </c>
      <c r="D437" s="579"/>
      <c r="E437" s="579">
        <f>G447</f>
        <v>1110</v>
      </c>
      <c r="F437" s="7" t="s">
        <v>2322</v>
      </c>
      <c r="G437" s="8">
        <f t="shared" si="16"/>
        <v>1354.2</v>
      </c>
      <c r="H437" s="612"/>
    </row>
    <row r="438" spans="1:8">
      <c r="A438" s="579"/>
      <c r="B438" s="644"/>
      <c r="C438" s="1" t="s">
        <v>2310</v>
      </c>
      <c r="D438" s="579"/>
      <c r="E438" s="580"/>
      <c r="F438" s="8" t="s">
        <v>669</v>
      </c>
      <c r="G438" s="612">
        <v>4.7</v>
      </c>
      <c r="H438" s="612"/>
    </row>
    <row r="439" spans="1:8">
      <c r="A439" s="579"/>
      <c r="B439" s="579"/>
      <c r="C439" s="6" t="s">
        <v>4658</v>
      </c>
      <c r="D439" s="579"/>
      <c r="E439" s="579"/>
      <c r="F439" s="439"/>
      <c r="G439" s="579">
        <f>SUM(G432:G438)</f>
        <v>4585.8900000000003</v>
      </c>
      <c r="H439" s="612"/>
    </row>
    <row r="440" spans="1:8">
      <c r="A440" s="579"/>
      <c r="B440" s="579"/>
      <c r="C440" s="758" t="s">
        <v>4636</v>
      </c>
      <c r="D440" s="642" t="s">
        <v>2091</v>
      </c>
      <c r="E440" s="642"/>
      <c r="F440" s="647"/>
      <c r="G440" s="624">
        <f>G439/A437</f>
        <v>3758.93</v>
      </c>
      <c r="H440" s="612"/>
    </row>
    <row r="441" spans="1:8">
      <c r="A441" s="612"/>
      <c r="B441" s="612"/>
      <c r="C441" s="612"/>
      <c r="D441" s="612"/>
      <c r="E441" s="612"/>
      <c r="F441" s="612"/>
      <c r="G441" s="612"/>
      <c r="H441" s="612"/>
    </row>
    <row r="442" spans="1:8">
      <c r="A442" s="612"/>
      <c r="B442" s="612"/>
      <c r="C442" s="620" t="s">
        <v>4637</v>
      </c>
      <c r="D442" s="612"/>
      <c r="E442" s="612"/>
      <c r="F442" s="612"/>
      <c r="G442" s="612"/>
      <c r="H442" s="612"/>
    </row>
    <row r="443" spans="1:8">
      <c r="A443" s="8">
        <v>1</v>
      </c>
      <c r="B443" s="7" t="s">
        <v>884</v>
      </c>
      <c r="C443" s="1" t="s">
        <v>4638</v>
      </c>
      <c r="D443" s="8"/>
      <c r="E443" s="8">
        <v>501</v>
      </c>
      <c r="F443" s="1" t="s">
        <v>884</v>
      </c>
      <c r="G443" s="612">
        <f>E443*A443</f>
        <v>501</v>
      </c>
      <c r="H443" s="612"/>
    </row>
    <row r="444" spans="1:8">
      <c r="A444" s="8">
        <v>1</v>
      </c>
      <c r="B444" s="7" t="s">
        <v>884</v>
      </c>
      <c r="C444" s="1" t="s">
        <v>4639</v>
      </c>
      <c r="D444" s="8"/>
      <c r="E444" s="8">
        <v>355</v>
      </c>
      <c r="F444" s="1" t="s">
        <v>884</v>
      </c>
      <c r="G444" s="612">
        <f>E444*A444</f>
        <v>355</v>
      </c>
      <c r="H444" s="612"/>
    </row>
    <row r="445" spans="1:8">
      <c r="A445" s="8">
        <v>0.5</v>
      </c>
      <c r="B445" s="7" t="s">
        <v>884</v>
      </c>
      <c r="C445" s="1" t="s">
        <v>4640</v>
      </c>
      <c r="D445" s="8"/>
      <c r="E445" s="8">
        <v>508</v>
      </c>
      <c r="F445" s="1" t="s">
        <v>884</v>
      </c>
      <c r="G445" s="612">
        <f>E445*A445</f>
        <v>254</v>
      </c>
      <c r="H445" s="612"/>
    </row>
    <row r="446" spans="1:8">
      <c r="A446" s="579"/>
      <c r="B446" s="644"/>
      <c r="C446" s="1"/>
      <c r="D446" s="579"/>
      <c r="E446" s="645"/>
      <c r="F446" s="5"/>
      <c r="G446" s="612"/>
      <c r="H446" s="612"/>
    </row>
    <row r="447" spans="1:8">
      <c r="A447" s="579"/>
      <c r="B447" s="644"/>
      <c r="C447" s="1" t="s">
        <v>4016</v>
      </c>
      <c r="D447" s="579"/>
      <c r="E447" s="645"/>
      <c r="F447" s="38"/>
      <c r="G447" s="642">
        <f>SUM(G443:G446)</f>
        <v>1110</v>
      </c>
      <c r="H447" s="612"/>
    </row>
    <row r="448" spans="1:8">
      <c r="A448" s="579"/>
      <c r="B448" s="644"/>
      <c r="C448" s="579"/>
      <c r="D448" s="579"/>
      <c r="E448" s="645"/>
      <c r="F448" s="5"/>
      <c r="G448" s="612"/>
      <c r="H448" s="612"/>
    </row>
    <row r="449" spans="1:8">
      <c r="A449" s="763"/>
      <c r="B449" s="763"/>
      <c r="C449" s="763"/>
      <c r="D449" s="763"/>
      <c r="E449" s="763"/>
      <c r="F449" s="763"/>
      <c r="G449" s="763"/>
      <c r="H449" s="763"/>
    </row>
    <row r="450" spans="1:8">
      <c r="A450" s="612"/>
      <c r="B450" s="612"/>
      <c r="C450" s="612"/>
      <c r="D450" s="612"/>
      <c r="E450" s="612"/>
      <c r="F450" s="612"/>
      <c r="G450" s="612"/>
      <c r="H450" s="612"/>
    </row>
    <row r="451" spans="1:8">
      <c r="A451" s="1569" t="s">
        <v>4659</v>
      </c>
      <c r="B451" s="1569"/>
      <c r="C451" s="1569"/>
      <c r="D451" s="1569"/>
      <c r="E451" s="1569"/>
      <c r="F451" s="1569"/>
      <c r="G451" s="1569"/>
      <c r="H451" s="1569"/>
    </row>
    <row r="452" spans="1:8">
      <c r="A452" s="612"/>
      <c r="B452" s="612" t="s">
        <v>4597</v>
      </c>
      <c r="C452" s="612" t="s">
        <v>4598</v>
      </c>
      <c r="D452" s="612"/>
      <c r="E452" s="612"/>
      <c r="F452" s="612"/>
      <c r="G452" s="612"/>
      <c r="H452" s="612"/>
    </row>
    <row r="453" spans="1:8">
      <c r="A453" s="612"/>
      <c r="B453" s="612"/>
      <c r="C453" s="612" t="s">
        <v>4599</v>
      </c>
      <c r="D453" s="612" t="s">
        <v>2091</v>
      </c>
      <c r="E453" s="612" t="s">
        <v>4642</v>
      </c>
      <c r="F453" s="612" t="s">
        <v>2091</v>
      </c>
      <c r="G453" s="94">
        <f>1*2*2.4*1.558</f>
        <v>7.48</v>
      </c>
      <c r="H453" s="612" t="s">
        <v>1676</v>
      </c>
    </row>
    <row r="454" spans="1:8">
      <c r="A454" s="612"/>
      <c r="B454" s="612" t="s">
        <v>4601</v>
      </c>
      <c r="C454" s="612" t="s">
        <v>4602</v>
      </c>
      <c r="D454" s="612"/>
      <c r="E454" s="612"/>
      <c r="F454" s="612"/>
      <c r="G454" s="612"/>
      <c r="H454" s="612"/>
    </row>
    <row r="455" spans="1:8">
      <c r="A455" s="612"/>
      <c r="B455" s="612"/>
      <c r="C455" s="612" t="s">
        <v>4603</v>
      </c>
      <c r="D455" s="612" t="s">
        <v>2091</v>
      </c>
      <c r="E455" s="612" t="s">
        <v>4660</v>
      </c>
      <c r="F455" s="612" t="s">
        <v>2091</v>
      </c>
      <c r="G455" s="94">
        <f>1*2*1.8*0.695</f>
        <v>2.5</v>
      </c>
      <c r="H455" s="612" t="s">
        <v>1676</v>
      </c>
    </row>
    <row r="456" spans="1:8">
      <c r="A456" s="612"/>
      <c r="B456" s="612" t="s">
        <v>4605</v>
      </c>
      <c r="C456" s="612" t="s">
        <v>4606</v>
      </c>
      <c r="D456" s="612"/>
      <c r="E456" s="612"/>
      <c r="F456" s="612"/>
      <c r="G456" s="94"/>
      <c r="H456" s="612"/>
    </row>
    <row r="457" spans="1:8">
      <c r="A457" s="612"/>
      <c r="B457" s="612"/>
      <c r="C457" s="612" t="s">
        <v>4607</v>
      </c>
      <c r="D457" s="612" t="s">
        <v>2091</v>
      </c>
      <c r="E457" s="612" t="s">
        <v>4644</v>
      </c>
      <c r="F457" s="612" t="s">
        <v>2091</v>
      </c>
      <c r="G457" s="94">
        <f>1*1*2.4*1.088</f>
        <v>2.61</v>
      </c>
      <c r="H457" s="612" t="s">
        <v>1676</v>
      </c>
    </row>
    <row r="458" spans="1:8">
      <c r="A458" s="612"/>
      <c r="B458" s="612" t="s">
        <v>4601</v>
      </c>
      <c r="C458" s="612" t="s">
        <v>4602</v>
      </c>
      <c r="D458" s="612"/>
      <c r="E458" s="612"/>
      <c r="F458" s="612"/>
      <c r="G458" s="612"/>
      <c r="H458" s="612"/>
    </row>
    <row r="459" spans="1:8">
      <c r="A459" s="612"/>
      <c r="B459" s="612"/>
      <c r="C459" s="612" t="s">
        <v>4661</v>
      </c>
      <c r="D459" s="612" t="s">
        <v>2091</v>
      </c>
      <c r="E459" s="612" t="s">
        <v>4662</v>
      </c>
      <c r="F459" s="612" t="s">
        <v>2091</v>
      </c>
      <c r="G459" s="94">
        <f>1*2*1.2*0.695</f>
        <v>1.67</v>
      </c>
      <c r="H459" s="612" t="s">
        <v>1676</v>
      </c>
    </row>
    <row r="460" spans="1:8">
      <c r="A460" s="612"/>
      <c r="B460" s="612" t="s">
        <v>4609</v>
      </c>
      <c r="C460" s="612" t="s">
        <v>4610</v>
      </c>
      <c r="D460" s="612"/>
      <c r="E460" s="612"/>
      <c r="F460" s="612"/>
      <c r="G460" s="94"/>
      <c r="H460" s="612"/>
    </row>
    <row r="461" spans="1:8">
      <c r="A461" s="612"/>
      <c r="B461" s="612"/>
      <c r="C461" s="612" t="s">
        <v>4611</v>
      </c>
      <c r="D461" s="612" t="s">
        <v>2091</v>
      </c>
      <c r="E461" s="612" t="s">
        <v>4663</v>
      </c>
      <c r="F461" s="612" t="s">
        <v>2091</v>
      </c>
      <c r="G461" s="94">
        <f>1*4*1.1*0.605</f>
        <v>2.66</v>
      </c>
      <c r="H461" s="612" t="s">
        <v>1676</v>
      </c>
    </row>
    <row r="462" spans="1:8">
      <c r="A462" s="612"/>
      <c r="B462" s="612" t="s">
        <v>4613</v>
      </c>
      <c r="C462" s="612" t="s">
        <v>4614</v>
      </c>
      <c r="D462" s="612"/>
      <c r="E462" s="612"/>
      <c r="F462" s="612"/>
      <c r="G462" s="94"/>
      <c r="H462" s="612"/>
    </row>
    <row r="463" spans="1:8">
      <c r="A463" s="612"/>
      <c r="B463" s="612"/>
      <c r="C463" s="612" t="s">
        <v>4615</v>
      </c>
      <c r="D463" s="612" t="s">
        <v>2091</v>
      </c>
      <c r="E463" s="612" t="s">
        <v>4664</v>
      </c>
      <c r="F463" s="612" t="s">
        <v>2091</v>
      </c>
      <c r="G463" s="94">
        <f>1*4*1.1*0.488</f>
        <v>2.15</v>
      </c>
      <c r="H463" s="612" t="s">
        <v>1676</v>
      </c>
    </row>
    <row r="464" spans="1:8">
      <c r="A464" s="612"/>
      <c r="B464" s="612" t="s">
        <v>4665</v>
      </c>
      <c r="C464" s="612" t="s">
        <v>4617</v>
      </c>
      <c r="D464" s="612"/>
      <c r="E464" s="612"/>
      <c r="F464" s="612"/>
      <c r="G464" s="94"/>
      <c r="H464" s="612"/>
    </row>
    <row r="465" spans="1:8">
      <c r="A465" s="612"/>
      <c r="B465" s="612"/>
      <c r="C465" s="612" t="s">
        <v>4618</v>
      </c>
      <c r="D465" s="612" t="s">
        <v>2091</v>
      </c>
      <c r="E465" s="612" t="s">
        <v>4647</v>
      </c>
      <c r="F465" s="612" t="s">
        <v>2091</v>
      </c>
      <c r="G465" s="94">
        <f>2*4*0.55*0.355</f>
        <v>1.56</v>
      </c>
      <c r="H465" s="612" t="s">
        <v>1676</v>
      </c>
    </row>
    <row r="466" spans="1:8">
      <c r="A466" s="612"/>
      <c r="B466" s="612"/>
      <c r="C466" s="612"/>
      <c r="D466" s="612"/>
      <c r="E466" s="612"/>
      <c r="F466" s="612"/>
      <c r="G466" s="94">
        <f>SUM(G453:G465)</f>
        <v>20.63</v>
      </c>
      <c r="H466" s="612" t="s">
        <v>1676</v>
      </c>
    </row>
    <row r="467" spans="1:8">
      <c r="A467" s="612"/>
      <c r="B467" s="612"/>
      <c r="C467" s="612"/>
      <c r="D467" s="612"/>
      <c r="E467" s="612" t="s">
        <v>4620</v>
      </c>
      <c r="F467" s="612" t="s">
        <v>2091</v>
      </c>
      <c r="G467" s="94">
        <f>G466*10%</f>
        <v>2.06</v>
      </c>
      <c r="H467" s="612" t="s">
        <v>1676</v>
      </c>
    </row>
    <row r="468" spans="1:8">
      <c r="A468" s="612"/>
      <c r="B468" s="612"/>
      <c r="C468" s="612"/>
      <c r="D468" s="612"/>
      <c r="E468" s="612"/>
      <c r="F468" s="612"/>
      <c r="G468" s="624">
        <f>SUM(G466:G467)</f>
        <v>22.69</v>
      </c>
      <c r="H468" s="612" t="s">
        <v>1676</v>
      </c>
    </row>
    <row r="469" spans="1:8">
      <c r="A469" s="612"/>
      <c r="B469" s="612"/>
      <c r="C469" s="612"/>
      <c r="D469" s="612"/>
      <c r="E469" s="612"/>
      <c r="F469" s="612"/>
      <c r="G469" s="612"/>
      <c r="H469" s="612"/>
    </row>
    <row r="470" spans="1:8">
      <c r="A470" s="612"/>
      <c r="B470" s="757" t="s">
        <v>4621</v>
      </c>
      <c r="C470" s="612" t="s">
        <v>4622</v>
      </c>
      <c r="D470" s="612"/>
      <c r="E470" s="612"/>
      <c r="F470" s="612"/>
      <c r="G470" s="612"/>
      <c r="H470" s="612"/>
    </row>
    <row r="471" spans="1:8" ht="17.25">
      <c r="A471" s="612"/>
      <c r="B471" s="612"/>
      <c r="C471" s="612" t="s">
        <v>4623</v>
      </c>
      <c r="D471" s="612" t="s">
        <v>2091</v>
      </c>
      <c r="E471" s="612" t="s">
        <v>4666</v>
      </c>
      <c r="F471" s="612" t="s">
        <v>2091</v>
      </c>
      <c r="G471" s="94">
        <f>1*4*0.55*1.1</f>
        <v>2.42</v>
      </c>
      <c r="H471" s="612" t="s">
        <v>4625</v>
      </c>
    </row>
    <row r="472" spans="1:8" ht="17.25">
      <c r="A472" s="612"/>
      <c r="B472" s="612"/>
      <c r="C472" s="612" t="s">
        <v>4667</v>
      </c>
      <c r="D472" s="612" t="s">
        <v>2091</v>
      </c>
      <c r="E472" s="612" t="s">
        <v>4668</v>
      </c>
      <c r="F472" s="612" t="s">
        <v>2091</v>
      </c>
      <c r="G472" s="94">
        <f>1*1*2.3*0.6</f>
        <v>1.38</v>
      </c>
      <c r="H472" s="612" t="s">
        <v>4625</v>
      </c>
    </row>
    <row r="473" spans="1:8" ht="17.25">
      <c r="A473" s="612"/>
      <c r="B473" s="612"/>
      <c r="C473" s="612"/>
      <c r="D473" s="612"/>
      <c r="E473" s="612"/>
      <c r="F473" s="612"/>
      <c r="G473" s="624">
        <f>SUM(G471:G472)</f>
        <v>3.8</v>
      </c>
      <c r="H473" s="620" t="s">
        <v>4669</v>
      </c>
    </row>
    <row r="474" spans="1:8">
      <c r="A474" s="612"/>
      <c r="B474" s="612"/>
      <c r="C474" s="612"/>
      <c r="D474" s="612"/>
      <c r="E474" s="612"/>
      <c r="F474" s="612"/>
      <c r="G474" s="624"/>
      <c r="H474" s="620"/>
    </row>
    <row r="475" spans="1:8">
      <c r="A475" s="612"/>
      <c r="B475" s="757" t="s">
        <v>4626</v>
      </c>
      <c r="C475" s="612" t="s">
        <v>4002</v>
      </c>
      <c r="D475" s="612" t="s">
        <v>2091</v>
      </c>
      <c r="E475" s="612" t="s">
        <v>4670</v>
      </c>
      <c r="F475" s="612" t="s">
        <v>2091</v>
      </c>
      <c r="G475" s="94">
        <f>1*2*4*3.3</f>
        <v>26.4</v>
      </c>
      <c r="H475" s="612" t="s">
        <v>842</v>
      </c>
    </row>
    <row r="476" spans="1:8">
      <c r="A476" s="612"/>
      <c r="B476" s="757"/>
      <c r="C476" s="612"/>
      <c r="D476" s="612" t="s">
        <v>2091</v>
      </c>
      <c r="E476" s="612" t="s">
        <v>4671</v>
      </c>
      <c r="F476" s="612" t="s">
        <v>2091</v>
      </c>
      <c r="G476" s="94">
        <f>1*2*1*5.8</f>
        <v>11.6</v>
      </c>
      <c r="H476" s="612" t="s">
        <v>842</v>
      </c>
    </row>
    <row r="477" spans="1:8">
      <c r="A477" s="612"/>
      <c r="B477" s="757"/>
      <c r="C477" s="612"/>
      <c r="D477" s="612"/>
      <c r="E477" s="612"/>
      <c r="F477" s="612"/>
      <c r="G477" s="624">
        <f>SUM(G475:G476)</f>
        <v>38</v>
      </c>
      <c r="H477" s="620" t="s">
        <v>842</v>
      </c>
    </row>
    <row r="478" spans="1:8">
      <c r="A478" s="612"/>
      <c r="B478" s="612"/>
      <c r="C478" s="612"/>
      <c r="D478" s="612"/>
      <c r="E478" s="612"/>
      <c r="F478" s="612"/>
      <c r="G478" s="94"/>
      <c r="H478" s="612"/>
    </row>
    <row r="479" spans="1:8" ht="17.25">
      <c r="A479" s="612"/>
      <c r="B479" s="757" t="s">
        <v>4628</v>
      </c>
      <c r="C479" s="612" t="s">
        <v>4629</v>
      </c>
      <c r="D479" s="612" t="s">
        <v>2091</v>
      </c>
      <c r="E479" s="612" t="s">
        <v>4672</v>
      </c>
      <c r="F479" s="612" t="s">
        <v>2091</v>
      </c>
      <c r="G479" s="94">
        <f>2.4*1.8</f>
        <v>4.32</v>
      </c>
      <c r="H479" s="612" t="s">
        <v>4625</v>
      </c>
    </row>
    <row r="480" spans="1:8">
      <c r="A480" s="612"/>
      <c r="B480" s="612"/>
      <c r="C480" s="612"/>
      <c r="D480" s="612"/>
      <c r="E480" s="612"/>
      <c r="F480" s="612"/>
      <c r="G480" s="612"/>
      <c r="H480" s="612"/>
    </row>
    <row r="481" spans="1:8">
      <c r="A481" s="612"/>
      <c r="B481" s="612"/>
      <c r="C481" s="612"/>
      <c r="D481" s="612"/>
      <c r="E481" s="612"/>
      <c r="F481" s="612"/>
      <c r="G481" s="612"/>
      <c r="H481" s="612"/>
    </row>
    <row r="482" spans="1:8">
      <c r="A482" s="612"/>
      <c r="B482" s="612"/>
      <c r="C482" s="612"/>
      <c r="D482" s="612"/>
      <c r="E482" s="612"/>
      <c r="F482" s="612"/>
      <c r="G482" s="612"/>
      <c r="H482" s="612"/>
    </row>
    <row r="483" spans="1:8">
      <c r="A483" s="15">
        <f>G468</f>
        <v>22.69</v>
      </c>
      <c r="B483" s="7" t="s">
        <v>929</v>
      </c>
      <c r="C483" s="1" t="s">
        <v>4631</v>
      </c>
      <c r="D483" s="8"/>
      <c r="E483" s="8">
        <v>287</v>
      </c>
      <c r="F483" s="7" t="s">
        <v>929</v>
      </c>
      <c r="G483" s="8">
        <f t="shared" ref="G483:G488" si="17">E483*A483</f>
        <v>6512.03</v>
      </c>
      <c r="H483" s="612"/>
    </row>
    <row r="484" spans="1:8">
      <c r="A484" s="15">
        <f>G473</f>
        <v>3.8</v>
      </c>
      <c r="B484" s="7" t="s">
        <v>236</v>
      </c>
      <c r="C484" s="1" t="s">
        <v>4632</v>
      </c>
      <c r="D484" s="8"/>
      <c r="E484" s="8">
        <v>336</v>
      </c>
      <c r="F484" s="7" t="s">
        <v>236</v>
      </c>
      <c r="G484" s="8">
        <f t="shared" si="17"/>
        <v>1276.8</v>
      </c>
      <c r="H484" s="612"/>
    </row>
    <row r="485" spans="1:8">
      <c r="A485" s="15">
        <v>38</v>
      </c>
      <c r="B485" s="7" t="s">
        <v>842</v>
      </c>
      <c r="C485" s="1" t="s">
        <v>1890</v>
      </c>
      <c r="D485" s="8"/>
      <c r="E485" s="8">
        <v>27.1</v>
      </c>
      <c r="F485" s="7" t="s">
        <v>842</v>
      </c>
      <c r="G485" s="8">
        <f t="shared" si="17"/>
        <v>1029.8</v>
      </c>
      <c r="H485" s="612"/>
    </row>
    <row r="486" spans="1:8">
      <c r="A486" s="15">
        <v>1</v>
      </c>
      <c r="B486" s="7" t="s">
        <v>785</v>
      </c>
      <c r="C486" s="1" t="s">
        <v>4633</v>
      </c>
      <c r="D486" s="8"/>
      <c r="E486" s="8">
        <v>59.4</v>
      </c>
      <c r="F486" s="7" t="s">
        <v>785</v>
      </c>
      <c r="G486" s="8">
        <f t="shared" si="17"/>
        <v>59.4</v>
      </c>
      <c r="H486" s="612"/>
    </row>
    <row r="487" spans="1:8">
      <c r="A487" s="15">
        <v>1</v>
      </c>
      <c r="B487" s="7" t="s">
        <v>785</v>
      </c>
      <c r="C487" s="1" t="s">
        <v>4634</v>
      </c>
      <c r="D487" s="8"/>
      <c r="E487" s="8">
        <v>13.1</v>
      </c>
      <c r="F487" s="7" t="s">
        <v>785</v>
      </c>
      <c r="G487" s="8">
        <f t="shared" si="17"/>
        <v>13.1</v>
      </c>
      <c r="H487" s="612"/>
    </row>
    <row r="488" spans="1:8">
      <c r="A488" s="15">
        <v>4.32</v>
      </c>
      <c r="B488" s="7" t="s">
        <v>2322</v>
      </c>
      <c r="C488" s="1" t="s">
        <v>1896</v>
      </c>
      <c r="D488" s="579"/>
      <c r="E488" s="579">
        <f>G498</f>
        <v>1110</v>
      </c>
      <c r="F488" s="7" t="s">
        <v>2322</v>
      </c>
      <c r="G488" s="8">
        <f t="shared" si="17"/>
        <v>4795.2</v>
      </c>
      <c r="H488" s="612"/>
    </row>
    <row r="489" spans="1:8">
      <c r="A489" s="579"/>
      <c r="B489" s="644"/>
      <c r="C489" s="1" t="s">
        <v>2310</v>
      </c>
      <c r="D489" s="579"/>
      <c r="E489" s="580"/>
      <c r="F489" s="8" t="s">
        <v>669</v>
      </c>
      <c r="G489" s="612">
        <v>4.7</v>
      </c>
      <c r="H489" s="612"/>
    </row>
    <row r="490" spans="1:8">
      <c r="A490" s="579"/>
      <c r="B490" s="579"/>
      <c r="C490" s="6" t="s">
        <v>4673</v>
      </c>
      <c r="D490" s="579"/>
      <c r="E490" s="579"/>
      <c r="F490" s="439"/>
      <c r="G490" s="579">
        <f>SUM(G483:G489)</f>
        <v>13691.03</v>
      </c>
      <c r="H490" s="612"/>
    </row>
    <row r="491" spans="1:8">
      <c r="A491" s="579"/>
      <c r="B491" s="579"/>
      <c r="C491" s="758" t="s">
        <v>4636</v>
      </c>
      <c r="D491" s="642" t="s">
        <v>2091</v>
      </c>
      <c r="E491" s="642"/>
      <c r="F491" s="647"/>
      <c r="G491" s="624">
        <f>G490/A488</f>
        <v>3169.22</v>
      </c>
      <c r="H491" s="612"/>
    </row>
    <row r="492" spans="1:8">
      <c r="A492" s="612"/>
      <c r="B492" s="612"/>
      <c r="C492" s="612"/>
      <c r="D492" s="612"/>
      <c r="E492" s="612"/>
      <c r="F492" s="612"/>
      <c r="G492" s="612"/>
      <c r="H492" s="612"/>
    </row>
    <row r="493" spans="1:8">
      <c r="A493" s="612"/>
      <c r="B493" s="612"/>
      <c r="C493" s="620" t="s">
        <v>4637</v>
      </c>
      <c r="D493" s="612"/>
      <c r="E493" s="612"/>
      <c r="F493" s="612"/>
      <c r="G493" s="612"/>
      <c r="H493" s="612"/>
    </row>
    <row r="494" spans="1:8">
      <c r="A494" s="8">
        <v>1</v>
      </c>
      <c r="B494" s="7" t="s">
        <v>884</v>
      </c>
      <c r="C494" s="1" t="s">
        <v>4638</v>
      </c>
      <c r="D494" s="8"/>
      <c r="E494" s="8">
        <v>501</v>
      </c>
      <c r="F494" s="1" t="s">
        <v>884</v>
      </c>
      <c r="G494" s="612">
        <f>E494*A494</f>
        <v>501</v>
      </c>
      <c r="H494" s="612"/>
    </row>
    <row r="495" spans="1:8">
      <c r="A495" s="8">
        <v>1</v>
      </c>
      <c r="B495" s="7" t="s">
        <v>884</v>
      </c>
      <c r="C495" s="1" t="s">
        <v>4639</v>
      </c>
      <c r="D495" s="8"/>
      <c r="E495" s="8">
        <v>355</v>
      </c>
      <c r="F495" s="1" t="s">
        <v>884</v>
      </c>
      <c r="G495" s="612">
        <f>E495*A495</f>
        <v>355</v>
      </c>
      <c r="H495" s="612"/>
    </row>
    <row r="496" spans="1:8">
      <c r="A496" s="8">
        <v>0.5</v>
      </c>
      <c r="B496" s="7" t="s">
        <v>884</v>
      </c>
      <c r="C496" s="1" t="s">
        <v>4640</v>
      </c>
      <c r="D496" s="8"/>
      <c r="E496" s="8">
        <v>508</v>
      </c>
      <c r="F496" s="1" t="s">
        <v>884</v>
      </c>
      <c r="G496" s="612">
        <f>E496*A496</f>
        <v>254</v>
      </c>
      <c r="H496" s="612"/>
    </row>
    <row r="497" spans="1:8">
      <c r="A497" s="579"/>
      <c r="B497" s="644"/>
      <c r="C497" s="1"/>
      <c r="D497" s="579"/>
      <c r="E497" s="645"/>
      <c r="F497" s="5"/>
      <c r="G497" s="612"/>
      <c r="H497" s="612"/>
    </row>
    <row r="498" spans="1:8">
      <c r="A498" s="579"/>
      <c r="B498" s="644"/>
      <c r="C498" s="1" t="s">
        <v>4016</v>
      </c>
      <c r="D498" s="579"/>
      <c r="E498" s="645"/>
      <c r="F498" s="38"/>
      <c r="G498" s="642">
        <f>SUM(G494:G497)</f>
        <v>1110</v>
      </c>
      <c r="H498" s="612"/>
    </row>
    <row r="499" spans="1:8">
      <c r="A499" s="579"/>
      <c r="B499" s="644"/>
      <c r="C499" s="579"/>
      <c r="D499" s="579"/>
      <c r="E499" s="645"/>
      <c r="F499" s="5"/>
      <c r="G499" s="612"/>
      <c r="H499" s="612"/>
    </row>
    <row r="500" spans="1:8">
      <c r="A500" s="763"/>
      <c r="B500" s="763"/>
      <c r="C500" s="763"/>
      <c r="D500" s="763"/>
      <c r="E500" s="763"/>
      <c r="F500" s="763"/>
      <c r="G500" s="763"/>
      <c r="H500" s="763"/>
    </row>
    <row r="501" spans="1:8" ht="30" customHeight="1">
      <c r="A501" s="612"/>
      <c r="B501" s="612"/>
      <c r="C501" s="578" t="s">
        <v>4683</v>
      </c>
      <c r="D501" s="612"/>
      <c r="E501" s="612"/>
      <c r="F501" s="612"/>
      <c r="G501" s="612"/>
      <c r="H501" s="612"/>
    </row>
    <row r="502" spans="1:8">
      <c r="A502" s="612"/>
      <c r="B502" s="612" t="s">
        <v>4597</v>
      </c>
      <c r="C502" s="612" t="s">
        <v>4598</v>
      </c>
      <c r="D502" s="612"/>
      <c r="E502" s="612"/>
      <c r="F502" s="612"/>
      <c r="G502" s="612"/>
      <c r="H502" s="612"/>
    </row>
    <row r="503" spans="1:8">
      <c r="A503" s="612"/>
      <c r="B503" s="612"/>
      <c r="C503" s="612" t="s">
        <v>4674</v>
      </c>
      <c r="D503" s="612" t="s">
        <v>2091</v>
      </c>
      <c r="E503" s="612" t="s">
        <v>4675</v>
      </c>
      <c r="F503" s="612" t="s">
        <v>2091</v>
      </c>
      <c r="G503" s="94">
        <f>1*2*0.6</f>
        <v>1.2</v>
      </c>
      <c r="H503" s="612" t="s">
        <v>1676</v>
      </c>
    </row>
    <row r="504" spans="1:8">
      <c r="A504" s="612"/>
      <c r="B504" s="612"/>
      <c r="C504" s="612" t="s">
        <v>4676</v>
      </c>
      <c r="D504" s="612" t="s">
        <v>2091</v>
      </c>
      <c r="E504" s="612" t="s">
        <v>4677</v>
      </c>
      <c r="F504" s="612" t="s">
        <v>2091</v>
      </c>
      <c r="G504" s="94">
        <f>1*2*0.9</f>
        <v>1.8</v>
      </c>
      <c r="H504" s="612" t="s">
        <v>1676</v>
      </c>
    </row>
    <row r="505" spans="1:8">
      <c r="A505" s="612"/>
      <c r="B505" s="612"/>
      <c r="C505" s="612"/>
      <c r="D505" s="612"/>
      <c r="E505" s="612"/>
      <c r="F505" s="612"/>
      <c r="G505" s="94">
        <f>SUM(G503:G504)</f>
        <v>3</v>
      </c>
      <c r="H505" s="612" t="s">
        <v>1676</v>
      </c>
    </row>
    <row r="506" spans="1:8">
      <c r="A506" s="612"/>
      <c r="B506" s="612"/>
      <c r="C506" s="612"/>
      <c r="D506" s="612" t="s">
        <v>2091</v>
      </c>
      <c r="E506" s="612" t="s">
        <v>4678</v>
      </c>
      <c r="F506" s="612" t="s">
        <v>2091</v>
      </c>
      <c r="G506" s="96">
        <f>3*1.558</f>
        <v>4.67</v>
      </c>
      <c r="H506" s="612" t="s">
        <v>1676</v>
      </c>
    </row>
    <row r="507" spans="1:8">
      <c r="A507" s="612"/>
      <c r="B507" s="612"/>
      <c r="C507" s="612"/>
      <c r="D507" s="612"/>
      <c r="E507" s="612"/>
      <c r="F507" s="612"/>
      <c r="G507" s="94"/>
      <c r="H507" s="612"/>
    </row>
    <row r="508" spans="1:8">
      <c r="A508" s="612"/>
      <c r="B508" s="612"/>
      <c r="C508" s="612" t="s">
        <v>4679</v>
      </c>
      <c r="D508" s="612" t="s">
        <v>2091</v>
      </c>
      <c r="E508" s="612" t="s">
        <v>4680</v>
      </c>
      <c r="F508" s="612" t="s">
        <v>2091</v>
      </c>
      <c r="G508" s="96">
        <f>0.9*0.6</f>
        <v>0.54</v>
      </c>
      <c r="H508" s="612" t="s">
        <v>4681</v>
      </c>
    </row>
    <row r="509" spans="1:8">
      <c r="A509" s="612"/>
      <c r="B509" s="612"/>
      <c r="C509" s="612"/>
      <c r="D509" s="612"/>
      <c r="E509" s="612"/>
      <c r="F509" s="612"/>
      <c r="G509" s="96"/>
      <c r="H509" s="612"/>
    </row>
    <row r="510" spans="1:8">
      <c r="A510" s="612"/>
      <c r="B510" s="612"/>
      <c r="C510" s="612" t="s">
        <v>931</v>
      </c>
      <c r="D510" s="612" t="s">
        <v>2091</v>
      </c>
      <c r="E510" s="612" t="s">
        <v>4682</v>
      </c>
      <c r="F510" s="612" t="s">
        <v>2091</v>
      </c>
      <c r="G510" s="96">
        <f>0.9*0.6</f>
        <v>0.54</v>
      </c>
      <c r="H510" s="612" t="s">
        <v>4681</v>
      </c>
    </row>
    <row r="511" spans="1:8">
      <c r="A511" s="612"/>
      <c r="B511" s="612"/>
      <c r="C511" s="612"/>
      <c r="D511" s="612"/>
      <c r="E511" s="612"/>
      <c r="F511" s="612"/>
      <c r="G511" s="612"/>
      <c r="H511" s="612"/>
    </row>
    <row r="512" spans="1:8">
      <c r="A512" s="612"/>
      <c r="B512" s="612"/>
      <c r="C512" s="612"/>
      <c r="D512" s="612"/>
      <c r="E512" s="612"/>
      <c r="F512" s="612"/>
      <c r="G512" s="612"/>
      <c r="H512" s="612"/>
    </row>
    <row r="513" spans="1:8">
      <c r="A513" s="612"/>
      <c r="B513" s="612"/>
      <c r="C513" s="612"/>
      <c r="D513" s="612"/>
      <c r="E513" s="612"/>
      <c r="F513" s="612"/>
      <c r="G513" s="612"/>
      <c r="H513" s="612"/>
    </row>
    <row r="514" spans="1:8" ht="19.5">
      <c r="A514" s="579"/>
      <c r="B514" s="644"/>
      <c r="D514" s="578"/>
      <c r="E514" s="578"/>
      <c r="F514" s="578"/>
      <c r="G514" s="612"/>
      <c r="H514" s="612"/>
    </row>
    <row r="515" spans="1:8">
      <c r="A515" s="15">
        <f>G506</f>
        <v>4.67</v>
      </c>
      <c r="B515" s="7" t="s">
        <v>929</v>
      </c>
      <c r="C515" s="1" t="s">
        <v>1888</v>
      </c>
      <c r="D515" s="8"/>
      <c r="E515" s="8">
        <v>287</v>
      </c>
      <c r="F515" s="7" t="s">
        <v>929</v>
      </c>
      <c r="G515" s="8">
        <f>E515*A515</f>
        <v>1340.29</v>
      </c>
      <c r="H515" s="612"/>
    </row>
    <row r="516" spans="1:8">
      <c r="A516" s="15">
        <f>G508</f>
        <v>0.54</v>
      </c>
      <c r="B516" s="7" t="s">
        <v>236</v>
      </c>
      <c r="C516" s="1" t="s">
        <v>1889</v>
      </c>
      <c r="D516" s="8"/>
      <c r="E516" s="8">
        <v>208.8</v>
      </c>
      <c r="F516" s="7" t="s">
        <v>236</v>
      </c>
      <c r="G516" s="8">
        <f>E516*A516</f>
        <v>112.75</v>
      </c>
      <c r="H516" s="612"/>
    </row>
    <row r="517" spans="1:8">
      <c r="A517" s="15">
        <f>G510</f>
        <v>0.54</v>
      </c>
      <c r="B517" s="7" t="s">
        <v>236</v>
      </c>
      <c r="C517" s="1" t="s">
        <v>1896</v>
      </c>
      <c r="D517" s="8"/>
      <c r="E517" s="8">
        <f>E488</f>
        <v>1110</v>
      </c>
      <c r="F517" s="7" t="s">
        <v>929</v>
      </c>
      <c r="G517" s="8">
        <f>E517*A517</f>
        <v>599.4</v>
      </c>
      <c r="H517" s="612"/>
    </row>
    <row r="518" spans="1:8">
      <c r="A518" s="15"/>
      <c r="B518" s="7"/>
      <c r="C518" s="1" t="s">
        <v>1897</v>
      </c>
      <c r="D518" s="579"/>
      <c r="E518" s="580"/>
      <c r="F518" s="8"/>
      <c r="G518" s="612"/>
      <c r="H518" s="612"/>
    </row>
    <row r="519" spans="1:8">
      <c r="A519" s="15"/>
      <c r="B519" s="7"/>
      <c r="C519" s="6" t="s">
        <v>4684</v>
      </c>
      <c r="D519" s="8"/>
      <c r="E519" s="7"/>
      <c r="F519" s="8"/>
      <c r="G519" s="642">
        <f>SUM(G515:G518)</f>
        <v>2052.44</v>
      </c>
      <c r="H519" s="612"/>
    </row>
    <row r="520" spans="1:8">
      <c r="A520" s="15"/>
      <c r="B520" s="7"/>
      <c r="C520" s="758" t="s">
        <v>4636</v>
      </c>
      <c r="D520" s="8"/>
      <c r="E520" s="7"/>
      <c r="F520" s="38"/>
      <c r="G520" s="624">
        <f>G519/A517</f>
        <v>3800.81</v>
      </c>
      <c r="H520" s="612"/>
    </row>
    <row r="521" spans="1:8">
      <c r="A521" s="612"/>
      <c r="B521" s="612"/>
      <c r="C521" s="612"/>
      <c r="D521" s="612"/>
      <c r="E521" s="612"/>
      <c r="F521" s="612"/>
      <c r="G521" s="612"/>
      <c r="H521" s="612"/>
    </row>
    <row r="522" spans="1:8">
      <c r="A522" s="612"/>
      <c r="B522" s="612"/>
      <c r="C522" s="612"/>
      <c r="D522" s="612"/>
      <c r="E522" s="612"/>
      <c r="F522" s="612"/>
      <c r="G522" s="612"/>
      <c r="H522" s="612"/>
    </row>
    <row r="523" spans="1:8">
      <c r="A523" s="612"/>
      <c r="B523" s="612"/>
      <c r="C523" s="612"/>
      <c r="D523" s="612"/>
      <c r="E523" s="612"/>
      <c r="F523" s="612"/>
      <c r="G523" s="612"/>
      <c r="H523" s="612"/>
    </row>
    <row r="524" spans="1:8">
      <c r="A524" s="612"/>
      <c r="B524" s="612"/>
      <c r="C524" s="612"/>
      <c r="D524" s="612"/>
      <c r="E524" s="612"/>
      <c r="F524" s="612"/>
      <c r="G524" s="612"/>
      <c r="H524" s="612"/>
    </row>
    <row r="525" spans="1:8">
      <c r="A525" s="612"/>
      <c r="B525" s="612"/>
      <c r="C525" s="612"/>
      <c r="D525" s="612"/>
      <c r="E525" s="612"/>
      <c r="F525" s="612"/>
      <c r="G525" s="612"/>
      <c r="H525" s="612"/>
    </row>
    <row r="526" spans="1:8">
      <c r="A526" s="770">
        <v>2</v>
      </c>
      <c r="B526" s="118" t="s">
        <v>2290</v>
      </c>
      <c r="C526" s="108" t="s">
        <v>4691</v>
      </c>
      <c r="D526" s="749"/>
      <c r="E526" s="751"/>
      <c r="F526" s="749"/>
      <c r="G526" s="50"/>
      <c r="H526" s="50"/>
    </row>
    <row r="527" spans="1:8">
      <c r="A527" s="749"/>
      <c r="B527" s="750"/>
      <c r="C527" s="119" t="s">
        <v>4549</v>
      </c>
      <c r="D527" s="749"/>
      <c r="E527" s="751"/>
      <c r="F527" s="749"/>
      <c r="G527" s="50"/>
      <c r="H527" s="50"/>
    </row>
    <row r="528" spans="1:8" ht="18">
      <c r="A528" s="749"/>
      <c r="B528" s="750"/>
      <c r="C528" s="382" t="s">
        <v>4550</v>
      </c>
      <c r="D528" s="749"/>
      <c r="E528" s="751"/>
      <c r="F528" s="749"/>
      <c r="G528" s="50"/>
      <c r="H528" s="50"/>
    </row>
    <row r="529" spans="1:8">
      <c r="A529" s="749"/>
      <c r="B529" s="750"/>
      <c r="C529" s="120" t="s">
        <v>1615</v>
      </c>
      <c r="D529" s="749"/>
      <c r="E529" s="751"/>
      <c r="F529" s="749"/>
      <c r="G529" s="50"/>
      <c r="H529" s="50"/>
    </row>
    <row r="530" spans="1:8">
      <c r="A530" s="749"/>
      <c r="B530" s="750"/>
      <c r="C530" s="108" t="s">
        <v>4551</v>
      </c>
      <c r="D530" s="579"/>
      <c r="E530" s="579"/>
      <c r="F530" s="579"/>
      <c r="G530" s="50"/>
      <c r="H530" s="50"/>
    </row>
    <row r="531" spans="1:8">
      <c r="A531" s="749"/>
      <c r="B531" s="750"/>
      <c r="C531" s="135" t="s">
        <v>4552</v>
      </c>
      <c r="D531" s="612"/>
      <c r="E531" s="384">
        <f>3*2*1.9*0.075*0.0375</f>
        <v>3.2099999999999997E-2</v>
      </c>
      <c r="F531" s="749" t="s">
        <v>2190</v>
      </c>
      <c r="G531" s="50"/>
      <c r="H531" s="50"/>
    </row>
    <row r="532" spans="1:8">
      <c r="A532" s="749"/>
      <c r="B532" s="750"/>
      <c r="C532" s="119" t="s">
        <v>4553</v>
      </c>
      <c r="D532" s="612"/>
      <c r="E532" s="384">
        <f>3*2*0.5*0.075*0.0375</f>
        <v>8.3999999999999995E-3</v>
      </c>
      <c r="F532" s="749" t="s">
        <v>2190</v>
      </c>
      <c r="G532" s="50"/>
      <c r="H532" s="50"/>
    </row>
    <row r="533" spans="1:8">
      <c r="A533" s="749"/>
      <c r="B533" s="750"/>
      <c r="C533" s="119"/>
      <c r="D533" s="752"/>
      <c r="E533" s="120" t="s">
        <v>1615</v>
      </c>
      <c r="F533" s="130"/>
      <c r="G533" s="50"/>
      <c r="H533" s="50"/>
    </row>
    <row r="534" spans="1:8">
      <c r="A534" s="749"/>
      <c r="B534" s="750"/>
      <c r="C534" s="749"/>
      <c r="D534" s="749"/>
      <c r="E534" s="753">
        <f>SUM(E531:E533)</f>
        <v>4.0500000000000001E-2</v>
      </c>
      <c r="F534" s="579" t="s">
        <v>2190</v>
      </c>
      <c r="G534" s="50"/>
      <c r="H534" s="50"/>
    </row>
    <row r="535" spans="1:8">
      <c r="A535" s="749"/>
      <c r="B535" s="750"/>
      <c r="C535" s="749"/>
      <c r="D535" s="749"/>
      <c r="E535" s="120" t="s">
        <v>1615</v>
      </c>
      <c r="F535" s="579"/>
      <c r="G535" s="50"/>
      <c r="H535" s="50"/>
    </row>
    <row r="536" spans="1:8">
      <c r="A536" s="749"/>
      <c r="B536" s="750"/>
      <c r="C536" s="119" t="s">
        <v>453</v>
      </c>
      <c r="D536" s="612"/>
      <c r="E536" s="612"/>
      <c r="F536" s="612"/>
      <c r="G536" s="50"/>
      <c r="H536" s="50"/>
    </row>
    <row r="537" spans="1:8">
      <c r="A537" s="749"/>
      <c r="B537" s="750"/>
      <c r="C537" s="119" t="s">
        <v>4554</v>
      </c>
      <c r="D537" s="386"/>
      <c r="E537" s="383">
        <f>3*1.9*0.5</f>
        <v>2.85</v>
      </c>
      <c r="F537" s="7" t="s">
        <v>621</v>
      </c>
      <c r="G537" s="50"/>
      <c r="H537" s="50"/>
    </row>
    <row r="538" spans="1:8">
      <c r="A538" s="749"/>
      <c r="B538" s="750"/>
      <c r="C538" s="119"/>
      <c r="D538" s="386"/>
      <c r="E538" s="383"/>
      <c r="F538" s="130"/>
      <c r="G538" s="50"/>
      <c r="H538" s="50"/>
    </row>
    <row r="539" spans="1:8">
      <c r="A539" s="749"/>
      <c r="B539" s="750"/>
      <c r="C539" s="119" t="s">
        <v>4555</v>
      </c>
      <c r="D539" s="386"/>
      <c r="E539" s="383"/>
      <c r="F539" s="130"/>
      <c r="G539" s="50"/>
      <c r="H539" s="50"/>
    </row>
    <row r="540" spans="1:8">
      <c r="A540" s="749"/>
      <c r="B540" s="750"/>
      <c r="C540" s="119" t="s">
        <v>4556</v>
      </c>
      <c r="D540" s="386"/>
      <c r="E540" s="384">
        <f>3*1.775*0.375</f>
        <v>1.9968999999999999</v>
      </c>
      <c r="F540" s="130" t="str">
        <f>F537</f>
        <v>SQM</v>
      </c>
      <c r="G540" s="50"/>
      <c r="H540" s="50"/>
    </row>
    <row r="541" spans="1:8">
      <c r="A541" s="749"/>
      <c r="B541" s="750"/>
      <c r="C541" s="119" t="s">
        <v>4557</v>
      </c>
      <c r="D541" s="749"/>
      <c r="E541" s="391"/>
      <c r="F541" s="135"/>
      <c r="G541" s="50"/>
      <c r="H541" s="50"/>
    </row>
    <row r="542" spans="1:8">
      <c r="A542" s="136"/>
      <c r="B542" s="750"/>
      <c r="C542" s="119" t="s">
        <v>4558</v>
      </c>
      <c r="D542" s="386"/>
      <c r="E542" s="754">
        <f>1.775+0.375</f>
        <v>2.15</v>
      </c>
      <c r="F542" s="130"/>
      <c r="G542" s="121"/>
      <c r="H542" s="50"/>
    </row>
    <row r="543" spans="1:8">
      <c r="A543" s="136"/>
      <c r="B543" s="750"/>
      <c r="C543" s="749"/>
      <c r="D543" s="755"/>
      <c r="E543" s="140">
        <f>E542*6</f>
        <v>12.9</v>
      </c>
      <c r="F543" s="121" t="s">
        <v>842</v>
      </c>
      <c r="G543" s="121"/>
      <c r="H543" s="50"/>
    </row>
    <row r="544" spans="1:8">
      <c r="A544" s="136"/>
      <c r="B544" s="750"/>
      <c r="C544" s="756" t="s">
        <v>4559</v>
      </c>
      <c r="D544" s="755"/>
      <c r="E544" s="117"/>
      <c r="F544" s="121"/>
      <c r="G544" s="121"/>
      <c r="H544" s="50"/>
    </row>
    <row r="545" spans="1:8">
      <c r="A545" s="132"/>
      <c r="B545" s="750"/>
      <c r="C545" s="108" t="s">
        <v>4560</v>
      </c>
      <c r="D545" s="612"/>
      <c r="E545" s="121"/>
      <c r="F545" s="751"/>
      <c r="G545" s="121"/>
      <c r="H545" s="50"/>
    </row>
    <row r="546" spans="1:8">
      <c r="A546" s="130">
        <f>E534</f>
        <v>4.0500000000000001E-2</v>
      </c>
      <c r="B546" s="117" t="s">
        <v>885</v>
      </c>
      <c r="C546" s="119" t="s">
        <v>4722</v>
      </c>
      <c r="D546" s="121">
        <f>Data!I951</f>
        <v>99400</v>
      </c>
      <c r="E546" s="119" t="s">
        <v>885</v>
      </c>
      <c r="F546" s="121">
        <f>(A546*D546)</f>
        <v>4025.7</v>
      </c>
      <c r="G546" s="121"/>
      <c r="H546" s="50"/>
    </row>
    <row r="547" spans="1:8">
      <c r="A547" s="130">
        <f>E537</f>
        <v>2.85</v>
      </c>
      <c r="B547" s="7" t="s">
        <v>621</v>
      </c>
      <c r="C547" s="119" t="s">
        <v>4723</v>
      </c>
      <c r="D547" s="121">
        <f>Data!P3228</f>
        <v>57.65</v>
      </c>
      <c r="E547" s="7" t="s">
        <v>621</v>
      </c>
      <c r="F547" s="121">
        <f>(A547*D547)</f>
        <v>164.3</v>
      </c>
      <c r="G547" s="121"/>
      <c r="H547" s="50"/>
    </row>
    <row r="548" spans="1:8">
      <c r="A548" s="130">
        <f>E540</f>
        <v>1.9968999999999999</v>
      </c>
      <c r="B548" s="7" t="s">
        <v>621</v>
      </c>
      <c r="C548" s="119" t="s">
        <v>4555</v>
      </c>
      <c r="D548" s="121">
        <f>Data!I1072</f>
        <v>208.8</v>
      </c>
      <c r="E548" s="7" t="s">
        <v>621</v>
      </c>
      <c r="F548" s="121">
        <f t="shared" ref="F548:F554" si="18">(A548*D548)</f>
        <v>416.95</v>
      </c>
      <c r="G548" s="121"/>
      <c r="H548" s="50"/>
    </row>
    <row r="549" spans="1:8">
      <c r="A549" s="121">
        <f>E543</f>
        <v>12.9</v>
      </c>
      <c r="B549" s="121" t="s">
        <v>842</v>
      </c>
      <c r="C549" s="108" t="s">
        <v>4562</v>
      </c>
      <c r="D549" s="121">
        <f>Data!V3160</f>
        <v>89.6</v>
      </c>
      <c r="E549" s="121" t="s">
        <v>842</v>
      </c>
      <c r="F549" s="121">
        <f t="shared" si="18"/>
        <v>1155.8399999999999</v>
      </c>
      <c r="G549" s="121"/>
      <c r="H549" s="50"/>
    </row>
    <row r="550" spans="1:8">
      <c r="A550" s="121">
        <v>9</v>
      </c>
      <c r="B550" s="7" t="s">
        <v>884</v>
      </c>
      <c r="C550" s="1" t="s">
        <v>1543</v>
      </c>
      <c r="D550" s="121">
        <f>Data!V3161</f>
        <v>82.25</v>
      </c>
      <c r="E550" s="1" t="s">
        <v>884</v>
      </c>
      <c r="F550" s="121">
        <f t="shared" si="18"/>
        <v>740.25</v>
      </c>
      <c r="G550" s="121"/>
      <c r="H550" s="50"/>
    </row>
    <row r="551" spans="1:8">
      <c r="A551" s="121">
        <v>6</v>
      </c>
      <c r="B551" s="7" t="s">
        <v>884</v>
      </c>
      <c r="C551" s="1" t="s">
        <v>3626</v>
      </c>
      <c r="D551" s="121">
        <f>Data!V3162</f>
        <v>57.65</v>
      </c>
      <c r="E551" s="1" t="s">
        <v>884</v>
      </c>
      <c r="F551" s="121">
        <f t="shared" si="18"/>
        <v>345.9</v>
      </c>
      <c r="G551" s="121"/>
      <c r="H551" s="50"/>
    </row>
    <row r="552" spans="1:8">
      <c r="A552" s="121">
        <v>3</v>
      </c>
      <c r="B552" s="7" t="s">
        <v>884</v>
      </c>
      <c r="C552" s="1" t="s">
        <v>3627</v>
      </c>
      <c r="D552" s="121">
        <f>Data!V3163</f>
        <v>7.3</v>
      </c>
      <c r="E552" s="1" t="s">
        <v>884</v>
      </c>
      <c r="F552" s="121">
        <f t="shared" si="18"/>
        <v>21.9</v>
      </c>
      <c r="G552" s="121"/>
      <c r="H552" s="50"/>
    </row>
    <row r="553" spans="1:8">
      <c r="A553" s="121">
        <v>3</v>
      </c>
      <c r="B553" s="7" t="s">
        <v>884</v>
      </c>
      <c r="C553" s="1" t="s">
        <v>2016</v>
      </c>
      <c r="D553" s="121">
        <f>Data!V3164</f>
        <v>2.41</v>
      </c>
      <c r="E553" s="1" t="s">
        <v>884</v>
      </c>
      <c r="F553" s="121">
        <f t="shared" si="18"/>
        <v>7.23</v>
      </c>
      <c r="G553" s="121"/>
      <c r="H553" s="50"/>
    </row>
    <row r="554" spans="1:8">
      <c r="A554" s="121">
        <v>120</v>
      </c>
      <c r="B554" s="7" t="s">
        <v>884</v>
      </c>
      <c r="C554" s="1" t="s">
        <v>4563</v>
      </c>
      <c r="D554" s="121">
        <f>Data!V3165</f>
        <v>0</v>
      </c>
      <c r="E554" s="1" t="s">
        <v>884</v>
      </c>
      <c r="F554" s="121">
        <f t="shared" si="18"/>
        <v>0</v>
      </c>
      <c r="G554" s="121"/>
      <c r="H554" s="50"/>
    </row>
    <row r="555" spans="1:8">
      <c r="A555" s="121"/>
      <c r="B555" s="118"/>
      <c r="C555" s="119"/>
      <c r="D555" s="612"/>
      <c r="E555" s="121"/>
      <c r="F555" s="120" t="s">
        <v>1615</v>
      </c>
      <c r="G555" s="121"/>
      <c r="H555" s="50"/>
    </row>
    <row r="556" spans="1:8">
      <c r="A556" s="749"/>
      <c r="B556" s="750"/>
      <c r="C556" s="119" t="s">
        <v>4564</v>
      </c>
      <c r="D556" s="612"/>
      <c r="E556" s="117"/>
      <c r="F556" s="752">
        <f>SUM(F546:F555)</f>
        <v>6878.07</v>
      </c>
      <c r="G556" s="392"/>
      <c r="H556" s="50"/>
    </row>
    <row r="557" spans="1:8">
      <c r="A557" s="749"/>
      <c r="B557" s="750"/>
      <c r="C557" s="612"/>
      <c r="D557" s="121"/>
      <c r="E557" s="751"/>
      <c r="F557" s="120" t="s">
        <v>1615</v>
      </c>
      <c r="G557" s="612"/>
      <c r="H557" s="50"/>
    </row>
    <row r="558" spans="1:8">
      <c r="A558" s="749"/>
      <c r="B558" s="750"/>
      <c r="C558" s="752" t="s">
        <v>4219</v>
      </c>
      <c r="D558" s="121"/>
      <c r="E558" s="751"/>
      <c r="F558" s="624">
        <f>F556/A547</f>
        <v>2413.36</v>
      </c>
      <c r="G558" s="121">
        <f>SUM(G542:G557)</f>
        <v>0</v>
      </c>
      <c r="H558" s="50"/>
    </row>
    <row r="559" spans="1:8">
      <c r="A559" s="749"/>
      <c r="B559" s="750"/>
      <c r="C559" s="749"/>
      <c r="D559" s="121"/>
      <c r="E559" s="751"/>
      <c r="F559" s="612"/>
      <c r="G559" s="612"/>
      <c r="H559" s="50"/>
    </row>
    <row r="560" spans="1:8">
      <c r="A560" s="749"/>
      <c r="B560" s="750"/>
      <c r="C560" s="108"/>
      <c r="D560" s="749"/>
      <c r="E560" s="1565"/>
      <c r="F560" s="1565"/>
      <c r="G560" s="1565"/>
      <c r="H560" s="1565"/>
    </row>
    <row r="561" spans="1:8">
      <c r="A561" s="579"/>
      <c r="B561" s="579"/>
      <c r="C561" s="579"/>
      <c r="D561" s="579"/>
      <c r="E561" s="579"/>
      <c r="F561" s="579"/>
      <c r="G561" s="50"/>
      <c r="H561" s="50"/>
    </row>
    <row r="562" spans="1:8">
      <c r="A562" s="612"/>
      <c r="B562" s="612"/>
      <c r="C562" s="612"/>
      <c r="D562" s="612"/>
      <c r="E562" s="612"/>
      <c r="F562" s="612"/>
      <c r="G562" s="612"/>
      <c r="H562" s="612"/>
    </row>
    <row r="563" spans="1:8">
      <c r="A563" s="769">
        <v>1</v>
      </c>
      <c r="B563" s="750"/>
      <c r="C563" s="119" t="s">
        <v>4549</v>
      </c>
      <c r="D563" s="749"/>
      <c r="E563" s="751"/>
      <c r="F563" s="749"/>
      <c r="G563" s="612"/>
      <c r="H563" s="612"/>
    </row>
    <row r="564" spans="1:8" ht="18">
      <c r="A564" s="749"/>
      <c r="B564" s="750"/>
      <c r="C564" s="382" t="s">
        <v>4692</v>
      </c>
      <c r="D564" s="749"/>
      <c r="E564" s="751"/>
      <c r="F564" s="749"/>
      <c r="G564" s="612"/>
      <c r="H564" s="612"/>
    </row>
    <row r="565" spans="1:8">
      <c r="A565" s="749"/>
      <c r="B565" s="750"/>
      <c r="C565" s="120" t="s">
        <v>1615</v>
      </c>
      <c r="D565" s="749"/>
      <c r="E565" s="751"/>
      <c r="F565" s="749"/>
      <c r="G565" s="612"/>
      <c r="H565" s="612"/>
    </row>
    <row r="566" spans="1:8">
      <c r="A566" s="749"/>
      <c r="B566" s="750"/>
      <c r="C566" s="108" t="s">
        <v>4551</v>
      </c>
      <c r="D566" s="579"/>
      <c r="E566" s="579"/>
      <c r="F566" s="579" t="s">
        <v>2190</v>
      </c>
      <c r="G566" s="612"/>
      <c r="H566" s="612"/>
    </row>
    <row r="567" spans="1:8">
      <c r="A567" s="749"/>
      <c r="B567" s="750"/>
      <c r="C567" s="135" t="s">
        <v>4693</v>
      </c>
      <c r="D567" s="612"/>
      <c r="E567" s="384">
        <f>3*2*1.9*0.075*0.0375</f>
        <v>3.2099999999999997E-2</v>
      </c>
      <c r="F567" s="749" t="s">
        <v>2190</v>
      </c>
      <c r="G567" s="612"/>
      <c r="H567" s="612"/>
    </row>
    <row r="568" spans="1:8">
      <c r="A568" s="749"/>
      <c r="B568" s="750"/>
      <c r="C568" s="119" t="s">
        <v>4694</v>
      </c>
      <c r="D568" s="612"/>
      <c r="E568" s="384">
        <f>3*2*0.6*0.075*0.0375</f>
        <v>1.01E-2</v>
      </c>
      <c r="F568" s="749" t="s">
        <v>2190</v>
      </c>
      <c r="G568" s="612"/>
      <c r="H568" s="612"/>
    </row>
    <row r="569" spans="1:8">
      <c r="A569" s="749"/>
      <c r="B569" s="750"/>
      <c r="C569" s="119"/>
      <c r="D569" s="752"/>
      <c r="E569" s="120" t="s">
        <v>1615</v>
      </c>
      <c r="F569" s="130"/>
      <c r="G569" s="612"/>
      <c r="H569" s="612"/>
    </row>
    <row r="570" spans="1:8">
      <c r="A570" s="749"/>
      <c r="B570" s="750"/>
      <c r="C570" s="749"/>
      <c r="D570" s="749"/>
      <c r="E570" s="753">
        <f>SUM(E567:E569)</f>
        <v>4.2200000000000001E-2</v>
      </c>
      <c r="F570" s="579" t="s">
        <v>2190</v>
      </c>
      <c r="G570" s="612"/>
      <c r="H570" s="612"/>
    </row>
    <row r="571" spans="1:8">
      <c r="A571" s="749"/>
      <c r="B571" s="750"/>
      <c r="C571" s="749"/>
      <c r="D571" s="749"/>
      <c r="E571" s="120" t="s">
        <v>1615</v>
      </c>
      <c r="F571" s="579"/>
      <c r="G571" s="612"/>
      <c r="H571" s="612"/>
    </row>
    <row r="572" spans="1:8">
      <c r="A572" s="749"/>
      <c r="B572" s="750"/>
      <c r="C572" s="119" t="s">
        <v>453</v>
      </c>
      <c r="D572" s="612"/>
      <c r="E572" s="612"/>
      <c r="F572" s="612"/>
      <c r="G572" s="612"/>
      <c r="H572" s="612"/>
    </row>
    <row r="573" spans="1:8">
      <c r="A573" s="749"/>
      <c r="B573" s="750"/>
      <c r="C573" s="119" t="s">
        <v>4695</v>
      </c>
      <c r="D573" s="386"/>
      <c r="E573" s="383">
        <f>3*1.9*0.6</f>
        <v>3.42</v>
      </c>
      <c r="F573" s="7" t="s">
        <v>621</v>
      </c>
      <c r="G573" s="612"/>
      <c r="H573" s="612"/>
    </row>
    <row r="574" spans="1:8">
      <c r="A574" s="749"/>
      <c r="B574" s="750"/>
      <c r="C574" s="119"/>
      <c r="D574" s="386"/>
      <c r="E574" s="383"/>
      <c r="F574" s="130"/>
      <c r="G574" s="612"/>
      <c r="H574" s="612"/>
    </row>
    <row r="575" spans="1:8">
      <c r="A575" s="749"/>
      <c r="B575" s="750"/>
      <c r="C575" s="119" t="s">
        <v>4555</v>
      </c>
      <c r="D575" s="386"/>
      <c r="E575" s="383"/>
      <c r="F575" s="130"/>
      <c r="G575" s="612"/>
      <c r="H575" s="612"/>
    </row>
    <row r="576" spans="1:8">
      <c r="A576" s="749"/>
      <c r="B576" s="750"/>
      <c r="C576" s="119" t="s">
        <v>4696</v>
      </c>
      <c r="D576" s="386"/>
      <c r="E576" s="384">
        <f>3*1.775*0.475</f>
        <v>2.5293999999999999</v>
      </c>
      <c r="F576" s="130" t="str">
        <f>F573</f>
        <v>SQM</v>
      </c>
      <c r="G576" s="612"/>
      <c r="H576" s="612"/>
    </row>
    <row r="577" spans="1:8">
      <c r="A577" s="749"/>
      <c r="B577" s="750"/>
      <c r="C577" s="119" t="s">
        <v>4557</v>
      </c>
      <c r="D577" s="749"/>
      <c r="E577" s="391"/>
      <c r="F577" s="135"/>
      <c r="G577" s="612"/>
      <c r="H577" s="612"/>
    </row>
    <row r="578" spans="1:8">
      <c r="A578" s="136"/>
      <c r="B578" s="750"/>
      <c r="C578" s="119" t="s">
        <v>4697</v>
      </c>
      <c r="D578" s="386"/>
      <c r="E578" s="754">
        <f>1.775+0.475</f>
        <v>2.25</v>
      </c>
      <c r="F578" s="130"/>
      <c r="G578" s="612"/>
      <c r="H578" s="612"/>
    </row>
    <row r="579" spans="1:8">
      <c r="A579" s="136"/>
      <c r="B579" s="750"/>
      <c r="C579" s="749"/>
      <c r="D579" s="755"/>
      <c r="E579" s="140">
        <f>E578*6</f>
        <v>13.5</v>
      </c>
      <c r="F579" s="121" t="s">
        <v>842</v>
      </c>
      <c r="G579" s="612"/>
      <c r="H579" s="612"/>
    </row>
    <row r="580" spans="1:8">
      <c r="A580" s="136"/>
      <c r="B580" s="750"/>
      <c r="C580" s="768" t="s">
        <v>4559</v>
      </c>
      <c r="D580" s="755"/>
      <c r="E580" s="117"/>
      <c r="F580" s="121"/>
      <c r="G580" s="612"/>
      <c r="H580" s="612"/>
    </row>
    <row r="581" spans="1:8">
      <c r="A581" s="130"/>
      <c r="B581" s="118"/>
      <c r="C581" s="126"/>
      <c r="D581" s="612"/>
      <c r="E581" s="121"/>
      <c r="F581" s="117"/>
      <c r="G581" s="612"/>
      <c r="H581" s="612"/>
    </row>
    <row r="582" spans="1:8">
      <c r="A582" s="132"/>
      <c r="B582" s="750"/>
      <c r="C582" s="108" t="s">
        <v>4560</v>
      </c>
      <c r="D582" s="612"/>
      <c r="E582" s="121"/>
      <c r="F582" s="751"/>
      <c r="G582" s="612"/>
      <c r="H582" s="612"/>
    </row>
    <row r="583" spans="1:8">
      <c r="A583" s="130">
        <f>E570</f>
        <v>4.2200000000000001E-2</v>
      </c>
      <c r="B583" s="117" t="s">
        <v>885</v>
      </c>
      <c r="C583" s="119" t="s">
        <v>4561</v>
      </c>
      <c r="D583" s="121">
        <f>D546</f>
        <v>99400</v>
      </c>
      <c r="E583" s="117" t="s">
        <v>885</v>
      </c>
      <c r="F583" s="121">
        <f>(A583*D583)</f>
        <v>4194.68</v>
      </c>
      <c r="G583" s="612"/>
      <c r="H583" s="612"/>
    </row>
    <row r="584" spans="1:8">
      <c r="A584" s="130">
        <f>E573</f>
        <v>3.42</v>
      </c>
      <c r="B584" s="7" t="s">
        <v>621</v>
      </c>
      <c r="C584" s="119" t="s">
        <v>453</v>
      </c>
      <c r="D584" s="121">
        <f t="shared" ref="D584:D591" si="19">D547</f>
        <v>57.65</v>
      </c>
      <c r="E584" s="7" t="s">
        <v>621</v>
      </c>
      <c r="F584" s="121">
        <f t="shared" ref="F584:F591" si="20">(A584*D584)</f>
        <v>197.16</v>
      </c>
      <c r="G584" s="612"/>
      <c r="H584" s="612"/>
    </row>
    <row r="585" spans="1:8">
      <c r="A585" s="132">
        <f>E576</f>
        <v>2.5293999999999999</v>
      </c>
      <c r="B585" s="7" t="s">
        <v>621</v>
      </c>
      <c r="C585" s="119" t="s">
        <v>4555</v>
      </c>
      <c r="D585" s="121">
        <f t="shared" si="19"/>
        <v>208.8</v>
      </c>
      <c r="E585" s="7" t="s">
        <v>621</v>
      </c>
      <c r="F585" s="121">
        <f t="shared" si="20"/>
        <v>528.14</v>
      </c>
      <c r="G585" s="612"/>
      <c r="H585" s="612"/>
    </row>
    <row r="586" spans="1:8">
      <c r="A586" s="121">
        <f>E579</f>
        <v>13.5</v>
      </c>
      <c r="B586" s="121" t="s">
        <v>842</v>
      </c>
      <c r="C586" s="108" t="s">
        <v>4562</v>
      </c>
      <c r="D586" s="121">
        <f t="shared" si="19"/>
        <v>89.6</v>
      </c>
      <c r="E586" s="121" t="s">
        <v>842</v>
      </c>
      <c r="F586" s="121">
        <f t="shared" si="20"/>
        <v>1209.5999999999999</v>
      </c>
      <c r="G586" s="612"/>
      <c r="H586" s="612"/>
    </row>
    <row r="587" spans="1:8">
      <c r="A587" s="121">
        <v>9</v>
      </c>
      <c r="B587" s="7" t="s">
        <v>884</v>
      </c>
      <c r="C587" s="1" t="s">
        <v>1543</v>
      </c>
      <c r="D587" s="121">
        <f t="shared" si="19"/>
        <v>82.25</v>
      </c>
      <c r="E587" s="1" t="s">
        <v>884</v>
      </c>
      <c r="F587" s="121">
        <f t="shared" si="20"/>
        <v>740.25</v>
      </c>
      <c r="G587" s="612"/>
      <c r="H587" s="612"/>
    </row>
    <row r="588" spans="1:8">
      <c r="A588" s="121">
        <v>6</v>
      </c>
      <c r="B588" s="7" t="s">
        <v>884</v>
      </c>
      <c r="C588" s="1" t="s">
        <v>3626</v>
      </c>
      <c r="D588" s="121">
        <f t="shared" si="19"/>
        <v>57.65</v>
      </c>
      <c r="E588" s="1" t="s">
        <v>884</v>
      </c>
      <c r="F588" s="121">
        <f t="shared" si="20"/>
        <v>345.9</v>
      </c>
      <c r="G588" s="612"/>
      <c r="H588" s="612"/>
    </row>
    <row r="589" spans="1:8">
      <c r="A589" s="121">
        <v>3</v>
      </c>
      <c r="B589" s="7" t="s">
        <v>884</v>
      </c>
      <c r="C589" s="1" t="s">
        <v>3627</v>
      </c>
      <c r="D589" s="121">
        <f t="shared" si="19"/>
        <v>7.3</v>
      </c>
      <c r="E589" s="1" t="s">
        <v>884</v>
      </c>
      <c r="F589" s="121">
        <f t="shared" si="20"/>
        <v>21.9</v>
      </c>
      <c r="G589" s="612"/>
      <c r="H589" s="612"/>
    </row>
    <row r="590" spans="1:8">
      <c r="A590" s="121">
        <v>3</v>
      </c>
      <c r="B590" s="7" t="s">
        <v>884</v>
      </c>
      <c r="C590" s="1" t="s">
        <v>2016</v>
      </c>
      <c r="D590" s="121">
        <f t="shared" si="19"/>
        <v>2.41</v>
      </c>
      <c r="E590" s="1" t="s">
        <v>884</v>
      </c>
      <c r="F590" s="121">
        <f t="shared" si="20"/>
        <v>7.23</v>
      </c>
      <c r="G590" s="612"/>
      <c r="H590" s="612"/>
    </row>
    <row r="591" spans="1:8">
      <c r="A591" s="121">
        <v>120</v>
      </c>
      <c r="B591" s="7" t="s">
        <v>884</v>
      </c>
      <c r="C591" s="1" t="s">
        <v>4563</v>
      </c>
      <c r="D591" s="121">
        <f t="shared" si="19"/>
        <v>0</v>
      </c>
      <c r="E591" s="1" t="s">
        <v>884</v>
      </c>
      <c r="F591" s="121">
        <f t="shared" si="20"/>
        <v>0</v>
      </c>
      <c r="G591" s="612"/>
      <c r="H591" s="612"/>
    </row>
    <row r="592" spans="1:8">
      <c r="A592" s="121"/>
      <c r="B592" s="118"/>
      <c r="C592" s="119"/>
      <c r="D592" s="612"/>
      <c r="E592" s="121"/>
      <c r="F592" s="120" t="s">
        <v>1615</v>
      </c>
      <c r="G592" s="612"/>
      <c r="H592" s="612"/>
    </row>
    <row r="593" spans="1:8">
      <c r="A593" s="749"/>
      <c r="B593" s="750"/>
      <c r="C593" s="119" t="s">
        <v>4698</v>
      </c>
      <c r="D593" s="612"/>
      <c r="E593" s="117"/>
      <c r="F593" s="752">
        <f>SUM(F583:F592)</f>
        <v>7244.86</v>
      </c>
      <c r="G593" s="612"/>
      <c r="H593" s="612"/>
    </row>
    <row r="594" spans="1:8">
      <c r="A594" s="749"/>
      <c r="B594" s="750"/>
      <c r="C594" s="612"/>
      <c r="D594" s="121"/>
      <c r="E594" s="751"/>
      <c r="F594" s="120" t="s">
        <v>1615</v>
      </c>
      <c r="G594" s="612"/>
      <c r="H594" s="612"/>
    </row>
    <row r="595" spans="1:8">
      <c r="A595" s="749"/>
      <c r="B595" s="750"/>
      <c r="C595" s="752" t="s">
        <v>4219</v>
      </c>
      <c r="D595" s="121"/>
      <c r="E595" s="751"/>
      <c r="F595" s="624">
        <f>F593/A584</f>
        <v>2118.38</v>
      </c>
      <c r="G595" s="612"/>
      <c r="H595" s="612"/>
    </row>
    <row r="596" spans="1:8">
      <c r="A596" s="749"/>
      <c r="B596" s="750"/>
      <c r="C596" s="749"/>
      <c r="D596" s="121"/>
      <c r="E596" s="751"/>
      <c r="F596" s="612"/>
      <c r="G596" s="612"/>
      <c r="H596" s="612"/>
    </row>
    <row r="597" spans="1:8">
      <c r="A597" s="612"/>
      <c r="B597" s="612"/>
      <c r="C597" s="612"/>
      <c r="D597" s="612"/>
      <c r="E597" s="612"/>
      <c r="F597" s="612"/>
      <c r="G597" s="612"/>
      <c r="H597" s="612"/>
    </row>
    <row r="598" spans="1:8">
      <c r="A598" s="749">
        <v>3</v>
      </c>
      <c r="B598" s="750"/>
      <c r="C598" s="119" t="s">
        <v>4549</v>
      </c>
      <c r="D598" s="749"/>
      <c r="E598" s="751"/>
      <c r="F598" s="749"/>
      <c r="G598" s="612"/>
      <c r="H598" s="612"/>
    </row>
    <row r="599" spans="1:8" ht="18">
      <c r="A599" s="749"/>
      <c r="B599" s="750"/>
      <c r="C599" s="382" t="s">
        <v>4699</v>
      </c>
      <c r="D599" s="749"/>
      <c r="E599" s="751"/>
      <c r="F599" s="749"/>
      <c r="G599" s="612"/>
      <c r="H599" s="612"/>
    </row>
    <row r="600" spans="1:8">
      <c r="A600" s="749"/>
      <c r="B600" s="750"/>
      <c r="C600" s="120" t="s">
        <v>1615</v>
      </c>
      <c r="D600" s="749"/>
      <c r="E600" s="751"/>
      <c r="F600" s="749"/>
      <c r="G600" s="612"/>
      <c r="H600" s="612"/>
    </row>
    <row r="601" spans="1:8">
      <c r="A601" s="749"/>
      <c r="B601" s="750"/>
      <c r="C601" s="108" t="s">
        <v>4551</v>
      </c>
      <c r="D601" s="579"/>
      <c r="E601" s="579"/>
      <c r="F601" s="579" t="s">
        <v>2190</v>
      </c>
      <c r="G601" s="612"/>
      <c r="H601" s="612"/>
    </row>
    <row r="602" spans="1:8">
      <c r="A602" s="749"/>
      <c r="B602" s="750"/>
      <c r="C602" s="135" t="s">
        <v>4700</v>
      </c>
      <c r="D602" s="612"/>
      <c r="E602" s="384">
        <f>2*2*1.9*0.075*0.0375</f>
        <v>2.1399999999999999E-2</v>
      </c>
      <c r="F602" s="749" t="s">
        <v>2190</v>
      </c>
      <c r="G602" s="612"/>
      <c r="H602" s="612"/>
    </row>
    <row r="603" spans="1:8">
      <c r="A603" s="749"/>
      <c r="B603" s="750"/>
      <c r="C603" s="119" t="s">
        <v>4701</v>
      </c>
      <c r="D603" s="612"/>
      <c r="E603" s="384">
        <f>2*2*0.5*0.075*0.0375</f>
        <v>5.5999999999999999E-3</v>
      </c>
      <c r="F603" s="749" t="s">
        <v>2190</v>
      </c>
      <c r="G603" s="612"/>
      <c r="H603" s="612"/>
    </row>
    <row r="604" spans="1:8">
      <c r="A604" s="749"/>
      <c r="B604" s="750"/>
      <c r="C604" s="119"/>
      <c r="D604" s="752"/>
      <c r="E604" s="120" t="s">
        <v>1615</v>
      </c>
      <c r="F604" s="130"/>
      <c r="G604" s="612"/>
      <c r="H604" s="612"/>
    </row>
    <row r="605" spans="1:8">
      <c r="A605" s="749"/>
      <c r="B605" s="750"/>
      <c r="C605" s="749"/>
      <c r="D605" s="749"/>
      <c r="E605" s="753">
        <f>SUM(E602:E604)</f>
        <v>2.7E-2</v>
      </c>
      <c r="F605" s="579" t="s">
        <v>2190</v>
      </c>
      <c r="G605" s="612"/>
      <c r="H605" s="612"/>
    </row>
    <row r="606" spans="1:8">
      <c r="A606" s="749"/>
      <c r="B606" s="750"/>
      <c r="C606" s="749"/>
      <c r="D606" s="749"/>
      <c r="E606" s="120" t="s">
        <v>1615</v>
      </c>
      <c r="F606" s="579"/>
      <c r="G606" s="612"/>
      <c r="H606" s="612"/>
    </row>
    <row r="607" spans="1:8">
      <c r="A607" s="749"/>
      <c r="B607" s="750"/>
      <c r="C607" s="119" t="s">
        <v>453</v>
      </c>
      <c r="D607" s="612"/>
      <c r="E607" s="612"/>
      <c r="F607" s="612"/>
      <c r="G607" s="612"/>
      <c r="H607" s="612"/>
    </row>
    <row r="608" spans="1:8">
      <c r="A608" s="749"/>
      <c r="B608" s="750"/>
      <c r="C608" s="119" t="s">
        <v>4702</v>
      </c>
      <c r="D608" s="386"/>
      <c r="E608" s="383">
        <f>2*1.9*0.5</f>
        <v>1.9</v>
      </c>
      <c r="F608" s="7" t="s">
        <v>621</v>
      </c>
      <c r="G608" s="612"/>
      <c r="H608" s="612"/>
    </row>
    <row r="609" spans="1:8">
      <c r="A609" s="749"/>
      <c r="B609" s="750"/>
      <c r="C609" s="119"/>
      <c r="D609" s="386"/>
      <c r="E609" s="383"/>
      <c r="F609" s="130"/>
      <c r="G609" s="612"/>
      <c r="H609" s="612"/>
    </row>
    <row r="610" spans="1:8">
      <c r="A610" s="749"/>
      <c r="B610" s="750"/>
      <c r="C610" s="119" t="s">
        <v>4555</v>
      </c>
      <c r="D610" s="386"/>
      <c r="E610" s="383"/>
      <c r="F610" s="130"/>
      <c r="G610" s="612"/>
      <c r="H610" s="612"/>
    </row>
    <row r="611" spans="1:8">
      <c r="A611" s="749"/>
      <c r="B611" s="750"/>
      <c r="C611" s="119" t="s">
        <v>4703</v>
      </c>
      <c r="D611" s="386"/>
      <c r="E611" s="384">
        <f>2*1.775*0.375</f>
        <v>1.3312999999999999</v>
      </c>
      <c r="F611" s="130" t="str">
        <f>F608</f>
        <v>SQM</v>
      </c>
      <c r="G611" s="612"/>
      <c r="H611" s="612"/>
    </row>
    <row r="612" spans="1:8">
      <c r="A612" s="749"/>
      <c r="B612" s="750"/>
      <c r="C612" s="119" t="s">
        <v>4704</v>
      </c>
      <c r="D612" s="749"/>
      <c r="E612" s="391"/>
      <c r="F612" s="135"/>
      <c r="G612" s="612"/>
      <c r="H612" s="612"/>
    </row>
    <row r="613" spans="1:8">
      <c r="A613" s="136"/>
      <c r="B613" s="750"/>
      <c r="C613" s="119" t="s">
        <v>4705</v>
      </c>
      <c r="D613" s="386"/>
      <c r="E613" s="754">
        <f>1.775+0.375</f>
        <v>2.15</v>
      </c>
      <c r="F613" s="130"/>
      <c r="G613" s="612"/>
      <c r="H613" s="612"/>
    </row>
    <row r="614" spans="1:8">
      <c r="A614" s="136"/>
      <c r="B614" s="750"/>
      <c r="C614" s="749"/>
      <c r="D614" s="755"/>
      <c r="E614" s="140">
        <f>E613*4</f>
        <v>8.6</v>
      </c>
      <c r="F614" s="121" t="s">
        <v>842</v>
      </c>
      <c r="G614" s="612"/>
      <c r="H614" s="612"/>
    </row>
    <row r="615" spans="1:8">
      <c r="A615" s="136"/>
      <c r="B615" s="750"/>
      <c r="C615" s="768" t="s">
        <v>4559</v>
      </c>
      <c r="D615" s="755"/>
      <c r="E615" s="117"/>
      <c r="F615" s="121"/>
      <c r="G615" s="612"/>
      <c r="H615" s="612"/>
    </row>
    <row r="616" spans="1:8">
      <c r="A616" s="130"/>
      <c r="B616" s="118"/>
      <c r="C616" s="126"/>
      <c r="D616" s="612"/>
      <c r="E616" s="121"/>
      <c r="F616" s="117"/>
      <c r="G616" s="612"/>
      <c r="H616" s="612"/>
    </row>
    <row r="617" spans="1:8">
      <c r="A617" s="132"/>
      <c r="B617" s="750"/>
      <c r="C617" s="108" t="s">
        <v>4560</v>
      </c>
      <c r="D617" s="612"/>
      <c r="E617" s="121"/>
      <c r="F617" s="751"/>
      <c r="G617" s="612"/>
      <c r="H617" s="612"/>
    </row>
    <row r="618" spans="1:8">
      <c r="A618" s="130">
        <f>E605</f>
        <v>2.7E-2</v>
      </c>
      <c r="B618" s="117" t="s">
        <v>885</v>
      </c>
      <c r="C618" s="119" t="s">
        <v>4561</v>
      </c>
      <c r="D618" s="121">
        <f>D583</f>
        <v>99400</v>
      </c>
      <c r="E618" s="117" t="s">
        <v>885</v>
      </c>
      <c r="F618" s="121">
        <f>(A618*D618)</f>
        <v>2683.8</v>
      </c>
      <c r="G618" s="612"/>
      <c r="H618" s="612"/>
    </row>
    <row r="619" spans="1:8">
      <c r="A619" s="130">
        <f>E608</f>
        <v>1.9</v>
      </c>
      <c r="B619" s="7" t="s">
        <v>621</v>
      </c>
      <c r="C619" s="119" t="s">
        <v>453</v>
      </c>
      <c r="D619" s="121">
        <f t="shared" ref="D619:D626" si="21">D584</f>
        <v>57.65</v>
      </c>
      <c r="E619" s="7" t="s">
        <v>621</v>
      </c>
      <c r="F619" s="121">
        <f t="shared" ref="F619:F626" si="22">(A619*D619)</f>
        <v>109.54</v>
      </c>
      <c r="G619" s="612"/>
      <c r="H619" s="612"/>
    </row>
    <row r="620" spans="1:8">
      <c r="A620" s="132">
        <f>E611</f>
        <v>1.3312999999999999</v>
      </c>
      <c r="B620" s="7" t="s">
        <v>621</v>
      </c>
      <c r="C620" s="119" t="s">
        <v>4555</v>
      </c>
      <c r="D620" s="121">
        <f t="shared" si="21"/>
        <v>208.8</v>
      </c>
      <c r="E620" s="7" t="s">
        <v>621</v>
      </c>
      <c r="F620" s="121">
        <f t="shared" si="22"/>
        <v>277.98</v>
      </c>
      <c r="G620" s="612"/>
      <c r="H620" s="612"/>
    </row>
    <row r="621" spans="1:8">
      <c r="A621" s="121">
        <f>E614</f>
        <v>8.6</v>
      </c>
      <c r="B621" s="121" t="s">
        <v>842</v>
      </c>
      <c r="C621" s="108" t="s">
        <v>4562</v>
      </c>
      <c r="D621" s="121">
        <f t="shared" si="21"/>
        <v>89.6</v>
      </c>
      <c r="E621" s="121" t="s">
        <v>842</v>
      </c>
      <c r="F621" s="121">
        <f t="shared" si="22"/>
        <v>770.56</v>
      </c>
      <c r="G621" s="612"/>
      <c r="H621" s="612"/>
    </row>
    <row r="622" spans="1:8">
      <c r="A622" s="121">
        <v>6</v>
      </c>
      <c r="B622" s="7" t="s">
        <v>884</v>
      </c>
      <c r="C622" s="1" t="s">
        <v>1543</v>
      </c>
      <c r="D622" s="121">
        <f t="shared" si="21"/>
        <v>82.25</v>
      </c>
      <c r="E622" s="1" t="s">
        <v>884</v>
      </c>
      <c r="F622" s="121">
        <f t="shared" si="22"/>
        <v>493.5</v>
      </c>
      <c r="G622" s="612"/>
      <c r="H622" s="612"/>
    </row>
    <row r="623" spans="1:8">
      <c r="A623" s="121">
        <v>4</v>
      </c>
      <c r="B623" s="7" t="s">
        <v>884</v>
      </c>
      <c r="C623" s="1" t="s">
        <v>3626</v>
      </c>
      <c r="D623" s="121">
        <f t="shared" si="21"/>
        <v>57.65</v>
      </c>
      <c r="E623" s="1" t="s">
        <v>884</v>
      </c>
      <c r="F623" s="121">
        <f t="shared" si="22"/>
        <v>230.6</v>
      </c>
      <c r="G623" s="612"/>
      <c r="H623" s="612"/>
    </row>
    <row r="624" spans="1:8">
      <c r="A624" s="121">
        <v>2</v>
      </c>
      <c r="B624" s="7" t="s">
        <v>884</v>
      </c>
      <c r="C624" s="1" t="s">
        <v>3627</v>
      </c>
      <c r="D624" s="121">
        <f t="shared" si="21"/>
        <v>7.3</v>
      </c>
      <c r="E624" s="1" t="s">
        <v>884</v>
      </c>
      <c r="F624" s="121">
        <f t="shared" si="22"/>
        <v>14.6</v>
      </c>
      <c r="G624" s="612"/>
      <c r="H624" s="612"/>
    </row>
    <row r="625" spans="1:8">
      <c r="A625" s="121">
        <v>2</v>
      </c>
      <c r="B625" s="7" t="s">
        <v>884</v>
      </c>
      <c r="C625" s="1" t="s">
        <v>2016</v>
      </c>
      <c r="D625" s="121">
        <f t="shared" si="21"/>
        <v>2.41</v>
      </c>
      <c r="E625" s="1" t="s">
        <v>884</v>
      </c>
      <c r="F625" s="121">
        <f t="shared" si="22"/>
        <v>4.82</v>
      </c>
      <c r="G625" s="612"/>
      <c r="H625" s="612"/>
    </row>
    <row r="626" spans="1:8">
      <c r="A626" s="121">
        <v>80</v>
      </c>
      <c r="B626" s="7" t="s">
        <v>884</v>
      </c>
      <c r="C626" s="1" t="s">
        <v>4563</v>
      </c>
      <c r="D626" s="121">
        <f t="shared" si="21"/>
        <v>0</v>
      </c>
      <c r="E626" s="1" t="s">
        <v>884</v>
      </c>
      <c r="F626" s="121">
        <f t="shared" si="22"/>
        <v>0</v>
      </c>
      <c r="G626" s="612"/>
      <c r="H626" s="612"/>
    </row>
    <row r="627" spans="1:8">
      <c r="A627" s="121"/>
      <c r="B627" s="118"/>
      <c r="C627" s="119"/>
      <c r="D627" s="612"/>
      <c r="E627" s="121"/>
      <c r="F627" s="120" t="s">
        <v>1615</v>
      </c>
      <c r="G627" s="612"/>
      <c r="H627" s="612"/>
    </row>
    <row r="628" spans="1:8">
      <c r="A628" s="749"/>
      <c r="B628" s="750"/>
      <c r="C628" s="119" t="s">
        <v>4706</v>
      </c>
      <c r="D628" s="612"/>
      <c r="E628" s="117"/>
      <c r="F628" s="752">
        <f>SUM(F618:F627)</f>
        <v>4585.3999999999996</v>
      </c>
      <c r="G628" s="612"/>
      <c r="H628" s="612"/>
    </row>
    <row r="629" spans="1:8">
      <c r="A629" s="749"/>
      <c r="B629" s="750"/>
      <c r="C629" s="612"/>
      <c r="D629" s="121"/>
      <c r="E629" s="751"/>
      <c r="F629" s="120" t="s">
        <v>1615</v>
      </c>
      <c r="G629" s="612"/>
      <c r="H629" s="612"/>
    </row>
    <row r="630" spans="1:8">
      <c r="A630" s="749"/>
      <c r="B630" s="750"/>
      <c r="C630" s="752" t="s">
        <v>4219</v>
      </c>
      <c r="D630" s="121"/>
      <c r="E630" s="751"/>
      <c r="F630" s="624">
        <f>F628/A619</f>
        <v>2413.37</v>
      </c>
      <c r="G630" s="612"/>
      <c r="H630" s="612"/>
    </row>
    <row r="631" spans="1:8">
      <c r="A631" s="749"/>
      <c r="B631" s="750"/>
      <c r="C631" s="749"/>
      <c r="D631" s="121"/>
      <c r="E631" s="751"/>
      <c r="F631" s="612"/>
      <c r="G631" s="612"/>
      <c r="H631" s="612"/>
    </row>
    <row r="632" spans="1:8">
      <c r="A632" s="612"/>
      <c r="B632" s="612"/>
      <c r="C632" s="612"/>
      <c r="D632" s="612"/>
      <c r="E632" s="612"/>
      <c r="F632" s="612"/>
      <c r="G632" s="612"/>
      <c r="H632" s="612"/>
    </row>
    <row r="633" spans="1:8">
      <c r="A633" s="612"/>
      <c r="B633" s="612"/>
      <c r="C633" s="612"/>
      <c r="D633" s="612"/>
      <c r="E633" s="612"/>
      <c r="F633" s="612"/>
      <c r="G633" s="612"/>
      <c r="H633" s="612"/>
    </row>
    <row r="634" spans="1:8">
      <c r="A634" s="769">
        <v>4</v>
      </c>
      <c r="B634" s="750"/>
      <c r="C634" s="119" t="s">
        <v>4549</v>
      </c>
      <c r="D634" s="749"/>
      <c r="E634" s="751"/>
      <c r="F634" s="749"/>
      <c r="G634" s="612"/>
      <c r="H634" s="612"/>
    </row>
    <row r="635" spans="1:8" ht="18">
      <c r="A635" s="749"/>
      <c r="B635" s="750"/>
      <c r="C635" s="382" t="s">
        <v>4707</v>
      </c>
      <c r="D635" s="749"/>
      <c r="E635" s="751"/>
      <c r="F635" s="749"/>
      <c r="G635" s="612"/>
      <c r="H635" s="612"/>
    </row>
    <row r="636" spans="1:8">
      <c r="A636" s="749"/>
      <c r="B636" s="750"/>
      <c r="C636" s="120" t="s">
        <v>1615</v>
      </c>
      <c r="D636" s="749"/>
      <c r="E636" s="751"/>
      <c r="F636" s="749"/>
      <c r="G636" s="612"/>
      <c r="H636" s="612"/>
    </row>
    <row r="637" spans="1:8">
      <c r="A637" s="749"/>
      <c r="B637" s="750"/>
      <c r="C637" s="108" t="s">
        <v>4551</v>
      </c>
      <c r="D637" s="579"/>
      <c r="E637" s="579"/>
      <c r="F637" s="579" t="s">
        <v>2190</v>
      </c>
      <c r="G637" s="612"/>
      <c r="H637" s="612"/>
    </row>
    <row r="638" spans="1:8">
      <c r="A638" s="749"/>
      <c r="B638" s="750"/>
      <c r="C638" s="135" t="s">
        <v>4708</v>
      </c>
      <c r="D638" s="612"/>
      <c r="E638" s="384">
        <f>2*2*1.9*0.075*0.0375</f>
        <v>2.1399999999999999E-2</v>
      </c>
      <c r="F638" s="749" t="s">
        <v>2190</v>
      </c>
      <c r="G638" s="612"/>
      <c r="H638" s="612"/>
    </row>
    <row r="639" spans="1:8">
      <c r="A639" s="749"/>
      <c r="B639" s="750"/>
      <c r="C639" s="119" t="s">
        <v>4709</v>
      </c>
      <c r="D639" s="612"/>
      <c r="E639" s="384">
        <f>2*0.65*0.075*0.0375</f>
        <v>3.7000000000000002E-3</v>
      </c>
      <c r="F639" s="749" t="s">
        <v>2190</v>
      </c>
      <c r="G639" s="612"/>
      <c r="H639" s="612"/>
    </row>
    <row r="640" spans="1:8">
      <c r="A640" s="749"/>
      <c r="B640" s="750"/>
      <c r="C640" s="119"/>
      <c r="D640" s="752"/>
      <c r="E640" s="120" t="s">
        <v>1615</v>
      </c>
      <c r="F640" s="130"/>
      <c r="G640" s="612"/>
      <c r="H640" s="612"/>
    </row>
    <row r="641" spans="1:8">
      <c r="A641" s="749"/>
      <c r="B641" s="750"/>
      <c r="C641" s="749"/>
      <c r="D641" s="749"/>
      <c r="E641" s="753">
        <f>SUM(E638:E640)</f>
        <v>2.5100000000000001E-2</v>
      </c>
      <c r="F641" s="579" t="s">
        <v>2190</v>
      </c>
      <c r="G641" s="612"/>
      <c r="H641" s="612"/>
    </row>
    <row r="642" spans="1:8">
      <c r="A642" s="749"/>
      <c r="B642" s="750"/>
      <c r="C642" s="749"/>
      <c r="D642" s="749"/>
      <c r="E642" s="120" t="s">
        <v>1615</v>
      </c>
      <c r="F642" s="579"/>
      <c r="G642" s="612"/>
      <c r="H642" s="612"/>
    </row>
    <row r="643" spans="1:8">
      <c r="A643" s="749"/>
      <c r="B643" s="750"/>
      <c r="C643" s="119" t="s">
        <v>453</v>
      </c>
      <c r="D643" s="612"/>
      <c r="E643" s="612"/>
      <c r="F643" s="612"/>
      <c r="G643" s="612"/>
      <c r="H643" s="612"/>
    </row>
    <row r="644" spans="1:8">
      <c r="A644" s="749"/>
      <c r="B644" s="750"/>
      <c r="C644" s="119" t="s">
        <v>4710</v>
      </c>
      <c r="D644" s="386"/>
      <c r="E644" s="383">
        <f>1*1.9*0.65</f>
        <v>1.2350000000000001</v>
      </c>
      <c r="F644" s="7" t="s">
        <v>621</v>
      </c>
      <c r="G644" s="612"/>
      <c r="H644" s="612"/>
    </row>
    <row r="645" spans="1:8">
      <c r="A645" s="749"/>
      <c r="B645" s="750"/>
      <c r="C645" s="119"/>
      <c r="D645" s="386"/>
      <c r="E645" s="383"/>
      <c r="F645" s="130"/>
      <c r="G645" s="612"/>
      <c r="H645" s="612"/>
    </row>
    <row r="646" spans="1:8">
      <c r="A646" s="749"/>
      <c r="B646" s="750"/>
      <c r="C646" s="119" t="s">
        <v>4555</v>
      </c>
      <c r="D646" s="386"/>
      <c r="E646" s="383"/>
      <c r="F646" s="130"/>
      <c r="G646" s="612"/>
      <c r="H646" s="612"/>
    </row>
    <row r="647" spans="1:8">
      <c r="A647" s="749"/>
      <c r="B647" s="750"/>
      <c r="C647" s="119" t="s">
        <v>4711</v>
      </c>
      <c r="D647" s="386"/>
      <c r="E647" s="384">
        <f>1*1.775*0.525</f>
        <v>0.93189999999999995</v>
      </c>
      <c r="F647" s="130" t="str">
        <f>F644</f>
        <v>SQM</v>
      </c>
      <c r="G647" s="612"/>
      <c r="H647" s="612"/>
    </row>
    <row r="648" spans="1:8">
      <c r="A648" s="749"/>
      <c r="B648" s="750"/>
      <c r="C648" s="119" t="s">
        <v>4557</v>
      </c>
      <c r="D648" s="749"/>
      <c r="E648" s="391"/>
      <c r="F648" s="135"/>
      <c r="G648" s="612"/>
      <c r="H648" s="612"/>
    </row>
    <row r="649" spans="1:8">
      <c r="A649" s="136"/>
      <c r="B649" s="750"/>
      <c r="C649" s="119" t="s">
        <v>4712</v>
      </c>
      <c r="D649" s="386"/>
      <c r="E649" s="754">
        <f>1.775+0.525</f>
        <v>2.2999999999999998</v>
      </c>
      <c r="F649" s="130"/>
      <c r="G649" s="612"/>
      <c r="H649" s="612"/>
    </row>
    <row r="650" spans="1:8">
      <c r="A650" s="136"/>
      <c r="B650" s="750"/>
      <c r="C650" s="749"/>
      <c r="D650" s="755"/>
      <c r="E650" s="140">
        <f>E649*2</f>
        <v>4.5999999999999996</v>
      </c>
      <c r="F650" s="121" t="s">
        <v>842</v>
      </c>
      <c r="G650" s="612"/>
      <c r="H650" s="612"/>
    </row>
    <row r="651" spans="1:8">
      <c r="A651" s="136"/>
      <c r="B651" s="750"/>
      <c r="C651" s="768" t="s">
        <v>4559</v>
      </c>
      <c r="D651" s="755"/>
      <c r="E651" s="117"/>
      <c r="F651" s="121"/>
      <c r="G651" s="612"/>
      <c r="H651" s="612"/>
    </row>
    <row r="652" spans="1:8">
      <c r="A652" s="130"/>
      <c r="B652" s="118"/>
      <c r="C652" s="126"/>
      <c r="D652" s="612"/>
      <c r="E652" s="121"/>
      <c r="F652" s="117"/>
      <c r="G652" s="612"/>
      <c r="H652" s="612"/>
    </row>
    <row r="653" spans="1:8">
      <c r="A653" s="132"/>
      <c r="B653" s="750"/>
      <c r="C653" s="108" t="s">
        <v>4560</v>
      </c>
      <c r="D653" s="612"/>
      <c r="E653" s="121"/>
      <c r="F653" s="751"/>
      <c r="G653" s="612"/>
      <c r="H653" s="612"/>
    </row>
    <row r="654" spans="1:8">
      <c r="A654" s="130">
        <f>E641</f>
        <v>2.5100000000000001E-2</v>
      </c>
      <c r="B654" s="117" t="s">
        <v>885</v>
      </c>
      <c r="C654" s="119" t="s">
        <v>4561</v>
      </c>
      <c r="D654" s="121">
        <f>D618</f>
        <v>99400</v>
      </c>
      <c r="E654" s="117" t="s">
        <v>885</v>
      </c>
      <c r="F654" s="121">
        <f>(A654*D654)</f>
        <v>2494.94</v>
      </c>
      <c r="G654" s="612"/>
      <c r="H654" s="612"/>
    </row>
    <row r="655" spans="1:8">
      <c r="A655" s="130">
        <f>E644</f>
        <v>1.2350000000000001</v>
      </c>
      <c r="B655" s="7" t="s">
        <v>621</v>
      </c>
      <c r="C655" s="119" t="s">
        <v>453</v>
      </c>
      <c r="D655" s="121">
        <f t="shared" ref="D655:D662" si="23">D619</f>
        <v>57.65</v>
      </c>
      <c r="E655" s="7" t="s">
        <v>621</v>
      </c>
      <c r="F655" s="121">
        <f t="shared" ref="F655:F662" si="24">(A655*D655)</f>
        <v>71.2</v>
      </c>
      <c r="G655" s="612"/>
      <c r="H655" s="612"/>
    </row>
    <row r="656" spans="1:8">
      <c r="A656" s="132">
        <f>E647</f>
        <v>0.93189999999999995</v>
      </c>
      <c r="B656" s="7" t="s">
        <v>621</v>
      </c>
      <c r="C656" s="119" t="s">
        <v>4555</v>
      </c>
      <c r="D656" s="121">
        <f t="shared" si="23"/>
        <v>208.8</v>
      </c>
      <c r="E656" s="7" t="s">
        <v>621</v>
      </c>
      <c r="F656" s="121">
        <f t="shared" si="24"/>
        <v>194.58</v>
      </c>
      <c r="G656" s="612"/>
      <c r="H656" s="612"/>
    </row>
    <row r="657" spans="1:8">
      <c r="A657" s="121">
        <f>E650</f>
        <v>4.5999999999999996</v>
      </c>
      <c r="B657" s="121" t="s">
        <v>842</v>
      </c>
      <c r="C657" s="108" t="s">
        <v>4562</v>
      </c>
      <c r="D657" s="121">
        <f t="shared" si="23"/>
        <v>89.6</v>
      </c>
      <c r="E657" s="121" t="s">
        <v>842</v>
      </c>
      <c r="F657" s="121">
        <f t="shared" si="24"/>
        <v>412.16</v>
      </c>
      <c r="G657" s="612"/>
      <c r="H657" s="612"/>
    </row>
    <row r="658" spans="1:8">
      <c r="A658" s="121">
        <v>3</v>
      </c>
      <c r="B658" s="7" t="s">
        <v>884</v>
      </c>
      <c r="C658" s="1" t="s">
        <v>1543</v>
      </c>
      <c r="D658" s="121">
        <f t="shared" si="23"/>
        <v>82.25</v>
      </c>
      <c r="E658" s="1" t="s">
        <v>884</v>
      </c>
      <c r="F658" s="121">
        <f t="shared" si="24"/>
        <v>246.75</v>
      </c>
      <c r="G658" s="612"/>
      <c r="H658" s="612"/>
    </row>
    <row r="659" spans="1:8">
      <c r="A659" s="121">
        <v>2</v>
      </c>
      <c r="B659" s="7" t="s">
        <v>884</v>
      </c>
      <c r="C659" s="1" t="s">
        <v>3626</v>
      </c>
      <c r="D659" s="121">
        <f t="shared" si="23"/>
        <v>57.65</v>
      </c>
      <c r="E659" s="1" t="s">
        <v>884</v>
      </c>
      <c r="F659" s="121">
        <f t="shared" si="24"/>
        <v>115.3</v>
      </c>
      <c r="G659" s="612"/>
      <c r="H659" s="612"/>
    </row>
    <row r="660" spans="1:8">
      <c r="A660" s="121">
        <v>1</v>
      </c>
      <c r="B660" s="7" t="s">
        <v>884</v>
      </c>
      <c r="C660" s="1" t="s">
        <v>3627</v>
      </c>
      <c r="D660" s="121">
        <f t="shared" si="23"/>
        <v>7.3</v>
      </c>
      <c r="E660" s="1" t="s">
        <v>884</v>
      </c>
      <c r="F660" s="121">
        <f t="shared" si="24"/>
        <v>7.3</v>
      </c>
      <c r="G660" s="612"/>
      <c r="H660" s="612"/>
    </row>
    <row r="661" spans="1:8">
      <c r="A661" s="121">
        <v>1</v>
      </c>
      <c r="B661" s="7" t="s">
        <v>884</v>
      </c>
      <c r="C661" s="1" t="s">
        <v>2016</v>
      </c>
      <c r="D661" s="121">
        <f t="shared" si="23"/>
        <v>2.41</v>
      </c>
      <c r="E661" s="1" t="s">
        <v>884</v>
      </c>
      <c r="F661" s="121">
        <f t="shared" si="24"/>
        <v>2.41</v>
      </c>
      <c r="G661" s="612"/>
      <c r="H661" s="612"/>
    </row>
    <row r="662" spans="1:8">
      <c r="A662" s="121">
        <v>40</v>
      </c>
      <c r="B662" s="7" t="s">
        <v>884</v>
      </c>
      <c r="C662" s="1" t="s">
        <v>4563</v>
      </c>
      <c r="D662" s="121">
        <f t="shared" si="23"/>
        <v>0</v>
      </c>
      <c r="E662" s="1" t="s">
        <v>884</v>
      </c>
      <c r="F662" s="121">
        <f t="shared" si="24"/>
        <v>0</v>
      </c>
      <c r="G662" s="612"/>
      <c r="H662" s="612"/>
    </row>
    <row r="663" spans="1:8">
      <c r="A663" s="121"/>
      <c r="B663" s="118"/>
      <c r="C663" s="119"/>
      <c r="D663" s="612"/>
      <c r="E663" s="121"/>
      <c r="F663" s="120" t="s">
        <v>1615</v>
      </c>
      <c r="G663" s="612"/>
      <c r="H663" s="612"/>
    </row>
    <row r="664" spans="1:8">
      <c r="A664" s="749"/>
      <c r="B664" s="750"/>
      <c r="C664" s="119" t="s">
        <v>4713</v>
      </c>
      <c r="D664" s="612"/>
      <c r="E664" s="117"/>
      <c r="F664" s="752">
        <f>SUM(F654:F663)</f>
        <v>3544.64</v>
      </c>
      <c r="G664" s="612"/>
      <c r="H664" s="612"/>
    </row>
    <row r="665" spans="1:8">
      <c r="A665" s="749"/>
      <c r="B665" s="750"/>
      <c r="C665" s="612"/>
      <c r="D665" s="121"/>
      <c r="E665" s="751"/>
      <c r="F665" s="120" t="s">
        <v>1615</v>
      </c>
      <c r="G665" s="612"/>
      <c r="H665" s="612"/>
    </row>
    <row r="666" spans="1:8">
      <c r="A666" s="749"/>
      <c r="B666" s="750"/>
      <c r="C666" s="752" t="s">
        <v>4219</v>
      </c>
      <c r="D666" s="121"/>
      <c r="E666" s="751"/>
      <c r="F666" s="624">
        <f>F664/A655</f>
        <v>2870.15</v>
      </c>
      <c r="G666" s="612"/>
      <c r="H666" s="612"/>
    </row>
    <row r="667" spans="1:8">
      <c r="A667" s="749"/>
      <c r="B667" s="750"/>
      <c r="C667" s="749"/>
      <c r="D667" s="121"/>
      <c r="E667" s="751"/>
      <c r="F667" s="612"/>
      <c r="G667" s="612"/>
      <c r="H667" s="612"/>
    </row>
    <row r="668" spans="1:8">
      <c r="A668" s="612"/>
      <c r="B668" s="612"/>
      <c r="C668" s="612"/>
      <c r="D668" s="612"/>
      <c r="E668" s="612"/>
      <c r="F668" s="612"/>
      <c r="G668" s="612"/>
      <c r="H668" s="612"/>
    </row>
    <row r="669" spans="1:8">
      <c r="A669" s="612"/>
      <c r="B669" s="612"/>
      <c r="C669" s="612"/>
      <c r="D669" s="612"/>
      <c r="E669" s="612"/>
      <c r="F669" s="612"/>
      <c r="G669" s="612"/>
      <c r="H669" s="612"/>
    </row>
    <row r="670" spans="1:8">
      <c r="A670" s="749"/>
      <c r="B670" s="750"/>
      <c r="C670" s="119" t="s">
        <v>4549</v>
      </c>
      <c r="D670" s="749"/>
      <c r="E670" s="751"/>
      <c r="F670" s="749"/>
      <c r="G670" s="612"/>
      <c r="H670" s="612"/>
    </row>
    <row r="671" spans="1:8" ht="18">
      <c r="A671" s="749"/>
      <c r="B671" s="750"/>
      <c r="C671" s="382" t="s">
        <v>4714</v>
      </c>
      <c r="D671" s="749"/>
      <c r="E671" s="751"/>
      <c r="F671" s="749"/>
      <c r="G671" s="612"/>
      <c r="H671" s="612"/>
    </row>
    <row r="672" spans="1:8">
      <c r="A672" s="749"/>
      <c r="B672" s="750"/>
      <c r="C672" s="120" t="s">
        <v>1615</v>
      </c>
      <c r="D672" s="749"/>
      <c r="E672" s="751"/>
      <c r="F672" s="749"/>
      <c r="G672" s="612"/>
      <c r="H672" s="612"/>
    </row>
    <row r="673" spans="1:8">
      <c r="A673" s="749"/>
      <c r="B673" s="750"/>
      <c r="C673" s="108" t="s">
        <v>4551</v>
      </c>
      <c r="D673" s="579"/>
      <c r="E673" s="579"/>
      <c r="F673" s="579" t="s">
        <v>2190</v>
      </c>
      <c r="G673" s="612"/>
      <c r="H673" s="612"/>
    </row>
    <row r="674" spans="1:8">
      <c r="A674" s="749"/>
      <c r="B674" s="750"/>
      <c r="C674" s="135" t="s">
        <v>4708</v>
      </c>
      <c r="D674" s="612"/>
      <c r="E674" s="384">
        <f>2*2*1.9*0.075*0.0375</f>
        <v>2.1399999999999999E-2</v>
      </c>
      <c r="F674" s="749" t="s">
        <v>2190</v>
      </c>
      <c r="G674" s="612"/>
      <c r="H674" s="612"/>
    </row>
    <row r="675" spans="1:8">
      <c r="A675" s="749"/>
      <c r="B675" s="750"/>
      <c r="C675" s="119" t="s">
        <v>4715</v>
      </c>
      <c r="D675" s="612"/>
      <c r="E675" s="384">
        <f>1*2*0.47*0.075*0.0375</f>
        <v>2.5999999999999999E-3</v>
      </c>
      <c r="F675" s="749" t="s">
        <v>2190</v>
      </c>
      <c r="G675" s="612"/>
      <c r="H675" s="612"/>
    </row>
    <row r="676" spans="1:8">
      <c r="A676" s="749"/>
      <c r="B676" s="750"/>
      <c r="C676" s="119"/>
      <c r="D676" s="752"/>
      <c r="E676" s="120" t="s">
        <v>1615</v>
      </c>
      <c r="F676" s="130"/>
      <c r="G676" s="612"/>
      <c r="H676" s="612"/>
    </row>
    <row r="677" spans="1:8">
      <c r="A677" s="749"/>
      <c r="B677" s="750"/>
      <c r="C677" s="749"/>
      <c r="D677" s="749"/>
      <c r="E677" s="753">
        <f>SUM(E674:E676)</f>
        <v>2.4E-2</v>
      </c>
      <c r="F677" s="579" t="s">
        <v>2190</v>
      </c>
      <c r="G677" s="612"/>
      <c r="H677" s="612"/>
    </row>
    <row r="678" spans="1:8">
      <c r="A678" s="749"/>
      <c r="B678" s="750"/>
      <c r="C678" s="749"/>
      <c r="D678" s="749"/>
      <c r="E678" s="120" t="s">
        <v>1615</v>
      </c>
      <c r="F678" s="579"/>
      <c r="G678" s="612"/>
      <c r="H678" s="612"/>
    </row>
    <row r="679" spans="1:8">
      <c r="A679" s="749"/>
      <c r="B679" s="750"/>
      <c r="C679" s="119" t="s">
        <v>453</v>
      </c>
      <c r="D679" s="612"/>
      <c r="E679" s="612"/>
      <c r="F679" s="612"/>
      <c r="G679" s="612"/>
      <c r="H679" s="612"/>
    </row>
    <row r="680" spans="1:8">
      <c r="A680" s="749"/>
      <c r="B680" s="750"/>
      <c r="C680" s="119" t="s">
        <v>4716</v>
      </c>
      <c r="D680" s="386"/>
      <c r="E680" s="383">
        <f>1*1.9*0.47</f>
        <v>0.89300000000000002</v>
      </c>
      <c r="F680" s="7" t="s">
        <v>621</v>
      </c>
      <c r="G680" s="612"/>
      <c r="H680" s="612"/>
    </row>
    <row r="681" spans="1:8">
      <c r="A681" s="749"/>
      <c r="B681" s="750"/>
      <c r="C681" s="119"/>
      <c r="D681" s="386"/>
      <c r="E681" s="383"/>
      <c r="F681" s="130"/>
      <c r="G681" s="612"/>
      <c r="H681" s="612"/>
    </row>
    <row r="682" spans="1:8">
      <c r="A682" s="749"/>
      <c r="B682" s="750"/>
      <c r="C682" s="119" t="s">
        <v>4555</v>
      </c>
      <c r="D682" s="386"/>
      <c r="E682" s="383"/>
      <c r="F682" s="130"/>
      <c r="G682" s="612"/>
      <c r="H682" s="612"/>
    </row>
    <row r="683" spans="1:8">
      <c r="A683" s="749"/>
      <c r="B683" s="750"/>
      <c r="C683" s="119" t="s">
        <v>4717</v>
      </c>
      <c r="D683" s="386"/>
      <c r="E683" s="384">
        <f>1*1.775*0.345</f>
        <v>0.61240000000000006</v>
      </c>
      <c r="F683" s="130" t="str">
        <f>F680</f>
        <v>SQM</v>
      </c>
      <c r="G683" s="579"/>
      <c r="H683" s="612"/>
    </row>
    <row r="684" spans="1:8">
      <c r="A684" s="749"/>
      <c r="B684" s="750"/>
      <c r="C684" s="119" t="s">
        <v>4557</v>
      </c>
      <c r="D684" s="749"/>
      <c r="E684" s="391"/>
      <c r="F684" s="135"/>
      <c r="G684" s="579"/>
      <c r="H684" s="612"/>
    </row>
    <row r="685" spans="1:8">
      <c r="A685" s="136"/>
      <c r="B685" s="750"/>
      <c r="C685" s="119" t="s">
        <v>4718</v>
      </c>
      <c r="D685" s="386"/>
      <c r="E685" s="754">
        <f>1.775+0.345</f>
        <v>2.12</v>
      </c>
      <c r="F685" s="130"/>
      <c r="G685" s="579"/>
      <c r="H685" s="612"/>
    </row>
    <row r="686" spans="1:8">
      <c r="A686" s="136"/>
      <c r="B686" s="750"/>
      <c r="C686" s="749"/>
      <c r="D686" s="755"/>
      <c r="E686" s="140">
        <f>E685*2</f>
        <v>4.24</v>
      </c>
      <c r="F686" s="121" t="s">
        <v>842</v>
      </c>
      <c r="G686" s="579"/>
      <c r="H686" s="612"/>
    </row>
    <row r="687" spans="1:8">
      <c r="A687" s="136"/>
      <c r="B687" s="750"/>
      <c r="C687" s="768" t="s">
        <v>4559</v>
      </c>
      <c r="D687" s="755"/>
      <c r="E687" s="117"/>
      <c r="F687" s="121"/>
      <c r="G687" s="579"/>
      <c r="H687" s="612"/>
    </row>
    <row r="688" spans="1:8">
      <c r="A688" s="130"/>
      <c r="B688" s="118"/>
      <c r="C688" s="126"/>
      <c r="D688" s="612"/>
      <c r="E688" s="121"/>
      <c r="F688" s="117"/>
      <c r="G688" s="579"/>
      <c r="H688" s="612"/>
    </row>
    <row r="689" spans="1:8">
      <c r="A689" s="132"/>
      <c r="B689" s="750"/>
      <c r="C689" s="108" t="s">
        <v>4560</v>
      </c>
      <c r="D689" s="612"/>
      <c r="E689" s="121"/>
      <c r="F689" s="751"/>
      <c r="G689" s="579"/>
      <c r="H689" s="612"/>
    </row>
    <row r="690" spans="1:8">
      <c r="A690" s="130">
        <f>E677</f>
        <v>2.4E-2</v>
      </c>
      <c r="B690" s="117" t="s">
        <v>885</v>
      </c>
      <c r="C690" s="119" t="s">
        <v>4561</v>
      </c>
      <c r="D690" s="121">
        <f>D654</f>
        <v>99400</v>
      </c>
      <c r="E690" s="117" t="s">
        <v>885</v>
      </c>
      <c r="F690" s="121">
        <f>(A690*D690)</f>
        <v>2385.6</v>
      </c>
      <c r="G690" s="579"/>
      <c r="H690" s="612"/>
    </row>
    <row r="691" spans="1:8">
      <c r="A691" s="130">
        <f>E680</f>
        <v>0.89300000000000002</v>
      </c>
      <c r="B691" s="7" t="s">
        <v>621</v>
      </c>
      <c r="C691" s="119" t="s">
        <v>453</v>
      </c>
      <c r="D691" s="121">
        <f t="shared" ref="D691:D698" si="25">D655</f>
        <v>57.65</v>
      </c>
      <c r="E691" s="7" t="s">
        <v>621</v>
      </c>
      <c r="F691" s="121">
        <f t="shared" ref="F691:F698" si="26">(A691*D691)</f>
        <v>51.48</v>
      </c>
      <c r="G691" s="579"/>
      <c r="H691" s="612"/>
    </row>
    <row r="692" spans="1:8">
      <c r="A692" s="132">
        <f>E683</f>
        <v>0.61240000000000006</v>
      </c>
      <c r="B692" s="7" t="s">
        <v>621</v>
      </c>
      <c r="C692" s="119" t="s">
        <v>4555</v>
      </c>
      <c r="D692" s="121">
        <f t="shared" si="25"/>
        <v>208.8</v>
      </c>
      <c r="E692" s="7" t="s">
        <v>621</v>
      </c>
      <c r="F692" s="121">
        <f t="shared" si="26"/>
        <v>127.87</v>
      </c>
      <c r="G692" s="579"/>
      <c r="H692" s="612"/>
    </row>
    <row r="693" spans="1:8">
      <c r="A693" s="121">
        <f>E686</f>
        <v>4.24</v>
      </c>
      <c r="B693" s="121" t="s">
        <v>842</v>
      </c>
      <c r="C693" s="108" t="s">
        <v>4562</v>
      </c>
      <c r="D693" s="121">
        <f t="shared" si="25"/>
        <v>89.6</v>
      </c>
      <c r="E693" s="121" t="s">
        <v>842</v>
      </c>
      <c r="F693" s="121">
        <f t="shared" si="26"/>
        <v>379.9</v>
      </c>
      <c r="G693" s="579"/>
      <c r="H693" s="612"/>
    </row>
    <row r="694" spans="1:8">
      <c r="A694" s="121">
        <v>3</v>
      </c>
      <c r="B694" s="7" t="s">
        <v>884</v>
      </c>
      <c r="C694" s="1" t="s">
        <v>1543</v>
      </c>
      <c r="D694" s="121">
        <f t="shared" si="25"/>
        <v>82.25</v>
      </c>
      <c r="E694" s="1" t="s">
        <v>884</v>
      </c>
      <c r="F694" s="121">
        <f t="shared" si="26"/>
        <v>246.75</v>
      </c>
      <c r="G694" s="579"/>
      <c r="H694" s="612"/>
    </row>
    <row r="695" spans="1:8">
      <c r="A695" s="121">
        <v>2</v>
      </c>
      <c r="B695" s="7" t="s">
        <v>884</v>
      </c>
      <c r="C695" s="1" t="s">
        <v>3626</v>
      </c>
      <c r="D695" s="121">
        <f t="shared" si="25"/>
        <v>57.65</v>
      </c>
      <c r="E695" s="1" t="s">
        <v>884</v>
      </c>
      <c r="F695" s="121">
        <f t="shared" si="26"/>
        <v>115.3</v>
      </c>
      <c r="G695" s="579"/>
      <c r="H695" s="612"/>
    </row>
    <row r="696" spans="1:8">
      <c r="A696" s="121">
        <v>1</v>
      </c>
      <c r="B696" s="7" t="s">
        <v>884</v>
      </c>
      <c r="C696" s="1" t="s">
        <v>3627</v>
      </c>
      <c r="D696" s="121">
        <f t="shared" si="25"/>
        <v>7.3</v>
      </c>
      <c r="E696" s="1" t="s">
        <v>884</v>
      </c>
      <c r="F696" s="121">
        <f t="shared" si="26"/>
        <v>7.3</v>
      </c>
      <c r="G696" s="579"/>
      <c r="H696" s="612"/>
    </row>
    <row r="697" spans="1:8">
      <c r="A697" s="121">
        <v>1</v>
      </c>
      <c r="B697" s="7" t="s">
        <v>884</v>
      </c>
      <c r="C697" s="1" t="s">
        <v>2016</v>
      </c>
      <c r="D697" s="121">
        <f t="shared" si="25"/>
        <v>2.41</v>
      </c>
      <c r="E697" s="1" t="s">
        <v>884</v>
      </c>
      <c r="F697" s="121">
        <f t="shared" si="26"/>
        <v>2.41</v>
      </c>
      <c r="G697" s="579"/>
      <c r="H697" s="612"/>
    </row>
    <row r="698" spans="1:8">
      <c r="A698" s="121">
        <v>40</v>
      </c>
      <c r="B698" s="7" t="s">
        <v>884</v>
      </c>
      <c r="C698" s="1" t="s">
        <v>4563</v>
      </c>
      <c r="D698" s="121">
        <f t="shared" si="25"/>
        <v>0</v>
      </c>
      <c r="E698" s="1" t="s">
        <v>884</v>
      </c>
      <c r="F698" s="121">
        <f t="shared" si="26"/>
        <v>0</v>
      </c>
      <c r="G698" s="579"/>
      <c r="H698" s="612"/>
    </row>
    <row r="699" spans="1:8">
      <c r="A699" s="121"/>
      <c r="B699" s="118"/>
      <c r="C699" s="119"/>
      <c r="D699" s="612"/>
      <c r="E699" s="121"/>
      <c r="F699" s="120" t="s">
        <v>1615</v>
      </c>
      <c r="G699" s="579"/>
      <c r="H699" s="612"/>
    </row>
    <row r="700" spans="1:8">
      <c r="A700" s="749"/>
      <c r="B700" s="750"/>
      <c r="C700" s="119" t="s">
        <v>4719</v>
      </c>
      <c r="D700" s="612"/>
      <c r="E700" s="117"/>
      <c r="F700" s="752">
        <f>SUM(F690:F699)</f>
        <v>3316.61</v>
      </c>
      <c r="G700" s="579"/>
      <c r="H700" s="612"/>
    </row>
    <row r="701" spans="1:8">
      <c r="A701" s="749"/>
      <c r="B701" s="750"/>
      <c r="C701" s="612"/>
      <c r="D701" s="121"/>
      <c r="E701" s="751"/>
      <c r="F701" s="120" t="s">
        <v>1615</v>
      </c>
      <c r="G701" s="579"/>
      <c r="H701" s="612"/>
    </row>
    <row r="702" spans="1:8">
      <c r="A702" s="749"/>
      <c r="B702" s="750"/>
      <c r="C702" s="752" t="s">
        <v>4219</v>
      </c>
      <c r="D702" s="121"/>
      <c r="E702" s="751"/>
      <c r="F702" s="624">
        <f>F700/A691</f>
        <v>3714.01</v>
      </c>
      <c r="G702" s="579"/>
      <c r="H702" s="612"/>
    </row>
    <row r="703" spans="1:8">
      <c r="A703" s="749"/>
      <c r="B703" s="750"/>
      <c r="C703" s="749"/>
      <c r="D703" s="121"/>
      <c r="E703" s="751"/>
      <c r="F703" s="612"/>
      <c r="G703" s="579"/>
      <c r="H703" s="612"/>
    </row>
    <row r="704" spans="1:8">
      <c r="A704" s="612"/>
      <c r="B704" s="612"/>
      <c r="C704" s="612"/>
      <c r="D704" s="612"/>
      <c r="E704" s="612"/>
      <c r="F704" s="612"/>
      <c r="G704" s="579"/>
      <c r="H704" s="612"/>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11.xml><?xml version="1.0" encoding="utf-8"?>
<worksheet xmlns="http://schemas.openxmlformats.org/spreadsheetml/2006/main" xmlns:r="http://schemas.openxmlformats.org/officeDocument/2006/relationships">
  <sheetPr syncVertical="1" syncRef="I1377" transitionEvaluation="1"/>
  <dimension ref="A1:IS8558"/>
  <sheetViews>
    <sheetView view="pageBreakPreview" topLeftCell="I1377" zoomScale="94" zoomScaleNormal="75" zoomScaleSheetLayoutView="94" workbookViewId="0">
      <selection activeCell="R1388" sqref="R1388"/>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8" customWidth="1"/>
    <col min="16" max="16" width="13.33203125" customWidth="1"/>
    <col min="17" max="17" width="8.5546875" customWidth="1"/>
    <col min="18" max="18" width="11.77734375" customWidth="1"/>
    <col min="19" max="19" width="10.88671875" style="50" customWidth="1"/>
    <col min="20" max="20" width="9.21875" customWidth="1"/>
    <col min="21" max="21" width="46.6640625" customWidth="1"/>
    <col min="22" max="22" width="12.109375" customWidth="1"/>
    <col min="23" max="23" width="12.88671875" customWidth="1"/>
    <col min="24" max="24" width="12.6640625" customWidth="1"/>
    <col min="25" max="25" width="10.109375" customWidth="1"/>
    <col min="26" max="26" width="12.6640625" customWidth="1"/>
    <col min="27" max="27" width="21.6640625" customWidth="1"/>
    <col min="28" max="28" width="15.5546875" customWidth="1"/>
    <col min="29" max="29" width="13.33203125" customWidth="1"/>
    <col min="30" max="30" width="34.77734375"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4530</v>
      </c>
      <c r="E1" s="1" t="s">
        <v>992</v>
      </c>
      <c r="H1" s="33" t="s">
        <v>251</v>
      </c>
      <c r="O1" s="1" t="s">
        <v>251</v>
      </c>
      <c r="T1" s="4"/>
      <c r="U1" s="378" t="s">
        <v>2090</v>
      </c>
      <c r="V1" s="378"/>
      <c r="W1" s="2" t="s">
        <v>992</v>
      </c>
      <c r="X1" s="4"/>
      <c r="Y1" s="4"/>
      <c r="Z1" s="4"/>
      <c r="AA1" s="4"/>
      <c r="AB1" s="4"/>
      <c r="AC1" s="4"/>
      <c r="AD1" s="4"/>
      <c r="AE1" s="4"/>
    </row>
    <row r="2" spans="1:37" ht="24" customHeight="1">
      <c r="B2" s="5" t="s">
        <v>2091</v>
      </c>
      <c r="E2" s="1" t="s">
        <v>992</v>
      </c>
      <c r="H2" s="2" t="s">
        <v>664</v>
      </c>
      <c r="O2" s="2" t="s">
        <v>664</v>
      </c>
      <c r="U2" s="1577" t="s">
        <v>332</v>
      </c>
      <c r="V2" s="1578"/>
      <c r="W2" s="1578"/>
      <c r="X2" s="1578"/>
    </row>
    <row r="3" spans="1:37" ht="24" customHeight="1">
      <c r="A3" s="1" t="s">
        <v>1614</v>
      </c>
      <c r="B3" s="377" t="s">
        <v>5283</v>
      </c>
      <c r="C3" s="1" t="s">
        <v>5623</v>
      </c>
      <c r="E3" s="1" t="s">
        <v>992</v>
      </c>
      <c r="F3" s="41" t="s">
        <v>1614</v>
      </c>
      <c r="G3" s="7" t="s">
        <v>992</v>
      </c>
      <c r="H3" s="38" t="str">
        <f>B3</f>
        <v>Chennai</v>
      </c>
      <c r="J3" s="33" t="str">
        <f>C3</f>
        <v>2022-2023</v>
      </c>
      <c r="M3" s="1" t="s">
        <v>1614</v>
      </c>
      <c r="N3" s="1" t="s">
        <v>992</v>
      </c>
      <c r="O3" s="8" t="str">
        <f>B3</f>
        <v>Chennai</v>
      </c>
      <c r="Q3" s="8" t="str">
        <f>C3</f>
        <v>2022-2023</v>
      </c>
      <c r="T3" s="1" t="s">
        <v>1614</v>
      </c>
      <c r="U3" s="8" t="str">
        <f>O3</f>
        <v>Chennai</v>
      </c>
      <c r="W3" s="999" t="str">
        <f>C3</f>
        <v>2022-2023</v>
      </c>
      <c r="AA3" s="1"/>
    </row>
    <row r="4" spans="1:37" ht="24" customHeight="1">
      <c r="F4" s="5" t="s">
        <v>1615</v>
      </c>
      <c r="G4" s="5" t="s">
        <v>1615</v>
      </c>
      <c r="H4" s="5" t="s">
        <v>1615</v>
      </c>
      <c r="I4" s="5" t="s">
        <v>1615</v>
      </c>
      <c r="J4" s="5" t="s">
        <v>1615</v>
      </c>
      <c r="K4" s="5" t="s">
        <v>1615</v>
      </c>
      <c r="M4" s="5" t="s">
        <v>1615</v>
      </c>
      <c r="N4" s="5" t="s">
        <v>1615</v>
      </c>
      <c r="O4" s="5" t="s">
        <v>1615</v>
      </c>
      <c r="P4" s="5" t="s">
        <v>1615</v>
      </c>
      <c r="Q4" s="5" t="s">
        <v>1615</v>
      </c>
      <c r="R4" s="5" t="s">
        <v>1615</v>
      </c>
      <c r="U4" s="1" t="s">
        <v>992</v>
      </c>
      <c r="W4" s="2" t="s">
        <v>992</v>
      </c>
      <c r="X4" s="1" t="s">
        <v>252</v>
      </c>
      <c r="Y4" s="1"/>
      <c r="AC4" s="1" t="s">
        <v>992</v>
      </c>
      <c r="AG4" s="1" t="s">
        <v>1616</v>
      </c>
    </row>
    <row r="5" spans="1:37" ht="24" customHeight="1">
      <c r="A5" s="5" t="s">
        <v>1615</v>
      </c>
      <c r="B5" s="5" t="s">
        <v>1615</v>
      </c>
      <c r="C5" s="5" t="s">
        <v>1615</v>
      </c>
      <c r="D5" s="5" t="s">
        <v>1615</v>
      </c>
      <c r="E5" s="1" t="s">
        <v>992</v>
      </c>
      <c r="F5" s="41" t="s">
        <v>1617</v>
      </c>
      <c r="G5" s="7" t="s">
        <v>992</v>
      </c>
      <c r="H5" s="58" t="s">
        <v>1618</v>
      </c>
      <c r="I5" s="58" t="s">
        <v>1619</v>
      </c>
      <c r="J5" s="58" t="s">
        <v>1620</v>
      </c>
      <c r="K5" s="58" t="s">
        <v>1621</v>
      </c>
      <c r="M5" s="2" t="s">
        <v>1617</v>
      </c>
      <c r="N5" s="1" t="s">
        <v>992</v>
      </c>
      <c r="O5" s="2" t="s">
        <v>1618</v>
      </c>
      <c r="P5" s="2" t="s">
        <v>1619</v>
      </c>
      <c r="Q5" s="2" t="s">
        <v>1620</v>
      </c>
      <c r="R5" s="2" t="s">
        <v>1621</v>
      </c>
      <c r="T5" s="5"/>
      <c r="U5" s="5" t="s">
        <v>1615</v>
      </c>
      <c r="V5" s="5" t="s">
        <v>1615</v>
      </c>
      <c r="W5" s="2" t="s">
        <v>1615</v>
      </c>
      <c r="X5" s="5" t="s">
        <v>1615</v>
      </c>
      <c r="Y5" s="5" t="s">
        <v>1615</v>
      </c>
      <c r="Z5" s="5" t="s">
        <v>1615</v>
      </c>
      <c r="AA5" s="5" t="s">
        <v>1615</v>
      </c>
      <c r="AB5" s="5" t="s">
        <v>1615</v>
      </c>
      <c r="AC5" s="5" t="s">
        <v>1615</v>
      </c>
      <c r="AD5" s="5" t="s">
        <v>1615</v>
      </c>
      <c r="AE5" s="5" t="s">
        <v>1615</v>
      </c>
    </row>
    <row r="6" spans="1:37" ht="24" customHeight="1">
      <c r="A6" s="1" t="s">
        <v>707</v>
      </c>
      <c r="B6" s="1" t="s">
        <v>1618</v>
      </c>
      <c r="C6" s="1" t="s">
        <v>1619</v>
      </c>
      <c r="D6" s="1" t="s">
        <v>1620</v>
      </c>
      <c r="F6" s="5" t="s">
        <v>1615</v>
      </c>
      <c r="G6" s="5" t="s">
        <v>1615</v>
      </c>
      <c r="H6" s="5" t="s">
        <v>1615</v>
      </c>
      <c r="I6" s="5" t="s">
        <v>1615</v>
      </c>
      <c r="J6" s="5" t="s">
        <v>1615</v>
      </c>
      <c r="K6" s="5" t="s">
        <v>1615</v>
      </c>
      <c r="M6" s="5" t="s">
        <v>1615</v>
      </c>
      <c r="N6" s="5" t="s">
        <v>1615</v>
      </c>
      <c r="O6" s="5" t="s">
        <v>1615</v>
      </c>
      <c r="P6" s="5" t="s">
        <v>1615</v>
      </c>
      <c r="Q6" s="5" t="s">
        <v>1615</v>
      </c>
      <c r="R6" s="5" t="s">
        <v>1615</v>
      </c>
      <c r="T6" s="2" t="s">
        <v>707</v>
      </c>
      <c r="U6" s="2" t="s">
        <v>57</v>
      </c>
      <c r="V6" s="2" t="s">
        <v>2282</v>
      </c>
      <c r="W6" s="2" t="s">
        <v>2283</v>
      </c>
      <c r="X6" s="2" t="s">
        <v>2284</v>
      </c>
      <c r="Y6" s="2" t="s">
        <v>2285</v>
      </c>
      <c r="Z6" s="2" t="s">
        <v>2286</v>
      </c>
      <c r="AA6" s="786" t="s">
        <v>1103</v>
      </c>
      <c r="AB6" s="1" t="s">
        <v>2287</v>
      </c>
      <c r="AC6" s="1" t="s">
        <v>2288</v>
      </c>
      <c r="AD6" s="2" t="s">
        <v>2289</v>
      </c>
    </row>
    <row r="7" spans="1:37" ht="24" customHeight="1">
      <c r="A7" s="5" t="s">
        <v>1615</v>
      </c>
      <c r="B7" s="5" t="s">
        <v>1615</v>
      </c>
      <c r="C7" s="5" t="s">
        <v>1615</v>
      </c>
      <c r="D7" s="5" t="s">
        <v>1615</v>
      </c>
      <c r="G7" s="7" t="s">
        <v>2290</v>
      </c>
      <c r="H7" s="1" t="s">
        <v>2291</v>
      </c>
      <c r="O7" s="1" t="s">
        <v>2292</v>
      </c>
      <c r="W7" s="4"/>
      <c r="X7" s="2" t="s">
        <v>2293</v>
      </c>
      <c r="Y7" s="2" t="s">
        <v>2288</v>
      </c>
      <c r="Z7" s="2" t="s">
        <v>2294</v>
      </c>
      <c r="AA7" s="786" t="s">
        <v>993</v>
      </c>
      <c r="AB7" s="1" t="s">
        <v>2295</v>
      </c>
      <c r="AC7" s="1" t="s">
        <v>2296</v>
      </c>
      <c r="AE7" s="791"/>
    </row>
    <row r="8" spans="1:37" ht="24" customHeight="1">
      <c r="B8" s="1" t="s">
        <v>2297</v>
      </c>
      <c r="H8" s="5" t="s">
        <v>1615</v>
      </c>
      <c r="O8" s="5" t="s">
        <v>1615</v>
      </c>
      <c r="T8" s="5" t="s">
        <v>1615</v>
      </c>
      <c r="U8" s="5" t="s">
        <v>1615</v>
      </c>
      <c r="V8" s="5" t="s">
        <v>1615</v>
      </c>
      <c r="W8" s="2" t="s">
        <v>1615</v>
      </c>
      <c r="X8" s="5" t="s">
        <v>1615</v>
      </c>
      <c r="Y8" s="5" t="s">
        <v>1615</v>
      </c>
      <c r="Z8" s="5" t="s">
        <v>1615</v>
      </c>
      <c r="AA8" s="787" t="s">
        <v>1104</v>
      </c>
      <c r="AB8" s="5" t="s">
        <v>1615</v>
      </c>
      <c r="AC8" s="5" t="s">
        <v>1615</v>
      </c>
      <c r="AD8" s="5" t="s">
        <v>1615</v>
      </c>
      <c r="AE8" s="5" t="s">
        <v>1615</v>
      </c>
      <c r="AG8" s="379" t="s">
        <v>5797</v>
      </c>
      <c r="AH8" s="379" t="s">
        <v>938</v>
      </c>
      <c r="AI8" s="380" t="s">
        <v>939</v>
      </c>
      <c r="AJ8" s="380" t="s">
        <v>940</v>
      </c>
      <c r="AK8" s="380" t="s">
        <v>1887</v>
      </c>
    </row>
    <row r="9" spans="1:37" ht="24" customHeight="1">
      <c r="B9" s="1" t="s">
        <v>876</v>
      </c>
      <c r="F9" s="8">
        <v>0.96</v>
      </c>
      <c r="G9" s="7" t="s">
        <v>877</v>
      </c>
      <c r="H9" s="1" t="s">
        <v>878</v>
      </c>
      <c r="I9" s="8">
        <f>(C67)</f>
        <v>6040</v>
      </c>
      <c r="J9" s="1" t="s">
        <v>877</v>
      </c>
      <c r="K9" s="8">
        <f>(F9*I9)</f>
        <v>5798.4</v>
      </c>
      <c r="M9" s="8">
        <v>0.5</v>
      </c>
      <c r="N9" s="1" t="s">
        <v>877</v>
      </c>
      <c r="O9" s="1" t="s">
        <v>879</v>
      </c>
      <c r="P9" s="8">
        <f>(C85)</f>
        <v>1098.52</v>
      </c>
      <c r="Q9" s="1" t="s">
        <v>877</v>
      </c>
      <c r="R9" s="8">
        <f>(M9*P9)</f>
        <v>549.26</v>
      </c>
      <c r="T9" s="2" t="s">
        <v>880</v>
      </c>
      <c r="U9" s="1" t="s">
        <v>5624</v>
      </c>
      <c r="V9" s="1" t="s">
        <v>882</v>
      </c>
      <c r="W9" s="1000" t="s">
        <v>2526</v>
      </c>
      <c r="X9" s="8">
        <f>'lead  charge'!D12</f>
        <v>23</v>
      </c>
      <c r="Y9" s="419">
        <v>449.4</v>
      </c>
      <c r="Z9" s="788">
        <f>'lead  charge'!E12</f>
        <v>237.69</v>
      </c>
      <c r="AA9" s="2"/>
      <c r="AB9" s="1">
        <v>0</v>
      </c>
      <c r="AC9" s="1">
        <f>SUM(Y9+Z9+AA9+AB9)</f>
        <v>687.09</v>
      </c>
      <c r="AD9" s="1" t="s">
        <v>5844</v>
      </c>
      <c r="AE9" s="439">
        <f>AG9</f>
        <v>1041.7</v>
      </c>
      <c r="AF9" s="419">
        <v>947</v>
      </c>
      <c r="AG9" s="8">
        <f>AF9*1.1</f>
        <v>1041.7</v>
      </c>
      <c r="AH9">
        <f>AF9*1.2</f>
        <v>1136.4000000000001</v>
      </c>
      <c r="AI9">
        <f>AF9*1.5</f>
        <v>1420.5</v>
      </c>
      <c r="AJ9">
        <f>AF9*1.05</f>
        <v>994.35</v>
      </c>
      <c r="AK9">
        <f>AF9*1.25</f>
        <v>1183.75</v>
      </c>
    </row>
    <row r="10" spans="1:37" ht="24" customHeight="1">
      <c r="A10" s="218">
        <v>1</v>
      </c>
      <c r="B10" s="522" t="s">
        <v>883</v>
      </c>
      <c r="C10" s="220">
        <f>AE9</f>
        <v>1041.7</v>
      </c>
      <c r="D10" s="219" t="s">
        <v>884</v>
      </c>
      <c r="F10" s="8">
        <v>1</v>
      </c>
      <c r="G10" s="7" t="s">
        <v>885</v>
      </c>
      <c r="H10" s="1" t="s">
        <v>886</v>
      </c>
      <c r="I10" s="8">
        <f>(C78)</f>
        <v>1608.7</v>
      </c>
      <c r="J10" s="1" t="s">
        <v>885</v>
      </c>
      <c r="K10" s="8">
        <f>(F10*I10)</f>
        <v>1608.7</v>
      </c>
      <c r="M10" s="8">
        <v>1</v>
      </c>
      <c r="N10" s="1" t="s">
        <v>885</v>
      </c>
      <c r="O10" s="1" t="s">
        <v>886</v>
      </c>
      <c r="P10" s="8">
        <f>(C78)</f>
        <v>1608.7</v>
      </c>
      <c r="Q10" s="1" t="s">
        <v>885</v>
      </c>
      <c r="R10" s="8">
        <f>(M10*P10)</f>
        <v>1608.7</v>
      </c>
      <c r="T10" s="2" t="s">
        <v>887</v>
      </c>
      <c r="U10" s="1" t="s">
        <v>5625</v>
      </c>
      <c r="V10" s="1" t="s">
        <v>882</v>
      </c>
      <c r="W10" s="1000" t="str">
        <f>W9</f>
        <v>Nallambakkam</v>
      </c>
      <c r="X10" s="8">
        <f>'lead  charge'!D12</f>
        <v>23</v>
      </c>
      <c r="Y10" s="419">
        <v>648.4</v>
      </c>
      <c r="Z10" s="788">
        <f>Z9</f>
        <v>237.69</v>
      </c>
      <c r="AA10" s="2"/>
      <c r="AB10" s="10">
        <v>0</v>
      </c>
      <c r="AC10" s="1">
        <f t="shared" ref="AC10:AC36" si="0">SUM(Y10+Z10+AA10+AB10)</f>
        <v>886.09</v>
      </c>
      <c r="AD10" s="1" t="s">
        <v>5845</v>
      </c>
      <c r="AE10" s="439">
        <f t="shared" ref="AE10:AE73" si="1">AG10</f>
        <v>972.4</v>
      </c>
      <c r="AF10" s="419">
        <v>884</v>
      </c>
      <c r="AG10" s="8">
        <f t="shared" ref="AG10:AG73" si="2">AF10*1.1</f>
        <v>972.4</v>
      </c>
      <c r="AH10">
        <f t="shared" ref="AH10:AH73" si="3">AF10*1.2</f>
        <v>1060.8</v>
      </c>
      <c r="AI10">
        <f t="shared" ref="AI10:AI73" si="4">AF10*1.5</f>
        <v>1326</v>
      </c>
      <c r="AJ10">
        <f t="shared" ref="AJ10:AJ73" si="5">AF10*1.05</f>
        <v>928.2</v>
      </c>
      <c r="AK10">
        <f t="shared" ref="AK10:AK73" si="6">AF10*1.25</f>
        <v>1105</v>
      </c>
    </row>
    <row r="11" spans="1:37" ht="24" customHeight="1">
      <c r="A11" s="218">
        <f t="shared" ref="A11:A35" si="7">(A10+1)</f>
        <v>2</v>
      </c>
      <c r="B11" s="522" t="s">
        <v>889</v>
      </c>
      <c r="C11" s="220">
        <f>AE10</f>
        <v>972.4</v>
      </c>
      <c r="D11" s="219">
        <f>AE9</f>
        <v>1041.7</v>
      </c>
      <c r="F11" s="8">
        <v>1</v>
      </c>
      <c r="G11" s="7" t="s">
        <v>885</v>
      </c>
      <c r="H11" s="1" t="s">
        <v>890</v>
      </c>
      <c r="I11" s="8">
        <f>(C18)</f>
        <v>121</v>
      </c>
      <c r="J11" s="1" t="s">
        <v>885</v>
      </c>
      <c r="K11" s="8">
        <f>(F11*I11)</f>
        <v>121</v>
      </c>
      <c r="M11" s="8">
        <v>1</v>
      </c>
      <c r="N11" s="1" t="s">
        <v>885</v>
      </c>
      <c r="O11" s="1" t="s">
        <v>891</v>
      </c>
      <c r="P11" s="8">
        <f>(C64)</f>
        <v>266</v>
      </c>
      <c r="Q11" s="1" t="s">
        <v>885</v>
      </c>
      <c r="R11" s="8">
        <f>(M11*P11)</f>
        <v>266</v>
      </c>
      <c r="T11" s="2" t="s">
        <v>892</v>
      </c>
      <c r="U11" s="1" t="s">
        <v>5626</v>
      </c>
      <c r="V11" s="1" t="s">
        <v>882</v>
      </c>
      <c r="W11" s="1000" t="s">
        <v>2555</v>
      </c>
      <c r="X11" s="8">
        <f>'lead  charge'!D10:D10</f>
        <v>23</v>
      </c>
      <c r="Y11" s="419">
        <f>ROUND((609+677+1001)/3,2)</f>
        <v>762.33</v>
      </c>
      <c r="Z11" s="788">
        <f>'lead  charge'!E10</f>
        <v>237.69</v>
      </c>
      <c r="AA11" s="2"/>
      <c r="AB11" s="10">
        <v>0</v>
      </c>
      <c r="AC11" s="1">
        <f t="shared" si="0"/>
        <v>1000.02</v>
      </c>
      <c r="AD11" s="1" t="s">
        <v>5848</v>
      </c>
      <c r="AE11" s="439">
        <f t="shared" si="1"/>
        <v>679.8</v>
      </c>
      <c r="AF11" s="419">
        <v>618</v>
      </c>
      <c r="AG11" s="8">
        <f t="shared" si="2"/>
        <v>679.8</v>
      </c>
      <c r="AH11">
        <f t="shared" si="3"/>
        <v>741.6</v>
      </c>
      <c r="AI11">
        <f t="shared" si="4"/>
        <v>927</v>
      </c>
      <c r="AJ11">
        <f t="shared" si="5"/>
        <v>648.9</v>
      </c>
      <c r="AK11">
        <f t="shared" si="6"/>
        <v>772.5</v>
      </c>
    </row>
    <row r="12" spans="1:37" ht="24" customHeight="1">
      <c r="A12" s="218">
        <f t="shared" si="7"/>
        <v>3</v>
      </c>
      <c r="B12" s="522" t="s">
        <v>454</v>
      </c>
      <c r="C12" s="220">
        <f>AE11</f>
        <v>679.8</v>
      </c>
      <c r="D12" s="219" t="s">
        <v>884</v>
      </c>
      <c r="G12" s="7" t="s">
        <v>455</v>
      </c>
      <c r="H12" s="1" t="s">
        <v>456</v>
      </c>
      <c r="I12" s="1" t="s">
        <v>992</v>
      </c>
      <c r="J12" s="1" t="s">
        <v>455</v>
      </c>
      <c r="K12" s="8">
        <v>0</v>
      </c>
      <c r="N12" s="1" t="s">
        <v>455</v>
      </c>
      <c r="O12" s="1" t="s">
        <v>456</v>
      </c>
      <c r="P12" s="1" t="s">
        <v>992</v>
      </c>
      <c r="Q12" s="1" t="s">
        <v>455</v>
      </c>
      <c r="R12" s="8">
        <v>0</v>
      </c>
      <c r="T12" s="2" t="s">
        <v>457</v>
      </c>
      <c r="U12" s="1" t="s">
        <v>1535</v>
      </c>
      <c r="V12" s="1" t="s">
        <v>882</v>
      </c>
      <c r="W12" s="1000" t="s">
        <v>2555</v>
      </c>
      <c r="X12" s="8">
        <f>X11</f>
        <v>23</v>
      </c>
      <c r="Y12" s="419">
        <v>1001</v>
      </c>
      <c r="Z12" s="788">
        <f>Z11</f>
        <v>237.69</v>
      </c>
      <c r="AA12" s="2"/>
      <c r="AB12" s="10">
        <v>0</v>
      </c>
      <c r="AC12" s="1">
        <f t="shared" si="0"/>
        <v>1238.69</v>
      </c>
      <c r="AD12" s="1" t="s">
        <v>5849</v>
      </c>
      <c r="AE12" s="439">
        <f t="shared" si="1"/>
        <v>557.70000000000005</v>
      </c>
      <c r="AF12" s="419">
        <v>507</v>
      </c>
      <c r="AG12" s="8">
        <f t="shared" si="2"/>
        <v>557.70000000000005</v>
      </c>
      <c r="AH12">
        <f t="shared" si="3"/>
        <v>608.4</v>
      </c>
      <c r="AI12">
        <f t="shared" si="4"/>
        <v>760.5</v>
      </c>
      <c r="AJ12">
        <f t="shared" si="5"/>
        <v>532.35</v>
      </c>
      <c r="AK12">
        <f t="shared" si="6"/>
        <v>633.75</v>
      </c>
    </row>
    <row r="13" spans="1:37" ht="24" customHeight="1">
      <c r="A13" s="218">
        <f t="shared" si="7"/>
        <v>4</v>
      </c>
      <c r="B13" s="522" t="s">
        <v>1537</v>
      </c>
      <c r="C13" s="220">
        <f>AE12</f>
        <v>557.70000000000005</v>
      </c>
      <c r="D13" s="219" t="s">
        <v>884</v>
      </c>
      <c r="K13" s="5" t="s">
        <v>1615</v>
      </c>
      <c r="R13" s="5" t="s">
        <v>1615</v>
      </c>
      <c r="T13" s="2" t="s">
        <v>1538</v>
      </c>
      <c r="U13" s="1" t="s">
        <v>1539</v>
      </c>
      <c r="V13" s="1" t="s">
        <v>882</v>
      </c>
      <c r="W13" s="1000" t="s">
        <v>2555</v>
      </c>
      <c r="X13" s="8">
        <f>X11</f>
        <v>23</v>
      </c>
      <c r="Y13" s="419">
        <v>1362</v>
      </c>
      <c r="Z13" s="788">
        <f>Z12</f>
        <v>237.69</v>
      </c>
      <c r="AA13" s="2"/>
      <c r="AB13" s="10">
        <v>0</v>
      </c>
      <c r="AC13" s="1">
        <f t="shared" si="0"/>
        <v>1599.69</v>
      </c>
      <c r="AD13" s="1" t="s">
        <v>5846</v>
      </c>
      <c r="AE13" s="439">
        <f t="shared" si="1"/>
        <v>831.6</v>
      </c>
      <c r="AF13" s="419">
        <v>756</v>
      </c>
      <c r="AG13" s="8">
        <f t="shared" si="2"/>
        <v>831.6</v>
      </c>
      <c r="AH13">
        <f t="shared" si="3"/>
        <v>907.2</v>
      </c>
      <c r="AI13">
        <f t="shared" si="4"/>
        <v>1134</v>
      </c>
      <c r="AJ13">
        <f t="shared" si="5"/>
        <v>793.8</v>
      </c>
      <c r="AK13">
        <f t="shared" si="6"/>
        <v>945</v>
      </c>
    </row>
    <row r="14" spans="1:37" ht="24" customHeight="1">
      <c r="A14" s="218">
        <f t="shared" si="7"/>
        <v>5</v>
      </c>
      <c r="B14" s="522" t="s">
        <v>1541</v>
      </c>
      <c r="C14" s="220">
        <f>AE13</f>
        <v>831.6</v>
      </c>
      <c r="D14" s="220">
        <f>AE14</f>
        <v>805.2</v>
      </c>
      <c r="H14" s="1" t="s">
        <v>1542</v>
      </c>
      <c r="K14" s="38">
        <f>SUM(K9:K12)</f>
        <v>7528.1</v>
      </c>
      <c r="N14" s="8">
        <f>SUM(K9:K12)</f>
        <v>7528.1</v>
      </c>
      <c r="O14" s="1" t="s">
        <v>1542</v>
      </c>
      <c r="R14" s="8">
        <f>SUM(R9:R12)</f>
        <v>2423.96</v>
      </c>
      <c r="T14" s="2" t="s">
        <v>2044</v>
      </c>
      <c r="U14" s="1" t="s">
        <v>114</v>
      </c>
      <c r="V14" s="1" t="s">
        <v>882</v>
      </c>
      <c r="W14" s="1000" t="s">
        <v>2555</v>
      </c>
      <c r="X14" s="8">
        <f>X11</f>
        <v>23</v>
      </c>
      <c r="Y14" s="419">
        <v>1467</v>
      </c>
      <c r="Z14" s="788">
        <f>Z13</f>
        <v>237.69</v>
      </c>
      <c r="AA14" s="2"/>
      <c r="AB14" s="10">
        <v>0</v>
      </c>
      <c r="AC14" s="1">
        <f t="shared" si="0"/>
        <v>1704.69</v>
      </c>
      <c r="AD14" s="1" t="s">
        <v>5850</v>
      </c>
      <c r="AE14" s="439">
        <f t="shared" si="1"/>
        <v>805.2</v>
      </c>
      <c r="AF14" s="419">
        <v>732</v>
      </c>
      <c r="AG14" s="8">
        <f t="shared" si="2"/>
        <v>805.2</v>
      </c>
      <c r="AH14">
        <f t="shared" si="3"/>
        <v>878.4</v>
      </c>
      <c r="AI14">
        <f t="shared" si="4"/>
        <v>1098</v>
      </c>
      <c r="AJ14">
        <f t="shared" si="5"/>
        <v>768.6</v>
      </c>
      <c r="AK14">
        <f t="shared" si="6"/>
        <v>915</v>
      </c>
    </row>
    <row r="15" spans="1:37" ht="24" customHeight="1">
      <c r="A15" s="218">
        <f t="shared" si="7"/>
        <v>6</v>
      </c>
      <c r="B15" s="522" t="s">
        <v>116</v>
      </c>
      <c r="C15" s="220">
        <f>AE15</f>
        <v>903.1</v>
      </c>
      <c r="D15" s="219" t="s">
        <v>884</v>
      </c>
      <c r="K15" s="5" t="s">
        <v>1615</v>
      </c>
      <c r="R15" s="5" t="s">
        <v>1615</v>
      </c>
      <c r="T15" s="2" t="s">
        <v>117</v>
      </c>
      <c r="U15" s="1" t="s">
        <v>118</v>
      </c>
      <c r="V15" s="1" t="s">
        <v>882</v>
      </c>
      <c r="W15" s="1000" t="s">
        <v>2555</v>
      </c>
      <c r="X15" s="8">
        <f>X11</f>
        <v>23</v>
      </c>
      <c r="Y15" s="419">
        <v>1054</v>
      </c>
      <c r="Z15" s="788">
        <f>Z14</f>
        <v>237.69</v>
      </c>
      <c r="AA15" s="2"/>
      <c r="AB15" s="10">
        <v>0</v>
      </c>
      <c r="AC15" s="1">
        <f t="shared" si="0"/>
        <v>1291.69</v>
      </c>
      <c r="AD15" s="1" t="s">
        <v>5847</v>
      </c>
      <c r="AE15" s="439">
        <f t="shared" si="1"/>
        <v>903.1</v>
      </c>
      <c r="AF15" s="419">
        <v>821</v>
      </c>
      <c r="AG15" s="8">
        <f t="shared" si="2"/>
        <v>903.1</v>
      </c>
      <c r="AH15">
        <f t="shared" si="3"/>
        <v>985.2</v>
      </c>
      <c r="AI15">
        <f t="shared" si="4"/>
        <v>1231.5</v>
      </c>
      <c r="AJ15">
        <f t="shared" si="5"/>
        <v>862.05</v>
      </c>
      <c r="AK15">
        <f t="shared" si="6"/>
        <v>1026.25</v>
      </c>
    </row>
    <row r="16" spans="1:37" ht="24" customHeight="1">
      <c r="A16" s="218">
        <f t="shared" si="7"/>
        <v>7</v>
      </c>
      <c r="B16" s="522" t="s">
        <v>120</v>
      </c>
      <c r="C16" s="220">
        <f>AE19</f>
        <v>1018.6</v>
      </c>
      <c r="D16" s="220">
        <f>AE20</f>
        <v>972.4</v>
      </c>
      <c r="G16" s="7" t="s">
        <v>2290</v>
      </c>
      <c r="H16" s="1" t="s">
        <v>121</v>
      </c>
      <c r="N16" s="1" t="s">
        <v>2290</v>
      </c>
      <c r="O16" s="1" t="s">
        <v>122</v>
      </c>
      <c r="T16" s="2" t="s">
        <v>123</v>
      </c>
      <c r="U16" s="1" t="s">
        <v>4766</v>
      </c>
      <c r="V16" s="1" t="s">
        <v>882</v>
      </c>
      <c r="W16" s="1000" t="s">
        <v>309</v>
      </c>
      <c r="X16" s="8">
        <f>'lead  charge'!D11</f>
        <v>30</v>
      </c>
      <c r="Y16" s="436">
        <v>1312</v>
      </c>
      <c r="Z16" s="788">
        <f>'lead  charge'!E11</f>
        <v>296.7</v>
      </c>
      <c r="AA16" s="2"/>
      <c r="AB16" s="10">
        <v>0</v>
      </c>
      <c r="AC16" s="1">
        <f t="shared" si="0"/>
        <v>1608.7</v>
      </c>
      <c r="AD16" s="1" t="s">
        <v>5851</v>
      </c>
      <c r="AE16" s="439">
        <f t="shared" si="1"/>
        <v>875.6</v>
      </c>
      <c r="AF16" s="419">
        <v>796</v>
      </c>
      <c r="AG16" s="8">
        <f t="shared" si="2"/>
        <v>875.6</v>
      </c>
      <c r="AH16">
        <f t="shared" si="3"/>
        <v>955.2</v>
      </c>
      <c r="AI16">
        <f t="shared" si="4"/>
        <v>1194</v>
      </c>
      <c r="AJ16">
        <f t="shared" si="5"/>
        <v>835.8</v>
      </c>
      <c r="AK16">
        <f t="shared" si="6"/>
        <v>995</v>
      </c>
    </row>
    <row r="17" spans="1:37" ht="24" customHeight="1">
      <c r="A17" s="218">
        <f t="shared" si="7"/>
        <v>8</v>
      </c>
      <c r="B17" s="522" t="s">
        <v>4186</v>
      </c>
      <c r="C17" s="220">
        <f>AE17</f>
        <v>919.6</v>
      </c>
      <c r="D17" s="220">
        <f>AE18</f>
        <v>893.2</v>
      </c>
      <c r="H17" s="5" t="s">
        <v>1615</v>
      </c>
      <c r="O17" s="1" t="s">
        <v>1053</v>
      </c>
      <c r="T17" s="2" t="s">
        <v>1054</v>
      </c>
      <c r="U17" s="1" t="s">
        <v>5627</v>
      </c>
      <c r="V17" s="1" t="s">
        <v>882</v>
      </c>
      <c r="W17" s="1000" t="s">
        <v>309</v>
      </c>
      <c r="X17" s="8">
        <f>X16</f>
        <v>30</v>
      </c>
      <c r="Y17" s="436">
        <f>Y16</f>
        <v>1312</v>
      </c>
      <c r="Z17" s="788">
        <f>Z16</f>
        <v>296.7</v>
      </c>
      <c r="AA17" s="2"/>
      <c r="AB17" s="10">
        <v>0</v>
      </c>
      <c r="AC17" s="1">
        <f t="shared" si="0"/>
        <v>1608.7</v>
      </c>
      <c r="AD17" s="1" t="s">
        <v>5852</v>
      </c>
      <c r="AE17" s="439">
        <f t="shared" si="1"/>
        <v>919.6</v>
      </c>
      <c r="AF17" s="419">
        <v>836</v>
      </c>
      <c r="AG17" s="8">
        <f t="shared" si="2"/>
        <v>919.6</v>
      </c>
      <c r="AH17">
        <f t="shared" si="3"/>
        <v>1003.2</v>
      </c>
      <c r="AI17">
        <f t="shared" si="4"/>
        <v>1254</v>
      </c>
      <c r="AJ17">
        <f t="shared" si="5"/>
        <v>877.8</v>
      </c>
      <c r="AK17">
        <f t="shared" si="6"/>
        <v>1045</v>
      </c>
    </row>
    <row r="18" spans="1:37" ht="24" customHeight="1">
      <c r="A18" s="218">
        <f t="shared" si="7"/>
        <v>9</v>
      </c>
      <c r="B18" s="522" t="s">
        <v>4187</v>
      </c>
      <c r="C18" s="220">
        <f>AE24</f>
        <v>121</v>
      </c>
      <c r="D18" s="219" t="s">
        <v>1058</v>
      </c>
      <c r="F18" s="8">
        <v>0.72</v>
      </c>
      <c r="G18" s="7" t="s">
        <v>877</v>
      </c>
      <c r="H18" s="1" t="s">
        <v>878</v>
      </c>
      <c r="I18" s="8">
        <f>(C67)</f>
        <v>6040</v>
      </c>
      <c r="J18" s="1" t="s">
        <v>877</v>
      </c>
      <c r="K18" s="8">
        <f>(F18*I18)</f>
        <v>4348.8</v>
      </c>
      <c r="O18" s="1" t="s">
        <v>1469</v>
      </c>
      <c r="T18" s="2" t="s">
        <v>1470</v>
      </c>
      <c r="U18" s="1" t="s">
        <v>5628</v>
      </c>
      <c r="V18" s="1" t="s">
        <v>1471</v>
      </c>
      <c r="W18" s="1000" t="s">
        <v>4827</v>
      </c>
      <c r="X18" s="8">
        <f>'lead  charge'!G10</f>
        <v>22</v>
      </c>
      <c r="Y18" s="419">
        <v>5709</v>
      </c>
      <c r="Z18" s="788">
        <f>'lead  charge'!H10</f>
        <v>193.5</v>
      </c>
      <c r="AA18" s="2"/>
      <c r="AB18" s="10">
        <v>0</v>
      </c>
      <c r="AC18" s="1">
        <f t="shared" si="0"/>
        <v>5902.5</v>
      </c>
      <c r="AD18" s="1" t="s">
        <v>5853</v>
      </c>
      <c r="AE18" s="439">
        <f t="shared" si="1"/>
        <v>893.2</v>
      </c>
      <c r="AF18" s="419">
        <v>812</v>
      </c>
      <c r="AG18" s="8">
        <f t="shared" si="2"/>
        <v>893.2</v>
      </c>
      <c r="AH18">
        <f t="shared" si="3"/>
        <v>974.4</v>
      </c>
      <c r="AI18">
        <f t="shared" si="4"/>
        <v>1218</v>
      </c>
      <c r="AJ18">
        <f t="shared" si="5"/>
        <v>852.6</v>
      </c>
      <c r="AK18">
        <f t="shared" si="6"/>
        <v>1015</v>
      </c>
    </row>
    <row r="19" spans="1:37" ht="24" customHeight="1">
      <c r="A19" s="218">
        <f t="shared" si="7"/>
        <v>10</v>
      </c>
      <c r="B19" s="522" t="s">
        <v>4774</v>
      </c>
      <c r="C19" s="439">
        <f t="shared" ref="C19:C24" si="8">AE41</f>
        <v>82.28</v>
      </c>
      <c r="D19" s="219" t="s">
        <v>885</v>
      </c>
      <c r="F19" s="8">
        <v>1</v>
      </c>
      <c r="G19" s="7" t="s">
        <v>885</v>
      </c>
      <c r="H19" s="1" t="s">
        <v>886</v>
      </c>
      <c r="I19" s="8">
        <f>I36</f>
        <v>1608.7</v>
      </c>
      <c r="J19" s="1" t="s">
        <v>885</v>
      </c>
      <c r="K19" s="8">
        <f>(F19*I19)</f>
        <v>1608.7</v>
      </c>
      <c r="O19" s="1" t="s">
        <v>73</v>
      </c>
      <c r="T19" s="2" t="s">
        <v>74</v>
      </c>
      <c r="U19" s="1" t="s">
        <v>5629</v>
      </c>
      <c r="V19" s="1" t="s">
        <v>885</v>
      </c>
      <c r="W19" s="1000" t="str">
        <f>W18</f>
        <v>Nerkunram</v>
      </c>
      <c r="X19" s="8">
        <f>'lead  charge'!P10</f>
        <v>22</v>
      </c>
      <c r="Y19" s="419">
        <v>705</v>
      </c>
      <c r="Z19" s="789">
        <f>'lead  charge'!Q10</f>
        <v>157.5</v>
      </c>
      <c r="AA19" s="2"/>
      <c r="AB19" s="10">
        <v>0</v>
      </c>
      <c r="AC19" s="1">
        <f t="shared" si="0"/>
        <v>862.5</v>
      </c>
      <c r="AD19" s="1" t="s">
        <v>5854</v>
      </c>
      <c r="AE19" s="439">
        <f t="shared" si="1"/>
        <v>1018.6</v>
      </c>
      <c r="AF19" s="419">
        <v>926</v>
      </c>
      <c r="AG19" s="8">
        <f t="shared" si="2"/>
        <v>1018.6</v>
      </c>
      <c r="AH19">
        <f t="shared" si="3"/>
        <v>1111.2</v>
      </c>
      <c r="AI19">
        <f t="shared" si="4"/>
        <v>1389</v>
      </c>
      <c r="AJ19">
        <f t="shared" si="5"/>
        <v>972.3</v>
      </c>
      <c r="AK19">
        <f t="shared" si="6"/>
        <v>1157.5</v>
      </c>
    </row>
    <row r="20" spans="1:37" ht="24" customHeight="1">
      <c r="A20" s="218">
        <f t="shared" si="7"/>
        <v>11</v>
      </c>
      <c r="B20" s="522" t="s">
        <v>379</v>
      </c>
      <c r="C20" s="439">
        <f t="shared" si="8"/>
        <v>165.99</v>
      </c>
      <c r="D20" s="219" t="s">
        <v>885</v>
      </c>
      <c r="F20" s="8">
        <v>1</v>
      </c>
      <c r="G20" s="7" t="s">
        <v>885</v>
      </c>
      <c r="H20" s="1" t="s">
        <v>890</v>
      </c>
      <c r="I20" s="8">
        <f>(C18)</f>
        <v>121</v>
      </c>
      <c r="J20" s="1" t="s">
        <v>885</v>
      </c>
      <c r="K20" s="8">
        <f>(F20*I20)</f>
        <v>121</v>
      </c>
      <c r="O20" s="1" t="s">
        <v>1065</v>
      </c>
      <c r="T20" s="2" t="s">
        <v>2007</v>
      </c>
      <c r="U20" s="1" t="s">
        <v>2008</v>
      </c>
      <c r="V20" s="1" t="s">
        <v>885</v>
      </c>
      <c r="W20" s="1000" t="str">
        <f>W18</f>
        <v>Nerkunram</v>
      </c>
      <c r="X20" s="8">
        <f>X19</f>
        <v>22</v>
      </c>
      <c r="Y20" s="419">
        <v>786</v>
      </c>
      <c r="Z20" s="788">
        <f>Z19</f>
        <v>157.5</v>
      </c>
      <c r="AA20" s="2"/>
      <c r="AB20" s="10">
        <v>0</v>
      </c>
      <c r="AC20" s="1">
        <f t="shared" si="0"/>
        <v>943.5</v>
      </c>
      <c r="AD20" s="1" t="s">
        <v>5855</v>
      </c>
      <c r="AE20" s="439">
        <f t="shared" si="1"/>
        <v>972.4</v>
      </c>
      <c r="AF20" s="419">
        <v>884</v>
      </c>
      <c r="AG20" s="8">
        <f t="shared" si="2"/>
        <v>972.4</v>
      </c>
      <c r="AH20">
        <f t="shared" si="3"/>
        <v>1060.8</v>
      </c>
      <c r="AI20">
        <f t="shared" si="4"/>
        <v>1326</v>
      </c>
      <c r="AJ20">
        <f t="shared" si="5"/>
        <v>928.2</v>
      </c>
      <c r="AK20">
        <f t="shared" si="6"/>
        <v>1105</v>
      </c>
    </row>
    <row r="21" spans="1:37" ht="24" customHeight="1">
      <c r="A21" s="218">
        <f t="shared" si="7"/>
        <v>12</v>
      </c>
      <c r="B21" s="522" t="s">
        <v>2301</v>
      </c>
      <c r="C21" s="439">
        <f t="shared" si="8"/>
        <v>165.99</v>
      </c>
      <c r="D21" s="219" t="s">
        <v>885</v>
      </c>
      <c r="G21" s="7" t="s">
        <v>455</v>
      </c>
      <c r="H21" s="1" t="s">
        <v>456</v>
      </c>
      <c r="I21" s="1" t="s">
        <v>992</v>
      </c>
      <c r="J21" s="1" t="s">
        <v>455</v>
      </c>
      <c r="K21" s="8">
        <v>0</v>
      </c>
      <c r="O21" s="5" t="s">
        <v>1615</v>
      </c>
      <c r="T21" s="2" t="s">
        <v>2302</v>
      </c>
      <c r="U21" s="1" t="s">
        <v>5630</v>
      </c>
      <c r="V21" s="1" t="s">
        <v>1471</v>
      </c>
      <c r="W21" s="1000" t="s">
        <v>2304</v>
      </c>
      <c r="X21" s="8">
        <f>'lead  charge'!J12</f>
        <v>0</v>
      </c>
      <c r="Y21" s="419">
        <v>16106</v>
      </c>
      <c r="Z21" s="788">
        <f>'lead  charge'!K11</f>
        <v>0</v>
      </c>
      <c r="AA21" s="2"/>
      <c r="AB21" s="10">
        <v>0</v>
      </c>
      <c r="AC21" s="1">
        <f t="shared" si="0"/>
        <v>16106</v>
      </c>
      <c r="AD21" s="1" t="s">
        <v>5856</v>
      </c>
      <c r="AE21" s="439">
        <f t="shared" si="1"/>
        <v>799.7</v>
      </c>
      <c r="AF21" s="419">
        <v>727</v>
      </c>
      <c r="AG21" s="8">
        <f t="shared" si="2"/>
        <v>799.7</v>
      </c>
      <c r="AH21">
        <f t="shared" si="3"/>
        <v>872.4</v>
      </c>
      <c r="AI21">
        <f t="shared" si="4"/>
        <v>1090.5</v>
      </c>
      <c r="AJ21">
        <f t="shared" si="5"/>
        <v>763.35</v>
      </c>
      <c r="AK21">
        <f t="shared" si="6"/>
        <v>908.75</v>
      </c>
    </row>
    <row r="22" spans="1:37" ht="24" customHeight="1">
      <c r="A22" s="218">
        <f t="shared" si="7"/>
        <v>13</v>
      </c>
      <c r="B22" s="522" t="s">
        <v>4775</v>
      </c>
      <c r="C22" s="439">
        <f t="shared" si="8"/>
        <v>124.96</v>
      </c>
      <c r="D22" s="219" t="s">
        <v>885</v>
      </c>
      <c r="K22" s="5" t="s">
        <v>1615</v>
      </c>
      <c r="M22" s="8">
        <v>1</v>
      </c>
      <c r="N22" s="1" t="s">
        <v>885</v>
      </c>
      <c r="O22" s="1" t="s">
        <v>2038</v>
      </c>
      <c r="P22" s="8">
        <f>C79</f>
        <v>1608.7</v>
      </c>
      <c r="Q22" s="1" t="s">
        <v>885</v>
      </c>
      <c r="R22" s="8">
        <f>(M22*P22)</f>
        <v>1608.7</v>
      </c>
      <c r="T22" s="2" t="s">
        <v>2039</v>
      </c>
      <c r="U22" s="1" t="s">
        <v>5631</v>
      </c>
      <c r="V22" s="1" t="s">
        <v>882</v>
      </c>
      <c r="W22" s="1001" t="s">
        <v>2304</v>
      </c>
      <c r="X22" s="8"/>
      <c r="Y22" s="419">
        <v>1348</v>
      </c>
      <c r="Z22" s="788"/>
      <c r="AA22" s="2"/>
      <c r="AB22" s="10">
        <v>0</v>
      </c>
      <c r="AC22" s="1">
        <f t="shared" si="0"/>
        <v>1348</v>
      </c>
      <c r="AD22" s="522" t="s">
        <v>2041</v>
      </c>
      <c r="AE22" s="439">
        <f t="shared" si="1"/>
        <v>770</v>
      </c>
      <c r="AF22" s="419">
        <v>700</v>
      </c>
      <c r="AG22" s="8">
        <f t="shared" si="2"/>
        <v>770</v>
      </c>
      <c r="AH22">
        <f t="shared" si="3"/>
        <v>840</v>
      </c>
      <c r="AI22">
        <f t="shared" si="4"/>
        <v>1050</v>
      </c>
      <c r="AJ22">
        <f t="shared" si="5"/>
        <v>735</v>
      </c>
      <c r="AK22">
        <f t="shared" si="6"/>
        <v>875</v>
      </c>
    </row>
    <row r="23" spans="1:37" ht="24" customHeight="1">
      <c r="A23" s="218">
        <f t="shared" si="7"/>
        <v>14</v>
      </c>
      <c r="B23" s="522" t="s">
        <v>289</v>
      </c>
      <c r="C23" s="439">
        <f t="shared" si="8"/>
        <v>246.18</v>
      </c>
      <c r="D23" s="219" t="s">
        <v>885</v>
      </c>
      <c r="H23" s="1" t="s">
        <v>1542</v>
      </c>
      <c r="K23" s="38">
        <f>SUM(K18:K21)</f>
        <v>6078.5</v>
      </c>
      <c r="M23" s="8">
        <v>1</v>
      </c>
      <c r="N23" s="1" t="s">
        <v>885</v>
      </c>
      <c r="O23" s="1" t="s">
        <v>290</v>
      </c>
      <c r="P23" s="8">
        <f>C85</f>
        <v>1098.52</v>
      </c>
      <c r="Q23" s="1" t="s">
        <v>885</v>
      </c>
      <c r="R23" s="8">
        <f>(M23*P23)</f>
        <v>1098.52</v>
      </c>
      <c r="T23" s="2" t="s">
        <v>844</v>
      </c>
      <c r="U23" s="1" t="s">
        <v>4767</v>
      </c>
      <c r="V23" s="1" t="s">
        <v>882</v>
      </c>
      <c r="W23" s="1001" t="s">
        <v>5279</v>
      </c>
      <c r="X23" s="8">
        <f>'lead  charge'!P11</f>
        <v>14</v>
      </c>
      <c r="Y23" s="419">
        <v>993</v>
      </c>
      <c r="Z23" s="788">
        <f>'lead  charge'!Q11</f>
        <v>105.52</v>
      </c>
      <c r="AA23" s="2"/>
      <c r="AB23" s="10">
        <v>0</v>
      </c>
      <c r="AC23" s="1">
        <f t="shared" si="0"/>
        <v>1098.52</v>
      </c>
      <c r="AD23" s="522" t="s">
        <v>846</v>
      </c>
      <c r="AE23" s="439">
        <f t="shared" si="1"/>
        <v>801.9</v>
      </c>
      <c r="AF23" s="419">
        <v>729</v>
      </c>
      <c r="AG23" s="8">
        <f t="shared" si="2"/>
        <v>801.9</v>
      </c>
      <c r="AH23">
        <f t="shared" si="3"/>
        <v>874.8</v>
      </c>
      <c r="AI23">
        <f t="shared" si="4"/>
        <v>1093.5</v>
      </c>
      <c r="AJ23">
        <f t="shared" si="5"/>
        <v>765.45</v>
      </c>
      <c r="AK23">
        <f t="shared" si="6"/>
        <v>911.25</v>
      </c>
    </row>
    <row r="24" spans="1:37" ht="24" customHeight="1">
      <c r="A24" s="218">
        <f t="shared" si="7"/>
        <v>15</v>
      </c>
      <c r="B24" s="522" t="s">
        <v>847</v>
      </c>
      <c r="C24" s="439">
        <f t="shared" si="8"/>
        <v>246.18</v>
      </c>
      <c r="D24" s="219" t="s">
        <v>885</v>
      </c>
      <c r="K24" s="5" t="s">
        <v>1615</v>
      </c>
      <c r="M24" s="8">
        <v>1.5</v>
      </c>
      <c r="N24" s="1" t="s">
        <v>885</v>
      </c>
      <c r="O24" s="1" t="s">
        <v>1826</v>
      </c>
      <c r="P24" s="8">
        <f>C18</f>
        <v>121</v>
      </c>
      <c r="Q24" s="1" t="s">
        <v>885</v>
      </c>
      <c r="R24" s="8">
        <f>(M24*P24)</f>
        <v>181.5</v>
      </c>
      <c r="T24" s="2" t="s">
        <v>1827</v>
      </c>
      <c r="U24" s="1" t="s">
        <v>4768</v>
      </c>
      <c r="V24" s="1" t="s">
        <v>882</v>
      </c>
      <c r="W24" s="1000" t="s">
        <v>1828</v>
      </c>
      <c r="X24">
        <f>X25</f>
        <v>0</v>
      </c>
      <c r="Y24" s="419">
        <v>34300</v>
      </c>
      <c r="Z24" s="790">
        <f>Z25</f>
        <v>0</v>
      </c>
      <c r="AA24" s="4"/>
      <c r="AB24" s="10">
        <v>0</v>
      </c>
      <c r="AC24" s="1">
        <f t="shared" si="0"/>
        <v>34300</v>
      </c>
      <c r="AD24" s="1" t="s">
        <v>5044</v>
      </c>
      <c r="AE24" s="439">
        <f t="shared" si="1"/>
        <v>121</v>
      </c>
      <c r="AF24" s="419">
        <v>110</v>
      </c>
      <c r="AG24" s="8">
        <f t="shared" si="2"/>
        <v>121</v>
      </c>
      <c r="AH24">
        <f t="shared" si="3"/>
        <v>132</v>
      </c>
      <c r="AI24">
        <f t="shared" si="4"/>
        <v>165</v>
      </c>
      <c r="AJ24">
        <f t="shared" si="5"/>
        <v>115.5</v>
      </c>
      <c r="AK24">
        <f t="shared" si="6"/>
        <v>137.5</v>
      </c>
    </row>
    <row r="25" spans="1:37" ht="24" customHeight="1">
      <c r="A25" s="218">
        <f t="shared" si="7"/>
        <v>16</v>
      </c>
      <c r="B25" s="522" t="s">
        <v>4188</v>
      </c>
      <c r="C25" s="220">
        <f>AE25</f>
        <v>98.34</v>
      </c>
      <c r="D25" s="219" t="s">
        <v>885</v>
      </c>
      <c r="G25" s="7" t="s">
        <v>2290</v>
      </c>
      <c r="H25" s="1" t="s">
        <v>1377</v>
      </c>
      <c r="M25" s="8">
        <v>1.5</v>
      </c>
      <c r="N25" s="1" t="s">
        <v>885</v>
      </c>
      <c r="O25" s="1" t="s">
        <v>1378</v>
      </c>
      <c r="P25" s="8">
        <f>C27</f>
        <v>35.700000000000003</v>
      </c>
      <c r="Q25" s="1" t="s">
        <v>885</v>
      </c>
      <c r="R25" s="8">
        <f>(M25*P25)</f>
        <v>53.55</v>
      </c>
      <c r="T25" s="2" t="s">
        <v>1379</v>
      </c>
      <c r="U25" s="79" t="s">
        <v>1380</v>
      </c>
      <c r="V25" s="1" t="s">
        <v>882</v>
      </c>
      <c r="W25" s="1001" t="s">
        <v>1828</v>
      </c>
      <c r="X25">
        <f>'lead  charge'!P12</f>
        <v>0</v>
      </c>
      <c r="Y25" s="419">
        <v>39400</v>
      </c>
      <c r="Z25" s="790">
        <f>'lead  charge'!Q12</f>
        <v>0</v>
      </c>
      <c r="AA25" s="4"/>
      <c r="AB25" s="10">
        <v>0</v>
      </c>
      <c r="AC25" s="1">
        <f>SUM(Y25+Z25+AA25+AB25)</f>
        <v>39400</v>
      </c>
      <c r="AD25" s="1" t="s">
        <v>5045</v>
      </c>
      <c r="AE25" s="439">
        <f t="shared" si="1"/>
        <v>98.34</v>
      </c>
      <c r="AF25" s="419">
        <v>89.4</v>
      </c>
      <c r="AG25" s="8">
        <f t="shared" si="2"/>
        <v>98.34</v>
      </c>
      <c r="AH25">
        <f t="shared" si="3"/>
        <v>107.28</v>
      </c>
      <c r="AI25">
        <f t="shared" si="4"/>
        <v>134.1</v>
      </c>
      <c r="AJ25">
        <f t="shared" si="5"/>
        <v>93.87</v>
      </c>
      <c r="AK25">
        <f t="shared" si="6"/>
        <v>111.75</v>
      </c>
    </row>
    <row r="26" spans="1:37" ht="24" customHeight="1">
      <c r="A26" s="218">
        <f t="shared" si="7"/>
        <v>17</v>
      </c>
      <c r="B26" s="522" t="s">
        <v>4189</v>
      </c>
      <c r="C26" s="220">
        <f>AE28</f>
        <v>40.65</v>
      </c>
      <c r="D26" s="219" t="s">
        <v>2079</v>
      </c>
      <c r="H26" s="5" t="s">
        <v>1615</v>
      </c>
      <c r="N26" s="1" t="s">
        <v>455</v>
      </c>
      <c r="O26" s="1" t="s">
        <v>456</v>
      </c>
      <c r="P26" s="1" t="s">
        <v>992</v>
      </c>
      <c r="Q26" s="1" t="s">
        <v>455</v>
      </c>
      <c r="R26" s="8">
        <v>0</v>
      </c>
      <c r="T26" s="2" t="s">
        <v>2080</v>
      </c>
      <c r="U26" s="1" t="s">
        <v>4769</v>
      </c>
      <c r="V26" s="1" t="s">
        <v>882</v>
      </c>
      <c r="W26" s="1001" t="s">
        <v>1828</v>
      </c>
      <c r="X26">
        <f>X25</f>
        <v>0</v>
      </c>
      <c r="Y26" s="419">
        <v>111600</v>
      </c>
      <c r="Z26" s="790">
        <f>'lead  charge'!Q12</f>
        <v>0</v>
      </c>
      <c r="AA26" s="4"/>
      <c r="AB26" s="10">
        <v>0</v>
      </c>
      <c r="AC26" s="1">
        <f>SUM(Y26+Z26+AA26+AB26)</f>
        <v>111600</v>
      </c>
      <c r="AD26" s="1" t="s">
        <v>5046</v>
      </c>
      <c r="AE26" s="439">
        <f t="shared" si="1"/>
        <v>72.819999999999993</v>
      </c>
      <c r="AF26" s="419">
        <v>66.2</v>
      </c>
      <c r="AG26" s="8">
        <f t="shared" si="2"/>
        <v>72.819999999999993</v>
      </c>
      <c r="AH26">
        <f t="shared" si="3"/>
        <v>79.44</v>
      </c>
      <c r="AI26">
        <f t="shared" si="4"/>
        <v>99.3</v>
      </c>
      <c r="AJ26">
        <f t="shared" si="5"/>
        <v>69.510000000000005</v>
      </c>
      <c r="AK26">
        <f t="shared" si="6"/>
        <v>82.75</v>
      </c>
    </row>
    <row r="27" spans="1:37" ht="24" customHeight="1">
      <c r="A27" s="218">
        <f t="shared" si="7"/>
        <v>18</v>
      </c>
      <c r="B27" s="522" t="s">
        <v>4190</v>
      </c>
      <c r="C27" s="220">
        <f>AE27</f>
        <v>35.700000000000003</v>
      </c>
      <c r="D27" s="219" t="s">
        <v>2079</v>
      </c>
      <c r="E27" s="436">
        <f>(67+89.5+102.7)/3</f>
        <v>86.4</v>
      </c>
      <c r="F27" s="8">
        <v>0.48</v>
      </c>
      <c r="G27" s="7" t="s">
        <v>877</v>
      </c>
      <c r="H27" s="1" t="s">
        <v>878</v>
      </c>
      <c r="I27" s="8">
        <f>(C67)</f>
        <v>6040</v>
      </c>
      <c r="J27" s="1" t="s">
        <v>877</v>
      </c>
      <c r="K27" s="8">
        <f>(F27*I27)</f>
        <v>2899.2</v>
      </c>
      <c r="R27" s="5" t="s">
        <v>1615</v>
      </c>
      <c r="T27" s="2" t="s">
        <v>1516</v>
      </c>
      <c r="U27" s="1" t="s">
        <v>4770</v>
      </c>
      <c r="V27" s="1" t="s">
        <v>882</v>
      </c>
      <c r="W27" s="1001" t="s">
        <v>1828</v>
      </c>
      <c r="X27">
        <f>X26</f>
        <v>0</v>
      </c>
      <c r="Y27" s="419">
        <v>99400</v>
      </c>
      <c r="Z27" s="790">
        <f>Z26</f>
        <v>0</v>
      </c>
      <c r="AA27" s="4"/>
      <c r="AB27" s="10">
        <v>0</v>
      </c>
      <c r="AC27" s="1">
        <f>SUM(Y27+Z27+AA27+AB27)</f>
        <v>99400</v>
      </c>
      <c r="AD27" s="1" t="s">
        <v>5047</v>
      </c>
      <c r="AE27" s="439">
        <f t="shared" si="1"/>
        <v>35.700000000000003</v>
      </c>
      <c r="AF27" s="419">
        <v>32.450000000000003</v>
      </c>
      <c r="AG27" s="8">
        <f t="shared" si="2"/>
        <v>35.700000000000003</v>
      </c>
      <c r="AH27">
        <f t="shared" si="3"/>
        <v>38.94</v>
      </c>
      <c r="AI27">
        <f t="shared" si="4"/>
        <v>48.68</v>
      </c>
      <c r="AJ27">
        <f t="shared" si="5"/>
        <v>34.07</v>
      </c>
      <c r="AK27">
        <f t="shared" si="6"/>
        <v>40.56</v>
      </c>
    </row>
    <row r="28" spans="1:37" ht="24" customHeight="1">
      <c r="A28" s="218">
        <f t="shared" si="7"/>
        <v>19</v>
      </c>
      <c r="B28" s="1" t="s">
        <v>5048</v>
      </c>
      <c r="C28" s="436">
        <f>E27</f>
        <v>86.4</v>
      </c>
      <c r="D28" s="219" t="s">
        <v>455</v>
      </c>
      <c r="E28">
        <v>254.4</v>
      </c>
      <c r="F28" s="8">
        <v>1</v>
      </c>
      <c r="G28" s="7" t="s">
        <v>885</v>
      </c>
      <c r="H28" s="1" t="s">
        <v>886</v>
      </c>
      <c r="I28" s="8">
        <f>(C78)</f>
        <v>1608.7</v>
      </c>
      <c r="J28" s="1" t="s">
        <v>885</v>
      </c>
      <c r="K28" s="8">
        <f>(F28*I28)</f>
        <v>1608.7</v>
      </c>
      <c r="O28" s="1" t="s">
        <v>170</v>
      </c>
      <c r="R28" s="8">
        <f>SUM(R22:R26)</f>
        <v>2942.27</v>
      </c>
      <c r="T28" s="2" t="s">
        <v>901</v>
      </c>
      <c r="U28" s="1" t="s">
        <v>4771</v>
      </c>
      <c r="V28" s="1" t="s">
        <v>882</v>
      </c>
      <c r="W28" s="1001" t="s">
        <v>1828</v>
      </c>
      <c r="X28">
        <f>X27</f>
        <v>0</v>
      </c>
      <c r="Y28" s="419">
        <v>95000</v>
      </c>
      <c r="Z28" s="790">
        <f>Z27</f>
        <v>0</v>
      </c>
      <c r="AA28" s="4"/>
      <c r="AB28" s="10">
        <v>0</v>
      </c>
      <c r="AC28" s="1">
        <f>SUM(Y28+Z28+AA28+AB28)</f>
        <v>95000</v>
      </c>
      <c r="AD28" s="1" t="s">
        <v>5049</v>
      </c>
      <c r="AE28" s="439">
        <f t="shared" si="1"/>
        <v>40.65</v>
      </c>
      <c r="AF28" s="419">
        <v>36.950000000000003</v>
      </c>
      <c r="AG28" s="8">
        <f t="shared" si="2"/>
        <v>40.65</v>
      </c>
      <c r="AH28">
        <f t="shared" si="3"/>
        <v>44.34</v>
      </c>
      <c r="AI28">
        <f t="shared" si="4"/>
        <v>55.43</v>
      </c>
      <c r="AJ28">
        <f t="shared" si="5"/>
        <v>38.799999999999997</v>
      </c>
      <c r="AK28">
        <f t="shared" si="6"/>
        <v>46.19</v>
      </c>
    </row>
    <row r="29" spans="1:37" ht="24" customHeight="1">
      <c r="A29" s="218">
        <f t="shared" si="7"/>
        <v>20</v>
      </c>
      <c r="B29" s="522" t="s">
        <v>4191</v>
      </c>
      <c r="C29" s="220">
        <f>AE23</f>
        <v>801.9</v>
      </c>
      <c r="D29" s="219" t="s">
        <v>785</v>
      </c>
      <c r="E29">
        <f>E28/3</f>
        <v>84.8</v>
      </c>
      <c r="F29" s="8">
        <v>1</v>
      </c>
      <c r="G29" s="7" t="s">
        <v>885</v>
      </c>
      <c r="H29" s="1" t="s">
        <v>890</v>
      </c>
      <c r="I29" s="8">
        <f>(C18)</f>
        <v>121</v>
      </c>
      <c r="J29" s="1" t="s">
        <v>885</v>
      </c>
      <c r="K29" s="8">
        <f>(F29*I29)</f>
        <v>121</v>
      </c>
      <c r="R29" s="5" t="s">
        <v>1615</v>
      </c>
      <c r="T29" s="2" t="s">
        <v>786</v>
      </c>
      <c r="U29" s="1" t="s">
        <v>5632</v>
      </c>
      <c r="V29" s="1" t="s">
        <v>1471</v>
      </c>
      <c r="W29" s="1000" t="str">
        <f>W18</f>
        <v>Nerkunram</v>
      </c>
      <c r="X29" s="8">
        <f>X18</f>
        <v>22</v>
      </c>
      <c r="Y29" s="419">
        <v>4299</v>
      </c>
      <c r="Z29" s="788">
        <f>'lead  charge'!H10</f>
        <v>193.5</v>
      </c>
      <c r="AA29" s="4"/>
      <c r="AB29" s="10">
        <v>0</v>
      </c>
      <c r="AC29" s="1">
        <f>SUM(Y29+Z29+AA29+AB29)</f>
        <v>4492.5</v>
      </c>
      <c r="AD29" s="1" t="s">
        <v>5050</v>
      </c>
      <c r="AE29" s="439">
        <f t="shared" si="1"/>
        <v>116.88</v>
      </c>
      <c r="AF29" s="419">
        <v>106.25</v>
      </c>
      <c r="AG29" s="8">
        <f t="shared" si="2"/>
        <v>116.88</v>
      </c>
      <c r="AH29">
        <f t="shared" si="3"/>
        <v>127.5</v>
      </c>
      <c r="AI29">
        <f t="shared" si="4"/>
        <v>159.38</v>
      </c>
      <c r="AJ29">
        <f t="shared" si="5"/>
        <v>111.56</v>
      </c>
      <c r="AK29">
        <f t="shared" si="6"/>
        <v>132.81</v>
      </c>
    </row>
    <row r="30" spans="1:37" ht="24" customHeight="1">
      <c r="A30" s="218">
        <f t="shared" si="7"/>
        <v>21</v>
      </c>
      <c r="B30" s="522" t="s">
        <v>4192</v>
      </c>
      <c r="C30" s="220">
        <f>AE33</f>
        <v>14278</v>
      </c>
      <c r="D30" s="715">
        <f>AE31</f>
        <v>1336.5</v>
      </c>
      <c r="G30" s="7" t="s">
        <v>455</v>
      </c>
      <c r="H30" s="1" t="s">
        <v>456</v>
      </c>
      <c r="I30" s="1" t="s">
        <v>992</v>
      </c>
      <c r="J30" s="1" t="s">
        <v>455</v>
      </c>
      <c r="K30" s="8">
        <v>0</v>
      </c>
      <c r="O30" s="1" t="s">
        <v>789</v>
      </c>
      <c r="R30" s="8">
        <f>(R28/1.5)</f>
        <v>1961.51</v>
      </c>
      <c r="T30" s="2" t="s">
        <v>2207</v>
      </c>
      <c r="U30" s="1" t="s">
        <v>4772</v>
      </c>
      <c r="V30" s="1" t="s">
        <v>1471</v>
      </c>
      <c r="W30" s="1001" t="s">
        <v>1828</v>
      </c>
      <c r="X30" s="8"/>
      <c r="Y30" s="419">
        <v>11907</v>
      </c>
      <c r="Z30" s="788"/>
      <c r="AA30" s="2"/>
      <c r="AB30" s="10">
        <v>0</v>
      </c>
      <c r="AC30" s="1">
        <f t="shared" si="0"/>
        <v>11907</v>
      </c>
      <c r="AD30" s="1" t="s">
        <v>5051</v>
      </c>
      <c r="AE30" s="439">
        <f t="shared" si="1"/>
        <v>1602.7</v>
      </c>
      <c r="AF30" s="419">
        <v>1457</v>
      </c>
      <c r="AG30" s="8">
        <f t="shared" si="2"/>
        <v>1602.7</v>
      </c>
      <c r="AH30">
        <f t="shared" si="3"/>
        <v>1748.4</v>
      </c>
      <c r="AI30">
        <f t="shared" si="4"/>
        <v>2185.5</v>
      </c>
      <c r="AJ30">
        <f t="shared" si="5"/>
        <v>1529.85</v>
      </c>
      <c r="AK30">
        <f t="shared" si="6"/>
        <v>1821.25</v>
      </c>
    </row>
    <row r="31" spans="1:37" ht="24" customHeight="1">
      <c r="A31" s="218">
        <f t="shared" si="7"/>
        <v>22</v>
      </c>
      <c r="B31" s="522" t="s">
        <v>4193</v>
      </c>
      <c r="C31" s="220">
        <f>AE30</f>
        <v>1602.7</v>
      </c>
      <c r="D31" s="715">
        <f>AE32</f>
        <v>1498.2</v>
      </c>
      <c r="K31" s="5" t="s">
        <v>1615</v>
      </c>
      <c r="O31" s="1" t="s">
        <v>252</v>
      </c>
      <c r="R31" s="5" t="s">
        <v>2091</v>
      </c>
      <c r="T31" s="2" t="s">
        <v>20</v>
      </c>
      <c r="U31" s="1" t="s">
        <v>21</v>
      </c>
      <c r="V31" s="1" t="s">
        <v>877</v>
      </c>
      <c r="W31" s="1000" t="s">
        <v>1828</v>
      </c>
      <c r="X31" s="8">
        <f>'lead  charge'!D14</f>
        <v>0</v>
      </c>
      <c r="Y31" s="419">
        <v>6040</v>
      </c>
      <c r="Z31" s="788">
        <f>'lead  charge'!E14</f>
        <v>0</v>
      </c>
      <c r="AA31" s="2"/>
      <c r="AB31" s="10"/>
      <c r="AC31" s="1">
        <f>SUM(Y31+Z31+AA31+AB31)</f>
        <v>6040</v>
      </c>
      <c r="AD31" s="1" t="s">
        <v>5052</v>
      </c>
      <c r="AE31" s="439">
        <f t="shared" si="1"/>
        <v>1336.5</v>
      </c>
      <c r="AF31" s="419">
        <v>1215</v>
      </c>
      <c r="AG31" s="8">
        <f t="shared" si="2"/>
        <v>1336.5</v>
      </c>
      <c r="AH31">
        <f t="shared" si="3"/>
        <v>1458</v>
      </c>
      <c r="AI31">
        <f t="shared" si="4"/>
        <v>1822.5</v>
      </c>
      <c r="AJ31">
        <f t="shared" si="5"/>
        <v>1275.75</v>
      </c>
      <c r="AK31">
        <f t="shared" si="6"/>
        <v>1518.75</v>
      </c>
    </row>
    <row r="32" spans="1:37" ht="24" customHeight="1">
      <c r="A32" s="218">
        <f t="shared" si="7"/>
        <v>23</v>
      </c>
      <c r="B32" s="522" t="s">
        <v>1831</v>
      </c>
      <c r="C32" s="707">
        <v>2.5</v>
      </c>
      <c r="D32" s="220">
        <f>AE34</f>
        <v>1248.5</v>
      </c>
      <c r="H32" s="1" t="s">
        <v>1542</v>
      </c>
      <c r="K32" s="38">
        <f>SUM(K27:K30)</f>
        <v>4628.8999999999996</v>
      </c>
      <c r="T32" s="2" t="s">
        <v>1832</v>
      </c>
      <c r="U32" s="1" t="s">
        <v>1833</v>
      </c>
      <c r="V32" s="1" t="s">
        <v>877</v>
      </c>
      <c r="W32" s="1000" t="s">
        <v>2304</v>
      </c>
      <c r="X32" s="8">
        <f>'lead  charge'!D15</f>
        <v>0</v>
      </c>
      <c r="Y32" s="419">
        <v>58000</v>
      </c>
      <c r="Z32" s="788">
        <f>Z31</f>
        <v>0</v>
      </c>
      <c r="AA32" s="2"/>
      <c r="AB32" s="10">
        <v>0</v>
      </c>
      <c r="AC32" s="61">
        <f>SUM(Y32+Z32+AA32+AB32)</f>
        <v>58000</v>
      </c>
      <c r="AD32" s="1" t="s">
        <v>5053</v>
      </c>
      <c r="AE32" s="439">
        <f t="shared" si="1"/>
        <v>1498.2</v>
      </c>
      <c r="AF32" s="419">
        <v>1362</v>
      </c>
      <c r="AG32" s="8">
        <f t="shared" si="2"/>
        <v>1498.2</v>
      </c>
      <c r="AH32">
        <f t="shared" si="3"/>
        <v>1634.4</v>
      </c>
      <c r="AI32">
        <f t="shared" si="4"/>
        <v>2043</v>
      </c>
      <c r="AJ32">
        <f t="shared" si="5"/>
        <v>1430.1</v>
      </c>
      <c r="AK32">
        <f t="shared" si="6"/>
        <v>1702.5</v>
      </c>
    </row>
    <row r="33" spans="1:37" ht="24" customHeight="1">
      <c r="A33" s="218">
        <f t="shared" si="7"/>
        <v>24</v>
      </c>
      <c r="B33" s="522" t="s">
        <v>450</v>
      </c>
      <c r="C33" s="707">
        <v>3.64</v>
      </c>
      <c r="D33" s="220">
        <f>AE35</f>
        <v>1118.7</v>
      </c>
      <c r="K33" s="5" t="s">
        <v>1615</v>
      </c>
      <c r="T33" s="11" t="s">
        <v>451</v>
      </c>
      <c r="U33" s="1" t="s">
        <v>1443</v>
      </c>
      <c r="V33" s="1" t="s">
        <v>877</v>
      </c>
      <c r="W33" s="1000" t="s">
        <v>2304</v>
      </c>
      <c r="X33" s="8">
        <f>X32</f>
        <v>0</v>
      </c>
      <c r="Y33" s="419">
        <v>58000</v>
      </c>
      <c r="Z33" s="788">
        <f>Z32</f>
        <v>0</v>
      </c>
      <c r="AA33" s="2"/>
      <c r="AB33" s="10">
        <v>0</v>
      </c>
      <c r="AC33" s="61">
        <f t="shared" si="0"/>
        <v>58000</v>
      </c>
      <c r="AD33" s="1" t="s">
        <v>5054</v>
      </c>
      <c r="AE33" s="439">
        <f t="shared" si="1"/>
        <v>14278</v>
      </c>
      <c r="AF33" s="419">
        <v>12980</v>
      </c>
      <c r="AG33" s="8">
        <f t="shared" si="2"/>
        <v>14278</v>
      </c>
      <c r="AH33">
        <f t="shared" si="3"/>
        <v>15576</v>
      </c>
      <c r="AI33">
        <f t="shared" si="4"/>
        <v>19470</v>
      </c>
      <c r="AJ33">
        <f t="shared" si="5"/>
        <v>13629</v>
      </c>
      <c r="AK33">
        <f t="shared" si="6"/>
        <v>16225</v>
      </c>
    </row>
    <row r="34" spans="1:37" ht="24" customHeight="1">
      <c r="A34" s="218">
        <f t="shared" si="7"/>
        <v>25</v>
      </c>
      <c r="B34" s="1" t="s">
        <v>5633</v>
      </c>
      <c r="C34" s="419">
        <f>53*1000</f>
        <v>53000</v>
      </c>
      <c r="D34" s="51">
        <f>C34</f>
        <v>53000</v>
      </c>
      <c r="G34" s="7" t="s">
        <v>2290</v>
      </c>
      <c r="H34" s="1" t="s">
        <v>1331</v>
      </c>
      <c r="T34" s="11" t="s">
        <v>1445</v>
      </c>
      <c r="U34" s="1" t="s">
        <v>1446</v>
      </c>
      <c r="V34" s="1" t="s">
        <v>1471</v>
      </c>
      <c r="W34" s="1000" t="str">
        <f>W18</f>
        <v>Nerkunram</v>
      </c>
      <c r="X34" s="8">
        <f>X29</f>
        <v>22</v>
      </c>
      <c r="Y34" s="419">
        <f>Y29</f>
        <v>4299</v>
      </c>
      <c r="Z34" s="788">
        <f>Z29</f>
        <v>193.5</v>
      </c>
      <c r="AA34" s="2"/>
      <c r="AB34" s="10">
        <v>0</v>
      </c>
      <c r="AC34" s="1">
        <f t="shared" si="0"/>
        <v>4492.5</v>
      </c>
      <c r="AD34" s="1" t="s">
        <v>5055</v>
      </c>
      <c r="AE34" s="439">
        <f t="shared" si="1"/>
        <v>1248.5</v>
      </c>
      <c r="AF34" s="419">
        <v>1135</v>
      </c>
      <c r="AG34" s="8">
        <f t="shared" si="2"/>
        <v>1248.5</v>
      </c>
      <c r="AH34">
        <f t="shared" si="3"/>
        <v>1362</v>
      </c>
      <c r="AI34">
        <f t="shared" si="4"/>
        <v>1702.5</v>
      </c>
      <c r="AJ34">
        <f t="shared" si="5"/>
        <v>1191.75</v>
      </c>
      <c r="AK34">
        <f t="shared" si="6"/>
        <v>1418.75</v>
      </c>
    </row>
    <row r="35" spans="1:37" ht="24" customHeight="1">
      <c r="A35" s="218">
        <f t="shared" si="7"/>
        <v>26</v>
      </c>
      <c r="B35" s="522" t="s">
        <v>210</v>
      </c>
      <c r="C35" s="220">
        <f>AC38</f>
        <v>366.57</v>
      </c>
      <c r="D35" s="221"/>
      <c r="F35" s="8">
        <v>0.36</v>
      </c>
      <c r="G35" s="7" t="s">
        <v>877</v>
      </c>
      <c r="H35" s="1" t="s">
        <v>878</v>
      </c>
      <c r="I35" s="8">
        <f>C67</f>
        <v>6040</v>
      </c>
      <c r="J35" s="1" t="s">
        <v>877</v>
      </c>
      <c r="K35" s="8">
        <f>(F35*I35)</f>
        <v>2174.4</v>
      </c>
      <c r="T35" s="2" t="s">
        <v>1447</v>
      </c>
      <c r="U35" s="704" t="s">
        <v>5634</v>
      </c>
      <c r="V35" s="849" t="s">
        <v>882</v>
      </c>
      <c r="W35" s="1002" t="str">
        <f>W11</f>
        <v>Pallavaram</v>
      </c>
      <c r="X35" s="715">
        <f>X11</f>
        <v>23</v>
      </c>
      <c r="Y35" s="876">
        <v>947</v>
      </c>
      <c r="Z35" s="788">
        <f>Z11</f>
        <v>237.69</v>
      </c>
      <c r="AA35" s="2"/>
      <c r="AB35" s="10"/>
      <c r="AC35" s="1">
        <f t="shared" si="0"/>
        <v>1184.69</v>
      </c>
      <c r="AD35" s="1" t="s">
        <v>5056</v>
      </c>
      <c r="AE35" s="439">
        <f t="shared" si="1"/>
        <v>1118.7</v>
      </c>
      <c r="AF35" s="419">
        <v>1017</v>
      </c>
      <c r="AG35" s="8">
        <f t="shared" si="2"/>
        <v>1118.7</v>
      </c>
      <c r="AH35">
        <f t="shared" si="3"/>
        <v>1220.4000000000001</v>
      </c>
      <c r="AI35">
        <f t="shared" si="4"/>
        <v>1525.5</v>
      </c>
      <c r="AJ35">
        <f t="shared" si="5"/>
        <v>1067.8499999999999</v>
      </c>
      <c r="AK35">
        <f t="shared" si="6"/>
        <v>1271.25</v>
      </c>
    </row>
    <row r="36" spans="1:37" ht="24" customHeight="1">
      <c r="A36" s="221" t="s">
        <v>992</v>
      </c>
      <c r="B36" s="1" t="s">
        <v>5057</v>
      </c>
      <c r="C36" s="439">
        <f>AE59</f>
        <v>11.22</v>
      </c>
      <c r="D36" s="221"/>
      <c r="F36" s="8">
        <v>1</v>
      </c>
      <c r="G36" s="7" t="s">
        <v>885</v>
      </c>
      <c r="H36" s="1" t="s">
        <v>886</v>
      </c>
      <c r="I36" s="8">
        <f>AC16</f>
        <v>1608.7</v>
      </c>
      <c r="J36" s="1" t="s">
        <v>885</v>
      </c>
      <c r="K36" s="8">
        <f>(F36*I36)</f>
        <v>1608.7</v>
      </c>
      <c r="T36" s="2" t="s">
        <v>228</v>
      </c>
      <c r="U36" s="849" t="s">
        <v>403</v>
      </c>
      <c r="V36" s="849" t="s">
        <v>882</v>
      </c>
      <c r="W36" s="1002" t="str">
        <f>W12</f>
        <v>Pallavaram</v>
      </c>
      <c r="X36" s="715">
        <f>X11</f>
        <v>23</v>
      </c>
      <c r="Y36" s="876">
        <f>ROUND((1098+1036)/2,2)</f>
        <v>1067</v>
      </c>
      <c r="Z36" s="788">
        <f>Z11</f>
        <v>237.69</v>
      </c>
      <c r="AA36" s="2"/>
      <c r="AB36" s="10">
        <v>0</v>
      </c>
      <c r="AC36" s="1">
        <f t="shared" si="0"/>
        <v>1304.69</v>
      </c>
      <c r="AD36" s="1" t="s">
        <v>5058</v>
      </c>
      <c r="AE36" s="439">
        <f t="shared" si="1"/>
        <v>174.02</v>
      </c>
      <c r="AF36" s="419">
        <v>158.19999999999999</v>
      </c>
      <c r="AG36" s="8">
        <f t="shared" si="2"/>
        <v>174.02</v>
      </c>
      <c r="AH36">
        <f t="shared" si="3"/>
        <v>189.84</v>
      </c>
      <c r="AI36">
        <f t="shared" si="4"/>
        <v>237.3</v>
      </c>
      <c r="AJ36">
        <f t="shared" si="5"/>
        <v>166.11</v>
      </c>
      <c r="AK36">
        <f t="shared" si="6"/>
        <v>197.75</v>
      </c>
    </row>
    <row r="37" spans="1:37" ht="24" customHeight="1">
      <c r="A37" s="221"/>
      <c r="B37" s="1" t="s">
        <v>5059</v>
      </c>
      <c r="C37" s="439">
        <f>AE60</f>
        <v>57.75</v>
      </c>
      <c r="D37" s="221"/>
      <c r="F37" s="8">
        <v>1</v>
      </c>
      <c r="G37" s="7" t="s">
        <v>885</v>
      </c>
      <c r="H37" s="1" t="s">
        <v>890</v>
      </c>
      <c r="I37" s="8">
        <f>C18</f>
        <v>121</v>
      </c>
      <c r="J37" s="1" t="s">
        <v>885</v>
      </c>
      <c r="K37" s="8">
        <f>(F37*I37)</f>
        <v>121</v>
      </c>
      <c r="T37" s="2" t="s">
        <v>1704</v>
      </c>
      <c r="U37" s="849" t="s">
        <v>421</v>
      </c>
      <c r="V37" s="849" t="s">
        <v>882</v>
      </c>
      <c r="W37" s="1002" t="str">
        <f>W13</f>
        <v>Pallavaram</v>
      </c>
      <c r="X37" s="715">
        <f>X36</f>
        <v>23</v>
      </c>
      <c r="Y37" s="876">
        <f>ROUND((656+800+1076+1076)/4,2)</f>
        <v>902</v>
      </c>
      <c r="Z37" s="788">
        <f>Z11</f>
        <v>237.69</v>
      </c>
      <c r="AA37" s="2"/>
      <c r="AB37" s="10">
        <v>0</v>
      </c>
      <c r="AC37" s="1">
        <f>SUM(Y37+Z37+AA37+AB37)</f>
        <v>1139.69</v>
      </c>
      <c r="AD37" s="1" t="s">
        <v>5635</v>
      </c>
      <c r="AE37" s="439">
        <f t="shared" si="1"/>
        <v>875.6</v>
      </c>
      <c r="AF37" s="419">
        <v>796</v>
      </c>
      <c r="AG37" s="8">
        <f t="shared" si="2"/>
        <v>875.6</v>
      </c>
      <c r="AH37">
        <f t="shared" si="3"/>
        <v>955.2</v>
      </c>
      <c r="AI37">
        <f t="shared" si="4"/>
        <v>1194</v>
      </c>
      <c r="AJ37">
        <f t="shared" si="5"/>
        <v>835.8</v>
      </c>
      <c r="AK37">
        <f t="shared" si="6"/>
        <v>995</v>
      </c>
    </row>
    <row r="38" spans="1:37" ht="24" customHeight="1">
      <c r="A38" s="218">
        <f>(A35+1)</f>
        <v>27</v>
      </c>
      <c r="B38" s="522" t="s">
        <v>1705</v>
      </c>
      <c r="C38" s="161">
        <v>40</v>
      </c>
      <c r="D38" s="219" t="s">
        <v>884</v>
      </c>
      <c r="G38" s="7" t="s">
        <v>455</v>
      </c>
      <c r="H38" s="1" t="s">
        <v>456</v>
      </c>
      <c r="I38" s="1" t="s">
        <v>992</v>
      </c>
      <c r="J38" s="1" t="s">
        <v>455</v>
      </c>
      <c r="K38" s="8">
        <v>0</v>
      </c>
      <c r="T38" s="2" t="s">
        <v>209</v>
      </c>
      <c r="U38" s="1" t="s">
        <v>5636</v>
      </c>
      <c r="V38" s="522" t="s">
        <v>882</v>
      </c>
      <c r="W38" s="1000" t="s">
        <v>5280</v>
      </c>
      <c r="X38" s="439">
        <f>'lead  charge'!D13</f>
        <v>13</v>
      </c>
      <c r="Y38" s="437">
        <v>222.7</v>
      </c>
      <c r="Z38" s="788">
        <f>'lead  charge'!E13</f>
        <v>143.87</v>
      </c>
      <c r="AA38" s="2"/>
      <c r="AB38" s="10">
        <v>0</v>
      </c>
      <c r="AC38" s="1">
        <f>SUM(Y38+Z38+AA38+AB38)</f>
        <v>366.57</v>
      </c>
      <c r="AD38" s="1" t="s">
        <v>5637</v>
      </c>
      <c r="AE38" s="439">
        <f t="shared" si="1"/>
        <v>903.1</v>
      </c>
      <c r="AF38" s="419">
        <v>821</v>
      </c>
      <c r="AG38" s="8">
        <f t="shared" si="2"/>
        <v>903.1</v>
      </c>
      <c r="AH38">
        <f t="shared" si="3"/>
        <v>985.2</v>
      </c>
      <c r="AI38">
        <f t="shared" si="4"/>
        <v>1231.5</v>
      </c>
      <c r="AJ38">
        <f t="shared" si="5"/>
        <v>862.05</v>
      </c>
      <c r="AK38">
        <f t="shared" si="6"/>
        <v>1026.25</v>
      </c>
    </row>
    <row r="39" spans="1:37" ht="24" customHeight="1">
      <c r="A39" s="218">
        <f t="shared" ref="A39:A58" si="9">(A38+1)</f>
        <v>28</v>
      </c>
      <c r="B39" s="522" t="s">
        <v>211</v>
      </c>
      <c r="C39" s="161">
        <v>41</v>
      </c>
      <c r="D39" s="220">
        <v>500</v>
      </c>
      <c r="K39" s="5" t="s">
        <v>1615</v>
      </c>
      <c r="T39" s="2">
        <v>31</v>
      </c>
      <c r="U39" s="1" t="s">
        <v>5638</v>
      </c>
      <c r="V39" s="1" t="s">
        <v>882</v>
      </c>
      <c r="W39" s="2"/>
      <c r="X39" s="8">
        <f>'lead  charge'!D16</f>
        <v>0</v>
      </c>
      <c r="Y39" s="437">
        <v>166.5</v>
      </c>
      <c r="Z39" s="788">
        <f>'lead  charge'!E16</f>
        <v>0</v>
      </c>
      <c r="AA39" s="2"/>
      <c r="AB39" s="10">
        <v>0</v>
      </c>
      <c r="AC39" s="1">
        <f>SUM(Y39+Z39+AA39+AB39)</f>
        <v>166.5</v>
      </c>
      <c r="AD39" s="1" t="s">
        <v>5060</v>
      </c>
      <c r="AE39" s="439">
        <f t="shared" si="1"/>
        <v>78.05</v>
      </c>
      <c r="AF39" s="419">
        <v>70.95</v>
      </c>
      <c r="AG39" s="8">
        <f t="shared" si="2"/>
        <v>78.05</v>
      </c>
      <c r="AH39">
        <f t="shared" si="3"/>
        <v>85.14</v>
      </c>
      <c r="AI39">
        <f t="shared" si="4"/>
        <v>106.43</v>
      </c>
      <c r="AJ39">
        <f t="shared" si="5"/>
        <v>74.5</v>
      </c>
      <c r="AK39">
        <f t="shared" si="6"/>
        <v>88.69</v>
      </c>
    </row>
    <row r="40" spans="1:37" ht="24" customHeight="1">
      <c r="A40" s="218">
        <f t="shared" si="9"/>
        <v>29</v>
      </c>
      <c r="B40" s="522" t="s">
        <v>1032</v>
      </c>
      <c r="C40" s="161">
        <v>28</v>
      </c>
      <c r="D40" s="536">
        <v>116.2</v>
      </c>
      <c r="H40" s="1" t="s">
        <v>1542</v>
      </c>
      <c r="K40" s="38">
        <f>SUM(K35:K38)</f>
        <v>3904.1</v>
      </c>
      <c r="T40" s="5"/>
      <c r="W40" s="2" t="s">
        <v>1615</v>
      </c>
      <c r="Y40" s="438"/>
      <c r="Z40" s="790"/>
      <c r="AD40" s="438"/>
      <c r="AE40" s="439">
        <f t="shared" si="1"/>
        <v>0</v>
      </c>
      <c r="AF40" s="438"/>
      <c r="AG40" s="8">
        <f t="shared" si="2"/>
        <v>0</v>
      </c>
      <c r="AH40">
        <f t="shared" si="3"/>
        <v>0</v>
      </c>
      <c r="AI40">
        <f t="shared" si="4"/>
        <v>0</v>
      </c>
      <c r="AJ40">
        <f t="shared" si="5"/>
        <v>0</v>
      </c>
      <c r="AK40">
        <f t="shared" si="6"/>
        <v>0</v>
      </c>
    </row>
    <row r="41" spans="1:37" ht="24" customHeight="1">
      <c r="A41" s="218">
        <f t="shared" si="9"/>
        <v>30</v>
      </c>
      <c r="B41" s="522" t="s">
        <v>1803</v>
      </c>
      <c r="C41" s="220">
        <f>AE22</f>
        <v>770</v>
      </c>
      <c r="D41" s="219" t="s">
        <v>785</v>
      </c>
      <c r="K41" s="5" t="s">
        <v>1615</v>
      </c>
      <c r="U41" s="1" t="s">
        <v>5639</v>
      </c>
      <c r="V41" s="1" t="s">
        <v>1471</v>
      </c>
      <c r="W41" s="2" t="str">
        <f>W34</f>
        <v>Nerkunram</v>
      </c>
      <c r="X41" s="8">
        <f>'lead  charge'!M10</f>
        <v>22</v>
      </c>
      <c r="Y41" s="419">
        <v>6595</v>
      </c>
      <c r="Z41" s="788">
        <f>'lead  charge'!N10</f>
        <v>322.39999999999998</v>
      </c>
      <c r="AA41" s="2">
        <v>0</v>
      </c>
      <c r="AB41" s="10">
        <v>0</v>
      </c>
      <c r="AC41" s="1">
        <f t="shared" ref="AC41:AC47" si="10">SUM(Y41+Z41+AA41+AB41)</f>
        <v>6917.4</v>
      </c>
      <c r="AD41" s="845" t="s">
        <v>5061</v>
      </c>
      <c r="AE41" s="439">
        <f t="shared" si="1"/>
        <v>82.28</v>
      </c>
      <c r="AF41" s="419">
        <v>74.8</v>
      </c>
      <c r="AG41" s="8">
        <f t="shared" si="2"/>
        <v>82.28</v>
      </c>
      <c r="AH41">
        <f t="shared" si="3"/>
        <v>89.76</v>
      </c>
      <c r="AI41">
        <f t="shared" si="4"/>
        <v>112.2</v>
      </c>
      <c r="AJ41">
        <f t="shared" si="5"/>
        <v>78.540000000000006</v>
      </c>
      <c r="AK41">
        <f t="shared" si="6"/>
        <v>93.5</v>
      </c>
    </row>
    <row r="42" spans="1:37" ht="24" customHeight="1">
      <c r="A42" s="218">
        <f t="shared" si="9"/>
        <v>31</v>
      </c>
      <c r="B42" s="522" t="s">
        <v>1804</v>
      </c>
      <c r="C42" s="161">
        <v>5</v>
      </c>
      <c r="D42" s="158" t="s">
        <v>1805</v>
      </c>
      <c r="G42" s="7" t="s">
        <v>2290</v>
      </c>
      <c r="H42" s="1" t="s">
        <v>1656</v>
      </c>
      <c r="U42" s="1" t="s">
        <v>5640</v>
      </c>
      <c r="V42" s="1" t="s">
        <v>1471</v>
      </c>
      <c r="W42" s="2" t="str">
        <f>W41</f>
        <v>Nerkunram</v>
      </c>
      <c r="X42" s="8">
        <f>X41</f>
        <v>22</v>
      </c>
      <c r="Y42" s="419">
        <v>6795</v>
      </c>
      <c r="Z42" s="788">
        <f>Z41</f>
        <v>322.39999999999998</v>
      </c>
      <c r="AA42" s="2">
        <v>0</v>
      </c>
      <c r="AB42" s="10">
        <v>0</v>
      </c>
      <c r="AC42" s="1">
        <f t="shared" si="10"/>
        <v>7117.4</v>
      </c>
      <c r="AD42" s="845" t="s">
        <v>379</v>
      </c>
      <c r="AE42" s="439">
        <f t="shared" si="1"/>
        <v>165.99</v>
      </c>
      <c r="AF42" s="419">
        <v>150.9</v>
      </c>
      <c r="AG42" s="8">
        <f t="shared" si="2"/>
        <v>165.99</v>
      </c>
      <c r="AH42">
        <f t="shared" si="3"/>
        <v>181.08</v>
      </c>
      <c r="AI42">
        <f t="shared" si="4"/>
        <v>226.35</v>
      </c>
      <c r="AJ42">
        <f t="shared" si="5"/>
        <v>158.44999999999999</v>
      </c>
      <c r="AK42">
        <f t="shared" si="6"/>
        <v>188.63</v>
      </c>
    </row>
    <row r="43" spans="1:37" ht="24" customHeight="1">
      <c r="A43" s="218">
        <f t="shared" si="9"/>
        <v>32</v>
      </c>
      <c r="B43" s="1" t="s">
        <v>5062</v>
      </c>
      <c r="C43" s="419">
        <v>8.9</v>
      </c>
      <c r="D43" s="158" t="s">
        <v>785</v>
      </c>
      <c r="H43" s="5" t="s">
        <v>1615</v>
      </c>
      <c r="U43" s="1" t="s">
        <v>5857</v>
      </c>
      <c r="V43" s="1" t="s">
        <v>2190</v>
      </c>
      <c r="W43" s="4" t="str">
        <f>W11</f>
        <v>Pallavaram</v>
      </c>
      <c r="X43">
        <f>'lead  charge'!P13</f>
        <v>23</v>
      </c>
      <c r="Y43" s="419">
        <v>123.7</v>
      </c>
      <c r="Z43" s="788">
        <f>'lead  charge'!Q13</f>
        <v>163.30000000000001</v>
      </c>
      <c r="AA43" s="2">
        <v>0</v>
      </c>
      <c r="AB43" s="10">
        <v>0</v>
      </c>
      <c r="AC43" s="1">
        <f t="shared" si="10"/>
        <v>287</v>
      </c>
      <c r="AD43" s="845" t="s">
        <v>2301</v>
      </c>
      <c r="AE43" s="439">
        <f t="shared" si="1"/>
        <v>165.99</v>
      </c>
      <c r="AF43" s="419">
        <f>AF42</f>
        <v>150.9</v>
      </c>
      <c r="AG43" s="8">
        <f t="shared" si="2"/>
        <v>165.99</v>
      </c>
      <c r="AH43">
        <f t="shared" si="3"/>
        <v>181.08</v>
      </c>
      <c r="AI43">
        <f t="shared" si="4"/>
        <v>226.35</v>
      </c>
      <c r="AJ43">
        <f t="shared" si="5"/>
        <v>158.44999999999999</v>
      </c>
      <c r="AK43">
        <f t="shared" si="6"/>
        <v>188.63</v>
      </c>
    </row>
    <row r="44" spans="1:37" ht="24" customHeight="1">
      <c r="A44" s="218">
        <f t="shared" si="9"/>
        <v>33</v>
      </c>
      <c r="B44" s="522" t="s">
        <v>264</v>
      </c>
      <c r="C44" s="419">
        <v>8.9</v>
      </c>
      <c r="D44" s="158" t="s">
        <v>785</v>
      </c>
      <c r="F44" s="12">
        <v>0.28799999999999998</v>
      </c>
      <c r="G44" s="7" t="s">
        <v>877</v>
      </c>
      <c r="H44" s="1" t="s">
        <v>878</v>
      </c>
      <c r="I44" s="8">
        <f>(C67)</f>
        <v>6040</v>
      </c>
      <c r="J44" s="1" t="s">
        <v>877</v>
      </c>
      <c r="K44" s="8">
        <f>(F44*I44)</f>
        <v>1739.52</v>
      </c>
      <c r="U44" s="1" t="s">
        <v>4773</v>
      </c>
      <c r="V44" s="1" t="s">
        <v>2190</v>
      </c>
      <c r="W44" s="4" t="str">
        <f>W43</f>
        <v>Pallavaram</v>
      </c>
      <c r="X44">
        <f>X11</f>
        <v>23</v>
      </c>
      <c r="Y44" s="419">
        <f>ROUND((677+1001)/2,2)</f>
        <v>839</v>
      </c>
      <c r="Z44" s="788">
        <f>Z11</f>
        <v>237.69</v>
      </c>
      <c r="AA44" s="2">
        <v>0</v>
      </c>
      <c r="AB44" s="10">
        <v>0</v>
      </c>
      <c r="AC44" s="1">
        <f t="shared" si="10"/>
        <v>1076.69</v>
      </c>
      <c r="AD44" s="845" t="s">
        <v>5063</v>
      </c>
      <c r="AE44" s="439">
        <f t="shared" si="1"/>
        <v>124.96</v>
      </c>
      <c r="AF44" s="419">
        <v>113.6</v>
      </c>
      <c r="AG44" s="8">
        <f t="shared" si="2"/>
        <v>124.96</v>
      </c>
      <c r="AH44">
        <f t="shared" si="3"/>
        <v>136.32</v>
      </c>
      <c r="AI44">
        <f t="shared" si="4"/>
        <v>170.4</v>
      </c>
      <c r="AJ44">
        <f t="shared" si="5"/>
        <v>119.28</v>
      </c>
      <c r="AK44">
        <f t="shared" si="6"/>
        <v>142</v>
      </c>
    </row>
    <row r="45" spans="1:37" ht="24" customHeight="1">
      <c r="A45" s="218">
        <f t="shared" si="9"/>
        <v>34</v>
      </c>
      <c r="B45" s="522" t="s">
        <v>1947</v>
      </c>
      <c r="C45" s="419">
        <v>10.65</v>
      </c>
      <c r="D45" s="158" t="s">
        <v>785</v>
      </c>
      <c r="F45" s="8">
        <v>1</v>
      </c>
      <c r="G45" s="7" t="s">
        <v>885</v>
      </c>
      <c r="H45" s="1" t="s">
        <v>886</v>
      </c>
      <c r="I45" s="8">
        <f>I36</f>
        <v>1608.7</v>
      </c>
      <c r="J45" s="1" t="s">
        <v>885</v>
      </c>
      <c r="K45" s="8">
        <f>(F45*I45)</f>
        <v>1608.7</v>
      </c>
      <c r="U45" s="1" t="s">
        <v>5858</v>
      </c>
      <c r="W45" s="4" t="str">
        <f>W41</f>
        <v>Nerkunram</v>
      </c>
      <c r="X45">
        <f>'lead  charge'!M10</f>
        <v>22</v>
      </c>
      <c r="Y45" s="419">
        <v>6595</v>
      </c>
      <c r="Z45" s="790">
        <f>Z41</f>
        <v>322.39999999999998</v>
      </c>
      <c r="AC45" s="1">
        <f t="shared" si="10"/>
        <v>6917.4</v>
      </c>
      <c r="AD45" s="845" t="s">
        <v>289</v>
      </c>
      <c r="AE45" s="439">
        <f t="shared" si="1"/>
        <v>246.18</v>
      </c>
      <c r="AF45" s="419">
        <v>223.8</v>
      </c>
      <c r="AG45" s="8">
        <f t="shared" si="2"/>
        <v>246.18</v>
      </c>
      <c r="AH45">
        <f t="shared" si="3"/>
        <v>268.56</v>
      </c>
      <c r="AI45">
        <f t="shared" si="4"/>
        <v>335.7</v>
      </c>
      <c r="AJ45">
        <f t="shared" si="5"/>
        <v>234.99</v>
      </c>
      <c r="AK45">
        <f t="shared" si="6"/>
        <v>279.75</v>
      </c>
    </row>
    <row r="46" spans="1:37" ht="24" customHeight="1">
      <c r="A46" s="218">
        <f t="shared" si="9"/>
        <v>35</v>
      </c>
      <c r="B46" s="522" t="s">
        <v>78</v>
      </c>
      <c r="C46" s="419">
        <v>12.85</v>
      </c>
      <c r="D46" s="158" t="s">
        <v>785</v>
      </c>
      <c r="F46" s="8">
        <v>1</v>
      </c>
      <c r="G46" s="7" t="s">
        <v>885</v>
      </c>
      <c r="H46" s="1" t="s">
        <v>890</v>
      </c>
      <c r="I46" s="8">
        <f>(C18)</f>
        <v>121</v>
      </c>
      <c r="J46" s="1" t="s">
        <v>885</v>
      </c>
      <c r="K46" s="8">
        <f>(F46*I46)</f>
        <v>121</v>
      </c>
      <c r="U46" s="1" t="s">
        <v>4765</v>
      </c>
      <c r="V46" s="1" t="s">
        <v>882</v>
      </c>
      <c r="W46" s="2"/>
      <c r="X46" s="8">
        <f>'lead  charge'!D11</f>
        <v>30</v>
      </c>
      <c r="Y46" s="436">
        <v>1312</v>
      </c>
      <c r="Z46" s="788">
        <f>'lead  charge'!E11</f>
        <v>296.7</v>
      </c>
      <c r="AA46" s="2"/>
      <c r="AB46" s="10">
        <v>0</v>
      </c>
      <c r="AC46" s="1">
        <f t="shared" si="10"/>
        <v>1608.7</v>
      </c>
      <c r="AD46" s="845" t="s">
        <v>847</v>
      </c>
      <c r="AE46" s="439">
        <f t="shared" si="1"/>
        <v>246.18</v>
      </c>
      <c r="AF46" s="419">
        <f>AF45</f>
        <v>223.8</v>
      </c>
      <c r="AG46" s="8">
        <f t="shared" si="2"/>
        <v>246.18</v>
      </c>
      <c r="AH46">
        <f t="shared" si="3"/>
        <v>268.56</v>
      </c>
      <c r="AI46">
        <f t="shared" si="4"/>
        <v>335.7</v>
      </c>
      <c r="AJ46">
        <f t="shared" si="5"/>
        <v>234.99</v>
      </c>
      <c r="AK46">
        <f t="shared" si="6"/>
        <v>279.75</v>
      </c>
    </row>
    <row r="47" spans="1:37" ht="24" customHeight="1">
      <c r="A47" s="218">
        <f t="shared" si="9"/>
        <v>36</v>
      </c>
      <c r="B47" s="522" t="s">
        <v>80</v>
      </c>
      <c r="C47" s="419">
        <v>17.350000000000001</v>
      </c>
      <c r="D47" s="158" t="s">
        <v>785</v>
      </c>
      <c r="G47" s="7" t="s">
        <v>455</v>
      </c>
      <c r="H47" s="1" t="s">
        <v>456</v>
      </c>
      <c r="I47" s="1" t="s">
        <v>992</v>
      </c>
      <c r="J47" s="1" t="s">
        <v>455</v>
      </c>
      <c r="K47" s="8">
        <v>0</v>
      </c>
      <c r="N47" s="1" t="s">
        <v>2290</v>
      </c>
      <c r="O47" s="1" t="s">
        <v>1279</v>
      </c>
      <c r="U47" s="1" t="s">
        <v>4531</v>
      </c>
      <c r="V47" s="1" t="s">
        <v>882</v>
      </c>
      <c r="W47" s="2"/>
      <c r="X47" s="8">
        <f>X46</f>
        <v>30</v>
      </c>
      <c r="Y47" s="436">
        <f>Y46</f>
        <v>1312</v>
      </c>
      <c r="Z47" s="788">
        <f>Z46</f>
        <v>296.7</v>
      </c>
      <c r="AA47" s="2"/>
      <c r="AB47" s="10">
        <v>0</v>
      </c>
      <c r="AC47" s="1">
        <f t="shared" si="10"/>
        <v>1608.7</v>
      </c>
      <c r="AD47" s="846"/>
      <c r="AE47" s="439">
        <f t="shared" si="1"/>
        <v>0</v>
      </c>
      <c r="AF47" s="439"/>
      <c r="AG47" s="8">
        <f t="shared" si="2"/>
        <v>0</v>
      </c>
      <c r="AH47">
        <f t="shared" si="3"/>
        <v>0</v>
      </c>
      <c r="AI47">
        <f t="shared" si="4"/>
        <v>0</v>
      </c>
      <c r="AJ47">
        <f t="shared" si="5"/>
        <v>0</v>
      </c>
      <c r="AK47">
        <f t="shared" si="6"/>
        <v>0</v>
      </c>
    </row>
    <row r="48" spans="1:37" ht="24" customHeight="1">
      <c r="A48" s="218">
        <f t="shared" si="9"/>
        <v>37</v>
      </c>
      <c r="B48" s="522" t="s">
        <v>1280</v>
      </c>
      <c r="C48" s="419">
        <v>22.3</v>
      </c>
      <c r="D48" s="419">
        <v>44.9</v>
      </c>
      <c r="K48" s="5" t="s">
        <v>1615</v>
      </c>
      <c r="O48" s="1" t="s">
        <v>655</v>
      </c>
      <c r="U48" s="5" t="s">
        <v>1615</v>
      </c>
      <c r="V48" s="5" t="s">
        <v>1615</v>
      </c>
      <c r="W48" s="2" t="s">
        <v>1615</v>
      </c>
      <c r="X48" s="5" t="s">
        <v>1615</v>
      </c>
      <c r="Y48" s="739" t="s">
        <v>1615</v>
      </c>
      <c r="Z48" s="788" t="s">
        <v>1615</v>
      </c>
      <c r="AA48" s="5" t="s">
        <v>1615</v>
      </c>
      <c r="AB48" s="5" t="s">
        <v>1615</v>
      </c>
      <c r="AC48" s="5" t="s">
        <v>1615</v>
      </c>
      <c r="AD48" s="847" t="s">
        <v>1615</v>
      </c>
      <c r="AE48" s="439">
        <f t="shared" si="1"/>
        <v>0</v>
      </c>
      <c r="AF48" s="739" t="s">
        <v>1615</v>
      </c>
      <c r="AG48" s="8">
        <f t="shared" si="2"/>
        <v>0</v>
      </c>
      <c r="AH48">
        <f t="shared" si="3"/>
        <v>0</v>
      </c>
      <c r="AI48">
        <f t="shared" si="4"/>
        <v>0</v>
      </c>
      <c r="AJ48">
        <f t="shared" si="5"/>
        <v>0</v>
      </c>
      <c r="AK48">
        <f t="shared" si="6"/>
        <v>0</v>
      </c>
    </row>
    <row r="49" spans="1:45" ht="24" customHeight="1">
      <c r="A49" s="218">
        <f t="shared" si="9"/>
        <v>38</v>
      </c>
      <c r="B49" s="522" t="s">
        <v>1738</v>
      </c>
      <c r="C49" s="419">
        <v>24.2</v>
      </c>
      <c r="D49" s="419">
        <v>31.5</v>
      </c>
      <c r="H49" s="1" t="s">
        <v>1542</v>
      </c>
      <c r="K49" s="38">
        <f>SUM(K44:K47)</f>
        <v>3469.22</v>
      </c>
      <c r="O49" s="5" t="s">
        <v>1615</v>
      </c>
      <c r="W49" s="4"/>
      <c r="Z49" s="790"/>
      <c r="AD49" s="845" t="s">
        <v>5064</v>
      </c>
      <c r="AE49" s="439">
        <f t="shared" si="1"/>
        <v>4.4000000000000004</v>
      </c>
      <c r="AF49" s="419">
        <v>4</v>
      </c>
      <c r="AG49" s="8">
        <f t="shared" si="2"/>
        <v>4.4000000000000004</v>
      </c>
      <c r="AH49">
        <f t="shared" si="3"/>
        <v>4.8</v>
      </c>
      <c r="AI49">
        <f t="shared" si="4"/>
        <v>6</v>
      </c>
      <c r="AJ49">
        <f t="shared" si="5"/>
        <v>4.2</v>
      </c>
      <c r="AK49">
        <f t="shared" si="6"/>
        <v>5</v>
      </c>
    </row>
    <row r="50" spans="1:45" ht="24" customHeight="1">
      <c r="A50" s="218">
        <f t="shared" si="9"/>
        <v>39</v>
      </c>
      <c r="B50" s="522" t="s">
        <v>4194</v>
      </c>
      <c r="C50" s="419">
        <v>12.65</v>
      </c>
      <c r="D50" s="158" t="s">
        <v>785</v>
      </c>
      <c r="K50" s="5" t="s">
        <v>1615</v>
      </c>
      <c r="M50" s="8">
        <v>9</v>
      </c>
      <c r="N50" s="1" t="s">
        <v>885</v>
      </c>
      <c r="O50" s="1" t="s">
        <v>655</v>
      </c>
      <c r="P50" s="8">
        <f>(C81)</f>
        <v>862.5</v>
      </c>
      <c r="Q50" s="1" t="s">
        <v>885</v>
      </c>
      <c r="R50" s="8">
        <f>(M50*P50)</f>
        <v>7762.5</v>
      </c>
      <c r="W50" s="4"/>
      <c r="Z50" s="790"/>
      <c r="AD50" s="845" t="s">
        <v>5641</v>
      </c>
      <c r="AE50" s="439">
        <f t="shared" si="1"/>
        <v>5.5</v>
      </c>
      <c r="AF50" s="419">
        <v>5</v>
      </c>
      <c r="AG50" s="8">
        <f t="shared" si="2"/>
        <v>5.5</v>
      </c>
      <c r="AH50">
        <f t="shared" si="3"/>
        <v>6</v>
      </c>
      <c r="AI50">
        <f t="shared" si="4"/>
        <v>7.5</v>
      </c>
      <c r="AJ50">
        <f t="shared" si="5"/>
        <v>5.25</v>
      </c>
      <c r="AK50">
        <f t="shared" si="6"/>
        <v>6.25</v>
      </c>
    </row>
    <row r="51" spans="1:45" ht="24" customHeight="1">
      <c r="A51" s="218">
        <f t="shared" si="9"/>
        <v>40</v>
      </c>
      <c r="B51" s="522" t="s">
        <v>1661</v>
      </c>
      <c r="C51" s="419">
        <v>12.85</v>
      </c>
      <c r="D51" s="158" t="s">
        <v>785</v>
      </c>
      <c r="G51" s="7" t="s">
        <v>2290</v>
      </c>
      <c r="H51" s="1" t="s">
        <v>1662</v>
      </c>
      <c r="M51" s="8">
        <v>4.5</v>
      </c>
      <c r="N51" s="1" t="s">
        <v>885</v>
      </c>
      <c r="O51" s="1" t="s">
        <v>1663</v>
      </c>
      <c r="P51" s="8">
        <f>(K77)</f>
        <v>2816.9</v>
      </c>
      <c r="Q51" s="1" t="s">
        <v>885</v>
      </c>
      <c r="R51" s="8">
        <f>(M51*P51)</f>
        <v>12676.05</v>
      </c>
      <c r="W51" s="4"/>
      <c r="Z51" s="790"/>
      <c r="AD51" s="845" t="s">
        <v>5065</v>
      </c>
      <c r="AE51" s="439">
        <f t="shared" si="1"/>
        <v>0</v>
      </c>
      <c r="AF51" s="419"/>
      <c r="AG51" s="8">
        <f t="shared" si="2"/>
        <v>0</v>
      </c>
      <c r="AH51">
        <f t="shared" si="3"/>
        <v>0</v>
      </c>
      <c r="AI51">
        <f t="shared" si="4"/>
        <v>0</v>
      </c>
      <c r="AJ51">
        <f t="shared" si="5"/>
        <v>0</v>
      </c>
      <c r="AK51">
        <f t="shared" si="6"/>
        <v>0</v>
      </c>
    </row>
    <row r="52" spans="1:45" ht="24" customHeight="1">
      <c r="A52" s="218">
        <f t="shared" si="9"/>
        <v>41</v>
      </c>
      <c r="B52" s="522" t="s">
        <v>1743</v>
      </c>
      <c r="C52" s="419">
        <v>26.6</v>
      </c>
      <c r="D52" s="158" t="s">
        <v>785</v>
      </c>
      <c r="H52" s="5" t="s">
        <v>1615</v>
      </c>
      <c r="M52" s="8">
        <v>1.8</v>
      </c>
      <c r="N52" s="1" t="s">
        <v>884</v>
      </c>
      <c r="O52" s="1" t="s">
        <v>1744</v>
      </c>
      <c r="P52" s="8">
        <f>(C11)</f>
        <v>972.4</v>
      </c>
      <c r="Q52" s="1" t="s">
        <v>884</v>
      </c>
      <c r="R52" s="8">
        <f>(M52*P52)</f>
        <v>1750.32</v>
      </c>
      <c r="W52" s="4"/>
      <c r="Z52" s="790"/>
      <c r="AD52" s="845" t="s">
        <v>5642</v>
      </c>
      <c r="AE52" s="439">
        <f t="shared" si="1"/>
        <v>223.3</v>
      </c>
      <c r="AF52" s="431">
        <v>203</v>
      </c>
      <c r="AG52" s="8">
        <f t="shared" si="2"/>
        <v>223.3</v>
      </c>
      <c r="AH52">
        <f t="shared" si="3"/>
        <v>243.6</v>
      </c>
      <c r="AI52">
        <f t="shared" si="4"/>
        <v>304.5</v>
      </c>
      <c r="AJ52">
        <f t="shared" si="5"/>
        <v>213.15</v>
      </c>
      <c r="AK52">
        <f t="shared" si="6"/>
        <v>253.75</v>
      </c>
    </row>
    <row r="53" spans="1:45" ht="24" customHeight="1">
      <c r="A53" s="218">
        <f t="shared" si="9"/>
        <v>42</v>
      </c>
      <c r="B53" s="522" t="s">
        <v>1936</v>
      </c>
      <c r="C53" s="419">
        <v>35.9</v>
      </c>
      <c r="D53" s="419">
        <v>90.6</v>
      </c>
      <c r="F53" s="8">
        <v>0.24</v>
      </c>
      <c r="G53" s="7" t="s">
        <v>877</v>
      </c>
      <c r="H53" s="1" t="s">
        <v>878</v>
      </c>
      <c r="I53" s="8">
        <f>(C67)</f>
        <v>6040</v>
      </c>
      <c r="J53" s="1" t="s">
        <v>877</v>
      </c>
      <c r="K53" s="8">
        <f>(F53*I53)</f>
        <v>1449.6</v>
      </c>
      <c r="M53" s="8">
        <v>17.7</v>
      </c>
      <c r="N53" s="1" t="s">
        <v>884</v>
      </c>
      <c r="O53" s="1" t="s">
        <v>1937</v>
      </c>
      <c r="P53" s="8">
        <f>(C12)</f>
        <v>679.8</v>
      </c>
      <c r="Q53" s="1" t="s">
        <v>884</v>
      </c>
      <c r="R53" s="8">
        <f>(M53*P53)</f>
        <v>12032.46</v>
      </c>
      <c r="W53" s="4"/>
      <c r="Z53" s="790"/>
      <c r="AD53" s="845" t="s">
        <v>5643</v>
      </c>
      <c r="AE53" s="439">
        <f t="shared" si="1"/>
        <v>344.3</v>
      </c>
      <c r="AF53" s="431">
        <v>313</v>
      </c>
      <c r="AG53" s="8">
        <f t="shared" si="2"/>
        <v>344.3</v>
      </c>
      <c r="AH53">
        <f t="shared" si="3"/>
        <v>375.6</v>
      </c>
      <c r="AI53">
        <f t="shared" si="4"/>
        <v>469.5</v>
      </c>
      <c r="AJ53">
        <f t="shared" si="5"/>
        <v>328.65</v>
      </c>
      <c r="AK53">
        <f t="shared" si="6"/>
        <v>391.25</v>
      </c>
    </row>
    <row r="54" spans="1:45" ht="24" customHeight="1">
      <c r="A54" s="218">
        <f t="shared" si="9"/>
        <v>43</v>
      </c>
      <c r="B54" s="522" t="s">
        <v>324</v>
      </c>
      <c r="C54" s="419">
        <v>40.450000000000003</v>
      </c>
      <c r="D54" s="419">
        <v>68.400000000000006</v>
      </c>
      <c r="F54" s="8">
        <v>1</v>
      </c>
      <c r="G54" s="7" t="s">
        <v>885</v>
      </c>
      <c r="H54" s="1" t="s">
        <v>886</v>
      </c>
      <c r="I54" s="8">
        <f>(C78)</f>
        <v>1608.7</v>
      </c>
      <c r="J54" s="1" t="s">
        <v>885</v>
      </c>
      <c r="K54" s="8">
        <f>(F54*I54)</f>
        <v>1608.7</v>
      </c>
      <c r="M54" s="8">
        <v>14.1</v>
      </c>
      <c r="N54" s="1" t="s">
        <v>884</v>
      </c>
      <c r="O54" s="1" t="s">
        <v>325</v>
      </c>
      <c r="P54" s="8">
        <f>(C13)</f>
        <v>557.70000000000005</v>
      </c>
      <c r="Q54" s="1" t="s">
        <v>884</v>
      </c>
      <c r="R54" s="8">
        <f>(M54*P54)</f>
        <v>7863.57</v>
      </c>
      <c r="W54" s="4"/>
      <c r="Z54" s="790"/>
      <c r="AD54" s="845" t="s">
        <v>5644</v>
      </c>
      <c r="AE54" s="439">
        <f t="shared" si="1"/>
        <v>9.52</v>
      </c>
      <c r="AF54" s="431">
        <v>8.65</v>
      </c>
      <c r="AG54" s="8">
        <f t="shared" si="2"/>
        <v>9.52</v>
      </c>
      <c r="AH54">
        <f t="shared" si="3"/>
        <v>10.38</v>
      </c>
      <c r="AI54">
        <f t="shared" si="4"/>
        <v>12.98</v>
      </c>
      <c r="AJ54">
        <f t="shared" si="5"/>
        <v>9.08</v>
      </c>
      <c r="AK54">
        <f t="shared" si="6"/>
        <v>10.81</v>
      </c>
    </row>
    <row r="55" spans="1:45" ht="24" customHeight="1">
      <c r="A55" s="218">
        <f t="shared" si="9"/>
        <v>44</v>
      </c>
      <c r="B55" s="522" t="s">
        <v>327</v>
      </c>
      <c r="C55" s="419">
        <v>44.9</v>
      </c>
      <c r="D55" s="419">
        <v>54.3</v>
      </c>
      <c r="F55" s="8">
        <v>1</v>
      </c>
      <c r="G55" s="7" t="s">
        <v>885</v>
      </c>
      <c r="H55" s="1" t="s">
        <v>890</v>
      </c>
      <c r="I55" s="8">
        <f>(C18)</f>
        <v>121</v>
      </c>
      <c r="J55" s="1" t="s">
        <v>885</v>
      </c>
      <c r="K55" s="8">
        <f>(F55*I55)</f>
        <v>121</v>
      </c>
      <c r="N55" s="1" t="s">
        <v>455</v>
      </c>
      <c r="O55" s="1" t="s">
        <v>456</v>
      </c>
      <c r="Q55" s="1" t="s">
        <v>455</v>
      </c>
      <c r="R55" s="8">
        <v>0</v>
      </c>
      <c r="W55" s="4"/>
      <c r="Z55" s="790"/>
      <c r="AD55" s="845" t="s">
        <v>5645</v>
      </c>
      <c r="AE55" s="439">
        <f t="shared" si="1"/>
        <v>10.29</v>
      </c>
      <c r="AF55" s="431">
        <v>9.35</v>
      </c>
      <c r="AG55" s="8">
        <f t="shared" si="2"/>
        <v>10.29</v>
      </c>
      <c r="AH55">
        <f t="shared" si="3"/>
        <v>11.22</v>
      </c>
      <c r="AI55">
        <f t="shared" si="4"/>
        <v>14.03</v>
      </c>
      <c r="AJ55">
        <f t="shared" si="5"/>
        <v>9.82</v>
      </c>
      <c r="AK55">
        <f t="shared" si="6"/>
        <v>11.69</v>
      </c>
    </row>
    <row r="56" spans="1:45" ht="24" customHeight="1">
      <c r="A56" s="218">
        <f t="shared" si="9"/>
        <v>45</v>
      </c>
      <c r="B56" s="522" t="s">
        <v>328</v>
      </c>
      <c r="C56" s="536">
        <v>12.1</v>
      </c>
      <c r="D56" s="219" t="s">
        <v>455</v>
      </c>
      <c r="G56" s="7" t="s">
        <v>455</v>
      </c>
      <c r="H56" s="1" t="s">
        <v>456</v>
      </c>
      <c r="I56" s="1" t="s">
        <v>992</v>
      </c>
      <c r="J56" s="1" t="s">
        <v>455</v>
      </c>
      <c r="K56" s="8">
        <v>0</v>
      </c>
      <c r="R56" s="5" t="s">
        <v>1615</v>
      </c>
      <c r="W56" s="4"/>
      <c r="AD56" s="845" t="s">
        <v>5646</v>
      </c>
      <c r="AE56" s="439">
        <f t="shared" si="1"/>
        <v>10.67</v>
      </c>
      <c r="AF56" s="431">
        <v>9.6999999999999993</v>
      </c>
      <c r="AG56" s="8">
        <f t="shared" si="2"/>
        <v>10.67</v>
      </c>
      <c r="AH56">
        <f t="shared" si="3"/>
        <v>11.64</v>
      </c>
      <c r="AI56">
        <f t="shared" si="4"/>
        <v>14.55</v>
      </c>
      <c r="AJ56">
        <f t="shared" si="5"/>
        <v>10.19</v>
      </c>
      <c r="AK56">
        <f t="shared" si="6"/>
        <v>12.13</v>
      </c>
    </row>
    <row r="57" spans="1:45" ht="24" customHeight="1">
      <c r="A57" s="218">
        <f t="shared" si="9"/>
        <v>46</v>
      </c>
      <c r="B57" s="1" t="s">
        <v>5066</v>
      </c>
      <c r="C57" s="419">
        <f>228.6/8</f>
        <v>28.58</v>
      </c>
      <c r="D57" s="219" t="s">
        <v>455</v>
      </c>
      <c r="K57" s="5" t="s">
        <v>1615</v>
      </c>
      <c r="O57" s="1" t="s">
        <v>626</v>
      </c>
      <c r="R57" s="8">
        <f>SUM(R50:R55)</f>
        <v>42084.9</v>
      </c>
      <c r="W57" s="4"/>
      <c r="AD57" s="845" t="s">
        <v>5859</v>
      </c>
      <c r="AE57" s="439">
        <f t="shared" si="1"/>
        <v>1613.7</v>
      </c>
      <c r="AF57" s="431">
        <v>1467</v>
      </c>
      <c r="AG57" s="8">
        <f t="shared" si="2"/>
        <v>1613.7</v>
      </c>
      <c r="AH57">
        <f t="shared" si="3"/>
        <v>1760.4</v>
      </c>
      <c r="AI57">
        <f t="shared" si="4"/>
        <v>2200.5</v>
      </c>
      <c r="AJ57">
        <f t="shared" si="5"/>
        <v>1540.35</v>
      </c>
      <c r="AK57">
        <f t="shared" si="6"/>
        <v>1833.75</v>
      </c>
    </row>
    <row r="58" spans="1:45" ht="24" customHeight="1">
      <c r="A58" s="218">
        <f t="shared" si="9"/>
        <v>47</v>
      </c>
      <c r="B58" s="1" t="s">
        <v>5647</v>
      </c>
      <c r="C58" s="419">
        <v>11.9</v>
      </c>
      <c r="D58" s="219" t="s">
        <v>5648</v>
      </c>
      <c r="H58" s="1" t="s">
        <v>1542</v>
      </c>
      <c r="K58" s="38">
        <f>SUM(K53:K56)</f>
        <v>3179.3</v>
      </c>
      <c r="R58" s="5" t="s">
        <v>1615</v>
      </c>
      <c r="W58" s="4"/>
      <c r="AD58" s="1" t="s">
        <v>5860</v>
      </c>
      <c r="AE58" s="439">
        <f t="shared" si="1"/>
        <v>1498.2</v>
      </c>
      <c r="AF58" s="419">
        <v>1362</v>
      </c>
      <c r="AG58" s="8">
        <f t="shared" si="2"/>
        <v>1498.2</v>
      </c>
      <c r="AH58">
        <f t="shared" si="3"/>
        <v>1634.4</v>
      </c>
      <c r="AI58">
        <f t="shared" si="4"/>
        <v>2043</v>
      </c>
      <c r="AJ58">
        <f t="shared" si="5"/>
        <v>1430.1</v>
      </c>
      <c r="AK58">
        <f t="shared" si="6"/>
        <v>1702.5</v>
      </c>
    </row>
    <row r="59" spans="1:45" ht="24" customHeight="1">
      <c r="A59" s="221"/>
      <c r="B59" s="438"/>
      <c r="C59" s="221"/>
      <c r="D59" s="221"/>
      <c r="F59" s="1" t="s">
        <v>992</v>
      </c>
      <c r="W59" s="4"/>
      <c r="AD59" s="1" t="s">
        <v>5057</v>
      </c>
      <c r="AE59" s="439">
        <f t="shared" si="1"/>
        <v>11.22</v>
      </c>
      <c r="AF59" s="51">
        <v>10.199999999999999</v>
      </c>
      <c r="AG59" s="8">
        <f t="shared" si="2"/>
        <v>11.22</v>
      </c>
      <c r="AH59">
        <f t="shared" si="3"/>
        <v>12.24</v>
      </c>
      <c r="AI59">
        <f t="shared" si="4"/>
        <v>15.3</v>
      </c>
      <c r="AJ59">
        <f t="shared" si="5"/>
        <v>10.71</v>
      </c>
      <c r="AK59">
        <f t="shared" si="6"/>
        <v>12.75</v>
      </c>
      <c r="AP59" s="36" t="s">
        <v>4526</v>
      </c>
    </row>
    <row r="60" spans="1:45" ht="24" customHeight="1">
      <c r="A60" s="218">
        <f>(A58+1)</f>
        <v>48</v>
      </c>
      <c r="B60" s="1" t="s">
        <v>5067</v>
      </c>
      <c r="C60" s="419">
        <v>30.35</v>
      </c>
      <c r="D60" s="522" t="s">
        <v>2114</v>
      </c>
      <c r="K60" s="5" t="s">
        <v>1615</v>
      </c>
      <c r="O60" s="1" t="s">
        <v>789</v>
      </c>
      <c r="R60" s="8">
        <f>(R57/10)</f>
        <v>4208.49</v>
      </c>
      <c r="W60" s="4"/>
      <c r="AD60" s="1" t="s">
        <v>5059</v>
      </c>
      <c r="AE60" s="439">
        <f t="shared" si="1"/>
        <v>57.75</v>
      </c>
      <c r="AF60" s="105">
        <v>52.5</v>
      </c>
      <c r="AG60" s="8">
        <f t="shared" si="2"/>
        <v>57.75</v>
      </c>
      <c r="AH60">
        <f t="shared" si="3"/>
        <v>63</v>
      </c>
      <c r="AI60">
        <f t="shared" si="4"/>
        <v>78.75</v>
      </c>
      <c r="AJ60">
        <f t="shared" si="5"/>
        <v>55.13</v>
      </c>
      <c r="AK60">
        <f t="shared" si="6"/>
        <v>65.63</v>
      </c>
      <c r="AN60" s="24">
        <v>6.5</v>
      </c>
      <c r="AO60" s="7" t="s">
        <v>2290</v>
      </c>
      <c r="AP60" s="522" t="s">
        <v>3825</v>
      </c>
      <c r="AR60" s="10"/>
    </row>
    <row r="61" spans="1:45" ht="24" customHeight="1">
      <c r="A61" s="218">
        <f t="shared" ref="A61:A91" si="11">(A60+1)</f>
        <v>49</v>
      </c>
      <c r="B61" s="1" t="s">
        <v>5068</v>
      </c>
      <c r="C61" s="439">
        <f>AE29</f>
        <v>116.88</v>
      </c>
      <c r="D61" s="439">
        <f>AE36</f>
        <v>174.02</v>
      </c>
      <c r="G61" s="7" t="s">
        <v>2290</v>
      </c>
      <c r="H61" s="1" t="s">
        <v>2116</v>
      </c>
      <c r="R61" s="5" t="s">
        <v>2091</v>
      </c>
      <c r="W61" s="4"/>
      <c r="AE61" s="439">
        <f t="shared" si="1"/>
        <v>0</v>
      </c>
      <c r="AG61" s="8">
        <f t="shared" si="2"/>
        <v>0</v>
      </c>
      <c r="AH61">
        <f t="shared" si="3"/>
        <v>0</v>
      </c>
      <c r="AI61">
        <f t="shared" si="4"/>
        <v>0</v>
      </c>
      <c r="AJ61">
        <f t="shared" si="5"/>
        <v>0</v>
      </c>
      <c r="AK61">
        <f t="shared" si="6"/>
        <v>0</v>
      </c>
      <c r="AO61" s="3"/>
      <c r="AP61" s="522" t="s">
        <v>3826</v>
      </c>
      <c r="AR61" s="10"/>
    </row>
    <row r="62" spans="1:45" ht="24" customHeight="1">
      <c r="A62" s="218">
        <f t="shared" si="11"/>
        <v>50</v>
      </c>
      <c r="B62" s="1" t="s">
        <v>5069</v>
      </c>
      <c r="C62" s="419">
        <v>672</v>
      </c>
      <c r="D62" s="522" t="s">
        <v>884</v>
      </c>
      <c r="H62" s="5" t="s">
        <v>1615</v>
      </c>
      <c r="N62" s="1" t="s">
        <v>2290</v>
      </c>
      <c r="O62" s="1" t="s">
        <v>1381</v>
      </c>
      <c r="W62" s="4"/>
      <c r="AD62" s="590" t="s">
        <v>5769</v>
      </c>
      <c r="AE62" s="439">
        <f t="shared" si="1"/>
        <v>7018</v>
      </c>
      <c r="AF62">
        <v>6380</v>
      </c>
      <c r="AG62" s="8">
        <f t="shared" si="2"/>
        <v>7018</v>
      </c>
      <c r="AH62">
        <f t="shared" si="3"/>
        <v>7656</v>
      </c>
      <c r="AI62">
        <f t="shared" si="4"/>
        <v>9570</v>
      </c>
      <c r="AJ62">
        <f t="shared" si="5"/>
        <v>6699</v>
      </c>
      <c r="AK62">
        <f t="shared" si="6"/>
        <v>7975</v>
      </c>
      <c r="AO62" s="3"/>
      <c r="AP62" s="5" t="s">
        <v>1615</v>
      </c>
      <c r="AR62" s="10"/>
    </row>
    <row r="63" spans="1:45" ht="24" customHeight="1">
      <c r="A63" s="218">
        <f t="shared" si="11"/>
        <v>51</v>
      </c>
      <c r="B63" s="605" t="s">
        <v>2081</v>
      </c>
      <c r="C63" s="536">
        <v>42</v>
      </c>
      <c r="D63" s="522" t="s">
        <v>455</v>
      </c>
      <c r="F63" s="12">
        <v>0.20599999999999999</v>
      </c>
      <c r="G63" s="7" t="s">
        <v>877</v>
      </c>
      <c r="H63" s="1" t="s">
        <v>878</v>
      </c>
      <c r="I63" s="8">
        <f>(C67)</f>
        <v>6040</v>
      </c>
      <c r="J63" s="1" t="s">
        <v>877</v>
      </c>
      <c r="K63" s="8">
        <f>(F63*I63)</f>
        <v>1244.24</v>
      </c>
      <c r="O63" s="1" t="s">
        <v>1513</v>
      </c>
      <c r="W63" s="4"/>
      <c r="AB63" s="55"/>
      <c r="AD63" s="1042" t="s">
        <v>5770</v>
      </c>
      <c r="AE63" s="439">
        <f t="shared" si="1"/>
        <v>12.6</v>
      </c>
      <c r="AF63">
        <v>11.45</v>
      </c>
      <c r="AG63" s="8">
        <f t="shared" si="2"/>
        <v>12.6</v>
      </c>
      <c r="AH63">
        <f t="shared" si="3"/>
        <v>13.74</v>
      </c>
      <c r="AI63">
        <f t="shared" si="4"/>
        <v>17.18</v>
      </c>
      <c r="AJ63">
        <f t="shared" si="5"/>
        <v>12.02</v>
      </c>
      <c r="AK63">
        <f t="shared" si="6"/>
        <v>14.31</v>
      </c>
      <c r="AN63" s="8">
        <v>1300</v>
      </c>
      <c r="AO63" s="7" t="s">
        <v>1450</v>
      </c>
      <c r="AP63" s="8" t="str">
        <f>AP61</f>
        <v>Bricks of size 23x11x7 cm</v>
      </c>
      <c r="AQ63" s="8">
        <f>AC45</f>
        <v>6917.4</v>
      </c>
      <c r="AR63" s="1" t="s">
        <v>1623</v>
      </c>
      <c r="AS63" s="8">
        <f>(AN63*AQ63)/1000</f>
        <v>8992.6200000000008</v>
      </c>
    </row>
    <row r="64" spans="1:45" ht="24" customHeight="1">
      <c r="A64" s="218">
        <f t="shared" si="11"/>
        <v>52</v>
      </c>
      <c r="B64" s="1" t="s">
        <v>5070</v>
      </c>
      <c r="C64" s="419">
        <v>266</v>
      </c>
      <c r="D64" s="522" t="s">
        <v>885</v>
      </c>
      <c r="F64" s="8">
        <v>1</v>
      </c>
      <c r="G64" s="7" t="s">
        <v>885</v>
      </c>
      <c r="H64" s="1" t="s">
        <v>886</v>
      </c>
      <c r="I64" s="8">
        <f>(C78)</f>
        <v>1608.7</v>
      </c>
      <c r="J64" s="1" t="s">
        <v>885</v>
      </c>
      <c r="K64" s="8">
        <f>(F64*I64)</f>
        <v>1608.7</v>
      </c>
      <c r="O64" s="5" t="s">
        <v>1615</v>
      </c>
      <c r="W64" s="4"/>
      <c r="AD64" s="1042" t="s">
        <v>5771</v>
      </c>
      <c r="AE64" s="439">
        <f t="shared" si="1"/>
        <v>48.68</v>
      </c>
      <c r="AF64" s="431">
        <v>44.25</v>
      </c>
      <c r="AG64" s="8">
        <f t="shared" si="2"/>
        <v>48.68</v>
      </c>
      <c r="AH64">
        <f t="shared" si="3"/>
        <v>53.1</v>
      </c>
      <c r="AI64">
        <f t="shared" si="4"/>
        <v>66.38</v>
      </c>
      <c r="AJ64">
        <f t="shared" si="5"/>
        <v>46.46</v>
      </c>
      <c r="AK64">
        <f t="shared" si="6"/>
        <v>55.31</v>
      </c>
      <c r="AN64" s="12">
        <v>0.70799999999999996</v>
      </c>
      <c r="AO64" s="7" t="s">
        <v>885</v>
      </c>
      <c r="AP64" s="1" t="s">
        <v>1656</v>
      </c>
      <c r="AQ64" s="8">
        <f>K49</f>
        <v>3469.22</v>
      </c>
      <c r="AR64" s="1" t="s">
        <v>885</v>
      </c>
      <c r="AS64" s="8">
        <f>(AN64*AQ64)</f>
        <v>2456.21</v>
      </c>
    </row>
    <row r="65" spans="1:45" s="703" customFormat="1" ht="24" customHeight="1">
      <c r="A65" s="782">
        <f t="shared" si="11"/>
        <v>53</v>
      </c>
      <c r="B65" s="704" t="s">
        <v>5649</v>
      </c>
      <c r="C65" s="783">
        <v>391.1</v>
      </c>
      <c r="D65" s="849" t="s">
        <v>1383</v>
      </c>
      <c r="F65" s="762">
        <v>1</v>
      </c>
      <c r="G65" s="784" t="s">
        <v>885</v>
      </c>
      <c r="H65" s="704" t="s">
        <v>890</v>
      </c>
      <c r="I65" s="762">
        <f>(C18)</f>
        <v>121</v>
      </c>
      <c r="J65" s="704" t="s">
        <v>885</v>
      </c>
      <c r="K65" s="762">
        <f>(F65*I65)</f>
        <v>121</v>
      </c>
      <c r="M65" s="762">
        <v>9</v>
      </c>
      <c r="N65" s="704" t="s">
        <v>885</v>
      </c>
      <c r="O65" s="704" t="s">
        <v>1513</v>
      </c>
      <c r="P65" s="762">
        <f>(C73)</f>
        <v>1704.69</v>
      </c>
      <c r="Q65" s="704" t="s">
        <v>885</v>
      </c>
      <c r="R65" s="762">
        <f>(M65*P65)</f>
        <v>15342.21</v>
      </c>
      <c r="S65" s="785"/>
      <c r="U65" s="703" t="s">
        <v>5650</v>
      </c>
      <c r="W65" s="1003"/>
      <c r="AE65" s="439">
        <f t="shared" si="1"/>
        <v>0</v>
      </c>
      <c r="AG65" s="8">
        <f t="shared" si="2"/>
        <v>0</v>
      </c>
      <c r="AH65">
        <f t="shared" si="3"/>
        <v>0</v>
      </c>
      <c r="AI65">
        <f t="shared" si="4"/>
        <v>0</v>
      </c>
      <c r="AJ65">
        <f t="shared" si="5"/>
        <v>0</v>
      </c>
      <c r="AK65">
        <f t="shared" si="6"/>
        <v>0</v>
      </c>
      <c r="AN65" s="762">
        <v>1</v>
      </c>
      <c r="AO65" s="784" t="s">
        <v>884</v>
      </c>
      <c r="AP65" s="704" t="s">
        <v>2045</v>
      </c>
      <c r="AQ65" s="762">
        <f>V313</f>
        <v>1041.7</v>
      </c>
      <c r="AR65" s="704" t="s">
        <v>884</v>
      </c>
      <c r="AS65" s="762">
        <f>(AN65*AQ65)</f>
        <v>1041.7</v>
      </c>
    </row>
    <row r="66" spans="1:45" ht="24" customHeight="1">
      <c r="A66" s="218">
        <f t="shared" si="11"/>
        <v>54</v>
      </c>
      <c r="B66" s="522" t="s">
        <v>1520</v>
      </c>
      <c r="C66" s="439">
        <f>AE18</f>
        <v>893.2</v>
      </c>
      <c r="D66" s="522" t="s">
        <v>884</v>
      </c>
      <c r="G66" s="7" t="s">
        <v>455</v>
      </c>
      <c r="H66" s="1" t="s">
        <v>456</v>
      </c>
      <c r="I66" s="1" t="s">
        <v>992</v>
      </c>
      <c r="J66" s="1" t="s">
        <v>455</v>
      </c>
      <c r="K66" s="8">
        <v>0</v>
      </c>
      <c r="M66" s="8">
        <v>4.5</v>
      </c>
      <c r="N66" s="1" t="s">
        <v>885</v>
      </c>
      <c r="O66" s="1" t="s">
        <v>121</v>
      </c>
      <c r="P66" s="8">
        <f>(K23)</f>
        <v>6078.5</v>
      </c>
      <c r="Q66" s="1" t="s">
        <v>885</v>
      </c>
      <c r="R66" s="8">
        <f>(M66*P66)</f>
        <v>27353.25</v>
      </c>
      <c r="U66" t="s">
        <v>5651</v>
      </c>
      <c r="V66" t="s">
        <v>2235</v>
      </c>
      <c r="W66" s="1004">
        <v>195.7</v>
      </c>
      <c r="AE66" s="439">
        <f t="shared" si="1"/>
        <v>0</v>
      </c>
      <c r="AG66" s="8">
        <f t="shared" si="2"/>
        <v>0</v>
      </c>
      <c r="AH66">
        <f t="shared" si="3"/>
        <v>0</v>
      </c>
      <c r="AI66">
        <f t="shared" si="4"/>
        <v>0</v>
      </c>
      <c r="AJ66">
        <f t="shared" si="5"/>
        <v>0</v>
      </c>
      <c r="AK66">
        <f t="shared" si="6"/>
        <v>0</v>
      </c>
      <c r="AN66" s="8">
        <v>3</v>
      </c>
      <c r="AO66" s="7" t="s">
        <v>884</v>
      </c>
      <c r="AP66" s="1" t="s">
        <v>1744</v>
      </c>
      <c r="AQ66" s="8">
        <f>V314</f>
        <v>972.4</v>
      </c>
      <c r="AR66" s="1" t="s">
        <v>884</v>
      </c>
      <c r="AS66" s="8">
        <f>(AN66*AQ66)</f>
        <v>2917.2</v>
      </c>
    </row>
    <row r="67" spans="1:45" ht="34.5" customHeight="1">
      <c r="A67" s="218">
        <f t="shared" si="11"/>
        <v>55</v>
      </c>
      <c r="B67" s="522" t="s">
        <v>878</v>
      </c>
      <c r="C67" s="439">
        <f>AC31</f>
        <v>6040</v>
      </c>
      <c r="D67" s="522" t="s">
        <v>877</v>
      </c>
      <c r="K67" s="5" t="s">
        <v>1615</v>
      </c>
      <c r="M67" s="8">
        <v>1.8</v>
      </c>
      <c r="N67" s="1" t="s">
        <v>884</v>
      </c>
      <c r="O67" s="1" t="s">
        <v>1744</v>
      </c>
      <c r="P67" s="8">
        <f>(C11)</f>
        <v>972.4</v>
      </c>
      <c r="Q67" s="1" t="s">
        <v>884</v>
      </c>
      <c r="R67" s="8">
        <f>(M67*P67)</f>
        <v>1750.32</v>
      </c>
      <c r="U67" t="s">
        <v>5652</v>
      </c>
      <c r="V67" t="s">
        <v>2235</v>
      </c>
      <c r="W67" s="1004">
        <v>370.25</v>
      </c>
      <c r="AD67" s="1042" t="s">
        <v>5869</v>
      </c>
      <c r="AE67" s="439">
        <f t="shared" si="1"/>
        <v>40.65</v>
      </c>
      <c r="AF67" s="36">
        <v>36.950000000000003</v>
      </c>
      <c r="AG67" s="8">
        <f t="shared" si="2"/>
        <v>40.65</v>
      </c>
      <c r="AH67">
        <f t="shared" si="3"/>
        <v>44.34</v>
      </c>
      <c r="AI67" t="e">
        <f>#REF!*1.5</f>
        <v>#REF!</v>
      </c>
      <c r="AJ67" t="e">
        <f>#REF!*1.05</f>
        <v>#REF!</v>
      </c>
      <c r="AK67" t="e">
        <f>#REF!*1.25</f>
        <v>#REF!</v>
      </c>
      <c r="AN67" s="8">
        <v>2</v>
      </c>
      <c r="AO67" s="7" t="s">
        <v>884</v>
      </c>
      <c r="AP67" s="1" t="s">
        <v>1937</v>
      </c>
      <c r="AQ67" s="8">
        <f>V315</f>
        <v>679.8</v>
      </c>
      <c r="AR67" s="1" t="s">
        <v>884</v>
      </c>
      <c r="AS67" s="8">
        <f>(AN67*AQ67)</f>
        <v>1359.6</v>
      </c>
    </row>
    <row r="68" spans="1:45" ht="39" customHeight="1">
      <c r="A68" s="218">
        <f t="shared" si="11"/>
        <v>56</v>
      </c>
      <c r="B68" s="522" t="s">
        <v>1521</v>
      </c>
      <c r="C68" s="439">
        <f t="shared" ref="C68:C74" si="12">AC9</f>
        <v>687.09</v>
      </c>
      <c r="D68" s="522" t="s">
        <v>885</v>
      </c>
      <c r="H68" s="1" t="s">
        <v>1542</v>
      </c>
      <c r="K68" s="38">
        <f>SUM(K63:K66)</f>
        <v>2973.94</v>
      </c>
      <c r="M68" s="8">
        <v>17.7</v>
      </c>
      <c r="N68" s="1" t="s">
        <v>884</v>
      </c>
      <c r="O68" s="1" t="s">
        <v>1937</v>
      </c>
      <c r="P68" s="8">
        <f>(C12)</f>
        <v>679.8</v>
      </c>
      <c r="Q68" s="1" t="s">
        <v>884</v>
      </c>
      <c r="R68" s="8">
        <f>(M68*P68)</f>
        <v>12032.46</v>
      </c>
      <c r="U68" t="s">
        <v>5653</v>
      </c>
      <c r="W68" s="4"/>
      <c r="AD68" s="1253" t="s">
        <v>5110</v>
      </c>
      <c r="AE68" s="439">
        <f t="shared" si="1"/>
        <v>12.32</v>
      </c>
      <c r="AF68" s="419">
        <f>11.2</f>
        <v>11.2</v>
      </c>
      <c r="AG68" s="8">
        <f t="shared" si="2"/>
        <v>12.32</v>
      </c>
      <c r="AH68">
        <f t="shared" si="3"/>
        <v>13.44</v>
      </c>
      <c r="AI68">
        <f t="shared" si="4"/>
        <v>16.8</v>
      </c>
      <c r="AJ68">
        <f t="shared" si="5"/>
        <v>11.76</v>
      </c>
      <c r="AK68">
        <f t="shared" si="6"/>
        <v>14</v>
      </c>
      <c r="AN68" s="8">
        <v>6</v>
      </c>
      <c r="AO68" s="7" t="s">
        <v>884</v>
      </c>
      <c r="AP68" s="1" t="s">
        <v>325</v>
      </c>
      <c r="AQ68" s="8">
        <f>V316</f>
        <v>557.70000000000005</v>
      </c>
      <c r="AR68" s="1" t="s">
        <v>884</v>
      </c>
      <c r="AS68" s="8">
        <f>(AN68*AQ68)</f>
        <v>3346.2</v>
      </c>
    </row>
    <row r="69" spans="1:45" ht="24" customHeight="1">
      <c r="A69" s="218">
        <f t="shared" si="11"/>
        <v>57</v>
      </c>
      <c r="B69" s="522" t="s">
        <v>888</v>
      </c>
      <c r="C69" s="439">
        <f t="shared" si="12"/>
        <v>886.09</v>
      </c>
      <c r="D69" s="522" t="s">
        <v>885</v>
      </c>
      <c r="K69" s="5" t="s">
        <v>1615</v>
      </c>
      <c r="M69" s="8">
        <v>14.1</v>
      </c>
      <c r="N69" s="1" t="s">
        <v>884</v>
      </c>
      <c r="O69" s="1" t="s">
        <v>325</v>
      </c>
      <c r="P69" s="8">
        <f>(C13)</f>
        <v>557.70000000000005</v>
      </c>
      <c r="Q69" s="1" t="s">
        <v>884</v>
      </c>
      <c r="R69" s="8">
        <f>(M69*P69)</f>
        <v>7863.57</v>
      </c>
      <c r="U69" t="s">
        <v>5654</v>
      </c>
      <c r="V69" t="s">
        <v>1423</v>
      </c>
      <c r="W69" s="1004">
        <v>9180</v>
      </c>
      <c r="AD69" s="1254" t="s">
        <v>5111</v>
      </c>
      <c r="AE69" s="439">
        <f t="shared" si="1"/>
        <v>19.03</v>
      </c>
      <c r="AF69" s="419">
        <f>17.3</f>
        <v>17.3</v>
      </c>
      <c r="AG69" s="8">
        <f t="shared" si="2"/>
        <v>19.03</v>
      </c>
      <c r="AH69">
        <f t="shared" si="3"/>
        <v>20.76</v>
      </c>
      <c r="AI69">
        <f t="shared" si="4"/>
        <v>25.95</v>
      </c>
      <c r="AJ69">
        <f t="shared" si="5"/>
        <v>18.170000000000002</v>
      </c>
      <c r="AK69">
        <f t="shared" si="6"/>
        <v>21.63</v>
      </c>
      <c r="AO69" s="7" t="s">
        <v>455</v>
      </c>
      <c r="AP69" s="1" t="s">
        <v>456</v>
      </c>
      <c r="AR69" s="1" t="s">
        <v>455</v>
      </c>
      <c r="AS69" s="8">
        <v>5</v>
      </c>
    </row>
    <row r="70" spans="1:45" ht="24" customHeight="1">
      <c r="A70" s="218">
        <f t="shared" si="11"/>
        <v>58</v>
      </c>
      <c r="B70" s="522" t="s">
        <v>1522</v>
      </c>
      <c r="C70" s="439">
        <f t="shared" si="12"/>
        <v>1000.02</v>
      </c>
      <c r="D70" s="522" t="s">
        <v>885</v>
      </c>
      <c r="G70" s="7" t="s">
        <v>2290</v>
      </c>
      <c r="H70" s="1" t="s">
        <v>1663</v>
      </c>
      <c r="N70" s="1" t="s">
        <v>455</v>
      </c>
      <c r="O70" s="1" t="s">
        <v>456</v>
      </c>
      <c r="Q70" s="1" t="s">
        <v>455</v>
      </c>
      <c r="R70" s="8">
        <v>0</v>
      </c>
      <c r="U70" t="s">
        <v>5655</v>
      </c>
      <c r="V70" t="s">
        <v>1423</v>
      </c>
      <c r="W70" s="1004">
        <v>7140</v>
      </c>
      <c r="AD70" s="522" t="s">
        <v>4793</v>
      </c>
      <c r="AE70" s="439">
        <f t="shared" si="1"/>
        <v>9.7899999999999991</v>
      </c>
      <c r="AF70" s="1008">
        <f>8.9</f>
        <v>8.9</v>
      </c>
      <c r="AG70" s="8">
        <f t="shared" si="2"/>
        <v>9.7899999999999991</v>
      </c>
      <c r="AH70">
        <f t="shared" si="3"/>
        <v>10.68</v>
      </c>
      <c r="AI70">
        <f t="shared" si="4"/>
        <v>13.35</v>
      </c>
      <c r="AJ70">
        <f t="shared" si="5"/>
        <v>9.35</v>
      </c>
      <c r="AK70">
        <f t="shared" si="6"/>
        <v>11.13</v>
      </c>
      <c r="AO70" s="3"/>
      <c r="AR70" s="10"/>
      <c r="AS70" s="5" t="s">
        <v>1615</v>
      </c>
    </row>
    <row r="71" spans="1:45" ht="24" customHeight="1">
      <c r="A71" s="218">
        <f t="shared" si="11"/>
        <v>59</v>
      </c>
      <c r="B71" s="522" t="s">
        <v>1523</v>
      </c>
      <c r="C71" s="439">
        <f t="shared" si="12"/>
        <v>1238.69</v>
      </c>
      <c r="D71" s="522" t="s">
        <v>885</v>
      </c>
      <c r="H71" s="5" t="s">
        <v>1615</v>
      </c>
      <c r="R71" s="5" t="s">
        <v>1615</v>
      </c>
      <c r="U71" t="s">
        <v>5656</v>
      </c>
      <c r="V71" t="s">
        <v>5657</v>
      </c>
      <c r="W71" s="1004">
        <v>8106</v>
      </c>
      <c r="AD71" s="522" t="s">
        <v>4793</v>
      </c>
      <c r="AE71" s="439">
        <f t="shared" si="1"/>
        <v>11.72</v>
      </c>
      <c r="AF71">
        <v>10.65</v>
      </c>
      <c r="AG71" s="8">
        <f t="shared" si="2"/>
        <v>11.72</v>
      </c>
      <c r="AH71">
        <f t="shared" si="3"/>
        <v>12.78</v>
      </c>
      <c r="AI71">
        <f t="shared" si="4"/>
        <v>15.98</v>
      </c>
      <c r="AJ71">
        <f t="shared" si="5"/>
        <v>11.18</v>
      </c>
      <c r="AK71">
        <f t="shared" si="6"/>
        <v>13.31</v>
      </c>
      <c r="AO71" s="3"/>
      <c r="AP71" s="1" t="s">
        <v>3827</v>
      </c>
      <c r="AR71" s="10"/>
      <c r="AS71" s="8">
        <f>SUM(AS63:AS69)</f>
        <v>20118.53</v>
      </c>
    </row>
    <row r="72" spans="1:45" ht="24" customHeight="1">
      <c r="A72" s="218">
        <f t="shared" si="11"/>
        <v>60</v>
      </c>
      <c r="B72" s="522" t="s">
        <v>1524</v>
      </c>
      <c r="C72" s="439">
        <f t="shared" si="12"/>
        <v>1599.69</v>
      </c>
      <c r="D72" s="522" t="s">
        <v>885</v>
      </c>
      <c r="F72" s="8">
        <v>0.18</v>
      </c>
      <c r="G72" s="7" t="s">
        <v>877</v>
      </c>
      <c r="H72" s="1" t="s">
        <v>878</v>
      </c>
      <c r="I72" s="8">
        <f>(C67)</f>
        <v>6040</v>
      </c>
      <c r="J72" s="1" t="s">
        <v>877</v>
      </c>
      <c r="K72" s="8">
        <f>(F72*I72)</f>
        <v>1087.2</v>
      </c>
      <c r="O72" s="1" t="s">
        <v>626</v>
      </c>
      <c r="R72" s="8">
        <f>SUM(R65:R70)</f>
        <v>64341.81</v>
      </c>
      <c r="U72" t="s">
        <v>5658</v>
      </c>
      <c r="V72" t="s">
        <v>5657</v>
      </c>
      <c r="W72" s="1004">
        <v>7482</v>
      </c>
      <c r="AD72" s="219" t="s">
        <v>1632</v>
      </c>
      <c r="AE72" s="439">
        <f t="shared" si="1"/>
        <v>29.26</v>
      </c>
      <c r="AF72" s="1010">
        <v>26.6</v>
      </c>
      <c r="AG72" s="8">
        <f t="shared" si="2"/>
        <v>29.26</v>
      </c>
      <c r="AH72">
        <f t="shared" si="3"/>
        <v>31.92</v>
      </c>
      <c r="AI72">
        <f t="shared" si="4"/>
        <v>39.9</v>
      </c>
      <c r="AJ72">
        <f t="shared" si="5"/>
        <v>27.93</v>
      </c>
      <c r="AK72">
        <f t="shared" si="6"/>
        <v>33.25</v>
      </c>
      <c r="AO72" s="3"/>
      <c r="AR72" s="10"/>
      <c r="AS72" s="5" t="s">
        <v>1615</v>
      </c>
    </row>
    <row r="73" spans="1:45" ht="24" customHeight="1">
      <c r="A73" s="218">
        <f t="shared" si="11"/>
        <v>61</v>
      </c>
      <c r="B73" s="522" t="s">
        <v>667</v>
      </c>
      <c r="C73" s="439">
        <f t="shared" si="12"/>
        <v>1704.69</v>
      </c>
      <c r="D73" s="522" t="s">
        <v>885</v>
      </c>
      <c r="F73" s="8">
        <v>1</v>
      </c>
      <c r="G73" s="7" t="s">
        <v>885</v>
      </c>
      <c r="H73" s="1" t="s">
        <v>886</v>
      </c>
      <c r="I73" s="8">
        <f>(C78)</f>
        <v>1608.7</v>
      </c>
      <c r="J73" s="1" t="s">
        <v>885</v>
      </c>
      <c r="K73" s="8">
        <f>(F73*I73)</f>
        <v>1608.7</v>
      </c>
      <c r="R73" s="5" t="s">
        <v>1615</v>
      </c>
      <c r="W73" s="4"/>
      <c r="AD73" s="219" t="s">
        <v>1632</v>
      </c>
      <c r="AE73" s="439">
        <f t="shared" si="1"/>
        <v>49.49</v>
      </c>
      <c r="AF73">
        <v>44.99</v>
      </c>
      <c r="AG73" s="8">
        <f t="shared" si="2"/>
        <v>49.49</v>
      </c>
      <c r="AH73">
        <f t="shared" si="3"/>
        <v>53.99</v>
      </c>
      <c r="AI73">
        <f t="shared" si="4"/>
        <v>67.489999999999995</v>
      </c>
      <c r="AJ73">
        <f t="shared" si="5"/>
        <v>47.24</v>
      </c>
      <c r="AK73">
        <f t="shared" si="6"/>
        <v>56.24</v>
      </c>
      <c r="AO73" s="3"/>
      <c r="AP73" s="58" t="s">
        <v>789</v>
      </c>
      <c r="AR73" s="10"/>
      <c r="AS73" s="38">
        <f>(AS71/2.83168)</f>
        <v>7104.8</v>
      </c>
    </row>
    <row r="74" spans="1:45" ht="24" customHeight="1">
      <c r="A74" s="218">
        <f t="shared" si="11"/>
        <v>62</v>
      </c>
      <c r="B74" s="522" t="s">
        <v>971</v>
      </c>
      <c r="C74" s="439">
        <f t="shared" si="12"/>
        <v>1291.69</v>
      </c>
      <c r="D74" s="522" t="s">
        <v>885</v>
      </c>
      <c r="F74" s="8">
        <v>1</v>
      </c>
      <c r="G74" s="7" t="s">
        <v>885</v>
      </c>
      <c r="H74" s="1" t="s">
        <v>890</v>
      </c>
      <c r="I74" s="8">
        <f>(C18)</f>
        <v>121</v>
      </c>
      <c r="J74" s="1" t="s">
        <v>885</v>
      </c>
      <c r="K74" s="8">
        <f>(F74*I74)</f>
        <v>121</v>
      </c>
      <c r="O74" s="1" t="s">
        <v>789</v>
      </c>
      <c r="R74" s="8">
        <f>(R72/10)</f>
        <v>6434.18</v>
      </c>
      <c r="U74" s="327" t="s">
        <v>5659</v>
      </c>
      <c r="V74" t="s">
        <v>5660</v>
      </c>
      <c r="W74" s="1004">
        <v>2419</v>
      </c>
      <c r="AD74" s="219" t="s">
        <v>176</v>
      </c>
      <c r="AE74" s="439">
        <f t="shared" ref="AE74:AE76" si="13">AG74</f>
        <v>13.92</v>
      </c>
      <c r="AF74" s="1291">
        <v>12.65</v>
      </c>
      <c r="AG74" s="8">
        <f t="shared" ref="AG74:AG77" si="14">AF74*1.1</f>
        <v>13.92</v>
      </c>
      <c r="AH74">
        <f t="shared" ref="AH74" si="15">AF74*1.2</f>
        <v>15.18</v>
      </c>
      <c r="AI74">
        <f t="shared" ref="AI74:AI98" si="16">AF74*1.5</f>
        <v>18.98</v>
      </c>
      <c r="AJ74">
        <f t="shared" ref="AJ74:AJ98" si="17">AF74*1.05</f>
        <v>13.28</v>
      </c>
      <c r="AK74">
        <f t="shared" ref="AK74:AK98" si="18">AF74*1.25</f>
        <v>15.81</v>
      </c>
      <c r="AO74" s="3"/>
      <c r="AR74" s="10"/>
      <c r="AS74" s="5" t="s">
        <v>2091</v>
      </c>
    </row>
    <row r="75" spans="1:45" ht="24" customHeight="1">
      <c r="A75" s="218">
        <f t="shared" si="11"/>
        <v>63</v>
      </c>
      <c r="B75" s="522" t="s">
        <v>972</v>
      </c>
      <c r="C75" s="161">
        <v>175</v>
      </c>
      <c r="D75" s="219" t="s">
        <v>2290</v>
      </c>
      <c r="G75" s="7" t="s">
        <v>455</v>
      </c>
      <c r="H75" s="1" t="s">
        <v>456</v>
      </c>
      <c r="I75" s="1" t="s">
        <v>992</v>
      </c>
      <c r="J75" s="1" t="s">
        <v>455</v>
      </c>
      <c r="K75" s="8">
        <v>0</v>
      </c>
      <c r="R75" s="5" t="s">
        <v>2091</v>
      </c>
      <c r="W75" s="4"/>
      <c r="AD75" s="219" t="s">
        <v>176</v>
      </c>
      <c r="AE75" s="439">
        <f t="shared" si="13"/>
        <v>14.14</v>
      </c>
      <c r="AF75">
        <v>12.85</v>
      </c>
      <c r="AG75" s="8">
        <f t="shared" si="14"/>
        <v>14.14</v>
      </c>
      <c r="AH75">
        <f t="shared" ref="AH75:AH98" si="19">AF75*1.2</f>
        <v>15.42</v>
      </c>
      <c r="AI75">
        <f t="shared" si="16"/>
        <v>19.28</v>
      </c>
      <c r="AJ75">
        <f t="shared" si="17"/>
        <v>13.49</v>
      </c>
      <c r="AK75">
        <f t="shared" si="18"/>
        <v>16.059999999999999</v>
      </c>
      <c r="AO75" s="3"/>
      <c r="AP75" s="1" t="s">
        <v>391</v>
      </c>
      <c r="AR75" s="10"/>
      <c r="AS75" s="8">
        <f>AS73+C19</f>
        <v>7187.08</v>
      </c>
    </row>
    <row r="76" spans="1:45" ht="24" customHeight="1">
      <c r="A76" s="218">
        <f t="shared" si="11"/>
        <v>64</v>
      </c>
      <c r="B76" s="522" t="s">
        <v>973</v>
      </c>
      <c r="C76" s="161">
        <v>460</v>
      </c>
      <c r="D76" s="536">
        <v>290</v>
      </c>
      <c r="E76" t="s">
        <v>4400</v>
      </c>
      <c r="K76" s="5" t="s">
        <v>1615</v>
      </c>
      <c r="N76" s="1" t="s">
        <v>2290</v>
      </c>
      <c r="O76" s="1" t="s">
        <v>974</v>
      </c>
      <c r="W76" s="4"/>
      <c r="AE76" s="439">
        <f t="shared" si="13"/>
        <v>0</v>
      </c>
      <c r="AG76" s="8">
        <f t="shared" si="14"/>
        <v>0</v>
      </c>
      <c r="AH76">
        <f t="shared" si="19"/>
        <v>0</v>
      </c>
      <c r="AI76">
        <f t="shared" si="16"/>
        <v>0</v>
      </c>
      <c r="AJ76">
        <f t="shared" si="17"/>
        <v>0</v>
      </c>
      <c r="AK76">
        <f t="shared" si="18"/>
        <v>0</v>
      </c>
      <c r="AO76" s="3"/>
      <c r="AP76" s="1" t="s">
        <v>393</v>
      </c>
      <c r="AR76" s="10"/>
      <c r="AS76" s="8">
        <f>AS75+C20</f>
        <v>7353.07</v>
      </c>
    </row>
    <row r="77" spans="1:45" ht="24" customHeight="1">
      <c r="A77" s="218">
        <f t="shared" si="11"/>
        <v>65</v>
      </c>
      <c r="B77" s="522" t="s">
        <v>1578</v>
      </c>
      <c r="C77" s="220">
        <f>AC34</f>
        <v>4492.5</v>
      </c>
      <c r="D77" s="219" t="s">
        <v>885</v>
      </c>
      <c r="H77" s="1" t="s">
        <v>1542</v>
      </c>
      <c r="K77" s="38">
        <f>SUM(K72:K75)</f>
        <v>2816.9</v>
      </c>
      <c r="O77" s="1" t="s">
        <v>433</v>
      </c>
      <c r="W77" s="4"/>
      <c r="AE77" s="439">
        <f t="shared" ref="AE77:AE122" si="20">AF77</f>
        <v>0</v>
      </c>
      <c r="AG77" s="8">
        <f t="shared" si="14"/>
        <v>0</v>
      </c>
      <c r="AH77">
        <f t="shared" si="19"/>
        <v>0</v>
      </c>
      <c r="AI77">
        <f t="shared" si="16"/>
        <v>0</v>
      </c>
      <c r="AJ77">
        <f t="shared" si="17"/>
        <v>0</v>
      </c>
      <c r="AK77">
        <f t="shared" si="18"/>
        <v>0</v>
      </c>
      <c r="AO77" s="3"/>
      <c r="AP77" s="1" t="s">
        <v>2271</v>
      </c>
      <c r="AR77" s="10"/>
      <c r="AS77" s="8">
        <f>AS76+C20</f>
        <v>7519.06</v>
      </c>
    </row>
    <row r="78" spans="1:45" ht="24" customHeight="1">
      <c r="A78" s="218">
        <f t="shared" si="11"/>
        <v>66</v>
      </c>
      <c r="B78" s="522" t="s">
        <v>1448</v>
      </c>
      <c r="C78" s="220">
        <f t="shared" ref="C78:C91" si="21">AC16</f>
        <v>1608.7</v>
      </c>
      <c r="D78" s="219" t="s">
        <v>885</v>
      </c>
      <c r="K78" s="5" t="s">
        <v>1615</v>
      </c>
      <c r="O78" s="5" t="s">
        <v>1615</v>
      </c>
      <c r="W78" s="4"/>
      <c r="AE78" s="439">
        <f t="shared" si="20"/>
        <v>0</v>
      </c>
      <c r="AG78" s="1"/>
      <c r="AH78">
        <f t="shared" si="19"/>
        <v>0</v>
      </c>
      <c r="AI78">
        <f t="shared" si="16"/>
        <v>0</v>
      </c>
      <c r="AJ78">
        <f t="shared" si="17"/>
        <v>0</v>
      </c>
      <c r="AK78">
        <f t="shared" si="18"/>
        <v>0</v>
      </c>
      <c r="AO78" s="3"/>
      <c r="AP78" s="1" t="s">
        <v>385</v>
      </c>
      <c r="AR78" s="10"/>
      <c r="AS78" s="8">
        <f>AS77+C20</f>
        <v>7685.05</v>
      </c>
    </row>
    <row r="79" spans="1:45" ht="24" customHeight="1">
      <c r="A79" s="218">
        <f t="shared" si="11"/>
        <v>67</v>
      </c>
      <c r="B79" s="522" t="s">
        <v>1055</v>
      </c>
      <c r="C79" s="220">
        <f t="shared" si="21"/>
        <v>1608.7</v>
      </c>
      <c r="D79" s="219" t="s">
        <v>885</v>
      </c>
      <c r="F79" s="24">
        <v>1.1000000000000001</v>
      </c>
      <c r="G79" s="7" t="s">
        <v>992</v>
      </c>
      <c r="H79" s="1" t="s">
        <v>1449</v>
      </c>
      <c r="M79" s="8">
        <v>4600</v>
      </c>
      <c r="N79" s="1" t="s">
        <v>1450</v>
      </c>
      <c r="O79" s="1" t="s">
        <v>1133</v>
      </c>
      <c r="P79" s="8">
        <f>AC41</f>
        <v>6917.4</v>
      </c>
      <c r="Q79" s="1" t="s">
        <v>1623</v>
      </c>
      <c r="R79" s="8">
        <f>(M79*P79)/1000</f>
        <v>31820.04</v>
      </c>
      <c r="S79" s="20">
        <v>1.1000000000000001</v>
      </c>
      <c r="T79" s="7" t="s">
        <v>992</v>
      </c>
      <c r="U79" s="33" t="s">
        <v>2201</v>
      </c>
      <c r="W79" s="4"/>
      <c r="AE79" s="439">
        <f t="shared" si="20"/>
        <v>0</v>
      </c>
      <c r="AG79" s="1"/>
      <c r="AH79">
        <f t="shared" si="19"/>
        <v>0</v>
      </c>
      <c r="AI79">
        <f t="shared" si="16"/>
        <v>0</v>
      </c>
      <c r="AJ79">
        <f t="shared" si="17"/>
        <v>0</v>
      </c>
      <c r="AK79">
        <f t="shared" si="18"/>
        <v>0</v>
      </c>
      <c r="AO79" s="3"/>
      <c r="AP79" s="1" t="s">
        <v>494</v>
      </c>
      <c r="AR79" s="10"/>
      <c r="AS79" s="8">
        <f>AS78+C20</f>
        <v>7851.04</v>
      </c>
    </row>
    <row r="80" spans="1:45" ht="24" customHeight="1">
      <c r="A80" s="218">
        <f t="shared" si="11"/>
        <v>68</v>
      </c>
      <c r="B80" s="522" t="s">
        <v>1506</v>
      </c>
      <c r="C80" s="220">
        <f t="shared" si="21"/>
        <v>5902.5</v>
      </c>
      <c r="D80" s="219" t="s">
        <v>1507</v>
      </c>
      <c r="F80" s="13" t="s">
        <v>992</v>
      </c>
      <c r="H80" s="1" t="s">
        <v>1508</v>
      </c>
      <c r="M80" s="8">
        <v>2.5</v>
      </c>
      <c r="N80" s="1" t="s">
        <v>885</v>
      </c>
      <c r="O80" s="1" t="s">
        <v>1656</v>
      </c>
      <c r="P80" s="8">
        <f>(K49)</f>
        <v>3469.22</v>
      </c>
      <c r="Q80" s="1" t="s">
        <v>885</v>
      </c>
      <c r="R80" s="8">
        <f>(M80*P80)</f>
        <v>8673.0499999999993</v>
      </c>
      <c r="S80" s="409" t="s">
        <v>992</v>
      </c>
      <c r="T80" s="3"/>
      <c r="U80" s="1" t="s">
        <v>1508</v>
      </c>
      <c r="W80" s="4"/>
      <c r="AE80" s="439">
        <f t="shared" si="20"/>
        <v>0</v>
      </c>
      <c r="AG80" s="1"/>
      <c r="AH80">
        <f t="shared" si="19"/>
        <v>0</v>
      </c>
      <c r="AI80">
        <f t="shared" si="16"/>
        <v>0</v>
      </c>
      <c r="AJ80">
        <f t="shared" si="17"/>
        <v>0</v>
      </c>
      <c r="AK80">
        <f t="shared" si="18"/>
        <v>0</v>
      </c>
      <c r="AQ80" s="51"/>
      <c r="AS80" s="1"/>
    </row>
    <row r="81" spans="1:45" ht="24" customHeight="1">
      <c r="A81" s="218">
        <f t="shared" si="11"/>
        <v>69</v>
      </c>
      <c r="B81" s="522" t="s">
        <v>67</v>
      </c>
      <c r="C81" s="220">
        <f t="shared" si="21"/>
        <v>862.5</v>
      </c>
      <c r="D81" s="219" t="s">
        <v>885</v>
      </c>
      <c r="F81" s="8">
        <v>10</v>
      </c>
      <c r="G81" s="7" t="s">
        <v>885</v>
      </c>
      <c r="H81" s="1" t="s">
        <v>1199</v>
      </c>
      <c r="I81" s="8">
        <f>(C61)</f>
        <v>116.88</v>
      </c>
      <c r="J81" s="1" t="s">
        <v>885</v>
      </c>
      <c r="K81" s="8">
        <f>(F81*I81)</f>
        <v>1168.8</v>
      </c>
      <c r="M81" s="8">
        <v>3.5</v>
      </c>
      <c r="N81" s="1" t="s">
        <v>884</v>
      </c>
      <c r="O81" s="1" t="s">
        <v>2045</v>
      </c>
      <c r="P81" s="8">
        <f>(C10)</f>
        <v>1041.7</v>
      </c>
      <c r="Q81" s="1" t="s">
        <v>884</v>
      </c>
      <c r="R81" s="8">
        <f>(M81*P81)</f>
        <v>3645.95</v>
      </c>
      <c r="S81" s="12">
        <v>10</v>
      </c>
      <c r="T81" s="7" t="s">
        <v>885</v>
      </c>
      <c r="U81" s="1" t="s">
        <v>1199</v>
      </c>
      <c r="V81" s="8">
        <f>AE39</f>
        <v>78.05</v>
      </c>
      <c r="W81" s="2" t="s">
        <v>885</v>
      </c>
      <c r="X81" s="8">
        <f>(S81*V81)</f>
        <v>780.5</v>
      </c>
      <c r="AE81" s="439">
        <f t="shared" si="20"/>
        <v>0</v>
      </c>
      <c r="AG81" s="1"/>
      <c r="AH81">
        <f t="shared" si="19"/>
        <v>0</v>
      </c>
      <c r="AI81">
        <f t="shared" si="16"/>
        <v>0</v>
      </c>
      <c r="AJ81">
        <f t="shared" si="17"/>
        <v>0</v>
      </c>
      <c r="AK81">
        <f t="shared" si="18"/>
        <v>0</v>
      </c>
      <c r="AQ81" s="51"/>
      <c r="AS81" s="1"/>
    </row>
    <row r="82" spans="1:45" ht="24" customHeight="1">
      <c r="A82" s="218">
        <f t="shared" si="11"/>
        <v>70</v>
      </c>
      <c r="B82" s="522" t="s">
        <v>2046</v>
      </c>
      <c r="C82" s="220">
        <f t="shared" si="21"/>
        <v>943.5</v>
      </c>
      <c r="D82" s="219" t="s">
        <v>885</v>
      </c>
      <c r="F82" s="8">
        <v>10</v>
      </c>
      <c r="G82" s="7" t="s">
        <v>885</v>
      </c>
      <c r="H82" s="1" t="s">
        <v>2047</v>
      </c>
      <c r="I82" s="8">
        <f>(C61)</f>
        <v>116.88</v>
      </c>
      <c r="J82" s="1" t="s">
        <v>885</v>
      </c>
      <c r="K82" s="8">
        <f>(F82*I82)</f>
        <v>1168.8</v>
      </c>
      <c r="L82">
        <f>I82+I81</f>
        <v>233.76</v>
      </c>
      <c r="M82" s="8">
        <v>10.6</v>
      </c>
      <c r="N82" s="1" t="s">
        <v>884</v>
      </c>
      <c r="O82" s="1" t="s">
        <v>1744</v>
      </c>
      <c r="P82" s="8">
        <f>(C11)</f>
        <v>972.4</v>
      </c>
      <c r="Q82" s="1" t="s">
        <v>884</v>
      </c>
      <c r="R82" s="8">
        <f>(M82*P82)</f>
        <v>10307.44</v>
      </c>
      <c r="S82" s="12">
        <v>10</v>
      </c>
      <c r="T82" s="7" t="s">
        <v>885</v>
      </c>
      <c r="U82" s="1" t="s">
        <v>2047</v>
      </c>
      <c r="V82" s="8">
        <f>V81</f>
        <v>78.05</v>
      </c>
      <c r="W82" s="2" t="s">
        <v>885</v>
      </c>
      <c r="X82" s="8">
        <f>(S82*V82)</f>
        <v>780.5</v>
      </c>
      <c r="AE82" s="439">
        <f t="shared" si="20"/>
        <v>0</v>
      </c>
      <c r="AG82" s="1"/>
      <c r="AH82">
        <f t="shared" si="19"/>
        <v>0</v>
      </c>
      <c r="AI82">
        <f t="shared" si="16"/>
        <v>0</v>
      </c>
      <c r="AJ82">
        <f t="shared" si="17"/>
        <v>0</v>
      </c>
      <c r="AK82">
        <f t="shared" si="18"/>
        <v>0</v>
      </c>
      <c r="AQ82" s="51"/>
      <c r="AS82" s="1"/>
    </row>
    <row r="83" spans="1:45" ht="24" customHeight="1">
      <c r="A83" s="218">
        <f t="shared" si="11"/>
        <v>71</v>
      </c>
      <c r="B83" s="522" t="s">
        <v>2048</v>
      </c>
      <c r="C83" s="220">
        <f t="shared" si="21"/>
        <v>16106</v>
      </c>
      <c r="D83" s="219" t="s">
        <v>1507</v>
      </c>
      <c r="E83" s="850">
        <v>8710</v>
      </c>
      <c r="F83" s="8">
        <v>10</v>
      </c>
      <c r="G83" s="7" t="s">
        <v>885</v>
      </c>
      <c r="H83" s="1" t="s">
        <v>2049</v>
      </c>
      <c r="I83" s="8">
        <f>(C26)/3</f>
        <v>13.55</v>
      </c>
      <c r="J83" s="1" t="s">
        <v>885</v>
      </c>
      <c r="K83" s="8">
        <f>(F83*I83)</f>
        <v>135.5</v>
      </c>
      <c r="M83" s="8">
        <v>7.1</v>
      </c>
      <c r="N83" s="1" t="s">
        <v>884</v>
      </c>
      <c r="O83" s="1" t="s">
        <v>1937</v>
      </c>
      <c r="P83" s="8">
        <f>(C12)</f>
        <v>679.8</v>
      </c>
      <c r="Q83" s="1" t="s">
        <v>884</v>
      </c>
      <c r="R83" s="8">
        <f>(M83*P83)</f>
        <v>4826.58</v>
      </c>
      <c r="S83" s="12">
        <v>10</v>
      </c>
      <c r="T83" s="7" t="s">
        <v>885</v>
      </c>
      <c r="U83" s="1" t="s">
        <v>2049</v>
      </c>
      <c r="V83" s="8">
        <f>AE27/3</f>
        <v>11.9</v>
      </c>
      <c r="W83" s="2" t="s">
        <v>885</v>
      </c>
      <c r="X83" s="8">
        <f>(S83*V83)</f>
        <v>119</v>
      </c>
      <c r="AE83" s="439">
        <f t="shared" si="20"/>
        <v>0</v>
      </c>
      <c r="AG83" s="1"/>
      <c r="AH83">
        <f t="shared" si="19"/>
        <v>0</v>
      </c>
      <c r="AI83">
        <f t="shared" si="16"/>
        <v>0</v>
      </c>
      <c r="AJ83">
        <f t="shared" si="17"/>
        <v>0</v>
      </c>
      <c r="AK83">
        <f t="shared" si="18"/>
        <v>0</v>
      </c>
      <c r="AQ83" s="51"/>
      <c r="AS83" s="1"/>
    </row>
    <row r="84" spans="1:45" ht="24" customHeight="1">
      <c r="A84" s="218">
        <f t="shared" si="11"/>
        <v>72</v>
      </c>
      <c r="B84" s="522" t="s">
        <v>2050</v>
      </c>
      <c r="C84" s="220">
        <f t="shared" si="21"/>
        <v>1348</v>
      </c>
      <c r="D84" s="219" t="s">
        <v>885</v>
      </c>
      <c r="G84" s="7" t="s">
        <v>455</v>
      </c>
      <c r="H84" s="1" t="s">
        <v>456</v>
      </c>
      <c r="J84" s="1" t="s">
        <v>455</v>
      </c>
      <c r="K84" s="8">
        <v>0</v>
      </c>
      <c r="M84" s="439">
        <v>21.2</v>
      </c>
      <c r="N84" s="1" t="s">
        <v>884</v>
      </c>
      <c r="O84" s="1" t="s">
        <v>325</v>
      </c>
      <c r="P84" s="8">
        <f>(C13)</f>
        <v>557.70000000000005</v>
      </c>
      <c r="Q84" s="1" t="s">
        <v>884</v>
      </c>
      <c r="R84" s="8">
        <f>(M84*P84)</f>
        <v>11823.24</v>
      </c>
      <c r="T84" s="7" t="s">
        <v>455</v>
      </c>
      <c r="U84" s="1" t="s">
        <v>456</v>
      </c>
      <c r="W84" s="2" t="s">
        <v>455</v>
      </c>
      <c r="X84" s="8">
        <v>0</v>
      </c>
      <c r="AE84" s="439">
        <f t="shared" si="20"/>
        <v>0</v>
      </c>
      <c r="AG84" s="1"/>
      <c r="AH84">
        <f t="shared" si="19"/>
        <v>0</v>
      </c>
      <c r="AI84">
        <f t="shared" si="16"/>
        <v>0</v>
      </c>
      <c r="AJ84">
        <f t="shared" si="17"/>
        <v>0</v>
      </c>
      <c r="AK84">
        <f t="shared" si="18"/>
        <v>0</v>
      </c>
      <c r="AN84" s="11">
        <v>9</v>
      </c>
      <c r="AO84" s="7" t="s">
        <v>2290</v>
      </c>
      <c r="AP84" s="1" t="s">
        <v>3828</v>
      </c>
      <c r="AR84" s="10"/>
    </row>
    <row r="85" spans="1:45" ht="24" customHeight="1">
      <c r="A85" s="218">
        <f t="shared" si="11"/>
        <v>73</v>
      </c>
      <c r="B85" s="522" t="s">
        <v>2040</v>
      </c>
      <c r="C85" s="220">
        <f t="shared" si="21"/>
        <v>1098.52</v>
      </c>
      <c r="D85" s="219" t="s">
        <v>885</v>
      </c>
      <c r="K85" s="5" t="s">
        <v>1615</v>
      </c>
      <c r="N85" s="1" t="s">
        <v>455</v>
      </c>
      <c r="O85" s="1" t="s">
        <v>456</v>
      </c>
      <c r="Q85" s="1" t="s">
        <v>455</v>
      </c>
      <c r="R85" s="8">
        <v>0</v>
      </c>
      <c r="T85" s="3"/>
      <c r="W85" s="4"/>
      <c r="X85" s="5" t="s">
        <v>1615</v>
      </c>
      <c r="AE85" s="439">
        <f t="shared" si="20"/>
        <v>0</v>
      </c>
      <c r="AG85" s="1"/>
      <c r="AH85">
        <f t="shared" si="19"/>
        <v>0</v>
      </c>
      <c r="AI85">
        <f t="shared" si="16"/>
        <v>0</v>
      </c>
      <c r="AJ85">
        <f t="shared" si="17"/>
        <v>0</v>
      </c>
      <c r="AK85">
        <f t="shared" si="18"/>
        <v>0</v>
      </c>
      <c r="AO85" s="3"/>
      <c r="AP85" s="1" t="str">
        <f>AP61</f>
        <v>Bricks of size 23x11x7 cm</v>
      </c>
      <c r="AR85" s="10"/>
    </row>
    <row r="86" spans="1:45" ht="24" customHeight="1">
      <c r="A86" s="218">
        <f t="shared" si="11"/>
        <v>74</v>
      </c>
      <c r="B86" s="522" t="s">
        <v>3990</v>
      </c>
      <c r="C86" s="220">
        <f t="shared" si="21"/>
        <v>34300</v>
      </c>
      <c r="D86" s="219" t="s">
        <v>885</v>
      </c>
      <c r="H86" s="1" t="s">
        <v>626</v>
      </c>
      <c r="K86" s="8">
        <f>SUM(K81:K84)</f>
        <v>2473.1</v>
      </c>
      <c r="R86" s="5" t="s">
        <v>1615</v>
      </c>
      <c r="T86" s="3"/>
      <c r="U86" s="1" t="s">
        <v>626</v>
      </c>
      <c r="W86" s="4"/>
      <c r="X86" s="8">
        <f>SUM(X81:X84)</f>
        <v>1680</v>
      </c>
      <c r="AE86" s="439">
        <f t="shared" si="20"/>
        <v>0</v>
      </c>
      <c r="AG86" s="1"/>
      <c r="AH86">
        <f t="shared" si="19"/>
        <v>0</v>
      </c>
      <c r="AI86">
        <f t="shared" si="16"/>
        <v>0</v>
      </c>
      <c r="AJ86">
        <f t="shared" si="17"/>
        <v>0</v>
      </c>
      <c r="AK86">
        <f t="shared" si="18"/>
        <v>0</v>
      </c>
      <c r="AO86" s="3"/>
      <c r="AP86" s="5" t="s">
        <v>1615</v>
      </c>
      <c r="AR86" s="10"/>
    </row>
    <row r="87" spans="1:45" ht="24" customHeight="1">
      <c r="A87" s="218">
        <f t="shared" si="11"/>
        <v>75</v>
      </c>
      <c r="B87" s="522" t="s">
        <v>2052</v>
      </c>
      <c r="C87" s="220">
        <f t="shared" si="21"/>
        <v>39400</v>
      </c>
      <c r="D87" s="219" t="s">
        <v>885</v>
      </c>
      <c r="K87" s="5" t="s">
        <v>1615</v>
      </c>
      <c r="O87" s="1" t="s">
        <v>626</v>
      </c>
      <c r="R87" s="8">
        <f>SUM(R79:R85)</f>
        <v>71096.3</v>
      </c>
      <c r="T87" s="3"/>
      <c r="W87" s="4"/>
      <c r="X87" s="5" t="s">
        <v>1615</v>
      </c>
      <c r="AE87" s="439">
        <f t="shared" si="20"/>
        <v>0</v>
      </c>
      <c r="AG87" s="1"/>
      <c r="AH87">
        <f t="shared" si="19"/>
        <v>0</v>
      </c>
      <c r="AI87">
        <f t="shared" si="16"/>
        <v>0</v>
      </c>
      <c r="AJ87">
        <f t="shared" si="17"/>
        <v>0</v>
      </c>
      <c r="AK87">
        <f t="shared" si="18"/>
        <v>0</v>
      </c>
      <c r="AN87" s="8">
        <f>AN63</f>
        <v>1300</v>
      </c>
      <c r="AO87" s="7" t="s">
        <v>1450</v>
      </c>
      <c r="AP87" s="8" t="str">
        <f>AP61</f>
        <v>Bricks of size 23x11x7 cm</v>
      </c>
      <c r="AQ87" s="8">
        <f>AC45</f>
        <v>6917.4</v>
      </c>
      <c r="AR87" s="1" t="s">
        <v>1623</v>
      </c>
      <c r="AS87" s="8">
        <f>AQ87*AN87/1000</f>
        <v>8992.6200000000008</v>
      </c>
    </row>
    <row r="88" spans="1:45" ht="36" customHeight="1">
      <c r="A88" s="218">
        <f t="shared" si="11"/>
        <v>76</v>
      </c>
      <c r="B88" s="522" t="s">
        <v>2053</v>
      </c>
      <c r="C88" s="220">
        <f t="shared" si="21"/>
        <v>111600</v>
      </c>
      <c r="D88" s="219" t="s">
        <v>885</v>
      </c>
      <c r="H88" s="33" t="s">
        <v>2085</v>
      </c>
      <c r="I88" s="36" t="s">
        <v>1424</v>
      </c>
      <c r="J88" s="98"/>
      <c r="K88" s="38">
        <f>(K86/10)</f>
        <v>247.31</v>
      </c>
      <c r="R88" s="5" t="s">
        <v>1615</v>
      </c>
      <c r="T88" s="3"/>
      <c r="U88" s="33" t="s">
        <v>2085</v>
      </c>
      <c r="V88" s="36" t="s">
        <v>1424</v>
      </c>
      <c r="W88" s="39"/>
      <c r="X88" s="38">
        <f>(X86/10)</f>
        <v>168</v>
      </c>
      <c r="AE88" s="439">
        <f t="shared" si="20"/>
        <v>0</v>
      </c>
      <c r="AG88" s="1"/>
      <c r="AH88">
        <f t="shared" si="19"/>
        <v>0</v>
      </c>
      <c r="AI88">
        <f t="shared" si="16"/>
        <v>0</v>
      </c>
      <c r="AJ88">
        <f t="shared" si="17"/>
        <v>0</v>
      </c>
      <c r="AK88">
        <f t="shared" si="18"/>
        <v>0</v>
      </c>
      <c r="AN88" s="12">
        <f>AN64</f>
        <v>0.70799999999999996</v>
      </c>
      <c r="AO88" s="7" t="s">
        <v>885</v>
      </c>
      <c r="AP88" s="1" t="s">
        <v>1662</v>
      </c>
      <c r="AQ88" s="8">
        <f>K58</f>
        <v>3179.3</v>
      </c>
      <c r="AR88" s="1" t="s">
        <v>885</v>
      </c>
      <c r="AS88" s="8">
        <f>AQ88*AN88</f>
        <v>2250.94</v>
      </c>
    </row>
    <row r="89" spans="1:45" ht="19.5" customHeight="1">
      <c r="A89" s="218">
        <f t="shared" si="11"/>
        <v>77</v>
      </c>
      <c r="B89" s="522" t="s">
        <v>299</v>
      </c>
      <c r="C89" s="220">
        <f t="shared" si="21"/>
        <v>99400</v>
      </c>
      <c r="D89" s="219" t="s">
        <v>885</v>
      </c>
      <c r="I89" s="36" t="s">
        <v>1386</v>
      </c>
      <c r="J89" s="98"/>
      <c r="K89" s="41">
        <f>ROUND(K88+C36,2)</f>
        <v>258.52999999999997</v>
      </c>
      <c r="L89">
        <f>K89+C36</f>
        <v>269.75</v>
      </c>
      <c r="M89">
        <f>L89+C36</f>
        <v>280.97000000000003</v>
      </c>
      <c r="O89" s="1" t="s">
        <v>789</v>
      </c>
      <c r="R89" s="8">
        <f>(R87/10)</f>
        <v>7109.63</v>
      </c>
      <c r="T89" s="3"/>
      <c r="V89" s="36" t="s">
        <v>1386</v>
      </c>
      <c r="W89" s="39"/>
      <c r="X89" s="41">
        <f>ROUND(X88+C36,2)</f>
        <v>179.22</v>
      </c>
      <c r="AE89" s="439">
        <f t="shared" si="20"/>
        <v>0</v>
      </c>
      <c r="AG89" s="1"/>
      <c r="AH89">
        <f t="shared" si="19"/>
        <v>0</v>
      </c>
      <c r="AI89">
        <f t="shared" si="16"/>
        <v>0</v>
      </c>
      <c r="AJ89">
        <f t="shared" si="17"/>
        <v>0</v>
      </c>
      <c r="AK89">
        <f t="shared" si="18"/>
        <v>0</v>
      </c>
      <c r="AN89" s="8">
        <v>1</v>
      </c>
      <c r="AO89" s="7" t="s">
        <v>884</v>
      </c>
      <c r="AP89" s="1" t="s">
        <v>2045</v>
      </c>
      <c r="AQ89" s="8">
        <f>AQ65</f>
        <v>1041.7</v>
      </c>
      <c r="AR89" s="1" t="s">
        <v>884</v>
      </c>
      <c r="AS89" s="8">
        <f>AQ89*AN89</f>
        <v>1041.7</v>
      </c>
    </row>
    <row r="90" spans="1:45" ht="36" customHeight="1">
      <c r="A90" s="218">
        <f t="shared" si="11"/>
        <v>78</v>
      </c>
      <c r="B90" s="522" t="s">
        <v>300</v>
      </c>
      <c r="C90" s="220">
        <f>AC28</f>
        <v>95000</v>
      </c>
      <c r="D90" s="219" t="s">
        <v>885</v>
      </c>
      <c r="F90" s="11" t="s">
        <v>1554</v>
      </c>
      <c r="H90" s="37" t="s">
        <v>1977</v>
      </c>
      <c r="I90" s="36" t="s">
        <v>1424</v>
      </c>
      <c r="J90" s="98"/>
      <c r="K90" s="38">
        <f>K88-K83/10</f>
        <v>233.76</v>
      </c>
      <c r="R90" s="5" t="s">
        <v>2091</v>
      </c>
      <c r="S90" s="20" t="s">
        <v>1554</v>
      </c>
      <c r="T90" s="3"/>
      <c r="U90" s="37" t="s">
        <v>159</v>
      </c>
      <c r="V90" s="36" t="s">
        <v>1424</v>
      </c>
      <c r="W90" s="39"/>
      <c r="X90" s="38">
        <f>X88-X83/10</f>
        <v>156.1</v>
      </c>
      <c r="AE90" s="439">
        <f t="shared" si="20"/>
        <v>0</v>
      </c>
      <c r="AG90" s="1"/>
      <c r="AH90">
        <f t="shared" si="19"/>
        <v>0</v>
      </c>
      <c r="AI90">
        <f t="shared" si="16"/>
        <v>0</v>
      </c>
      <c r="AJ90">
        <f t="shared" si="17"/>
        <v>0</v>
      </c>
      <c r="AK90">
        <f t="shared" si="18"/>
        <v>0</v>
      </c>
      <c r="AN90" s="8">
        <v>3</v>
      </c>
      <c r="AO90" s="7" t="s">
        <v>884</v>
      </c>
      <c r="AP90" s="1" t="s">
        <v>1744</v>
      </c>
      <c r="AQ90" s="8">
        <f>AQ66</f>
        <v>972.4</v>
      </c>
      <c r="AR90" s="1" t="s">
        <v>884</v>
      </c>
      <c r="AS90" s="8">
        <f>AQ90*AN90</f>
        <v>2917.2</v>
      </c>
    </row>
    <row r="91" spans="1:45" ht="24" customHeight="1">
      <c r="A91" s="218">
        <f t="shared" si="11"/>
        <v>79</v>
      </c>
      <c r="B91" s="522" t="s">
        <v>1579</v>
      </c>
      <c r="C91" s="220">
        <f t="shared" si="21"/>
        <v>4492.5</v>
      </c>
      <c r="D91" s="219" t="s">
        <v>1507</v>
      </c>
      <c r="I91" s="36" t="s">
        <v>1386</v>
      </c>
      <c r="J91" s="98"/>
      <c r="K91" s="41">
        <f>ROUND(K90+C36,2)</f>
        <v>244.98</v>
      </c>
      <c r="T91" s="3"/>
      <c r="V91" s="36" t="s">
        <v>1386</v>
      </c>
      <c r="W91" s="39"/>
      <c r="X91" s="41">
        <f>ROUND(X90+C36,2)</f>
        <v>167.32</v>
      </c>
      <c r="AE91" s="439">
        <f t="shared" si="20"/>
        <v>0</v>
      </c>
      <c r="AG91" s="1"/>
      <c r="AH91">
        <f t="shared" si="19"/>
        <v>0</v>
      </c>
      <c r="AI91">
        <f t="shared" si="16"/>
        <v>0</v>
      </c>
      <c r="AJ91">
        <f t="shared" si="17"/>
        <v>0</v>
      </c>
      <c r="AK91">
        <f t="shared" si="18"/>
        <v>0</v>
      </c>
      <c r="AN91" s="8">
        <v>2</v>
      </c>
      <c r="AO91" s="7" t="s">
        <v>884</v>
      </c>
      <c r="AP91" s="1" t="s">
        <v>1937</v>
      </c>
      <c r="AQ91" s="8">
        <f>AQ67</f>
        <v>679.8</v>
      </c>
      <c r="AR91" s="1" t="s">
        <v>884</v>
      </c>
      <c r="AS91" s="8">
        <f>AQ91*AN91</f>
        <v>1359.6</v>
      </c>
    </row>
    <row r="92" spans="1:45" ht="24" customHeight="1">
      <c r="A92" s="221"/>
      <c r="B92" s="221"/>
      <c r="C92" s="221"/>
      <c r="D92" s="221"/>
      <c r="F92" s="11" t="s">
        <v>2132</v>
      </c>
      <c r="G92" s="7" t="s">
        <v>992</v>
      </c>
      <c r="H92" s="1" t="s">
        <v>516</v>
      </c>
      <c r="S92" s="20"/>
      <c r="T92" s="7"/>
      <c r="U92" s="1"/>
      <c r="W92" s="4"/>
      <c r="AE92" s="439">
        <f t="shared" si="20"/>
        <v>0</v>
      </c>
      <c r="AH92">
        <f t="shared" si="19"/>
        <v>0</v>
      </c>
      <c r="AI92">
        <f t="shared" si="16"/>
        <v>0</v>
      </c>
      <c r="AJ92">
        <f t="shared" si="17"/>
        <v>0</v>
      </c>
      <c r="AK92">
        <f t="shared" si="18"/>
        <v>0</v>
      </c>
      <c r="AN92" s="8">
        <v>6</v>
      </c>
      <c r="AO92" s="7" t="s">
        <v>884</v>
      </c>
      <c r="AP92" s="1" t="s">
        <v>325</v>
      </c>
      <c r="AQ92" s="8">
        <f>AQ68</f>
        <v>557.70000000000005</v>
      </c>
      <c r="AR92" s="1" t="s">
        <v>884</v>
      </c>
      <c r="AS92" s="8">
        <f>AQ92*AN92</f>
        <v>3346.2</v>
      </c>
    </row>
    <row r="93" spans="1:45" ht="24" customHeight="1">
      <c r="A93" s="221"/>
      <c r="B93" s="221"/>
      <c r="C93" s="221"/>
      <c r="D93" s="221"/>
      <c r="F93" s="13" t="s">
        <v>992</v>
      </c>
      <c r="H93" s="5" t="s">
        <v>1615</v>
      </c>
      <c r="M93" t="s">
        <v>3301</v>
      </c>
      <c r="S93" s="409"/>
      <c r="T93" s="3"/>
      <c r="U93" s="5"/>
      <c r="W93" s="4"/>
      <c r="AE93" s="439">
        <f t="shared" si="20"/>
        <v>0</v>
      </c>
      <c r="AH93">
        <f t="shared" si="19"/>
        <v>0</v>
      </c>
      <c r="AI93">
        <f t="shared" si="16"/>
        <v>0</v>
      </c>
      <c r="AJ93">
        <f t="shared" si="17"/>
        <v>0</v>
      </c>
      <c r="AK93">
        <f t="shared" si="18"/>
        <v>0</v>
      </c>
      <c r="AO93" s="7" t="s">
        <v>455</v>
      </c>
      <c r="AP93" s="1" t="s">
        <v>456</v>
      </c>
      <c r="AR93" s="1" t="s">
        <v>455</v>
      </c>
      <c r="AS93" s="8">
        <v>5</v>
      </c>
    </row>
    <row r="94" spans="1:45" ht="24" customHeight="1">
      <c r="A94" s="221"/>
      <c r="B94" s="221"/>
      <c r="C94" s="221"/>
      <c r="D94" s="221"/>
      <c r="F94" s="8">
        <v>10</v>
      </c>
      <c r="G94" s="7" t="s">
        <v>885</v>
      </c>
      <c r="H94" s="1" t="s">
        <v>386</v>
      </c>
      <c r="I94" s="8">
        <f>D61</f>
        <v>174.02</v>
      </c>
      <c r="J94" s="1" t="s">
        <v>885</v>
      </c>
      <c r="K94" s="8">
        <f>(F94*I94)</f>
        <v>1740.2</v>
      </c>
      <c r="M94">
        <f>AE39</f>
        <v>78.05</v>
      </c>
      <c r="S94" s="12"/>
      <c r="T94" s="7"/>
      <c r="U94" s="1"/>
      <c r="V94" s="8"/>
      <c r="W94" s="2"/>
      <c r="X94" s="8"/>
      <c r="AE94" s="439">
        <f t="shared" si="20"/>
        <v>0</v>
      </c>
      <c r="AH94">
        <f t="shared" si="19"/>
        <v>0</v>
      </c>
      <c r="AI94">
        <f t="shared" si="16"/>
        <v>0</v>
      </c>
      <c r="AJ94">
        <f t="shared" si="17"/>
        <v>0</v>
      </c>
      <c r="AK94">
        <f t="shared" si="18"/>
        <v>0</v>
      </c>
      <c r="AO94" s="3"/>
      <c r="AR94" s="10"/>
      <c r="AS94" s="5" t="s">
        <v>1615</v>
      </c>
    </row>
    <row r="95" spans="1:45" ht="24" customHeight="1">
      <c r="A95" s="221"/>
      <c r="B95" s="221"/>
      <c r="C95" s="221"/>
      <c r="D95" s="221"/>
      <c r="F95" s="8">
        <v>10</v>
      </c>
      <c r="G95" s="7" t="s">
        <v>885</v>
      </c>
      <c r="H95" s="1" t="s">
        <v>2047</v>
      </c>
      <c r="I95" s="8">
        <f>D61</f>
        <v>174.02</v>
      </c>
      <c r="J95" s="1" t="s">
        <v>885</v>
      </c>
      <c r="K95" s="8">
        <f>(F95*I95)</f>
        <v>1740.2</v>
      </c>
      <c r="M95">
        <f>M94</f>
        <v>78.05</v>
      </c>
      <c r="S95" s="12"/>
      <c r="T95" s="7"/>
      <c r="U95" s="1"/>
      <c r="V95" s="8"/>
      <c r="W95" s="2"/>
      <c r="X95" s="8"/>
      <c r="AE95" s="439">
        <f t="shared" si="20"/>
        <v>0</v>
      </c>
      <c r="AH95">
        <f t="shared" si="19"/>
        <v>0</v>
      </c>
      <c r="AI95">
        <f t="shared" si="16"/>
        <v>0</v>
      </c>
      <c r="AJ95">
        <f t="shared" si="17"/>
        <v>0</v>
      </c>
      <c r="AK95">
        <f t="shared" si="18"/>
        <v>0</v>
      </c>
      <c r="AO95" s="3"/>
      <c r="AP95" s="1" t="s">
        <v>626</v>
      </c>
      <c r="AR95" s="10"/>
      <c r="AS95" s="8">
        <f>SUM(AS87:AS93)</f>
        <v>19913.259999999998</v>
      </c>
    </row>
    <row r="96" spans="1:45" ht="24" customHeight="1">
      <c r="A96" s="221"/>
      <c r="B96" s="221"/>
      <c r="C96" s="221"/>
      <c r="D96" s="221"/>
      <c r="F96" s="8">
        <v>10</v>
      </c>
      <c r="G96" s="7" t="s">
        <v>885</v>
      </c>
      <c r="H96" s="1" t="s">
        <v>2049</v>
      </c>
      <c r="I96" s="8">
        <f>I83</f>
        <v>13.55</v>
      </c>
      <c r="J96" s="1" t="s">
        <v>885</v>
      </c>
      <c r="K96" s="8">
        <f>(F96*I96)</f>
        <v>135.5</v>
      </c>
      <c r="M96">
        <f>I96</f>
        <v>13.55</v>
      </c>
      <c r="S96" s="12"/>
      <c r="T96" s="7"/>
      <c r="U96" s="1"/>
      <c r="V96" s="8"/>
      <c r="W96" s="2"/>
      <c r="X96" s="8"/>
      <c r="AE96" s="439">
        <f t="shared" si="20"/>
        <v>0</v>
      </c>
      <c r="AH96">
        <f t="shared" si="19"/>
        <v>0</v>
      </c>
      <c r="AI96">
        <f t="shared" si="16"/>
        <v>0</v>
      </c>
      <c r="AJ96">
        <f t="shared" si="17"/>
        <v>0</v>
      </c>
      <c r="AK96">
        <f t="shared" si="18"/>
        <v>0</v>
      </c>
      <c r="AO96" s="3"/>
      <c r="AR96" s="10"/>
      <c r="AS96" s="5" t="s">
        <v>1615</v>
      </c>
    </row>
    <row r="97" spans="1:48" ht="24" customHeight="1">
      <c r="A97" s="221"/>
      <c r="B97" s="221"/>
      <c r="C97" s="221"/>
      <c r="D97" s="221"/>
      <c r="G97" s="7" t="s">
        <v>455</v>
      </c>
      <c r="H97" s="1" t="s">
        <v>456</v>
      </c>
      <c r="J97" s="1" t="s">
        <v>455</v>
      </c>
      <c r="K97" s="8">
        <v>0</v>
      </c>
      <c r="M97">
        <f>SUM(M94:M96)</f>
        <v>169.65</v>
      </c>
      <c r="T97" s="7"/>
      <c r="U97" s="1"/>
      <c r="W97" s="2"/>
      <c r="X97" s="8"/>
      <c r="AE97" s="439">
        <f t="shared" si="20"/>
        <v>0</v>
      </c>
      <c r="AH97">
        <f t="shared" si="19"/>
        <v>0</v>
      </c>
      <c r="AI97">
        <f t="shared" si="16"/>
        <v>0</v>
      </c>
      <c r="AJ97">
        <f t="shared" si="17"/>
        <v>0</v>
      </c>
      <c r="AK97">
        <f t="shared" si="18"/>
        <v>0</v>
      </c>
      <c r="AO97" s="3"/>
      <c r="AP97" s="2" t="s">
        <v>789</v>
      </c>
      <c r="AR97" s="10"/>
      <c r="AS97" s="8">
        <f>(AS95/2.83168)</f>
        <v>7032.31</v>
      </c>
    </row>
    <row r="98" spans="1:48" ht="24" customHeight="1">
      <c r="A98" s="221"/>
      <c r="B98" s="221"/>
      <c r="C98" s="221"/>
      <c r="D98" s="221"/>
      <c r="K98" s="5" t="s">
        <v>1615</v>
      </c>
      <c r="T98" s="3"/>
      <c r="W98" s="4"/>
      <c r="X98" s="5"/>
      <c r="AE98" s="439">
        <f t="shared" si="20"/>
        <v>0</v>
      </c>
      <c r="AH98">
        <f t="shared" si="19"/>
        <v>0</v>
      </c>
      <c r="AI98">
        <f t="shared" si="16"/>
        <v>0</v>
      </c>
      <c r="AJ98">
        <f t="shared" si="17"/>
        <v>0</v>
      </c>
      <c r="AK98">
        <f t="shared" si="18"/>
        <v>0</v>
      </c>
      <c r="AO98" s="3"/>
      <c r="AR98" s="10"/>
      <c r="AS98" s="5" t="s">
        <v>2091</v>
      </c>
    </row>
    <row r="99" spans="1:48" ht="24" customHeight="1">
      <c r="A99" s="221"/>
      <c r="B99" s="221"/>
      <c r="C99" s="221"/>
      <c r="D99" s="221"/>
      <c r="H99" s="1" t="s">
        <v>626</v>
      </c>
      <c r="K99" s="8">
        <f>SUM(K94:K97)</f>
        <v>3615.9</v>
      </c>
      <c r="T99" s="3"/>
      <c r="U99" s="1"/>
      <c r="W99" s="4"/>
      <c r="X99" s="8"/>
      <c r="AE99" s="439">
        <f t="shared" si="20"/>
        <v>0</v>
      </c>
      <c r="AH99">
        <f t="shared" ref="AH99:AH123" si="22">AF99*1.2</f>
        <v>0</v>
      </c>
      <c r="AO99" s="3"/>
      <c r="AP99" s="1" t="s">
        <v>391</v>
      </c>
      <c r="AR99" s="10"/>
      <c r="AS99" s="38">
        <f>AS97+C19</f>
        <v>7114.59</v>
      </c>
      <c r="AU99">
        <f>AS99*22.69/100</f>
        <v>1614.3</v>
      </c>
      <c r="AV99">
        <f>AS99-AU99</f>
        <v>5500.29</v>
      </c>
    </row>
    <row r="100" spans="1:48" ht="24" customHeight="1">
      <c r="A100" s="221"/>
      <c r="B100" s="221"/>
      <c r="C100" s="221"/>
      <c r="D100" s="221"/>
      <c r="K100" s="5" t="s">
        <v>1615</v>
      </c>
      <c r="T100" s="3"/>
      <c r="W100" s="4"/>
      <c r="X100" s="5"/>
      <c r="AE100" s="439">
        <f t="shared" si="20"/>
        <v>0</v>
      </c>
      <c r="AH100">
        <f t="shared" si="22"/>
        <v>0</v>
      </c>
      <c r="AO100" s="3"/>
      <c r="AP100" s="1" t="s">
        <v>393</v>
      </c>
      <c r="AR100" s="10"/>
      <c r="AS100" s="38">
        <f>(AS99+C20)</f>
        <v>7280.58</v>
      </c>
      <c r="AU100">
        <f t="shared" ref="AU100:AU163" si="23">AS100*22.69/100</f>
        <v>1651.96</v>
      </c>
      <c r="AV100">
        <f t="shared" ref="AV100:AV163" si="24">AS100-AU100</f>
        <v>5628.62</v>
      </c>
    </row>
    <row r="101" spans="1:48" ht="24" customHeight="1">
      <c r="A101" s="221"/>
      <c r="B101" s="221"/>
      <c r="C101" s="221"/>
      <c r="D101" s="221"/>
      <c r="H101" s="33" t="s">
        <v>2085</v>
      </c>
      <c r="I101" s="36" t="s">
        <v>1424</v>
      </c>
      <c r="J101" s="98"/>
      <c r="K101" s="38">
        <f>(K99/10)</f>
        <v>361.59</v>
      </c>
      <c r="M101">
        <f>SUM(M94:M95)</f>
        <v>156.1</v>
      </c>
      <c r="T101" s="3"/>
      <c r="U101" s="33"/>
      <c r="V101" s="36"/>
      <c r="W101" s="39"/>
      <c r="X101" s="38"/>
      <c r="AE101" s="439">
        <f t="shared" si="20"/>
        <v>0</v>
      </c>
      <c r="AH101">
        <f t="shared" si="22"/>
        <v>0</v>
      </c>
      <c r="AO101" s="3"/>
      <c r="AP101" s="1" t="s">
        <v>2271</v>
      </c>
      <c r="AR101" s="10"/>
      <c r="AS101" s="38">
        <f>(AS100+C20)</f>
        <v>7446.57</v>
      </c>
      <c r="AU101">
        <f t="shared" si="23"/>
        <v>1689.63</v>
      </c>
      <c r="AV101">
        <f t="shared" si="24"/>
        <v>5756.94</v>
      </c>
    </row>
    <row r="102" spans="1:48" ht="24" customHeight="1">
      <c r="A102" s="221"/>
      <c r="B102" s="221"/>
      <c r="C102" s="221"/>
      <c r="D102" s="221"/>
      <c r="I102" s="36" t="s">
        <v>1386</v>
      </c>
      <c r="J102" s="98"/>
      <c r="K102" s="41">
        <f>ROUND(K101+C36,2)</f>
        <v>372.81</v>
      </c>
      <c r="T102" s="3"/>
      <c r="V102" s="36"/>
      <c r="W102" s="39"/>
      <c r="X102" s="41"/>
      <c r="AE102" s="439">
        <f t="shared" si="20"/>
        <v>0</v>
      </c>
      <c r="AH102">
        <f t="shared" si="22"/>
        <v>0</v>
      </c>
      <c r="AO102" s="3"/>
      <c r="AP102" s="1" t="s">
        <v>385</v>
      </c>
      <c r="AR102" s="10"/>
      <c r="AS102" s="38">
        <f>(AS101+C20)</f>
        <v>7612.56</v>
      </c>
      <c r="AU102">
        <f t="shared" si="23"/>
        <v>1727.29</v>
      </c>
      <c r="AV102">
        <f t="shared" si="24"/>
        <v>5885.27</v>
      </c>
    </row>
    <row r="103" spans="1:48" ht="24" customHeight="1">
      <c r="A103" s="221"/>
      <c r="B103" s="221"/>
      <c r="C103" s="221"/>
      <c r="D103" s="221"/>
      <c r="I103" s="36"/>
      <c r="J103" s="98"/>
      <c r="K103" s="40"/>
      <c r="T103" s="3"/>
      <c r="V103" s="36"/>
      <c r="W103" s="39"/>
      <c r="X103" s="40"/>
      <c r="AE103" s="439">
        <f t="shared" si="20"/>
        <v>0</v>
      </c>
      <c r="AH103">
        <f t="shared" si="22"/>
        <v>0</v>
      </c>
      <c r="AN103" s="1" t="s">
        <v>992</v>
      </c>
      <c r="AO103" s="3"/>
      <c r="AP103" s="1" t="s">
        <v>494</v>
      </c>
      <c r="AR103" s="10"/>
      <c r="AS103" s="38">
        <f>(AS102+C20)</f>
        <v>7778.55</v>
      </c>
      <c r="AU103">
        <f t="shared" si="23"/>
        <v>1764.95</v>
      </c>
      <c r="AV103">
        <f t="shared" si="24"/>
        <v>6013.6</v>
      </c>
    </row>
    <row r="104" spans="1:48" ht="30.75" customHeight="1">
      <c r="A104" s="221"/>
      <c r="B104" s="221"/>
      <c r="C104" s="221"/>
      <c r="D104" s="221"/>
      <c r="F104" s="24">
        <v>1.7</v>
      </c>
      <c r="H104" s="37" t="s">
        <v>668</v>
      </c>
      <c r="I104" s="36" t="s">
        <v>1424</v>
      </c>
      <c r="J104" s="98"/>
      <c r="K104" s="41">
        <f>ROUND(K101-K96/10,2)</f>
        <v>348.04</v>
      </c>
      <c r="S104" s="20"/>
      <c r="T104" s="3"/>
      <c r="U104" s="37"/>
      <c r="V104" s="36"/>
      <c r="W104" s="39"/>
      <c r="X104" s="41"/>
      <c r="AE104" s="439">
        <f t="shared" si="20"/>
        <v>0</v>
      </c>
      <c r="AH104">
        <f t="shared" si="22"/>
        <v>0</v>
      </c>
      <c r="AN104" s="11">
        <v>27</v>
      </c>
      <c r="AO104" s="7" t="s">
        <v>2290</v>
      </c>
      <c r="AP104" s="1" t="s">
        <v>3829</v>
      </c>
      <c r="AR104" s="10"/>
      <c r="AS104" s="38">
        <f>(AS103+C21)</f>
        <v>7944.54</v>
      </c>
    </row>
    <row r="105" spans="1:48" ht="24" customHeight="1">
      <c r="A105" s="221"/>
      <c r="B105" s="221"/>
      <c r="C105" s="221"/>
      <c r="D105" s="221"/>
      <c r="I105" s="36" t="s">
        <v>1386</v>
      </c>
      <c r="J105" s="98"/>
      <c r="K105" s="41">
        <f>ROUND(K104+C36,2)</f>
        <v>359.26</v>
      </c>
      <c r="T105" s="3"/>
      <c r="V105" s="36"/>
      <c r="W105" s="39"/>
      <c r="X105" s="41"/>
      <c r="AE105" s="439">
        <f t="shared" si="20"/>
        <v>0</v>
      </c>
      <c r="AH105">
        <f t="shared" si="22"/>
        <v>0</v>
      </c>
      <c r="AO105" s="3"/>
      <c r="AP105" s="1" t="str">
        <f>AP85</f>
        <v>Bricks of size 23x11x7 cm</v>
      </c>
      <c r="AR105" s="10"/>
    </row>
    <row r="106" spans="1:48" ht="24" customHeight="1">
      <c r="A106" s="221"/>
      <c r="B106" s="221"/>
      <c r="C106" s="221"/>
      <c r="D106" s="221"/>
      <c r="K106" s="5"/>
      <c r="T106" s="3"/>
      <c r="W106" s="4"/>
      <c r="X106" s="5"/>
      <c r="AE106" s="439">
        <f t="shared" si="20"/>
        <v>0</v>
      </c>
      <c r="AH106">
        <f t="shared" si="22"/>
        <v>0</v>
      </c>
      <c r="AO106" s="3"/>
      <c r="AP106" s="5" t="s">
        <v>1615</v>
      </c>
      <c r="AR106" s="10"/>
    </row>
    <row r="107" spans="1:48" ht="24" customHeight="1">
      <c r="A107" s="221"/>
      <c r="B107" s="221"/>
      <c r="C107" s="221"/>
      <c r="D107" s="221"/>
      <c r="K107" s="5"/>
      <c r="T107" s="3"/>
      <c r="W107" s="4"/>
      <c r="X107" s="5"/>
      <c r="AE107" s="439">
        <f t="shared" si="20"/>
        <v>0</v>
      </c>
      <c r="AH107">
        <f t="shared" si="22"/>
        <v>0</v>
      </c>
      <c r="AN107" s="8">
        <v>1300</v>
      </c>
      <c r="AO107" s="7" t="s">
        <v>1450</v>
      </c>
      <c r="AP107" s="8" t="str">
        <f>AP61</f>
        <v>Bricks of size 23x11x7 cm</v>
      </c>
      <c r="AQ107" s="8">
        <f>AC45</f>
        <v>6917.4</v>
      </c>
      <c r="AR107" s="1" t="s">
        <v>1623</v>
      </c>
      <c r="AS107" s="8">
        <f>(AN107*AQ107)/1000</f>
        <v>8992.6200000000008</v>
      </c>
      <c r="AU107">
        <f t="shared" si="23"/>
        <v>2040.43</v>
      </c>
      <c r="AV107">
        <f t="shared" si="24"/>
        <v>6952.19</v>
      </c>
    </row>
    <row r="108" spans="1:48" ht="38.25" customHeight="1">
      <c r="A108" s="221"/>
      <c r="B108" s="221"/>
      <c r="C108" s="221"/>
      <c r="D108" s="221"/>
      <c r="F108" s="24">
        <v>1.4</v>
      </c>
      <c r="G108" s="7" t="s">
        <v>992</v>
      </c>
      <c r="H108" s="22" t="s">
        <v>443</v>
      </c>
      <c r="S108" s="20">
        <v>1.4</v>
      </c>
      <c r="T108" s="7" t="s">
        <v>992</v>
      </c>
      <c r="U108" s="22" t="s">
        <v>443</v>
      </c>
      <c r="W108" s="4"/>
      <c r="AE108" s="439">
        <f t="shared" si="20"/>
        <v>0</v>
      </c>
      <c r="AH108">
        <f t="shared" si="22"/>
        <v>0</v>
      </c>
      <c r="AN108" s="12">
        <v>0.70799999999999996</v>
      </c>
      <c r="AO108" s="7" t="s">
        <v>885</v>
      </c>
      <c r="AP108" s="1" t="s">
        <v>1331</v>
      </c>
      <c r="AQ108" s="8">
        <f>K40</f>
        <v>3904.1</v>
      </c>
      <c r="AR108" s="1" t="s">
        <v>885</v>
      </c>
      <c r="AS108" s="8">
        <f>(AN108*AQ108)</f>
        <v>2764.1</v>
      </c>
      <c r="AU108">
        <f t="shared" si="23"/>
        <v>627.16999999999996</v>
      </c>
      <c r="AV108">
        <f t="shared" si="24"/>
        <v>2136.9299999999998</v>
      </c>
    </row>
    <row r="109" spans="1:48" ht="24" customHeight="1">
      <c r="A109" s="221"/>
      <c r="B109" s="221"/>
      <c r="C109" s="221"/>
      <c r="D109" s="221"/>
      <c r="T109" s="3"/>
      <c r="W109" s="4"/>
      <c r="AE109" s="439">
        <f t="shared" si="20"/>
        <v>0</v>
      </c>
      <c r="AH109">
        <f t="shared" si="22"/>
        <v>0</v>
      </c>
      <c r="AN109" s="8">
        <v>1</v>
      </c>
      <c r="AO109" s="7" t="s">
        <v>884</v>
      </c>
      <c r="AP109" s="1" t="s">
        <v>2045</v>
      </c>
      <c r="AQ109" s="8">
        <f>AQ89</f>
        <v>1041.7</v>
      </c>
      <c r="AR109" s="1" t="s">
        <v>884</v>
      </c>
      <c r="AS109" s="8">
        <f>(AN109*AQ109)</f>
        <v>1041.7</v>
      </c>
      <c r="AU109">
        <f t="shared" si="23"/>
        <v>236.36</v>
      </c>
      <c r="AV109">
        <f t="shared" si="24"/>
        <v>805.34</v>
      </c>
    </row>
    <row r="110" spans="1:48" ht="24" customHeight="1">
      <c r="A110" s="221"/>
      <c r="B110" s="221"/>
      <c r="C110" s="221"/>
      <c r="D110" s="221"/>
      <c r="F110" s="8">
        <v>10</v>
      </c>
      <c r="G110" s="7" t="s">
        <v>885</v>
      </c>
      <c r="H110" s="1" t="s">
        <v>1199</v>
      </c>
      <c r="I110" s="8">
        <f>C61</f>
        <v>116.88</v>
      </c>
      <c r="J110" s="1" t="s">
        <v>885</v>
      </c>
      <c r="K110" s="8">
        <f>(F110*I110)</f>
        <v>1168.8</v>
      </c>
      <c r="S110" s="12">
        <v>10</v>
      </c>
      <c r="T110" s="7" t="s">
        <v>885</v>
      </c>
      <c r="U110" s="1" t="s">
        <v>1199</v>
      </c>
      <c r="V110" s="8">
        <f>V81</f>
        <v>78.05</v>
      </c>
      <c r="W110" s="2" t="s">
        <v>885</v>
      </c>
      <c r="X110" s="8">
        <f>(S110*V110)</f>
        <v>780.5</v>
      </c>
      <c r="AE110" s="439">
        <f t="shared" si="20"/>
        <v>0</v>
      </c>
      <c r="AH110">
        <f t="shared" si="22"/>
        <v>0</v>
      </c>
      <c r="AN110" s="8">
        <v>3</v>
      </c>
      <c r="AO110" s="7" t="s">
        <v>884</v>
      </c>
      <c r="AP110" s="1" t="s">
        <v>1744</v>
      </c>
      <c r="AQ110" s="8">
        <f>AQ90</f>
        <v>972.4</v>
      </c>
      <c r="AR110" s="1" t="s">
        <v>884</v>
      </c>
      <c r="AS110" s="8">
        <f>(AN110*AQ110)</f>
        <v>2917.2</v>
      </c>
      <c r="AU110">
        <f t="shared" si="23"/>
        <v>661.91</v>
      </c>
      <c r="AV110">
        <f t="shared" si="24"/>
        <v>2255.29</v>
      </c>
    </row>
    <row r="111" spans="1:48" ht="24" customHeight="1">
      <c r="A111" s="221"/>
      <c r="B111" s="221"/>
      <c r="C111" s="221"/>
      <c r="D111" s="221"/>
      <c r="F111" s="8">
        <v>10</v>
      </c>
      <c r="G111" s="7" t="s">
        <v>885</v>
      </c>
      <c r="H111" s="1" t="s">
        <v>2049</v>
      </c>
      <c r="I111" s="8">
        <f>I83</f>
        <v>13.55</v>
      </c>
      <c r="J111" s="1" t="s">
        <v>885</v>
      </c>
      <c r="K111" s="8">
        <f>(F111*I111)</f>
        <v>135.5</v>
      </c>
      <c r="S111" s="12">
        <v>10</v>
      </c>
      <c r="T111" s="7" t="s">
        <v>885</v>
      </c>
      <c r="U111" s="1" t="s">
        <v>2049</v>
      </c>
      <c r="V111" s="8">
        <f>V83</f>
        <v>11.9</v>
      </c>
      <c r="W111" s="2" t="s">
        <v>885</v>
      </c>
      <c r="X111" s="8">
        <f>(S111*V111)</f>
        <v>119</v>
      </c>
      <c r="AE111" s="439">
        <f t="shared" si="20"/>
        <v>0</v>
      </c>
      <c r="AH111">
        <f t="shared" si="22"/>
        <v>0</v>
      </c>
      <c r="AN111" s="8">
        <v>2</v>
      </c>
      <c r="AO111" s="7" t="s">
        <v>884</v>
      </c>
      <c r="AP111" s="1" t="s">
        <v>1937</v>
      </c>
      <c r="AQ111" s="8">
        <f>AQ91</f>
        <v>679.8</v>
      </c>
      <c r="AR111" s="1" t="s">
        <v>884</v>
      </c>
      <c r="AS111" s="8">
        <f>(AN111*AQ111)</f>
        <v>1359.6</v>
      </c>
      <c r="AU111">
        <f t="shared" si="23"/>
        <v>308.49</v>
      </c>
      <c r="AV111">
        <f t="shared" si="24"/>
        <v>1051.1099999999999</v>
      </c>
    </row>
    <row r="112" spans="1:48" ht="24" customHeight="1">
      <c r="A112" s="221"/>
      <c r="B112" s="221"/>
      <c r="C112" s="221"/>
      <c r="D112" s="221"/>
      <c r="G112" s="7" t="s">
        <v>455</v>
      </c>
      <c r="H112" s="1" t="s">
        <v>456</v>
      </c>
      <c r="J112" s="1" t="s">
        <v>455</v>
      </c>
      <c r="K112" s="8">
        <v>0</v>
      </c>
      <c r="T112" s="7" t="s">
        <v>455</v>
      </c>
      <c r="U112" s="1" t="s">
        <v>456</v>
      </c>
      <c r="W112" s="2" t="s">
        <v>455</v>
      </c>
      <c r="X112" s="8">
        <v>0</v>
      </c>
      <c r="AE112" s="439">
        <f t="shared" si="20"/>
        <v>0</v>
      </c>
      <c r="AH112">
        <f t="shared" si="22"/>
        <v>0</v>
      </c>
      <c r="AN112" s="8">
        <v>6</v>
      </c>
      <c r="AO112" s="7" t="s">
        <v>884</v>
      </c>
      <c r="AP112" s="1" t="s">
        <v>325</v>
      </c>
      <c r="AQ112" s="8">
        <f>AQ92</f>
        <v>557.70000000000005</v>
      </c>
      <c r="AR112" s="1" t="s">
        <v>884</v>
      </c>
      <c r="AS112" s="8">
        <f>(AN112*AQ112)</f>
        <v>3346.2</v>
      </c>
      <c r="AU112">
        <f t="shared" si="23"/>
        <v>759.25</v>
      </c>
      <c r="AV112">
        <f t="shared" si="24"/>
        <v>2586.9499999999998</v>
      </c>
    </row>
    <row r="113" spans="1:48" ht="24" customHeight="1">
      <c r="A113" s="221"/>
      <c r="B113" s="221"/>
      <c r="C113" s="221"/>
      <c r="D113" s="221"/>
      <c r="K113" s="5" t="s">
        <v>1615</v>
      </c>
      <c r="T113" s="3"/>
      <c r="W113" s="4"/>
      <c r="X113" s="5" t="s">
        <v>1615</v>
      </c>
      <c r="AE113" s="439">
        <f t="shared" si="20"/>
        <v>0</v>
      </c>
      <c r="AH113">
        <f t="shared" si="22"/>
        <v>0</v>
      </c>
      <c r="AO113" s="7" t="s">
        <v>455</v>
      </c>
      <c r="AP113" s="1" t="s">
        <v>456</v>
      </c>
      <c r="AR113" s="1" t="s">
        <v>455</v>
      </c>
      <c r="AS113" s="8">
        <v>5</v>
      </c>
      <c r="AU113">
        <f t="shared" si="23"/>
        <v>1.1299999999999999</v>
      </c>
      <c r="AV113">
        <f t="shared" si="24"/>
        <v>3.87</v>
      </c>
    </row>
    <row r="114" spans="1:48" ht="24" customHeight="1">
      <c r="A114" s="221"/>
      <c r="B114" s="221"/>
      <c r="C114" s="221"/>
      <c r="D114" s="221"/>
      <c r="H114" s="1" t="s">
        <v>626</v>
      </c>
      <c r="K114" s="8">
        <f>SUM(K110:K112)</f>
        <v>1304.3</v>
      </c>
      <c r="T114" s="3"/>
      <c r="U114" s="1" t="s">
        <v>626</v>
      </c>
      <c r="W114" s="4"/>
      <c r="X114" s="8">
        <f>SUM(X110:X112)</f>
        <v>899.5</v>
      </c>
      <c r="AE114" s="439">
        <f t="shared" si="20"/>
        <v>0</v>
      </c>
      <c r="AH114">
        <f t="shared" si="22"/>
        <v>0</v>
      </c>
      <c r="AO114" s="3"/>
      <c r="AR114" s="10"/>
      <c r="AS114" s="5" t="s">
        <v>1615</v>
      </c>
      <c r="AU114">
        <f t="shared" si="23"/>
        <v>0</v>
      </c>
      <c r="AV114">
        <f t="shared" si="24"/>
        <v>0</v>
      </c>
    </row>
    <row r="115" spans="1:48" ht="24" customHeight="1">
      <c r="A115" s="221"/>
      <c r="B115" s="221"/>
      <c r="C115" s="221"/>
      <c r="D115" s="221"/>
      <c r="K115" s="5" t="s">
        <v>1615</v>
      </c>
      <c r="T115" s="3"/>
      <c r="W115" s="4"/>
      <c r="X115" s="5" t="s">
        <v>1615</v>
      </c>
      <c r="AE115" s="439">
        <f t="shared" si="20"/>
        <v>0</v>
      </c>
      <c r="AH115">
        <f t="shared" si="22"/>
        <v>0</v>
      </c>
      <c r="AO115" s="3"/>
      <c r="AP115" s="1" t="s">
        <v>626</v>
      </c>
      <c r="AR115" s="10"/>
      <c r="AS115" s="8">
        <f>SUM(AS107:AS113)</f>
        <v>20426.419999999998</v>
      </c>
      <c r="AU115">
        <f t="shared" si="23"/>
        <v>4634.75</v>
      </c>
      <c r="AV115">
        <f t="shared" si="24"/>
        <v>15791.67</v>
      </c>
    </row>
    <row r="116" spans="1:48" ht="24" customHeight="1">
      <c r="A116" s="221"/>
      <c r="B116" s="221"/>
      <c r="C116" s="221"/>
      <c r="D116" s="221"/>
      <c r="H116" s="1"/>
      <c r="K116" s="38">
        <f>(K114/10)</f>
        <v>130.43</v>
      </c>
      <c r="L116" s="36">
        <f>K116+C36</f>
        <v>141.65</v>
      </c>
      <c r="M116">
        <f>M94</f>
        <v>78.05</v>
      </c>
      <c r="T116" s="3"/>
      <c r="U116" s="1"/>
      <c r="W116" s="4"/>
      <c r="X116" s="38">
        <f>(X114/10)</f>
        <v>89.95</v>
      </c>
      <c r="AE116" s="439">
        <f t="shared" si="20"/>
        <v>0</v>
      </c>
      <c r="AH116">
        <f t="shared" si="22"/>
        <v>0</v>
      </c>
      <c r="AO116" s="3"/>
      <c r="AR116" s="10"/>
      <c r="AS116" s="5" t="s">
        <v>1615</v>
      </c>
      <c r="AU116">
        <f t="shared" si="23"/>
        <v>0</v>
      </c>
      <c r="AV116">
        <f t="shared" si="24"/>
        <v>0</v>
      </c>
    </row>
    <row r="117" spans="1:48" ht="24" customHeight="1">
      <c r="A117" s="221"/>
      <c r="B117" s="221"/>
      <c r="C117" s="221"/>
      <c r="D117" s="221"/>
      <c r="K117" s="5"/>
      <c r="T117" s="3"/>
      <c r="W117" s="4"/>
      <c r="X117" s="5"/>
      <c r="AE117" s="439">
        <f t="shared" si="20"/>
        <v>0</v>
      </c>
      <c r="AH117">
        <f t="shared" si="22"/>
        <v>0</v>
      </c>
      <c r="AO117" s="3"/>
      <c r="AP117" s="1" t="s">
        <v>789</v>
      </c>
      <c r="AR117" s="10"/>
      <c r="AS117" s="38">
        <f>(AS115/2.83168)</f>
        <v>7213.53</v>
      </c>
      <c r="AU117">
        <f t="shared" si="23"/>
        <v>1636.75</v>
      </c>
      <c r="AV117">
        <f t="shared" si="24"/>
        <v>5576.78</v>
      </c>
    </row>
    <row r="118" spans="1:48" ht="24" customHeight="1">
      <c r="A118" s="221"/>
      <c r="B118" s="221"/>
      <c r="C118" s="221"/>
      <c r="D118" s="221"/>
      <c r="F118" s="24">
        <v>1.5</v>
      </c>
      <c r="H118" s="1" t="s">
        <v>2071</v>
      </c>
      <c r="I118" s="36" t="s">
        <v>1424</v>
      </c>
      <c r="K118" s="38">
        <f>K116-K111/10</f>
        <v>116.88</v>
      </c>
      <c r="S118" s="20">
        <v>1.5</v>
      </c>
      <c r="T118" s="3"/>
      <c r="U118" s="1" t="s">
        <v>2071</v>
      </c>
      <c r="V118" s="36" t="s">
        <v>1424</v>
      </c>
      <c r="W118" s="4"/>
      <c r="X118" s="38">
        <f>X116-X111/10</f>
        <v>78.05</v>
      </c>
      <c r="AE118" s="439">
        <f t="shared" si="20"/>
        <v>0</v>
      </c>
      <c r="AH118">
        <f t="shared" si="22"/>
        <v>0</v>
      </c>
      <c r="AO118" s="3"/>
      <c r="AR118" s="10"/>
      <c r="AS118" s="5" t="s">
        <v>2091</v>
      </c>
      <c r="AU118">
        <f t="shared" si="23"/>
        <v>0</v>
      </c>
      <c r="AV118">
        <f t="shared" si="24"/>
        <v>0</v>
      </c>
    </row>
    <row r="119" spans="1:48" ht="24" customHeight="1">
      <c r="A119" s="221"/>
      <c r="B119" s="221"/>
      <c r="C119" s="221"/>
      <c r="D119" s="221"/>
      <c r="I119" s="36" t="s">
        <v>1386</v>
      </c>
      <c r="K119" s="41">
        <f>ROUND(K118+C36,2)</f>
        <v>128.1</v>
      </c>
      <c r="T119" s="3"/>
      <c r="V119" s="36" t="s">
        <v>1386</v>
      </c>
      <c r="W119" s="4"/>
      <c r="X119" s="41">
        <f>ROUND(X118+P36,2)</f>
        <v>78.05</v>
      </c>
      <c r="AE119" s="439">
        <f t="shared" si="20"/>
        <v>0</v>
      </c>
      <c r="AH119">
        <f t="shared" si="22"/>
        <v>0</v>
      </c>
      <c r="AO119" s="3"/>
      <c r="AP119" s="1" t="s">
        <v>391</v>
      </c>
      <c r="AR119" s="10"/>
      <c r="AS119" s="8">
        <f>(AS117+C19)</f>
        <v>7295.81</v>
      </c>
      <c r="AT119">
        <f>AS119-AS117</f>
        <v>82.28</v>
      </c>
      <c r="AU119">
        <f t="shared" si="23"/>
        <v>1655.42</v>
      </c>
      <c r="AV119">
        <f t="shared" si="24"/>
        <v>5640.39</v>
      </c>
    </row>
    <row r="120" spans="1:48" ht="24" customHeight="1">
      <c r="A120" s="221"/>
      <c r="B120" s="221"/>
      <c r="C120" s="221"/>
      <c r="D120" s="221"/>
      <c r="I120" t="s">
        <v>3868</v>
      </c>
      <c r="K120" s="41">
        <f>ROUND(K119+C36,2)</f>
        <v>139.32</v>
      </c>
      <c r="T120" s="3"/>
      <c r="W120" s="4"/>
      <c r="X120" s="5"/>
      <c r="AE120" s="439">
        <f t="shared" si="20"/>
        <v>0</v>
      </c>
      <c r="AH120">
        <f t="shared" si="22"/>
        <v>0</v>
      </c>
      <c r="AO120" s="3"/>
      <c r="AP120" s="1" t="s">
        <v>393</v>
      </c>
      <c r="AR120" s="10"/>
      <c r="AS120" s="8">
        <f>(AS119+C20)</f>
        <v>7461.8</v>
      </c>
      <c r="AT120">
        <f>AS120-AS119</f>
        <v>165.99</v>
      </c>
      <c r="AU120">
        <f t="shared" si="23"/>
        <v>1693.08</v>
      </c>
      <c r="AV120">
        <f t="shared" si="24"/>
        <v>5768.72</v>
      </c>
    </row>
    <row r="121" spans="1:48" ht="24" customHeight="1">
      <c r="A121" s="221"/>
      <c r="B121" s="221"/>
      <c r="C121" s="221"/>
      <c r="D121" s="221"/>
      <c r="I121" t="s">
        <v>3869</v>
      </c>
      <c r="K121" s="41">
        <f>ROUND(K120+C36,2)</f>
        <v>150.54</v>
      </c>
      <c r="T121" s="3"/>
      <c r="W121" s="4"/>
      <c r="X121" s="5"/>
      <c r="AE121" s="439">
        <f t="shared" si="20"/>
        <v>0</v>
      </c>
      <c r="AH121">
        <f t="shared" si="22"/>
        <v>0</v>
      </c>
      <c r="AO121" s="3"/>
      <c r="AP121" s="1" t="s">
        <v>2271</v>
      </c>
      <c r="AR121" s="10"/>
      <c r="AS121" s="8">
        <f>(AS120+C20)</f>
        <v>7627.79</v>
      </c>
      <c r="AU121">
        <f t="shared" si="23"/>
        <v>1730.75</v>
      </c>
      <c r="AV121">
        <f t="shared" si="24"/>
        <v>5897.04</v>
      </c>
    </row>
    <row r="122" spans="1:48" ht="28.5" customHeight="1">
      <c r="A122" s="221"/>
      <c r="B122" s="221"/>
      <c r="C122" s="221"/>
      <c r="D122" s="221"/>
      <c r="F122" s="25">
        <v>1.8</v>
      </c>
      <c r="H122" s="22" t="s">
        <v>2105</v>
      </c>
      <c r="K122" s="5"/>
      <c r="M122" s="2" t="s">
        <v>389</v>
      </c>
      <c r="N122" s="7" t="s">
        <v>2290</v>
      </c>
      <c r="O122" s="1" t="s">
        <v>390</v>
      </c>
      <c r="Q122" s="10"/>
      <c r="S122" s="410"/>
      <c r="T122" s="3"/>
      <c r="U122" s="22"/>
      <c r="W122" s="4"/>
      <c r="X122" s="5"/>
      <c r="AE122" s="439">
        <f t="shared" si="20"/>
        <v>0</v>
      </c>
      <c r="AH122">
        <f t="shared" si="22"/>
        <v>0</v>
      </c>
      <c r="AO122" s="3"/>
      <c r="AP122" s="1" t="s">
        <v>385</v>
      </c>
      <c r="AR122" s="10"/>
      <c r="AS122" s="8">
        <f>AS121+C20</f>
        <v>7793.78</v>
      </c>
      <c r="AU122">
        <f t="shared" si="23"/>
        <v>1768.41</v>
      </c>
      <c r="AV122">
        <f t="shared" si="24"/>
        <v>6025.37</v>
      </c>
    </row>
    <row r="123" spans="1:48" ht="24" customHeight="1">
      <c r="A123" s="221"/>
      <c r="B123" s="221"/>
      <c r="C123" s="221"/>
      <c r="D123" s="221"/>
      <c r="K123" s="5"/>
      <c r="N123" s="3"/>
      <c r="O123" s="1" t="s">
        <v>3611</v>
      </c>
      <c r="Q123" s="10"/>
      <c r="T123" s="3"/>
      <c r="W123" s="4"/>
      <c r="X123" s="5"/>
      <c r="AE123" s="63"/>
      <c r="AH123">
        <f t="shared" si="22"/>
        <v>0</v>
      </c>
      <c r="AO123" s="3"/>
      <c r="AP123" s="1" t="s">
        <v>494</v>
      </c>
      <c r="AR123" s="10"/>
      <c r="AS123" s="8">
        <f>AS122+C20</f>
        <v>7959.77</v>
      </c>
      <c r="AU123">
        <f t="shared" si="23"/>
        <v>1806.07</v>
      </c>
      <c r="AV123">
        <f t="shared" si="24"/>
        <v>6153.7</v>
      </c>
    </row>
    <row r="124" spans="1:48" ht="24" customHeight="1">
      <c r="A124" s="221"/>
      <c r="B124" s="221"/>
      <c r="C124" s="221"/>
      <c r="D124" s="221"/>
      <c r="F124" s="8">
        <v>10</v>
      </c>
      <c r="G124" s="7" t="s">
        <v>885</v>
      </c>
      <c r="H124" s="1" t="s">
        <v>386</v>
      </c>
      <c r="I124">
        <f>D61</f>
        <v>174.02</v>
      </c>
      <c r="J124" s="1" t="s">
        <v>885</v>
      </c>
      <c r="K124" s="8">
        <f>(F124*I124)</f>
        <v>1740.2</v>
      </c>
      <c r="N124" s="3"/>
      <c r="O124" s="5" t="s">
        <v>1615</v>
      </c>
      <c r="Q124" s="10"/>
      <c r="S124" s="12"/>
      <c r="T124" s="7"/>
      <c r="U124" s="1"/>
      <c r="W124" s="2" t="s">
        <v>885</v>
      </c>
      <c r="X124" s="8"/>
      <c r="AE124" s="63"/>
      <c r="AO124" s="3"/>
      <c r="AP124" s="1" t="s">
        <v>1865</v>
      </c>
      <c r="AR124" s="10"/>
      <c r="AS124" s="8">
        <f>(AS119+AS120+AS121+AS122)/4</f>
        <v>7544.8</v>
      </c>
      <c r="AU124">
        <f t="shared" si="23"/>
        <v>1711.92</v>
      </c>
      <c r="AV124">
        <f t="shared" si="24"/>
        <v>5832.88</v>
      </c>
    </row>
    <row r="125" spans="1:48" ht="24" customHeight="1">
      <c r="A125" s="221"/>
      <c r="B125" s="221"/>
      <c r="C125" s="221"/>
      <c r="D125" s="221"/>
      <c r="G125" s="3" t="s">
        <v>669</v>
      </c>
      <c r="J125" s="10" t="s">
        <v>669</v>
      </c>
      <c r="K125" s="8">
        <v>0</v>
      </c>
      <c r="M125" s="8">
        <v>1</v>
      </c>
      <c r="N125" s="7" t="s">
        <v>885</v>
      </c>
      <c r="O125" s="1" t="s">
        <v>1957</v>
      </c>
      <c r="P125" s="8">
        <f>AC39</f>
        <v>166.5</v>
      </c>
      <c r="Q125" s="1" t="s">
        <v>885</v>
      </c>
      <c r="R125" s="8">
        <f>(M125*P125)</f>
        <v>166.5</v>
      </c>
      <c r="T125" s="3"/>
      <c r="W125" s="4" t="s">
        <v>669</v>
      </c>
      <c r="X125" s="8"/>
      <c r="AE125" s="63"/>
      <c r="AO125" s="3"/>
    </row>
    <row r="126" spans="1:48" ht="24" customHeight="1">
      <c r="A126" s="221"/>
      <c r="B126" s="221"/>
      <c r="C126" s="221"/>
      <c r="D126" s="221"/>
      <c r="K126" s="5" t="s">
        <v>1615</v>
      </c>
      <c r="M126" s="8">
        <v>1</v>
      </c>
      <c r="N126" s="7" t="s">
        <v>885</v>
      </c>
      <c r="O126" s="1" t="s">
        <v>1378</v>
      </c>
      <c r="P126" s="8">
        <f>P141</f>
        <v>40.65</v>
      </c>
      <c r="Q126" s="1" t="s">
        <v>885</v>
      </c>
      <c r="R126" s="8">
        <f>(M126*P126)</f>
        <v>40.65</v>
      </c>
      <c r="T126" s="3"/>
      <c r="W126" s="4"/>
      <c r="X126" s="5"/>
      <c r="AE126" s="63"/>
      <c r="AO126" s="3"/>
      <c r="AR126" s="10"/>
    </row>
    <row r="127" spans="1:48" ht="24" customHeight="1">
      <c r="A127" s="221"/>
      <c r="B127" s="221"/>
      <c r="C127" s="221"/>
      <c r="D127" s="221"/>
      <c r="H127" s="1" t="s">
        <v>626</v>
      </c>
      <c r="K127" s="8">
        <f>SUM(K124:K125)</f>
        <v>1740.2</v>
      </c>
      <c r="N127" s="7" t="s">
        <v>455</v>
      </c>
      <c r="O127" s="1" t="s">
        <v>456</v>
      </c>
      <c r="P127" s="1" t="s">
        <v>992</v>
      </c>
      <c r="Q127" s="1" t="s">
        <v>455</v>
      </c>
      <c r="R127" s="8">
        <v>0</v>
      </c>
      <c r="T127" s="3"/>
      <c r="U127" s="1"/>
      <c r="W127" s="4"/>
      <c r="X127" s="8"/>
      <c r="AE127" s="63"/>
      <c r="AO127" s="3"/>
      <c r="AP127" s="58" t="s">
        <v>1867</v>
      </c>
      <c r="AR127" s="10"/>
    </row>
    <row r="128" spans="1:48" ht="24" customHeight="1">
      <c r="A128" s="221"/>
      <c r="B128" s="221"/>
      <c r="C128" s="221"/>
      <c r="D128" s="221"/>
      <c r="K128" s="5" t="s">
        <v>1615</v>
      </c>
      <c r="N128" s="3"/>
      <c r="Q128" s="10"/>
      <c r="R128" s="5" t="s">
        <v>1615</v>
      </c>
      <c r="T128" s="3"/>
      <c r="W128" s="4"/>
      <c r="X128" s="5"/>
      <c r="AE128" s="63"/>
      <c r="AO128" s="3"/>
      <c r="AP128" s="5" t="s">
        <v>1615</v>
      </c>
      <c r="AR128" s="10"/>
    </row>
    <row r="129" spans="1:48" ht="38.25" customHeight="1">
      <c r="A129" s="221"/>
      <c r="B129" s="221"/>
      <c r="C129" s="221"/>
      <c r="D129" s="221"/>
      <c r="F129" s="42"/>
      <c r="H129" s="26" t="s">
        <v>2186</v>
      </c>
      <c r="I129" s="36" t="s">
        <v>1424</v>
      </c>
      <c r="K129" s="41">
        <f>ROUND(K127/10,2)</f>
        <v>174.02</v>
      </c>
      <c r="N129" s="3"/>
      <c r="O129" s="1" t="s">
        <v>1542</v>
      </c>
      <c r="Q129" s="10"/>
      <c r="R129" s="8">
        <f>SUM(R125:R127)</f>
        <v>207.15</v>
      </c>
      <c r="S129" s="411"/>
      <c r="T129" s="3"/>
      <c r="U129" s="26"/>
      <c r="V129" s="36"/>
      <c r="W129" s="4"/>
      <c r="X129" s="41"/>
      <c r="AE129" s="63"/>
      <c r="AN129" s="11">
        <v>10</v>
      </c>
      <c r="AO129" s="7" t="s">
        <v>2290</v>
      </c>
      <c r="AP129" s="1" t="s">
        <v>3830</v>
      </c>
      <c r="AR129" s="10"/>
    </row>
    <row r="130" spans="1:48" ht="24" customHeight="1">
      <c r="A130" s="221"/>
      <c r="B130" s="221"/>
      <c r="C130" s="221"/>
      <c r="D130" s="221"/>
      <c r="I130" s="36" t="s">
        <v>1386</v>
      </c>
      <c r="K130" s="41">
        <f>ROUND(K129+C36,2)</f>
        <v>185.24</v>
      </c>
      <c r="T130" s="3"/>
      <c r="V130" s="36"/>
      <c r="W130" s="4"/>
      <c r="X130" s="41"/>
      <c r="AE130" s="63"/>
      <c r="AO130" s="3"/>
      <c r="AP130" s="8" t="str">
        <f>AP61</f>
        <v>Bricks of size 23x11x7 cm</v>
      </c>
      <c r="AR130" s="10"/>
    </row>
    <row r="131" spans="1:48" ht="24" customHeight="1">
      <c r="A131" s="221"/>
      <c r="B131" s="221"/>
      <c r="C131" s="221"/>
      <c r="D131" s="221"/>
      <c r="I131" s="36"/>
      <c r="K131" s="5"/>
      <c r="T131" s="3"/>
      <c r="V131" s="36"/>
      <c r="W131" s="4"/>
      <c r="X131" s="5"/>
      <c r="AE131" s="63"/>
      <c r="AO131" s="3"/>
      <c r="AP131" s="5" t="s">
        <v>1615</v>
      </c>
      <c r="AR131" s="10"/>
    </row>
    <row r="132" spans="1:48" ht="24" customHeight="1">
      <c r="A132" s="221"/>
      <c r="B132" s="221"/>
      <c r="C132" s="221"/>
      <c r="D132" s="221"/>
      <c r="F132" s="24">
        <v>1.6</v>
      </c>
      <c r="H132" s="1" t="s">
        <v>812</v>
      </c>
      <c r="I132" s="36"/>
      <c r="S132" s="20">
        <v>1.6</v>
      </c>
      <c r="T132" s="3"/>
      <c r="U132" s="1" t="s">
        <v>812</v>
      </c>
      <c r="V132" s="36"/>
      <c r="W132" s="4"/>
      <c r="AE132" s="63"/>
      <c r="AN132" s="8">
        <f>AN63</f>
        <v>1300</v>
      </c>
      <c r="AO132" s="7" t="s">
        <v>1450</v>
      </c>
      <c r="AP132" s="8" t="str">
        <f>AP61</f>
        <v>Bricks of size 23x11x7 cm</v>
      </c>
      <c r="AQ132" s="8">
        <f>AC45</f>
        <v>6917.4</v>
      </c>
      <c r="AR132" s="1" t="s">
        <v>1623</v>
      </c>
      <c r="AS132" s="8">
        <f>(AN132*AQ132)/1000</f>
        <v>8992.6200000000008</v>
      </c>
      <c r="AU132">
        <f t="shared" si="23"/>
        <v>2040.43</v>
      </c>
      <c r="AV132">
        <f t="shared" si="24"/>
        <v>6952.19</v>
      </c>
    </row>
    <row r="133" spans="1:48" ht="24" customHeight="1">
      <c r="A133" s="221"/>
      <c r="B133" s="221"/>
      <c r="C133" s="221"/>
      <c r="D133" s="221"/>
      <c r="H133" s="1" t="s">
        <v>387</v>
      </c>
      <c r="I133" s="36" t="s">
        <v>1424</v>
      </c>
      <c r="K133" s="38">
        <f>C61*1.5</f>
        <v>175.32</v>
      </c>
      <c r="L133" s="38"/>
      <c r="M133">
        <f>M116*1.5</f>
        <v>117.08</v>
      </c>
      <c r="T133" s="3"/>
      <c r="U133" s="1" t="s">
        <v>387</v>
      </c>
      <c r="V133" s="36" t="s">
        <v>1424</v>
      </c>
      <c r="W133" s="4"/>
      <c r="X133" s="38">
        <f>V81*1.5</f>
        <v>117.08</v>
      </c>
      <c r="AE133" s="63"/>
      <c r="AN133" s="12">
        <v>0.70799999999999996</v>
      </c>
      <c r="AO133" s="7" t="s">
        <v>885</v>
      </c>
      <c r="AP133" s="1" t="s">
        <v>1331</v>
      </c>
      <c r="AQ133" s="8">
        <f>K40</f>
        <v>3904.1</v>
      </c>
      <c r="AR133" s="1" t="s">
        <v>885</v>
      </c>
      <c r="AS133" s="8">
        <f>(AN133*AQ133)</f>
        <v>2764.1</v>
      </c>
      <c r="AU133">
        <f t="shared" si="23"/>
        <v>627.16999999999996</v>
      </c>
      <c r="AV133">
        <f t="shared" si="24"/>
        <v>2136.9299999999998</v>
      </c>
    </row>
    <row r="134" spans="1:48" ht="24" customHeight="1">
      <c r="A134" s="221"/>
      <c r="B134" s="221"/>
      <c r="C134" s="221"/>
      <c r="D134" s="221"/>
      <c r="F134" s="1" t="s">
        <v>992</v>
      </c>
      <c r="H134" s="1" t="s">
        <v>388</v>
      </c>
      <c r="I134" s="36" t="s">
        <v>1386</v>
      </c>
      <c r="K134" s="41">
        <f>ROUND(K133+C36,2)</f>
        <v>186.54</v>
      </c>
      <c r="S134" s="409" t="s">
        <v>992</v>
      </c>
      <c r="T134" s="3"/>
      <c r="U134" s="1" t="s">
        <v>388</v>
      </c>
      <c r="V134" s="36" t="s">
        <v>1386</v>
      </c>
      <c r="W134" s="4"/>
      <c r="X134" s="41">
        <f>ROUND(X133+C36,2)</f>
        <v>128.30000000000001</v>
      </c>
      <c r="AE134" s="63"/>
      <c r="AN134" s="8">
        <v>1</v>
      </c>
      <c r="AO134" s="7" t="s">
        <v>884</v>
      </c>
      <c r="AP134" s="1" t="s">
        <v>2045</v>
      </c>
      <c r="AQ134" s="8">
        <f>AQ109</f>
        <v>1041.7</v>
      </c>
      <c r="AR134" s="1" t="s">
        <v>884</v>
      </c>
      <c r="AS134" s="8">
        <f>(AN134*AQ134)</f>
        <v>1041.7</v>
      </c>
      <c r="AU134">
        <f t="shared" si="23"/>
        <v>236.36</v>
      </c>
      <c r="AV134">
        <f t="shared" si="24"/>
        <v>805.34</v>
      </c>
    </row>
    <row r="135" spans="1:48" ht="24" customHeight="1">
      <c r="A135" s="221"/>
      <c r="B135" s="221"/>
      <c r="C135" s="221"/>
      <c r="D135" s="221"/>
      <c r="K135" s="5" t="s">
        <v>2091</v>
      </c>
      <c r="T135" s="3"/>
      <c r="W135" s="4"/>
      <c r="X135" s="5" t="s">
        <v>2091</v>
      </c>
      <c r="AE135" s="63"/>
      <c r="AN135" s="8">
        <v>3</v>
      </c>
      <c r="AO135" s="7" t="s">
        <v>884</v>
      </c>
      <c r="AP135" s="1" t="s">
        <v>1744</v>
      </c>
      <c r="AQ135" s="8">
        <f>AQ110</f>
        <v>972.4</v>
      </c>
      <c r="AR135" s="1" t="s">
        <v>884</v>
      </c>
      <c r="AS135" s="8">
        <f>(AN135*AQ135)</f>
        <v>2917.2</v>
      </c>
      <c r="AU135">
        <f t="shared" si="23"/>
        <v>661.91</v>
      </c>
      <c r="AV135">
        <f t="shared" si="24"/>
        <v>2255.29</v>
      </c>
    </row>
    <row r="136" spans="1:48" ht="24" customHeight="1">
      <c r="A136" s="221"/>
      <c r="B136" s="221"/>
      <c r="C136" s="221"/>
      <c r="D136" s="221"/>
      <c r="H136" s="33" t="s">
        <v>3811</v>
      </c>
      <c r="I136" s="36" t="s">
        <v>1424</v>
      </c>
      <c r="K136" s="38">
        <f>C61*1.25</f>
        <v>146.1</v>
      </c>
      <c r="T136" s="3"/>
      <c r="U136" s="33" t="s">
        <v>1409</v>
      </c>
      <c r="V136" s="36" t="s">
        <v>1424</v>
      </c>
      <c r="W136" s="4"/>
      <c r="X136" s="38">
        <f>V81*1.25</f>
        <v>97.56</v>
      </c>
      <c r="AE136" s="63"/>
      <c r="AN136" s="8">
        <v>2</v>
      </c>
      <c r="AO136" s="7" t="s">
        <v>884</v>
      </c>
      <c r="AP136" s="1" t="s">
        <v>1937</v>
      </c>
      <c r="AQ136" s="8">
        <f>AQ111</f>
        <v>679.8</v>
      </c>
      <c r="AR136" s="1" t="s">
        <v>884</v>
      </c>
      <c r="AS136" s="8">
        <f>(AN136*AQ136)</f>
        <v>1359.6</v>
      </c>
      <c r="AU136">
        <f t="shared" si="23"/>
        <v>308.49</v>
      </c>
      <c r="AV136">
        <f t="shared" si="24"/>
        <v>1051.1099999999999</v>
      </c>
    </row>
    <row r="137" spans="1:48" ht="24" customHeight="1">
      <c r="A137" s="218">
        <f>(A91+1)</f>
        <v>80</v>
      </c>
      <c r="B137" s="219" t="s">
        <v>1576</v>
      </c>
      <c r="C137" s="220">
        <f>AC30</f>
        <v>11907</v>
      </c>
      <c r="D137" s="553">
        <v>13.87</v>
      </c>
      <c r="E137" s="1" t="s">
        <v>992</v>
      </c>
      <c r="F137" s="2" t="s">
        <v>389</v>
      </c>
      <c r="G137" s="7" t="s">
        <v>2290</v>
      </c>
      <c r="H137" s="1" t="s">
        <v>390</v>
      </c>
      <c r="M137" s="2" t="s">
        <v>389</v>
      </c>
      <c r="N137" s="7" t="s">
        <v>2290</v>
      </c>
      <c r="O137" s="1" t="s">
        <v>390</v>
      </c>
      <c r="Q137" s="10"/>
      <c r="W137" s="4"/>
      <c r="AE137" s="63"/>
      <c r="AG137" s="1"/>
      <c r="AN137" s="8">
        <v>6</v>
      </c>
      <c r="AO137" s="7" t="s">
        <v>884</v>
      </c>
      <c r="AP137" s="1" t="s">
        <v>325</v>
      </c>
      <c r="AQ137" s="8">
        <f>AQ112</f>
        <v>557.70000000000005</v>
      </c>
      <c r="AR137" s="1" t="s">
        <v>884</v>
      </c>
      <c r="AS137" s="8">
        <f>(AN137*AQ137)</f>
        <v>3346.2</v>
      </c>
      <c r="AU137">
        <f t="shared" si="23"/>
        <v>759.25</v>
      </c>
      <c r="AV137">
        <f t="shared" si="24"/>
        <v>2586.9499999999998</v>
      </c>
    </row>
    <row r="138" spans="1:48" ht="24" customHeight="1">
      <c r="A138" s="218">
        <f t="shared" ref="A138:A143" si="25">(A137+1)</f>
        <v>81</v>
      </c>
      <c r="B138" s="219" t="s">
        <v>392</v>
      </c>
      <c r="C138" s="220">
        <f>AC33</f>
        <v>58000</v>
      </c>
      <c r="D138" s="219" t="s">
        <v>877</v>
      </c>
      <c r="H138" s="1" t="s">
        <v>1046</v>
      </c>
      <c r="N138" s="3"/>
      <c r="O138" s="1" t="s">
        <v>1956</v>
      </c>
      <c r="Q138" s="10"/>
      <c r="W138" s="4"/>
      <c r="AE138" s="63"/>
      <c r="AG138" s="1"/>
      <c r="AO138" s="7" t="s">
        <v>455</v>
      </c>
      <c r="AP138" s="1" t="s">
        <v>456</v>
      </c>
      <c r="AQ138" s="1" t="s">
        <v>992</v>
      </c>
      <c r="AR138" s="1" t="s">
        <v>455</v>
      </c>
      <c r="AS138" s="8">
        <v>5</v>
      </c>
      <c r="AU138">
        <f t="shared" si="23"/>
        <v>1.1299999999999999</v>
      </c>
      <c r="AV138">
        <f t="shared" si="24"/>
        <v>3.87</v>
      </c>
    </row>
    <row r="139" spans="1:48" ht="24" customHeight="1">
      <c r="A139" s="218">
        <f t="shared" si="25"/>
        <v>82</v>
      </c>
      <c r="B139" s="219" t="s">
        <v>1836</v>
      </c>
      <c r="C139" s="220">
        <f>AC32</f>
        <v>58000</v>
      </c>
      <c r="D139" s="219" t="s">
        <v>877</v>
      </c>
      <c r="H139" s="5" t="s">
        <v>1615</v>
      </c>
      <c r="N139" s="3"/>
      <c r="O139" s="5" t="s">
        <v>1615</v>
      </c>
      <c r="Q139" s="10"/>
      <c r="W139" s="4"/>
      <c r="AE139" s="63"/>
      <c r="AG139" s="1"/>
      <c r="AO139" s="3"/>
      <c r="AR139" s="10"/>
      <c r="AS139" s="5" t="s">
        <v>1615</v>
      </c>
      <c r="AU139">
        <f t="shared" si="23"/>
        <v>0</v>
      </c>
      <c r="AV139">
        <f t="shared" si="24"/>
        <v>0</v>
      </c>
    </row>
    <row r="140" spans="1:48" ht="24" customHeight="1">
      <c r="A140" s="218">
        <f t="shared" si="25"/>
        <v>83</v>
      </c>
      <c r="B140" s="219" t="s">
        <v>383</v>
      </c>
      <c r="C140" s="220">
        <f>AC33</f>
        <v>58000</v>
      </c>
      <c r="D140" s="219" t="s">
        <v>877</v>
      </c>
      <c r="F140" s="8">
        <v>1</v>
      </c>
      <c r="G140" s="7" t="s">
        <v>885</v>
      </c>
      <c r="H140" s="1" t="s">
        <v>384</v>
      </c>
      <c r="I140" s="8">
        <f>I36</f>
        <v>1608.7</v>
      </c>
      <c r="J140" s="1" t="s">
        <v>885</v>
      </c>
      <c r="K140" s="8">
        <f>(F140*I140)</f>
        <v>1608.7</v>
      </c>
      <c r="M140" s="8">
        <v>1</v>
      </c>
      <c r="N140" s="7" t="s">
        <v>885</v>
      </c>
      <c r="O140" s="1" t="s">
        <v>1957</v>
      </c>
      <c r="P140" s="8">
        <f>AC38</f>
        <v>366.57</v>
      </c>
      <c r="Q140" s="1" t="s">
        <v>885</v>
      </c>
      <c r="R140" s="8">
        <f>(M140*P140)</f>
        <v>366.57</v>
      </c>
      <c r="W140" s="4"/>
      <c r="AE140" s="63"/>
      <c r="AG140" s="1"/>
      <c r="AO140" s="3"/>
      <c r="AP140" s="1" t="s">
        <v>626</v>
      </c>
      <c r="AR140" s="10"/>
      <c r="AS140" s="8">
        <f>SUM(AS132:AS138)</f>
        <v>20426.419999999998</v>
      </c>
      <c r="AU140">
        <f t="shared" si="23"/>
        <v>4634.75</v>
      </c>
      <c r="AV140">
        <f t="shared" si="24"/>
        <v>15791.67</v>
      </c>
    </row>
    <row r="141" spans="1:48" ht="24" customHeight="1">
      <c r="A141" s="218">
        <f t="shared" si="25"/>
        <v>84</v>
      </c>
      <c r="B141" s="219" t="s">
        <v>1574</v>
      </c>
      <c r="C141" s="220">
        <f>AC38</f>
        <v>366.57</v>
      </c>
      <c r="D141" s="219" t="s">
        <v>885</v>
      </c>
      <c r="F141" s="8">
        <v>1</v>
      </c>
      <c r="G141" s="7" t="s">
        <v>885</v>
      </c>
      <c r="H141" s="1" t="s">
        <v>1378</v>
      </c>
      <c r="I141" s="8">
        <f>C27</f>
        <v>35.700000000000003</v>
      </c>
      <c r="J141" s="1" t="s">
        <v>885</v>
      </c>
      <c r="K141" s="8">
        <f>(F141*I141)</f>
        <v>35.700000000000003</v>
      </c>
      <c r="M141" s="8">
        <v>1</v>
      </c>
      <c r="N141" s="7" t="s">
        <v>885</v>
      </c>
      <c r="O141" s="1" t="s">
        <v>1378</v>
      </c>
      <c r="P141" s="8">
        <f>C26</f>
        <v>40.65</v>
      </c>
      <c r="Q141" s="1" t="s">
        <v>885</v>
      </c>
      <c r="R141" s="8">
        <f>(M141*P141)</f>
        <v>40.65</v>
      </c>
      <c r="W141" s="4"/>
      <c r="AE141" s="63"/>
      <c r="AG141" s="1"/>
      <c r="AO141" s="3"/>
      <c r="AR141" s="10"/>
      <c r="AS141" s="5" t="s">
        <v>1615</v>
      </c>
      <c r="AU141">
        <f t="shared" si="23"/>
        <v>0</v>
      </c>
      <c r="AV141">
        <f t="shared" si="24"/>
        <v>0</v>
      </c>
    </row>
    <row r="142" spans="1:48" ht="24" customHeight="1">
      <c r="A142" s="218">
        <f t="shared" si="25"/>
        <v>85</v>
      </c>
      <c r="B142" s="219" t="s">
        <v>193</v>
      </c>
      <c r="C142" s="536">
        <v>43563.69</v>
      </c>
      <c r="D142" s="219" t="s">
        <v>877</v>
      </c>
      <c r="G142" s="7" t="s">
        <v>455</v>
      </c>
      <c r="H142" s="1" t="s">
        <v>456</v>
      </c>
      <c r="I142" s="1" t="s">
        <v>992</v>
      </c>
      <c r="J142" s="1" t="s">
        <v>455</v>
      </c>
      <c r="K142" s="8">
        <v>0</v>
      </c>
      <c r="N142" s="7" t="s">
        <v>455</v>
      </c>
      <c r="O142" s="1" t="s">
        <v>456</v>
      </c>
      <c r="P142" s="1" t="s">
        <v>992</v>
      </c>
      <c r="Q142" s="1" t="s">
        <v>455</v>
      </c>
      <c r="R142" s="8">
        <v>0</v>
      </c>
      <c r="W142" s="4"/>
      <c r="AE142" s="63"/>
      <c r="AG142" s="1"/>
      <c r="AO142" s="3"/>
      <c r="AP142" s="1" t="s">
        <v>789</v>
      </c>
      <c r="AR142" s="10"/>
      <c r="AS142" s="8">
        <f>(AS140/2.83168)</f>
        <v>7213.53</v>
      </c>
      <c r="AU142">
        <f t="shared" si="23"/>
        <v>1636.75</v>
      </c>
      <c r="AV142">
        <f t="shared" si="24"/>
        <v>5576.78</v>
      </c>
    </row>
    <row r="143" spans="1:48" ht="24" customHeight="1">
      <c r="A143" s="218">
        <f t="shared" si="25"/>
        <v>86</v>
      </c>
      <c r="B143" s="1" t="s">
        <v>5661</v>
      </c>
      <c r="C143" s="51">
        <f>56.35*1000</f>
        <v>56350</v>
      </c>
      <c r="D143" s="219" t="s">
        <v>877</v>
      </c>
      <c r="E143">
        <v>5</v>
      </c>
      <c r="K143" s="5" t="s">
        <v>1615</v>
      </c>
      <c r="N143" s="3"/>
      <c r="Q143" s="10"/>
      <c r="R143" s="5" t="s">
        <v>1615</v>
      </c>
      <c r="W143" s="4"/>
      <c r="AE143" s="63"/>
      <c r="AG143" s="1"/>
      <c r="AO143" s="3"/>
      <c r="AR143" s="10"/>
      <c r="AS143" s="5" t="s">
        <v>2091</v>
      </c>
      <c r="AU143">
        <f t="shared" si="23"/>
        <v>0</v>
      </c>
      <c r="AV143">
        <f t="shared" si="24"/>
        <v>0</v>
      </c>
    </row>
    <row r="144" spans="1:48" ht="24" customHeight="1">
      <c r="A144" s="221"/>
      <c r="B144" s="219" t="s">
        <v>992</v>
      </c>
      <c r="C144" s="221"/>
      <c r="D144" s="221"/>
      <c r="H144" s="1" t="s">
        <v>195</v>
      </c>
      <c r="K144" s="38">
        <f>SUM(K138:K142)</f>
        <v>1644.4</v>
      </c>
      <c r="N144" s="3"/>
      <c r="O144" s="1" t="s">
        <v>1542</v>
      </c>
      <c r="Q144" s="10"/>
      <c r="R144" s="8">
        <f>SUM(R140:R142)</f>
        <v>407.22</v>
      </c>
      <c r="W144" s="4"/>
      <c r="AE144" s="63"/>
      <c r="AG144" s="1"/>
      <c r="AO144" s="3"/>
      <c r="AR144" s="10"/>
      <c r="AU144">
        <f t="shared" si="23"/>
        <v>0</v>
      </c>
      <c r="AV144">
        <f t="shared" si="24"/>
        <v>0</v>
      </c>
    </row>
    <row r="145" spans="1:48" ht="24" customHeight="1">
      <c r="A145" s="218">
        <f>(A143+1)</f>
        <v>87</v>
      </c>
      <c r="B145" s="219" t="s">
        <v>196</v>
      </c>
      <c r="C145" s="161">
        <v>7.5</v>
      </c>
      <c r="D145" s="219" t="s">
        <v>455</v>
      </c>
      <c r="K145" s="5" t="s">
        <v>1615</v>
      </c>
      <c r="N145" s="3"/>
      <c r="O145" s="1" t="s">
        <v>2063</v>
      </c>
      <c r="Q145" s="10"/>
      <c r="R145" s="5" t="s">
        <v>1615</v>
      </c>
      <c r="W145" s="4"/>
      <c r="AE145" s="63"/>
      <c r="AG145" s="1"/>
      <c r="AO145" s="7" t="s">
        <v>687</v>
      </c>
      <c r="AP145" s="1" t="s">
        <v>2980</v>
      </c>
      <c r="AR145" s="10"/>
      <c r="AU145">
        <f t="shared" si="23"/>
        <v>0</v>
      </c>
      <c r="AV145">
        <f t="shared" si="24"/>
        <v>0</v>
      </c>
    </row>
    <row r="146" spans="1:48" ht="24" customHeight="1">
      <c r="A146" s="221"/>
      <c r="B146" s="1" t="s">
        <v>4776</v>
      </c>
      <c r="C146" s="536">
        <v>15.5</v>
      </c>
      <c r="D146" s="221"/>
      <c r="F146" s="2" t="s">
        <v>197</v>
      </c>
      <c r="G146" s="7" t="s">
        <v>2290</v>
      </c>
      <c r="H146" s="1" t="s">
        <v>1047</v>
      </c>
      <c r="W146" s="4"/>
      <c r="AE146" s="63"/>
      <c r="AO146" s="3"/>
      <c r="AP146" s="5" t="s">
        <v>1615</v>
      </c>
      <c r="AR146" s="10"/>
      <c r="AU146">
        <f t="shared" si="23"/>
        <v>0</v>
      </c>
      <c r="AV146">
        <f t="shared" si="24"/>
        <v>0</v>
      </c>
    </row>
    <row r="147" spans="1:48" ht="24" customHeight="1">
      <c r="A147" s="218">
        <f>(A145+1)</f>
        <v>88</v>
      </c>
      <c r="B147" s="219" t="s">
        <v>1675</v>
      </c>
      <c r="C147" s="536">
        <v>15.25</v>
      </c>
      <c r="D147" s="219" t="s">
        <v>1676</v>
      </c>
      <c r="H147" s="1" t="s">
        <v>1048</v>
      </c>
      <c r="M147" s="2" t="s">
        <v>389</v>
      </c>
      <c r="N147" s="7" t="s">
        <v>2290</v>
      </c>
      <c r="O147" s="1" t="s">
        <v>390</v>
      </c>
      <c r="Q147" s="10"/>
      <c r="W147" s="4"/>
      <c r="AE147" s="63"/>
      <c r="AN147" s="8">
        <v>1.1000000000000001</v>
      </c>
      <c r="AO147" s="7" t="s">
        <v>885</v>
      </c>
      <c r="AP147" s="1" t="s">
        <v>1140</v>
      </c>
      <c r="AQ147" s="8">
        <f>(AS142)</f>
        <v>7213.53</v>
      </c>
      <c r="AR147" s="1" t="s">
        <v>885</v>
      </c>
      <c r="AS147" s="439">
        <f>(AN147*AQ147)</f>
        <v>7934.88</v>
      </c>
      <c r="AU147">
        <f t="shared" si="23"/>
        <v>1800.42</v>
      </c>
      <c r="AV147">
        <f t="shared" si="24"/>
        <v>6134.46</v>
      </c>
    </row>
    <row r="148" spans="1:48" ht="24" customHeight="1">
      <c r="A148" s="218">
        <f>(A147+1)</f>
        <v>89</v>
      </c>
      <c r="B148" s="1" t="s">
        <v>5071</v>
      </c>
      <c r="C148" s="419">
        <v>145.19999999999999</v>
      </c>
      <c r="D148" s="219" t="s">
        <v>1676</v>
      </c>
      <c r="H148" s="1" t="s">
        <v>493</v>
      </c>
      <c r="N148" s="3"/>
      <c r="O148" s="1" t="s">
        <v>3665</v>
      </c>
      <c r="Q148" s="10"/>
      <c r="W148" s="4"/>
      <c r="AE148" s="63"/>
      <c r="AN148" s="8">
        <v>1</v>
      </c>
      <c r="AO148" s="7" t="s">
        <v>785</v>
      </c>
      <c r="AP148" s="1" t="s">
        <v>2045</v>
      </c>
      <c r="AQ148" s="8">
        <f>AQ134</f>
        <v>1041.7</v>
      </c>
      <c r="AR148" s="1" t="s">
        <v>884</v>
      </c>
      <c r="AS148" s="439">
        <f>(AN148*AQ148)</f>
        <v>1041.7</v>
      </c>
      <c r="AU148">
        <f t="shared" si="23"/>
        <v>236.36</v>
      </c>
      <c r="AV148">
        <f t="shared" si="24"/>
        <v>805.34</v>
      </c>
    </row>
    <row r="149" spans="1:48" ht="24" customHeight="1">
      <c r="A149" s="221"/>
      <c r="B149" s="221" t="s">
        <v>5662</v>
      </c>
      <c r="C149" s="431">
        <v>43.2</v>
      </c>
      <c r="D149" s="221" t="s">
        <v>1676</v>
      </c>
      <c r="H149" s="1" t="s">
        <v>530</v>
      </c>
      <c r="N149" s="3"/>
      <c r="O149" s="5" t="s">
        <v>1615</v>
      </c>
      <c r="Q149" s="10"/>
      <c r="W149" s="4"/>
      <c r="AE149" s="63"/>
      <c r="AO149" s="7" t="s">
        <v>455</v>
      </c>
      <c r="AP149" s="1" t="s">
        <v>456</v>
      </c>
      <c r="AQ149" s="1" t="s">
        <v>992</v>
      </c>
      <c r="AR149" s="1" t="s">
        <v>455</v>
      </c>
      <c r="AS149" s="439">
        <v>0</v>
      </c>
      <c r="AU149">
        <f t="shared" si="23"/>
        <v>0</v>
      </c>
      <c r="AV149">
        <f t="shared" si="24"/>
        <v>0</v>
      </c>
    </row>
    <row r="150" spans="1:48" ht="24" customHeight="1">
      <c r="A150" s="221"/>
      <c r="B150" s="221"/>
      <c r="C150" s="221"/>
      <c r="D150" s="221"/>
      <c r="H150" s="1" t="s">
        <v>531</v>
      </c>
      <c r="M150" s="8">
        <v>1</v>
      </c>
      <c r="N150" s="7" t="s">
        <v>885</v>
      </c>
      <c r="O150" s="1" t="s">
        <v>3666</v>
      </c>
      <c r="P150" s="8">
        <f>AC43</f>
        <v>287</v>
      </c>
      <c r="Q150" s="1" t="s">
        <v>885</v>
      </c>
      <c r="R150" s="8">
        <f>(M150*P150)</f>
        <v>287</v>
      </c>
      <c r="W150" s="4"/>
      <c r="AE150" s="63"/>
      <c r="AO150" s="3"/>
      <c r="AR150" s="10"/>
      <c r="AS150" s="739" t="s">
        <v>1615</v>
      </c>
      <c r="AU150">
        <f t="shared" si="23"/>
        <v>0</v>
      </c>
      <c r="AV150">
        <f t="shared" si="24"/>
        <v>0</v>
      </c>
    </row>
    <row r="151" spans="1:48" ht="24" customHeight="1">
      <c r="A151" s="221"/>
      <c r="B151" s="221"/>
      <c r="C151" s="221"/>
      <c r="D151" s="221"/>
      <c r="H151" s="5" t="s">
        <v>1615</v>
      </c>
      <c r="M151" s="8">
        <v>1</v>
      </c>
      <c r="N151" s="7" t="s">
        <v>885</v>
      </c>
      <c r="O151" s="1" t="s">
        <v>1378</v>
      </c>
      <c r="P151" s="8">
        <f>AE28</f>
        <v>40.65</v>
      </c>
      <c r="Q151" s="1" t="s">
        <v>885</v>
      </c>
      <c r="R151" s="8">
        <f>(M151*P151)</f>
        <v>40.65</v>
      </c>
      <c r="W151" s="4"/>
      <c r="AE151" s="63"/>
      <c r="AO151" s="3"/>
      <c r="AP151" s="1" t="s">
        <v>447</v>
      </c>
      <c r="AR151" s="10"/>
      <c r="AS151" s="38">
        <f>SUM(AS147:AS149)</f>
        <v>8976.58</v>
      </c>
      <c r="AU151">
        <f t="shared" si="23"/>
        <v>2036.79</v>
      </c>
      <c r="AV151">
        <f t="shared" si="24"/>
        <v>6939.79</v>
      </c>
    </row>
    <row r="152" spans="1:48" ht="24" customHeight="1">
      <c r="A152" s="221"/>
      <c r="B152" s="221"/>
      <c r="C152" s="221"/>
      <c r="D152" s="221"/>
      <c r="F152" s="8">
        <v>0.7</v>
      </c>
      <c r="G152" s="7" t="s">
        <v>885</v>
      </c>
      <c r="H152" s="1" t="s">
        <v>2038</v>
      </c>
      <c r="I152" s="8">
        <f>C79</f>
        <v>1608.7</v>
      </c>
      <c r="J152" s="1" t="s">
        <v>885</v>
      </c>
      <c r="K152" s="8">
        <f t="shared" ref="K152:K157" si="26">(F152*I152)</f>
        <v>1126.0899999999999</v>
      </c>
      <c r="N152" s="7" t="s">
        <v>455</v>
      </c>
      <c r="O152" s="1" t="s">
        <v>456</v>
      </c>
      <c r="P152" s="1" t="s">
        <v>992</v>
      </c>
      <c r="Q152" s="1" t="s">
        <v>455</v>
      </c>
      <c r="R152" s="8">
        <v>0</v>
      </c>
      <c r="W152" s="4"/>
      <c r="AE152" s="63"/>
      <c r="AO152" s="3"/>
      <c r="AR152" s="10"/>
      <c r="AS152" s="739" t="s">
        <v>1615</v>
      </c>
      <c r="AU152">
        <f t="shared" si="23"/>
        <v>0</v>
      </c>
      <c r="AV152">
        <f t="shared" si="24"/>
        <v>0</v>
      </c>
    </row>
    <row r="153" spans="1:48" ht="24" customHeight="1">
      <c r="A153" s="221"/>
      <c r="B153" s="221"/>
      <c r="C153" s="221"/>
      <c r="D153" s="221"/>
      <c r="F153" s="8">
        <v>0.7</v>
      </c>
      <c r="G153" s="7" t="s">
        <v>885</v>
      </c>
      <c r="H153" s="504" t="s">
        <v>532</v>
      </c>
      <c r="I153" s="503">
        <f>C812</f>
        <v>3.15</v>
      </c>
      <c r="J153" s="1" t="s">
        <v>885</v>
      </c>
      <c r="K153" s="8">
        <f t="shared" si="26"/>
        <v>2.21</v>
      </c>
      <c r="N153" s="3"/>
      <c r="Q153" s="10"/>
      <c r="R153" s="5" t="s">
        <v>1615</v>
      </c>
      <c r="W153" s="4"/>
      <c r="AE153" s="63"/>
      <c r="AO153" s="3"/>
      <c r="AP153" s="1" t="s">
        <v>562</v>
      </c>
      <c r="AR153" s="10"/>
      <c r="AS153" s="439">
        <f>(AS151/10)</f>
        <v>897.66</v>
      </c>
      <c r="AU153">
        <f t="shared" si="23"/>
        <v>203.68</v>
      </c>
      <c r="AV153">
        <f t="shared" si="24"/>
        <v>693.98</v>
      </c>
    </row>
    <row r="154" spans="1:48" ht="24" customHeight="1">
      <c r="A154" s="221"/>
      <c r="B154" s="221"/>
      <c r="C154" s="221"/>
      <c r="D154" s="221"/>
      <c r="F154" s="8">
        <v>0.72</v>
      </c>
      <c r="G154" s="7" t="s">
        <v>885</v>
      </c>
      <c r="H154" s="1" t="s">
        <v>1672</v>
      </c>
      <c r="I154" s="8">
        <f>C35</f>
        <v>366.57</v>
      </c>
      <c r="J154" s="1" t="s">
        <v>885</v>
      </c>
      <c r="K154" s="8">
        <f t="shared" si="26"/>
        <v>263.93</v>
      </c>
      <c r="N154" s="3"/>
      <c r="O154" s="1" t="s">
        <v>1542</v>
      </c>
      <c r="Q154" s="10"/>
      <c r="R154" s="8">
        <f>SUM(R150:R152)</f>
        <v>327.64999999999998</v>
      </c>
      <c r="W154" s="4"/>
      <c r="AE154" s="63"/>
      <c r="AO154" s="3"/>
      <c r="AR154" s="10"/>
      <c r="AS154" s="739" t="s">
        <v>2091</v>
      </c>
      <c r="AU154">
        <f t="shared" si="23"/>
        <v>0</v>
      </c>
      <c r="AV154">
        <f t="shared" si="24"/>
        <v>0</v>
      </c>
    </row>
    <row r="155" spans="1:48" ht="24" customHeight="1">
      <c r="A155" s="221"/>
      <c r="B155" s="221"/>
      <c r="C155" s="221"/>
      <c r="D155" s="221"/>
      <c r="F155" s="8">
        <v>0.72</v>
      </c>
      <c r="G155" s="7" t="s">
        <v>885</v>
      </c>
      <c r="H155" s="504" t="s">
        <v>532</v>
      </c>
      <c r="I155" s="503">
        <f>C812</f>
        <v>3.15</v>
      </c>
      <c r="J155" s="1" t="s">
        <v>885</v>
      </c>
      <c r="K155" s="8">
        <f t="shared" si="26"/>
        <v>2.27</v>
      </c>
      <c r="N155" s="3"/>
      <c r="O155" s="1" t="s">
        <v>2063</v>
      </c>
      <c r="Q155" s="10"/>
      <c r="R155" s="5" t="s">
        <v>1615</v>
      </c>
      <c r="W155" s="4"/>
      <c r="AE155" s="63"/>
      <c r="AO155" s="3"/>
      <c r="AP155" s="1" t="s">
        <v>391</v>
      </c>
      <c r="AR155" s="10">
        <f>AS155-AS153</f>
        <v>9.0500000000000007</v>
      </c>
      <c r="AS155" s="38">
        <f>(AS153+C19/10*AN147)</f>
        <v>906.71</v>
      </c>
      <c r="AT155">
        <f>AS153-AS155</f>
        <v>-9.0500000000000007</v>
      </c>
      <c r="AU155">
        <f t="shared" si="23"/>
        <v>205.73</v>
      </c>
      <c r="AV155">
        <f t="shared" si="24"/>
        <v>700.98</v>
      </c>
    </row>
    <row r="156" spans="1:48" ht="24" customHeight="1">
      <c r="A156" s="221"/>
      <c r="B156" s="221"/>
      <c r="C156" s="221"/>
      <c r="D156" s="221"/>
      <c r="F156" s="8">
        <v>1</v>
      </c>
      <c r="G156" s="7" t="s">
        <v>885</v>
      </c>
      <c r="H156" s="1" t="s">
        <v>1826</v>
      </c>
      <c r="I156" s="8">
        <f>C18</f>
        <v>121</v>
      </c>
      <c r="J156" s="1" t="s">
        <v>885</v>
      </c>
      <c r="K156" s="8">
        <f t="shared" si="26"/>
        <v>121</v>
      </c>
      <c r="W156" s="4"/>
      <c r="AE156" s="63"/>
      <c r="AO156" s="3"/>
      <c r="AP156" s="1" t="s">
        <v>393</v>
      </c>
      <c r="AR156" s="10">
        <f>AS156-AS155</f>
        <v>18.260000000000002</v>
      </c>
      <c r="AS156" s="38">
        <f>(AS155+C20/10*AN147)</f>
        <v>924.97</v>
      </c>
      <c r="AT156">
        <f>AS156-AS155</f>
        <v>18.260000000000002</v>
      </c>
      <c r="AU156">
        <f t="shared" si="23"/>
        <v>209.88</v>
      </c>
      <c r="AV156">
        <f t="shared" si="24"/>
        <v>715.09</v>
      </c>
    </row>
    <row r="157" spans="1:48" ht="24" customHeight="1">
      <c r="A157" s="221"/>
      <c r="B157" s="221"/>
      <c r="C157" s="221"/>
      <c r="D157" s="221"/>
      <c r="F157" s="8">
        <v>1</v>
      </c>
      <c r="G157" s="7" t="s">
        <v>885</v>
      </c>
      <c r="H157" s="504" t="s">
        <v>1673</v>
      </c>
      <c r="I157" s="560">
        <f>C146</f>
        <v>15.5</v>
      </c>
      <c r="J157" s="1" t="s">
        <v>885</v>
      </c>
      <c r="K157" s="8">
        <f t="shared" si="26"/>
        <v>15.5</v>
      </c>
      <c r="W157" s="4"/>
      <c r="AE157" s="63"/>
      <c r="AO157" s="3"/>
      <c r="AP157" s="1" t="s">
        <v>2271</v>
      </c>
      <c r="AR157" s="10">
        <f>AS157-AS156</f>
        <v>18.260000000000002</v>
      </c>
      <c r="AS157" s="38">
        <f>(AS156+C21/10*AN147)</f>
        <v>943.23</v>
      </c>
      <c r="AU157">
        <f t="shared" si="23"/>
        <v>214.02</v>
      </c>
      <c r="AV157">
        <f t="shared" si="24"/>
        <v>729.21</v>
      </c>
    </row>
    <row r="158" spans="1:48" ht="24" customHeight="1">
      <c r="A158" s="221"/>
      <c r="B158" s="221"/>
      <c r="C158" s="221"/>
      <c r="D158" s="221"/>
      <c r="H158" s="1" t="s">
        <v>1674</v>
      </c>
      <c r="W158" s="4"/>
      <c r="AE158" s="63"/>
      <c r="AO158" s="3"/>
      <c r="AP158" s="1" t="s">
        <v>385</v>
      </c>
      <c r="AR158" s="10">
        <f>AS158-AS157</f>
        <v>18.260000000000002</v>
      </c>
      <c r="AS158" s="38">
        <f>(AS157+C21/10*AN147)</f>
        <v>961.49</v>
      </c>
      <c r="AU158">
        <f t="shared" si="23"/>
        <v>218.16</v>
      </c>
      <c r="AV158">
        <f t="shared" si="24"/>
        <v>743.33</v>
      </c>
    </row>
    <row r="159" spans="1:48" ht="24" customHeight="1">
      <c r="A159" s="221"/>
      <c r="B159" s="221"/>
      <c r="C159" s="221"/>
      <c r="D159" s="221"/>
      <c r="G159" s="7" t="s">
        <v>455</v>
      </c>
      <c r="H159" s="1" t="s">
        <v>456</v>
      </c>
      <c r="I159" s="1" t="s">
        <v>992</v>
      </c>
      <c r="J159" s="1" t="s">
        <v>455</v>
      </c>
      <c r="K159" s="8">
        <v>0</v>
      </c>
      <c r="W159" s="4"/>
      <c r="AE159" s="63"/>
      <c r="AO159" s="3"/>
      <c r="AP159" s="1" t="s">
        <v>1560</v>
      </c>
      <c r="AR159" s="10">
        <f>AS159-AS158</f>
        <v>18.260000000000002</v>
      </c>
      <c r="AS159" s="38">
        <f>(AS158+C21/10*AN147)</f>
        <v>979.75</v>
      </c>
      <c r="AU159">
        <f t="shared" si="23"/>
        <v>222.31</v>
      </c>
      <c r="AV159">
        <f t="shared" si="24"/>
        <v>757.44</v>
      </c>
    </row>
    <row r="160" spans="1:48" ht="24" customHeight="1">
      <c r="A160" s="221"/>
      <c r="B160" s="221"/>
      <c r="C160" s="221"/>
      <c r="D160" s="221"/>
      <c r="K160" s="5" t="s">
        <v>1615</v>
      </c>
      <c r="M160" s="2" t="s">
        <v>678</v>
      </c>
      <c r="N160" s="7" t="s">
        <v>2290</v>
      </c>
      <c r="O160" s="1" t="s">
        <v>556</v>
      </c>
      <c r="Q160" s="10"/>
      <c r="W160" s="4"/>
      <c r="AE160" s="63"/>
      <c r="AN160" s="740">
        <v>11</v>
      </c>
      <c r="AO160" s="404" t="s">
        <v>2290</v>
      </c>
      <c r="AP160" s="33" t="s">
        <v>3831</v>
      </c>
      <c r="AQ160" s="36"/>
      <c r="AR160" s="98"/>
      <c r="AS160" s="36"/>
      <c r="AU160">
        <f t="shared" si="23"/>
        <v>0</v>
      </c>
      <c r="AV160">
        <f t="shared" si="24"/>
        <v>0</v>
      </c>
    </row>
    <row r="161" spans="1:48" ht="24" customHeight="1">
      <c r="A161" s="221"/>
      <c r="B161" s="221"/>
      <c r="C161" s="221"/>
      <c r="D161" s="221"/>
      <c r="H161" s="58" t="s">
        <v>195</v>
      </c>
      <c r="K161" s="38">
        <f>SUM(K152:K159)</f>
        <v>1531</v>
      </c>
      <c r="N161" s="3"/>
      <c r="O161" s="1" t="s">
        <v>681</v>
      </c>
      <c r="Q161" s="10"/>
      <c r="W161" s="4"/>
      <c r="AE161" s="63"/>
      <c r="AN161" s="36"/>
      <c r="AO161" s="72"/>
      <c r="AP161" s="38" t="str">
        <f>AP61</f>
        <v>Bricks of size 23x11x7 cm</v>
      </c>
      <c r="AQ161" s="36"/>
      <c r="AR161" s="98"/>
      <c r="AS161" s="36"/>
      <c r="AU161">
        <f t="shared" si="23"/>
        <v>0</v>
      </c>
      <c r="AV161">
        <f t="shared" si="24"/>
        <v>0</v>
      </c>
    </row>
    <row r="162" spans="1:48" ht="24" customHeight="1">
      <c r="A162" s="221"/>
      <c r="B162" s="221"/>
      <c r="C162" s="221"/>
      <c r="D162" s="221"/>
      <c r="K162" s="5" t="s">
        <v>1615</v>
      </c>
      <c r="N162" s="3"/>
      <c r="O162" s="5" t="s">
        <v>1615</v>
      </c>
      <c r="Q162" s="10"/>
      <c r="W162" s="4"/>
      <c r="AE162" s="63"/>
      <c r="AO162" s="3"/>
      <c r="AP162" s="5" t="s">
        <v>1615</v>
      </c>
      <c r="AR162" s="10"/>
      <c r="AU162">
        <f t="shared" si="23"/>
        <v>0</v>
      </c>
      <c r="AV162">
        <f t="shared" si="24"/>
        <v>0</v>
      </c>
    </row>
    <row r="163" spans="1:48" ht="24" customHeight="1">
      <c r="A163" s="221"/>
      <c r="B163" s="221"/>
      <c r="C163" s="221"/>
      <c r="D163" s="221"/>
      <c r="H163" s="1" t="s">
        <v>992</v>
      </c>
      <c r="K163" s="1" t="s">
        <v>992</v>
      </c>
      <c r="M163" s="8">
        <v>9</v>
      </c>
      <c r="N163" s="7" t="s">
        <v>885</v>
      </c>
      <c r="O163" s="1" t="s">
        <v>1669</v>
      </c>
      <c r="P163" s="8">
        <f>I195</f>
        <v>1291.69</v>
      </c>
      <c r="Q163" s="1" t="s">
        <v>885</v>
      </c>
      <c r="R163" s="8">
        <f>(M163*P163)</f>
        <v>11625.21</v>
      </c>
      <c r="W163" s="4"/>
      <c r="AE163" s="63"/>
      <c r="AN163" s="8">
        <f>AN63</f>
        <v>1300</v>
      </c>
      <c r="AO163" s="7" t="s">
        <v>1450</v>
      </c>
      <c r="AP163" s="8" t="str">
        <f>AP61</f>
        <v>Bricks of size 23x11x7 cm</v>
      </c>
      <c r="AQ163" s="8">
        <f>AC45</f>
        <v>6917.4</v>
      </c>
      <c r="AR163" s="1" t="s">
        <v>1561</v>
      </c>
      <c r="AS163" s="8">
        <f>(AN163*AQ163)/1000</f>
        <v>8992.6200000000008</v>
      </c>
      <c r="AU163">
        <f t="shared" si="23"/>
        <v>2040.43</v>
      </c>
      <c r="AV163">
        <f t="shared" si="24"/>
        <v>6952.19</v>
      </c>
    </row>
    <row r="164" spans="1:48" ht="24" customHeight="1">
      <c r="A164" s="221"/>
      <c r="B164" s="221"/>
      <c r="C164" s="221"/>
      <c r="D164" s="221"/>
      <c r="K164" s="1" t="s">
        <v>992</v>
      </c>
      <c r="M164" s="8">
        <v>4.5</v>
      </c>
      <c r="N164" s="7" t="s">
        <v>885</v>
      </c>
      <c r="O164" s="1" t="s">
        <v>1331</v>
      </c>
      <c r="P164" s="8">
        <f>K40</f>
        <v>3904.1</v>
      </c>
      <c r="Q164" s="1" t="s">
        <v>885</v>
      </c>
      <c r="R164" s="8">
        <f>(M164*P164)</f>
        <v>17568.45</v>
      </c>
      <c r="W164" s="4"/>
      <c r="AE164" s="63"/>
      <c r="AN164" s="12">
        <f>AN133</f>
        <v>0.70799999999999996</v>
      </c>
      <c r="AO164" s="7" t="s">
        <v>885</v>
      </c>
      <c r="AP164" s="1" t="s">
        <v>1331</v>
      </c>
      <c r="AQ164" s="8">
        <f>AQ133</f>
        <v>3904.1</v>
      </c>
      <c r="AR164" s="1" t="s">
        <v>885</v>
      </c>
      <c r="AS164" s="8">
        <f>(AN164*AQ164)</f>
        <v>2764.1</v>
      </c>
      <c r="AU164">
        <f t="shared" ref="AU164:AU217" si="27">AS164*22.69/100</f>
        <v>627.16999999999996</v>
      </c>
      <c r="AV164">
        <f t="shared" ref="AV164:AV217" si="28">AS164-AU164</f>
        <v>2136.9299999999998</v>
      </c>
    </row>
    <row r="165" spans="1:48" ht="24" customHeight="1">
      <c r="A165" s="222">
        <v>2.2999999999999998</v>
      </c>
      <c r="B165" s="605" t="s">
        <v>249</v>
      </c>
      <c r="C165" s="851">
        <f>AC19+I168</f>
        <v>903.15</v>
      </c>
      <c r="D165" s="221"/>
      <c r="F165" s="24">
        <v>2.6</v>
      </c>
      <c r="G165" s="7" t="s">
        <v>2290</v>
      </c>
      <c r="H165" s="1" t="s">
        <v>1193</v>
      </c>
      <c r="M165" s="8">
        <v>1.8</v>
      </c>
      <c r="N165" s="7" t="s">
        <v>884</v>
      </c>
      <c r="O165" s="1" t="s">
        <v>1744</v>
      </c>
      <c r="P165" s="8">
        <f>I197</f>
        <v>972.4</v>
      </c>
      <c r="Q165" s="1" t="s">
        <v>884</v>
      </c>
      <c r="R165" s="8">
        <f>(M165*P165)</f>
        <v>1750.32</v>
      </c>
      <c r="W165" s="4"/>
      <c r="AE165" s="63"/>
      <c r="AN165" s="8">
        <v>1</v>
      </c>
      <c r="AO165" s="7" t="s">
        <v>884</v>
      </c>
      <c r="AP165" s="1" t="s">
        <v>2045</v>
      </c>
      <c r="AQ165" s="8">
        <f>AQ134</f>
        <v>1041.7</v>
      </c>
      <c r="AR165" s="1" t="s">
        <v>884</v>
      </c>
      <c r="AS165" s="8">
        <f>(AN165*AQ165)</f>
        <v>1041.7</v>
      </c>
      <c r="AU165">
        <f t="shared" si="27"/>
        <v>236.36</v>
      </c>
      <c r="AV165">
        <f t="shared" si="28"/>
        <v>805.34</v>
      </c>
    </row>
    <row r="166" spans="1:48" ht="24" customHeight="1">
      <c r="A166" s="222">
        <v>2.4</v>
      </c>
      <c r="B166" s="605" t="s">
        <v>796</v>
      </c>
      <c r="C166" s="851">
        <f>AC20+I168</f>
        <v>984.15</v>
      </c>
      <c r="D166" s="221"/>
      <c r="H166" s="5" t="s">
        <v>1615</v>
      </c>
      <c r="M166" s="8">
        <v>17.7</v>
      </c>
      <c r="N166" s="7" t="s">
        <v>884</v>
      </c>
      <c r="O166" s="1" t="s">
        <v>1937</v>
      </c>
      <c r="P166" s="8">
        <f>I198</f>
        <v>679.8</v>
      </c>
      <c r="Q166" s="1" t="s">
        <v>884</v>
      </c>
      <c r="R166" s="8">
        <f>(M166*P166)</f>
        <v>12032.46</v>
      </c>
      <c r="W166" s="4"/>
      <c r="AE166" s="63"/>
      <c r="AN166" s="8">
        <v>3</v>
      </c>
      <c r="AO166" s="7" t="s">
        <v>884</v>
      </c>
      <c r="AP166" s="1" t="s">
        <v>1744</v>
      </c>
      <c r="AQ166" s="8">
        <f>AQ135</f>
        <v>972.4</v>
      </c>
      <c r="AR166" s="1" t="s">
        <v>884</v>
      </c>
      <c r="AS166" s="8">
        <f>(AN166*AQ166)</f>
        <v>2917.2</v>
      </c>
      <c r="AU166">
        <f t="shared" si="27"/>
        <v>661.91</v>
      </c>
      <c r="AV166">
        <f t="shared" si="28"/>
        <v>2255.29</v>
      </c>
    </row>
    <row r="167" spans="1:48" ht="24" customHeight="1">
      <c r="A167" s="221"/>
      <c r="B167" s="221"/>
      <c r="C167" s="221"/>
      <c r="D167" s="221"/>
      <c r="F167" s="8">
        <v>1</v>
      </c>
      <c r="G167" s="7" t="s">
        <v>885</v>
      </c>
      <c r="H167" s="1" t="s">
        <v>1111</v>
      </c>
      <c r="I167" s="8">
        <f>AC15</f>
        <v>1291.69</v>
      </c>
      <c r="J167" s="1" t="s">
        <v>885</v>
      </c>
      <c r="K167" s="8">
        <f>(F167*I167)</f>
        <v>1291.69</v>
      </c>
      <c r="M167" s="8">
        <v>14.1</v>
      </c>
      <c r="N167" s="7" t="s">
        <v>884</v>
      </c>
      <c r="O167" s="1" t="s">
        <v>325</v>
      </c>
      <c r="P167" s="8">
        <f>I199</f>
        <v>557.70000000000005</v>
      </c>
      <c r="Q167" s="1" t="s">
        <v>884</v>
      </c>
      <c r="R167" s="8">
        <f>(M167*P167)</f>
        <v>7863.57</v>
      </c>
      <c r="W167" s="4"/>
      <c r="AE167" s="63"/>
      <c r="AN167" s="8">
        <v>2</v>
      </c>
      <c r="AO167" s="7" t="s">
        <v>884</v>
      </c>
      <c r="AP167" s="1" t="s">
        <v>1937</v>
      </c>
      <c r="AQ167" s="8">
        <f>AQ136</f>
        <v>679.8</v>
      </c>
      <c r="AR167" s="1" t="s">
        <v>884</v>
      </c>
      <c r="AS167" s="8">
        <f>(AN167*AQ167)</f>
        <v>1359.6</v>
      </c>
      <c r="AU167">
        <f t="shared" si="27"/>
        <v>308.49</v>
      </c>
      <c r="AV167">
        <f t="shared" si="28"/>
        <v>1051.1099999999999</v>
      </c>
    </row>
    <row r="168" spans="1:48" ht="24" customHeight="1">
      <c r="A168" s="221"/>
      <c r="B168" s="221"/>
      <c r="C168" s="221"/>
      <c r="D168" s="221"/>
      <c r="F168" s="8">
        <v>1</v>
      </c>
      <c r="G168" s="7" t="s">
        <v>885</v>
      </c>
      <c r="H168" s="1" t="s">
        <v>1378</v>
      </c>
      <c r="I168" s="8">
        <f>C26</f>
        <v>40.65</v>
      </c>
      <c r="J168" s="1" t="s">
        <v>885</v>
      </c>
      <c r="K168" s="8">
        <f>(F168*I168)</f>
        <v>40.65</v>
      </c>
      <c r="N168" s="7" t="s">
        <v>455</v>
      </c>
      <c r="O168" s="1" t="s">
        <v>456</v>
      </c>
      <c r="Q168" s="1" t="s">
        <v>455</v>
      </c>
      <c r="R168" s="8">
        <v>0</v>
      </c>
      <c r="W168" s="4"/>
      <c r="AE168" s="63"/>
      <c r="AN168" s="8">
        <v>6</v>
      </c>
      <c r="AO168" s="7" t="s">
        <v>884</v>
      </c>
      <c r="AP168" s="1" t="s">
        <v>325</v>
      </c>
      <c r="AQ168" s="8">
        <f>AQ137</f>
        <v>557.70000000000005</v>
      </c>
      <c r="AR168" s="1" t="s">
        <v>884</v>
      </c>
      <c r="AS168" s="8">
        <f>(AN168*AQ168)</f>
        <v>3346.2</v>
      </c>
      <c r="AU168">
        <f t="shared" si="27"/>
        <v>759.25</v>
      </c>
      <c r="AV168">
        <f t="shared" si="28"/>
        <v>2586.9499999999998</v>
      </c>
    </row>
    <row r="169" spans="1:48" ht="24" customHeight="1">
      <c r="A169" s="221"/>
      <c r="B169" s="221"/>
      <c r="C169" s="221"/>
      <c r="D169" s="221"/>
      <c r="G169" s="7" t="s">
        <v>455</v>
      </c>
      <c r="H169" s="1" t="s">
        <v>456</v>
      </c>
      <c r="I169" s="1" t="s">
        <v>992</v>
      </c>
      <c r="J169" s="1" t="s">
        <v>455</v>
      </c>
      <c r="K169" s="8">
        <v>0</v>
      </c>
      <c r="N169" s="3"/>
      <c r="Q169" s="10"/>
      <c r="R169" s="5" t="s">
        <v>1615</v>
      </c>
      <c r="W169" s="4"/>
      <c r="AE169" s="63"/>
      <c r="AO169" s="7" t="s">
        <v>455</v>
      </c>
      <c r="AP169" s="1" t="s">
        <v>456</v>
      </c>
      <c r="AQ169" s="1" t="s">
        <v>992</v>
      </c>
      <c r="AR169" s="1" t="s">
        <v>455</v>
      </c>
      <c r="AS169" s="8">
        <v>5</v>
      </c>
      <c r="AU169">
        <f t="shared" si="27"/>
        <v>1.1299999999999999</v>
      </c>
      <c r="AV169">
        <f t="shared" si="28"/>
        <v>3.87</v>
      </c>
    </row>
    <row r="170" spans="1:48" ht="24" customHeight="1">
      <c r="A170" s="221"/>
      <c r="B170" s="221"/>
      <c r="C170" s="221"/>
      <c r="D170" s="221"/>
      <c r="K170" s="5" t="s">
        <v>1615</v>
      </c>
      <c r="N170" s="3"/>
      <c r="Q170" s="10"/>
      <c r="R170" s="8">
        <f>SUM(R163:R168)</f>
        <v>50840.01</v>
      </c>
      <c r="W170" s="4"/>
      <c r="AE170" s="63"/>
      <c r="AO170" s="3"/>
      <c r="AR170" s="10"/>
      <c r="AS170" s="5" t="s">
        <v>1615</v>
      </c>
      <c r="AU170">
        <f t="shared" si="27"/>
        <v>0</v>
      </c>
      <c r="AV170">
        <f t="shared" si="28"/>
        <v>0</v>
      </c>
    </row>
    <row r="171" spans="1:48" ht="24" customHeight="1">
      <c r="A171" s="221"/>
      <c r="B171" s="221"/>
      <c r="C171" s="221"/>
      <c r="D171" s="221"/>
      <c r="H171" s="58" t="s">
        <v>195</v>
      </c>
      <c r="K171" s="38">
        <f>SUM(K166:K169)</f>
        <v>1332.34</v>
      </c>
      <c r="N171" s="3"/>
      <c r="O171" s="60" t="s">
        <v>626</v>
      </c>
      <c r="Q171" s="10"/>
      <c r="R171" s="5" t="s">
        <v>1615</v>
      </c>
      <c r="W171" s="4"/>
      <c r="AE171" s="63"/>
      <c r="AO171" s="3"/>
      <c r="AP171" s="1" t="s">
        <v>626</v>
      </c>
      <c r="AR171" s="10"/>
      <c r="AS171" s="8">
        <f>SUM(AS163:AS169)</f>
        <v>20426.419999999998</v>
      </c>
      <c r="AU171">
        <f t="shared" si="27"/>
        <v>4634.75</v>
      </c>
      <c r="AV171">
        <f t="shared" si="28"/>
        <v>15791.67</v>
      </c>
    </row>
    <row r="172" spans="1:48" ht="24" customHeight="1">
      <c r="A172" s="221"/>
      <c r="B172" s="221"/>
      <c r="C172" s="221"/>
      <c r="D172" s="221"/>
      <c r="K172" s="5" t="s">
        <v>1615</v>
      </c>
      <c r="N172" s="3"/>
      <c r="Q172" s="10"/>
      <c r="R172" s="38">
        <f>(R170/10)</f>
        <v>5084</v>
      </c>
      <c r="W172" s="4"/>
      <c r="AE172" s="63"/>
      <c r="AO172" s="3"/>
      <c r="AR172" s="10"/>
      <c r="AS172" s="5" t="s">
        <v>1615</v>
      </c>
      <c r="AU172">
        <f t="shared" si="27"/>
        <v>0</v>
      </c>
      <c r="AV172">
        <f t="shared" si="28"/>
        <v>0</v>
      </c>
    </row>
    <row r="173" spans="1:48" ht="24" customHeight="1">
      <c r="A173" s="221"/>
      <c r="B173" s="221"/>
      <c r="C173" s="221"/>
      <c r="D173" s="221"/>
      <c r="F173" s="24">
        <v>2.7</v>
      </c>
      <c r="G173" s="7" t="s">
        <v>2290</v>
      </c>
      <c r="H173" s="1" t="s">
        <v>2027</v>
      </c>
      <c r="N173" s="3"/>
      <c r="O173" s="58" t="s">
        <v>789</v>
      </c>
      <c r="Q173" s="10"/>
      <c r="R173" s="5" t="s">
        <v>2091</v>
      </c>
      <c r="W173" s="4"/>
      <c r="AE173" s="63"/>
      <c r="AO173" s="3"/>
      <c r="AP173" s="1" t="s">
        <v>789</v>
      </c>
      <c r="AR173" s="10"/>
      <c r="AS173" s="8">
        <f>(AS171/2.83168)</f>
        <v>7213.53</v>
      </c>
      <c r="AU173">
        <f t="shared" si="27"/>
        <v>1636.75</v>
      </c>
      <c r="AV173">
        <f t="shared" si="28"/>
        <v>5576.78</v>
      </c>
    </row>
    <row r="174" spans="1:48" ht="24" customHeight="1">
      <c r="A174" s="221"/>
      <c r="B174" s="221"/>
      <c r="C174" s="221"/>
      <c r="D174" s="221"/>
      <c r="H174" s="5" t="s">
        <v>1615</v>
      </c>
      <c r="W174" s="4"/>
      <c r="AE174" s="63"/>
      <c r="AO174" s="3"/>
      <c r="AR174" s="10"/>
      <c r="AS174" s="5" t="s">
        <v>2091</v>
      </c>
      <c r="AU174">
        <f t="shared" si="27"/>
        <v>0</v>
      </c>
      <c r="AV174">
        <f t="shared" si="28"/>
        <v>0</v>
      </c>
    </row>
    <row r="175" spans="1:48" ht="24" customHeight="1">
      <c r="A175" s="221"/>
      <c r="B175" s="221"/>
      <c r="C175" s="221"/>
      <c r="D175" s="221"/>
      <c r="F175" s="8">
        <v>1</v>
      </c>
      <c r="G175" s="7" t="s">
        <v>885</v>
      </c>
      <c r="H175" s="1" t="s">
        <v>848</v>
      </c>
      <c r="I175" s="8">
        <f>AC14</f>
        <v>1704.69</v>
      </c>
      <c r="J175" s="1" t="s">
        <v>885</v>
      </c>
      <c r="K175" s="8">
        <f>(F175*I175)</f>
        <v>1704.69</v>
      </c>
      <c r="W175" s="4"/>
      <c r="AE175" s="63"/>
      <c r="AN175" s="1" t="s">
        <v>252</v>
      </c>
      <c r="AO175" s="3"/>
      <c r="AR175" s="10"/>
      <c r="AU175">
        <f t="shared" si="27"/>
        <v>0</v>
      </c>
      <c r="AV175">
        <f t="shared" si="28"/>
        <v>0</v>
      </c>
    </row>
    <row r="176" spans="1:48" ht="24" customHeight="1">
      <c r="A176" s="221"/>
      <c r="B176" s="221"/>
      <c r="C176" s="221"/>
      <c r="D176" s="221"/>
      <c r="F176" s="8">
        <v>1</v>
      </c>
      <c r="G176" s="7" t="s">
        <v>885</v>
      </c>
      <c r="H176" s="1" t="s">
        <v>1378</v>
      </c>
      <c r="I176" s="8">
        <f>C26</f>
        <v>40.65</v>
      </c>
      <c r="J176" s="1" t="s">
        <v>885</v>
      </c>
      <c r="K176" s="8">
        <f>(F176*I176)</f>
        <v>40.65</v>
      </c>
      <c r="W176" s="4"/>
      <c r="AE176" s="63"/>
      <c r="AO176" s="3"/>
      <c r="AR176" s="10"/>
      <c r="AU176">
        <f t="shared" si="27"/>
        <v>0</v>
      </c>
      <c r="AV176">
        <f t="shared" si="28"/>
        <v>0</v>
      </c>
    </row>
    <row r="177" spans="1:48" ht="24" customHeight="1">
      <c r="A177" s="221"/>
      <c r="B177" s="221"/>
      <c r="C177" s="221"/>
      <c r="D177" s="221"/>
      <c r="G177" s="7" t="s">
        <v>455</v>
      </c>
      <c r="H177" s="1" t="s">
        <v>456</v>
      </c>
      <c r="I177" s="1" t="s">
        <v>992</v>
      </c>
      <c r="J177" s="1" t="s">
        <v>455</v>
      </c>
      <c r="K177" s="8">
        <v>0</v>
      </c>
      <c r="W177" s="4"/>
      <c r="AE177" s="63"/>
      <c r="AO177" s="7" t="s">
        <v>1567</v>
      </c>
      <c r="AP177" s="1" t="s">
        <v>436</v>
      </c>
      <c r="AR177" s="10"/>
      <c r="AU177">
        <f t="shared" si="27"/>
        <v>0</v>
      </c>
      <c r="AV177">
        <f t="shared" si="28"/>
        <v>0</v>
      </c>
    </row>
    <row r="178" spans="1:48" ht="24" customHeight="1">
      <c r="A178" s="221"/>
      <c r="B178" s="221"/>
      <c r="C178" s="221"/>
      <c r="D178" s="221"/>
      <c r="K178" s="5" t="s">
        <v>1615</v>
      </c>
      <c r="W178" s="4"/>
      <c r="AE178" s="63"/>
      <c r="AO178" s="3"/>
      <c r="AP178" s="5" t="s">
        <v>1615</v>
      </c>
      <c r="AR178" s="10"/>
      <c r="AU178">
        <f t="shared" si="27"/>
        <v>0</v>
      </c>
      <c r="AV178">
        <f t="shared" si="28"/>
        <v>0</v>
      </c>
    </row>
    <row r="179" spans="1:48" ht="24" customHeight="1">
      <c r="A179" s="221"/>
      <c r="B179" s="221"/>
      <c r="C179" s="221"/>
      <c r="D179" s="221"/>
      <c r="H179" s="58" t="s">
        <v>195</v>
      </c>
      <c r="K179" s="38">
        <f>SUM(K174:K177)</f>
        <v>1745.34</v>
      </c>
      <c r="W179" s="4"/>
      <c r="AE179" s="63"/>
      <c r="AN179" s="8">
        <v>0.7</v>
      </c>
      <c r="AO179" s="7" t="s">
        <v>885</v>
      </c>
      <c r="AP179" s="1" t="s">
        <v>2318</v>
      </c>
      <c r="AQ179" s="8">
        <f>AQ147</f>
        <v>7213.53</v>
      </c>
      <c r="AR179" s="1" t="s">
        <v>884</v>
      </c>
      <c r="AS179" s="8">
        <f>(AN179*AQ179)</f>
        <v>5049.47</v>
      </c>
      <c r="AU179">
        <f t="shared" si="27"/>
        <v>1145.72</v>
      </c>
      <c r="AV179">
        <f t="shared" si="28"/>
        <v>3903.75</v>
      </c>
    </row>
    <row r="180" spans="1:48" ht="24" customHeight="1">
      <c r="K180" s="5" t="s">
        <v>1615</v>
      </c>
      <c r="M180" s="8">
        <v>2.5</v>
      </c>
      <c r="N180" s="1" t="s">
        <v>885</v>
      </c>
      <c r="O180" s="1" t="s">
        <v>1662</v>
      </c>
      <c r="P180" s="8">
        <f>(K58)</f>
        <v>3179.3</v>
      </c>
      <c r="Q180" s="1" t="s">
        <v>885</v>
      </c>
      <c r="R180" s="8">
        <f>(M180*P180)</f>
        <v>7948.25</v>
      </c>
      <c r="W180" s="4"/>
      <c r="AE180" s="63"/>
      <c r="AG180" s="1"/>
      <c r="AN180" s="8">
        <v>1</v>
      </c>
      <c r="AO180" s="7" t="s">
        <v>785</v>
      </c>
      <c r="AP180" s="1" t="s">
        <v>2045</v>
      </c>
      <c r="AQ180" s="8">
        <f>AQ165</f>
        <v>1041.7</v>
      </c>
      <c r="AR180" s="1" t="s">
        <v>884</v>
      </c>
      <c r="AS180" s="8">
        <f>(AN180*AQ180)</f>
        <v>1041.7</v>
      </c>
      <c r="AU180">
        <f t="shared" si="27"/>
        <v>236.36</v>
      </c>
      <c r="AV180">
        <f t="shared" si="28"/>
        <v>805.34</v>
      </c>
    </row>
    <row r="181" spans="1:48" ht="24" customHeight="1">
      <c r="H181" s="1" t="s">
        <v>992</v>
      </c>
      <c r="M181" s="8">
        <v>3.5</v>
      </c>
      <c r="N181" s="1" t="s">
        <v>884</v>
      </c>
      <c r="O181" s="1" t="s">
        <v>2045</v>
      </c>
      <c r="P181" s="8">
        <f>(C10)</f>
        <v>1041.7</v>
      </c>
      <c r="Q181" s="1" t="s">
        <v>884</v>
      </c>
      <c r="R181" s="8">
        <f>(M181*P181)</f>
        <v>3645.95</v>
      </c>
      <c r="W181" s="4"/>
      <c r="AE181" s="63"/>
      <c r="AG181" s="1"/>
      <c r="AO181" s="7" t="s">
        <v>455</v>
      </c>
      <c r="AP181" s="1" t="s">
        <v>456</v>
      </c>
      <c r="AQ181" s="1" t="s">
        <v>992</v>
      </c>
      <c r="AR181" s="1" t="s">
        <v>455</v>
      </c>
      <c r="AS181" s="8">
        <v>0</v>
      </c>
      <c r="AU181">
        <f t="shared" si="27"/>
        <v>0</v>
      </c>
      <c r="AV181">
        <f t="shared" si="28"/>
        <v>0</v>
      </c>
    </row>
    <row r="182" spans="1:48" ht="24" customHeight="1">
      <c r="F182" s="2" t="s">
        <v>1678</v>
      </c>
      <c r="H182" s="1" t="s">
        <v>962</v>
      </c>
      <c r="W182" s="4"/>
      <c r="AE182" s="63"/>
      <c r="AO182" s="3"/>
      <c r="AR182" s="10"/>
      <c r="AS182" s="5" t="s">
        <v>1615</v>
      </c>
      <c r="AU182">
        <f t="shared" si="27"/>
        <v>0</v>
      </c>
      <c r="AV182">
        <f t="shared" si="28"/>
        <v>0</v>
      </c>
    </row>
    <row r="183" spans="1:48" ht="24" customHeight="1">
      <c r="A183" s="221"/>
      <c r="B183" s="221"/>
      <c r="C183" s="221"/>
      <c r="D183" s="221"/>
      <c r="W183" s="4"/>
      <c r="AE183" s="63"/>
      <c r="AO183" s="3"/>
      <c r="AP183" s="1" t="s">
        <v>447</v>
      </c>
      <c r="AR183" s="10"/>
      <c r="AS183" s="38">
        <f>SUM(AS179:AS181)</f>
        <v>6091.17</v>
      </c>
      <c r="AU183">
        <f t="shared" si="27"/>
        <v>1382.09</v>
      </c>
      <c r="AV183">
        <f t="shared" si="28"/>
        <v>4709.08</v>
      </c>
    </row>
    <row r="184" spans="1:48" ht="24" customHeight="1">
      <c r="A184" s="221"/>
      <c r="B184" s="221"/>
      <c r="C184" s="221"/>
      <c r="D184" s="221"/>
      <c r="F184" s="8">
        <v>1</v>
      </c>
      <c r="G184" s="7" t="s">
        <v>885</v>
      </c>
      <c r="H184" s="1" t="s">
        <v>66</v>
      </c>
      <c r="I184" s="8">
        <f>C35</f>
        <v>366.57</v>
      </c>
      <c r="J184" s="1" t="s">
        <v>885</v>
      </c>
      <c r="K184" s="8">
        <f>(F184*I184)</f>
        <v>366.57</v>
      </c>
      <c r="W184" s="4"/>
      <c r="AE184" s="63"/>
      <c r="AO184" s="3"/>
      <c r="AR184" s="10"/>
      <c r="AS184" s="5" t="s">
        <v>1615</v>
      </c>
      <c r="AU184">
        <f t="shared" si="27"/>
        <v>0</v>
      </c>
      <c r="AV184">
        <f t="shared" si="28"/>
        <v>0</v>
      </c>
    </row>
    <row r="185" spans="1:48" ht="24" customHeight="1">
      <c r="A185" s="221"/>
      <c r="B185" s="221"/>
      <c r="C185" s="221"/>
      <c r="D185" s="221"/>
      <c r="F185" s="8">
        <v>1</v>
      </c>
      <c r="G185" s="7" t="s">
        <v>885</v>
      </c>
      <c r="H185" s="1" t="s">
        <v>532</v>
      </c>
      <c r="I185" s="485">
        <f>C812</f>
        <v>3.15</v>
      </c>
      <c r="J185" s="1" t="s">
        <v>885</v>
      </c>
      <c r="K185" s="8">
        <f>(F185*I185)</f>
        <v>3.15</v>
      </c>
      <c r="W185" s="4"/>
      <c r="AE185" s="63"/>
      <c r="AO185" s="3"/>
      <c r="AP185" s="1" t="s">
        <v>562</v>
      </c>
      <c r="AR185" s="10"/>
      <c r="AS185" s="8">
        <f>(AS183/10)</f>
        <v>609.12</v>
      </c>
      <c r="AU185">
        <f t="shared" si="27"/>
        <v>138.21</v>
      </c>
      <c r="AV185">
        <f t="shared" si="28"/>
        <v>470.91</v>
      </c>
    </row>
    <row r="186" spans="1:48" ht="24" customHeight="1">
      <c r="A186" s="221"/>
      <c r="B186" s="221"/>
      <c r="C186" s="221"/>
      <c r="D186" s="221"/>
      <c r="F186" s="8">
        <v>1</v>
      </c>
      <c r="G186" s="7" t="s">
        <v>885</v>
      </c>
      <c r="H186" s="1" t="s">
        <v>1673</v>
      </c>
      <c r="I186" s="485">
        <f>C146</f>
        <v>15.5</v>
      </c>
      <c r="J186" s="1" t="s">
        <v>885</v>
      </c>
      <c r="K186" s="8">
        <f>(F186*I186)</f>
        <v>15.5</v>
      </c>
      <c r="W186" s="4"/>
      <c r="AE186" s="63"/>
      <c r="AO186" s="3"/>
      <c r="AR186" s="10"/>
      <c r="AS186" s="5" t="s">
        <v>2091</v>
      </c>
      <c r="AU186">
        <f t="shared" si="27"/>
        <v>0</v>
      </c>
      <c r="AV186">
        <f t="shared" si="28"/>
        <v>0</v>
      </c>
    </row>
    <row r="187" spans="1:48" ht="24" customHeight="1">
      <c r="A187" s="221"/>
      <c r="B187" s="221"/>
      <c r="C187" s="221"/>
      <c r="D187" s="221"/>
      <c r="H187" s="1" t="s">
        <v>1674</v>
      </c>
      <c r="W187" s="4"/>
      <c r="AE187" s="63"/>
      <c r="AO187" s="3"/>
      <c r="AP187" s="1" t="s">
        <v>391</v>
      </c>
      <c r="AR187" s="10">
        <f>AS187-AS185</f>
        <v>5.76</v>
      </c>
      <c r="AS187" s="38">
        <f>(AS185+C19/10*AN179)</f>
        <v>614.88</v>
      </c>
      <c r="AU187">
        <f t="shared" si="27"/>
        <v>139.52000000000001</v>
      </c>
      <c r="AV187">
        <f t="shared" si="28"/>
        <v>475.36</v>
      </c>
    </row>
    <row r="188" spans="1:48" ht="24" customHeight="1">
      <c r="A188" s="221"/>
      <c r="B188" s="221"/>
      <c r="C188" s="221"/>
      <c r="D188" s="221"/>
      <c r="K188" s="5" t="s">
        <v>1615</v>
      </c>
      <c r="W188" s="4"/>
      <c r="AE188" s="63"/>
      <c r="AO188" s="3"/>
      <c r="AP188" s="1" t="s">
        <v>393</v>
      </c>
      <c r="AR188" s="10">
        <f>AS188-AS187</f>
        <v>11.62</v>
      </c>
      <c r="AS188" s="38">
        <f>(AS187+C20/10*AN179)</f>
        <v>626.5</v>
      </c>
      <c r="AU188">
        <f t="shared" si="27"/>
        <v>142.15</v>
      </c>
      <c r="AV188">
        <f t="shared" si="28"/>
        <v>484.35</v>
      </c>
    </row>
    <row r="189" spans="1:48" ht="24" customHeight="1">
      <c r="A189" s="221"/>
      <c r="B189" s="221"/>
      <c r="C189" s="221"/>
      <c r="D189" s="221"/>
      <c r="H189" s="58" t="s">
        <v>195</v>
      </c>
      <c r="K189" s="38">
        <f>SUM(K182:K187)</f>
        <v>385.22</v>
      </c>
      <c r="W189" s="4"/>
      <c r="AE189" s="63"/>
      <c r="AO189" s="3"/>
      <c r="AP189" s="1" t="s">
        <v>2271</v>
      </c>
      <c r="AR189" s="10">
        <f>AS189-AS188</f>
        <v>11.62</v>
      </c>
      <c r="AS189" s="38">
        <f>(AS188+C21/10*AN179)</f>
        <v>638.12</v>
      </c>
      <c r="AU189">
        <f t="shared" si="27"/>
        <v>144.79</v>
      </c>
      <c r="AV189">
        <f t="shared" si="28"/>
        <v>493.33</v>
      </c>
    </row>
    <row r="190" spans="1:48" ht="24" customHeight="1">
      <c r="A190" s="221"/>
      <c r="B190" s="221"/>
      <c r="C190" s="221"/>
      <c r="D190" s="221"/>
      <c r="F190" s="1" t="s">
        <v>992</v>
      </c>
      <c r="K190" s="5" t="s">
        <v>1615</v>
      </c>
      <c r="W190" s="4"/>
      <c r="AE190" s="63"/>
      <c r="AO190" s="3"/>
      <c r="AP190" s="1" t="s">
        <v>385</v>
      </c>
      <c r="AR190" s="10">
        <f>AS190-AS189</f>
        <v>11.62</v>
      </c>
      <c r="AS190" s="38">
        <f>(AS189+C21/10*AN179)</f>
        <v>649.74</v>
      </c>
      <c r="AU190">
        <f t="shared" si="27"/>
        <v>147.43</v>
      </c>
      <c r="AV190">
        <f t="shared" si="28"/>
        <v>502.31</v>
      </c>
    </row>
    <row r="191" spans="1:48" ht="24" customHeight="1">
      <c r="A191" s="221"/>
      <c r="B191" s="221"/>
      <c r="C191" s="221"/>
      <c r="D191" s="221"/>
      <c r="K191" s="1" t="s">
        <v>992</v>
      </c>
      <c r="W191" s="4"/>
      <c r="AE191" s="63"/>
      <c r="AO191" s="3"/>
      <c r="AP191" s="1" t="s">
        <v>849</v>
      </c>
      <c r="AR191" s="10">
        <f>AS191-AS190</f>
        <v>11.62</v>
      </c>
      <c r="AS191" s="38">
        <f>(AS190+C21/10*AN179)</f>
        <v>661.36</v>
      </c>
      <c r="AU191">
        <f t="shared" si="27"/>
        <v>150.06</v>
      </c>
      <c r="AV191">
        <f t="shared" si="28"/>
        <v>511.3</v>
      </c>
    </row>
    <row r="192" spans="1:48" ht="24" customHeight="1">
      <c r="A192" s="218">
        <f>(A148+1)</f>
        <v>90</v>
      </c>
      <c r="B192" s="219" t="s">
        <v>676</v>
      </c>
      <c r="C192" s="536">
        <v>65</v>
      </c>
      <c r="D192" s="219" t="s">
        <v>677</v>
      </c>
      <c r="F192" s="2" t="s">
        <v>678</v>
      </c>
      <c r="G192" s="7" t="s">
        <v>2290</v>
      </c>
      <c r="H192" s="1" t="s">
        <v>679</v>
      </c>
      <c r="M192" s="2" t="s">
        <v>678</v>
      </c>
      <c r="N192" s="7" t="s">
        <v>2290</v>
      </c>
      <c r="O192" s="1" t="s">
        <v>213</v>
      </c>
      <c r="Q192" s="10"/>
      <c r="S192" s="2" t="s">
        <v>678</v>
      </c>
      <c r="T192" s="7" t="s">
        <v>2290</v>
      </c>
      <c r="U192" s="1" t="s">
        <v>213</v>
      </c>
      <c r="W192" s="4"/>
      <c r="AE192" s="63"/>
      <c r="AG192" s="1"/>
      <c r="AP192" s="1"/>
      <c r="AR192" s="10"/>
      <c r="AS192" s="38"/>
      <c r="AU192">
        <f t="shared" si="27"/>
        <v>0</v>
      </c>
      <c r="AV192">
        <f t="shared" si="28"/>
        <v>0</v>
      </c>
    </row>
    <row r="193" spans="1:48" ht="24" customHeight="1">
      <c r="A193" s="218">
        <f t="shared" ref="A193:A208" si="29">(A192+1)</f>
        <v>91</v>
      </c>
      <c r="B193" s="219" t="s">
        <v>680</v>
      </c>
      <c r="C193" s="536">
        <v>25</v>
      </c>
      <c r="D193" s="219" t="s">
        <v>677</v>
      </c>
      <c r="H193" s="1" t="s">
        <v>681</v>
      </c>
      <c r="N193" s="3"/>
      <c r="O193" s="1" t="s">
        <v>1513</v>
      </c>
      <c r="Q193" s="10"/>
      <c r="S193"/>
      <c r="T193" s="3"/>
      <c r="U193" s="1" t="s">
        <v>681</v>
      </c>
      <c r="W193" s="4"/>
      <c r="AE193" s="63"/>
      <c r="AG193" s="1"/>
      <c r="AO193" s="7" t="s">
        <v>1567</v>
      </c>
      <c r="AP193" s="1" t="s">
        <v>436</v>
      </c>
      <c r="AR193" s="10"/>
      <c r="AU193">
        <f t="shared" si="27"/>
        <v>0</v>
      </c>
      <c r="AV193">
        <f t="shared" si="28"/>
        <v>0</v>
      </c>
    </row>
    <row r="194" spans="1:48" ht="24" customHeight="1">
      <c r="A194" s="218">
        <f t="shared" si="29"/>
        <v>92</v>
      </c>
      <c r="B194" s="1" t="s">
        <v>5072</v>
      </c>
      <c r="C194" s="419">
        <v>271.2</v>
      </c>
      <c r="D194" s="219" t="s">
        <v>677</v>
      </c>
      <c r="H194" s="5" t="s">
        <v>1615</v>
      </c>
      <c r="N194" s="3"/>
      <c r="O194" s="5" t="s">
        <v>1615</v>
      </c>
      <c r="Q194" s="10"/>
      <c r="S194"/>
      <c r="T194" s="3"/>
      <c r="U194" s="5" t="s">
        <v>1615</v>
      </c>
      <c r="W194" s="4"/>
      <c r="AE194" s="63"/>
      <c r="AG194" s="1"/>
      <c r="AO194" s="3"/>
      <c r="AP194" s="5" t="s">
        <v>1615</v>
      </c>
      <c r="AR194" s="10"/>
      <c r="AU194">
        <f t="shared" si="27"/>
        <v>0</v>
      </c>
      <c r="AV194">
        <f t="shared" si="28"/>
        <v>0</v>
      </c>
    </row>
    <row r="195" spans="1:48" ht="24" customHeight="1">
      <c r="A195" s="218">
        <f t="shared" si="29"/>
        <v>93</v>
      </c>
      <c r="B195" s="1" t="s">
        <v>5073</v>
      </c>
      <c r="C195" s="419">
        <v>238.9</v>
      </c>
      <c r="D195" s="536">
        <v>96.11</v>
      </c>
      <c r="F195" s="8">
        <v>9</v>
      </c>
      <c r="G195" s="7" t="s">
        <v>885</v>
      </c>
      <c r="H195" s="1" t="s">
        <v>1669</v>
      </c>
      <c r="I195" s="8">
        <f>(C74)</f>
        <v>1291.69</v>
      </c>
      <c r="J195" s="1" t="s">
        <v>885</v>
      </c>
      <c r="K195" s="8">
        <f>(F195*I195)</f>
        <v>11625.21</v>
      </c>
      <c r="M195" s="8">
        <v>9</v>
      </c>
      <c r="N195" s="7" t="s">
        <v>885</v>
      </c>
      <c r="O195" s="1" t="s">
        <v>704</v>
      </c>
      <c r="P195" s="8">
        <f>(C73)</f>
        <v>1704.69</v>
      </c>
      <c r="Q195" s="1" t="s">
        <v>885</v>
      </c>
      <c r="R195" s="8">
        <f>(M195*P195)</f>
        <v>15342.21</v>
      </c>
      <c r="S195" s="8">
        <v>9</v>
      </c>
      <c r="T195" s="7" t="s">
        <v>885</v>
      </c>
      <c r="U195" s="1" t="s">
        <v>1669</v>
      </c>
      <c r="V195" s="8">
        <f>(C74)</f>
        <v>1291.69</v>
      </c>
      <c r="W195" s="2" t="s">
        <v>885</v>
      </c>
      <c r="X195" s="8">
        <f>(S195*V195)</f>
        <v>11625.21</v>
      </c>
      <c r="AE195" s="63"/>
      <c r="AG195" s="1"/>
      <c r="AN195" s="8">
        <v>0.7</v>
      </c>
      <c r="AO195" s="7" t="s">
        <v>885</v>
      </c>
      <c r="AP195" s="1" t="s">
        <v>2318</v>
      </c>
      <c r="AQ195" s="8">
        <f>AQ163</f>
        <v>6917.4</v>
      </c>
      <c r="AR195" s="1" t="s">
        <v>884</v>
      </c>
      <c r="AS195" s="8">
        <f>(AN195*AQ195)</f>
        <v>4842.18</v>
      </c>
      <c r="AU195">
        <f t="shared" si="27"/>
        <v>1098.69</v>
      </c>
      <c r="AV195">
        <f t="shared" si="28"/>
        <v>3743.49</v>
      </c>
    </row>
    <row r="196" spans="1:48" ht="24" customHeight="1">
      <c r="A196" s="218">
        <f t="shared" si="29"/>
        <v>94</v>
      </c>
      <c r="B196" s="1" t="s">
        <v>5074</v>
      </c>
      <c r="C196" s="419">
        <v>147.5</v>
      </c>
      <c r="D196" s="219" t="s">
        <v>677</v>
      </c>
      <c r="F196" s="8">
        <v>4.5</v>
      </c>
      <c r="G196" s="7" t="s">
        <v>885</v>
      </c>
      <c r="H196" s="1" t="s">
        <v>1656</v>
      </c>
      <c r="I196" s="8">
        <f>(K49)</f>
        <v>3469.22</v>
      </c>
      <c r="J196" s="1" t="s">
        <v>885</v>
      </c>
      <c r="K196" s="8">
        <f>(F196*I196)</f>
        <v>15611.49</v>
      </c>
      <c r="M196" s="8">
        <v>4.5</v>
      </c>
      <c r="N196" s="7" t="s">
        <v>885</v>
      </c>
      <c r="O196" s="1" t="s">
        <v>1377</v>
      </c>
      <c r="P196" s="8">
        <f>K32</f>
        <v>4628.8999999999996</v>
      </c>
      <c r="Q196" s="1" t="s">
        <v>885</v>
      </c>
      <c r="R196" s="8">
        <f>(M196*P196)</f>
        <v>20830.05</v>
      </c>
      <c r="S196" s="8">
        <v>4.5</v>
      </c>
      <c r="T196" s="7" t="s">
        <v>885</v>
      </c>
      <c r="U196" s="1" t="s">
        <v>1377</v>
      </c>
      <c r="V196" s="8">
        <f>P196</f>
        <v>4628.8999999999996</v>
      </c>
      <c r="W196" s="2" t="s">
        <v>885</v>
      </c>
      <c r="X196" s="8">
        <f>(S196*V196)</f>
        <v>20830.05</v>
      </c>
      <c r="AE196" s="63"/>
      <c r="AG196" s="1"/>
      <c r="AN196" s="8">
        <v>1</v>
      </c>
      <c r="AO196" s="7" t="s">
        <v>785</v>
      </c>
      <c r="AP196" s="1" t="s">
        <v>2045</v>
      </c>
      <c r="AQ196" s="8">
        <f>AQ180</f>
        <v>1041.7</v>
      </c>
      <c r="AR196" s="1" t="s">
        <v>884</v>
      </c>
      <c r="AS196" s="8">
        <f>(AN196*AQ196)</f>
        <v>1041.7</v>
      </c>
      <c r="AU196">
        <f t="shared" si="27"/>
        <v>236.36</v>
      </c>
      <c r="AV196">
        <f t="shared" si="28"/>
        <v>805.34</v>
      </c>
    </row>
    <row r="197" spans="1:48" ht="24" customHeight="1">
      <c r="A197" s="218">
        <f t="shared" si="29"/>
        <v>95</v>
      </c>
      <c r="B197" s="219" t="s">
        <v>853</v>
      </c>
      <c r="C197" s="536">
        <v>0.25</v>
      </c>
      <c r="D197" s="219" t="s">
        <v>884</v>
      </c>
      <c r="F197" s="8">
        <v>1.8</v>
      </c>
      <c r="G197" s="7" t="s">
        <v>884</v>
      </c>
      <c r="H197" s="1" t="s">
        <v>1744</v>
      </c>
      <c r="I197" s="8">
        <f>(C11)</f>
        <v>972.4</v>
      </c>
      <c r="J197" s="1" t="s">
        <v>884</v>
      </c>
      <c r="K197" s="8">
        <f>(F197*I197)</f>
        <v>1750.32</v>
      </c>
      <c r="M197" s="8">
        <v>1.8</v>
      </c>
      <c r="N197" s="7" t="s">
        <v>884</v>
      </c>
      <c r="O197" s="1" t="s">
        <v>1744</v>
      </c>
      <c r="P197" s="8">
        <f>I197</f>
        <v>972.4</v>
      </c>
      <c r="Q197" s="1" t="s">
        <v>884</v>
      </c>
      <c r="R197" s="8">
        <f>(M197*P197)</f>
        <v>1750.32</v>
      </c>
      <c r="S197" s="8">
        <v>1.8</v>
      </c>
      <c r="T197" s="7" t="s">
        <v>884</v>
      </c>
      <c r="U197" s="1" t="s">
        <v>1744</v>
      </c>
      <c r="V197" s="8">
        <f>P197</f>
        <v>972.4</v>
      </c>
      <c r="W197" s="2" t="s">
        <v>884</v>
      </c>
      <c r="X197" s="8">
        <f>(S197*V197)</f>
        <v>1750.32</v>
      </c>
      <c r="AE197" s="63"/>
      <c r="AG197" s="1"/>
      <c r="AO197" s="7" t="s">
        <v>455</v>
      </c>
      <c r="AP197" s="1" t="s">
        <v>456</v>
      </c>
      <c r="AQ197" s="1" t="s">
        <v>992</v>
      </c>
      <c r="AR197" s="1" t="s">
        <v>455</v>
      </c>
      <c r="AS197" s="8">
        <v>5</v>
      </c>
      <c r="AU197">
        <f t="shared" si="27"/>
        <v>1.1299999999999999</v>
      </c>
      <c r="AV197">
        <f t="shared" si="28"/>
        <v>3.87</v>
      </c>
    </row>
    <row r="198" spans="1:48" ht="24" customHeight="1">
      <c r="A198" s="218">
        <f t="shared" si="29"/>
        <v>96</v>
      </c>
      <c r="B198" s="1" t="s">
        <v>5663</v>
      </c>
      <c r="C198" s="419">
        <v>40.65</v>
      </c>
      <c r="D198" s="522" t="s">
        <v>621</v>
      </c>
      <c r="F198" s="8">
        <v>17.7</v>
      </c>
      <c r="G198" s="7" t="s">
        <v>884</v>
      </c>
      <c r="H198" s="1" t="s">
        <v>1937</v>
      </c>
      <c r="I198" s="8">
        <f>(C12)</f>
        <v>679.8</v>
      </c>
      <c r="J198" s="1" t="s">
        <v>884</v>
      </c>
      <c r="K198" s="8">
        <f>(F198*I198)</f>
        <v>12032.46</v>
      </c>
      <c r="M198" s="8">
        <v>17.7</v>
      </c>
      <c r="N198" s="7" t="s">
        <v>884</v>
      </c>
      <c r="O198" s="1" t="s">
        <v>1937</v>
      </c>
      <c r="P198" s="8">
        <f>I198</f>
        <v>679.8</v>
      </c>
      <c r="Q198" s="1" t="s">
        <v>884</v>
      </c>
      <c r="R198" s="8">
        <f>(M198*P198)</f>
        <v>12032.46</v>
      </c>
      <c r="S198" s="8">
        <v>17.7</v>
      </c>
      <c r="T198" s="7" t="s">
        <v>884</v>
      </c>
      <c r="U198" s="1" t="s">
        <v>1937</v>
      </c>
      <c r="V198" s="8">
        <f>P198</f>
        <v>679.8</v>
      </c>
      <c r="W198" s="2" t="s">
        <v>884</v>
      </c>
      <c r="X198" s="8">
        <f>(S198*V198)</f>
        <v>12032.46</v>
      </c>
      <c r="AE198" s="63"/>
      <c r="AG198" s="1"/>
      <c r="AO198" s="3"/>
      <c r="AR198" s="10"/>
      <c r="AS198" s="5" t="s">
        <v>1615</v>
      </c>
      <c r="AU198">
        <f t="shared" si="27"/>
        <v>0</v>
      </c>
      <c r="AV198">
        <f t="shared" si="28"/>
        <v>0</v>
      </c>
    </row>
    <row r="199" spans="1:48" ht="24" customHeight="1">
      <c r="A199" s="218">
        <f t="shared" si="29"/>
        <v>97</v>
      </c>
      <c r="B199" s="1" t="s">
        <v>5664</v>
      </c>
      <c r="C199" s="419">
        <v>379.9</v>
      </c>
      <c r="D199" s="419">
        <v>116.55</v>
      </c>
      <c r="E199" s="219" t="s">
        <v>621</v>
      </c>
      <c r="F199" s="8">
        <v>14.1</v>
      </c>
      <c r="G199" s="7" t="s">
        <v>884</v>
      </c>
      <c r="H199" s="1" t="s">
        <v>325</v>
      </c>
      <c r="I199" s="8">
        <f>(C13)</f>
        <v>557.70000000000005</v>
      </c>
      <c r="J199" s="1" t="s">
        <v>884</v>
      </c>
      <c r="K199" s="8">
        <f>(F199*I199)</f>
        <v>7863.57</v>
      </c>
      <c r="M199" s="8">
        <v>14.1</v>
      </c>
      <c r="N199" s="7" t="s">
        <v>884</v>
      </c>
      <c r="O199" s="1" t="s">
        <v>325</v>
      </c>
      <c r="P199" s="8">
        <f>I199</f>
        <v>557.70000000000005</v>
      </c>
      <c r="Q199" s="1" t="s">
        <v>884</v>
      </c>
      <c r="R199" s="8">
        <f>(M199*P199)</f>
        <v>7863.57</v>
      </c>
      <c r="S199" s="8">
        <v>14.1</v>
      </c>
      <c r="T199" s="7" t="s">
        <v>884</v>
      </c>
      <c r="U199" s="1" t="s">
        <v>325</v>
      </c>
      <c r="V199" s="8">
        <f>P199</f>
        <v>557.70000000000005</v>
      </c>
      <c r="W199" s="2" t="s">
        <v>884</v>
      </c>
      <c r="X199" s="8">
        <f>(S199*V199)</f>
        <v>7863.57</v>
      </c>
      <c r="AE199" s="63"/>
      <c r="AG199" s="1"/>
      <c r="AO199" s="3"/>
      <c r="AP199" s="1" t="s">
        <v>447</v>
      </c>
      <c r="AR199" s="10"/>
      <c r="AS199" s="38">
        <f>SUM(AS195:AS197)</f>
        <v>5888.88</v>
      </c>
      <c r="AU199">
        <f t="shared" si="27"/>
        <v>1336.19</v>
      </c>
      <c r="AV199">
        <f t="shared" si="28"/>
        <v>4552.6899999999996</v>
      </c>
    </row>
    <row r="200" spans="1:48" ht="24" customHeight="1">
      <c r="A200" s="218">
        <f t="shared" si="29"/>
        <v>98</v>
      </c>
      <c r="B200" s="1" t="s">
        <v>5665</v>
      </c>
      <c r="C200" s="419">
        <v>183.8</v>
      </c>
      <c r="D200" s="522" t="s">
        <v>785</v>
      </c>
      <c r="G200" s="7" t="s">
        <v>455</v>
      </c>
      <c r="H200" s="1" t="s">
        <v>456</v>
      </c>
      <c r="J200" s="1" t="s">
        <v>455</v>
      </c>
      <c r="K200" s="8">
        <v>0</v>
      </c>
      <c r="N200" s="7" t="s">
        <v>455</v>
      </c>
      <c r="O200" s="1" t="s">
        <v>456</v>
      </c>
      <c r="Q200" s="1" t="s">
        <v>455</v>
      </c>
      <c r="R200" s="8">
        <v>0</v>
      </c>
      <c r="S200"/>
      <c r="T200" s="7" t="s">
        <v>455</v>
      </c>
      <c r="U200" s="1" t="s">
        <v>456</v>
      </c>
      <c r="W200" s="2" t="s">
        <v>455</v>
      </c>
      <c r="X200" s="8">
        <v>0</v>
      </c>
      <c r="AE200" s="63"/>
      <c r="AG200" s="1"/>
      <c r="AO200" s="3"/>
      <c r="AR200" s="10"/>
      <c r="AS200" s="5" t="s">
        <v>1615</v>
      </c>
      <c r="AU200">
        <f t="shared" si="27"/>
        <v>0</v>
      </c>
      <c r="AV200">
        <f t="shared" si="28"/>
        <v>0</v>
      </c>
    </row>
    <row r="201" spans="1:48" ht="24" customHeight="1">
      <c r="A201" s="218">
        <f t="shared" si="29"/>
        <v>99</v>
      </c>
      <c r="B201" s="1" t="s">
        <v>5666</v>
      </c>
      <c r="C201" s="419">
        <v>1201</v>
      </c>
      <c r="D201" s="522" t="s">
        <v>785</v>
      </c>
      <c r="K201" s="5" t="s">
        <v>1615</v>
      </c>
      <c r="N201" s="3"/>
      <c r="Q201" s="10"/>
      <c r="R201" s="5" t="s">
        <v>1615</v>
      </c>
      <c r="S201"/>
      <c r="T201" s="3"/>
      <c r="W201" s="4"/>
      <c r="X201" s="5" t="s">
        <v>1615</v>
      </c>
      <c r="AE201" s="63"/>
      <c r="AG201" s="1"/>
      <c r="AO201" s="3"/>
      <c r="AP201" s="1" t="s">
        <v>562</v>
      </c>
      <c r="AR201" s="10"/>
      <c r="AS201" s="8">
        <f>(AS199/10)</f>
        <v>588.89</v>
      </c>
      <c r="AU201">
        <f t="shared" si="27"/>
        <v>133.62</v>
      </c>
      <c r="AV201">
        <f t="shared" si="28"/>
        <v>455.27</v>
      </c>
    </row>
    <row r="202" spans="1:48" ht="24" customHeight="1">
      <c r="A202" s="218">
        <f t="shared" si="29"/>
        <v>100</v>
      </c>
      <c r="B202" s="219" t="s">
        <v>1171</v>
      </c>
      <c r="C202" s="161">
        <v>47.2</v>
      </c>
      <c r="D202" s="219" t="s">
        <v>785</v>
      </c>
      <c r="K202" s="8">
        <f>SUM(K195:K200)</f>
        <v>48883.05</v>
      </c>
      <c r="N202" s="3"/>
      <c r="Q202" s="10"/>
      <c r="R202" s="8">
        <f>SUM(R195:R200)</f>
        <v>57818.61</v>
      </c>
      <c r="S202"/>
      <c r="T202" s="3"/>
      <c r="W202" s="4"/>
      <c r="X202" s="8">
        <f>SUM(X195:X200)</f>
        <v>54101.61</v>
      </c>
      <c r="AE202" s="63"/>
      <c r="AG202" s="1"/>
      <c r="AO202" s="3"/>
      <c r="AR202" s="10"/>
      <c r="AS202" s="5" t="s">
        <v>2091</v>
      </c>
      <c r="AU202">
        <f t="shared" si="27"/>
        <v>0</v>
      </c>
      <c r="AV202">
        <f t="shared" si="28"/>
        <v>0</v>
      </c>
    </row>
    <row r="203" spans="1:48" ht="24" customHeight="1">
      <c r="A203" s="218">
        <f t="shared" si="29"/>
        <v>101</v>
      </c>
      <c r="B203" s="1" t="s">
        <v>5667</v>
      </c>
      <c r="C203" s="419">
        <v>128</v>
      </c>
      <c r="D203" s="219" t="s">
        <v>785</v>
      </c>
      <c r="E203" s="431">
        <v>166.15</v>
      </c>
      <c r="H203" s="60" t="s">
        <v>626</v>
      </c>
      <c r="K203" s="5" t="s">
        <v>1615</v>
      </c>
      <c r="N203" s="3"/>
      <c r="O203" s="1" t="s">
        <v>626</v>
      </c>
      <c r="Q203" s="10"/>
      <c r="R203" s="5" t="s">
        <v>1615</v>
      </c>
      <c r="S203"/>
      <c r="T203" s="3"/>
      <c r="U203" s="1" t="s">
        <v>626</v>
      </c>
      <c r="W203" s="4"/>
      <c r="X203" s="5" t="s">
        <v>1615</v>
      </c>
      <c r="AE203" s="63"/>
      <c r="AG203" s="1"/>
      <c r="AO203" s="3"/>
      <c r="AP203" s="1" t="s">
        <v>391</v>
      </c>
      <c r="AR203" s="10">
        <f>AR187</f>
        <v>5.76</v>
      </c>
      <c r="AS203" s="38">
        <f>(AS201+C35/10*AN195)</f>
        <v>614.54999999999995</v>
      </c>
      <c r="AU203">
        <f t="shared" si="27"/>
        <v>139.44</v>
      </c>
      <c r="AV203">
        <f t="shared" si="28"/>
        <v>475.11</v>
      </c>
    </row>
    <row r="204" spans="1:48" ht="24" customHeight="1">
      <c r="A204" s="218">
        <f t="shared" si="29"/>
        <v>102</v>
      </c>
      <c r="B204" s="1" t="s">
        <v>5668</v>
      </c>
      <c r="C204" s="419">
        <v>63.4</v>
      </c>
      <c r="D204" s="219" t="s">
        <v>785</v>
      </c>
      <c r="K204" s="38">
        <f>(K202/10)</f>
        <v>4888.3100000000004</v>
      </c>
      <c r="N204" s="3"/>
      <c r="Q204" s="10"/>
      <c r="R204" s="8">
        <f>(R202/10)</f>
        <v>5781.86</v>
      </c>
      <c r="S204"/>
      <c r="T204" s="3"/>
      <c r="W204" s="4"/>
      <c r="X204" s="8">
        <f>(X202/10)</f>
        <v>5410.16</v>
      </c>
      <c r="AE204" s="63"/>
      <c r="AO204" s="3"/>
      <c r="AP204" s="1" t="s">
        <v>393</v>
      </c>
      <c r="AR204" s="10">
        <f t="shared" ref="AR204:AR207" si="30">AR188</f>
        <v>11.62</v>
      </c>
      <c r="AS204" s="38">
        <f>(AS203+C36/10*AN195)</f>
        <v>615.34</v>
      </c>
      <c r="AU204">
        <f t="shared" si="27"/>
        <v>139.62</v>
      </c>
      <c r="AV204">
        <f t="shared" si="28"/>
        <v>475.72</v>
      </c>
    </row>
    <row r="205" spans="1:48" ht="24" customHeight="1">
      <c r="A205" s="218">
        <f t="shared" si="29"/>
        <v>103</v>
      </c>
      <c r="B205" s="522" t="s">
        <v>633</v>
      </c>
      <c r="C205" s="419">
        <v>102</v>
      </c>
      <c r="D205" s="219" t="s">
        <v>785</v>
      </c>
      <c r="H205" s="58" t="s">
        <v>789</v>
      </c>
      <c r="K205" s="5" t="s">
        <v>2091</v>
      </c>
      <c r="N205" s="3"/>
      <c r="O205" s="1" t="s">
        <v>789</v>
      </c>
      <c r="Q205" s="10"/>
      <c r="R205" s="5" t="s">
        <v>2091</v>
      </c>
      <c r="S205"/>
      <c r="T205" s="3"/>
      <c r="U205" s="1" t="s">
        <v>789</v>
      </c>
      <c r="W205" s="4"/>
      <c r="X205" s="5" t="s">
        <v>2091</v>
      </c>
      <c r="AE205" s="63"/>
      <c r="AO205" s="3"/>
      <c r="AP205" s="1" t="s">
        <v>2271</v>
      </c>
      <c r="AR205" s="10">
        <f t="shared" si="30"/>
        <v>11.62</v>
      </c>
      <c r="AS205" s="38">
        <f>(AS204+C37/10*AN195)</f>
        <v>619.38</v>
      </c>
      <c r="AU205">
        <f t="shared" si="27"/>
        <v>140.54</v>
      </c>
      <c r="AV205">
        <f t="shared" si="28"/>
        <v>478.84</v>
      </c>
    </row>
    <row r="206" spans="1:48" ht="24" customHeight="1">
      <c r="A206" s="218">
        <f t="shared" si="29"/>
        <v>104</v>
      </c>
      <c r="B206" s="1" t="s">
        <v>5669</v>
      </c>
      <c r="C206" s="419">
        <v>101.6</v>
      </c>
      <c r="D206" s="219" t="s">
        <v>785</v>
      </c>
      <c r="E206" s="431">
        <v>140.65</v>
      </c>
      <c r="W206" s="4"/>
      <c r="AE206" s="63"/>
      <c r="AG206" s="1"/>
      <c r="AO206" s="3"/>
      <c r="AP206" s="1" t="s">
        <v>385</v>
      </c>
      <c r="AR206" s="10">
        <f t="shared" si="30"/>
        <v>11.62</v>
      </c>
      <c r="AS206" s="38">
        <f>(AS205+C37/10*AN195)</f>
        <v>623.41999999999996</v>
      </c>
      <c r="AU206">
        <f t="shared" si="27"/>
        <v>141.44999999999999</v>
      </c>
      <c r="AV206">
        <f t="shared" si="28"/>
        <v>481.97</v>
      </c>
    </row>
    <row r="207" spans="1:48" ht="24" customHeight="1">
      <c r="A207" s="218">
        <f t="shared" si="29"/>
        <v>105</v>
      </c>
      <c r="B207" s="1" t="s">
        <v>5075</v>
      </c>
      <c r="C207" s="419">
        <v>227.6</v>
      </c>
      <c r="D207" s="219" t="s">
        <v>699</v>
      </c>
      <c r="F207" s="2" t="s">
        <v>700</v>
      </c>
      <c r="G207" s="7" t="s">
        <v>2290</v>
      </c>
      <c r="H207" s="1" t="s">
        <v>1006</v>
      </c>
      <c r="W207" s="4"/>
      <c r="AE207" s="63"/>
      <c r="AO207" s="3"/>
      <c r="AP207" s="1" t="s">
        <v>849</v>
      </c>
      <c r="AR207" s="10">
        <f t="shared" si="30"/>
        <v>11.62</v>
      </c>
      <c r="AS207" s="38">
        <f>(AS206+C37/10*AN195)</f>
        <v>627.46</v>
      </c>
      <c r="AU207">
        <f t="shared" si="27"/>
        <v>142.37</v>
      </c>
      <c r="AV207">
        <f t="shared" si="28"/>
        <v>485.09</v>
      </c>
    </row>
    <row r="208" spans="1:48" ht="24" customHeight="1">
      <c r="A208" s="218">
        <f t="shared" si="29"/>
        <v>106</v>
      </c>
      <c r="B208" s="1" t="s">
        <v>5670</v>
      </c>
      <c r="C208" s="419">
        <v>166.15</v>
      </c>
      <c r="D208" s="219" t="s">
        <v>785</v>
      </c>
      <c r="H208" s="1" t="s">
        <v>1513</v>
      </c>
      <c r="N208" s="1" t="s">
        <v>702</v>
      </c>
      <c r="O208" s="1" t="s">
        <v>703</v>
      </c>
      <c r="W208" s="4"/>
      <c r="AE208" s="63"/>
      <c r="AU208">
        <f t="shared" si="27"/>
        <v>0</v>
      </c>
      <c r="AV208">
        <f t="shared" si="28"/>
        <v>0</v>
      </c>
    </row>
    <row r="209" spans="1:48" ht="24" customHeight="1">
      <c r="A209" s="221"/>
      <c r="B209" s="221"/>
      <c r="C209" s="221"/>
      <c r="D209" s="221"/>
      <c r="H209" s="5" t="s">
        <v>1615</v>
      </c>
      <c r="O209" s="5" t="s">
        <v>1615</v>
      </c>
      <c r="W209" s="4"/>
      <c r="AE209" s="63"/>
      <c r="AU209">
        <f t="shared" si="27"/>
        <v>0</v>
      </c>
      <c r="AV209">
        <f t="shared" si="28"/>
        <v>0</v>
      </c>
    </row>
    <row r="210" spans="1:48" ht="24" customHeight="1">
      <c r="A210" s="221"/>
      <c r="B210" s="221"/>
      <c r="C210" s="221"/>
      <c r="D210" s="221"/>
      <c r="F210" s="8">
        <v>9</v>
      </c>
      <c r="G210" s="7" t="s">
        <v>885</v>
      </c>
      <c r="H210" s="1" t="s">
        <v>704</v>
      </c>
      <c r="I210" s="8">
        <f>C73</f>
        <v>1704.69</v>
      </c>
      <c r="J210" s="1" t="s">
        <v>885</v>
      </c>
      <c r="K210" s="8">
        <f>(F210*I210)</f>
        <v>15342.21</v>
      </c>
      <c r="M210" s="14">
        <v>1.153E-2</v>
      </c>
      <c r="N210" s="1" t="s">
        <v>885</v>
      </c>
      <c r="O210" s="1" t="s">
        <v>705</v>
      </c>
      <c r="P210" s="8">
        <f>C88</f>
        <v>111600</v>
      </c>
      <c r="Q210" s="1" t="s">
        <v>885</v>
      </c>
      <c r="R210" s="8">
        <f t="shared" ref="R210:R219" si="31">(M210*P210)</f>
        <v>1286.75</v>
      </c>
      <c r="W210" s="4"/>
      <c r="AE210" s="63"/>
      <c r="AU210">
        <f t="shared" si="27"/>
        <v>0</v>
      </c>
      <c r="AV210">
        <f t="shared" si="28"/>
        <v>0</v>
      </c>
    </row>
    <row r="211" spans="1:48" ht="24" customHeight="1">
      <c r="A211" s="221"/>
      <c r="B211" s="221"/>
      <c r="C211" s="221"/>
      <c r="D211" s="221"/>
      <c r="F211" s="8">
        <v>4.5</v>
      </c>
      <c r="G211" s="7" t="s">
        <v>885</v>
      </c>
      <c r="H211" s="1" t="s">
        <v>121</v>
      </c>
      <c r="I211" s="8">
        <f>K23</f>
        <v>6078.5</v>
      </c>
      <c r="J211" s="1" t="s">
        <v>885</v>
      </c>
      <c r="K211" s="8">
        <f>(F211*I211)</f>
        <v>27353.25</v>
      </c>
      <c r="M211" s="14">
        <v>1.013E-2</v>
      </c>
      <c r="N211" s="1" t="s">
        <v>885</v>
      </c>
      <c r="O211" s="1" t="s">
        <v>706</v>
      </c>
      <c r="P211" s="8">
        <f>C89</f>
        <v>99400</v>
      </c>
      <c r="Q211" s="1" t="s">
        <v>885</v>
      </c>
      <c r="R211" s="8">
        <f t="shared" si="31"/>
        <v>1006.92</v>
      </c>
      <c r="W211" s="4"/>
      <c r="AE211" s="63"/>
      <c r="AU211">
        <f t="shared" si="27"/>
        <v>0</v>
      </c>
      <c r="AV211">
        <f t="shared" si="28"/>
        <v>0</v>
      </c>
    </row>
    <row r="212" spans="1:48" ht="24" customHeight="1">
      <c r="A212" s="221"/>
      <c r="B212" s="221"/>
      <c r="C212" s="221"/>
      <c r="D212" s="221"/>
      <c r="F212" s="8">
        <v>1.8</v>
      </c>
      <c r="G212" s="7" t="s">
        <v>884</v>
      </c>
      <c r="H212" s="1" t="s">
        <v>1744</v>
      </c>
      <c r="I212" s="8">
        <f>C11</f>
        <v>972.4</v>
      </c>
      <c r="J212" s="1" t="s">
        <v>884</v>
      </c>
      <c r="K212" s="8">
        <f>(F212*I212)</f>
        <v>1750.32</v>
      </c>
      <c r="M212" s="14">
        <v>0.77780000000000005</v>
      </c>
      <c r="N212" s="1" t="s">
        <v>621</v>
      </c>
      <c r="O212" s="1" t="s">
        <v>2128</v>
      </c>
      <c r="P212" s="8">
        <f>C783</f>
        <v>387.4</v>
      </c>
      <c r="Q212" s="1" t="s">
        <v>621</v>
      </c>
      <c r="R212" s="8">
        <f t="shared" si="31"/>
        <v>301.32</v>
      </c>
      <c r="W212" s="4"/>
      <c r="AE212" s="63"/>
      <c r="AU212">
        <f t="shared" si="27"/>
        <v>0</v>
      </c>
      <c r="AV212">
        <f t="shared" si="28"/>
        <v>0</v>
      </c>
    </row>
    <row r="213" spans="1:48" ht="24" customHeight="1">
      <c r="A213" s="221"/>
      <c r="B213" s="221"/>
      <c r="C213" s="221"/>
      <c r="D213" s="221"/>
      <c r="F213" s="8">
        <v>17.7</v>
      </c>
      <c r="G213" s="7" t="s">
        <v>884</v>
      </c>
      <c r="H213" s="1" t="s">
        <v>1937</v>
      </c>
      <c r="I213" s="8">
        <f>C12</f>
        <v>679.8</v>
      </c>
      <c r="J213" s="1" t="s">
        <v>884</v>
      </c>
      <c r="K213" s="8">
        <f>(F213*I213)</f>
        <v>12032.46</v>
      </c>
      <c r="M213" s="14">
        <v>1.23</v>
      </c>
      <c r="N213" s="1" t="s">
        <v>621</v>
      </c>
      <c r="O213" s="1" t="s">
        <v>2129</v>
      </c>
      <c r="P213" s="8">
        <f>D30</f>
        <v>1336.5</v>
      </c>
      <c r="Q213" s="1" t="s">
        <v>621</v>
      </c>
      <c r="R213" s="8">
        <f t="shared" si="31"/>
        <v>1643.9</v>
      </c>
      <c r="W213" s="4"/>
      <c r="AE213" s="63"/>
      <c r="AU213">
        <f t="shared" si="27"/>
        <v>0</v>
      </c>
      <c r="AV213">
        <f t="shared" si="28"/>
        <v>0</v>
      </c>
    </row>
    <row r="214" spans="1:48" ht="24" customHeight="1">
      <c r="A214" s="221"/>
      <c r="B214" s="221"/>
      <c r="C214" s="221"/>
      <c r="D214" s="221"/>
      <c r="F214" s="8">
        <v>14.1</v>
      </c>
      <c r="G214" s="7" t="s">
        <v>884</v>
      </c>
      <c r="H214" s="1" t="s">
        <v>325</v>
      </c>
      <c r="I214" s="8">
        <f>C13</f>
        <v>557.70000000000005</v>
      </c>
      <c r="J214" s="1" t="s">
        <v>884</v>
      </c>
      <c r="K214" s="8">
        <f>(F214*I214)</f>
        <v>7863.57</v>
      </c>
      <c r="M214" s="8">
        <v>2</v>
      </c>
      <c r="N214" s="1" t="s">
        <v>884</v>
      </c>
      <c r="O214" s="1" t="s">
        <v>2130</v>
      </c>
      <c r="P214" s="8">
        <f>C284</f>
        <v>64.8</v>
      </c>
      <c r="Q214" s="1" t="s">
        <v>884</v>
      </c>
      <c r="R214" s="8">
        <f t="shared" si="31"/>
        <v>129.6</v>
      </c>
      <c r="W214" s="4"/>
      <c r="AE214" s="63"/>
      <c r="AU214">
        <f t="shared" si="27"/>
        <v>0</v>
      </c>
      <c r="AV214">
        <f t="shared" si="28"/>
        <v>0</v>
      </c>
    </row>
    <row r="215" spans="1:48" ht="24" customHeight="1">
      <c r="A215" s="221"/>
      <c r="B215" s="221"/>
      <c r="C215" s="221"/>
      <c r="D215" s="221"/>
      <c r="G215" s="7" t="s">
        <v>455</v>
      </c>
      <c r="H215" s="1" t="s">
        <v>456</v>
      </c>
      <c r="J215" s="1" t="s">
        <v>455</v>
      </c>
      <c r="K215" s="8">
        <v>0</v>
      </c>
      <c r="M215" s="8">
        <v>3</v>
      </c>
      <c r="N215" s="1" t="s">
        <v>884</v>
      </c>
      <c r="O215" s="1" t="s">
        <v>2131</v>
      </c>
      <c r="P215" s="8">
        <f>C279</f>
        <v>89.6</v>
      </c>
      <c r="Q215" s="1" t="s">
        <v>884</v>
      </c>
      <c r="R215" s="8">
        <f t="shared" si="31"/>
        <v>268.8</v>
      </c>
      <c r="W215" s="4"/>
      <c r="AE215" s="63"/>
      <c r="AU215">
        <f t="shared" si="27"/>
        <v>0</v>
      </c>
      <c r="AV215">
        <f t="shared" si="28"/>
        <v>0</v>
      </c>
    </row>
    <row r="216" spans="1:48" ht="24" customHeight="1">
      <c r="A216" s="221"/>
      <c r="B216" s="221"/>
      <c r="C216" s="221"/>
      <c r="D216" s="221"/>
      <c r="K216" s="5" t="s">
        <v>1615</v>
      </c>
      <c r="M216" s="8">
        <v>1</v>
      </c>
      <c r="N216" s="1" t="s">
        <v>884</v>
      </c>
      <c r="O216" s="1" t="s">
        <v>2015</v>
      </c>
      <c r="P216" s="8">
        <f>C286</f>
        <v>181</v>
      </c>
      <c r="Q216" s="1" t="s">
        <v>884</v>
      </c>
      <c r="R216" s="8">
        <f t="shared" si="31"/>
        <v>181</v>
      </c>
      <c r="T216">
        <v>0</v>
      </c>
      <c r="W216" s="4"/>
      <c r="AE216" s="63"/>
      <c r="AU216">
        <f t="shared" si="27"/>
        <v>0</v>
      </c>
      <c r="AV216">
        <f t="shared" si="28"/>
        <v>0</v>
      </c>
    </row>
    <row r="217" spans="1:48" ht="24" customHeight="1">
      <c r="A217" s="221"/>
      <c r="B217" s="221"/>
      <c r="C217" s="221"/>
      <c r="D217" s="221"/>
      <c r="K217" s="8">
        <f>SUM(K210:K215)</f>
        <v>64341.81</v>
      </c>
      <c r="M217" s="8">
        <v>1</v>
      </c>
      <c r="N217" s="1" t="s">
        <v>884</v>
      </c>
      <c r="O217" s="1" t="s">
        <v>2016</v>
      </c>
      <c r="P217" s="8">
        <f>C288</f>
        <v>7.3</v>
      </c>
      <c r="Q217" s="1" t="s">
        <v>884</v>
      </c>
      <c r="R217" s="8">
        <f t="shared" si="31"/>
        <v>7.3</v>
      </c>
      <c r="W217" s="4"/>
      <c r="AE217" s="63"/>
      <c r="AU217">
        <f t="shared" si="27"/>
        <v>0</v>
      </c>
      <c r="AV217">
        <f t="shared" si="28"/>
        <v>0</v>
      </c>
    </row>
    <row r="218" spans="1:48" ht="24" customHeight="1">
      <c r="A218" s="221"/>
      <c r="B218" s="221"/>
      <c r="C218" s="221"/>
      <c r="D218" s="221"/>
      <c r="H218" s="1" t="s">
        <v>626</v>
      </c>
      <c r="K218" s="5" t="s">
        <v>1615</v>
      </c>
      <c r="M218" s="8">
        <v>1</v>
      </c>
      <c r="N218" s="1" t="s">
        <v>884</v>
      </c>
      <c r="O218" s="1" t="s">
        <v>3607</v>
      </c>
      <c r="P218" s="8">
        <f>C598</f>
        <v>57.65</v>
      </c>
      <c r="Q218" s="1" t="s">
        <v>884</v>
      </c>
      <c r="R218" s="8">
        <f t="shared" si="31"/>
        <v>57.65</v>
      </c>
      <c r="W218" s="4"/>
      <c r="AE218" s="63"/>
    </row>
    <row r="219" spans="1:48" ht="24" customHeight="1">
      <c r="A219" s="221"/>
      <c r="B219" s="221"/>
      <c r="C219" s="221"/>
      <c r="D219" s="221"/>
      <c r="K219" s="38">
        <f>(K217/10)</f>
        <v>6434.18</v>
      </c>
      <c r="M219" s="8">
        <v>1</v>
      </c>
      <c r="N219" s="1" t="s">
        <v>884</v>
      </c>
      <c r="O219" s="1" t="s">
        <v>2018</v>
      </c>
      <c r="P219" s="8">
        <f>D598</f>
        <v>49.55</v>
      </c>
      <c r="Q219" s="1" t="s">
        <v>884</v>
      </c>
      <c r="R219" s="8">
        <f t="shared" si="31"/>
        <v>49.55</v>
      </c>
      <c r="W219" s="4"/>
      <c r="AE219" s="63"/>
    </row>
    <row r="220" spans="1:48" ht="24" customHeight="1">
      <c r="A220" s="221"/>
      <c r="B220" s="221"/>
      <c r="C220" s="221"/>
      <c r="D220" s="221"/>
      <c r="H220" s="58" t="s">
        <v>789</v>
      </c>
      <c r="K220" s="5" t="s">
        <v>2091</v>
      </c>
      <c r="R220" s="5" t="s">
        <v>1615</v>
      </c>
      <c r="W220" s="4"/>
      <c r="AE220" s="63"/>
    </row>
    <row r="221" spans="1:48" ht="24" customHeight="1">
      <c r="A221" s="221"/>
      <c r="B221" s="221"/>
      <c r="C221" s="221"/>
      <c r="D221" s="221"/>
      <c r="O221" s="2" t="s">
        <v>2019</v>
      </c>
      <c r="R221" s="8">
        <f>SUM(R210:R219)</f>
        <v>4932.79</v>
      </c>
      <c r="W221" s="4"/>
      <c r="AE221" s="63"/>
    </row>
    <row r="222" spans="1:48" ht="24" customHeight="1">
      <c r="A222" s="221"/>
      <c r="B222" s="221"/>
      <c r="C222" s="221"/>
      <c r="D222" s="221"/>
      <c r="F222" s="2" t="s">
        <v>2108</v>
      </c>
      <c r="G222" s="7" t="s">
        <v>2290</v>
      </c>
      <c r="H222" s="1" t="s">
        <v>1007</v>
      </c>
      <c r="N222" s="1" t="s">
        <v>992</v>
      </c>
      <c r="R222" s="5" t="s">
        <v>1615</v>
      </c>
      <c r="W222" s="4"/>
      <c r="AE222" s="63"/>
    </row>
    <row r="223" spans="1:48" ht="24" customHeight="1">
      <c r="A223" s="221"/>
      <c r="B223" s="221"/>
      <c r="C223" s="221"/>
      <c r="D223" s="221"/>
      <c r="H223" s="1" t="s">
        <v>2109</v>
      </c>
      <c r="M223" s="1" t="s">
        <v>992</v>
      </c>
      <c r="W223" s="4"/>
      <c r="AE223" s="63"/>
    </row>
    <row r="224" spans="1:48" ht="24" customHeight="1">
      <c r="A224" s="221"/>
      <c r="B224" s="221"/>
      <c r="C224" s="221"/>
      <c r="D224" s="221"/>
      <c r="H224" s="5" t="s">
        <v>1615</v>
      </c>
      <c r="O224" s="2" t="s">
        <v>562</v>
      </c>
      <c r="R224" s="8">
        <f>R221/M213</f>
        <v>4010.4</v>
      </c>
      <c r="W224" s="4"/>
      <c r="AE224" s="63"/>
    </row>
    <row r="225" spans="1:31" ht="24" customHeight="1">
      <c r="A225" s="221"/>
      <c r="B225" s="221"/>
      <c r="C225" s="221"/>
      <c r="D225" s="221"/>
      <c r="F225" s="8">
        <v>9</v>
      </c>
      <c r="G225" s="7" t="s">
        <v>885</v>
      </c>
      <c r="H225" s="1" t="s">
        <v>1844</v>
      </c>
      <c r="I225" s="8">
        <f>AC20</f>
        <v>943.5</v>
      </c>
      <c r="J225" s="1" t="s">
        <v>885</v>
      </c>
      <c r="K225" s="8">
        <f>(F225*I225)</f>
        <v>8491.5</v>
      </c>
      <c r="M225" s="1" t="s">
        <v>326</v>
      </c>
      <c r="W225" s="4"/>
      <c r="AE225" s="63"/>
    </row>
    <row r="226" spans="1:31" ht="24" customHeight="1">
      <c r="A226" s="221"/>
      <c r="B226" s="221"/>
      <c r="C226" s="221"/>
      <c r="D226" s="221"/>
      <c r="F226" s="8">
        <v>4.5</v>
      </c>
      <c r="G226" s="7" t="s">
        <v>885</v>
      </c>
      <c r="H226" s="1" t="s">
        <v>1663</v>
      </c>
      <c r="I226" s="8">
        <f>K77</f>
        <v>2816.9</v>
      </c>
      <c r="J226" s="1" t="s">
        <v>885</v>
      </c>
      <c r="K226" s="8">
        <f>(F226*I226)</f>
        <v>12676.05</v>
      </c>
      <c r="W226" s="4"/>
      <c r="AE226" s="63"/>
    </row>
    <row r="227" spans="1:31" ht="24" customHeight="1">
      <c r="A227" s="221"/>
      <c r="B227" s="221"/>
      <c r="C227" s="221"/>
      <c r="D227" s="221"/>
      <c r="F227" s="8">
        <v>1.8</v>
      </c>
      <c r="G227" s="7" t="s">
        <v>884</v>
      </c>
      <c r="H227" s="1" t="s">
        <v>1744</v>
      </c>
      <c r="I227" s="8">
        <f>C11</f>
        <v>972.4</v>
      </c>
      <c r="J227" s="1" t="s">
        <v>884</v>
      </c>
      <c r="K227" s="8">
        <f>(F227*I227)</f>
        <v>1750.32</v>
      </c>
      <c r="W227" s="4"/>
      <c r="AE227" s="63"/>
    </row>
    <row r="228" spans="1:31" ht="24" customHeight="1">
      <c r="A228" s="221"/>
      <c r="B228" s="221"/>
      <c r="C228" s="221"/>
      <c r="D228" s="221"/>
      <c r="F228" s="8">
        <v>17.7</v>
      </c>
      <c r="G228" s="7" t="s">
        <v>884</v>
      </c>
      <c r="H228" s="1" t="s">
        <v>1937</v>
      </c>
      <c r="I228" s="8">
        <f>C12</f>
        <v>679.8</v>
      </c>
      <c r="J228" s="1" t="s">
        <v>884</v>
      </c>
      <c r="K228" s="8">
        <f>(F228*I228)</f>
        <v>12032.46</v>
      </c>
      <c r="M228" s="2" t="s">
        <v>2108</v>
      </c>
      <c r="N228" s="7" t="s">
        <v>2290</v>
      </c>
      <c r="O228" s="1" t="s">
        <v>553</v>
      </c>
      <c r="Q228" s="10"/>
      <c r="W228" s="4"/>
      <c r="AE228" s="63"/>
    </row>
    <row r="229" spans="1:31" ht="24" customHeight="1">
      <c r="A229" s="221"/>
      <c r="B229" s="221"/>
      <c r="C229" s="221"/>
      <c r="D229" s="221"/>
      <c r="F229" s="8">
        <v>14.1</v>
      </c>
      <c r="G229" s="7" t="s">
        <v>884</v>
      </c>
      <c r="H229" s="1" t="s">
        <v>325</v>
      </c>
      <c r="I229" s="8">
        <f>C13</f>
        <v>557.70000000000005</v>
      </c>
      <c r="J229" s="1" t="s">
        <v>884</v>
      </c>
      <c r="K229" s="8">
        <f>(F229*I229)</f>
        <v>7863.57</v>
      </c>
      <c r="N229" s="3"/>
      <c r="O229" s="1" t="s">
        <v>3994</v>
      </c>
      <c r="Q229" s="10"/>
      <c r="W229" s="4"/>
      <c r="AE229" s="63"/>
    </row>
    <row r="230" spans="1:31" ht="24" customHeight="1">
      <c r="A230" s="221"/>
      <c r="B230" s="221"/>
      <c r="C230" s="221"/>
      <c r="D230" s="221"/>
      <c r="G230" s="7" t="s">
        <v>455</v>
      </c>
      <c r="H230" s="1" t="s">
        <v>456</v>
      </c>
      <c r="J230" s="1" t="s">
        <v>455</v>
      </c>
      <c r="K230" s="8">
        <v>0</v>
      </c>
      <c r="N230" s="3"/>
      <c r="O230" s="5" t="s">
        <v>1615</v>
      </c>
      <c r="Q230" s="10"/>
      <c r="W230" s="4"/>
      <c r="AE230" s="63"/>
    </row>
    <row r="231" spans="1:31" ht="24" customHeight="1">
      <c r="A231" s="221"/>
      <c r="B231" s="221"/>
      <c r="C231" s="221"/>
      <c r="D231" s="221"/>
      <c r="K231" s="5" t="s">
        <v>1615</v>
      </c>
      <c r="M231" s="8">
        <v>9</v>
      </c>
      <c r="N231" s="7" t="s">
        <v>885</v>
      </c>
      <c r="O231" s="1" t="s">
        <v>2313</v>
      </c>
      <c r="P231" s="8">
        <f>AC15</f>
        <v>1291.69</v>
      </c>
      <c r="Q231" s="1" t="s">
        <v>885</v>
      </c>
      <c r="R231" s="8">
        <f>(M231*P231)</f>
        <v>11625.21</v>
      </c>
      <c r="W231" s="4"/>
      <c r="AE231" s="63"/>
    </row>
    <row r="232" spans="1:31" ht="24" customHeight="1">
      <c r="A232" s="221"/>
      <c r="B232" s="221"/>
      <c r="C232" s="221"/>
      <c r="D232" s="221"/>
      <c r="K232" s="8">
        <f>SUM(K225:K230)</f>
        <v>42813.9</v>
      </c>
      <c r="M232" s="8">
        <v>4.5</v>
      </c>
      <c r="N232" s="7" t="s">
        <v>885</v>
      </c>
      <c r="O232" s="1" t="s">
        <v>1331</v>
      </c>
      <c r="P232" s="8">
        <f>K40</f>
        <v>3904.1</v>
      </c>
      <c r="Q232" s="1" t="s">
        <v>885</v>
      </c>
      <c r="R232" s="8">
        <f>(M232*P232)</f>
        <v>17568.45</v>
      </c>
      <c r="W232" s="4"/>
      <c r="AE232" s="63"/>
    </row>
    <row r="233" spans="1:31" ht="24" customHeight="1">
      <c r="A233" s="221"/>
      <c r="B233" s="221"/>
      <c r="C233" s="221"/>
      <c r="D233" s="221"/>
      <c r="H233" s="1" t="s">
        <v>626</v>
      </c>
      <c r="K233" s="5" t="s">
        <v>1615</v>
      </c>
      <c r="M233" s="8">
        <v>1.8</v>
      </c>
      <c r="N233" s="7" t="s">
        <v>884</v>
      </c>
      <c r="O233" s="1" t="s">
        <v>1744</v>
      </c>
      <c r="P233" s="8">
        <f>I227</f>
        <v>972.4</v>
      </c>
      <c r="Q233" s="1" t="s">
        <v>884</v>
      </c>
      <c r="R233" s="8">
        <f>(M233*P233)</f>
        <v>1750.32</v>
      </c>
      <c r="W233" s="4"/>
      <c r="AE233" s="63"/>
    </row>
    <row r="234" spans="1:31" ht="24" customHeight="1">
      <c r="A234" s="221"/>
      <c r="B234" s="221"/>
      <c r="C234" s="221"/>
      <c r="D234" s="221"/>
      <c r="K234" s="38">
        <f>(K232/10)</f>
        <v>4281.3900000000003</v>
      </c>
      <c r="M234" s="8">
        <v>17.7</v>
      </c>
      <c r="N234" s="7" t="s">
        <v>884</v>
      </c>
      <c r="O234" s="1" t="s">
        <v>1937</v>
      </c>
      <c r="P234" s="8">
        <f>I228</f>
        <v>679.8</v>
      </c>
      <c r="Q234" s="1" t="s">
        <v>884</v>
      </c>
      <c r="R234" s="8">
        <f>(M234*P234)</f>
        <v>12032.46</v>
      </c>
      <c r="W234" s="4"/>
      <c r="AE234" s="63"/>
    </row>
    <row r="235" spans="1:31" ht="24" customHeight="1">
      <c r="A235" s="221"/>
      <c r="B235" s="221"/>
      <c r="C235" s="221"/>
      <c r="D235" s="221"/>
      <c r="H235" s="58" t="s">
        <v>789</v>
      </c>
      <c r="K235" s="5" t="s">
        <v>2091</v>
      </c>
      <c r="M235" s="8">
        <v>14.1</v>
      </c>
      <c r="N235" s="7" t="s">
        <v>884</v>
      </c>
      <c r="O235" s="1" t="s">
        <v>325</v>
      </c>
      <c r="P235" s="8">
        <f>I229</f>
        <v>557.70000000000005</v>
      </c>
      <c r="Q235" s="1" t="s">
        <v>884</v>
      </c>
      <c r="R235" s="8">
        <f>(M235*P235)</f>
        <v>7863.57</v>
      </c>
      <c r="W235" s="4"/>
      <c r="AE235" s="63"/>
    </row>
    <row r="236" spans="1:31" ht="24" customHeight="1">
      <c r="A236" s="221"/>
      <c r="B236" s="221"/>
      <c r="C236" s="221"/>
      <c r="D236" s="221"/>
      <c r="N236" s="7" t="s">
        <v>455</v>
      </c>
      <c r="O236" s="1" t="s">
        <v>456</v>
      </c>
      <c r="Q236" s="1" t="s">
        <v>455</v>
      </c>
      <c r="R236" s="8">
        <v>0</v>
      </c>
      <c r="W236" s="4"/>
      <c r="AE236" s="63"/>
    </row>
    <row r="237" spans="1:31" ht="24" customHeight="1">
      <c r="A237" s="221"/>
      <c r="B237" s="221"/>
      <c r="C237" s="221"/>
      <c r="D237" s="221"/>
      <c r="N237" s="3"/>
      <c r="Q237" s="10"/>
      <c r="R237" s="5" t="s">
        <v>1615</v>
      </c>
      <c r="W237" s="4"/>
      <c r="AE237" s="63"/>
    </row>
    <row r="238" spans="1:31" ht="24" customHeight="1">
      <c r="A238" s="221"/>
      <c r="B238" s="221"/>
      <c r="C238" s="221"/>
      <c r="D238" s="221"/>
      <c r="F238" s="24">
        <v>3.6</v>
      </c>
      <c r="H238" s="1" t="s">
        <v>4</v>
      </c>
      <c r="N238" s="3"/>
      <c r="Q238" s="10"/>
      <c r="R238" s="8">
        <f>SUM(R231:R236)</f>
        <v>50840.01</v>
      </c>
      <c r="W238" s="4"/>
      <c r="AE238" s="63"/>
    </row>
    <row r="239" spans="1:31" ht="24" customHeight="1">
      <c r="A239" s="221"/>
      <c r="B239" s="221"/>
      <c r="C239" s="221"/>
      <c r="D239" s="221"/>
      <c r="H239" s="1" t="s">
        <v>653</v>
      </c>
      <c r="N239" s="3"/>
      <c r="O239" s="1" t="s">
        <v>626</v>
      </c>
      <c r="Q239" s="10"/>
      <c r="R239" s="5" t="s">
        <v>1615</v>
      </c>
      <c r="W239" s="4"/>
      <c r="AE239" s="63"/>
    </row>
    <row r="240" spans="1:31" ht="24" customHeight="1">
      <c r="A240" s="221"/>
      <c r="B240" s="221"/>
      <c r="C240" s="221"/>
      <c r="D240" s="221"/>
      <c r="H240" s="5" t="s">
        <v>2091</v>
      </c>
      <c r="N240" s="3"/>
      <c r="Q240" s="10"/>
      <c r="R240" s="38">
        <f>(R238/10)</f>
        <v>5084</v>
      </c>
      <c r="W240" s="4"/>
      <c r="AE240" s="63"/>
    </row>
    <row r="241" spans="1:31" ht="24" customHeight="1">
      <c r="A241" s="221"/>
      <c r="B241" s="221"/>
      <c r="C241" s="221"/>
      <c r="D241" s="221"/>
      <c r="F241" s="8">
        <v>1.25</v>
      </c>
      <c r="G241" s="7" t="s">
        <v>1365</v>
      </c>
      <c r="H241" s="1" t="s">
        <v>1530</v>
      </c>
      <c r="I241" s="485">
        <f>C812</f>
        <v>3.15</v>
      </c>
      <c r="J241" s="1" t="s">
        <v>1365</v>
      </c>
      <c r="K241" s="8">
        <f>(F241*I241)</f>
        <v>3.94</v>
      </c>
      <c r="N241" s="3"/>
      <c r="O241" s="58" t="s">
        <v>789</v>
      </c>
      <c r="Q241" s="10"/>
      <c r="R241" s="5" t="s">
        <v>2091</v>
      </c>
      <c r="W241" s="4"/>
      <c r="AE241" s="63"/>
    </row>
    <row r="242" spans="1:31" ht="24" customHeight="1">
      <c r="A242" s="221"/>
      <c r="B242" s="221"/>
      <c r="C242" s="221"/>
      <c r="D242" s="221"/>
      <c r="F242" s="8">
        <v>0.75</v>
      </c>
      <c r="G242" s="7" t="s">
        <v>1365</v>
      </c>
      <c r="H242" s="1" t="s">
        <v>762</v>
      </c>
      <c r="I242" s="8">
        <f>AC37</f>
        <v>1139.69</v>
      </c>
      <c r="J242" s="1" t="s">
        <v>1365</v>
      </c>
      <c r="K242" s="8">
        <f>(F242*I242)</f>
        <v>854.77</v>
      </c>
      <c r="W242" s="4"/>
      <c r="AE242" s="63"/>
    </row>
    <row r="243" spans="1:31" ht="24" customHeight="1">
      <c r="A243" s="221"/>
      <c r="B243" s="221"/>
      <c r="C243" s="221"/>
      <c r="D243" s="221"/>
      <c r="F243" s="8">
        <v>0.5</v>
      </c>
      <c r="G243" s="7" t="s">
        <v>1365</v>
      </c>
      <c r="H243" s="1" t="s">
        <v>2135</v>
      </c>
      <c r="I243" s="8">
        <f>AC36</f>
        <v>1304.69</v>
      </c>
      <c r="J243" s="1" t="s">
        <v>1365</v>
      </c>
      <c r="K243" s="8">
        <f>(F243*I243)</f>
        <v>652.35</v>
      </c>
      <c r="W243" s="4"/>
      <c r="AE243" s="63"/>
    </row>
    <row r="244" spans="1:31" ht="24" customHeight="1">
      <c r="A244" s="221"/>
      <c r="B244" s="221"/>
      <c r="C244" s="221"/>
      <c r="D244" s="221"/>
      <c r="F244" s="8">
        <v>0.45</v>
      </c>
      <c r="G244" s="7" t="s">
        <v>1365</v>
      </c>
      <c r="H244" s="1" t="s">
        <v>941</v>
      </c>
      <c r="I244" s="8">
        <f>AC38</f>
        <v>366.57</v>
      </c>
      <c r="J244" s="1" t="s">
        <v>1365</v>
      </c>
      <c r="K244" s="8">
        <f>(F244*I244)</f>
        <v>164.96</v>
      </c>
      <c r="W244" s="4"/>
      <c r="AE244" s="63"/>
    </row>
    <row r="245" spans="1:31" ht="24" customHeight="1">
      <c r="A245" s="221"/>
      <c r="B245" s="221"/>
      <c r="C245" s="221"/>
      <c r="D245" s="221"/>
      <c r="F245" s="8">
        <v>10</v>
      </c>
      <c r="G245" s="7" t="s">
        <v>236</v>
      </c>
      <c r="H245" s="1" t="s">
        <v>1950</v>
      </c>
      <c r="I245" s="485">
        <v>17.82</v>
      </c>
      <c r="J245" s="1" t="s">
        <v>236</v>
      </c>
      <c r="K245" s="8">
        <f>(F245*I245)</f>
        <v>178.2</v>
      </c>
      <c r="W245" s="4"/>
      <c r="AE245" s="63"/>
    </row>
    <row r="246" spans="1:31" ht="24" customHeight="1">
      <c r="A246" s="221"/>
      <c r="B246" s="221"/>
      <c r="C246" s="221"/>
      <c r="D246" s="221"/>
      <c r="H246" s="1" t="s">
        <v>1951</v>
      </c>
      <c r="K246" s="5" t="s">
        <v>1615</v>
      </c>
      <c r="W246" s="4"/>
      <c r="AE246" s="63"/>
    </row>
    <row r="247" spans="1:31" ht="24" customHeight="1">
      <c r="A247" s="221"/>
      <c r="B247" s="221"/>
      <c r="C247" s="221"/>
      <c r="D247" s="221"/>
      <c r="H247" s="1" t="s">
        <v>1952</v>
      </c>
      <c r="K247" s="8">
        <f>SUM(K241:K245)</f>
        <v>1854.22</v>
      </c>
      <c r="W247" s="4"/>
      <c r="AE247" s="63"/>
    </row>
    <row r="248" spans="1:31" ht="24" customHeight="1">
      <c r="A248" s="221"/>
      <c r="B248" s="221"/>
      <c r="C248" s="221"/>
      <c r="D248" s="221"/>
      <c r="K248" s="5" t="s">
        <v>1615</v>
      </c>
      <c r="W248" s="4"/>
      <c r="AE248" s="63"/>
    </row>
    <row r="249" spans="1:31" ht="24" customHeight="1">
      <c r="A249" s="221"/>
      <c r="B249" s="221"/>
      <c r="C249" s="221"/>
      <c r="D249" s="221"/>
      <c r="H249" s="58" t="s">
        <v>1953</v>
      </c>
      <c r="K249" s="38">
        <f>K247/10</f>
        <v>185.42</v>
      </c>
      <c r="W249" s="4"/>
      <c r="AE249" s="63"/>
    </row>
    <row r="250" spans="1:31" ht="24" customHeight="1">
      <c r="A250" s="221"/>
      <c r="B250" s="221"/>
      <c r="C250" s="221"/>
      <c r="D250" s="221"/>
      <c r="K250" s="5" t="s">
        <v>2091</v>
      </c>
      <c r="W250" s="4"/>
      <c r="AE250" s="63"/>
    </row>
    <row r="251" spans="1:31" ht="24" customHeight="1">
      <c r="A251" s="221"/>
      <c r="B251" s="221"/>
      <c r="C251" s="221"/>
      <c r="D251" s="221"/>
      <c r="W251" s="4"/>
      <c r="AE251" s="63"/>
    </row>
    <row r="252" spans="1:31" ht="24" customHeight="1">
      <c r="A252" s="221"/>
      <c r="B252" s="221"/>
      <c r="C252" s="221"/>
      <c r="D252" s="221"/>
      <c r="F252" s="24">
        <v>3.7</v>
      </c>
      <c r="H252" s="1" t="s">
        <v>5</v>
      </c>
      <c r="W252" s="4"/>
      <c r="AE252" s="63"/>
    </row>
    <row r="253" spans="1:31" ht="24" customHeight="1">
      <c r="A253" s="221"/>
      <c r="B253" s="221"/>
      <c r="C253" s="221"/>
      <c r="D253" s="221"/>
      <c r="H253" s="5" t="s">
        <v>1615</v>
      </c>
      <c r="W253" s="4"/>
      <c r="AE253" s="63"/>
    </row>
    <row r="254" spans="1:31" ht="24" customHeight="1">
      <c r="A254" s="221"/>
      <c r="B254" s="221"/>
      <c r="C254" s="221"/>
      <c r="D254" s="221"/>
      <c r="F254" s="8">
        <v>2.7</v>
      </c>
      <c r="G254" s="7" t="s">
        <v>1365</v>
      </c>
      <c r="H254" s="1" t="s">
        <v>154</v>
      </c>
      <c r="I254" s="8">
        <f>AC35</f>
        <v>1184.69</v>
      </c>
      <c r="J254" s="1" t="s">
        <v>1365</v>
      </c>
      <c r="K254" s="8">
        <f>(F254*I254)</f>
        <v>3198.66</v>
      </c>
      <c r="W254" s="4"/>
      <c r="AE254" s="63"/>
    </row>
    <row r="255" spans="1:31" ht="24" customHeight="1">
      <c r="A255" s="221"/>
      <c r="B255" s="221"/>
      <c r="C255" s="221"/>
      <c r="D255" s="221"/>
      <c r="F255" s="15">
        <v>0.14499999999999999</v>
      </c>
      <c r="G255" s="7" t="s">
        <v>1365</v>
      </c>
      <c r="H255" s="1" t="s">
        <v>928</v>
      </c>
      <c r="I255" s="8">
        <f>AC17</f>
        <v>1608.7</v>
      </c>
      <c r="J255" s="1" t="s">
        <v>1365</v>
      </c>
      <c r="K255" s="8">
        <f>(F255*I255)</f>
        <v>233.26</v>
      </c>
      <c r="W255" s="4"/>
      <c r="AE255" s="63"/>
    </row>
    <row r="256" spans="1:31" ht="24" customHeight="1">
      <c r="A256" s="221"/>
      <c r="B256" s="221"/>
      <c r="C256" s="221"/>
      <c r="D256" s="221"/>
      <c r="F256" s="8">
        <v>218.8</v>
      </c>
      <c r="G256" s="7" t="s">
        <v>929</v>
      </c>
      <c r="H256" s="1" t="s">
        <v>930</v>
      </c>
      <c r="I256" s="8">
        <f>C142</f>
        <v>43563.69</v>
      </c>
      <c r="J256" s="1" t="s">
        <v>535</v>
      </c>
      <c r="K256" s="8">
        <f>(F256*I256)/1000</f>
        <v>9531.74</v>
      </c>
      <c r="W256" s="4"/>
      <c r="AE256" s="63"/>
    </row>
    <row r="257" spans="1:33" ht="24" customHeight="1">
      <c r="A257" s="221"/>
      <c r="B257" s="221"/>
      <c r="C257" s="221"/>
      <c r="D257" s="221"/>
      <c r="F257" s="8">
        <v>100</v>
      </c>
      <c r="G257" s="7" t="s">
        <v>236</v>
      </c>
      <c r="H257" s="1" t="s">
        <v>931</v>
      </c>
      <c r="I257" s="485">
        <v>14.3</v>
      </c>
      <c r="J257" s="1" t="s">
        <v>236</v>
      </c>
      <c r="K257" s="8">
        <f>(F257*I257)</f>
        <v>1430</v>
      </c>
      <c r="W257" s="4"/>
      <c r="AE257" s="63"/>
    </row>
    <row r="258" spans="1:33" ht="24" customHeight="1">
      <c r="A258" s="221"/>
      <c r="B258" s="221"/>
      <c r="C258" s="221"/>
      <c r="D258" s="221"/>
      <c r="K258" s="5" t="s">
        <v>1615</v>
      </c>
      <c r="W258" s="4"/>
      <c r="AE258" s="63"/>
    </row>
    <row r="259" spans="1:33" ht="24" customHeight="1">
      <c r="A259" s="221"/>
      <c r="B259" s="221"/>
      <c r="C259" s="221"/>
      <c r="D259" s="221"/>
      <c r="H259" s="1" t="s">
        <v>932</v>
      </c>
      <c r="K259" s="8">
        <f>SUM(K254:K257)</f>
        <v>14393.66</v>
      </c>
      <c r="W259" s="4"/>
      <c r="AE259" s="63"/>
    </row>
    <row r="260" spans="1:33" ht="24" customHeight="1">
      <c r="A260" s="221"/>
      <c r="B260" s="221"/>
      <c r="C260" s="221"/>
      <c r="D260" s="221"/>
      <c r="K260" s="5" t="s">
        <v>1615</v>
      </c>
      <c r="W260" s="4"/>
      <c r="AE260" s="63"/>
    </row>
    <row r="261" spans="1:33" ht="24" customHeight="1">
      <c r="A261" s="221"/>
      <c r="B261" s="221"/>
      <c r="C261" s="221"/>
      <c r="D261" s="221"/>
      <c r="H261" s="58" t="s">
        <v>1953</v>
      </c>
      <c r="K261" s="38">
        <f>K259/100</f>
        <v>143.94</v>
      </c>
      <c r="W261" s="4"/>
      <c r="AE261" s="63"/>
    </row>
    <row r="262" spans="1:33" ht="24" customHeight="1">
      <c r="A262" s="221"/>
      <c r="B262" s="221"/>
      <c r="C262" s="221"/>
      <c r="D262" s="221"/>
      <c r="F262" s="1" t="s">
        <v>992</v>
      </c>
      <c r="G262" s="7" t="s">
        <v>992</v>
      </c>
      <c r="K262" s="5" t="s">
        <v>2091</v>
      </c>
      <c r="W262" s="4"/>
      <c r="AE262" s="63"/>
    </row>
    <row r="263" spans="1:33" ht="24" customHeight="1">
      <c r="A263" s="221"/>
      <c r="B263" s="221"/>
      <c r="C263" s="221"/>
      <c r="D263" s="221"/>
      <c r="W263" s="4"/>
      <c r="AE263" s="63"/>
    </row>
    <row r="264" spans="1:33" ht="24" customHeight="1">
      <c r="A264" s="221"/>
      <c r="B264" s="221"/>
      <c r="C264" s="221"/>
      <c r="D264" s="221"/>
      <c r="W264" s="4"/>
      <c r="AE264" s="63"/>
    </row>
    <row r="265" spans="1:33" ht="24" customHeight="1">
      <c r="A265" s="218">
        <f>(A206+1)</f>
        <v>105</v>
      </c>
      <c r="B265" s="852" t="s">
        <v>5076</v>
      </c>
      <c r="C265" s="419">
        <v>140.65</v>
      </c>
      <c r="D265" s="219" t="s">
        <v>785</v>
      </c>
      <c r="F265" s="2" t="s">
        <v>686</v>
      </c>
      <c r="H265" s="1" t="s">
        <v>1635</v>
      </c>
      <c r="N265" s="1" t="s">
        <v>687</v>
      </c>
      <c r="O265" s="1" t="s">
        <v>850</v>
      </c>
      <c r="W265" s="4"/>
      <c r="AE265" s="63"/>
      <c r="AG265" s="1"/>
    </row>
    <row r="266" spans="1:33" ht="24" customHeight="1">
      <c r="A266" s="218">
        <f t="shared" ref="A266:A280" si="32">(A265+1)</f>
        <v>106</v>
      </c>
      <c r="B266" s="852" t="s">
        <v>5671</v>
      </c>
      <c r="C266" s="419">
        <v>170.35</v>
      </c>
      <c r="D266" s="219" t="s">
        <v>785</v>
      </c>
      <c r="H266" s="5" t="s">
        <v>2091</v>
      </c>
      <c r="O266" s="5" t="s">
        <v>1615</v>
      </c>
      <c r="W266" s="4"/>
      <c r="AE266" s="63"/>
      <c r="AG266" s="1"/>
    </row>
    <row r="267" spans="1:33" ht="24" customHeight="1">
      <c r="A267" s="218">
        <f t="shared" si="32"/>
        <v>107</v>
      </c>
      <c r="B267" s="604" t="s">
        <v>5672</v>
      </c>
      <c r="C267" s="169">
        <v>63</v>
      </c>
      <c r="D267" s="419">
        <v>156</v>
      </c>
      <c r="E267" t="s">
        <v>5673</v>
      </c>
      <c r="G267" s="7" t="s">
        <v>2290</v>
      </c>
      <c r="H267" s="1" t="s">
        <v>406</v>
      </c>
      <c r="M267" s="8">
        <v>1.1399999999999999</v>
      </c>
      <c r="N267" s="1" t="s">
        <v>885</v>
      </c>
      <c r="O267" s="1" t="s">
        <v>2318</v>
      </c>
      <c r="P267" s="8">
        <f>(K420)</f>
        <v>6538.53</v>
      </c>
      <c r="Q267" s="1" t="s">
        <v>884</v>
      </c>
      <c r="R267" s="8">
        <f>(M267*P267)</f>
        <v>7453.92</v>
      </c>
      <c r="W267" s="4"/>
      <c r="AE267" s="63"/>
      <c r="AG267" s="1"/>
    </row>
    <row r="268" spans="1:33" ht="39" customHeight="1">
      <c r="A268" s="218">
        <f t="shared" si="32"/>
        <v>108</v>
      </c>
      <c r="B268" s="22" t="s">
        <v>5674</v>
      </c>
      <c r="C268" s="419">
        <v>17600</v>
      </c>
      <c r="D268" s="219" t="s">
        <v>885</v>
      </c>
      <c r="H268" s="1" t="s">
        <v>2308</v>
      </c>
      <c r="M268" s="8">
        <v>1</v>
      </c>
      <c r="N268" s="1" t="s">
        <v>785</v>
      </c>
      <c r="O268" s="1" t="s">
        <v>2045</v>
      </c>
      <c r="P268" s="8">
        <f>(C10)</f>
        <v>1041.7</v>
      </c>
      <c r="Q268" s="1" t="s">
        <v>884</v>
      </c>
      <c r="R268" s="8">
        <f>(M268*P268)</f>
        <v>1041.7</v>
      </c>
      <c r="W268" s="4"/>
      <c r="AE268" s="63"/>
      <c r="AG268" s="1"/>
    </row>
    <row r="269" spans="1:33" ht="24" customHeight="1">
      <c r="A269" s="218">
        <f t="shared" si="32"/>
        <v>109</v>
      </c>
      <c r="B269" s="1" t="s">
        <v>5675</v>
      </c>
      <c r="C269" s="419">
        <v>15500</v>
      </c>
      <c r="D269" s="219" t="s">
        <v>885</v>
      </c>
      <c r="H269" s="5" t="s">
        <v>1615</v>
      </c>
      <c r="N269" s="1" t="s">
        <v>455</v>
      </c>
      <c r="O269" s="1" t="s">
        <v>456</v>
      </c>
      <c r="P269" s="1" t="s">
        <v>992</v>
      </c>
      <c r="Q269" s="1" t="s">
        <v>455</v>
      </c>
      <c r="R269" s="8">
        <v>0.05</v>
      </c>
      <c r="W269" s="4"/>
      <c r="AE269" s="63"/>
      <c r="AG269" s="1"/>
    </row>
    <row r="270" spans="1:33" ht="24" customHeight="1">
      <c r="A270" s="218">
        <f t="shared" si="32"/>
        <v>110</v>
      </c>
      <c r="B270" s="1" t="s">
        <v>5676</v>
      </c>
      <c r="C270" s="419">
        <v>25.2</v>
      </c>
      <c r="D270" s="219" t="s">
        <v>785</v>
      </c>
      <c r="F270" s="8">
        <v>9</v>
      </c>
      <c r="G270" s="7" t="s">
        <v>885</v>
      </c>
      <c r="H270" s="1" t="s">
        <v>445</v>
      </c>
      <c r="I270" s="8">
        <f>(C73)</f>
        <v>1704.69</v>
      </c>
      <c r="J270" s="1" t="s">
        <v>885</v>
      </c>
      <c r="K270" s="8">
        <f t="shared" ref="K270:K275" si="33">(F270*I270)</f>
        <v>15342.21</v>
      </c>
      <c r="R270" s="5" t="s">
        <v>1615</v>
      </c>
      <c r="W270" s="4"/>
      <c r="AE270" s="63"/>
      <c r="AG270" s="1"/>
    </row>
    <row r="271" spans="1:33" ht="24" customHeight="1">
      <c r="A271" s="218">
        <f t="shared" si="32"/>
        <v>111</v>
      </c>
      <c r="B271" s="1" t="s">
        <v>5077</v>
      </c>
      <c r="C271" s="419">
        <v>49.85</v>
      </c>
      <c r="D271" s="219" t="s">
        <v>1676</v>
      </c>
      <c r="E271" s="431">
        <v>158</v>
      </c>
      <c r="F271" s="12">
        <v>3.2309999999999999</v>
      </c>
      <c r="G271" s="7" t="s">
        <v>877</v>
      </c>
      <c r="H271" s="1" t="s">
        <v>878</v>
      </c>
      <c r="I271" s="8">
        <f>(C67)</f>
        <v>6040</v>
      </c>
      <c r="J271" s="1" t="s">
        <v>877</v>
      </c>
      <c r="K271" s="8">
        <f t="shared" si="33"/>
        <v>19515.240000000002</v>
      </c>
      <c r="O271" s="1" t="s">
        <v>447</v>
      </c>
      <c r="R271" s="8">
        <f>SUM(R267:R269)</f>
        <v>8495.67</v>
      </c>
      <c r="W271" s="4"/>
      <c r="AE271" s="63"/>
      <c r="AG271" s="1"/>
    </row>
    <row r="272" spans="1:33" ht="24" customHeight="1">
      <c r="A272" s="218">
        <f t="shared" si="32"/>
        <v>112</v>
      </c>
      <c r="B272" s="1" t="s">
        <v>5078</v>
      </c>
      <c r="C272" s="419">
        <v>306.89999999999998</v>
      </c>
      <c r="D272" s="536">
        <v>452.09</v>
      </c>
      <c r="E272" s="607">
        <v>250</v>
      </c>
      <c r="F272" s="8">
        <v>4.5</v>
      </c>
      <c r="G272" s="7" t="s">
        <v>885</v>
      </c>
      <c r="H272" s="1" t="s">
        <v>886</v>
      </c>
      <c r="I272" s="8">
        <f>(C78)</f>
        <v>1608.7</v>
      </c>
      <c r="J272" s="1" t="s">
        <v>885</v>
      </c>
      <c r="K272" s="8">
        <f t="shared" si="33"/>
        <v>7239.15</v>
      </c>
      <c r="R272" s="5" t="s">
        <v>1615</v>
      </c>
      <c r="W272" s="4"/>
      <c r="AE272" s="63"/>
      <c r="AG272" s="1"/>
    </row>
    <row r="273" spans="1:33" ht="24" customHeight="1">
      <c r="A273" s="218">
        <f t="shared" si="32"/>
        <v>113</v>
      </c>
      <c r="B273" s="1" t="s">
        <v>5079</v>
      </c>
      <c r="C273" s="419">
        <v>144.1</v>
      </c>
      <c r="D273" s="219" t="s">
        <v>1805</v>
      </c>
      <c r="F273" s="8">
        <v>3.5</v>
      </c>
      <c r="G273" s="7" t="s">
        <v>884</v>
      </c>
      <c r="H273" s="1" t="s">
        <v>1744</v>
      </c>
      <c r="I273" s="8">
        <f>(C11)</f>
        <v>972.4</v>
      </c>
      <c r="J273" s="1" t="s">
        <v>884</v>
      </c>
      <c r="K273" s="8">
        <f t="shared" si="33"/>
        <v>3403.4</v>
      </c>
      <c r="O273" s="1" t="s">
        <v>562</v>
      </c>
      <c r="R273" s="8">
        <f>(R271/10)</f>
        <v>849.57</v>
      </c>
      <c r="W273" s="4"/>
      <c r="AE273" s="63"/>
      <c r="AG273" s="1"/>
    </row>
    <row r="274" spans="1:33" ht="24" customHeight="1">
      <c r="A274" s="218">
        <f t="shared" si="32"/>
        <v>114</v>
      </c>
      <c r="B274" s="1" t="s">
        <v>5080</v>
      </c>
      <c r="C274" s="419">
        <v>52.3</v>
      </c>
      <c r="D274" s="219" t="s">
        <v>785</v>
      </c>
      <c r="F274" s="8">
        <v>21.2</v>
      </c>
      <c r="G274" s="7" t="s">
        <v>884</v>
      </c>
      <c r="H274" s="1" t="s">
        <v>1937</v>
      </c>
      <c r="I274" s="8">
        <f>(C12)</f>
        <v>679.8</v>
      </c>
      <c r="J274" s="1" t="s">
        <v>884</v>
      </c>
      <c r="K274" s="8">
        <f t="shared" si="33"/>
        <v>14411.76</v>
      </c>
      <c r="R274" s="5" t="s">
        <v>2091</v>
      </c>
      <c r="W274" s="4"/>
      <c r="Y274" s="50"/>
      <c r="Z274" s="50"/>
      <c r="AE274" s="63"/>
      <c r="AG274" s="1"/>
    </row>
    <row r="275" spans="1:33" ht="24" customHeight="1">
      <c r="A275" s="218">
        <f t="shared" si="32"/>
        <v>115</v>
      </c>
      <c r="B275" s="1" t="s">
        <v>5081</v>
      </c>
      <c r="C275" s="419">
        <v>45.7</v>
      </c>
      <c r="D275" s="219" t="s">
        <v>785</v>
      </c>
      <c r="F275" s="8">
        <v>35.299999999999997</v>
      </c>
      <c r="G275" s="7" t="s">
        <v>884</v>
      </c>
      <c r="H275" s="1" t="s">
        <v>325</v>
      </c>
      <c r="I275" s="8">
        <f>(C13)</f>
        <v>557.70000000000005</v>
      </c>
      <c r="J275" s="1" t="s">
        <v>884</v>
      </c>
      <c r="K275" s="8">
        <f t="shared" si="33"/>
        <v>19686.810000000001</v>
      </c>
      <c r="N275" s="1" t="s">
        <v>1155</v>
      </c>
      <c r="O275" s="1" t="s">
        <v>391</v>
      </c>
      <c r="R275" s="8">
        <f>(R273+C19/10*M267)</f>
        <v>858.95</v>
      </c>
      <c r="W275" s="4"/>
      <c r="Y275" s="50"/>
      <c r="Z275" s="50"/>
      <c r="AE275" s="63"/>
      <c r="AG275" s="1"/>
    </row>
    <row r="276" spans="1:33" ht="24" customHeight="1">
      <c r="A276" s="218">
        <f t="shared" si="32"/>
        <v>116</v>
      </c>
      <c r="B276" s="219" t="s">
        <v>671</v>
      </c>
      <c r="C276" s="161">
        <v>16.440000000000001</v>
      </c>
      <c r="D276" s="219" t="s">
        <v>785</v>
      </c>
      <c r="G276" s="7" t="s">
        <v>455</v>
      </c>
      <c r="H276" s="1" t="s">
        <v>456</v>
      </c>
      <c r="I276" s="1" t="s">
        <v>992</v>
      </c>
      <c r="J276" s="1" t="s">
        <v>455</v>
      </c>
      <c r="K276" s="8">
        <v>0</v>
      </c>
      <c r="N276" s="1" t="s">
        <v>672</v>
      </c>
      <c r="O276" s="1" t="s">
        <v>393</v>
      </c>
      <c r="R276" s="8">
        <f>(R275+C20/10*M267)</f>
        <v>877.87</v>
      </c>
      <c r="W276" s="4"/>
      <c r="Y276" s="50"/>
      <c r="Z276" s="50"/>
      <c r="AE276" s="63"/>
      <c r="AG276" s="1"/>
    </row>
    <row r="277" spans="1:33" ht="24" customHeight="1">
      <c r="A277" s="218">
        <f t="shared" si="32"/>
        <v>117</v>
      </c>
      <c r="B277" s="1" t="s">
        <v>5082</v>
      </c>
      <c r="C277" s="419">
        <v>32.1</v>
      </c>
      <c r="D277" s="848">
        <v>6.25</v>
      </c>
      <c r="K277" s="5" t="s">
        <v>1615</v>
      </c>
      <c r="N277" s="1" t="s">
        <v>684</v>
      </c>
      <c r="O277" s="1" t="s">
        <v>2271</v>
      </c>
      <c r="R277" s="8">
        <f>(R276+C21/10*M267)</f>
        <v>896.79</v>
      </c>
      <c r="W277" s="4"/>
      <c r="Y277" s="50"/>
      <c r="Z277" s="50"/>
      <c r="AE277" s="63"/>
      <c r="AG277" s="1"/>
    </row>
    <row r="278" spans="1:33" ht="24" customHeight="1">
      <c r="A278" s="218">
        <f t="shared" si="32"/>
        <v>118</v>
      </c>
      <c r="B278" s="1" t="s">
        <v>5083</v>
      </c>
      <c r="C278" s="419">
        <v>364.6</v>
      </c>
      <c r="D278" s="219" t="s">
        <v>621</v>
      </c>
      <c r="H278" s="1" t="s">
        <v>2210</v>
      </c>
      <c r="K278" s="8">
        <f>SUM(K270:K276)</f>
        <v>79598.570000000007</v>
      </c>
      <c r="N278" s="1" t="s">
        <v>2211</v>
      </c>
      <c r="O278" s="1" t="s">
        <v>385</v>
      </c>
      <c r="R278" s="8">
        <f>(R277+C21/10*M267)</f>
        <v>915.71</v>
      </c>
      <c r="W278" s="4"/>
      <c r="Y278" s="50"/>
      <c r="Z278" s="50"/>
      <c r="AE278" s="63"/>
      <c r="AG278" s="1"/>
    </row>
    <row r="279" spans="1:33" ht="24" customHeight="1">
      <c r="A279" s="218">
        <f t="shared" si="32"/>
        <v>119</v>
      </c>
      <c r="B279" s="1" t="s">
        <v>5084</v>
      </c>
      <c r="C279" s="419">
        <v>89.6</v>
      </c>
      <c r="D279" s="219" t="s">
        <v>785</v>
      </c>
      <c r="K279" s="5" t="s">
        <v>1615</v>
      </c>
      <c r="W279" s="4"/>
      <c r="Z279" s="50"/>
      <c r="AE279" s="63"/>
      <c r="AG279" s="1"/>
    </row>
    <row r="280" spans="1:33" ht="24" customHeight="1">
      <c r="A280" s="218">
        <f t="shared" si="32"/>
        <v>120</v>
      </c>
      <c r="B280" s="1" t="s">
        <v>5085</v>
      </c>
      <c r="C280" s="419">
        <v>71.900000000000006</v>
      </c>
      <c r="D280" s="219" t="s">
        <v>785</v>
      </c>
      <c r="H280" s="58" t="s">
        <v>789</v>
      </c>
      <c r="K280" s="38">
        <f>(K278/10)</f>
        <v>7959.86</v>
      </c>
      <c r="R280" s="1" t="s">
        <v>992</v>
      </c>
      <c r="W280" s="4"/>
      <c r="AE280" s="63"/>
      <c r="AG280" s="1"/>
    </row>
    <row r="281" spans="1:33" ht="24" customHeight="1">
      <c r="A281" s="221"/>
      <c r="B281" s="438"/>
      <c r="C281" s="431"/>
      <c r="D281" s="221"/>
      <c r="F281" s="1" t="s">
        <v>992</v>
      </c>
      <c r="N281" s="1" t="s">
        <v>687</v>
      </c>
      <c r="O281" s="1" t="s">
        <v>2212</v>
      </c>
      <c r="W281" s="4"/>
      <c r="AE281" s="63"/>
    </row>
    <row r="282" spans="1:33" ht="24" customHeight="1">
      <c r="A282" s="218">
        <f>(A280+1)</f>
        <v>121</v>
      </c>
      <c r="B282" s="1" t="s">
        <v>5086</v>
      </c>
      <c r="C282" s="419">
        <v>49.35</v>
      </c>
      <c r="D282" s="219" t="s">
        <v>785</v>
      </c>
      <c r="O282" s="1" t="s">
        <v>1612</v>
      </c>
      <c r="W282" s="4"/>
      <c r="AE282" s="63"/>
      <c r="AG282" s="1"/>
    </row>
    <row r="283" spans="1:33" ht="24" customHeight="1">
      <c r="A283" s="218">
        <f t="shared" ref="A283:A346" si="34">(A282+1)</f>
        <v>122</v>
      </c>
      <c r="B283" s="1" t="s">
        <v>5087</v>
      </c>
      <c r="C283" s="419">
        <v>39.85</v>
      </c>
      <c r="D283" s="219" t="s">
        <v>785</v>
      </c>
      <c r="F283" s="8">
        <v>1</v>
      </c>
      <c r="G283" s="7" t="s">
        <v>885</v>
      </c>
      <c r="H283" s="1" t="s">
        <v>46</v>
      </c>
      <c r="K283" s="8">
        <f>(C25)</f>
        <v>98.34</v>
      </c>
      <c r="O283" s="5" t="s">
        <v>1615</v>
      </c>
      <c r="W283" s="4"/>
      <c r="AE283" s="63"/>
      <c r="AG283" s="1"/>
    </row>
    <row r="284" spans="1:33" ht="24" customHeight="1">
      <c r="A284" s="218">
        <f t="shared" si="34"/>
        <v>123</v>
      </c>
      <c r="B284" s="1" t="s">
        <v>5088</v>
      </c>
      <c r="C284" s="419">
        <v>64.8</v>
      </c>
      <c r="D284" s="219" t="s">
        <v>785</v>
      </c>
      <c r="K284" s="5" t="s">
        <v>1615</v>
      </c>
      <c r="M284" s="8">
        <v>10</v>
      </c>
      <c r="N284" s="1" t="s">
        <v>621</v>
      </c>
      <c r="O284" s="1" t="s">
        <v>47</v>
      </c>
      <c r="P284" s="8">
        <f>(K1241)</f>
        <v>1269.32</v>
      </c>
      <c r="Q284" s="1" t="s">
        <v>621</v>
      </c>
      <c r="R284" s="8">
        <f>(M284*P284)</f>
        <v>12693.2</v>
      </c>
      <c r="W284" s="4"/>
      <c r="AE284" s="63"/>
      <c r="AG284" s="1"/>
    </row>
    <row r="285" spans="1:33" ht="24" customHeight="1">
      <c r="A285" s="218">
        <f t="shared" si="34"/>
        <v>124</v>
      </c>
      <c r="B285" s="1" t="s">
        <v>5089</v>
      </c>
      <c r="C285" s="419">
        <v>39.700000000000003</v>
      </c>
      <c r="D285" s="219" t="s">
        <v>785</v>
      </c>
      <c r="E285" s="431">
        <v>57</v>
      </c>
      <c r="H285" s="1" t="s">
        <v>614</v>
      </c>
      <c r="K285" s="38">
        <f>SUM(K280:K283)</f>
        <v>8058.2</v>
      </c>
      <c r="M285" s="8">
        <v>1.1000000000000001</v>
      </c>
      <c r="N285" s="1" t="s">
        <v>884</v>
      </c>
      <c r="O285" s="1" t="s">
        <v>1744</v>
      </c>
      <c r="P285" s="8">
        <f>(C11)</f>
        <v>972.4</v>
      </c>
      <c r="Q285" s="1" t="s">
        <v>884</v>
      </c>
      <c r="R285" s="8">
        <f>(M285*P285)</f>
        <v>1069.6400000000001</v>
      </c>
      <c r="W285" s="4"/>
      <c r="AE285" s="63"/>
      <c r="AG285" s="1"/>
    </row>
    <row r="286" spans="1:33" ht="24" customHeight="1">
      <c r="A286" s="218">
        <f t="shared" si="34"/>
        <v>125</v>
      </c>
      <c r="B286" s="1" t="s">
        <v>5090</v>
      </c>
      <c r="C286" s="419">
        <v>181</v>
      </c>
      <c r="D286" s="219" t="s">
        <v>785</v>
      </c>
      <c r="K286" s="5" t="s">
        <v>1615</v>
      </c>
      <c r="M286" s="8">
        <v>1.1000000000000001</v>
      </c>
      <c r="N286" s="1" t="s">
        <v>884</v>
      </c>
      <c r="O286" s="1" t="s">
        <v>1937</v>
      </c>
      <c r="P286" s="8">
        <f>(C12)</f>
        <v>679.8</v>
      </c>
      <c r="Q286" s="1" t="s">
        <v>884</v>
      </c>
      <c r="R286" s="8">
        <f>(M286*P286)</f>
        <v>747.78</v>
      </c>
      <c r="W286" s="4"/>
      <c r="AE286" s="63"/>
      <c r="AG286" s="1"/>
    </row>
    <row r="287" spans="1:33" ht="24" customHeight="1">
      <c r="A287" s="218">
        <f t="shared" si="34"/>
        <v>126</v>
      </c>
      <c r="B287" s="1" t="s">
        <v>5091</v>
      </c>
      <c r="C287" s="419">
        <v>101.6</v>
      </c>
      <c r="D287" s="219" t="s">
        <v>785</v>
      </c>
      <c r="H287" s="1" t="s">
        <v>391</v>
      </c>
      <c r="K287" s="38">
        <f>(K285+C22)</f>
        <v>8183.16</v>
      </c>
      <c r="L287">
        <v>54</v>
      </c>
      <c r="M287" s="8">
        <v>1.1000000000000001</v>
      </c>
      <c r="N287" s="1" t="s">
        <v>884</v>
      </c>
      <c r="O287" s="1" t="s">
        <v>252</v>
      </c>
      <c r="P287" s="8">
        <f>(C13)</f>
        <v>557.70000000000005</v>
      </c>
      <c r="Q287" s="1" t="s">
        <v>884</v>
      </c>
      <c r="R287" s="8">
        <f>(M287*P287)</f>
        <v>613.47</v>
      </c>
      <c r="W287" s="4"/>
      <c r="AE287" s="63"/>
      <c r="AG287" s="1"/>
    </row>
    <row r="288" spans="1:33" ht="24" customHeight="1">
      <c r="A288" s="218">
        <f t="shared" si="34"/>
        <v>127</v>
      </c>
      <c r="B288" s="219" t="s">
        <v>4435</v>
      </c>
      <c r="C288" s="536">
        <v>7.3</v>
      </c>
      <c r="D288" s="219" t="s">
        <v>785</v>
      </c>
      <c r="H288" s="1" t="s">
        <v>393</v>
      </c>
      <c r="K288" s="38">
        <f>(K287+C23)</f>
        <v>8429.34</v>
      </c>
      <c r="L288">
        <v>107</v>
      </c>
      <c r="R288" s="5" t="s">
        <v>1615</v>
      </c>
      <c r="W288" s="4"/>
      <c r="AE288" s="63"/>
      <c r="AG288" s="1"/>
    </row>
    <row r="289" spans="1:33" ht="24" customHeight="1">
      <c r="A289" s="218">
        <f t="shared" si="34"/>
        <v>128</v>
      </c>
      <c r="B289" s="219" t="s">
        <v>1172</v>
      </c>
      <c r="C289" s="536">
        <v>7.3</v>
      </c>
      <c r="D289" s="219" t="s">
        <v>785</v>
      </c>
      <c r="H289" s="1" t="s">
        <v>2271</v>
      </c>
      <c r="K289" s="38">
        <f>(K288+C24)</f>
        <v>8675.52</v>
      </c>
      <c r="O289" s="1" t="s">
        <v>447</v>
      </c>
      <c r="R289" s="8">
        <f>SUM(R284:R287)</f>
        <v>15124.09</v>
      </c>
      <c r="W289" s="4"/>
      <c r="AE289" s="63"/>
      <c r="AG289" s="1"/>
    </row>
    <row r="290" spans="1:33" ht="24" customHeight="1">
      <c r="A290" s="218">
        <f t="shared" si="34"/>
        <v>129</v>
      </c>
      <c r="B290" s="219" t="s">
        <v>1173</v>
      </c>
      <c r="C290" s="161">
        <v>2.9</v>
      </c>
      <c r="D290" s="219" t="s">
        <v>1174</v>
      </c>
      <c r="H290" s="1" t="s">
        <v>385</v>
      </c>
      <c r="K290" s="38">
        <f>(K289+C24)</f>
        <v>8921.7000000000007</v>
      </c>
      <c r="R290" s="5" t="s">
        <v>1615</v>
      </c>
      <c r="W290" s="4"/>
      <c r="AE290" s="63"/>
      <c r="AG290" s="1"/>
    </row>
    <row r="291" spans="1:33" ht="24" customHeight="1">
      <c r="A291" s="218">
        <f t="shared" si="34"/>
        <v>130</v>
      </c>
      <c r="B291" s="219" t="s">
        <v>1175</v>
      </c>
      <c r="C291" s="536">
        <v>11.8</v>
      </c>
      <c r="D291" s="219" t="s">
        <v>1174</v>
      </c>
      <c r="H291" s="1" t="s">
        <v>494</v>
      </c>
      <c r="K291" s="38">
        <f>(K290+C24)</f>
        <v>9167.8799999999992</v>
      </c>
      <c r="O291" s="1" t="s">
        <v>562</v>
      </c>
      <c r="R291" s="8">
        <f>(R289/10)</f>
        <v>1512.41</v>
      </c>
      <c r="W291" s="4"/>
      <c r="AE291" s="63"/>
      <c r="AG291" s="1"/>
    </row>
    <row r="292" spans="1:33" ht="24" customHeight="1">
      <c r="A292" s="218">
        <f t="shared" si="34"/>
        <v>131</v>
      </c>
      <c r="B292" s="219" t="s">
        <v>495</v>
      </c>
      <c r="C292" s="536">
        <v>8.9</v>
      </c>
      <c r="D292" s="219" t="s">
        <v>785</v>
      </c>
      <c r="R292" s="5" t="s">
        <v>2091</v>
      </c>
      <c r="W292" s="4"/>
      <c r="AE292" s="63"/>
      <c r="AG292" s="1"/>
    </row>
    <row r="293" spans="1:33" ht="24" customHeight="1">
      <c r="A293" s="218">
        <f t="shared" si="34"/>
        <v>132</v>
      </c>
      <c r="B293" s="219" t="s">
        <v>496</v>
      </c>
      <c r="C293" s="536">
        <v>6.1</v>
      </c>
      <c r="D293" s="219" t="s">
        <v>785</v>
      </c>
      <c r="F293" s="2" t="s">
        <v>1538</v>
      </c>
      <c r="G293" s="7" t="s">
        <v>2290</v>
      </c>
      <c r="H293" s="1" t="s">
        <v>497</v>
      </c>
      <c r="W293" s="4"/>
      <c r="AE293" s="63"/>
      <c r="AG293" s="1"/>
    </row>
    <row r="294" spans="1:33" ht="24" customHeight="1">
      <c r="A294" s="218">
        <f t="shared" si="34"/>
        <v>133</v>
      </c>
      <c r="B294" s="219" t="s">
        <v>498</v>
      </c>
      <c r="C294" s="161">
        <v>5.75</v>
      </c>
      <c r="D294" s="219" t="s">
        <v>785</v>
      </c>
      <c r="H294" s="5" t="s">
        <v>2091</v>
      </c>
      <c r="N294" s="1" t="s">
        <v>2290</v>
      </c>
      <c r="O294" s="1" t="s">
        <v>1146</v>
      </c>
      <c r="W294" s="4"/>
      <c r="AE294" s="63"/>
      <c r="AG294" s="1"/>
    </row>
    <row r="295" spans="1:33" ht="24" customHeight="1">
      <c r="A295" s="218">
        <f t="shared" si="34"/>
        <v>134</v>
      </c>
      <c r="B295" s="219" t="s">
        <v>1147</v>
      </c>
      <c r="C295" s="161">
        <v>8.5</v>
      </c>
      <c r="D295" s="219" t="s">
        <v>785</v>
      </c>
      <c r="F295" s="8">
        <v>10</v>
      </c>
      <c r="G295" s="7" t="s">
        <v>885</v>
      </c>
      <c r="H295" s="1" t="s">
        <v>881</v>
      </c>
      <c r="I295" s="8">
        <f>(C68)</f>
        <v>687.09</v>
      </c>
      <c r="J295" s="1" t="s">
        <v>885</v>
      </c>
      <c r="K295" s="8">
        <f t="shared" ref="K295:K301" si="35">(F295*I295)</f>
        <v>6870.9</v>
      </c>
      <c r="O295" s="5" t="s">
        <v>1615</v>
      </c>
      <c r="W295" s="4"/>
      <c r="AE295" s="63"/>
      <c r="AG295" s="1"/>
    </row>
    <row r="296" spans="1:33" ht="24" customHeight="1">
      <c r="A296" s="218">
        <f t="shared" si="34"/>
        <v>135</v>
      </c>
      <c r="B296" s="219" t="s">
        <v>1284</v>
      </c>
      <c r="C296" s="161">
        <v>10</v>
      </c>
      <c r="D296" s="219" t="s">
        <v>785</v>
      </c>
      <c r="F296" s="8">
        <v>1</v>
      </c>
      <c r="G296" s="7" t="s">
        <v>885</v>
      </c>
      <c r="H296" s="1" t="s">
        <v>888</v>
      </c>
      <c r="I296" s="8">
        <f>(C69)</f>
        <v>886.09</v>
      </c>
      <c r="J296" s="1" t="s">
        <v>885</v>
      </c>
      <c r="K296" s="8">
        <f t="shared" si="35"/>
        <v>886.09</v>
      </c>
      <c r="M296" s="8">
        <v>0.14000000000000001</v>
      </c>
      <c r="N296" s="1" t="s">
        <v>885</v>
      </c>
      <c r="O296" s="1" t="s">
        <v>1377</v>
      </c>
      <c r="P296" s="8">
        <f>(K32)</f>
        <v>4628.8999999999996</v>
      </c>
      <c r="Q296" s="1" t="s">
        <v>885</v>
      </c>
      <c r="R296" s="8">
        <f>(M296*P296)</f>
        <v>648.04999999999995</v>
      </c>
      <c r="W296" s="4"/>
      <c r="AE296" s="63"/>
      <c r="AG296" s="1"/>
    </row>
    <row r="297" spans="1:33" ht="24" customHeight="1">
      <c r="A297" s="218">
        <f t="shared" si="34"/>
        <v>136</v>
      </c>
      <c r="B297" s="219" t="s">
        <v>1285</v>
      </c>
      <c r="C297" s="536">
        <v>7</v>
      </c>
      <c r="D297" s="219" t="s">
        <v>785</v>
      </c>
      <c r="F297" s="8">
        <v>3.4</v>
      </c>
      <c r="G297" s="7" t="s">
        <v>885</v>
      </c>
      <c r="H297" s="1" t="s">
        <v>1656</v>
      </c>
      <c r="I297" s="8">
        <f>(K49)</f>
        <v>3469.22</v>
      </c>
      <c r="J297" s="1" t="s">
        <v>885</v>
      </c>
      <c r="K297" s="8">
        <f t="shared" si="35"/>
        <v>11795.35</v>
      </c>
      <c r="M297" s="8">
        <v>1.1000000000000001</v>
      </c>
      <c r="N297" s="1" t="s">
        <v>884</v>
      </c>
      <c r="O297" s="1" t="s">
        <v>2045</v>
      </c>
      <c r="P297" s="8">
        <f>(C10)</f>
        <v>1041.7</v>
      </c>
      <c r="Q297" s="1" t="s">
        <v>884</v>
      </c>
      <c r="R297" s="8">
        <f>(M297*P297)</f>
        <v>1145.8699999999999</v>
      </c>
      <c r="W297" s="4"/>
      <c r="AE297" s="63"/>
      <c r="AG297" s="1"/>
    </row>
    <row r="298" spans="1:33" ht="24" customHeight="1">
      <c r="A298" s="218">
        <f t="shared" si="34"/>
        <v>137</v>
      </c>
      <c r="B298" s="219" t="s">
        <v>1286</v>
      </c>
      <c r="C298" s="161">
        <v>2.2000000000000002</v>
      </c>
      <c r="D298" s="219" t="s">
        <v>785</v>
      </c>
      <c r="F298" s="8">
        <v>7.1</v>
      </c>
      <c r="G298" s="7" t="s">
        <v>884</v>
      </c>
      <c r="H298" s="1" t="s">
        <v>2045</v>
      </c>
      <c r="I298" s="8">
        <f>(C10)</f>
        <v>1041.7</v>
      </c>
      <c r="J298" s="1" t="s">
        <v>884</v>
      </c>
      <c r="K298" s="8">
        <f t="shared" si="35"/>
        <v>7396.07</v>
      </c>
      <c r="M298" s="8">
        <v>0.5</v>
      </c>
      <c r="N298" s="1" t="s">
        <v>884</v>
      </c>
      <c r="O298" s="1" t="s">
        <v>1937</v>
      </c>
      <c r="P298" s="8">
        <f>(C12)</f>
        <v>679.8</v>
      </c>
      <c r="Q298" s="1" t="s">
        <v>884</v>
      </c>
      <c r="R298" s="8">
        <f>(M298*P298)</f>
        <v>339.9</v>
      </c>
      <c r="W298" s="4"/>
      <c r="AE298" s="63"/>
      <c r="AG298" s="1"/>
    </row>
    <row r="299" spans="1:33" ht="24" customHeight="1">
      <c r="A299" s="218">
        <f t="shared" si="34"/>
        <v>138</v>
      </c>
      <c r="B299" s="219" t="s">
        <v>1475</v>
      </c>
      <c r="C299" s="161">
        <v>10.5</v>
      </c>
      <c r="D299" s="219" t="s">
        <v>785</v>
      </c>
      <c r="F299" s="8">
        <v>10.6</v>
      </c>
      <c r="G299" s="7" t="s">
        <v>884</v>
      </c>
      <c r="H299" s="1" t="s">
        <v>1744</v>
      </c>
      <c r="I299" s="8">
        <f>(C11)</f>
        <v>972.4</v>
      </c>
      <c r="J299" s="1" t="s">
        <v>884</v>
      </c>
      <c r="K299" s="8">
        <f t="shared" si="35"/>
        <v>10307.44</v>
      </c>
      <c r="M299" s="8">
        <v>1.1000000000000001</v>
      </c>
      <c r="N299" s="1" t="s">
        <v>884</v>
      </c>
      <c r="O299" s="1" t="s">
        <v>325</v>
      </c>
      <c r="P299" s="8">
        <f>(C13)</f>
        <v>557.70000000000005</v>
      </c>
      <c r="Q299" s="1" t="s">
        <v>884</v>
      </c>
      <c r="R299" s="8">
        <f>(M299*P299)</f>
        <v>613.47</v>
      </c>
      <c r="W299" s="4"/>
      <c r="AE299" s="63"/>
      <c r="AG299" s="1"/>
    </row>
    <row r="300" spans="1:33" ht="24" customHeight="1">
      <c r="A300" s="218">
        <f t="shared" si="34"/>
        <v>139</v>
      </c>
      <c r="B300" s="219" t="s">
        <v>1476</v>
      </c>
      <c r="C300" s="161">
        <v>5.5</v>
      </c>
      <c r="D300" s="219" t="s">
        <v>785</v>
      </c>
      <c r="F300" s="8">
        <v>14.1</v>
      </c>
      <c r="G300" s="7" t="s">
        <v>884</v>
      </c>
      <c r="H300" s="1" t="s">
        <v>1937</v>
      </c>
      <c r="I300" s="8">
        <f>(C12)</f>
        <v>679.8</v>
      </c>
      <c r="J300" s="1" t="s">
        <v>884</v>
      </c>
      <c r="K300" s="8">
        <f t="shared" si="35"/>
        <v>9585.18</v>
      </c>
      <c r="N300" s="1" t="s">
        <v>455</v>
      </c>
      <c r="O300" s="1" t="s">
        <v>456</v>
      </c>
      <c r="P300" s="1" t="s">
        <v>992</v>
      </c>
      <c r="Q300" s="1" t="s">
        <v>455</v>
      </c>
      <c r="R300" s="8">
        <v>0</v>
      </c>
      <c r="W300" s="4"/>
      <c r="AE300" s="63"/>
      <c r="AG300" s="1"/>
    </row>
    <row r="301" spans="1:33" ht="24" customHeight="1">
      <c r="A301" s="218">
        <f t="shared" si="34"/>
        <v>140</v>
      </c>
      <c r="B301" s="219" t="s">
        <v>500</v>
      </c>
      <c r="C301" s="161">
        <v>21</v>
      </c>
      <c r="D301" s="219" t="s">
        <v>785</v>
      </c>
      <c r="F301" s="8">
        <v>14.1</v>
      </c>
      <c r="G301" s="7" t="s">
        <v>884</v>
      </c>
      <c r="H301" s="1" t="s">
        <v>325</v>
      </c>
      <c r="I301" s="8">
        <f>(C13)</f>
        <v>557.70000000000005</v>
      </c>
      <c r="J301" s="1" t="s">
        <v>884</v>
      </c>
      <c r="K301" s="8">
        <f t="shared" si="35"/>
        <v>7863.57</v>
      </c>
      <c r="R301" s="5" t="s">
        <v>1615</v>
      </c>
      <c r="W301" s="4"/>
      <c r="AE301" s="63"/>
      <c r="AG301" s="1"/>
    </row>
    <row r="302" spans="1:33" ht="24" customHeight="1">
      <c r="A302" s="218">
        <f t="shared" si="34"/>
        <v>141</v>
      </c>
      <c r="B302" s="219" t="s">
        <v>501</v>
      </c>
      <c r="C302" s="161">
        <v>10</v>
      </c>
      <c r="D302" s="219" t="s">
        <v>785</v>
      </c>
      <c r="G302" s="7" t="s">
        <v>455</v>
      </c>
      <c r="H302" s="1" t="s">
        <v>456</v>
      </c>
      <c r="J302" s="1" t="s">
        <v>455</v>
      </c>
      <c r="K302" s="8">
        <v>0</v>
      </c>
      <c r="O302" s="1" t="s">
        <v>992</v>
      </c>
      <c r="R302" s="8">
        <f>SUM(R296:R300)</f>
        <v>2747.29</v>
      </c>
      <c r="W302" s="4"/>
      <c r="AE302" s="63"/>
      <c r="AG302" s="1"/>
    </row>
    <row r="303" spans="1:33" ht="24" customHeight="1">
      <c r="A303" s="218">
        <f t="shared" si="34"/>
        <v>142</v>
      </c>
      <c r="B303" s="219" t="s">
        <v>1839</v>
      </c>
      <c r="C303" s="161">
        <v>4</v>
      </c>
      <c r="D303" s="219" t="s">
        <v>785</v>
      </c>
      <c r="K303" s="5" t="s">
        <v>1615</v>
      </c>
      <c r="R303" s="5" t="s">
        <v>1615</v>
      </c>
      <c r="W303" s="4"/>
      <c r="AE303" s="63"/>
      <c r="AG303" s="1"/>
    </row>
    <row r="304" spans="1:33" ht="24" customHeight="1">
      <c r="A304" s="218">
        <f t="shared" si="34"/>
        <v>143</v>
      </c>
      <c r="B304" s="219" t="s">
        <v>1172</v>
      </c>
      <c r="C304" s="161">
        <v>8</v>
      </c>
      <c r="D304" s="219" t="s">
        <v>884</v>
      </c>
      <c r="H304" s="1" t="s">
        <v>626</v>
      </c>
      <c r="K304" s="8">
        <f>SUM(K295:K302)</f>
        <v>54704.6</v>
      </c>
      <c r="O304" s="1" t="s">
        <v>562</v>
      </c>
      <c r="R304" s="8">
        <f>(R302/10)</f>
        <v>274.73</v>
      </c>
      <c r="W304" s="4"/>
      <c r="AE304" s="63"/>
      <c r="AG304" s="1"/>
    </row>
    <row r="305" spans="1:33" ht="24" customHeight="1">
      <c r="A305" s="218">
        <f t="shared" si="34"/>
        <v>144</v>
      </c>
      <c r="B305" s="219" t="s">
        <v>1173</v>
      </c>
      <c r="C305" s="161">
        <v>8.5</v>
      </c>
      <c r="D305" s="219" t="s">
        <v>785</v>
      </c>
      <c r="K305" s="5" t="s">
        <v>1615</v>
      </c>
      <c r="N305" s="1" t="s">
        <v>2290</v>
      </c>
      <c r="O305" s="1" t="s">
        <v>502</v>
      </c>
      <c r="R305" s="5" t="s">
        <v>2091</v>
      </c>
      <c r="W305" s="4"/>
      <c r="AE305" s="63"/>
      <c r="AG305" s="1"/>
    </row>
    <row r="306" spans="1:33" ht="24" customHeight="1">
      <c r="A306" s="218">
        <f t="shared" si="34"/>
        <v>145</v>
      </c>
      <c r="B306" s="219" t="s">
        <v>616</v>
      </c>
      <c r="C306" s="161">
        <v>2.8</v>
      </c>
      <c r="D306" s="219" t="s">
        <v>785</v>
      </c>
      <c r="H306" s="58" t="s">
        <v>789</v>
      </c>
      <c r="K306" s="38">
        <f>(K304/10)</f>
        <v>5470.46</v>
      </c>
      <c r="O306" s="5" t="s">
        <v>1615</v>
      </c>
      <c r="W306" s="4"/>
      <c r="AE306" s="63"/>
      <c r="AG306" s="1"/>
    </row>
    <row r="307" spans="1:33" ht="24" customHeight="1">
      <c r="A307" s="218">
        <f t="shared" si="34"/>
        <v>146</v>
      </c>
      <c r="B307" s="219" t="s">
        <v>2020</v>
      </c>
      <c r="C307" s="161">
        <v>1.8</v>
      </c>
      <c r="D307" s="219" t="s">
        <v>785</v>
      </c>
      <c r="K307" s="5" t="s">
        <v>2091</v>
      </c>
      <c r="M307" s="8">
        <v>0.14000000000000001</v>
      </c>
      <c r="N307" s="1" t="s">
        <v>885</v>
      </c>
      <c r="O307" s="1" t="s">
        <v>121</v>
      </c>
      <c r="P307" s="8">
        <f>(K23)</f>
        <v>6078.5</v>
      </c>
      <c r="Q307" s="1" t="s">
        <v>885</v>
      </c>
      <c r="R307" s="8">
        <f>(M307*P307)</f>
        <v>850.99</v>
      </c>
      <c r="W307" s="4"/>
      <c r="AE307" s="63"/>
      <c r="AG307" s="1"/>
    </row>
    <row r="308" spans="1:33" ht="24" customHeight="1">
      <c r="A308" s="218">
        <f t="shared" si="34"/>
        <v>147</v>
      </c>
      <c r="B308" s="536" t="s">
        <v>4412</v>
      </c>
      <c r="C308" s="536">
        <v>3</v>
      </c>
      <c r="D308" s="219" t="s">
        <v>785</v>
      </c>
      <c r="F308" s="24">
        <v>6.5</v>
      </c>
      <c r="G308" s="7" t="s">
        <v>2290</v>
      </c>
      <c r="H308" s="1" t="s">
        <v>2873</v>
      </c>
      <c r="M308" s="8">
        <v>1.1000000000000001</v>
      </c>
      <c r="N308" s="1" t="s">
        <v>884</v>
      </c>
      <c r="O308" s="1" t="s">
        <v>2045</v>
      </c>
      <c r="P308" s="8">
        <f>(C10)</f>
        <v>1041.7</v>
      </c>
      <c r="Q308" s="1" t="s">
        <v>884</v>
      </c>
      <c r="R308" s="8">
        <f>(M308*P308)</f>
        <v>1145.8699999999999</v>
      </c>
      <c r="S308" s="50">
        <v>6.1</v>
      </c>
      <c r="T308" t="s">
        <v>2290</v>
      </c>
      <c r="U308" t="s">
        <v>2275</v>
      </c>
      <c r="W308" s="4"/>
      <c r="AB308" s="11">
        <v>6</v>
      </c>
      <c r="AC308" s="7" t="s">
        <v>2290</v>
      </c>
      <c r="AD308" s="1" t="s">
        <v>3586</v>
      </c>
      <c r="AF308" s="10"/>
    </row>
    <row r="309" spans="1:33" ht="24" customHeight="1">
      <c r="A309" s="218">
        <f t="shared" si="34"/>
        <v>148</v>
      </c>
      <c r="B309" s="219" t="s">
        <v>2022</v>
      </c>
      <c r="C309" s="445" t="s">
        <v>992</v>
      </c>
      <c r="D309" s="446"/>
      <c r="H309" s="1" t="s">
        <v>2977</v>
      </c>
      <c r="M309" s="8">
        <v>0.5</v>
      </c>
      <c r="N309" s="1" t="s">
        <v>884</v>
      </c>
      <c r="O309" s="1" t="s">
        <v>1937</v>
      </c>
      <c r="P309" s="8">
        <f>(C12)</f>
        <v>679.8</v>
      </c>
      <c r="Q309" s="1" t="s">
        <v>884</v>
      </c>
      <c r="R309" s="8">
        <f>(M309*P309)</f>
        <v>339.9</v>
      </c>
      <c r="U309" t="s">
        <v>432</v>
      </c>
      <c r="W309" s="4"/>
      <c r="AC309" s="3"/>
      <c r="AD309" s="1" t="s">
        <v>3587</v>
      </c>
      <c r="AF309" s="10"/>
    </row>
    <row r="310" spans="1:33" ht="24" customHeight="1">
      <c r="A310" s="218">
        <f t="shared" si="34"/>
        <v>149</v>
      </c>
      <c r="B310" s="219" t="s">
        <v>243</v>
      </c>
      <c r="C310" s="853">
        <v>66.44</v>
      </c>
      <c r="D310" s="534" t="s">
        <v>1805</v>
      </c>
      <c r="H310" s="5" t="s">
        <v>1615</v>
      </c>
      <c r="M310" s="8">
        <v>1.1000000000000001</v>
      </c>
      <c r="N310" s="1" t="s">
        <v>884</v>
      </c>
      <c r="O310" s="1" t="s">
        <v>325</v>
      </c>
      <c r="P310" s="8">
        <f>(C13)</f>
        <v>557.70000000000005</v>
      </c>
      <c r="Q310" s="1" t="s">
        <v>884</v>
      </c>
      <c r="R310" s="8">
        <f>(M310*P310)</f>
        <v>613.47</v>
      </c>
      <c r="U310" t="s">
        <v>1615</v>
      </c>
      <c r="W310" s="4"/>
      <c r="AC310" s="3"/>
      <c r="AD310" s="5" t="s">
        <v>1615</v>
      </c>
      <c r="AF310" s="10"/>
    </row>
    <row r="311" spans="1:33" ht="24" customHeight="1">
      <c r="A311" s="218">
        <f t="shared" si="34"/>
        <v>150</v>
      </c>
      <c r="B311" s="219" t="s">
        <v>244</v>
      </c>
      <c r="C311" s="853">
        <v>83.5</v>
      </c>
      <c r="D311" s="534" t="s">
        <v>1805</v>
      </c>
      <c r="F311" s="8">
        <v>4800</v>
      </c>
      <c r="G311" s="7" t="s">
        <v>1450</v>
      </c>
      <c r="H311" s="8" t="str">
        <f>H309</f>
        <v>Bricks of size 22x11x7 cm</v>
      </c>
      <c r="I311" s="8">
        <f>C80</f>
        <v>5902.5</v>
      </c>
      <c r="J311" s="1" t="s">
        <v>1623</v>
      </c>
      <c r="K311" s="8">
        <f>(F311*I311)/1000</f>
        <v>28332</v>
      </c>
      <c r="N311" s="1" t="s">
        <v>455</v>
      </c>
      <c r="O311" s="1" t="s">
        <v>456</v>
      </c>
      <c r="P311" s="1" t="s">
        <v>992</v>
      </c>
      <c r="Q311" s="1" t="s">
        <v>455</v>
      </c>
      <c r="R311" s="8">
        <v>0</v>
      </c>
      <c r="S311" s="50">
        <v>4600</v>
      </c>
      <c r="T311" t="s">
        <v>1450</v>
      </c>
      <c r="U311" t="s">
        <v>432</v>
      </c>
      <c r="V311" s="32">
        <f>AC41</f>
        <v>6917.4</v>
      </c>
      <c r="W311" s="1005" t="s">
        <v>1314</v>
      </c>
      <c r="X311">
        <f>(V311*S311)/1000</f>
        <v>31820.04</v>
      </c>
      <c r="AB311" s="8">
        <v>4240</v>
      </c>
      <c r="AC311" s="7" t="s">
        <v>1450</v>
      </c>
      <c r="AD311" s="8" t="str">
        <f>AD309</f>
        <v>Bricks of size 23x11.4x7.5 cm</v>
      </c>
      <c r="AE311" s="8">
        <f>AC42</f>
        <v>7117.4</v>
      </c>
      <c r="AF311" s="1" t="s">
        <v>1623</v>
      </c>
      <c r="AG311" s="8">
        <f>(AB311*AE311)/1000</f>
        <v>30177.78</v>
      </c>
    </row>
    <row r="312" spans="1:33" ht="24" customHeight="1">
      <c r="A312" s="218">
        <f t="shared" si="34"/>
        <v>151</v>
      </c>
      <c r="B312" s="219" t="s">
        <v>245</v>
      </c>
      <c r="C312" s="853">
        <v>102.12</v>
      </c>
      <c r="D312" s="534" t="s">
        <v>1805</v>
      </c>
      <c r="F312" s="8">
        <v>2.5</v>
      </c>
      <c r="G312" s="7" t="s">
        <v>885</v>
      </c>
      <c r="H312" s="1" t="s">
        <v>1656</v>
      </c>
      <c r="I312" s="8">
        <f>K49</f>
        <v>3469.22</v>
      </c>
      <c r="J312" s="1" t="s">
        <v>885</v>
      </c>
      <c r="K312" s="8">
        <f>(F312*I312)</f>
        <v>8673.0499999999993</v>
      </c>
      <c r="R312" s="5" t="s">
        <v>1615</v>
      </c>
      <c r="S312" s="50">
        <v>2.5</v>
      </c>
      <c r="T312" t="s">
        <v>885</v>
      </c>
      <c r="U312" t="s">
        <v>1656</v>
      </c>
      <c r="V312" s="32">
        <f>K49</f>
        <v>3469.22</v>
      </c>
      <c r="W312" s="4" t="s">
        <v>885</v>
      </c>
      <c r="X312">
        <f>V312*S312</f>
        <v>8673.0499999999993</v>
      </c>
      <c r="AB312" s="8">
        <v>2</v>
      </c>
      <c r="AC312" s="7" t="s">
        <v>885</v>
      </c>
      <c r="AD312" s="1" t="s">
        <v>1656</v>
      </c>
      <c r="AE312" s="8">
        <f>K49</f>
        <v>3469.22</v>
      </c>
      <c r="AF312" s="1" t="s">
        <v>885</v>
      </c>
      <c r="AG312" s="8">
        <f>(AB312*AE312)</f>
        <v>6938.44</v>
      </c>
    </row>
    <row r="313" spans="1:33" ht="24" customHeight="1">
      <c r="A313" s="218">
        <f t="shared" si="34"/>
        <v>152</v>
      </c>
      <c r="B313" s="219" t="s">
        <v>2261</v>
      </c>
      <c r="C313" s="853">
        <v>182.52</v>
      </c>
      <c r="D313" s="534" t="s">
        <v>1805</v>
      </c>
      <c r="F313" s="8">
        <v>3.5</v>
      </c>
      <c r="G313" s="7" t="s">
        <v>884</v>
      </c>
      <c r="H313" s="1" t="s">
        <v>2045</v>
      </c>
      <c r="I313" s="8">
        <f>C10</f>
        <v>1041.7</v>
      </c>
      <c r="J313" s="1" t="s">
        <v>884</v>
      </c>
      <c r="K313" s="8">
        <f>(F313*I313)</f>
        <v>3645.95</v>
      </c>
      <c r="O313" s="1" t="s">
        <v>447</v>
      </c>
      <c r="R313" s="8">
        <f>SUM(R307:R311)</f>
        <v>2950.23</v>
      </c>
      <c r="S313" s="50">
        <v>3.5</v>
      </c>
      <c r="T313" t="s">
        <v>884</v>
      </c>
      <c r="U313" t="s">
        <v>2045</v>
      </c>
      <c r="V313" s="32">
        <f>I313</f>
        <v>1041.7</v>
      </c>
      <c r="W313" s="4" t="s">
        <v>884</v>
      </c>
      <c r="X313">
        <f>V313*S313</f>
        <v>3645.95</v>
      </c>
      <c r="AB313" s="8">
        <v>3.5</v>
      </c>
      <c r="AC313" s="7" t="s">
        <v>884</v>
      </c>
      <c r="AD313" s="1" t="s">
        <v>2045</v>
      </c>
      <c r="AE313" s="8">
        <f>V313</f>
        <v>1041.7</v>
      </c>
      <c r="AF313" s="1" t="s">
        <v>884</v>
      </c>
      <c r="AG313" s="8">
        <f>(AB313*AE313)</f>
        <v>3645.95</v>
      </c>
    </row>
    <row r="314" spans="1:33" ht="24" customHeight="1">
      <c r="A314" s="218">
        <f t="shared" si="34"/>
        <v>153</v>
      </c>
      <c r="B314" s="219" t="s">
        <v>2262</v>
      </c>
      <c r="C314" s="854"/>
      <c r="D314" s="535"/>
      <c r="F314" s="8">
        <v>10.6</v>
      </c>
      <c r="G314" s="7" t="s">
        <v>884</v>
      </c>
      <c r="H314" s="1" t="s">
        <v>1744</v>
      </c>
      <c r="I314" s="8">
        <f>C11</f>
        <v>972.4</v>
      </c>
      <c r="J314" s="1" t="s">
        <v>884</v>
      </c>
      <c r="K314" s="8">
        <f>(F314*I314)</f>
        <v>10307.44</v>
      </c>
      <c r="R314" s="5" t="s">
        <v>1615</v>
      </c>
      <c r="S314" s="50">
        <v>10.6</v>
      </c>
      <c r="T314" t="s">
        <v>884</v>
      </c>
      <c r="U314" t="s">
        <v>1744</v>
      </c>
      <c r="V314" s="32">
        <f>I314</f>
        <v>972.4</v>
      </c>
      <c r="W314" s="4" t="s">
        <v>884</v>
      </c>
      <c r="X314">
        <f>V314*S314</f>
        <v>10307.44</v>
      </c>
      <c r="AB314" s="8">
        <v>10.6</v>
      </c>
      <c r="AC314" s="7" t="s">
        <v>884</v>
      </c>
      <c r="AD314" s="1" t="s">
        <v>1744</v>
      </c>
      <c r="AE314" s="8">
        <f>V314</f>
        <v>972.4</v>
      </c>
      <c r="AF314" s="1" t="s">
        <v>884</v>
      </c>
      <c r="AG314" s="8">
        <f>(AB314*AE314)</f>
        <v>10307.44</v>
      </c>
    </row>
    <row r="315" spans="1:33" ht="24" customHeight="1">
      <c r="A315" s="218">
        <f t="shared" si="34"/>
        <v>154</v>
      </c>
      <c r="B315" s="219" t="s">
        <v>243</v>
      </c>
      <c r="C315" s="853">
        <v>26.62</v>
      </c>
      <c r="D315" s="534" t="s">
        <v>785</v>
      </c>
      <c r="F315" s="8">
        <v>7.1</v>
      </c>
      <c r="G315" s="7" t="s">
        <v>884</v>
      </c>
      <c r="H315" s="1" t="s">
        <v>1937</v>
      </c>
      <c r="I315" s="8">
        <f>C12</f>
        <v>679.8</v>
      </c>
      <c r="J315" s="1" t="s">
        <v>884</v>
      </c>
      <c r="K315" s="8">
        <f>(F315*I315)</f>
        <v>4826.58</v>
      </c>
      <c r="O315" s="1" t="s">
        <v>562</v>
      </c>
      <c r="R315" s="8">
        <f>(R313/10)</f>
        <v>295.02</v>
      </c>
      <c r="S315" s="50">
        <v>7.1</v>
      </c>
      <c r="T315" t="s">
        <v>884</v>
      </c>
      <c r="U315" t="s">
        <v>1937</v>
      </c>
      <c r="V315" s="32">
        <f>I315</f>
        <v>679.8</v>
      </c>
      <c r="W315" s="4" t="s">
        <v>884</v>
      </c>
      <c r="X315">
        <f>V315*S315</f>
        <v>4826.58</v>
      </c>
      <c r="AB315" s="8">
        <v>7.1</v>
      </c>
      <c r="AC315" s="7" t="s">
        <v>884</v>
      </c>
      <c r="AD315" s="1" t="s">
        <v>1937</v>
      </c>
      <c r="AE315" s="8">
        <f>V315</f>
        <v>679.8</v>
      </c>
      <c r="AF315" s="1" t="s">
        <v>884</v>
      </c>
      <c r="AG315" s="8">
        <f>(AB315*AE315)</f>
        <v>4826.58</v>
      </c>
    </row>
    <row r="316" spans="1:33" ht="24" customHeight="1">
      <c r="A316" s="218">
        <f t="shared" si="34"/>
        <v>155</v>
      </c>
      <c r="B316" s="219" t="s">
        <v>244</v>
      </c>
      <c r="C316" s="853">
        <v>34.869999999999997</v>
      </c>
      <c r="D316" s="534" t="s">
        <v>785</v>
      </c>
      <c r="F316" s="8">
        <v>21.2</v>
      </c>
      <c r="G316" s="7" t="s">
        <v>884</v>
      </c>
      <c r="H316" s="1" t="s">
        <v>325</v>
      </c>
      <c r="I316" s="8">
        <f>C13</f>
        <v>557.70000000000005</v>
      </c>
      <c r="J316" s="1" t="s">
        <v>884</v>
      </c>
      <c r="K316" s="8">
        <f>(F316*I316)</f>
        <v>11823.24</v>
      </c>
      <c r="R316" s="5" t="s">
        <v>2091</v>
      </c>
      <c r="S316" s="50">
        <v>21.2</v>
      </c>
      <c r="T316" t="s">
        <v>884</v>
      </c>
      <c r="U316" t="s">
        <v>325</v>
      </c>
      <c r="V316" s="32">
        <f>I316</f>
        <v>557.70000000000005</v>
      </c>
      <c r="W316" s="4" t="s">
        <v>884</v>
      </c>
      <c r="X316">
        <f>V316*S316</f>
        <v>11823.24</v>
      </c>
      <c r="AB316" s="8">
        <v>21.2</v>
      </c>
      <c r="AC316" s="7" t="s">
        <v>884</v>
      </c>
      <c r="AD316" s="1" t="s">
        <v>325</v>
      </c>
      <c r="AE316" s="8">
        <f>V316</f>
        <v>557.70000000000005</v>
      </c>
      <c r="AF316" s="1" t="s">
        <v>884</v>
      </c>
      <c r="AG316" s="8">
        <f>(AB316*AE316)</f>
        <v>11823.24</v>
      </c>
    </row>
    <row r="317" spans="1:33" ht="24" customHeight="1">
      <c r="A317" s="218">
        <f t="shared" si="34"/>
        <v>156</v>
      </c>
      <c r="B317" s="219" t="s">
        <v>245</v>
      </c>
      <c r="C317" s="853">
        <v>45</v>
      </c>
      <c r="D317" s="534" t="s">
        <v>785</v>
      </c>
      <c r="G317" s="7" t="s">
        <v>455</v>
      </c>
      <c r="H317" s="1" t="s">
        <v>456</v>
      </c>
      <c r="J317" s="1" t="s">
        <v>455</v>
      </c>
      <c r="K317" s="8">
        <v>5</v>
      </c>
      <c r="N317" s="1" t="s">
        <v>2290</v>
      </c>
      <c r="O317" s="1" t="s">
        <v>2263</v>
      </c>
      <c r="T317" t="s">
        <v>455</v>
      </c>
      <c r="U317" t="s">
        <v>456</v>
      </c>
      <c r="W317" s="4" t="s">
        <v>455</v>
      </c>
      <c r="X317">
        <v>0</v>
      </c>
      <c r="AC317" s="7" t="s">
        <v>455</v>
      </c>
      <c r="AD317" s="1" t="s">
        <v>456</v>
      </c>
      <c r="AF317" s="1" t="s">
        <v>455</v>
      </c>
      <c r="AG317" s="8">
        <v>5</v>
      </c>
    </row>
    <row r="318" spans="1:33" ht="24" customHeight="1">
      <c r="A318" s="218">
        <f t="shared" si="34"/>
        <v>157</v>
      </c>
      <c r="B318" s="219" t="s">
        <v>2261</v>
      </c>
      <c r="C318" s="853">
        <v>99.75</v>
      </c>
      <c r="D318" s="534" t="s">
        <v>785</v>
      </c>
      <c r="K318" s="5" t="s">
        <v>1615</v>
      </c>
      <c r="O318" s="5" t="s">
        <v>1615</v>
      </c>
      <c r="W318" s="4"/>
      <c r="X318" t="s">
        <v>1615</v>
      </c>
      <c r="AC318" s="3"/>
      <c r="AF318" s="10"/>
      <c r="AG318" s="5" t="s">
        <v>1615</v>
      </c>
    </row>
    <row r="319" spans="1:33" ht="24" customHeight="1">
      <c r="A319" s="218">
        <f t="shared" si="34"/>
        <v>158</v>
      </c>
      <c r="B319" s="219" t="s">
        <v>2225</v>
      </c>
      <c r="C319" s="854"/>
      <c r="D319" s="535"/>
      <c r="H319" s="1" t="s">
        <v>626</v>
      </c>
      <c r="K319" s="8">
        <f>SUM(K311:K317)</f>
        <v>67613.259999999995</v>
      </c>
      <c r="M319" s="8">
        <v>0.1</v>
      </c>
      <c r="N319" s="1" t="s">
        <v>885</v>
      </c>
      <c r="O319" s="1" t="s">
        <v>121</v>
      </c>
      <c r="P319" s="8">
        <f>(K23)</f>
        <v>6078.5</v>
      </c>
      <c r="Q319" s="1" t="s">
        <v>885</v>
      </c>
      <c r="R319" s="8">
        <f>(M319*P319)</f>
        <v>607.85</v>
      </c>
      <c r="U319" t="s">
        <v>626</v>
      </c>
      <c r="W319" s="4"/>
      <c r="X319">
        <f>SUM(X311:X318)</f>
        <v>71096.3</v>
      </c>
      <c r="AC319" s="3"/>
      <c r="AD319" s="1" t="s">
        <v>626</v>
      </c>
      <c r="AF319" s="10"/>
      <c r="AG319" s="8">
        <f>SUM(AG311:AG317)</f>
        <v>67724.429999999993</v>
      </c>
    </row>
    <row r="320" spans="1:33" ht="24" customHeight="1">
      <c r="A320" s="218">
        <f t="shared" si="34"/>
        <v>159</v>
      </c>
      <c r="B320" s="219" t="s">
        <v>243</v>
      </c>
      <c r="C320" s="853">
        <v>43.47</v>
      </c>
      <c r="D320" s="534" t="s">
        <v>785</v>
      </c>
      <c r="K320" s="5" t="s">
        <v>1615</v>
      </c>
      <c r="M320" s="8">
        <v>1.1000000000000001</v>
      </c>
      <c r="N320" s="1" t="s">
        <v>884</v>
      </c>
      <c r="O320" s="1" t="s">
        <v>2045</v>
      </c>
      <c r="P320" s="8">
        <f>(C10)</f>
        <v>1041.7</v>
      </c>
      <c r="Q320" s="1" t="s">
        <v>884</v>
      </c>
      <c r="R320" s="8">
        <f>(M320*P320)</f>
        <v>1145.8699999999999</v>
      </c>
      <c r="W320" s="4"/>
      <c r="X320" t="s">
        <v>1615</v>
      </c>
      <c r="AC320" s="3"/>
      <c r="AF320" s="10"/>
      <c r="AG320" s="5" t="s">
        <v>1615</v>
      </c>
    </row>
    <row r="321" spans="1:34" ht="24" customHeight="1">
      <c r="A321" s="218">
        <f t="shared" si="34"/>
        <v>160</v>
      </c>
      <c r="B321" s="219" t="s">
        <v>244</v>
      </c>
      <c r="C321" s="853">
        <v>50.34</v>
      </c>
      <c r="D321" s="534" t="s">
        <v>785</v>
      </c>
      <c r="H321" s="58" t="s">
        <v>789</v>
      </c>
      <c r="K321" s="38">
        <f>(K319/10)</f>
        <v>6761.33</v>
      </c>
      <c r="M321" s="8">
        <v>1.1000000000000001</v>
      </c>
      <c r="N321" s="1" t="s">
        <v>884</v>
      </c>
      <c r="O321" s="1" t="s">
        <v>1937</v>
      </c>
      <c r="P321" s="8">
        <f>(C12)</f>
        <v>679.8</v>
      </c>
      <c r="Q321" s="1" t="s">
        <v>884</v>
      </c>
      <c r="R321" s="8">
        <f>(M321*P321)</f>
        <v>747.78</v>
      </c>
      <c r="U321" t="s">
        <v>789</v>
      </c>
      <c r="W321" s="4"/>
      <c r="X321" s="36">
        <f>X319/10</f>
        <v>7109.63</v>
      </c>
      <c r="AC321" s="3"/>
      <c r="AD321" s="58" t="s">
        <v>789</v>
      </c>
      <c r="AF321" s="10"/>
      <c r="AG321" s="38">
        <f>(AG319/10)</f>
        <v>6772.44</v>
      </c>
    </row>
    <row r="322" spans="1:34" ht="24" customHeight="1">
      <c r="A322" s="218">
        <f t="shared" si="34"/>
        <v>161</v>
      </c>
      <c r="B322" s="219" t="s">
        <v>245</v>
      </c>
      <c r="C322" s="853">
        <v>65.209999999999994</v>
      </c>
      <c r="D322" s="534" t="s">
        <v>785</v>
      </c>
      <c r="K322" s="5" t="s">
        <v>2091</v>
      </c>
      <c r="M322" s="8">
        <v>1.1000000000000001</v>
      </c>
      <c r="N322" s="1" t="s">
        <v>884</v>
      </c>
      <c r="O322" s="1" t="s">
        <v>325</v>
      </c>
      <c r="P322" s="8">
        <f>(C13)</f>
        <v>557.70000000000005</v>
      </c>
      <c r="Q322" s="1" t="s">
        <v>884</v>
      </c>
      <c r="R322" s="8">
        <f>(M322*P322)</f>
        <v>613.47</v>
      </c>
      <c r="W322" s="4"/>
      <c r="AC322" s="3"/>
      <c r="AF322" s="10"/>
      <c r="AG322" s="5" t="s">
        <v>2091</v>
      </c>
    </row>
    <row r="323" spans="1:34" ht="24" customHeight="1">
      <c r="A323" s="218">
        <f t="shared" si="34"/>
        <v>162</v>
      </c>
      <c r="B323" s="219" t="s">
        <v>2261</v>
      </c>
      <c r="C323" s="853">
        <v>145.29</v>
      </c>
      <c r="D323" s="534" t="s">
        <v>785</v>
      </c>
      <c r="H323" s="1" t="s">
        <v>391</v>
      </c>
      <c r="K323" s="8">
        <f>(K321+C19)</f>
        <v>6843.61</v>
      </c>
      <c r="L323">
        <f>K323-K321</f>
        <v>82.28</v>
      </c>
      <c r="N323" s="1" t="s">
        <v>455</v>
      </c>
      <c r="O323" s="1" t="s">
        <v>456</v>
      </c>
      <c r="P323" s="1" t="s">
        <v>992</v>
      </c>
      <c r="Q323" s="1" t="s">
        <v>455</v>
      </c>
      <c r="R323" s="8">
        <v>0</v>
      </c>
      <c r="U323" t="s">
        <v>391</v>
      </c>
      <c r="W323" s="4"/>
      <c r="X323">
        <f>X321+C19</f>
        <v>7191.91</v>
      </c>
      <c r="Y323">
        <f>X323-X321</f>
        <v>82.28</v>
      </c>
      <c r="AC323" s="3"/>
      <c r="AD323" s="1" t="s">
        <v>391</v>
      </c>
      <c r="AF323" s="10"/>
      <c r="AG323" s="8">
        <f>AG321+C19</f>
        <v>6854.72</v>
      </c>
      <c r="AH323">
        <f>AG323-AG321</f>
        <v>82.28</v>
      </c>
    </row>
    <row r="324" spans="1:34" ht="24" customHeight="1">
      <c r="A324" s="218">
        <f t="shared" si="34"/>
        <v>163</v>
      </c>
      <c r="B324" s="219" t="s">
        <v>2226</v>
      </c>
      <c r="C324" s="854"/>
      <c r="D324" s="535"/>
      <c r="H324" s="1" t="s">
        <v>393</v>
      </c>
      <c r="K324" s="8">
        <f>(K323+C20)</f>
        <v>7009.6</v>
      </c>
      <c r="L324">
        <f>K324-K323</f>
        <v>165.99</v>
      </c>
      <c r="R324" s="5" t="s">
        <v>1615</v>
      </c>
      <c r="U324" t="s">
        <v>393</v>
      </c>
      <c r="W324" s="4"/>
      <c r="X324">
        <f>X323+C20</f>
        <v>7357.9</v>
      </c>
      <c r="Y324">
        <f>X324-X323</f>
        <v>165.99</v>
      </c>
      <c r="AC324" s="3"/>
      <c r="AD324" s="1" t="s">
        <v>393</v>
      </c>
      <c r="AF324" s="10"/>
      <c r="AG324" s="8">
        <f>AG323+C20</f>
        <v>7020.71</v>
      </c>
      <c r="AH324">
        <f>AG324-AG323</f>
        <v>165.99</v>
      </c>
    </row>
    <row r="325" spans="1:34" ht="24" customHeight="1">
      <c r="A325" s="218">
        <f t="shared" si="34"/>
        <v>164</v>
      </c>
      <c r="B325" s="219" t="s">
        <v>243</v>
      </c>
      <c r="C325" s="853">
        <v>14.91</v>
      </c>
      <c r="D325" s="534" t="s">
        <v>1805</v>
      </c>
      <c r="H325" s="1" t="s">
        <v>2271</v>
      </c>
      <c r="K325" s="8">
        <f>(K324+C21)</f>
        <v>7175.59</v>
      </c>
      <c r="M325">
        <f>(K325+K324)/2</f>
        <v>7092.6</v>
      </c>
      <c r="O325" s="1" t="s">
        <v>447</v>
      </c>
      <c r="R325" s="8">
        <f>SUM(R319:R323)</f>
        <v>3114.97</v>
      </c>
      <c r="U325" t="s">
        <v>2271</v>
      </c>
      <c r="W325" s="4"/>
      <c r="X325">
        <f>X324+C20</f>
        <v>7523.89</v>
      </c>
      <c r="AC325" s="3"/>
      <c r="AD325" s="1" t="s">
        <v>2271</v>
      </c>
      <c r="AF325" s="10"/>
      <c r="AG325" s="8">
        <f>AG324+C20</f>
        <v>7186.7</v>
      </c>
      <c r="AH325">
        <f>AG324-AG323</f>
        <v>165.99</v>
      </c>
    </row>
    <row r="326" spans="1:34" ht="24" customHeight="1">
      <c r="A326" s="218">
        <f t="shared" si="34"/>
        <v>165</v>
      </c>
      <c r="B326" s="219" t="s">
        <v>244</v>
      </c>
      <c r="C326" s="853">
        <v>19.41</v>
      </c>
      <c r="D326" s="534" t="s">
        <v>1805</v>
      </c>
      <c r="H326" s="1" t="s">
        <v>385</v>
      </c>
      <c r="K326" s="8">
        <f>(K325+C21)</f>
        <v>7341.58</v>
      </c>
      <c r="R326" s="5" t="s">
        <v>1615</v>
      </c>
      <c r="U326" t="s">
        <v>385</v>
      </c>
      <c r="W326" s="4"/>
      <c r="X326">
        <f>X325+C20</f>
        <v>7689.88</v>
      </c>
      <c r="AC326" s="3"/>
      <c r="AD326" s="1" t="s">
        <v>385</v>
      </c>
      <c r="AF326" s="10"/>
      <c r="AG326" s="8">
        <f>AG325+C20</f>
        <v>7352.69</v>
      </c>
    </row>
    <row r="327" spans="1:34" ht="24" customHeight="1">
      <c r="A327" s="218">
        <f t="shared" si="34"/>
        <v>166</v>
      </c>
      <c r="B327" s="219" t="s">
        <v>245</v>
      </c>
      <c r="C327" s="853">
        <v>22.22</v>
      </c>
      <c r="D327" s="534" t="s">
        <v>1805</v>
      </c>
      <c r="H327" s="1" t="s">
        <v>494</v>
      </c>
      <c r="K327" s="8">
        <f>(K326+C21)</f>
        <v>7507.57</v>
      </c>
      <c r="O327" s="1" t="s">
        <v>562</v>
      </c>
      <c r="R327" s="8">
        <f>(R325/10)</f>
        <v>311.5</v>
      </c>
      <c r="U327" t="s">
        <v>494</v>
      </c>
      <c r="W327" s="4"/>
      <c r="X327">
        <f>X326+C20</f>
        <v>7855.87</v>
      </c>
      <c r="AC327" s="3"/>
      <c r="AD327" s="1" t="s">
        <v>494</v>
      </c>
      <c r="AF327" s="10"/>
      <c r="AG327" s="8">
        <f>AG326+C20</f>
        <v>7518.68</v>
      </c>
    </row>
    <row r="328" spans="1:34" ht="24" customHeight="1">
      <c r="A328" s="218"/>
      <c r="B328" s="219"/>
      <c r="C328" s="853"/>
      <c r="D328" s="534"/>
      <c r="H328" s="1"/>
      <c r="K328" s="8"/>
      <c r="O328" s="1"/>
      <c r="R328" s="8"/>
      <c r="W328" s="4"/>
      <c r="AE328" s="51"/>
      <c r="AG328" s="1"/>
    </row>
    <row r="329" spans="1:34" ht="24" customHeight="1">
      <c r="A329" s="218"/>
      <c r="B329" s="219"/>
      <c r="C329" s="853"/>
      <c r="D329" s="534"/>
      <c r="F329" s="2" t="s">
        <v>651</v>
      </c>
      <c r="H329" s="1" t="s">
        <v>1636</v>
      </c>
      <c r="K329" s="709">
        <v>719</v>
      </c>
      <c r="L329" t="s">
        <v>1130</v>
      </c>
      <c r="O329" s="1"/>
      <c r="R329" s="8"/>
      <c r="W329" s="4"/>
      <c r="AE329" s="51"/>
      <c r="AG329" s="1"/>
    </row>
    <row r="330" spans="1:34" ht="24" customHeight="1">
      <c r="A330" s="218"/>
      <c r="B330" s="219"/>
      <c r="C330" s="853"/>
      <c r="D330" s="534"/>
      <c r="H330" s="1" t="s">
        <v>5092</v>
      </c>
      <c r="K330" s="5" t="s">
        <v>2091</v>
      </c>
      <c r="O330" s="1"/>
      <c r="R330" s="8"/>
      <c r="W330" s="4"/>
      <c r="AE330" s="51"/>
      <c r="AG330" s="1"/>
    </row>
    <row r="331" spans="1:34" ht="24" customHeight="1">
      <c r="A331" s="218"/>
      <c r="B331" s="219"/>
      <c r="C331" s="853"/>
      <c r="D331" s="534"/>
      <c r="H331" s="1"/>
      <c r="K331" s="8"/>
      <c r="O331" s="1"/>
      <c r="R331" s="8"/>
      <c r="W331" s="4"/>
      <c r="AE331" s="51"/>
      <c r="AG331" s="1"/>
    </row>
    <row r="332" spans="1:34" ht="24" customHeight="1">
      <c r="A332" s="218">
        <f>(A327+1)</f>
        <v>167</v>
      </c>
      <c r="B332" s="219" t="s">
        <v>2261</v>
      </c>
      <c r="C332" s="853">
        <v>46.42</v>
      </c>
      <c r="D332" s="534" t="s">
        <v>1805</v>
      </c>
      <c r="F332" s="11">
        <v>9</v>
      </c>
      <c r="G332" s="7" t="s">
        <v>2290</v>
      </c>
      <c r="H332" s="1" t="s">
        <v>2874</v>
      </c>
      <c r="R332" s="5" t="s">
        <v>2091</v>
      </c>
      <c r="S332" s="50">
        <v>9</v>
      </c>
      <c r="T332" t="s">
        <v>2290</v>
      </c>
      <c r="U332" t="s">
        <v>2274</v>
      </c>
      <c r="W332" s="4"/>
      <c r="AB332" s="11">
        <v>9</v>
      </c>
      <c r="AC332" s="7" t="s">
        <v>2290</v>
      </c>
      <c r="AD332" s="1" t="s">
        <v>3588</v>
      </c>
      <c r="AF332" s="10"/>
    </row>
    <row r="333" spans="1:34" ht="24" customHeight="1">
      <c r="A333" s="218">
        <f t="shared" si="34"/>
        <v>168</v>
      </c>
      <c r="B333" s="219" t="s">
        <v>2227</v>
      </c>
      <c r="C333" s="854"/>
      <c r="D333" s="535"/>
      <c r="H333" s="1" t="str">
        <f>H309</f>
        <v>Bricks of size 22x11x7 cm</v>
      </c>
      <c r="U333" t="s">
        <v>432</v>
      </c>
      <c r="W333" s="4"/>
      <c r="AC333" s="3"/>
      <c r="AD333" s="1" t="str">
        <f>AD309</f>
        <v>Bricks of size 23x11.4x7.5 cm</v>
      </c>
      <c r="AF333" s="10"/>
    </row>
    <row r="334" spans="1:34" ht="24" customHeight="1">
      <c r="A334" s="218">
        <f t="shared" si="34"/>
        <v>169</v>
      </c>
      <c r="B334" s="219" t="s">
        <v>243</v>
      </c>
      <c r="C334" s="853">
        <v>8.58</v>
      </c>
      <c r="D334" s="534" t="s">
        <v>785</v>
      </c>
      <c r="H334" s="5" t="s">
        <v>1615</v>
      </c>
      <c r="N334" s="1" t="s">
        <v>2290</v>
      </c>
      <c r="O334" s="1" t="s">
        <v>2228</v>
      </c>
      <c r="U334" t="s">
        <v>1615</v>
      </c>
      <c r="W334" s="4"/>
      <c r="AC334" s="3"/>
      <c r="AD334" s="5" t="s">
        <v>1615</v>
      </c>
      <c r="AF334" s="10"/>
    </row>
    <row r="335" spans="1:34" ht="24" customHeight="1">
      <c r="A335" s="218">
        <f t="shared" si="34"/>
        <v>170</v>
      </c>
      <c r="B335" s="219" t="s">
        <v>244</v>
      </c>
      <c r="C335" s="853">
        <v>12.26</v>
      </c>
      <c r="D335" s="534" t="s">
        <v>785</v>
      </c>
      <c r="F335" s="8">
        <f>F311</f>
        <v>4800</v>
      </c>
      <c r="G335" s="7" t="s">
        <v>1450</v>
      </c>
      <c r="H335" s="8" t="str">
        <f>H309</f>
        <v>Bricks of size 22x11x7 cm</v>
      </c>
      <c r="I335" s="8">
        <f>C80</f>
        <v>5902.5</v>
      </c>
      <c r="J335" s="1" t="s">
        <v>1623</v>
      </c>
      <c r="K335" s="8">
        <f>(F335*I335)/1000</f>
        <v>28332</v>
      </c>
      <c r="O335" s="5" t="s">
        <v>1615</v>
      </c>
      <c r="S335" s="50">
        <v>4600</v>
      </c>
      <c r="T335" t="s">
        <v>1450</v>
      </c>
      <c r="U335" t="s">
        <v>432</v>
      </c>
      <c r="V335">
        <f>AC41</f>
        <v>6917.4</v>
      </c>
      <c r="W335" s="4" t="s">
        <v>1623</v>
      </c>
      <c r="X335">
        <f>V335*S335/1000</f>
        <v>31820.04</v>
      </c>
      <c r="AB335" s="8">
        <f>AB311</f>
        <v>4240</v>
      </c>
      <c r="AC335" s="7" t="s">
        <v>1450</v>
      </c>
      <c r="AD335" s="8" t="str">
        <f>AD309</f>
        <v>Bricks of size 23x11.4x7.5 cm</v>
      </c>
      <c r="AE335" s="8">
        <f>AC42</f>
        <v>7117.4</v>
      </c>
      <c r="AF335" s="1" t="s">
        <v>1623</v>
      </c>
      <c r="AG335" s="8">
        <f>AE335*AB335/1000</f>
        <v>30177.78</v>
      </c>
    </row>
    <row r="336" spans="1:34" ht="24" customHeight="1">
      <c r="A336" s="218">
        <f t="shared" si="34"/>
        <v>171</v>
      </c>
      <c r="B336" s="219" t="s">
        <v>245</v>
      </c>
      <c r="C336" s="853">
        <v>13.89</v>
      </c>
      <c r="D336" s="534" t="s">
        <v>785</v>
      </c>
      <c r="F336" s="8">
        <f>F312</f>
        <v>2.5</v>
      </c>
      <c r="G336" s="7" t="s">
        <v>885</v>
      </c>
      <c r="H336" s="1" t="s">
        <v>1662</v>
      </c>
      <c r="I336" s="8">
        <f>K58</f>
        <v>3179.3</v>
      </c>
      <c r="J336" s="1" t="s">
        <v>885</v>
      </c>
      <c r="K336" s="8">
        <f>(F336*I336)</f>
        <v>7948.25</v>
      </c>
      <c r="M336" s="8">
        <v>0.22</v>
      </c>
      <c r="N336" s="1" t="s">
        <v>885</v>
      </c>
      <c r="O336" s="1" t="s">
        <v>1656</v>
      </c>
      <c r="P336" s="8">
        <f>(K49)</f>
        <v>3469.22</v>
      </c>
      <c r="Q336" s="1" t="s">
        <v>885</v>
      </c>
      <c r="R336" s="8">
        <f>(M336*P336)</f>
        <v>763.23</v>
      </c>
      <c r="S336" s="50">
        <v>2.5</v>
      </c>
      <c r="T336" t="s">
        <v>885</v>
      </c>
      <c r="U336" t="s">
        <v>1662</v>
      </c>
      <c r="V336">
        <f>I336</f>
        <v>3179.3</v>
      </c>
      <c r="W336" s="4" t="s">
        <v>885</v>
      </c>
      <c r="X336">
        <f t="shared" ref="X336:X341" si="36">V336*S336</f>
        <v>7948.25</v>
      </c>
      <c r="AB336" s="8">
        <f>AB312</f>
        <v>2</v>
      </c>
      <c r="AC336" s="7" t="s">
        <v>885</v>
      </c>
      <c r="AD336" s="1" t="s">
        <v>1662</v>
      </c>
      <c r="AE336" s="8">
        <f>V336</f>
        <v>3179.3</v>
      </c>
      <c r="AF336" s="1" t="s">
        <v>885</v>
      </c>
      <c r="AG336" s="8">
        <f>AE336*AB336</f>
        <v>6358.6</v>
      </c>
    </row>
    <row r="337" spans="1:33" ht="24" customHeight="1">
      <c r="A337" s="218">
        <f t="shared" si="34"/>
        <v>172</v>
      </c>
      <c r="B337" s="219" t="s">
        <v>2261</v>
      </c>
      <c r="C337" s="853">
        <v>36.25</v>
      </c>
      <c r="D337" s="534" t="s">
        <v>785</v>
      </c>
      <c r="F337" s="8">
        <v>3.5</v>
      </c>
      <c r="G337" s="7" t="s">
        <v>884</v>
      </c>
      <c r="H337" s="1" t="s">
        <v>2045</v>
      </c>
      <c r="I337" s="8">
        <f>C10</f>
        <v>1041.7</v>
      </c>
      <c r="J337" s="1" t="s">
        <v>884</v>
      </c>
      <c r="K337" s="8">
        <f>(F337*I337)</f>
        <v>3645.95</v>
      </c>
      <c r="M337" s="8">
        <v>2.2000000000000002</v>
      </c>
      <c r="N337" s="1" t="s">
        <v>884</v>
      </c>
      <c r="O337" s="1" t="s">
        <v>2045</v>
      </c>
      <c r="P337" s="8">
        <f>(C10)</f>
        <v>1041.7</v>
      </c>
      <c r="Q337" s="1" t="s">
        <v>884</v>
      </c>
      <c r="R337" s="8">
        <f>(M337*P337)</f>
        <v>2291.7399999999998</v>
      </c>
      <c r="S337" s="50">
        <v>3.5</v>
      </c>
      <c r="T337" t="s">
        <v>884</v>
      </c>
      <c r="U337" t="s">
        <v>2045</v>
      </c>
      <c r="V337">
        <f>I337</f>
        <v>1041.7</v>
      </c>
      <c r="W337" s="4" t="s">
        <v>884</v>
      </c>
      <c r="X337">
        <f t="shared" si="36"/>
        <v>3645.95</v>
      </c>
      <c r="AB337" s="8">
        <v>3.5</v>
      </c>
      <c r="AC337" s="7" t="s">
        <v>884</v>
      </c>
      <c r="AD337" s="1" t="s">
        <v>2045</v>
      </c>
      <c r="AE337" s="8">
        <f>V337</f>
        <v>1041.7</v>
      </c>
      <c r="AF337" s="1" t="s">
        <v>884</v>
      </c>
      <c r="AG337" s="8">
        <f>AE337*AB337</f>
        <v>3645.95</v>
      </c>
    </row>
    <row r="338" spans="1:33" ht="24" customHeight="1">
      <c r="A338" s="218">
        <f t="shared" si="34"/>
        <v>173</v>
      </c>
      <c r="B338" s="219" t="s">
        <v>2229</v>
      </c>
      <c r="C338" s="854"/>
      <c r="D338" s="535"/>
      <c r="F338" s="8">
        <v>10.6</v>
      </c>
      <c r="G338" s="7" t="s">
        <v>884</v>
      </c>
      <c r="H338" s="1" t="s">
        <v>1744</v>
      </c>
      <c r="I338" s="8">
        <f>C11</f>
        <v>972.4</v>
      </c>
      <c r="J338" s="1" t="s">
        <v>884</v>
      </c>
      <c r="K338" s="8">
        <f>(F338*I338)</f>
        <v>10307.44</v>
      </c>
      <c r="M338" s="8">
        <v>0.5</v>
      </c>
      <c r="N338" s="1" t="s">
        <v>884</v>
      </c>
      <c r="O338" s="1" t="s">
        <v>1937</v>
      </c>
      <c r="P338" s="8">
        <f>(C12)</f>
        <v>679.8</v>
      </c>
      <c r="Q338" s="1" t="s">
        <v>884</v>
      </c>
      <c r="R338" s="8">
        <f>(M338*P338)</f>
        <v>339.9</v>
      </c>
      <c r="S338" s="50">
        <v>10.6</v>
      </c>
      <c r="T338" t="s">
        <v>884</v>
      </c>
      <c r="U338" t="s">
        <v>1744</v>
      </c>
      <c r="V338">
        <f>I338</f>
        <v>972.4</v>
      </c>
      <c r="W338" s="4" t="s">
        <v>884</v>
      </c>
      <c r="X338">
        <f t="shared" si="36"/>
        <v>10307.44</v>
      </c>
      <c r="AB338" s="8">
        <v>10.6</v>
      </c>
      <c r="AC338" s="7" t="s">
        <v>884</v>
      </c>
      <c r="AD338" s="1" t="s">
        <v>1744</v>
      </c>
      <c r="AE338" s="8">
        <f>V338</f>
        <v>972.4</v>
      </c>
      <c r="AF338" s="1" t="s">
        <v>884</v>
      </c>
      <c r="AG338" s="8">
        <f>AE338*AB338</f>
        <v>10307.44</v>
      </c>
    </row>
    <row r="339" spans="1:33" ht="24" customHeight="1">
      <c r="A339" s="218">
        <f t="shared" si="34"/>
        <v>174</v>
      </c>
      <c r="B339" s="219" t="s">
        <v>243</v>
      </c>
      <c r="C339" s="853">
        <v>15.7</v>
      </c>
      <c r="D339" s="534" t="s">
        <v>785</v>
      </c>
      <c r="F339" s="8">
        <v>7.1</v>
      </c>
      <c r="G339" s="7" t="s">
        <v>884</v>
      </c>
      <c r="H339" s="1" t="s">
        <v>1937</v>
      </c>
      <c r="I339" s="8">
        <f>C12</f>
        <v>679.8</v>
      </c>
      <c r="J339" s="1" t="s">
        <v>884</v>
      </c>
      <c r="K339" s="8">
        <f>(F339*I339)</f>
        <v>4826.58</v>
      </c>
      <c r="M339" s="8">
        <v>3.2</v>
      </c>
      <c r="N339" s="1" t="s">
        <v>884</v>
      </c>
      <c r="O339" s="1" t="s">
        <v>325</v>
      </c>
      <c r="P339" s="8">
        <f>(C13)</f>
        <v>557.70000000000005</v>
      </c>
      <c r="Q339" s="1" t="s">
        <v>884</v>
      </c>
      <c r="R339" s="8">
        <f>(M339*P339)</f>
        <v>1784.64</v>
      </c>
      <c r="S339" s="50">
        <v>7.1</v>
      </c>
      <c r="T339" t="s">
        <v>884</v>
      </c>
      <c r="U339" t="s">
        <v>1937</v>
      </c>
      <c r="V339">
        <f>I339</f>
        <v>679.8</v>
      </c>
      <c r="W339" s="4" t="s">
        <v>884</v>
      </c>
      <c r="X339">
        <f t="shared" si="36"/>
        <v>4826.58</v>
      </c>
      <c r="AB339" s="8">
        <v>7.1</v>
      </c>
      <c r="AC339" s="7" t="s">
        <v>884</v>
      </c>
      <c r="AD339" s="1" t="s">
        <v>1937</v>
      </c>
      <c r="AE339" s="8">
        <f>V339</f>
        <v>679.8</v>
      </c>
      <c r="AF339" s="1" t="s">
        <v>884</v>
      </c>
      <c r="AG339" s="8">
        <f>AE339*AB339</f>
        <v>4826.58</v>
      </c>
    </row>
    <row r="340" spans="1:33" ht="24" customHeight="1">
      <c r="A340" s="218">
        <f t="shared" si="34"/>
        <v>175</v>
      </c>
      <c r="B340" s="219" t="s">
        <v>244</v>
      </c>
      <c r="C340" s="853">
        <v>22.31</v>
      </c>
      <c r="D340" s="534" t="s">
        <v>785</v>
      </c>
      <c r="F340" s="8">
        <v>21.2</v>
      </c>
      <c r="G340" s="7" t="s">
        <v>884</v>
      </c>
      <c r="H340" s="1" t="s">
        <v>325</v>
      </c>
      <c r="I340" s="8">
        <f>C13</f>
        <v>557.70000000000005</v>
      </c>
      <c r="J340" s="1" t="s">
        <v>884</v>
      </c>
      <c r="K340" s="8">
        <f>(F340*I340)</f>
        <v>11823.24</v>
      </c>
      <c r="N340" s="1" t="s">
        <v>455</v>
      </c>
      <c r="O340" s="1" t="s">
        <v>456</v>
      </c>
      <c r="P340" s="1" t="s">
        <v>992</v>
      </c>
      <c r="Q340" s="1" t="s">
        <v>455</v>
      </c>
      <c r="R340" s="8">
        <v>0</v>
      </c>
      <c r="S340" s="50">
        <v>21.2</v>
      </c>
      <c r="T340" t="s">
        <v>884</v>
      </c>
      <c r="U340" t="s">
        <v>325</v>
      </c>
      <c r="V340">
        <f>I340</f>
        <v>557.70000000000005</v>
      </c>
      <c r="W340" s="4" t="s">
        <v>884</v>
      </c>
      <c r="X340">
        <f t="shared" si="36"/>
        <v>11823.24</v>
      </c>
      <c r="AB340" s="8">
        <v>21.2</v>
      </c>
      <c r="AC340" s="7" t="s">
        <v>884</v>
      </c>
      <c r="AD340" s="1" t="s">
        <v>325</v>
      </c>
      <c r="AE340" s="8">
        <f>V340</f>
        <v>557.70000000000005</v>
      </c>
      <c r="AF340" s="1" t="s">
        <v>884</v>
      </c>
      <c r="AG340" s="8">
        <f>AE340*AB340</f>
        <v>11823.24</v>
      </c>
    </row>
    <row r="341" spans="1:33" ht="24" customHeight="1">
      <c r="A341" s="218">
        <f t="shared" si="34"/>
        <v>176</v>
      </c>
      <c r="B341" s="219" t="s">
        <v>245</v>
      </c>
      <c r="C341" s="853">
        <v>25.24</v>
      </c>
      <c r="D341" s="534" t="s">
        <v>785</v>
      </c>
      <c r="G341" s="7" t="s">
        <v>455</v>
      </c>
      <c r="H341" s="1" t="s">
        <v>456</v>
      </c>
      <c r="J341" s="1" t="s">
        <v>455</v>
      </c>
      <c r="K341" s="8">
        <v>0</v>
      </c>
      <c r="R341" s="5" t="s">
        <v>1615</v>
      </c>
      <c r="T341" t="s">
        <v>455</v>
      </c>
      <c r="U341" t="s">
        <v>456</v>
      </c>
      <c r="W341" s="4" t="s">
        <v>455</v>
      </c>
      <c r="X341">
        <f t="shared" si="36"/>
        <v>0</v>
      </c>
      <c r="AC341" s="7" t="s">
        <v>455</v>
      </c>
      <c r="AD341" s="1" t="s">
        <v>456</v>
      </c>
      <c r="AF341" s="1" t="s">
        <v>455</v>
      </c>
      <c r="AG341" s="8">
        <v>5</v>
      </c>
    </row>
    <row r="342" spans="1:33" ht="24" customHeight="1">
      <c r="A342" s="218">
        <f t="shared" si="34"/>
        <v>177</v>
      </c>
      <c r="B342" s="219" t="s">
        <v>2261</v>
      </c>
      <c r="C342" s="853">
        <v>52.34</v>
      </c>
      <c r="D342" s="534" t="s">
        <v>785</v>
      </c>
      <c r="K342" s="5" t="s">
        <v>1615</v>
      </c>
      <c r="O342" s="1" t="s">
        <v>447</v>
      </c>
      <c r="R342" s="8">
        <f>SUM(R336:R340)</f>
        <v>5179.51</v>
      </c>
      <c r="W342" s="4"/>
      <c r="X342" s="5" t="s">
        <v>1615</v>
      </c>
      <c r="AC342" s="3"/>
      <c r="AF342" s="10"/>
      <c r="AG342" s="5" t="s">
        <v>1615</v>
      </c>
    </row>
    <row r="343" spans="1:33" ht="24" customHeight="1">
      <c r="A343" s="218">
        <f t="shared" si="34"/>
        <v>178</v>
      </c>
      <c r="B343" s="219" t="s">
        <v>1060</v>
      </c>
      <c r="C343" s="854"/>
      <c r="D343" s="535"/>
      <c r="H343" s="1" t="s">
        <v>626</v>
      </c>
      <c r="K343" s="8">
        <f>SUM(K335:K341)</f>
        <v>66883.460000000006</v>
      </c>
      <c r="R343" s="5" t="s">
        <v>1615</v>
      </c>
      <c r="U343" t="s">
        <v>626</v>
      </c>
      <c r="W343" s="4"/>
      <c r="X343">
        <f>SUM(X335:X342)</f>
        <v>70371.5</v>
      </c>
      <c r="AC343" s="3"/>
      <c r="AD343" s="1" t="s">
        <v>626</v>
      </c>
      <c r="AF343" s="10"/>
      <c r="AG343" s="8">
        <f>SUM(AG335:AG341)</f>
        <v>67144.59</v>
      </c>
    </row>
    <row r="344" spans="1:33" ht="24" customHeight="1">
      <c r="A344" s="218">
        <f t="shared" si="34"/>
        <v>179</v>
      </c>
      <c r="B344" s="219" t="s">
        <v>243</v>
      </c>
      <c r="C344" s="853">
        <v>13.73</v>
      </c>
      <c r="D344" s="534" t="s">
        <v>785</v>
      </c>
      <c r="K344" s="5" t="s">
        <v>1615</v>
      </c>
      <c r="O344" s="1" t="s">
        <v>562</v>
      </c>
      <c r="R344" s="8">
        <f>(R342/10)</f>
        <v>517.95000000000005</v>
      </c>
      <c r="W344" s="4"/>
      <c r="X344" s="5" t="s">
        <v>1615</v>
      </c>
      <c r="AC344" s="3"/>
      <c r="AF344" s="10"/>
      <c r="AG344" s="5" t="s">
        <v>1615</v>
      </c>
    </row>
    <row r="345" spans="1:33" ht="24" customHeight="1">
      <c r="A345" s="218">
        <f t="shared" si="34"/>
        <v>180</v>
      </c>
      <c r="B345" s="219" t="s">
        <v>244</v>
      </c>
      <c r="C345" s="853">
        <v>20.16</v>
      </c>
      <c r="D345" s="534" t="s">
        <v>785</v>
      </c>
      <c r="H345" s="2" t="s">
        <v>789</v>
      </c>
      <c r="K345" s="8">
        <f>(K343/10)</f>
        <v>6688.35</v>
      </c>
      <c r="R345" s="5" t="s">
        <v>2091</v>
      </c>
      <c r="U345" t="s">
        <v>789</v>
      </c>
      <c r="W345" s="4"/>
      <c r="X345">
        <f>X343/10</f>
        <v>7037.15</v>
      </c>
      <c r="AC345" s="3"/>
      <c r="AD345" s="2" t="s">
        <v>789</v>
      </c>
      <c r="AF345" s="10"/>
      <c r="AG345" s="8">
        <f>(AG343/10)</f>
        <v>6714.46</v>
      </c>
    </row>
    <row r="346" spans="1:33" ht="24" customHeight="1">
      <c r="A346" s="218">
        <f t="shared" si="34"/>
        <v>181</v>
      </c>
      <c r="B346" s="219" t="s">
        <v>245</v>
      </c>
      <c r="C346" s="853">
        <v>22.73</v>
      </c>
      <c r="D346" s="534" t="s">
        <v>785</v>
      </c>
      <c r="K346" s="5" t="s">
        <v>2091</v>
      </c>
      <c r="N346" s="1" t="s">
        <v>2290</v>
      </c>
      <c r="O346" s="1" t="s">
        <v>1061</v>
      </c>
      <c r="W346" s="4"/>
      <c r="X346" s="55" t="s">
        <v>1248</v>
      </c>
      <c r="AC346" s="3"/>
      <c r="AF346" s="10"/>
      <c r="AG346" s="5" t="s">
        <v>2091</v>
      </c>
    </row>
    <row r="347" spans="1:33" ht="24" customHeight="1">
      <c r="A347" s="218">
        <f t="shared" ref="A347:A410" si="37">(A346+1)</f>
        <v>182</v>
      </c>
      <c r="B347" s="219" t="s">
        <v>2261</v>
      </c>
      <c r="C347" s="853">
        <v>46.98</v>
      </c>
      <c r="D347" s="534" t="s">
        <v>992</v>
      </c>
      <c r="H347" s="1" t="s">
        <v>391</v>
      </c>
      <c r="K347" s="38">
        <f>(K345+C19)</f>
        <v>6770.63</v>
      </c>
      <c r="L347">
        <f>K347-K345</f>
        <v>82.28</v>
      </c>
      <c r="O347" s="5" t="s">
        <v>1615</v>
      </c>
      <c r="U347" s="36" t="s">
        <v>391</v>
      </c>
      <c r="W347" s="4"/>
      <c r="X347" s="36">
        <f>X345+C19</f>
        <v>7119.43</v>
      </c>
      <c r="AC347" s="3"/>
      <c r="AD347" s="1" t="s">
        <v>391</v>
      </c>
      <c r="AF347" s="10"/>
      <c r="AG347" s="38">
        <f>(AG345+C19)</f>
        <v>6796.74</v>
      </c>
    </row>
    <row r="348" spans="1:33" ht="24" customHeight="1">
      <c r="A348" s="218">
        <f t="shared" si="37"/>
        <v>183</v>
      </c>
      <c r="B348" s="219" t="s">
        <v>1062</v>
      </c>
      <c r="C348" s="854"/>
      <c r="D348" s="535"/>
      <c r="H348" s="1" t="s">
        <v>393</v>
      </c>
      <c r="K348" s="38">
        <f>(K347+C20)</f>
        <v>6936.62</v>
      </c>
      <c r="L348">
        <f>K348-K347</f>
        <v>165.99</v>
      </c>
      <c r="M348" s="8">
        <v>0.22</v>
      </c>
      <c r="N348" s="1" t="s">
        <v>885</v>
      </c>
      <c r="O348" s="1" t="s">
        <v>1377</v>
      </c>
      <c r="P348" s="8">
        <f>(K32)</f>
        <v>4628.8999999999996</v>
      </c>
      <c r="Q348" s="1" t="s">
        <v>885</v>
      </c>
      <c r="R348" s="8">
        <f>(M348*P348)</f>
        <v>1018.36</v>
      </c>
      <c r="U348" s="36" t="s">
        <v>393</v>
      </c>
      <c r="W348" s="4"/>
      <c r="X348" s="36">
        <f>X347+C20</f>
        <v>7285.42</v>
      </c>
      <c r="AC348" s="3"/>
      <c r="AD348" s="1" t="s">
        <v>393</v>
      </c>
      <c r="AF348" s="10"/>
      <c r="AG348" s="38">
        <f>(AG347+C20)</f>
        <v>6962.73</v>
      </c>
    </row>
    <row r="349" spans="1:33" ht="24" customHeight="1">
      <c r="A349" s="218">
        <f t="shared" si="37"/>
        <v>184</v>
      </c>
      <c r="B349" s="219" t="s">
        <v>243</v>
      </c>
      <c r="C349" s="853">
        <v>19.3</v>
      </c>
      <c r="D349" s="534" t="s">
        <v>785</v>
      </c>
      <c r="H349" s="1" t="s">
        <v>2271</v>
      </c>
      <c r="K349" s="38">
        <f>(K348+C20)</f>
        <v>7102.61</v>
      </c>
      <c r="L349">
        <f>K349-K348</f>
        <v>165.99</v>
      </c>
      <c r="M349" s="8">
        <v>2.2000000000000002</v>
      </c>
      <c r="N349" s="1" t="s">
        <v>884</v>
      </c>
      <c r="O349" s="1" t="s">
        <v>2045</v>
      </c>
      <c r="P349" s="8">
        <f>(C10)</f>
        <v>1041.7</v>
      </c>
      <c r="Q349" s="1" t="s">
        <v>884</v>
      </c>
      <c r="R349" s="8">
        <f>(M349*P349)</f>
        <v>2291.7399999999998</v>
      </c>
      <c r="U349" s="36" t="s">
        <v>2271</v>
      </c>
      <c r="W349" s="4"/>
      <c r="X349" s="36">
        <f>X348+C20</f>
        <v>7451.41</v>
      </c>
      <c r="AC349" s="3"/>
      <c r="AD349" s="1" t="s">
        <v>2271</v>
      </c>
      <c r="AF349" s="10"/>
      <c r="AG349" s="38">
        <f>(AG348+C20)</f>
        <v>7128.72</v>
      </c>
    </row>
    <row r="350" spans="1:33" ht="24" customHeight="1">
      <c r="A350" s="218">
        <f t="shared" si="37"/>
        <v>185</v>
      </c>
      <c r="B350" s="219" t="s">
        <v>245</v>
      </c>
      <c r="C350" s="853">
        <v>33.46</v>
      </c>
      <c r="D350" s="534" t="s">
        <v>785</v>
      </c>
      <c r="H350" s="1" t="s">
        <v>385</v>
      </c>
      <c r="K350" s="38">
        <f>(K349+C21)</f>
        <v>7268.6</v>
      </c>
      <c r="M350" s="8">
        <v>0.5</v>
      </c>
      <c r="N350" s="1" t="s">
        <v>884</v>
      </c>
      <c r="O350" s="1" t="s">
        <v>1937</v>
      </c>
      <c r="P350" s="8">
        <f>(C12)</f>
        <v>679.8</v>
      </c>
      <c r="Q350" s="1" t="s">
        <v>884</v>
      </c>
      <c r="R350" s="8">
        <f>(M350*P350)</f>
        <v>339.9</v>
      </c>
      <c r="U350" s="36" t="s">
        <v>385</v>
      </c>
      <c r="W350" s="4"/>
      <c r="X350" s="36">
        <f>X349+C20</f>
        <v>7617.4</v>
      </c>
      <c r="AC350" s="3"/>
      <c r="AD350" s="1" t="s">
        <v>385</v>
      </c>
      <c r="AF350" s="10"/>
      <c r="AG350" s="38">
        <f>(AG349+C20)</f>
        <v>7294.71</v>
      </c>
    </row>
    <row r="351" spans="1:33" ht="24" customHeight="1">
      <c r="A351" s="218">
        <f t="shared" si="37"/>
        <v>186</v>
      </c>
      <c r="B351" s="219" t="s">
        <v>2261</v>
      </c>
      <c r="C351" s="853">
        <v>53.62</v>
      </c>
      <c r="D351" s="534" t="s">
        <v>785</v>
      </c>
      <c r="F351" s="1" t="s">
        <v>992</v>
      </c>
      <c r="H351" s="1" t="s">
        <v>494</v>
      </c>
      <c r="K351" s="38">
        <f>(K350+C21)</f>
        <v>7434.59</v>
      </c>
      <c r="L351">
        <f>K351-K350</f>
        <v>165.99</v>
      </c>
      <c r="M351" s="8">
        <v>3.2</v>
      </c>
      <c r="N351" s="1" t="s">
        <v>884</v>
      </c>
      <c r="O351" s="1" t="s">
        <v>325</v>
      </c>
      <c r="P351" s="8">
        <f>(C13)</f>
        <v>557.70000000000005</v>
      </c>
      <c r="Q351" s="1" t="s">
        <v>884</v>
      </c>
      <c r="R351" s="8">
        <f>(M351*P351)</f>
        <v>1784.64</v>
      </c>
      <c r="S351" s="50" t="s">
        <v>992</v>
      </c>
      <c r="U351" s="36" t="s">
        <v>494</v>
      </c>
      <c r="W351" s="4"/>
      <c r="X351" s="36">
        <f>X350+C20</f>
        <v>7783.39</v>
      </c>
      <c r="AB351" s="1" t="s">
        <v>992</v>
      </c>
      <c r="AC351" s="3"/>
      <c r="AD351" s="1" t="s">
        <v>494</v>
      </c>
      <c r="AF351" s="10"/>
      <c r="AG351" s="38">
        <f>(AG350+C20)</f>
        <v>7460.7</v>
      </c>
    </row>
    <row r="352" spans="1:33" ht="24" customHeight="1">
      <c r="A352" s="218">
        <f t="shared" si="37"/>
        <v>187</v>
      </c>
      <c r="B352" s="219" t="s">
        <v>129</v>
      </c>
      <c r="C352" s="854"/>
      <c r="D352" s="535"/>
      <c r="F352" s="11">
        <v>27</v>
      </c>
      <c r="G352" s="7" t="s">
        <v>2290</v>
      </c>
      <c r="H352" s="1" t="s">
        <v>2875</v>
      </c>
      <c r="L352">
        <f>K351+L351</f>
        <v>7600.58</v>
      </c>
      <c r="N352" s="1" t="s">
        <v>455</v>
      </c>
      <c r="O352" s="1" t="s">
        <v>456</v>
      </c>
      <c r="P352" s="1" t="s">
        <v>992</v>
      </c>
      <c r="Q352" s="1" t="s">
        <v>455</v>
      </c>
      <c r="R352" s="8">
        <v>0</v>
      </c>
      <c r="S352" s="50">
        <v>27</v>
      </c>
      <c r="T352" t="s">
        <v>2290</v>
      </c>
      <c r="U352" t="s">
        <v>107</v>
      </c>
      <c r="W352" s="4"/>
      <c r="AB352" s="1"/>
      <c r="AC352" s="3"/>
      <c r="AD352" s="1">
        <v>5</v>
      </c>
      <c r="AF352" s="10"/>
      <c r="AG352" s="38">
        <f>(AG351+C20)</f>
        <v>7626.69</v>
      </c>
    </row>
    <row r="353" spans="1:34" ht="24" customHeight="1">
      <c r="A353" s="218">
        <f t="shared" si="37"/>
        <v>188</v>
      </c>
      <c r="B353" s="219" t="s">
        <v>243</v>
      </c>
      <c r="C353" s="853">
        <v>13.73</v>
      </c>
      <c r="D353" s="534" t="s">
        <v>785</v>
      </c>
      <c r="H353" s="1" t="str">
        <f>H333</f>
        <v>Bricks of size 22x11x7 cm</v>
      </c>
      <c r="L353">
        <f>L352+L351</f>
        <v>7766.57</v>
      </c>
      <c r="R353" s="5" t="s">
        <v>1615</v>
      </c>
      <c r="U353" t="s">
        <v>432</v>
      </c>
      <c r="W353" s="4"/>
      <c r="AB353" s="1"/>
      <c r="AC353" s="3"/>
      <c r="AD353" s="1">
        <v>6</v>
      </c>
      <c r="AF353" s="10"/>
      <c r="AG353" s="38">
        <f>(AG352+C20)</f>
        <v>7792.68</v>
      </c>
    </row>
    <row r="354" spans="1:34" ht="24" customHeight="1">
      <c r="A354" s="218">
        <f t="shared" si="37"/>
        <v>189</v>
      </c>
      <c r="B354" s="219" t="s">
        <v>244</v>
      </c>
      <c r="C354" s="853">
        <v>20.16</v>
      </c>
      <c r="D354" s="534" t="s">
        <v>785</v>
      </c>
      <c r="H354" s="5" t="s">
        <v>1615</v>
      </c>
      <c r="O354" s="1" t="s">
        <v>447</v>
      </c>
      <c r="R354" s="8">
        <f>SUM(R348:R352)</f>
        <v>5434.64</v>
      </c>
      <c r="U354" t="s">
        <v>1615</v>
      </c>
      <c r="W354" s="4"/>
      <c r="AB354" s="1"/>
      <c r="AC354" s="3"/>
      <c r="AD354" s="1">
        <v>7</v>
      </c>
      <c r="AF354" s="10"/>
      <c r="AG354" s="38">
        <f>(AG353+C20)</f>
        <v>7958.67</v>
      </c>
    </row>
    <row r="355" spans="1:34" ht="24" customHeight="1">
      <c r="A355" s="218">
        <f t="shared" si="37"/>
        <v>190</v>
      </c>
      <c r="B355" s="219" t="s">
        <v>245</v>
      </c>
      <c r="C355" s="853">
        <v>22.73</v>
      </c>
      <c r="D355" s="534" t="s">
        <v>785</v>
      </c>
      <c r="F355" s="8">
        <v>4800</v>
      </c>
      <c r="G355" s="7" t="s">
        <v>1450</v>
      </c>
      <c r="H355" s="8" t="str">
        <f>H309</f>
        <v>Bricks of size 22x11x7 cm</v>
      </c>
      <c r="I355" s="8">
        <f>C80</f>
        <v>5902.5</v>
      </c>
      <c r="J355" s="1" t="s">
        <v>1623</v>
      </c>
      <c r="K355" s="8">
        <f>(F355*I355)/1000</f>
        <v>28332</v>
      </c>
      <c r="R355" s="5" t="s">
        <v>1615</v>
      </c>
      <c r="S355" s="50">
        <v>4600</v>
      </c>
      <c r="T355" t="s">
        <v>1450</v>
      </c>
      <c r="U355" t="s">
        <v>432</v>
      </c>
      <c r="V355">
        <f>AC41</f>
        <v>6917.4</v>
      </c>
      <c r="W355" s="4" t="s">
        <v>1623</v>
      </c>
      <c r="X355">
        <f>V355*S355/1000</f>
        <v>31820.04</v>
      </c>
      <c r="AB355" s="1"/>
      <c r="AC355" s="3"/>
      <c r="AD355" s="1">
        <v>8</v>
      </c>
      <c r="AF355" s="10"/>
      <c r="AG355" s="38">
        <f>(AG354+C20)</f>
        <v>8124.66</v>
      </c>
    </row>
    <row r="356" spans="1:34" ht="24" customHeight="1">
      <c r="A356" s="218">
        <f t="shared" si="37"/>
        <v>191</v>
      </c>
      <c r="B356" s="219" t="s">
        <v>2261</v>
      </c>
      <c r="C356" s="853">
        <v>46.98</v>
      </c>
      <c r="D356" s="534" t="s">
        <v>785</v>
      </c>
      <c r="F356" s="8">
        <v>2.5</v>
      </c>
      <c r="G356" s="7" t="s">
        <v>885</v>
      </c>
      <c r="H356" s="1" t="s">
        <v>1331</v>
      </c>
      <c r="I356" s="8">
        <f>K40</f>
        <v>3904.1</v>
      </c>
      <c r="J356" s="1" t="s">
        <v>885</v>
      </c>
      <c r="K356" s="8">
        <f>(F356*I356)</f>
        <v>9760.25</v>
      </c>
      <c r="O356" s="1" t="s">
        <v>562</v>
      </c>
      <c r="R356" s="8">
        <f>(R354/10)</f>
        <v>543.46</v>
      </c>
      <c r="S356" s="50">
        <v>2.5</v>
      </c>
      <c r="T356" t="s">
        <v>885</v>
      </c>
      <c r="U356" t="s">
        <v>1331</v>
      </c>
      <c r="V356">
        <f>I356</f>
        <v>3904.1</v>
      </c>
      <c r="W356" s="4" t="s">
        <v>885</v>
      </c>
      <c r="X356">
        <f>V356*S356</f>
        <v>9760.25</v>
      </c>
      <c r="AB356" s="1"/>
      <c r="AC356" s="3"/>
      <c r="AD356" s="1">
        <v>9</v>
      </c>
      <c r="AF356" s="10"/>
      <c r="AG356" s="38">
        <f>(AG355+C20)</f>
        <v>8290.65</v>
      </c>
    </row>
    <row r="357" spans="1:34" ht="24" customHeight="1">
      <c r="A357" s="218">
        <f t="shared" si="37"/>
        <v>192</v>
      </c>
      <c r="B357" s="219" t="s">
        <v>826</v>
      </c>
      <c r="C357" s="854"/>
      <c r="D357" s="535"/>
      <c r="F357" s="8">
        <v>3.5</v>
      </c>
      <c r="G357" s="7" t="s">
        <v>884</v>
      </c>
      <c r="H357" s="1" t="s">
        <v>2045</v>
      </c>
      <c r="I357" s="8">
        <f>(C10)</f>
        <v>1041.7</v>
      </c>
      <c r="J357" s="1" t="s">
        <v>884</v>
      </c>
      <c r="K357" s="8">
        <f>(F357*I357)</f>
        <v>3645.95</v>
      </c>
      <c r="R357" s="5" t="s">
        <v>2091</v>
      </c>
      <c r="S357" s="50">
        <v>3.5</v>
      </c>
      <c r="T357" t="s">
        <v>884</v>
      </c>
      <c r="U357" t="s">
        <v>2045</v>
      </c>
      <c r="V357">
        <f>I357</f>
        <v>1041.7</v>
      </c>
      <c r="W357" s="4" t="s">
        <v>884</v>
      </c>
      <c r="X357">
        <f>V357*S357</f>
        <v>3645.95</v>
      </c>
      <c r="AB357" s="1"/>
      <c r="AC357" s="3"/>
      <c r="AD357" s="1">
        <v>10</v>
      </c>
      <c r="AF357" s="10"/>
      <c r="AG357" s="38">
        <f>(AG356+C20)</f>
        <v>8456.64</v>
      </c>
    </row>
    <row r="358" spans="1:34" ht="24" customHeight="1">
      <c r="A358" s="218">
        <f t="shared" si="37"/>
        <v>193</v>
      </c>
      <c r="B358" s="219" t="s">
        <v>243</v>
      </c>
      <c r="C358" s="853">
        <v>19.3</v>
      </c>
      <c r="D358" s="534" t="s">
        <v>785</v>
      </c>
      <c r="F358" s="8">
        <v>10.6</v>
      </c>
      <c r="G358" s="7" t="s">
        <v>884</v>
      </c>
      <c r="H358" s="1" t="s">
        <v>1744</v>
      </c>
      <c r="I358" s="8">
        <f>(C11)</f>
        <v>972.4</v>
      </c>
      <c r="J358" s="1" t="s">
        <v>884</v>
      </c>
      <c r="K358" s="8">
        <f>(F358*I358)</f>
        <v>10307.44</v>
      </c>
      <c r="N358" s="1" t="s">
        <v>2290</v>
      </c>
      <c r="O358" s="1" t="s">
        <v>827</v>
      </c>
      <c r="S358" s="50">
        <v>10.6</v>
      </c>
      <c r="T358" t="s">
        <v>884</v>
      </c>
      <c r="U358" t="s">
        <v>1744</v>
      </c>
      <c r="V358">
        <f>I358</f>
        <v>972.4</v>
      </c>
      <c r="W358" s="4" t="s">
        <v>884</v>
      </c>
      <c r="X358">
        <f>V358*S358</f>
        <v>10307.44</v>
      </c>
      <c r="AB358" s="1"/>
      <c r="AC358" s="3"/>
      <c r="AD358" s="1">
        <v>11</v>
      </c>
      <c r="AF358" s="10"/>
      <c r="AG358" s="38">
        <f>(AG357+C20)</f>
        <v>8622.6299999999992</v>
      </c>
    </row>
    <row r="359" spans="1:34" ht="24" customHeight="1">
      <c r="A359" s="218">
        <f t="shared" si="37"/>
        <v>194</v>
      </c>
      <c r="B359" s="219" t="s">
        <v>244</v>
      </c>
      <c r="C359" s="853">
        <v>25.74</v>
      </c>
      <c r="D359" s="534" t="s">
        <v>785</v>
      </c>
      <c r="F359" s="8">
        <v>7.1</v>
      </c>
      <c r="G359" s="7" t="s">
        <v>884</v>
      </c>
      <c r="H359" s="1" t="s">
        <v>1937</v>
      </c>
      <c r="I359" s="8">
        <f>(C12)</f>
        <v>679.8</v>
      </c>
      <c r="J359" s="1" t="s">
        <v>884</v>
      </c>
      <c r="K359" s="8">
        <f>(F359*I359)</f>
        <v>4826.58</v>
      </c>
      <c r="O359" s="1" t="s">
        <v>828</v>
      </c>
      <c r="S359" s="50">
        <v>7.1</v>
      </c>
      <c r="T359" t="s">
        <v>884</v>
      </c>
      <c r="U359" t="s">
        <v>1937</v>
      </c>
      <c r="V359">
        <f>I359</f>
        <v>679.8</v>
      </c>
      <c r="W359" s="4" t="s">
        <v>884</v>
      </c>
      <c r="X359">
        <f>V359*S359</f>
        <v>4826.58</v>
      </c>
      <c r="AB359" s="1"/>
      <c r="AC359" s="3"/>
      <c r="AD359" s="1">
        <v>12</v>
      </c>
      <c r="AF359" s="10"/>
      <c r="AG359" s="38">
        <f>(AG358+C20)</f>
        <v>8788.6200000000008</v>
      </c>
    </row>
    <row r="360" spans="1:34" ht="24" customHeight="1">
      <c r="A360" s="218">
        <f t="shared" si="37"/>
        <v>195</v>
      </c>
      <c r="B360" s="219" t="s">
        <v>245</v>
      </c>
      <c r="C360" s="853">
        <v>33.46</v>
      </c>
      <c r="D360" s="534" t="s">
        <v>785</v>
      </c>
      <c r="F360" s="8">
        <v>21.2</v>
      </c>
      <c r="G360" s="7" t="s">
        <v>884</v>
      </c>
      <c r="H360" s="1" t="s">
        <v>325</v>
      </c>
      <c r="I360" s="8">
        <f>(C13)</f>
        <v>557.70000000000005</v>
      </c>
      <c r="J360" s="1" t="s">
        <v>884</v>
      </c>
      <c r="K360" s="8">
        <f>(F360*I360)</f>
        <v>11823.24</v>
      </c>
      <c r="O360" s="1" t="s">
        <v>829</v>
      </c>
      <c r="S360" s="50">
        <v>21.2</v>
      </c>
      <c r="T360" t="s">
        <v>884</v>
      </c>
      <c r="U360" t="s">
        <v>325</v>
      </c>
      <c r="V360">
        <f>I360</f>
        <v>557.70000000000005</v>
      </c>
      <c r="W360" s="4" t="s">
        <v>884</v>
      </c>
      <c r="X360">
        <f>V360*S360</f>
        <v>11823.24</v>
      </c>
      <c r="AB360" s="1"/>
      <c r="AC360" s="3"/>
      <c r="AD360" s="1">
        <v>13</v>
      </c>
      <c r="AF360" s="10"/>
      <c r="AG360" s="38">
        <f>(AG359+C20)</f>
        <v>8954.61</v>
      </c>
    </row>
    <row r="361" spans="1:34" ht="24" customHeight="1">
      <c r="A361" s="218">
        <f t="shared" si="37"/>
        <v>196</v>
      </c>
      <c r="B361" s="219" t="s">
        <v>2261</v>
      </c>
      <c r="C361" s="853">
        <v>53.62</v>
      </c>
      <c r="D361" s="534" t="s">
        <v>992</v>
      </c>
      <c r="G361" s="7" t="s">
        <v>455</v>
      </c>
      <c r="H361" s="1" t="s">
        <v>456</v>
      </c>
      <c r="J361" s="1" t="s">
        <v>455</v>
      </c>
      <c r="K361" s="8">
        <v>0</v>
      </c>
      <c r="O361" s="5" t="s">
        <v>1615</v>
      </c>
      <c r="T361" t="s">
        <v>455</v>
      </c>
      <c r="U361" t="s">
        <v>456</v>
      </c>
      <c r="W361" s="4" t="s">
        <v>455</v>
      </c>
      <c r="X361">
        <v>0</v>
      </c>
      <c r="AB361" s="11">
        <v>27</v>
      </c>
      <c r="AC361" s="7" t="s">
        <v>2290</v>
      </c>
      <c r="AD361" s="1" t="s">
        <v>3589</v>
      </c>
      <c r="AF361" s="10"/>
    </row>
    <row r="362" spans="1:34" ht="24" customHeight="1">
      <c r="A362" s="218">
        <f t="shared" si="37"/>
        <v>197</v>
      </c>
      <c r="B362" s="219" t="s">
        <v>986</v>
      </c>
      <c r="C362" s="854"/>
      <c r="D362" s="535"/>
      <c r="K362" s="5" t="s">
        <v>1615</v>
      </c>
      <c r="M362" s="8">
        <v>0.22</v>
      </c>
      <c r="N362" s="1" t="s">
        <v>885</v>
      </c>
      <c r="O362" s="1" t="s">
        <v>1331</v>
      </c>
      <c r="P362" s="8">
        <f>(K40)</f>
        <v>3904.1</v>
      </c>
      <c r="Q362" s="1" t="s">
        <v>885</v>
      </c>
      <c r="R362" s="8">
        <f t="shared" ref="R362:R367" si="38">(M362*P362)</f>
        <v>858.9</v>
      </c>
      <c r="W362" s="4"/>
      <c r="X362" s="5" t="s">
        <v>1615</v>
      </c>
      <c r="AC362" s="3"/>
      <c r="AD362" s="1" t="str">
        <f>AD333</f>
        <v>Bricks of size 23x11.4x7.5 cm</v>
      </c>
      <c r="AF362" s="10"/>
    </row>
    <row r="363" spans="1:34" ht="24" customHeight="1">
      <c r="A363" s="218">
        <f t="shared" si="37"/>
        <v>198</v>
      </c>
      <c r="B363" s="219" t="s">
        <v>243</v>
      </c>
      <c r="C363" s="853">
        <v>26.16</v>
      </c>
      <c r="D363" s="534" t="s">
        <v>785</v>
      </c>
      <c r="H363" s="1" t="s">
        <v>626</v>
      </c>
      <c r="K363" s="8">
        <f>SUM(K355:K361)</f>
        <v>68695.460000000006</v>
      </c>
      <c r="M363" s="8">
        <v>2.2000000000000002</v>
      </c>
      <c r="N363" s="1" t="s">
        <v>884</v>
      </c>
      <c r="O363" s="1" t="s">
        <v>2045</v>
      </c>
      <c r="P363" s="8">
        <f>(C10)</f>
        <v>1041.7</v>
      </c>
      <c r="Q363" s="1" t="s">
        <v>884</v>
      </c>
      <c r="R363" s="8">
        <f t="shared" si="38"/>
        <v>2291.7399999999998</v>
      </c>
      <c r="U363" t="s">
        <v>626</v>
      </c>
      <c r="W363" s="4"/>
      <c r="X363">
        <f>SUM(X355:X361)</f>
        <v>72183.5</v>
      </c>
      <c r="AC363" s="3"/>
      <c r="AD363" s="5" t="s">
        <v>1615</v>
      </c>
      <c r="AF363" s="10"/>
    </row>
    <row r="364" spans="1:34" ht="24" customHeight="1">
      <c r="A364" s="218">
        <f t="shared" si="37"/>
        <v>199</v>
      </c>
      <c r="B364" s="219" t="s">
        <v>244</v>
      </c>
      <c r="C364" s="853">
        <v>34.32</v>
      </c>
      <c r="D364" s="534" t="s">
        <v>785</v>
      </c>
      <c r="K364" s="5" t="s">
        <v>1615</v>
      </c>
      <c r="M364" s="8">
        <v>0.5</v>
      </c>
      <c r="N364" s="1" t="s">
        <v>884</v>
      </c>
      <c r="O364" s="1" t="s">
        <v>1937</v>
      </c>
      <c r="P364" s="8">
        <f>(C12)</f>
        <v>679.8</v>
      </c>
      <c r="Q364" s="1" t="s">
        <v>884</v>
      </c>
      <c r="R364" s="8">
        <f t="shared" si="38"/>
        <v>339.9</v>
      </c>
      <c r="W364" s="4"/>
      <c r="X364" s="5" t="s">
        <v>1615</v>
      </c>
      <c r="AB364" s="8">
        <v>4240</v>
      </c>
      <c r="AC364" s="7" t="s">
        <v>1450</v>
      </c>
      <c r="AD364" s="8" t="str">
        <f>AD309</f>
        <v>Bricks of size 23x11.4x7.5 cm</v>
      </c>
      <c r="AE364" s="8">
        <f>AC42</f>
        <v>7117.4</v>
      </c>
      <c r="AF364" s="1" t="s">
        <v>1623</v>
      </c>
      <c r="AG364" s="8">
        <f>(AB364*AE364)/1000</f>
        <v>30177.78</v>
      </c>
    </row>
    <row r="365" spans="1:34" ht="24" customHeight="1">
      <c r="A365" s="218">
        <f t="shared" si="37"/>
        <v>200</v>
      </c>
      <c r="B365" s="219" t="s">
        <v>245</v>
      </c>
      <c r="C365" s="853">
        <v>40.33</v>
      </c>
      <c r="D365" s="534" t="s">
        <v>785</v>
      </c>
      <c r="H365" s="1" t="s">
        <v>789</v>
      </c>
      <c r="K365" s="8">
        <f>(K363/10)</f>
        <v>6869.55</v>
      </c>
      <c r="M365" s="8">
        <v>1.1000000000000001</v>
      </c>
      <c r="N365" s="1" t="s">
        <v>987</v>
      </c>
      <c r="O365" s="1" t="s">
        <v>988</v>
      </c>
      <c r="P365" s="8">
        <f>(C10)</f>
        <v>1041.7</v>
      </c>
      <c r="Q365" s="1" t="s">
        <v>884</v>
      </c>
      <c r="R365" s="8">
        <f t="shared" si="38"/>
        <v>1145.8699999999999</v>
      </c>
      <c r="U365" t="s">
        <v>789</v>
      </c>
      <c r="W365" s="4"/>
      <c r="X365">
        <f>X363/10</f>
        <v>7218.35</v>
      </c>
      <c r="AB365" s="8">
        <v>2</v>
      </c>
      <c r="AC365" s="7" t="s">
        <v>885</v>
      </c>
      <c r="AD365" s="1" t="s">
        <v>1331</v>
      </c>
      <c r="AE365" s="8">
        <f>V356</f>
        <v>3904.1</v>
      </c>
      <c r="AF365" s="1" t="s">
        <v>885</v>
      </c>
      <c r="AG365" s="8">
        <f>(AB365*AE365)</f>
        <v>7808.2</v>
      </c>
    </row>
    <row r="366" spans="1:34" ht="24" customHeight="1">
      <c r="A366" s="218">
        <f t="shared" si="37"/>
        <v>201</v>
      </c>
      <c r="B366" s="219" t="s">
        <v>989</v>
      </c>
      <c r="C366" s="854"/>
      <c r="D366" s="534" t="s">
        <v>992</v>
      </c>
      <c r="K366" s="5" t="s">
        <v>2091</v>
      </c>
      <c r="M366" s="8">
        <v>3.2</v>
      </c>
      <c r="N366" s="1" t="s">
        <v>884</v>
      </c>
      <c r="O366" s="1" t="s">
        <v>325</v>
      </c>
      <c r="P366" s="8">
        <f>(C13)</f>
        <v>557.70000000000005</v>
      </c>
      <c r="Q366" s="1" t="s">
        <v>884</v>
      </c>
      <c r="R366" s="8">
        <f t="shared" si="38"/>
        <v>1784.64</v>
      </c>
      <c r="W366" s="4"/>
      <c r="X366" s="55" t="s">
        <v>1248</v>
      </c>
      <c r="AB366" s="8">
        <v>3.5</v>
      </c>
      <c r="AC366" s="7" t="s">
        <v>884</v>
      </c>
      <c r="AD366" s="1" t="s">
        <v>2045</v>
      </c>
      <c r="AE366" s="8">
        <f>V357</f>
        <v>1041.7</v>
      </c>
      <c r="AF366" s="1" t="s">
        <v>884</v>
      </c>
      <c r="AG366" s="8">
        <f>(AB366*AE366)</f>
        <v>3645.95</v>
      </c>
    </row>
    <row r="367" spans="1:34" ht="24" customHeight="1">
      <c r="A367" s="218">
        <f t="shared" si="37"/>
        <v>202</v>
      </c>
      <c r="B367" s="219" t="s">
        <v>243</v>
      </c>
      <c r="C367" s="853">
        <v>20.329999999999998</v>
      </c>
      <c r="D367" s="534" t="s">
        <v>785</v>
      </c>
      <c r="H367" s="1" t="s">
        <v>391</v>
      </c>
      <c r="J367" s="10">
        <f>K367-K365</f>
        <v>82.28</v>
      </c>
      <c r="K367" s="8">
        <f>(K365+C19)</f>
        <v>6951.83</v>
      </c>
      <c r="M367" s="8">
        <v>9.8000000000000007</v>
      </c>
      <c r="N367" s="1" t="s">
        <v>1676</v>
      </c>
      <c r="O367" s="1" t="s">
        <v>1677</v>
      </c>
      <c r="P367" s="8">
        <f>(C148)</f>
        <v>145.19999999999999</v>
      </c>
      <c r="Q367" s="1" t="s">
        <v>1676</v>
      </c>
      <c r="R367" s="8">
        <f t="shared" si="38"/>
        <v>1422.96</v>
      </c>
      <c r="U367" t="s">
        <v>391</v>
      </c>
      <c r="W367" s="4"/>
      <c r="X367">
        <f>X365+C19</f>
        <v>7300.63</v>
      </c>
      <c r="Y367">
        <f>X365+X367+X368+X369+X370+X371</f>
        <v>45381.4</v>
      </c>
      <c r="Z367">
        <f>Y367/6</f>
        <v>7563.57</v>
      </c>
      <c r="AB367" s="8">
        <v>10.6</v>
      </c>
      <c r="AC367" s="7" t="s">
        <v>884</v>
      </c>
      <c r="AD367" s="1" t="s">
        <v>1744</v>
      </c>
      <c r="AE367" s="8">
        <f>V358</f>
        <v>972.4</v>
      </c>
      <c r="AF367" s="1" t="s">
        <v>884</v>
      </c>
      <c r="AG367" s="8">
        <f>(AB367*AE367)</f>
        <v>10307.44</v>
      </c>
    </row>
    <row r="368" spans="1:34" ht="24" customHeight="1">
      <c r="A368" s="218">
        <f t="shared" si="37"/>
        <v>203</v>
      </c>
      <c r="B368" s="219" t="s">
        <v>244</v>
      </c>
      <c r="C368" s="853">
        <v>26.6</v>
      </c>
      <c r="D368" s="534" t="s">
        <v>785</v>
      </c>
      <c r="H368" s="1" t="s">
        <v>393</v>
      </c>
      <c r="J368" s="10">
        <f>K368-K367</f>
        <v>165.99</v>
      </c>
      <c r="K368" s="8">
        <f>(K367+C20)</f>
        <v>7117.82</v>
      </c>
      <c r="L368">
        <f>(K367+K368)/2</f>
        <v>7034.83</v>
      </c>
      <c r="N368" s="1" t="s">
        <v>455</v>
      </c>
      <c r="O368" s="1" t="s">
        <v>456</v>
      </c>
      <c r="P368" s="1" t="s">
        <v>992</v>
      </c>
      <c r="Q368" s="1" t="s">
        <v>455</v>
      </c>
      <c r="R368" s="8">
        <v>0</v>
      </c>
      <c r="U368" t="s">
        <v>393</v>
      </c>
      <c r="W368" s="4"/>
      <c r="X368">
        <f>X367+C20</f>
        <v>7466.62</v>
      </c>
      <c r="Y368">
        <f>SUM(X367:X368)/2</f>
        <v>7383.63</v>
      </c>
      <c r="AB368" s="8">
        <v>7.1</v>
      </c>
      <c r="AC368" s="7" t="s">
        <v>884</v>
      </c>
      <c r="AD368" s="1" t="s">
        <v>1937</v>
      </c>
      <c r="AE368" s="8">
        <f>V359</f>
        <v>679.8</v>
      </c>
      <c r="AF368" s="1" t="s">
        <v>884</v>
      </c>
      <c r="AG368" s="8">
        <f>(AB368*AE368)</f>
        <v>4826.58</v>
      </c>
      <c r="AH368">
        <f>(AG377+AG376)/2</f>
        <v>7024.2</v>
      </c>
    </row>
    <row r="369" spans="1:34" ht="24" customHeight="1">
      <c r="A369" s="218">
        <f t="shared" si="37"/>
        <v>204</v>
      </c>
      <c r="B369" s="219" t="s">
        <v>245</v>
      </c>
      <c r="C369" s="853">
        <v>33.89</v>
      </c>
      <c r="D369" s="534" t="s">
        <v>785</v>
      </c>
      <c r="H369" s="1" t="s">
        <v>2271</v>
      </c>
      <c r="J369" s="10">
        <f>K369-K368</f>
        <v>165.99</v>
      </c>
      <c r="K369" s="8">
        <f>(K368+C21)</f>
        <v>7283.81</v>
      </c>
      <c r="L369">
        <f>SUM(K367:K369)/3</f>
        <v>7117.82</v>
      </c>
      <c r="R369" s="5" t="s">
        <v>1615</v>
      </c>
      <c r="U369" t="s">
        <v>2271</v>
      </c>
      <c r="W369" s="4"/>
      <c r="X369">
        <f>X368+C20</f>
        <v>7632.61</v>
      </c>
      <c r="Y369">
        <f>SUM(X367:X369)/3</f>
        <v>7466.62</v>
      </c>
      <c r="AB369" s="8">
        <v>21.2</v>
      </c>
      <c r="AC369" s="7" t="s">
        <v>884</v>
      </c>
      <c r="AD369" s="1" t="s">
        <v>325</v>
      </c>
      <c r="AE369" s="8">
        <f>V360</f>
        <v>557.70000000000005</v>
      </c>
      <c r="AF369" s="1" t="s">
        <v>884</v>
      </c>
      <c r="AG369" s="8">
        <f>(AB369*AE369)</f>
        <v>11823.24</v>
      </c>
      <c r="AH369">
        <f>SUM(AG376:AG378)/3</f>
        <v>7107.19</v>
      </c>
    </row>
    <row r="370" spans="1:34" ht="24" customHeight="1">
      <c r="A370" s="218">
        <f t="shared" si="37"/>
        <v>205</v>
      </c>
      <c r="B370" s="219" t="s">
        <v>990</v>
      </c>
      <c r="C370" s="854"/>
      <c r="D370" s="535"/>
      <c r="H370" s="1" t="s">
        <v>385</v>
      </c>
      <c r="J370" s="10">
        <f>K370-K369</f>
        <v>165.99</v>
      </c>
      <c r="K370" s="8">
        <f>K369+C21</f>
        <v>7449.8</v>
      </c>
      <c r="O370" s="1" t="s">
        <v>447</v>
      </c>
      <c r="R370" s="8">
        <f>SUM(R362:R368)</f>
        <v>7844.01</v>
      </c>
      <c r="U370" t="s">
        <v>385</v>
      </c>
      <c r="W370" s="4"/>
      <c r="X370">
        <f>X369+C20</f>
        <v>7798.6</v>
      </c>
      <c r="AC370" s="7" t="s">
        <v>455</v>
      </c>
      <c r="AD370" s="1" t="s">
        <v>456</v>
      </c>
      <c r="AF370" s="1" t="s">
        <v>455</v>
      </c>
      <c r="AG370" s="8">
        <v>0</v>
      </c>
    </row>
    <row r="371" spans="1:34" ht="24" customHeight="1">
      <c r="A371" s="218">
        <f t="shared" si="37"/>
        <v>206</v>
      </c>
      <c r="B371" s="219" t="s">
        <v>243</v>
      </c>
      <c r="C371" s="853">
        <v>13.29</v>
      </c>
      <c r="D371" s="534" t="s">
        <v>785</v>
      </c>
      <c r="H371" s="1" t="s">
        <v>494</v>
      </c>
      <c r="J371" s="10">
        <f>K371-K370</f>
        <v>165.99</v>
      </c>
      <c r="K371" s="8">
        <f>K370+C21</f>
        <v>7615.79</v>
      </c>
      <c r="R371" s="5" t="s">
        <v>1615</v>
      </c>
      <c r="U371" t="s">
        <v>494</v>
      </c>
      <c r="W371" s="4"/>
      <c r="X371">
        <f>X370+C20</f>
        <v>7964.59</v>
      </c>
      <c r="AC371" s="3"/>
      <c r="AF371" s="10"/>
      <c r="AG371" s="5" t="s">
        <v>1615</v>
      </c>
    </row>
    <row r="372" spans="1:34" ht="24" customHeight="1">
      <c r="A372" s="218">
        <f t="shared" si="37"/>
        <v>207</v>
      </c>
      <c r="B372" s="219" t="s">
        <v>244</v>
      </c>
      <c r="C372" s="853">
        <v>18.02</v>
      </c>
      <c r="D372" s="534" t="s">
        <v>785</v>
      </c>
      <c r="H372" s="1" t="s">
        <v>1865</v>
      </c>
      <c r="J372" s="10">
        <f>SUM(K367+K368+K369)/3</f>
        <v>7117.82</v>
      </c>
      <c r="K372" s="8">
        <f>(K367+K368+K369+K370)/4</f>
        <v>7200.82</v>
      </c>
      <c r="O372" s="1" t="s">
        <v>562</v>
      </c>
      <c r="R372" s="8">
        <f>(R370/10)</f>
        <v>784.4</v>
      </c>
      <c r="U372" t="s">
        <v>1865</v>
      </c>
      <c r="W372" s="4">
        <v>2171.31</v>
      </c>
      <c r="X372">
        <f>SUM(X367:X370)/4</f>
        <v>7549.62</v>
      </c>
      <c r="AC372" s="3"/>
      <c r="AD372" s="1" t="s">
        <v>626</v>
      </c>
      <c r="AF372" s="10"/>
      <c r="AG372" s="8">
        <f>SUM(AG364:AG370)</f>
        <v>68589.19</v>
      </c>
    </row>
    <row r="373" spans="1:34" ht="24" customHeight="1">
      <c r="A373" s="218">
        <f t="shared" si="37"/>
        <v>208</v>
      </c>
      <c r="B373" s="219" t="s">
        <v>245</v>
      </c>
      <c r="C373" s="853">
        <v>23.17</v>
      </c>
      <c r="D373" s="534" t="s">
        <v>785</v>
      </c>
      <c r="R373" s="5" t="s">
        <v>2091</v>
      </c>
      <c r="W373" s="4"/>
      <c r="AC373" s="3"/>
      <c r="AF373" s="10"/>
      <c r="AG373" s="5" t="s">
        <v>1615</v>
      </c>
    </row>
    <row r="374" spans="1:34" ht="24" customHeight="1">
      <c r="A374" s="218">
        <f t="shared" si="37"/>
        <v>209</v>
      </c>
      <c r="B374" s="219" t="s">
        <v>1866</v>
      </c>
      <c r="C374" s="854"/>
      <c r="D374" s="534" t="s">
        <v>992</v>
      </c>
      <c r="H374" s="2" t="s">
        <v>1867</v>
      </c>
      <c r="N374" s="1" t="s">
        <v>2290</v>
      </c>
      <c r="O374" s="1" t="s">
        <v>1868</v>
      </c>
      <c r="U374" t="s">
        <v>1867</v>
      </c>
      <c r="W374" s="4"/>
      <c r="AC374" s="3"/>
      <c r="AD374" s="1" t="s">
        <v>789</v>
      </c>
      <c r="AF374" s="10"/>
      <c r="AG374" s="8">
        <f>(AG372/10)</f>
        <v>6858.92</v>
      </c>
    </row>
    <row r="375" spans="1:34" ht="24" customHeight="1">
      <c r="A375" s="218">
        <f t="shared" si="37"/>
        <v>210</v>
      </c>
      <c r="B375" s="219" t="s">
        <v>243</v>
      </c>
      <c r="C375" s="853">
        <v>9</v>
      </c>
      <c r="D375" s="534" t="s">
        <v>785</v>
      </c>
      <c r="H375" s="5" t="s">
        <v>1615</v>
      </c>
      <c r="O375" s="5" t="s">
        <v>1615</v>
      </c>
      <c r="U375" t="s">
        <v>1615</v>
      </c>
      <c r="W375" s="4"/>
      <c r="AC375" s="3"/>
      <c r="AF375" s="10"/>
      <c r="AG375" s="5" t="s">
        <v>2091</v>
      </c>
    </row>
    <row r="376" spans="1:34" ht="24" customHeight="1">
      <c r="A376" s="218">
        <f t="shared" si="37"/>
        <v>211</v>
      </c>
      <c r="B376" s="219" t="s">
        <v>244</v>
      </c>
      <c r="C376" s="853">
        <v>11.58</v>
      </c>
      <c r="D376" s="534" t="s">
        <v>785</v>
      </c>
      <c r="F376" s="11">
        <v>10</v>
      </c>
      <c r="G376" s="7" t="s">
        <v>2290</v>
      </c>
      <c r="H376" s="1" t="s">
        <v>2818</v>
      </c>
      <c r="M376" s="8">
        <v>0.05</v>
      </c>
      <c r="N376" s="1" t="s">
        <v>885</v>
      </c>
      <c r="O376" s="1" t="s">
        <v>2040</v>
      </c>
      <c r="P376" s="8">
        <f>(C84)</f>
        <v>1348</v>
      </c>
      <c r="Q376" s="1" t="s">
        <v>885</v>
      </c>
      <c r="R376" s="8">
        <f>(M376*P376)</f>
        <v>67.400000000000006</v>
      </c>
      <c r="S376" s="50">
        <v>10</v>
      </c>
      <c r="T376" t="s">
        <v>2290</v>
      </c>
      <c r="U376" t="s">
        <v>1441</v>
      </c>
      <c r="W376" s="4"/>
      <c r="AC376" s="3"/>
      <c r="AD376" s="1" t="s">
        <v>391</v>
      </c>
      <c r="AF376" s="10"/>
      <c r="AG376" s="8">
        <f>(AG374+C19)</f>
        <v>6941.2</v>
      </c>
    </row>
    <row r="377" spans="1:34" ht="24" customHeight="1">
      <c r="A377" s="218">
        <f t="shared" si="37"/>
        <v>212</v>
      </c>
      <c r="B377" s="219" t="s">
        <v>245</v>
      </c>
      <c r="C377" s="853">
        <v>14.15</v>
      </c>
      <c r="D377" s="534" t="s">
        <v>785</v>
      </c>
      <c r="H377" s="8" t="str">
        <f>H309</f>
        <v>Bricks of size 22x11x7 cm</v>
      </c>
      <c r="M377" s="8">
        <v>1.1000000000000001</v>
      </c>
      <c r="N377" s="1" t="s">
        <v>884</v>
      </c>
      <c r="O377" s="1" t="s">
        <v>1744</v>
      </c>
      <c r="P377" s="8">
        <f>(C11)</f>
        <v>972.4</v>
      </c>
      <c r="Q377" s="1" t="s">
        <v>884</v>
      </c>
      <c r="R377" s="8">
        <f>(M377*P377)</f>
        <v>1069.6400000000001</v>
      </c>
      <c r="U377" t="s">
        <v>432</v>
      </c>
      <c r="W377" s="4"/>
      <c r="AC377" s="3"/>
      <c r="AD377" s="1" t="s">
        <v>393</v>
      </c>
      <c r="AF377" s="10"/>
      <c r="AG377" s="8">
        <f>(AG376+C20)</f>
        <v>7107.19</v>
      </c>
    </row>
    <row r="378" spans="1:34" ht="24" customHeight="1">
      <c r="A378" s="218">
        <f t="shared" si="37"/>
        <v>213</v>
      </c>
      <c r="B378" s="219" t="s">
        <v>1869</v>
      </c>
      <c r="C378" s="854"/>
      <c r="D378" s="535"/>
      <c r="H378" s="5" t="s">
        <v>1615</v>
      </c>
      <c r="M378" s="8">
        <v>0.3</v>
      </c>
      <c r="N378" s="1" t="s">
        <v>884</v>
      </c>
      <c r="O378" s="1" t="s">
        <v>1937</v>
      </c>
      <c r="P378" s="8">
        <f>(C12)</f>
        <v>679.8</v>
      </c>
      <c r="Q378" s="1" t="s">
        <v>884</v>
      </c>
      <c r="R378" s="8">
        <f>(M378*P378)</f>
        <v>203.94</v>
      </c>
      <c r="U378" t="s">
        <v>1615</v>
      </c>
      <c r="W378" s="4"/>
      <c r="AC378" s="3"/>
      <c r="AD378" s="1" t="s">
        <v>2271</v>
      </c>
      <c r="AF378" s="10"/>
      <c r="AG378" s="8">
        <f>(AG377+C20)</f>
        <v>7273.18</v>
      </c>
    </row>
    <row r="379" spans="1:34" ht="24" customHeight="1">
      <c r="A379" s="218">
        <f t="shared" si="37"/>
        <v>214</v>
      </c>
      <c r="B379" s="219" t="s">
        <v>243</v>
      </c>
      <c r="C379" s="853">
        <v>4.29</v>
      </c>
      <c r="D379" s="534" t="s">
        <v>785</v>
      </c>
      <c r="F379" s="8">
        <f>F311</f>
        <v>4800</v>
      </c>
      <c r="G379" s="7" t="s">
        <v>1450</v>
      </c>
      <c r="H379" s="8" t="str">
        <f>H309</f>
        <v>Bricks of size 22x11x7 cm</v>
      </c>
      <c r="I379" s="8">
        <f>(C80)</f>
        <v>5902.5</v>
      </c>
      <c r="J379" s="1" t="s">
        <v>1623</v>
      </c>
      <c r="K379" s="8">
        <f>(F379*I379)/1000</f>
        <v>28332</v>
      </c>
      <c r="M379" s="8">
        <v>1.9</v>
      </c>
      <c r="N379" s="1" t="s">
        <v>884</v>
      </c>
      <c r="O379" s="1" t="s">
        <v>325</v>
      </c>
      <c r="P379" s="8">
        <f>(C13)</f>
        <v>557.70000000000005</v>
      </c>
      <c r="Q379" s="1" t="s">
        <v>884</v>
      </c>
      <c r="R379" s="8">
        <f>(M379*P379)</f>
        <v>1059.6300000000001</v>
      </c>
      <c r="S379" s="50">
        <v>4600</v>
      </c>
      <c r="T379" t="s">
        <v>1450</v>
      </c>
      <c r="U379" t="s">
        <v>432</v>
      </c>
      <c r="V379">
        <f>AC41</f>
        <v>6917.4</v>
      </c>
      <c r="W379" s="4" t="s">
        <v>1623</v>
      </c>
      <c r="X379">
        <f>S379*V379/1000</f>
        <v>31820.04</v>
      </c>
      <c r="AC379" s="3"/>
      <c r="AD379" s="1" t="s">
        <v>385</v>
      </c>
      <c r="AF379" s="10"/>
      <c r="AG379" s="8">
        <f>AG378+C20</f>
        <v>7439.17</v>
      </c>
    </row>
    <row r="380" spans="1:34" ht="24" customHeight="1">
      <c r="A380" s="218">
        <f t="shared" si="37"/>
        <v>215</v>
      </c>
      <c r="B380" s="219" t="s">
        <v>244</v>
      </c>
      <c r="C380" s="853">
        <v>6.01</v>
      </c>
      <c r="D380" s="534" t="s">
        <v>785</v>
      </c>
      <c r="F380" s="8">
        <v>1.59</v>
      </c>
      <c r="G380" s="7" t="s">
        <v>885</v>
      </c>
      <c r="H380" s="1" t="s">
        <v>1331</v>
      </c>
      <c r="I380" s="8">
        <f>(K40)</f>
        <v>3904.1</v>
      </c>
      <c r="J380" s="1" t="s">
        <v>885</v>
      </c>
      <c r="K380" s="8">
        <f>(F380*I380)</f>
        <v>6207.52</v>
      </c>
      <c r="N380" s="1" t="s">
        <v>455</v>
      </c>
      <c r="O380" s="1" t="s">
        <v>1870</v>
      </c>
      <c r="P380" s="1" t="s">
        <v>992</v>
      </c>
      <c r="Q380" s="1" t="s">
        <v>455</v>
      </c>
      <c r="R380" s="8">
        <v>1.46</v>
      </c>
      <c r="S380" s="50">
        <v>1.59</v>
      </c>
      <c r="T380" t="s">
        <v>885</v>
      </c>
      <c r="U380" t="s">
        <v>1331</v>
      </c>
      <c r="V380">
        <f>I380</f>
        <v>3904.1</v>
      </c>
      <c r="W380" s="4" t="s">
        <v>885</v>
      </c>
      <c r="X380">
        <f>V380*S380</f>
        <v>6207.52</v>
      </c>
      <c r="AC380" s="3"/>
      <c r="AD380" s="1" t="s">
        <v>494</v>
      </c>
      <c r="AF380" s="10"/>
      <c r="AG380" s="8">
        <f>AG379+C20</f>
        <v>7605.16</v>
      </c>
    </row>
    <row r="381" spans="1:34" ht="24" customHeight="1">
      <c r="A381" s="218">
        <f t="shared" si="37"/>
        <v>216</v>
      </c>
      <c r="B381" s="219" t="s">
        <v>245</v>
      </c>
      <c r="C381" s="853">
        <v>6.86</v>
      </c>
      <c r="D381" s="534" t="s">
        <v>785</v>
      </c>
      <c r="F381" s="8">
        <v>7</v>
      </c>
      <c r="G381" s="7" t="s">
        <v>884</v>
      </c>
      <c r="H381" s="1" t="s">
        <v>2045</v>
      </c>
      <c r="I381" s="8">
        <f>(C10)</f>
        <v>1041.7</v>
      </c>
      <c r="J381" s="1" t="s">
        <v>884</v>
      </c>
      <c r="K381" s="8">
        <f>(F381*I381)</f>
        <v>7291.9</v>
      </c>
      <c r="R381" s="5" t="s">
        <v>1615</v>
      </c>
      <c r="S381" s="50">
        <v>7</v>
      </c>
      <c r="T381" t="s">
        <v>884</v>
      </c>
      <c r="U381" t="s">
        <v>2045</v>
      </c>
      <c r="V381">
        <f>I381</f>
        <v>1041.7</v>
      </c>
      <c r="W381" s="4" t="s">
        <v>884</v>
      </c>
      <c r="X381">
        <f>V381*S381</f>
        <v>7291.9</v>
      </c>
      <c r="AC381" s="3"/>
      <c r="AD381" s="1" t="s">
        <v>1865</v>
      </c>
      <c r="AF381" s="10"/>
      <c r="AG381" s="8">
        <f>(AG376+AG377+AG378+AG379)/4</f>
        <v>7190.19</v>
      </c>
    </row>
    <row r="382" spans="1:34" ht="24" customHeight="1">
      <c r="A382" s="218">
        <f t="shared" si="37"/>
        <v>217</v>
      </c>
      <c r="B382" s="219" t="s">
        <v>1871</v>
      </c>
      <c r="C382" s="854"/>
      <c r="D382" s="534" t="s">
        <v>992</v>
      </c>
      <c r="F382" s="8">
        <v>7.1</v>
      </c>
      <c r="G382" s="7" t="s">
        <v>884</v>
      </c>
      <c r="H382" s="1" t="s">
        <v>1744</v>
      </c>
      <c r="I382" s="8">
        <f>(C11)</f>
        <v>972.4</v>
      </c>
      <c r="J382" s="1" t="s">
        <v>884</v>
      </c>
      <c r="K382" s="8">
        <f>(F382*I382)</f>
        <v>6904.04</v>
      </c>
      <c r="O382" s="1" t="s">
        <v>1872</v>
      </c>
      <c r="R382" s="8">
        <f>SUM(R375:R380)</f>
        <v>2402.0700000000002</v>
      </c>
      <c r="S382" s="50">
        <v>7.1</v>
      </c>
      <c r="T382" t="s">
        <v>884</v>
      </c>
      <c r="U382" t="s">
        <v>1744</v>
      </c>
      <c r="V382">
        <f>I382</f>
        <v>972.4</v>
      </c>
      <c r="W382" s="4" t="s">
        <v>884</v>
      </c>
      <c r="X382">
        <f>V382*S382</f>
        <v>6904.04</v>
      </c>
      <c r="AC382" s="3"/>
      <c r="AF382" s="10"/>
    </row>
    <row r="383" spans="1:34" ht="24" customHeight="1">
      <c r="A383" s="218">
        <f t="shared" si="37"/>
        <v>218</v>
      </c>
      <c r="B383" s="219" t="s">
        <v>243</v>
      </c>
      <c r="C383" s="853">
        <v>14.91</v>
      </c>
      <c r="D383" s="534" t="s">
        <v>785</v>
      </c>
      <c r="F383" s="8">
        <v>7.1</v>
      </c>
      <c r="G383" s="7" t="s">
        <v>884</v>
      </c>
      <c r="H383" s="1" t="s">
        <v>1937</v>
      </c>
      <c r="I383" s="8">
        <f>(C12)</f>
        <v>679.8</v>
      </c>
      <c r="J383" s="1" t="s">
        <v>884</v>
      </c>
      <c r="K383" s="8">
        <f>(F383*I383)</f>
        <v>4826.58</v>
      </c>
      <c r="R383" s="5" t="s">
        <v>1615</v>
      </c>
      <c r="S383" s="50">
        <v>7.1</v>
      </c>
      <c r="T383" t="s">
        <v>884</v>
      </c>
      <c r="U383" t="s">
        <v>1937</v>
      </c>
      <c r="V383">
        <f>I383</f>
        <v>679.8</v>
      </c>
      <c r="W383" s="4" t="s">
        <v>884</v>
      </c>
      <c r="X383">
        <f>V383*S383</f>
        <v>4826.58</v>
      </c>
      <c r="AC383" s="3"/>
      <c r="AD383" s="2" t="s">
        <v>1867</v>
      </c>
      <c r="AF383" s="10"/>
    </row>
    <row r="384" spans="1:34" ht="24" customHeight="1">
      <c r="A384" s="218">
        <f t="shared" si="37"/>
        <v>219</v>
      </c>
      <c r="B384" s="219" t="s">
        <v>244</v>
      </c>
      <c r="C384" s="853">
        <v>17.579999999999998</v>
      </c>
      <c r="D384" s="534" t="s">
        <v>785</v>
      </c>
      <c r="F384" s="8">
        <v>21.2</v>
      </c>
      <c r="G384" s="7" t="s">
        <v>884</v>
      </c>
      <c r="H384" s="1" t="s">
        <v>325</v>
      </c>
      <c r="I384" s="8">
        <f>(C13)</f>
        <v>557.70000000000005</v>
      </c>
      <c r="J384" s="1" t="s">
        <v>884</v>
      </c>
      <c r="K384" s="8">
        <f>(F384*I384)</f>
        <v>11823.24</v>
      </c>
      <c r="O384" s="1" t="s">
        <v>562</v>
      </c>
      <c r="R384" s="8">
        <f>(R382/100)</f>
        <v>24.02</v>
      </c>
      <c r="S384" s="50">
        <v>21.2</v>
      </c>
      <c r="T384" t="s">
        <v>884</v>
      </c>
      <c r="U384" t="s">
        <v>325</v>
      </c>
      <c r="V384">
        <f>I384</f>
        <v>557.70000000000005</v>
      </c>
      <c r="W384" s="4" t="s">
        <v>884</v>
      </c>
      <c r="X384">
        <f>V384*S384</f>
        <v>11823.24</v>
      </c>
      <c r="AC384" s="3"/>
      <c r="AD384" s="5" t="s">
        <v>1615</v>
      </c>
      <c r="AF384" s="10"/>
    </row>
    <row r="385" spans="1:45" ht="24" customHeight="1">
      <c r="A385" s="218">
        <f t="shared" si="37"/>
        <v>220</v>
      </c>
      <c r="B385" s="219" t="s">
        <v>245</v>
      </c>
      <c r="C385" s="853">
        <v>19.3</v>
      </c>
      <c r="D385" s="534" t="s">
        <v>785</v>
      </c>
      <c r="G385" s="7" t="s">
        <v>455</v>
      </c>
      <c r="H385" s="1" t="s">
        <v>456</v>
      </c>
      <c r="I385" s="1" t="s">
        <v>992</v>
      </c>
      <c r="J385" s="1" t="s">
        <v>455</v>
      </c>
      <c r="K385" s="8">
        <v>0</v>
      </c>
      <c r="R385" s="5" t="s">
        <v>2091</v>
      </c>
      <c r="T385" t="s">
        <v>455</v>
      </c>
      <c r="U385" t="s">
        <v>456</v>
      </c>
      <c r="V385" t="s">
        <v>992</v>
      </c>
      <c r="W385" s="4" t="s">
        <v>455</v>
      </c>
      <c r="X385">
        <v>0</v>
      </c>
      <c r="AB385" s="11">
        <v>10</v>
      </c>
      <c r="AC385" s="7" t="s">
        <v>2290</v>
      </c>
      <c r="AD385" s="1" t="s">
        <v>830</v>
      </c>
      <c r="AF385" s="10"/>
      <c r="AN385" s="11"/>
      <c r="AO385" s="7" t="s">
        <v>2290</v>
      </c>
      <c r="AP385" s="1" t="s">
        <v>4901</v>
      </c>
      <c r="AR385" s="10"/>
    </row>
    <row r="386" spans="1:45" ht="24" customHeight="1">
      <c r="A386" s="218">
        <f t="shared" si="37"/>
        <v>221</v>
      </c>
      <c r="B386" s="219" t="s">
        <v>1134</v>
      </c>
      <c r="C386" s="854"/>
      <c r="D386" s="535"/>
      <c r="K386" s="5" t="s">
        <v>1615</v>
      </c>
      <c r="W386" s="4"/>
      <c r="X386" s="55" t="s">
        <v>434</v>
      </c>
      <c r="AC386" s="3"/>
      <c r="AD386" s="8" t="str">
        <f>AD309</f>
        <v>Bricks of size 23x11.4x7.5 cm</v>
      </c>
      <c r="AF386" s="10"/>
      <c r="AO386" s="3"/>
      <c r="AP386" s="8"/>
      <c r="AR386" s="10"/>
    </row>
    <row r="387" spans="1:45" ht="24" customHeight="1">
      <c r="A387" s="218">
        <f t="shared" si="37"/>
        <v>222</v>
      </c>
      <c r="B387" s="219" t="s">
        <v>243</v>
      </c>
      <c r="C387" s="853">
        <v>15.87</v>
      </c>
      <c r="D387" s="534" t="s">
        <v>785</v>
      </c>
      <c r="H387" s="1" t="s">
        <v>626</v>
      </c>
      <c r="K387" s="8">
        <f>SUM(K379:K385)</f>
        <v>65385.279999999999</v>
      </c>
      <c r="U387" t="s">
        <v>626</v>
      </c>
      <c r="W387" s="4"/>
      <c r="X387">
        <f>SUM(X379:X386)</f>
        <v>68873.320000000007</v>
      </c>
      <c r="AC387" s="3"/>
      <c r="AD387" s="5" t="s">
        <v>1615</v>
      </c>
      <c r="AF387" s="10"/>
      <c r="AO387" s="3"/>
      <c r="AP387" s="5" t="s">
        <v>1615</v>
      </c>
      <c r="AR387" s="10"/>
    </row>
    <row r="388" spans="1:45" ht="35.25" customHeight="1">
      <c r="A388" s="218">
        <f t="shared" si="37"/>
        <v>223</v>
      </c>
      <c r="B388" s="219" t="s">
        <v>244</v>
      </c>
      <c r="C388" s="853">
        <v>20.16</v>
      </c>
      <c r="D388" s="534" t="s">
        <v>785</v>
      </c>
      <c r="K388" s="5" t="s">
        <v>1615</v>
      </c>
      <c r="N388" s="1" t="s">
        <v>687</v>
      </c>
      <c r="O388" s="1" t="s">
        <v>1135</v>
      </c>
      <c r="W388" s="4"/>
      <c r="X388" s="55" t="s">
        <v>434</v>
      </c>
      <c r="AB388" s="8">
        <f>AB311</f>
        <v>4240</v>
      </c>
      <c r="AC388" s="7" t="s">
        <v>1450</v>
      </c>
      <c r="AD388" s="8" t="str">
        <f>AD309</f>
        <v>Bricks of size 23x11.4x7.5 cm</v>
      </c>
      <c r="AE388" s="8">
        <f>AC42</f>
        <v>7117.4</v>
      </c>
      <c r="AF388" s="1" t="s">
        <v>1623</v>
      </c>
      <c r="AG388" s="8">
        <f>(AB388*AE388)/1000</f>
        <v>30177.78</v>
      </c>
      <c r="AN388" s="8">
        <v>91</v>
      </c>
      <c r="AO388" s="7" t="s">
        <v>1450</v>
      </c>
      <c r="AP388" s="808" t="s">
        <v>4902</v>
      </c>
      <c r="AQ388" s="419">
        <v>45.35</v>
      </c>
      <c r="AR388" s="1" t="s">
        <v>1423</v>
      </c>
      <c r="AS388" s="8">
        <f>(AN388*AQ388)</f>
        <v>4126.8500000000004</v>
      </c>
    </row>
    <row r="389" spans="1:45" ht="24" customHeight="1">
      <c r="A389" s="218">
        <f t="shared" si="37"/>
        <v>224</v>
      </c>
      <c r="B389" s="219" t="s">
        <v>245</v>
      </c>
      <c r="C389" s="853">
        <v>22.31</v>
      </c>
      <c r="D389" s="534" t="s">
        <v>785</v>
      </c>
      <c r="H389" s="1" t="s">
        <v>789</v>
      </c>
      <c r="K389" s="8">
        <f>(K387/10)</f>
        <v>6538.53</v>
      </c>
      <c r="O389" s="5" t="s">
        <v>1615</v>
      </c>
      <c r="U389" t="s">
        <v>789</v>
      </c>
      <c r="W389" s="4"/>
      <c r="X389">
        <f>X387/10</f>
        <v>6887.33</v>
      </c>
      <c r="AB389" s="8">
        <v>1.27</v>
      </c>
      <c r="AC389" s="7" t="s">
        <v>885</v>
      </c>
      <c r="AD389" s="1" t="s">
        <v>1331</v>
      </c>
      <c r="AE389" s="8">
        <f>V380</f>
        <v>3904.1</v>
      </c>
      <c r="AF389" s="1" t="s">
        <v>885</v>
      </c>
      <c r="AG389" s="8">
        <f>(AB389*AE389)</f>
        <v>4958.21</v>
      </c>
      <c r="AN389" s="8">
        <v>0.11</v>
      </c>
      <c r="AO389" s="7" t="s">
        <v>885</v>
      </c>
      <c r="AP389" s="1" t="s">
        <v>1331</v>
      </c>
      <c r="AQ389" s="8">
        <f>AE389</f>
        <v>3904.1</v>
      </c>
      <c r="AR389" s="1" t="s">
        <v>885</v>
      </c>
      <c r="AS389" s="8">
        <f>(AN389*AQ389)</f>
        <v>429.45</v>
      </c>
    </row>
    <row r="390" spans="1:45" ht="24" customHeight="1">
      <c r="A390" s="218">
        <f t="shared" si="37"/>
        <v>225</v>
      </c>
      <c r="B390" s="219" t="s">
        <v>2266</v>
      </c>
      <c r="C390" s="446"/>
      <c r="D390" s="445" t="s">
        <v>992</v>
      </c>
      <c r="K390" s="5" t="s">
        <v>2091</v>
      </c>
      <c r="M390" s="8">
        <v>7.0000000000000007E-2</v>
      </c>
      <c r="N390" s="1" t="s">
        <v>885</v>
      </c>
      <c r="O390" s="1" t="s">
        <v>2040</v>
      </c>
      <c r="P390" s="8">
        <f>(C84)</f>
        <v>1348</v>
      </c>
      <c r="Q390" s="1" t="s">
        <v>885</v>
      </c>
      <c r="R390" s="8">
        <f>(M390*P390)</f>
        <v>94.36</v>
      </c>
      <c r="W390" s="4"/>
      <c r="X390" s="55" t="s">
        <v>34</v>
      </c>
      <c r="AB390" s="8">
        <v>7</v>
      </c>
      <c r="AC390" s="7" t="s">
        <v>884</v>
      </c>
      <c r="AD390" s="1" t="s">
        <v>2045</v>
      </c>
      <c r="AE390" s="8">
        <f>V381</f>
        <v>1041.7</v>
      </c>
      <c r="AF390" s="1" t="s">
        <v>884</v>
      </c>
      <c r="AG390" s="8">
        <f>(AB390*AE390)</f>
        <v>7291.9</v>
      </c>
      <c r="AN390" s="8">
        <v>1.25</v>
      </c>
      <c r="AO390" s="7" t="s">
        <v>884</v>
      </c>
      <c r="AP390" s="1" t="s">
        <v>2045</v>
      </c>
      <c r="AQ390" s="8">
        <f>AE390</f>
        <v>1041.7</v>
      </c>
      <c r="AR390" s="1" t="s">
        <v>884</v>
      </c>
      <c r="AS390" s="8">
        <f>(AN390*AQ390)</f>
        <v>1302.1300000000001</v>
      </c>
    </row>
    <row r="391" spans="1:45" ht="24" customHeight="1">
      <c r="A391" s="218">
        <f t="shared" si="37"/>
        <v>226</v>
      </c>
      <c r="B391" s="1" t="s">
        <v>5093</v>
      </c>
      <c r="C391" s="419">
        <v>69.8</v>
      </c>
      <c r="D391" s="219" t="s">
        <v>1805</v>
      </c>
      <c r="M391" s="8">
        <v>1.6</v>
      </c>
      <c r="N391" s="1" t="s">
        <v>884</v>
      </c>
      <c r="O391" s="1" t="s">
        <v>1744</v>
      </c>
      <c r="P391" s="8">
        <f>(C11)</f>
        <v>972.4</v>
      </c>
      <c r="Q391" s="1" t="s">
        <v>884</v>
      </c>
      <c r="R391" s="8">
        <f>(M391*P391)</f>
        <v>1555.84</v>
      </c>
      <c r="W391" s="4"/>
      <c r="AB391" s="8">
        <v>7.1</v>
      </c>
      <c r="AC391" s="7" t="s">
        <v>884</v>
      </c>
      <c r="AD391" s="1" t="s">
        <v>1744</v>
      </c>
      <c r="AE391" s="8">
        <f>V382</f>
        <v>972.4</v>
      </c>
      <c r="AF391" s="1" t="s">
        <v>884</v>
      </c>
      <c r="AG391" s="8">
        <f>(AB391*AE391)</f>
        <v>6904.04</v>
      </c>
      <c r="AN391" s="8"/>
      <c r="AO391" s="7"/>
      <c r="AP391" s="1"/>
      <c r="AQ391" s="8"/>
      <c r="AR391" s="1"/>
      <c r="AS391" s="8"/>
    </row>
    <row r="392" spans="1:45" ht="24" customHeight="1">
      <c r="A392" s="218">
        <f t="shared" si="37"/>
        <v>227</v>
      </c>
      <c r="B392" s="219" t="s">
        <v>1137</v>
      </c>
      <c r="C392" s="419">
        <v>98.6</v>
      </c>
      <c r="D392" s="219" t="s">
        <v>1805</v>
      </c>
      <c r="G392" s="7" t="s">
        <v>687</v>
      </c>
      <c r="H392" s="1" t="s">
        <v>2980</v>
      </c>
      <c r="M392" s="8">
        <v>0.5</v>
      </c>
      <c r="N392" s="1" t="s">
        <v>884</v>
      </c>
      <c r="O392" s="1" t="s">
        <v>1937</v>
      </c>
      <c r="P392" s="8">
        <f>(C12)</f>
        <v>679.8</v>
      </c>
      <c r="Q392" s="1" t="s">
        <v>884</v>
      </c>
      <c r="R392" s="8">
        <f>(M392*P392)</f>
        <v>339.9</v>
      </c>
      <c r="T392" t="s">
        <v>687</v>
      </c>
      <c r="U392" t="s">
        <v>435</v>
      </c>
      <c r="W392" s="4"/>
      <c r="AB392" s="8">
        <v>7.1</v>
      </c>
      <c r="AC392" s="7" t="s">
        <v>884</v>
      </c>
      <c r="AD392" s="1" t="s">
        <v>1937</v>
      </c>
      <c r="AE392" s="8">
        <f>V383</f>
        <v>679.8</v>
      </c>
      <c r="AF392" s="1" t="s">
        <v>884</v>
      </c>
      <c r="AG392" s="8">
        <f>(AB392*AE392)</f>
        <v>4826.58</v>
      </c>
      <c r="AN392" s="8">
        <v>0.88</v>
      </c>
      <c r="AO392" s="7" t="s">
        <v>884</v>
      </c>
      <c r="AP392" s="1" t="s">
        <v>1937</v>
      </c>
      <c r="AQ392" s="8">
        <f>AE392</f>
        <v>679.8</v>
      </c>
      <c r="AR392" s="1" t="s">
        <v>884</v>
      </c>
      <c r="AS392" s="8">
        <f>(AN392*AQ392)</f>
        <v>598.22</v>
      </c>
    </row>
    <row r="393" spans="1:45" ht="24" customHeight="1">
      <c r="A393" s="218">
        <f t="shared" si="37"/>
        <v>228</v>
      </c>
      <c r="B393" s="219" t="s">
        <v>1138</v>
      </c>
      <c r="C393" s="419">
        <v>128</v>
      </c>
      <c r="D393" s="219" t="s">
        <v>1805</v>
      </c>
      <c r="H393" s="5" t="s">
        <v>1615</v>
      </c>
      <c r="M393" s="8">
        <v>2.7</v>
      </c>
      <c r="N393" s="1" t="s">
        <v>884</v>
      </c>
      <c r="O393" s="1" t="s">
        <v>325</v>
      </c>
      <c r="P393" s="8">
        <f>(C13)</f>
        <v>557.70000000000005</v>
      </c>
      <c r="Q393" s="1" t="s">
        <v>884</v>
      </c>
      <c r="R393" s="8">
        <f>(M393*P393)</f>
        <v>1505.79</v>
      </c>
      <c r="U393" t="s">
        <v>1615</v>
      </c>
      <c r="W393" s="4"/>
      <c r="AB393" s="8">
        <v>21.2</v>
      </c>
      <c r="AC393" s="7" t="s">
        <v>884</v>
      </c>
      <c r="AD393" s="1" t="s">
        <v>325</v>
      </c>
      <c r="AE393" s="8">
        <f>V384</f>
        <v>557.70000000000005</v>
      </c>
      <c r="AF393" s="1" t="s">
        <v>884</v>
      </c>
      <c r="AG393" s="8">
        <f>(AB393*AE393)</f>
        <v>11823.24</v>
      </c>
      <c r="AN393" s="8">
        <v>0.88</v>
      </c>
      <c r="AO393" s="7" t="s">
        <v>884</v>
      </c>
      <c r="AP393" s="1" t="s">
        <v>325</v>
      </c>
      <c r="AQ393" s="8">
        <f>AE393</f>
        <v>557.70000000000005</v>
      </c>
      <c r="AR393" s="1" t="s">
        <v>884</v>
      </c>
      <c r="AS393" s="8">
        <f>(AN393*AQ393)</f>
        <v>490.78</v>
      </c>
    </row>
    <row r="394" spans="1:45" ht="24" customHeight="1">
      <c r="A394" s="218">
        <f t="shared" si="37"/>
        <v>229</v>
      </c>
      <c r="B394" s="219" t="s">
        <v>1139</v>
      </c>
      <c r="C394" s="419">
        <v>151.4</v>
      </c>
      <c r="D394" s="219" t="s">
        <v>1805</v>
      </c>
      <c r="F394" s="8">
        <v>1.1000000000000001</v>
      </c>
      <c r="G394" s="7" t="s">
        <v>885</v>
      </c>
      <c r="H394" s="1" t="s">
        <v>1140</v>
      </c>
      <c r="I394" s="8">
        <f>(K389)</f>
        <v>6538.53</v>
      </c>
      <c r="J394" s="1" t="s">
        <v>885</v>
      </c>
      <c r="K394" s="8">
        <f>(F394*I394)</f>
        <v>7192.38</v>
      </c>
      <c r="N394" s="1" t="s">
        <v>455</v>
      </c>
      <c r="O394" s="1" t="s">
        <v>1870</v>
      </c>
      <c r="P394" s="1" t="s">
        <v>992</v>
      </c>
      <c r="Q394" s="1" t="s">
        <v>455</v>
      </c>
      <c r="R394" s="8">
        <v>2.09</v>
      </c>
      <c r="S394" s="50">
        <v>1.1200000000000001</v>
      </c>
      <c r="T394" t="s">
        <v>885</v>
      </c>
      <c r="U394" t="s">
        <v>1140</v>
      </c>
      <c r="V394">
        <f>X389</f>
        <v>6887.33</v>
      </c>
      <c r="W394" s="4" t="s">
        <v>885</v>
      </c>
      <c r="X394">
        <f>V394*S394</f>
        <v>7713.81</v>
      </c>
      <c r="AC394" s="7" t="s">
        <v>455</v>
      </c>
      <c r="AD394" s="1" t="s">
        <v>456</v>
      </c>
      <c r="AE394" s="1" t="s">
        <v>992</v>
      </c>
      <c r="AF394" s="1" t="s">
        <v>455</v>
      </c>
      <c r="AG394" s="8">
        <v>5</v>
      </c>
      <c r="AO394" s="7" t="s">
        <v>455</v>
      </c>
      <c r="AP394" s="1" t="s">
        <v>456</v>
      </c>
      <c r="AQ394" s="1" t="s">
        <v>992</v>
      </c>
      <c r="AR394" s="1" t="s">
        <v>455</v>
      </c>
      <c r="AS394" s="8">
        <v>0</v>
      </c>
    </row>
    <row r="395" spans="1:45" ht="24" customHeight="1">
      <c r="A395" s="218">
        <f t="shared" si="37"/>
        <v>230</v>
      </c>
      <c r="B395" s="219" t="s">
        <v>1141</v>
      </c>
      <c r="C395" s="419">
        <v>163</v>
      </c>
      <c r="D395" s="219" t="s">
        <v>1805</v>
      </c>
      <c r="F395" s="8">
        <v>1</v>
      </c>
      <c r="G395" s="7" t="s">
        <v>785</v>
      </c>
      <c r="H395" s="1" t="s">
        <v>2045</v>
      </c>
      <c r="I395" s="8">
        <f>(C10)</f>
        <v>1041.7</v>
      </c>
      <c r="J395" s="1" t="s">
        <v>884</v>
      </c>
      <c r="K395" s="8">
        <f>(F395*I395)</f>
        <v>1041.7</v>
      </c>
      <c r="R395" s="5" t="s">
        <v>1615</v>
      </c>
      <c r="S395" s="50">
        <v>1</v>
      </c>
      <c r="T395" t="s">
        <v>785</v>
      </c>
      <c r="U395" t="s">
        <v>2045</v>
      </c>
      <c r="V395">
        <f>I395</f>
        <v>1041.7</v>
      </c>
      <c r="W395" s="4" t="s">
        <v>884</v>
      </c>
      <c r="X395">
        <f>V395*S395</f>
        <v>1041.7</v>
      </c>
      <c r="AC395" s="3"/>
      <c r="AF395" s="10"/>
      <c r="AG395" s="5" t="s">
        <v>1615</v>
      </c>
      <c r="AO395" s="3"/>
      <c r="AR395" s="10"/>
      <c r="AS395" s="5" t="s">
        <v>1615</v>
      </c>
    </row>
    <row r="396" spans="1:45" ht="24" customHeight="1">
      <c r="A396" s="218">
        <f t="shared" si="37"/>
        <v>231</v>
      </c>
      <c r="B396" s="219" t="s">
        <v>243</v>
      </c>
      <c r="C396" s="419">
        <v>209</v>
      </c>
      <c r="D396" s="219" t="s">
        <v>1805</v>
      </c>
      <c r="G396" s="7" t="s">
        <v>455</v>
      </c>
      <c r="H396" s="1" t="s">
        <v>456</v>
      </c>
      <c r="I396" s="1" t="s">
        <v>992</v>
      </c>
      <c r="J396" s="1" t="s">
        <v>455</v>
      </c>
      <c r="K396" s="8">
        <v>0</v>
      </c>
      <c r="O396" s="1" t="s">
        <v>1872</v>
      </c>
      <c r="R396" s="8">
        <f>SUM(R389:R394)</f>
        <v>3497.98</v>
      </c>
      <c r="T396" t="s">
        <v>455</v>
      </c>
      <c r="U396" t="s">
        <v>456</v>
      </c>
      <c r="V396" t="s">
        <v>992</v>
      </c>
      <c r="W396" s="4" t="s">
        <v>455</v>
      </c>
      <c r="X396">
        <v>0</v>
      </c>
      <c r="AC396" s="3"/>
      <c r="AD396" s="1" t="s">
        <v>626</v>
      </c>
      <c r="AF396" s="10"/>
      <c r="AG396" s="8">
        <f>SUM(AG388:AG394)</f>
        <v>65986.75</v>
      </c>
      <c r="AO396" s="3"/>
      <c r="AP396" s="1" t="s">
        <v>4903</v>
      </c>
      <c r="AR396" s="10"/>
      <c r="AS396" s="8">
        <f>SUM(AS388:AS394)</f>
        <v>6947.43</v>
      </c>
    </row>
    <row r="397" spans="1:45" ht="24" customHeight="1">
      <c r="A397" s="218">
        <f t="shared" si="37"/>
        <v>232</v>
      </c>
      <c r="B397" s="219" t="s">
        <v>4195</v>
      </c>
      <c r="C397" s="419">
        <v>244.4</v>
      </c>
      <c r="D397" s="219" t="s">
        <v>1805</v>
      </c>
      <c r="K397" s="5" t="s">
        <v>1615</v>
      </c>
      <c r="R397" s="5" t="s">
        <v>1615</v>
      </c>
      <c r="W397" s="4"/>
      <c r="X397" s="55" t="s">
        <v>434</v>
      </c>
      <c r="AC397" s="3"/>
      <c r="AF397" s="10"/>
      <c r="AG397" s="5" t="s">
        <v>1615</v>
      </c>
      <c r="AO397" s="3"/>
      <c r="AR397" s="10"/>
      <c r="AS397" s="5" t="s">
        <v>1615</v>
      </c>
    </row>
    <row r="398" spans="1:45" ht="24" customHeight="1">
      <c r="A398" s="218">
        <f t="shared" si="37"/>
        <v>233</v>
      </c>
      <c r="B398" s="1" t="s">
        <v>5094</v>
      </c>
      <c r="C398" s="221"/>
      <c r="D398" s="221"/>
      <c r="H398" s="1" t="s">
        <v>447</v>
      </c>
      <c r="K398" s="8">
        <f>SUM(K394:K396)</f>
        <v>8234.08</v>
      </c>
      <c r="O398" s="1" t="s">
        <v>562</v>
      </c>
      <c r="R398" s="8">
        <f>(R396/100)</f>
        <v>34.979999999999997</v>
      </c>
      <c r="U398" t="s">
        <v>447</v>
      </c>
      <c r="W398" s="4"/>
      <c r="X398">
        <f>SUM(X394:X396)</f>
        <v>8755.51</v>
      </c>
      <c r="AC398" s="3"/>
      <c r="AD398" s="1" t="s">
        <v>789</v>
      </c>
      <c r="AF398" s="10"/>
      <c r="AG398" s="8">
        <f>(AG396/10)</f>
        <v>6598.68</v>
      </c>
      <c r="AO398" s="3"/>
      <c r="AP398" s="1" t="s">
        <v>562</v>
      </c>
      <c r="AR398" s="10"/>
      <c r="AS398" s="8">
        <f>(AS396/10.71)</f>
        <v>648.69000000000005</v>
      </c>
    </row>
    <row r="399" spans="1:45" ht="24" customHeight="1">
      <c r="A399" s="218">
        <f t="shared" si="37"/>
        <v>234</v>
      </c>
      <c r="B399" s="219" t="s">
        <v>1136</v>
      </c>
      <c r="C399" s="419">
        <v>13.6</v>
      </c>
      <c r="D399" s="219" t="s">
        <v>884</v>
      </c>
      <c r="K399" s="5" t="s">
        <v>1615</v>
      </c>
      <c r="R399" s="5" t="s">
        <v>2091</v>
      </c>
      <c r="W399" s="4"/>
      <c r="X399" s="55" t="s">
        <v>434</v>
      </c>
      <c r="AC399" s="3"/>
      <c r="AF399" s="10"/>
      <c r="AG399" s="5" t="s">
        <v>2091</v>
      </c>
      <c r="AO399" s="3"/>
      <c r="AR399" s="10"/>
      <c r="AS399" s="5" t="s">
        <v>2091</v>
      </c>
    </row>
    <row r="400" spans="1:45" ht="24" customHeight="1">
      <c r="A400" s="218">
        <f t="shared" si="37"/>
        <v>235</v>
      </c>
      <c r="B400" s="219" t="s">
        <v>1137</v>
      </c>
      <c r="C400" s="419">
        <v>23.2</v>
      </c>
      <c r="D400" s="219" t="s">
        <v>884</v>
      </c>
      <c r="H400" s="1" t="s">
        <v>562</v>
      </c>
      <c r="K400" s="38">
        <f>(K398/10)</f>
        <v>823.41</v>
      </c>
      <c r="N400" s="1" t="s">
        <v>687</v>
      </c>
      <c r="O400" s="1" t="s">
        <v>354</v>
      </c>
      <c r="U400" t="s">
        <v>562</v>
      </c>
      <c r="W400" s="4"/>
      <c r="X400">
        <f>X398/10</f>
        <v>875.55</v>
      </c>
      <c r="AC400" s="3"/>
      <c r="AF400" s="10"/>
      <c r="AP400" s="1" t="s">
        <v>391</v>
      </c>
      <c r="AR400" s="10">
        <f>AF411</f>
        <v>9.3800000000000008</v>
      </c>
      <c r="AS400" s="38">
        <f>AS398+AR400</f>
        <v>658.07</v>
      </c>
    </row>
    <row r="401" spans="1:45" ht="24" customHeight="1">
      <c r="A401" s="218">
        <f t="shared" si="37"/>
        <v>236</v>
      </c>
      <c r="B401" s="219" t="s">
        <v>1138</v>
      </c>
      <c r="C401" s="419">
        <v>52</v>
      </c>
      <c r="D401" s="219" t="s">
        <v>884</v>
      </c>
      <c r="K401" s="5" t="s">
        <v>2091</v>
      </c>
      <c r="O401" s="5" t="s">
        <v>1615</v>
      </c>
      <c r="W401" s="4"/>
      <c r="X401" s="55" t="s">
        <v>34</v>
      </c>
      <c r="AC401" s="7" t="s">
        <v>687</v>
      </c>
      <c r="AD401" s="1" t="s">
        <v>3262</v>
      </c>
      <c r="AF401" s="10"/>
      <c r="AP401" s="1" t="s">
        <v>393</v>
      </c>
      <c r="AR401" s="10">
        <f>AF412</f>
        <v>18.920000000000002</v>
      </c>
      <c r="AS401" s="38">
        <f t="shared" ref="AS401:AS406" si="39">AS400+AR401</f>
        <v>676.99</v>
      </c>
    </row>
    <row r="402" spans="1:45" ht="24" customHeight="1">
      <c r="A402" s="218">
        <f t="shared" si="37"/>
        <v>237</v>
      </c>
      <c r="B402" s="219" t="s">
        <v>1139</v>
      </c>
      <c r="C402" s="419">
        <v>69.8</v>
      </c>
      <c r="D402" s="219" t="s">
        <v>884</v>
      </c>
      <c r="H402" s="1" t="s">
        <v>391</v>
      </c>
      <c r="J402" s="10">
        <f>K402-K400</f>
        <v>9.0500000000000007</v>
      </c>
      <c r="K402" s="38">
        <f>(K400+C19/10*F394)</f>
        <v>832.46</v>
      </c>
      <c r="M402" s="8">
        <v>10</v>
      </c>
      <c r="N402" s="1" t="s">
        <v>621</v>
      </c>
      <c r="O402" s="1" t="s">
        <v>1135</v>
      </c>
      <c r="P402" s="8">
        <f>(R398)</f>
        <v>34.979999999999997</v>
      </c>
      <c r="Q402" s="1" t="s">
        <v>621</v>
      </c>
      <c r="R402" s="8">
        <f>(M402*P402)</f>
        <v>349.8</v>
      </c>
      <c r="U402" s="36" t="s">
        <v>391</v>
      </c>
      <c r="W402" s="4">
        <f>0.112*C19</f>
        <v>9.2200000000000006</v>
      </c>
      <c r="X402" s="36">
        <f>X400+W402</f>
        <v>884.77</v>
      </c>
      <c r="AC402" s="3"/>
      <c r="AD402" s="5" t="s">
        <v>1615</v>
      </c>
      <c r="AF402" s="10"/>
      <c r="AP402" s="1" t="s">
        <v>2271</v>
      </c>
      <c r="AR402" s="10">
        <f>AR401</f>
        <v>18.920000000000002</v>
      </c>
      <c r="AS402" s="38">
        <f t="shared" si="39"/>
        <v>695.91</v>
      </c>
    </row>
    <row r="403" spans="1:45" ht="24" customHeight="1">
      <c r="A403" s="218">
        <f t="shared" si="37"/>
        <v>238</v>
      </c>
      <c r="B403" s="219" t="s">
        <v>1141</v>
      </c>
      <c r="C403" s="419">
        <v>87</v>
      </c>
      <c r="D403" s="219" t="s">
        <v>884</v>
      </c>
      <c r="H403" s="1" t="s">
        <v>393</v>
      </c>
      <c r="J403" s="10">
        <f>K403-K402</f>
        <v>18.260000000000002</v>
      </c>
      <c r="K403" s="38">
        <f>(K402+C20/10*F394)</f>
        <v>850.72</v>
      </c>
      <c r="M403" s="8">
        <v>10</v>
      </c>
      <c r="N403" s="1" t="s">
        <v>621</v>
      </c>
      <c r="O403" s="1" t="s">
        <v>1557</v>
      </c>
      <c r="P403" s="8">
        <f>(R398/2)</f>
        <v>17.489999999999998</v>
      </c>
      <c r="Q403" s="1" t="s">
        <v>621</v>
      </c>
      <c r="R403" s="8">
        <f>(M403*P403)</f>
        <v>174.9</v>
      </c>
      <c r="U403" s="36" t="s">
        <v>393</v>
      </c>
      <c r="W403" s="4">
        <f>0.112*C20</f>
        <v>18.59</v>
      </c>
      <c r="X403" s="36">
        <f>X402+W403</f>
        <v>903.36</v>
      </c>
      <c r="AB403" s="8">
        <v>1.1399999999999999</v>
      </c>
      <c r="AC403" s="7" t="s">
        <v>885</v>
      </c>
      <c r="AD403" s="1" t="s">
        <v>1140</v>
      </c>
      <c r="AE403" s="8">
        <f>(AG398)</f>
        <v>6598.68</v>
      </c>
      <c r="AF403" s="1" t="s">
        <v>885</v>
      </c>
      <c r="AG403" s="8">
        <f>(AB403*AE403)</f>
        <v>7522.5</v>
      </c>
      <c r="AP403" s="1" t="s">
        <v>385</v>
      </c>
      <c r="AR403" s="10">
        <f>AR402</f>
        <v>18.920000000000002</v>
      </c>
      <c r="AS403" s="38">
        <f t="shared" si="39"/>
        <v>714.83</v>
      </c>
    </row>
    <row r="404" spans="1:45" ht="24" customHeight="1">
      <c r="A404" s="218">
        <f t="shared" si="37"/>
        <v>239</v>
      </c>
      <c r="B404" s="219" t="s">
        <v>243</v>
      </c>
      <c r="C404" s="419">
        <v>116.3</v>
      </c>
      <c r="D404" s="219" t="s">
        <v>884</v>
      </c>
      <c r="H404" s="1" t="s">
        <v>2271</v>
      </c>
      <c r="K404" s="38">
        <f>(K403+C21/10*F394)</f>
        <v>868.98</v>
      </c>
      <c r="O404" s="1" t="s">
        <v>1558</v>
      </c>
      <c r="R404" s="5" t="s">
        <v>1615</v>
      </c>
      <c r="U404" s="36" t="s">
        <v>2271</v>
      </c>
      <c r="W404" s="4">
        <f>W403</f>
        <v>18.59</v>
      </c>
      <c r="X404" s="36">
        <f>X403+W404</f>
        <v>921.95</v>
      </c>
      <c r="AB404" s="8">
        <v>1</v>
      </c>
      <c r="AC404" s="7" t="s">
        <v>785</v>
      </c>
      <c r="AD404" s="1" t="s">
        <v>2045</v>
      </c>
      <c r="AE404" s="8">
        <f>AE390</f>
        <v>1041.7</v>
      </c>
      <c r="AF404" s="1" t="s">
        <v>884</v>
      </c>
      <c r="AG404" s="8">
        <f>(AB404*AE404)</f>
        <v>1041.7</v>
      </c>
      <c r="AP404" s="1" t="s">
        <v>1560</v>
      </c>
      <c r="AR404" s="10">
        <f>AR403</f>
        <v>18.920000000000002</v>
      </c>
      <c r="AS404" s="38">
        <f t="shared" si="39"/>
        <v>733.75</v>
      </c>
    </row>
    <row r="405" spans="1:45" ht="24" customHeight="1">
      <c r="A405" s="218">
        <f t="shared" si="37"/>
        <v>240</v>
      </c>
      <c r="B405" s="705" t="s">
        <v>5841</v>
      </c>
      <c r="C405" s="442">
        <v>278.3</v>
      </c>
      <c r="D405" s="706" t="s">
        <v>884</v>
      </c>
      <c r="H405" s="1" t="s">
        <v>385</v>
      </c>
      <c r="K405" s="38">
        <f>(K404+C21/10*F394)</f>
        <v>887.24</v>
      </c>
      <c r="R405" s="8">
        <f>SUM(R402:R403)</f>
        <v>524.70000000000005</v>
      </c>
      <c r="U405" s="36" t="s">
        <v>385</v>
      </c>
      <c r="W405" s="4">
        <f>W403</f>
        <v>18.59</v>
      </c>
      <c r="X405" s="36">
        <f>X404+W405</f>
        <v>940.54</v>
      </c>
      <c r="AC405" s="7" t="s">
        <v>455</v>
      </c>
      <c r="AD405" s="1" t="s">
        <v>456</v>
      </c>
      <c r="AE405" s="1" t="s">
        <v>992</v>
      </c>
      <c r="AF405" s="1" t="s">
        <v>455</v>
      </c>
      <c r="AG405" s="8">
        <v>0</v>
      </c>
      <c r="AP405" s="1" t="s">
        <v>3641</v>
      </c>
      <c r="AR405" s="10">
        <f>AR404</f>
        <v>18.920000000000002</v>
      </c>
      <c r="AS405" s="38">
        <f t="shared" si="39"/>
        <v>752.67</v>
      </c>
    </row>
    <row r="406" spans="1:45" ht="24" customHeight="1">
      <c r="A406" s="218">
        <f t="shared" si="37"/>
        <v>241</v>
      </c>
      <c r="B406" s="1" t="s">
        <v>5095</v>
      </c>
      <c r="C406" s="221"/>
      <c r="D406" s="219" t="s">
        <v>992</v>
      </c>
      <c r="H406" s="1" t="s">
        <v>1560</v>
      </c>
      <c r="K406" s="38">
        <f>(K405+C21/10*F394)</f>
        <v>905.5</v>
      </c>
      <c r="L406">
        <f>K406-K405</f>
        <v>18.260000000000002</v>
      </c>
      <c r="O406" s="1" t="s">
        <v>447</v>
      </c>
      <c r="R406" s="5" t="s">
        <v>1615</v>
      </c>
      <c r="U406" s="36" t="s">
        <v>1560</v>
      </c>
      <c r="W406" s="4">
        <f>W405</f>
        <v>18.59</v>
      </c>
      <c r="X406" s="36">
        <f>X405+W406</f>
        <v>959.13</v>
      </c>
      <c r="AC406" s="3"/>
      <c r="AF406" s="10"/>
      <c r="AG406" s="5" t="s">
        <v>1615</v>
      </c>
      <c r="AP406" s="1" t="s">
        <v>3642</v>
      </c>
      <c r="AR406" s="10">
        <f>AR405</f>
        <v>18.920000000000002</v>
      </c>
      <c r="AS406" s="38">
        <f t="shared" si="39"/>
        <v>771.59</v>
      </c>
    </row>
    <row r="407" spans="1:45" ht="24" customHeight="1">
      <c r="A407" s="218">
        <f t="shared" si="37"/>
        <v>242</v>
      </c>
      <c r="B407" s="219" t="s">
        <v>1136</v>
      </c>
      <c r="C407" s="419">
        <v>13.6</v>
      </c>
      <c r="D407" s="219" t="s">
        <v>884</v>
      </c>
      <c r="F407" s="11">
        <v>11</v>
      </c>
      <c r="G407" s="7" t="s">
        <v>2290</v>
      </c>
      <c r="H407" s="1" t="s">
        <v>825</v>
      </c>
      <c r="L407">
        <f>K406+L406</f>
        <v>923.76</v>
      </c>
      <c r="R407" s="8">
        <f>(R405/10)</f>
        <v>52.47</v>
      </c>
      <c r="S407" s="50">
        <v>11</v>
      </c>
      <c r="T407" t="s">
        <v>2290</v>
      </c>
      <c r="U407" t="s">
        <v>825</v>
      </c>
      <c r="W407" s="4"/>
      <c r="AC407" s="3"/>
      <c r="AD407" s="1" t="s">
        <v>447</v>
      </c>
      <c r="AF407" s="10"/>
      <c r="AG407" s="8">
        <f>SUM(AG403:AG405)</f>
        <v>8564.2000000000007</v>
      </c>
    </row>
    <row r="408" spans="1:45" ht="24" customHeight="1">
      <c r="A408" s="218">
        <f t="shared" si="37"/>
        <v>243</v>
      </c>
      <c r="B408" s="219" t="s">
        <v>1137</v>
      </c>
      <c r="C408" s="419">
        <v>15.9</v>
      </c>
      <c r="D408" s="219" t="s">
        <v>884</v>
      </c>
      <c r="H408" s="8" t="str">
        <f>H309</f>
        <v>Bricks of size 22x11x7 cm</v>
      </c>
      <c r="O408" s="1" t="s">
        <v>562</v>
      </c>
      <c r="R408" s="5" t="s">
        <v>2091</v>
      </c>
      <c r="U408" t="s">
        <v>432</v>
      </c>
      <c r="W408" s="4"/>
      <c r="AC408" s="3"/>
      <c r="AF408" s="10"/>
      <c r="AG408" s="5" t="s">
        <v>1615</v>
      </c>
    </row>
    <row r="409" spans="1:45" ht="24" customHeight="1">
      <c r="A409" s="218">
        <f t="shared" si="37"/>
        <v>244</v>
      </c>
      <c r="B409" s="219" t="s">
        <v>1138</v>
      </c>
      <c r="C409" s="419">
        <v>28.6</v>
      </c>
      <c r="D409" s="219" t="s">
        <v>884</v>
      </c>
      <c r="H409" s="5" t="s">
        <v>1615</v>
      </c>
      <c r="U409" t="s">
        <v>1615</v>
      </c>
      <c r="W409" s="4"/>
      <c r="AC409" s="3"/>
      <c r="AD409" s="1" t="s">
        <v>562</v>
      </c>
      <c r="AF409" s="10"/>
      <c r="AG409" s="38">
        <f>(AG407/10)</f>
        <v>856.42</v>
      </c>
    </row>
    <row r="410" spans="1:45" ht="24" customHeight="1">
      <c r="A410" s="218">
        <f t="shared" si="37"/>
        <v>245</v>
      </c>
      <c r="B410" s="219" t="s">
        <v>1139</v>
      </c>
      <c r="C410" s="419">
        <v>46.5</v>
      </c>
      <c r="D410" s="219" t="s">
        <v>884</v>
      </c>
      <c r="F410" s="8">
        <f>F311</f>
        <v>4800</v>
      </c>
      <c r="G410" s="7" t="s">
        <v>1450</v>
      </c>
      <c r="H410" s="8" t="str">
        <f>H309</f>
        <v>Bricks of size 22x11x7 cm</v>
      </c>
      <c r="I410" s="8">
        <f>(C80)</f>
        <v>5902.5</v>
      </c>
      <c r="J410" s="1" t="s">
        <v>1561</v>
      </c>
      <c r="K410" s="8">
        <f>(F410*I410)/1000</f>
        <v>28332</v>
      </c>
      <c r="N410" s="1" t="s">
        <v>2290</v>
      </c>
      <c r="O410" s="1" t="s">
        <v>1562</v>
      </c>
      <c r="S410" s="50">
        <v>4600</v>
      </c>
      <c r="T410" t="s">
        <v>1450</v>
      </c>
      <c r="U410" t="s">
        <v>432</v>
      </c>
      <c r="V410">
        <f t="shared" ref="V410:V415" si="40">V379</f>
        <v>6917.4</v>
      </c>
      <c r="W410" s="4" t="s">
        <v>1561</v>
      </c>
      <c r="X410">
        <f>V410*S410/1000</f>
        <v>31820.04</v>
      </c>
      <c r="AC410" s="3"/>
      <c r="AF410" s="10"/>
      <c r="AG410" s="5" t="s">
        <v>2091</v>
      </c>
    </row>
    <row r="411" spans="1:45" ht="24" customHeight="1">
      <c r="A411" s="218">
        <f t="shared" ref="A411:A421" si="41">(A410+1)</f>
        <v>246</v>
      </c>
      <c r="B411" s="219" t="s">
        <v>1141</v>
      </c>
      <c r="C411" s="419">
        <v>58.1</v>
      </c>
      <c r="D411" s="219" t="s">
        <v>884</v>
      </c>
      <c r="F411" s="8">
        <f>F380</f>
        <v>1.59</v>
      </c>
      <c r="G411" s="7" t="s">
        <v>885</v>
      </c>
      <c r="H411" s="1" t="s">
        <v>1331</v>
      </c>
      <c r="I411" s="8">
        <f>(K40)</f>
        <v>3904.1</v>
      </c>
      <c r="J411" s="1" t="s">
        <v>885</v>
      </c>
      <c r="K411" s="8">
        <f>(F411*I411)</f>
        <v>6207.52</v>
      </c>
      <c r="O411" s="1" t="s">
        <v>1563</v>
      </c>
      <c r="S411" s="50">
        <v>1.59</v>
      </c>
      <c r="T411" t="s">
        <v>885</v>
      </c>
      <c r="U411" t="s">
        <v>1331</v>
      </c>
      <c r="V411">
        <f t="shared" si="40"/>
        <v>3904.1</v>
      </c>
      <c r="W411" s="4" t="s">
        <v>885</v>
      </c>
      <c r="X411">
        <f t="shared" ref="X411:X416" si="42">V411*S411</f>
        <v>6207.52</v>
      </c>
      <c r="AC411" s="3"/>
      <c r="AD411" s="1" t="s">
        <v>391</v>
      </c>
      <c r="AF411" s="10">
        <f>C19*0.114</f>
        <v>9.3800000000000008</v>
      </c>
      <c r="AG411" s="38">
        <f>AG409+AF411</f>
        <v>865.8</v>
      </c>
    </row>
    <row r="412" spans="1:45" ht="24" customHeight="1">
      <c r="A412" s="218">
        <f t="shared" si="41"/>
        <v>247</v>
      </c>
      <c r="B412" s="219" t="s">
        <v>243</v>
      </c>
      <c r="C412" s="419">
        <v>69.8</v>
      </c>
      <c r="D412" s="219" t="s">
        <v>884</v>
      </c>
      <c r="F412" s="8">
        <v>7</v>
      </c>
      <c r="G412" s="7" t="s">
        <v>884</v>
      </c>
      <c r="H412" s="1" t="s">
        <v>2045</v>
      </c>
      <c r="I412" s="8">
        <f>(C10)</f>
        <v>1041.7</v>
      </c>
      <c r="J412" s="1" t="s">
        <v>884</v>
      </c>
      <c r="K412" s="8">
        <f>(F412*I412)</f>
        <v>7291.9</v>
      </c>
      <c r="O412" s="5" t="s">
        <v>1615</v>
      </c>
      <c r="S412" s="50">
        <v>7</v>
      </c>
      <c r="T412" t="s">
        <v>884</v>
      </c>
      <c r="U412" t="s">
        <v>2045</v>
      </c>
      <c r="V412">
        <f t="shared" si="40"/>
        <v>1041.7</v>
      </c>
      <c r="W412" s="4" t="s">
        <v>884</v>
      </c>
      <c r="X412">
        <f t="shared" si="42"/>
        <v>7291.9</v>
      </c>
      <c r="AC412" s="3"/>
      <c r="AD412" s="1" t="s">
        <v>393</v>
      </c>
      <c r="AF412" s="10">
        <f>C20*0.114</f>
        <v>18.920000000000002</v>
      </c>
      <c r="AG412" s="38">
        <f t="shared" ref="AG412:AG420" si="43">AG411+AF412</f>
        <v>884.72</v>
      </c>
    </row>
    <row r="413" spans="1:45" ht="24" customHeight="1">
      <c r="A413" s="218">
        <f t="shared" si="41"/>
        <v>248</v>
      </c>
      <c r="B413" s="705" t="s">
        <v>5096</v>
      </c>
      <c r="C413" s="442">
        <v>239</v>
      </c>
      <c r="D413" s="706" t="s">
        <v>884</v>
      </c>
      <c r="F413" s="8">
        <v>7.1</v>
      </c>
      <c r="G413" s="7" t="s">
        <v>884</v>
      </c>
      <c r="H413" s="1" t="s">
        <v>1744</v>
      </c>
      <c r="I413" s="8">
        <f>(C11)</f>
        <v>972.4</v>
      </c>
      <c r="J413" s="1" t="s">
        <v>884</v>
      </c>
      <c r="K413" s="8">
        <f>(F413*I413)</f>
        <v>6904.04</v>
      </c>
      <c r="M413" s="8">
        <v>10</v>
      </c>
      <c r="N413" s="1" t="s">
        <v>621</v>
      </c>
      <c r="O413" s="1" t="s">
        <v>1868</v>
      </c>
      <c r="P413" s="8">
        <f>(R384)</f>
        <v>24.02</v>
      </c>
      <c r="Q413" s="1" t="s">
        <v>621</v>
      </c>
      <c r="R413" s="8">
        <f>(M413*P413)</f>
        <v>240.2</v>
      </c>
      <c r="S413" s="50">
        <v>7.1</v>
      </c>
      <c r="T413" t="s">
        <v>884</v>
      </c>
      <c r="U413" t="s">
        <v>1744</v>
      </c>
      <c r="V413">
        <f t="shared" si="40"/>
        <v>972.4</v>
      </c>
      <c r="W413" s="4" t="s">
        <v>884</v>
      </c>
      <c r="X413">
        <f t="shared" si="42"/>
        <v>6904.04</v>
      </c>
      <c r="AC413" s="3"/>
      <c r="AD413" s="1" t="s">
        <v>2271</v>
      </c>
      <c r="AF413" s="10">
        <f t="shared" ref="AF413:AF422" si="44">AF412</f>
        <v>18.920000000000002</v>
      </c>
      <c r="AG413" s="38">
        <f t="shared" si="43"/>
        <v>903.64</v>
      </c>
    </row>
    <row r="414" spans="1:45" ht="24" customHeight="1">
      <c r="A414" s="218">
        <f t="shared" si="41"/>
        <v>249</v>
      </c>
      <c r="B414" s="531" t="s">
        <v>4777</v>
      </c>
      <c r="C414" s="221"/>
      <c r="D414" s="219" t="s">
        <v>992</v>
      </c>
      <c r="F414" s="8">
        <v>7.1</v>
      </c>
      <c r="G414" s="7" t="s">
        <v>884</v>
      </c>
      <c r="H414" s="1" t="s">
        <v>1937</v>
      </c>
      <c r="I414" s="8">
        <f>(C12)</f>
        <v>679.8</v>
      </c>
      <c r="J414" s="1" t="s">
        <v>884</v>
      </c>
      <c r="K414" s="8">
        <f>(F414*I414)</f>
        <v>4826.58</v>
      </c>
      <c r="M414" s="8">
        <v>10</v>
      </c>
      <c r="N414" s="1" t="s">
        <v>621</v>
      </c>
      <c r="O414" s="1" t="s">
        <v>354</v>
      </c>
      <c r="P414" s="8">
        <f>(R407)</f>
        <v>52.47</v>
      </c>
      <c r="Q414" s="1" t="s">
        <v>621</v>
      </c>
      <c r="R414" s="8">
        <f>(M414*P414)</f>
        <v>524.70000000000005</v>
      </c>
      <c r="S414" s="50">
        <v>7.1</v>
      </c>
      <c r="T414" t="s">
        <v>884</v>
      </c>
      <c r="U414" t="s">
        <v>1937</v>
      </c>
      <c r="V414">
        <f t="shared" si="40"/>
        <v>679.8</v>
      </c>
      <c r="W414" s="4" t="s">
        <v>884</v>
      </c>
      <c r="X414">
        <f t="shared" si="42"/>
        <v>4826.58</v>
      </c>
      <c r="AC414" s="3"/>
      <c r="AD414" s="1" t="s">
        <v>385</v>
      </c>
      <c r="AF414" s="10">
        <f t="shared" si="44"/>
        <v>18.920000000000002</v>
      </c>
      <c r="AG414" s="38">
        <f t="shared" si="43"/>
        <v>922.56</v>
      </c>
    </row>
    <row r="415" spans="1:45" ht="24" customHeight="1">
      <c r="A415" s="218">
        <f t="shared" si="41"/>
        <v>250</v>
      </c>
      <c r="B415" s="219" t="s">
        <v>1136</v>
      </c>
      <c r="C415" s="419">
        <v>15.9</v>
      </c>
      <c r="D415" s="219" t="s">
        <v>884</v>
      </c>
      <c r="F415" s="8">
        <v>21.2</v>
      </c>
      <c r="G415" s="7" t="s">
        <v>884</v>
      </c>
      <c r="H415" s="1" t="s">
        <v>325</v>
      </c>
      <c r="I415" s="8">
        <f>(C13)</f>
        <v>557.70000000000005</v>
      </c>
      <c r="J415" s="1" t="s">
        <v>884</v>
      </c>
      <c r="K415" s="8">
        <f>(F415*I415)</f>
        <v>11823.24</v>
      </c>
      <c r="O415" s="1" t="s">
        <v>992</v>
      </c>
      <c r="R415" s="5" t="s">
        <v>1615</v>
      </c>
      <c r="S415" s="50">
        <v>21.2</v>
      </c>
      <c r="T415" t="s">
        <v>884</v>
      </c>
      <c r="U415" t="s">
        <v>325</v>
      </c>
      <c r="V415">
        <f t="shared" si="40"/>
        <v>557.70000000000005</v>
      </c>
      <c r="W415" s="4" t="s">
        <v>884</v>
      </c>
      <c r="X415">
        <f t="shared" si="42"/>
        <v>11823.24</v>
      </c>
      <c r="AC415" s="3"/>
      <c r="AD415" s="1" t="s">
        <v>1560</v>
      </c>
      <c r="AF415" s="10">
        <f t="shared" si="44"/>
        <v>18.920000000000002</v>
      </c>
      <c r="AG415" s="38">
        <f t="shared" si="43"/>
        <v>941.48</v>
      </c>
    </row>
    <row r="416" spans="1:45" ht="24" customHeight="1">
      <c r="A416" s="218">
        <f t="shared" si="41"/>
        <v>251</v>
      </c>
      <c r="B416" s="219" t="s">
        <v>1137</v>
      </c>
      <c r="C416" s="419">
        <v>25.4</v>
      </c>
      <c r="D416" s="219" t="s">
        <v>884</v>
      </c>
      <c r="G416" s="7" t="s">
        <v>455</v>
      </c>
      <c r="H416" s="1" t="s">
        <v>456</v>
      </c>
      <c r="I416" s="1" t="s">
        <v>992</v>
      </c>
      <c r="J416" s="1" t="s">
        <v>455</v>
      </c>
      <c r="K416" s="8">
        <v>0</v>
      </c>
      <c r="R416" s="8">
        <f>SUM(R413:R414)</f>
        <v>764.9</v>
      </c>
      <c r="T416" t="s">
        <v>455</v>
      </c>
      <c r="U416" t="s">
        <v>456</v>
      </c>
      <c r="V416" t="s">
        <v>992</v>
      </c>
      <c r="W416" s="4" t="s">
        <v>455</v>
      </c>
      <c r="X416">
        <f t="shared" si="42"/>
        <v>0</v>
      </c>
      <c r="AC416" s="3"/>
      <c r="AD416" s="1" t="s">
        <v>3641</v>
      </c>
      <c r="AF416" s="10">
        <f t="shared" si="44"/>
        <v>18.920000000000002</v>
      </c>
      <c r="AG416" s="38">
        <f t="shared" si="43"/>
        <v>960.4</v>
      </c>
    </row>
    <row r="417" spans="1:35" ht="24" customHeight="1">
      <c r="A417" s="218">
        <f t="shared" si="41"/>
        <v>252</v>
      </c>
      <c r="B417" s="219" t="s">
        <v>1138</v>
      </c>
      <c r="C417" s="419">
        <v>58.1</v>
      </c>
      <c r="D417" s="219" t="s">
        <v>884</v>
      </c>
      <c r="K417" s="5" t="s">
        <v>1615</v>
      </c>
      <c r="O417" s="1" t="s">
        <v>447</v>
      </c>
      <c r="R417" s="5" t="s">
        <v>1615</v>
      </c>
      <c r="W417" s="4"/>
      <c r="X417" s="55" t="s">
        <v>434</v>
      </c>
      <c r="AC417" s="3"/>
      <c r="AD417" s="1" t="s">
        <v>3642</v>
      </c>
      <c r="AF417" s="10">
        <f t="shared" si="44"/>
        <v>18.920000000000002</v>
      </c>
      <c r="AG417" s="38">
        <f t="shared" si="43"/>
        <v>979.32</v>
      </c>
    </row>
    <row r="418" spans="1:35" ht="24" customHeight="1">
      <c r="A418" s="218">
        <f t="shared" si="41"/>
        <v>253</v>
      </c>
      <c r="B418" s="219" t="s">
        <v>1139</v>
      </c>
      <c r="C418" s="419">
        <v>87</v>
      </c>
      <c r="D418" s="219" t="s">
        <v>884</v>
      </c>
      <c r="H418" s="1" t="s">
        <v>626</v>
      </c>
      <c r="K418" s="8">
        <f>SUM(K410:K416)</f>
        <v>65385.279999999999</v>
      </c>
      <c r="R418" s="8">
        <f>(R416/10)</f>
        <v>76.489999999999995</v>
      </c>
      <c r="U418" t="s">
        <v>626</v>
      </c>
      <c r="W418" s="4"/>
      <c r="X418">
        <f>SUM(X410:X416)</f>
        <v>68873.320000000007</v>
      </c>
      <c r="AC418" s="3"/>
      <c r="AD418" s="1" t="s">
        <v>3643</v>
      </c>
      <c r="AF418" s="10">
        <f t="shared" si="44"/>
        <v>18.920000000000002</v>
      </c>
      <c r="AG418" s="38">
        <f t="shared" si="43"/>
        <v>998.24</v>
      </c>
    </row>
    <row r="419" spans="1:35" ht="24" customHeight="1">
      <c r="A419" s="218">
        <f t="shared" si="41"/>
        <v>254</v>
      </c>
      <c r="B419" s="219" t="s">
        <v>1141</v>
      </c>
      <c r="C419" s="419">
        <v>98.6</v>
      </c>
      <c r="D419" s="219" t="s">
        <v>884</v>
      </c>
      <c r="K419" s="5" t="s">
        <v>1615</v>
      </c>
      <c r="O419" s="1" t="s">
        <v>562</v>
      </c>
      <c r="R419" s="5" t="s">
        <v>2091</v>
      </c>
      <c r="W419" s="4"/>
      <c r="X419" s="55" t="s">
        <v>434</v>
      </c>
      <c r="AC419" s="3"/>
      <c r="AD419" s="1" t="s">
        <v>3664</v>
      </c>
      <c r="AF419" s="10">
        <f t="shared" si="44"/>
        <v>18.920000000000002</v>
      </c>
      <c r="AG419" s="38">
        <f>AG418+AF419</f>
        <v>1017.16</v>
      </c>
    </row>
    <row r="420" spans="1:35" ht="24" customHeight="1">
      <c r="A420" s="218">
        <f t="shared" si="41"/>
        <v>255</v>
      </c>
      <c r="B420" s="219" t="s">
        <v>243</v>
      </c>
      <c r="C420" s="419">
        <v>128</v>
      </c>
      <c r="D420" s="219" t="s">
        <v>884</v>
      </c>
      <c r="H420" s="1" t="s">
        <v>789</v>
      </c>
      <c r="K420" s="8">
        <f>(K418/10)</f>
        <v>6538.53</v>
      </c>
      <c r="U420" t="s">
        <v>789</v>
      </c>
      <c r="W420" s="4"/>
      <c r="X420">
        <f>X418/10</f>
        <v>6887.33</v>
      </c>
      <c r="AC420" s="3"/>
      <c r="AD420" s="1" t="s">
        <v>3662</v>
      </c>
      <c r="AF420" s="10">
        <f t="shared" si="44"/>
        <v>18.920000000000002</v>
      </c>
      <c r="AG420" s="38">
        <f t="shared" si="43"/>
        <v>1036.08</v>
      </c>
    </row>
    <row r="421" spans="1:35" ht="24" customHeight="1">
      <c r="A421" s="218">
        <f t="shared" si="41"/>
        <v>256</v>
      </c>
      <c r="B421" s="706" t="s">
        <v>3600</v>
      </c>
      <c r="C421" s="442">
        <v>345.2</v>
      </c>
      <c r="D421" s="706" t="s">
        <v>884</v>
      </c>
      <c r="K421" s="5" t="s">
        <v>2091</v>
      </c>
      <c r="W421" s="4"/>
      <c r="X421" s="55" t="s">
        <v>34</v>
      </c>
      <c r="AB421" s="11">
        <v>11</v>
      </c>
      <c r="AC421" s="7" t="s">
        <v>2290</v>
      </c>
      <c r="AD421" s="1" t="s">
        <v>825</v>
      </c>
      <c r="AF421" s="10">
        <f t="shared" si="44"/>
        <v>18.920000000000002</v>
      </c>
      <c r="AG421" s="38">
        <f>AG420+AF421</f>
        <v>1055</v>
      </c>
    </row>
    <row r="422" spans="1:35" ht="24" customHeight="1">
      <c r="A422" s="221"/>
      <c r="B422" s="221"/>
      <c r="C422" s="221"/>
      <c r="D422" s="221"/>
      <c r="F422" s="1" t="s">
        <v>252</v>
      </c>
      <c r="S422" s="50" t="s">
        <v>252</v>
      </c>
      <c r="W422" s="4"/>
      <c r="AC422" s="3"/>
      <c r="AD422" s="8">
        <f>AD307</f>
        <v>0</v>
      </c>
      <c r="AF422" s="10">
        <f t="shared" si="44"/>
        <v>18.920000000000002</v>
      </c>
      <c r="AG422" s="38">
        <f>AG421+AF422</f>
        <v>1073.92</v>
      </c>
      <c r="AH422" t="s">
        <v>4486</v>
      </c>
      <c r="AI422">
        <f>AG422+AF422</f>
        <v>1092.8399999999999</v>
      </c>
    </row>
    <row r="423" spans="1:35" ht="24" customHeight="1">
      <c r="A423" s="218">
        <f>(A421+1)</f>
        <v>257</v>
      </c>
      <c r="B423" s="531" t="s">
        <v>4778</v>
      </c>
      <c r="C423" s="221"/>
      <c r="D423" s="219" t="s">
        <v>992</v>
      </c>
      <c r="O423" s="2" t="s">
        <v>1566</v>
      </c>
      <c r="W423" s="4"/>
      <c r="AC423" s="3"/>
      <c r="AD423" s="5" t="s">
        <v>1615</v>
      </c>
      <c r="AF423" s="10"/>
      <c r="AH423" t="s">
        <v>4487</v>
      </c>
      <c r="AI423">
        <f>AI422+AF422</f>
        <v>1111.76</v>
      </c>
    </row>
    <row r="424" spans="1:35" ht="24" customHeight="1">
      <c r="A424" s="218">
        <f t="shared" ref="A424:A487" si="45">(A423+1)</f>
        <v>258</v>
      </c>
      <c r="B424" s="219" t="s">
        <v>1136</v>
      </c>
      <c r="C424" s="419">
        <v>58.1</v>
      </c>
      <c r="D424" s="219" t="s">
        <v>884</v>
      </c>
      <c r="G424" s="7" t="s">
        <v>1567</v>
      </c>
      <c r="H424" s="1" t="s">
        <v>436</v>
      </c>
      <c r="O424" s="5" t="s">
        <v>1615</v>
      </c>
      <c r="T424" t="s">
        <v>1567</v>
      </c>
      <c r="U424" t="s">
        <v>436</v>
      </c>
      <c r="W424" s="4"/>
      <c r="AB424" s="8">
        <f>AB311</f>
        <v>4240</v>
      </c>
      <c r="AC424" s="7" t="s">
        <v>1450</v>
      </c>
      <c r="AD424" s="8" t="str">
        <f>AD311</f>
        <v>Bricks of size 23x11.4x7.5 cm</v>
      </c>
      <c r="AE424" s="8">
        <f t="shared" ref="AE424:AE429" si="46">AE388</f>
        <v>7117.4</v>
      </c>
      <c r="AF424" s="1" t="s">
        <v>1561</v>
      </c>
      <c r="AG424" s="8">
        <f>(AB424*AE424)/1000</f>
        <v>30177.78</v>
      </c>
    </row>
    <row r="425" spans="1:35" ht="24" customHeight="1">
      <c r="A425" s="218">
        <f t="shared" si="45"/>
        <v>259</v>
      </c>
      <c r="B425" s="219" t="s">
        <v>1137</v>
      </c>
      <c r="C425" s="419">
        <v>69.8</v>
      </c>
      <c r="D425" s="219" t="s">
        <v>884</v>
      </c>
      <c r="H425" s="5" t="s">
        <v>1615</v>
      </c>
      <c r="N425" s="1" t="s">
        <v>2290</v>
      </c>
      <c r="O425" s="1" t="s">
        <v>2083</v>
      </c>
      <c r="U425" t="s">
        <v>1615</v>
      </c>
      <c r="W425" s="4"/>
      <c r="AB425" s="8">
        <v>1.27</v>
      </c>
      <c r="AC425" s="7" t="s">
        <v>885</v>
      </c>
      <c r="AD425" s="1" t="s">
        <v>1331</v>
      </c>
      <c r="AE425" s="8">
        <f t="shared" si="46"/>
        <v>3904.1</v>
      </c>
      <c r="AF425" s="1" t="s">
        <v>885</v>
      </c>
      <c r="AG425" s="8">
        <f>(AB425*AE425)</f>
        <v>4958.21</v>
      </c>
    </row>
    <row r="426" spans="1:35" ht="24" customHeight="1">
      <c r="A426" s="218">
        <f t="shared" si="45"/>
        <v>260</v>
      </c>
      <c r="B426" s="219" t="s">
        <v>1138</v>
      </c>
      <c r="C426" s="419">
        <v>98.6</v>
      </c>
      <c r="D426" s="219" t="s">
        <v>884</v>
      </c>
      <c r="F426" s="8">
        <v>0.7</v>
      </c>
      <c r="G426" s="7" t="s">
        <v>885</v>
      </c>
      <c r="H426" s="1" t="s">
        <v>2318</v>
      </c>
      <c r="I426" s="8">
        <f>(K420)</f>
        <v>6538.53</v>
      </c>
      <c r="J426" s="1" t="s">
        <v>884</v>
      </c>
      <c r="K426" s="8">
        <f>(F426*I426)</f>
        <v>4576.97</v>
      </c>
      <c r="O426" s="1" t="s">
        <v>2084</v>
      </c>
      <c r="S426" s="50">
        <v>0.7</v>
      </c>
      <c r="T426" t="s">
        <v>885</v>
      </c>
      <c r="U426" t="s">
        <v>2318</v>
      </c>
      <c r="V426">
        <f>X420</f>
        <v>6887.33</v>
      </c>
      <c r="W426" s="4" t="s">
        <v>884</v>
      </c>
      <c r="X426">
        <f>V426*S426</f>
        <v>4821.13</v>
      </c>
      <c r="AB426" s="8">
        <v>7</v>
      </c>
      <c r="AC426" s="7" t="s">
        <v>884</v>
      </c>
      <c r="AD426" s="1" t="s">
        <v>2045</v>
      </c>
      <c r="AE426" s="8">
        <f t="shared" si="46"/>
        <v>1041.7</v>
      </c>
      <c r="AF426" s="1" t="s">
        <v>884</v>
      </c>
      <c r="AG426" s="8">
        <f>(AB426*AE426)</f>
        <v>7291.9</v>
      </c>
    </row>
    <row r="427" spans="1:35" ht="24" customHeight="1">
      <c r="A427" s="218">
        <f t="shared" si="45"/>
        <v>261</v>
      </c>
      <c r="B427" s="219" t="s">
        <v>1139</v>
      </c>
      <c r="C427" s="419">
        <v>127.5</v>
      </c>
      <c r="D427" s="219" t="s">
        <v>884</v>
      </c>
      <c r="F427" s="8">
        <v>1</v>
      </c>
      <c r="G427" s="7" t="s">
        <v>785</v>
      </c>
      <c r="H427" s="1" t="s">
        <v>2045</v>
      </c>
      <c r="I427" s="8">
        <f>(C10)</f>
        <v>1041.7</v>
      </c>
      <c r="J427" s="1" t="s">
        <v>884</v>
      </c>
      <c r="K427" s="8">
        <f>(F427*I427)</f>
        <v>1041.7</v>
      </c>
      <c r="O427" s="1" t="s">
        <v>155</v>
      </c>
      <c r="S427" s="50">
        <v>1</v>
      </c>
      <c r="T427" t="s">
        <v>785</v>
      </c>
      <c r="U427" t="s">
        <v>2045</v>
      </c>
      <c r="V427">
        <f>V395</f>
        <v>1041.7</v>
      </c>
      <c r="W427" s="4" t="s">
        <v>884</v>
      </c>
      <c r="X427">
        <f>V427*S427</f>
        <v>1041.7</v>
      </c>
      <c r="AB427" s="8">
        <v>7.1</v>
      </c>
      <c r="AC427" s="7" t="s">
        <v>884</v>
      </c>
      <c r="AD427" s="1" t="s">
        <v>1744</v>
      </c>
      <c r="AE427" s="8">
        <f t="shared" si="46"/>
        <v>972.4</v>
      </c>
      <c r="AF427" s="1" t="s">
        <v>884</v>
      </c>
      <c r="AG427" s="8">
        <f>(AB427*AE427)</f>
        <v>6904.04</v>
      </c>
    </row>
    <row r="428" spans="1:35" ht="24" customHeight="1">
      <c r="A428" s="218">
        <f t="shared" si="45"/>
        <v>262</v>
      </c>
      <c r="B428" s="219" t="s">
        <v>1141</v>
      </c>
      <c r="C428" s="419">
        <v>197.5</v>
      </c>
      <c r="D428" s="219" t="s">
        <v>884</v>
      </c>
      <c r="G428" s="7" t="s">
        <v>455</v>
      </c>
      <c r="H428" s="1" t="s">
        <v>456</v>
      </c>
      <c r="I428" s="1" t="s">
        <v>992</v>
      </c>
      <c r="J428" s="1" t="s">
        <v>455</v>
      </c>
      <c r="K428" s="8">
        <v>0</v>
      </c>
      <c r="O428" s="5" t="s">
        <v>1615</v>
      </c>
      <c r="T428" t="s">
        <v>455</v>
      </c>
      <c r="U428" t="s">
        <v>456</v>
      </c>
      <c r="V428" t="s">
        <v>992</v>
      </c>
      <c r="W428" s="4" t="s">
        <v>455</v>
      </c>
      <c r="X428">
        <v>0</v>
      </c>
      <c r="AB428" s="8">
        <f>AB315</f>
        <v>7.1</v>
      </c>
      <c r="AC428" s="7" t="s">
        <v>884</v>
      </c>
      <c r="AD428" s="1" t="s">
        <v>1937</v>
      </c>
      <c r="AE428" s="8">
        <f t="shared" si="46"/>
        <v>679.8</v>
      </c>
      <c r="AF428" s="1" t="s">
        <v>884</v>
      </c>
      <c r="AG428" s="8">
        <f>(AB428*AE428)</f>
        <v>4826.58</v>
      </c>
    </row>
    <row r="429" spans="1:35" ht="39" customHeight="1">
      <c r="A429" s="218">
        <f t="shared" si="45"/>
        <v>263</v>
      </c>
      <c r="B429" s="219" t="s">
        <v>243</v>
      </c>
      <c r="C429" s="419">
        <v>266.3</v>
      </c>
      <c r="D429" s="219" t="s">
        <v>884</v>
      </c>
      <c r="K429" s="5" t="s">
        <v>1615</v>
      </c>
      <c r="N429" s="1" t="s">
        <v>156</v>
      </c>
      <c r="O429" s="2" t="s">
        <v>157</v>
      </c>
      <c r="W429" s="4"/>
      <c r="X429" s="55" t="s">
        <v>434</v>
      </c>
      <c r="AB429" s="8">
        <f>AB316</f>
        <v>21.2</v>
      </c>
      <c r="AC429" s="7" t="s">
        <v>884</v>
      </c>
      <c r="AD429" s="1" t="s">
        <v>325</v>
      </c>
      <c r="AE429" s="8">
        <f t="shared" si="46"/>
        <v>557.70000000000005</v>
      </c>
      <c r="AF429" s="1" t="s">
        <v>884</v>
      </c>
      <c r="AG429" s="8">
        <f>(AB429*AE429)</f>
        <v>11823.24</v>
      </c>
    </row>
    <row r="430" spans="1:35" ht="34.5" customHeight="1">
      <c r="A430" s="218">
        <f t="shared" si="45"/>
        <v>264</v>
      </c>
      <c r="B430" s="706" t="s">
        <v>1142</v>
      </c>
      <c r="C430" s="442">
        <v>551</v>
      </c>
      <c r="D430" s="706" t="s">
        <v>884</v>
      </c>
      <c r="H430" s="1" t="s">
        <v>447</v>
      </c>
      <c r="K430" s="8">
        <f>SUM(K426:K428)</f>
        <v>5618.67</v>
      </c>
      <c r="O430" s="5" t="s">
        <v>1615</v>
      </c>
      <c r="U430" t="s">
        <v>447</v>
      </c>
      <c r="W430" s="4"/>
      <c r="X430">
        <f>SUM(X426:X428)</f>
        <v>5862.83</v>
      </c>
      <c r="AB430" s="8">
        <f>AB317</f>
        <v>0</v>
      </c>
      <c r="AC430" s="7" t="s">
        <v>455</v>
      </c>
      <c r="AD430" s="1" t="s">
        <v>456</v>
      </c>
      <c r="AE430" s="1" t="s">
        <v>992</v>
      </c>
      <c r="AF430" s="1" t="s">
        <v>455</v>
      </c>
      <c r="AG430" s="8">
        <v>5</v>
      </c>
    </row>
    <row r="431" spans="1:35" ht="24" customHeight="1">
      <c r="A431" s="218">
        <f t="shared" si="45"/>
        <v>265</v>
      </c>
      <c r="B431" s="219" t="s">
        <v>158</v>
      </c>
      <c r="C431" s="221"/>
      <c r="D431" s="219" t="s">
        <v>992</v>
      </c>
      <c r="K431" s="5" t="s">
        <v>1615</v>
      </c>
      <c r="M431" s="8">
        <v>8.1</v>
      </c>
      <c r="N431" s="1" t="s">
        <v>885</v>
      </c>
      <c r="O431" s="1" t="s">
        <v>629</v>
      </c>
      <c r="P431" s="8">
        <f>(C61)*2</f>
        <v>233.76</v>
      </c>
      <c r="Q431" s="1" t="s">
        <v>885</v>
      </c>
      <c r="R431" s="8">
        <f>(M431*P431)</f>
        <v>1893.46</v>
      </c>
      <c r="W431" s="4"/>
      <c r="X431" s="55" t="s">
        <v>434</v>
      </c>
      <c r="AB431" s="8">
        <f>AB318</f>
        <v>0</v>
      </c>
      <c r="AC431" s="3"/>
      <c r="AF431" s="10"/>
      <c r="AG431" s="5" t="s">
        <v>1615</v>
      </c>
    </row>
    <row r="432" spans="1:35" ht="30.75" customHeight="1">
      <c r="A432" s="218">
        <f t="shared" si="45"/>
        <v>266</v>
      </c>
      <c r="B432" s="219" t="s">
        <v>1136</v>
      </c>
      <c r="C432" s="536">
        <v>1.8</v>
      </c>
      <c r="D432" s="219" t="s">
        <v>884</v>
      </c>
      <c r="H432" s="1" t="s">
        <v>562</v>
      </c>
      <c r="K432" s="8">
        <f>(K430/10)</f>
        <v>561.87</v>
      </c>
      <c r="M432" s="8">
        <v>8.1</v>
      </c>
      <c r="N432" s="1" t="s">
        <v>885</v>
      </c>
      <c r="O432" s="1" t="s">
        <v>2196</v>
      </c>
      <c r="P432" s="8">
        <f>(C26)</f>
        <v>40.65</v>
      </c>
      <c r="Q432" s="1" t="s">
        <v>885</v>
      </c>
      <c r="R432" s="8">
        <f>(M432*P432)</f>
        <v>329.27</v>
      </c>
      <c r="U432" t="s">
        <v>562</v>
      </c>
      <c r="W432" s="4"/>
      <c r="X432">
        <f>X430/10</f>
        <v>586.28</v>
      </c>
      <c r="AB432" s="8">
        <f>AB319</f>
        <v>0</v>
      </c>
      <c r="AC432" s="3"/>
      <c r="AD432" s="1" t="s">
        <v>626</v>
      </c>
      <c r="AF432" s="10"/>
      <c r="AG432" s="8">
        <f>SUM(AG424:AG431)</f>
        <v>65986.75</v>
      </c>
    </row>
    <row r="433" spans="1:33" ht="42" customHeight="1">
      <c r="A433" s="218">
        <f t="shared" si="45"/>
        <v>267</v>
      </c>
      <c r="B433" s="219" t="s">
        <v>1137</v>
      </c>
      <c r="C433" s="536">
        <v>2.9</v>
      </c>
      <c r="D433" s="219" t="s">
        <v>884</v>
      </c>
      <c r="K433" s="5" t="s">
        <v>2091</v>
      </c>
      <c r="M433" s="8">
        <v>30</v>
      </c>
      <c r="N433" s="1" t="s">
        <v>1805</v>
      </c>
      <c r="O433" s="1" t="s">
        <v>2197</v>
      </c>
      <c r="P433" s="8">
        <f>(C42)</f>
        <v>5</v>
      </c>
      <c r="Q433" s="1" t="s">
        <v>1805</v>
      </c>
      <c r="R433" s="8">
        <f>(M433*P433)</f>
        <v>150</v>
      </c>
      <c r="W433" s="4"/>
      <c r="X433" s="55" t="s">
        <v>34</v>
      </c>
      <c r="AC433" s="3"/>
      <c r="AF433" s="10"/>
      <c r="AG433" s="5" t="s">
        <v>1615</v>
      </c>
    </row>
    <row r="434" spans="1:33" ht="24" customHeight="1">
      <c r="A434" s="218">
        <f t="shared" si="45"/>
        <v>268</v>
      </c>
      <c r="B434" s="219" t="s">
        <v>1138</v>
      </c>
      <c r="C434" s="536">
        <v>4</v>
      </c>
      <c r="D434" s="219" t="s">
        <v>884</v>
      </c>
      <c r="H434" s="1" t="s">
        <v>391</v>
      </c>
      <c r="K434" s="38">
        <f>(K432+C19/10*F426)</f>
        <v>567.63</v>
      </c>
      <c r="O434" s="1" t="s">
        <v>2198</v>
      </c>
      <c r="U434" s="36" t="s">
        <v>391</v>
      </c>
      <c r="W434" s="4">
        <f>0.07*C19</f>
        <v>5.76</v>
      </c>
      <c r="X434" s="36">
        <f>X432+W434</f>
        <v>592.04</v>
      </c>
      <c r="AC434" s="3"/>
      <c r="AD434" s="1" t="s">
        <v>789</v>
      </c>
      <c r="AF434" s="10"/>
      <c r="AG434" s="8">
        <f>(AG432/10)</f>
        <v>6598.68</v>
      </c>
    </row>
    <row r="435" spans="1:33" ht="24" customHeight="1">
      <c r="A435" s="218">
        <f t="shared" si="45"/>
        <v>269</v>
      </c>
      <c r="B435" s="219" t="s">
        <v>1139</v>
      </c>
      <c r="C435" s="536">
        <v>6.86</v>
      </c>
      <c r="D435" s="219" t="s">
        <v>884</v>
      </c>
      <c r="H435" s="1" t="s">
        <v>393</v>
      </c>
      <c r="K435" s="38">
        <f>(K434+C20/10*F426)</f>
        <v>579.25</v>
      </c>
      <c r="O435" s="1" t="s">
        <v>2199</v>
      </c>
      <c r="U435" s="36" t="s">
        <v>393</v>
      </c>
      <c r="W435" s="4">
        <f>0.07*C20</f>
        <v>11.62</v>
      </c>
      <c r="X435" s="36">
        <f>X434+W435</f>
        <v>603.66</v>
      </c>
      <c r="AC435" s="3"/>
      <c r="AF435" s="10"/>
      <c r="AG435" s="5" t="s">
        <v>2091</v>
      </c>
    </row>
    <row r="436" spans="1:33" ht="24" customHeight="1">
      <c r="A436" s="218">
        <f t="shared" si="45"/>
        <v>270</v>
      </c>
      <c r="B436" s="219" t="s">
        <v>1141</v>
      </c>
      <c r="C436" s="536">
        <v>9.15</v>
      </c>
      <c r="D436" s="219" t="s">
        <v>884</v>
      </c>
      <c r="H436" s="1" t="s">
        <v>2271</v>
      </c>
      <c r="K436" s="38">
        <f>(K435+C21/10*F426)</f>
        <v>590.87</v>
      </c>
      <c r="O436" s="1" t="s">
        <v>2200</v>
      </c>
      <c r="U436" s="36" t="s">
        <v>2271</v>
      </c>
      <c r="W436" s="4">
        <f>W435</f>
        <v>11.62</v>
      </c>
      <c r="X436" s="36">
        <f>X435+W436</f>
        <v>615.28</v>
      </c>
      <c r="AB436" s="1" t="s">
        <v>252</v>
      </c>
      <c r="AC436" s="3"/>
      <c r="AF436" s="10"/>
    </row>
    <row r="437" spans="1:33" ht="24" customHeight="1">
      <c r="A437" s="218">
        <f t="shared" si="45"/>
        <v>271</v>
      </c>
      <c r="B437" s="219" t="s">
        <v>243</v>
      </c>
      <c r="C437" s="536">
        <v>14.59</v>
      </c>
      <c r="D437" s="219" t="s">
        <v>884</v>
      </c>
      <c r="H437" s="1" t="s">
        <v>385</v>
      </c>
      <c r="K437" s="38">
        <f>(K436+C21/10*F426)</f>
        <v>602.49</v>
      </c>
      <c r="O437" s="1" t="s">
        <v>2203</v>
      </c>
      <c r="U437" s="36" t="s">
        <v>385</v>
      </c>
      <c r="W437" s="4">
        <f>W436</f>
        <v>11.62</v>
      </c>
      <c r="X437" s="36">
        <f>X436+W437</f>
        <v>626.9</v>
      </c>
      <c r="AC437" s="3"/>
      <c r="AF437" s="10"/>
    </row>
    <row r="438" spans="1:33" ht="24" customHeight="1">
      <c r="A438" s="218"/>
      <c r="B438" s="219"/>
      <c r="C438" s="536"/>
      <c r="D438" s="219"/>
      <c r="H438" s="1" t="s">
        <v>849</v>
      </c>
      <c r="K438" s="38">
        <f>(K437+C20/10*F426)</f>
        <v>614.11</v>
      </c>
      <c r="O438" s="1"/>
      <c r="U438" s="36" t="s">
        <v>849</v>
      </c>
      <c r="W438" s="4">
        <f>W437</f>
        <v>11.62</v>
      </c>
      <c r="X438" s="36">
        <f>X437+W438</f>
        <v>638.52</v>
      </c>
      <c r="AC438" s="7" t="s">
        <v>1567</v>
      </c>
      <c r="AD438" s="1" t="s">
        <v>3926</v>
      </c>
      <c r="AF438" s="10"/>
    </row>
    <row r="439" spans="1:33" ht="24" customHeight="1">
      <c r="A439" s="218">
        <f>(A437+1)</f>
        <v>272</v>
      </c>
      <c r="B439" s="219" t="s">
        <v>1142</v>
      </c>
      <c r="C439" s="536">
        <v>21.74</v>
      </c>
      <c r="D439" s="219" t="s">
        <v>884</v>
      </c>
      <c r="H439" s="2" t="s">
        <v>2181</v>
      </c>
      <c r="M439" s="8">
        <v>8</v>
      </c>
      <c r="N439" s="1" t="s">
        <v>785</v>
      </c>
      <c r="O439" s="1" t="s">
        <v>2182</v>
      </c>
      <c r="P439" s="8">
        <f>(C43)</f>
        <v>8.9</v>
      </c>
      <c r="Q439" s="1" t="s">
        <v>785</v>
      </c>
      <c r="R439" s="8">
        <f>(M439*P439)</f>
        <v>71.2</v>
      </c>
      <c r="W439" s="4"/>
      <c r="AC439" s="3"/>
      <c r="AD439" s="5" t="s">
        <v>1615</v>
      </c>
      <c r="AF439" s="10"/>
    </row>
    <row r="440" spans="1:33" ht="24" customHeight="1">
      <c r="A440" s="218">
        <f t="shared" si="45"/>
        <v>273</v>
      </c>
      <c r="B440" s="531" t="s">
        <v>4779</v>
      </c>
      <c r="C440" s="221"/>
      <c r="D440" s="219" t="s">
        <v>992</v>
      </c>
      <c r="H440" s="2" t="s">
        <v>2156</v>
      </c>
      <c r="M440" s="8">
        <v>8</v>
      </c>
      <c r="N440" s="1" t="s">
        <v>785</v>
      </c>
      <c r="O440" s="1" t="s">
        <v>473</v>
      </c>
      <c r="P440" s="8">
        <f>(C50)</f>
        <v>12.65</v>
      </c>
      <c r="Q440" s="1" t="s">
        <v>785</v>
      </c>
      <c r="R440" s="8">
        <f>(M440*P440)</f>
        <v>101.2</v>
      </c>
      <c r="W440" s="4"/>
      <c r="AB440" s="8">
        <v>0.75</v>
      </c>
      <c r="AC440" s="7" t="s">
        <v>885</v>
      </c>
      <c r="AD440" s="1" t="s">
        <v>2318</v>
      </c>
      <c r="AE440" s="8">
        <f>AG434</f>
        <v>6598.68</v>
      </c>
      <c r="AF440" s="1" t="s">
        <v>884</v>
      </c>
      <c r="AG440" s="8">
        <f>(AB440*AE440)</f>
        <v>4949.01</v>
      </c>
    </row>
    <row r="441" spans="1:33" ht="38.25" customHeight="1">
      <c r="A441" s="218">
        <f t="shared" si="45"/>
        <v>274</v>
      </c>
      <c r="B441" s="219" t="s">
        <v>1136</v>
      </c>
      <c r="C441" s="419">
        <v>28.6</v>
      </c>
      <c r="D441" s="219" t="s">
        <v>884</v>
      </c>
      <c r="F441" s="11">
        <v>12</v>
      </c>
      <c r="G441" s="7" t="s">
        <v>2290</v>
      </c>
      <c r="H441" s="1" t="s">
        <v>474</v>
      </c>
      <c r="M441" s="8">
        <v>1</v>
      </c>
      <c r="N441" s="1" t="s">
        <v>455</v>
      </c>
      <c r="O441" s="1" t="s">
        <v>1716</v>
      </c>
      <c r="P441" s="8">
        <f>(C56)</f>
        <v>12.1</v>
      </c>
      <c r="Q441" s="1" t="s">
        <v>455</v>
      </c>
      <c r="R441" s="8">
        <f>(M441*P441)</f>
        <v>12.1</v>
      </c>
      <c r="W441" s="4"/>
      <c r="AB441" s="8">
        <v>1</v>
      </c>
      <c r="AC441" s="7" t="s">
        <v>785</v>
      </c>
      <c r="AD441" s="1" t="s">
        <v>2045</v>
      </c>
      <c r="AE441" s="8">
        <f>AE426</f>
        <v>1041.7</v>
      </c>
      <c r="AF441" s="1" t="s">
        <v>884</v>
      </c>
      <c r="AG441" s="8">
        <f>(AB441*AE441)</f>
        <v>1041.7</v>
      </c>
    </row>
    <row r="442" spans="1:33" ht="24" customHeight="1">
      <c r="A442" s="218">
        <f t="shared" si="45"/>
        <v>275</v>
      </c>
      <c r="B442" s="219" t="s">
        <v>1137</v>
      </c>
      <c r="C442" s="419">
        <v>34.700000000000003</v>
      </c>
      <c r="D442" s="219" t="s">
        <v>884</v>
      </c>
      <c r="H442" s="1" t="s">
        <v>1133</v>
      </c>
      <c r="M442" s="8">
        <v>1</v>
      </c>
      <c r="N442" s="1" t="s">
        <v>455</v>
      </c>
      <c r="O442" s="1" t="s">
        <v>456</v>
      </c>
      <c r="Q442" s="1" t="s">
        <v>455</v>
      </c>
      <c r="R442" s="8">
        <v>0</v>
      </c>
      <c r="W442" s="4"/>
      <c r="AC442" s="7" t="s">
        <v>455</v>
      </c>
      <c r="AD442" s="1" t="s">
        <v>456</v>
      </c>
      <c r="AE442" s="1" t="s">
        <v>992</v>
      </c>
      <c r="AF442" s="1" t="s">
        <v>455</v>
      </c>
      <c r="AG442" s="8">
        <v>0</v>
      </c>
    </row>
    <row r="443" spans="1:33" ht="24" customHeight="1">
      <c r="A443" s="218">
        <f t="shared" si="45"/>
        <v>276</v>
      </c>
      <c r="B443" s="219" t="s">
        <v>1138</v>
      </c>
      <c r="C443" s="419">
        <v>81.400000000000006</v>
      </c>
      <c r="D443" s="219" t="s">
        <v>884</v>
      </c>
      <c r="H443" s="5" t="s">
        <v>1615</v>
      </c>
      <c r="R443" s="5" t="s">
        <v>1615</v>
      </c>
      <c r="W443" s="4"/>
      <c r="AC443" s="3"/>
      <c r="AF443" s="10"/>
      <c r="AG443" s="5" t="s">
        <v>1615</v>
      </c>
    </row>
    <row r="444" spans="1:33" ht="24" customHeight="1">
      <c r="A444" s="218">
        <f t="shared" si="45"/>
        <v>277</v>
      </c>
      <c r="B444" s="219" t="s">
        <v>1139</v>
      </c>
      <c r="C444" s="419">
        <v>98.6</v>
      </c>
      <c r="D444" s="219" t="s">
        <v>884</v>
      </c>
      <c r="F444" s="8">
        <v>6570</v>
      </c>
      <c r="G444" s="7" t="s">
        <v>1450</v>
      </c>
      <c r="H444" s="1" t="s">
        <v>1595</v>
      </c>
      <c r="I444" s="8">
        <f>(C77)</f>
        <v>4492.5</v>
      </c>
      <c r="J444" s="1" t="s">
        <v>1623</v>
      </c>
      <c r="K444" s="8">
        <f>(F444*I444)/1000</f>
        <v>29515.73</v>
      </c>
      <c r="O444" s="1" t="s">
        <v>1572</v>
      </c>
      <c r="R444" s="8">
        <f>SUM(R431:R442)</f>
        <v>2557.23</v>
      </c>
      <c r="W444" s="4"/>
      <c r="AC444" s="3"/>
      <c r="AD444" s="1" t="s">
        <v>447</v>
      </c>
      <c r="AF444" s="10"/>
      <c r="AG444" s="8">
        <f>SUM(AG440:AG442)</f>
        <v>5990.71</v>
      </c>
    </row>
    <row r="445" spans="1:33" ht="24" customHeight="1">
      <c r="A445" s="218">
        <f t="shared" si="45"/>
        <v>278</v>
      </c>
      <c r="B445" s="219" t="s">
        <v>1141</v>
      </c>
      <c r="C445" s="419">
        <v>110.2</v>
      </c>
      <c r="D445" s="219" t="s">
        <v>884</v>
      </c>
      <c r="F445" s="8">
        <v>1.91</v>
      </c>
      <c r="G445" s="7" t="s">
        <v>885</v>
      </c>
      <c r="H445" s="1" t="s">
        <v>1331</v>
      </c>
      <c r="I445" s="8">
        <f>(K40)</f>
        <v>3904.1</v>
      </c>
      <c r="J445" s="1" t="s">
        <v>885</v>
      </c>
      <c r="K445" s="8">
        <f>(F445*I445)</f>
        <v>7456.83</v>
      </c>
      <c r="R445" s="5" t="s">
        <v>1615</v>
      </c>
      <c r="W445" s="4"/>
      <c r="AC445" s="3"/>
      <c r="AF445" s="10"/>
      <c r="AG445" s="5" t="s">
        <v>1615</v>
      </c>
    </row>
    <row r="446" spans="1:33" ht="24" customHeight="1">
      <c r="A446" s="218">
        <f t="shared" si="45"/>
        <v>279</v>
      </c>
      <c r="B446" s="219" t="s">
        <v>243</v>
      </c>
      <c r="C446" s="419">
        <v>139.80000000000001</v>
      </c>
      <c r="D446" s="219" t="s">
        <v>884</v>
      </c>
      <c r="F446" s="8">
        <v>7</v>
      </c>
      <c r="G446" s="7" t="s">
        <v>884</v>
      </c>
      <c r="H446" s="1" t="s">
        <v>2045</v>
      </c>
      <c r="I446" s="8">
        <f>(C10)</f>
        <v>1041.7</v>
      </c>
      <c r="J446" s="1" t="s">
        <v>884</v>
      </c>
      <c r="K446" s="8">
        <f>(F446*I446)</f>
        <v>7291.9</v>
      </c>
      <c r="O446" s="1" t="s">
        <v>1573</v>
      </c>
      <c r="R446" s="8">
        <f>(R444/30)</f>
        <v>85.24</v>
      </c>
      <c r="W446" s="4"/>
      <c r="AC446" s="3"/>
      <c r="AD446" s="1" t="s">
        <v>562</v>
      </c>
      <c r="AF446" s="10"/>
      <c r="AG446" s="8">
        <f>(AG444/10)</f>
        <v>599.07000000000005</v>
      </c>
    </row>
    <row r="447" spans="1:33" ht="24" customHeight="1">
      <c r="A447" s="218">
        <f t="shared" si="45"/>
        <v>280</v>
      </c>
      <c r="B447" s="706" t="s">
        <v>3601</v>
      </c>
      <c r="C447" s="442">
        <v>363</v>
      </c>
      <c r="D447" s="706" t="s">
        <v>884</v>
      </c>
      <c r="F447" s="8">
        <v>3.6</v>
      </c>
      <c r="G447" s="7" t="s">
        <v>884</v>
      </c>
      <c r="H447" s="1" t="s">
        <v>1744</v>
      </c>
      <c r="I447" s="8">
        <f>(C11)</f>
        <v>972.4</v>
      </c>
      <c r="J447" s="1" t="s">
        <v>884</v>
      </c>
      <c r="K447" s="8">
        <f>(F447*I447)</f>
        <v>3500.64</v>
      </c>
      <c r="R447" s="5" t="s">
        <v>1615</v>
      </c>
      <c r="W447" s="4"/>
      <c r="AC447" s="3"/>
      <c r="AF447" s="10"/>
      <c r="AG447" s="5" t="s">
        <v>2091</v>
      </c>
    </row>
    <row r="448" spans="1:33" ht="24" customHeight="1">
      <c r="A448" s="218">
        <f t="shared" si="45"/>
        <v>281</v>
      </c>
      <c r="B448" s="531" t="s">
        <v>4780</v>
      </c>
      <c r="C448" s="221"/>
      <c r="D448" s="219" t="s">
        <v>992</v>
      </c>
      <c r="F448" s="8">
        <v>7.1</v>
      </c>
      <c r="G448" s="7" t="s">
        <v>884</v>
      </c>
      <c r="H448" s="1" t="s">
        <v>1937</v>
      </c>
      <c r="I448" s="8">
        <f>(C12)</f>
        <v>679.8</v>
      </c>
      <c r="J448" s="1" t="s">
        <v>884</v>
      </c>
      <c r="K448" s="8">
        <f>(F448*I448)</f>
        <v>4826.58</v>
      </c>
      <c r="N448" s="1" t="s">
        <v>1583</v>
      </c>
      <c r="O448" s="2" t="s">
        <v>1033</v>
      </c>
      <c r="W448" s="4"/>
      <c r="AC448" s="3"/>
      <c r="AD448" s="1" t="s">
        <v>391</v>
      </c>
      <c r="AF448" s="10">
        <f>C19*0.075</f>
        <v>6.17</v>
      </c>
      <c r="AG448" s="38">
        <f>AG446+AF448</f>
        <v>605.24</v>
      </c>
    </row>
    <row r="449" spans="1:36" ht="24" customHeight="1">
      <c r="A449" s="218">
        <f t="shared" si="45"/>
        <v>282</v>
      </c>
      <c r="B449" s="219" t="s">
        <v>1136</v>
      </c>
      <c r="C449" s="419">
        <v>23.2</v>
      </c>
      <c r="D449" s="219" t="s">
        <v>884</v>
      </c>
      <c r="F449" s="8">
        <v>14.1</v>
      </c>
      <c r="G449" s="7" t="s">
        <v>884</v>
      </c>
      <c r="H449" s="1" t="s">
        <v>325</v>
      </c>
      <c r="I449" s="8">
        <f>(C13)</f>
        <v>557.70000000000005</v>
      </c>
      <c r="J449" s="1" t="s">
        <v>884</v>
      </c>
      <c r="K449" s="8">
        <f>(F449*I449)</f>
        <v>7863.57</v>
      </c>
      <c r="O449" s="5" t="s">
        <v>1615</v>
      </c>
      <c r="W449" s="4"/>
      <c r="AC449" s="3"/>
      <c r="AD449" s="1" t="s">
        <v>393</v>
      </c>
      <c r="AF449" s="10">
        <f>C20*0.075</f>
        <v>12.45</v>
      </c>
      <c r="AG449" s="38">
        <f t="shared" ref="AG449:AG458" si="47">AG448+AF449</f>
        <v>617.69000000000005</v>
      </c>
    </row>
    <row r="450" spans="1:36" ht="39" customHeight="1">
      <c r="A450" s="218">
        <f t="shared" si="45"/>
        <v>283</v>
      </c>
      <c r="B450" s="219" t="s">
        <v>1137</v>
      </c>
      <c r="C450" s="419">
        <v>34.700000000000003</v>
      </c>
      <c r="D450" s="219" t="s">
        <v>884</v>
      </c>
      <c r="G450" s="7" t="s">
        <v>455</v>
      </c>
      <c r="H450" s="1" t="s">
        <v>456</v>
      </c>
      <c r="I450" s="1" t="s">
        <v>992</v>
      </c>
      <c r="J450" s="1" t="s">
        <v>455</v>
      </c>
      <c r="K450" s="8">
        <v>5</v>
      </c>
      <c r="M450" s="8">
        <v>8.1</v>
      </c>
      <c r="N450" s="1" t="s">
        <v>885</v>
      </c>
      <c r="O450" s="1" t="s">
        <v>629</v>
      </c>
      <c r="P450" s="8">
        <f>(C61)*2</f>
        <v>233.76</v>
      </c>
      <c r="Q450" s="1" t="s">
        <v>885</v>
      </c>
      <c r="R450" s="8">
        <f>(M450*P450)</f>
        <v>1893.46</v>
      </c>
      <c r="W450" s="4"/>
      <c r="AC450" s="3"/>
      <c r="AD450" s="1" t="s">
        <v>2271</v>
      </c>
      <c r="AF450" s="10">
        <f>C21*0.075</f>
        <v>12.45</v>
      </c>
      <c r="AG450" s="38">
        <f t="shared" si="47"/>
        <v>630.14</v>
      </c>
    </row>
    <row r="451" spans="1:36" ht="24" customHeight="1">
      <c r="A451" s="218">
        <f t="shared" si="45"/>
        <v>284</v>
      </c>
      <c r="B451" s="219" t="s">
        <v>1138</v>
      </c>
      <c r="C451" s="419">
        <v>43.7</v>
      </c>
      <c r="D451" s="219" t="s">
        <v>884</v>
      </c>
      <c r="K451" s="5" t="s">
        <v>1615</v>
      </c>
      <c r="M451" s="8">
        <v>8.1</v>
      </c>
      <c r="N451" s="1" t="s">
        <v>885</v>
      </c>
      <c r="O451" s="1" t="s">
        <v>2196</v>
      </c>
      <c r="P451" s="8">
        <f>(C26)</f>
        <v>40.65</v>
      </c>
      <c r="Q451" s="1" t="s">
        <v>885</v>
      </c>
      <c r="R451" s="8">
        <f>(M451*P451)</f>
        <v>329.27</v>
      </c>
      <c r="W451" s="4"/>
      <c r="AC451" s="3"/>
      <c r="AD451" s="1" t="s">
        <v>385</v>
      </c>
      <c r="AF451" s="10">
        <f t="shared" ref="AF451:AF458" si="48">AF450</f>
        <v>12.45</v>
      </c>
      <c r="AG451" s="38">
        <f t="shared" si="47"/>
        <v>642.59</v>
      </c>
    </row>
    <row r="452" spans="1:36" ht="24" customHeight="1">
      <c r="A452" s="218">
        <f t="shared" si="45"/>
        <v>285</v>
      </c>
      <c r="B452" s="219" t="s">
        <v>1139</v>
      </c>
      <c r="C452" s="419">
        <v>58.1</v>
      </c>
      <c r="D452" s="219" t="s">
        <v>884</v>
      </c>
      <c r="H452" s="1" t="s">
        <v>626</v>
      </c>
      <c r="K452" s="8">
        <f>SUM(K444:K450)</f>
        <v>60460.25</v>
      </c>
      <c r="M452" s="8">
        <v>30</v>
      </c>
      <c r="N452" s="1" t="s">
        <v>1805</v>
      </c>
      <c r="O452" s="1" t="s">
        <v>2197</v>
      </c>
      <c r="P452" s="8">
        <f>(C42)</f>
        <v>5</v>
      </c>
      <c r="Q452" s="1" t="s">
        <v>1805</v>
      </c>
      <c r="R452" s="8">
        <f>(M452*P452)</f>
        <v>150</v>
      </c>
      <c r="W452" s="4"/>
      <c r="AC452" s="3"/>
      <c r="AD452" s="1" t="s">
        <v>849</v>
      </c>
      <c r="AF452" s="10">
        <f t="shared" si="48"/>
        <v>12.45</v>
      </c>
      <c r="AG452" s="38">
        <f t="shared" si="47"/>
        <v>655.04</v>
      </c>
      <c r="AJ452">
        <f>40.81*0.075</f>
        <v>3.06</v>
      </c>
    </row>
    <row r="453" spans="1:36" ht="24" customHeight="1">
      <c r="A453" s="218">
        <f t="shared" si="45"/>
        <v>286</v>
      </c>
      <c r="B453" s="219" t="s">
        <v>1141</v>
      </c>
      <c r="C453" s="419">
        <v>69.8</v>
      </c>
      <c r="D453" s="219" t="s">
        <v>884</v>
      </c>
      <c r="K453" s="5" t="s">
        <v>1615</v>
      </c>
      <c r="O453" s="1" t="s">
        <v>2198</v>
      </c>
      <c r="W453" s="4"/>
      <c r="AD453" s="1" t="s">
        <v>3641</v>
      </c>
      <c r="AE453" s="51">
        <f t="shared" ref="AE453:AE458" si="49">AG453</f>
        <v>667.49</v>
      </c>
      <c r="AF453" s="10">
        <f t="shared" si="48"/>
        <v>12.45</v>
      </c>
      <c r="AG453" s="38">
        <f t="shared" si="47"/>
        <v>667.49</v>
      </c>
    </row>
    <row r="454" spans="1:36" ht="24" customHeight="1">
      <c r="A454" s="218">
        <f t="shared" si="45"/>
        <v>287</v>
      </c>
      <c r="B454" s="219" t="s">
        <v>243</v>
      </c>
      <c r="C454" s="419">
        <v>87</v>
      </c>
      <c r="D454" s="219" t="s">
        <v>884</v>
      </c>
      <c r="H454" s="1" t="s">
        <v>789</v>
      </c>
      <c r="K454" s="8">
        <f>(K452/10)</f>
        <v>6046.03</v>
      </c>
      <c r="O454" s="1" t="s">
        <v>2199</v>
      </c>
      <c r="W454" s="4"/>
      <c r="AD454" s="1" t="s">
        <v>3642</v>
      </c>
      <c r="AE454" s="51">
        <f t="shared" si="49"/>
        <v>679.94</v>
      </c>
      <c r="AF454" s="10">
        <f t="shared" si="48"/>
        <v>12.45</v>
      </c>
      <c r="AG454" s="38">
        <f t="shared" si="47"/>
        <v>679.94</v>
      </c>
    </row>
    <row r="455" spans="1:36" ht="24" customHeight="1">
      <c r="A455" s="218">
        <f t="shared" si="45"/>
        <v>288</v>
      </c>
      <c r="B455" s="706" t="s">
        <v>3601</v>
      </c>
      <c r="C455" s="442">
        <v>18.600000000000001</v>
      </c>
      <c r="D455" s="706" t="s">
        <v>884</v>
      </c>
      <c r="K455" s="5" t="s">
        <v>2091</v>
      </c>
      <c r="O455" s="1" t="s">
        <v>2200</v>
      </c>
      <c r="W455" s="4"/>
      <c r="AD455" s="1" t="s">
        <v>3643</v>
      </c>
      <c r="AE455" s="51">
        <f t="shared" si="49"/>
        <v>692.39</v>
      </c>
      <c r="AF455" s="10">
        <f t="shared" si="48"/>
        <v>12.45</v>
      </c>
      <c r="AG455" s="38">
        <f t="shared" si="47"/>
        <v>692.39</v>
      </c>
    </row>
    <row r="456" spans="1:36" ht="24" customHeight="1">
      <c r="A456" s="218">
        <f t="shared" si="45"/>
        <v>289</v>
      </c>
      <c r="B456" s="219" t="s">
        <v>2327</v>
      </c>
      <c r="C456" s="221"/>
      <c r="D456" s="219" t="s">
        <v>992</v>
      </c>
      <c r="O456" s="1" t="s">
        <v>2203</v>
      </c>
      <c r="W456" s="4"/>
      <c r="AD456" s="1" t="s">
        <v>3664</v>
      </c>
      <c r="AE456" s="51">
        <f t="shared" si="49"/>
        <v>704.84</v>
      </c>
      <c r="AF456" s="10">
        <f t="shared" si="48"/>
        <v>12.45</v>
      </c>
      <c r="AG456" s="38">
        <f t="shared" si="47"/>
        <v>704.84</v>
      </c>
    </row>
    <row r="457" spans="1:36" ht="24" customHeight="1">
      <c r="A457" s="218">
        <f t="shared" si="45"/>
        <v>290</v>
      </c>
      <c r="B457" s="219" t="s">
        <v>1136</v>
      </c>
      <c r="C457" s="1006">
        <v>355.95</v>
      </c>
      <c r="D457" s="219" t="s">
        <v>884</v>
      </c>
      <c r="G457" s="7" t="s">
        <v>2290</v>
      </c>
      <c r="H457" s="1" t="s">
        <v>153</v>
      </c>
      <c r="M457" s="8">
        <v>8</v>
      </c>
      <c r="N457" s="1" t="s">
        <v>785</v>
      </c>
      <c r="O457" s="1" t="s">
        <v>2182</v>
      </c>
      <c r="P457" s="8">
        <f>(C44)</f>
        <v>8.9</v>
      </c>
      <c r="Q457" s="1" t="s">
        <v>785</v>
      </c>
      <c r="R457" s="8">
        <f>(M457*P457)</f>
        <v>71.2</v>
      </c>
      <c r="W457" s="4"/>
      <c r="AD457" s="1" t="s">
        <v>3662</v>
      </c>
      <c r="AE457" s="51">
        <f t="shared" si="49"/>
        <v>717.29</v>
      </c>
      <c r="AF457" s="10">
        <f t="shared" si="48"/>
        <v>12.45</v>
      </c>
      <c r="AG457" s="38">
        <f t="shared" si="47"/>
        <v>717.29</v>
      </c>
    </row>
    <row r="458" spans="1:36" ht="24" customHeight="1">
      <c r="A458" s="218">
        <f t="shared" si="45"/>
        <v>291</v>
      </c>
      <c r="B458" s="219" t="s">
        <v>1137</v>
      </c>
      <c r="C458" s="1006">
        <v>536.54999999999995</v>
      </c>
      <c r="D458" s="219" t="s">
        <v>884</v>
      </c>
      <c r="H458" s="5" t="s">
        <v>1615</v>
      </c>
      <c r="M458" s="8">
        <v>8</v>
      </c>
      <c r="N458" s="1" t="s">
        <v>785</v>
      </c>
      <c r="O458" s="1" t="s">
        <v>473</v>
      </c>
      <c r="P458" s="8">
        <f>(C51)</f>
        <v>12.85</v>
      </c>
      <c r="Q458" s="1" t="s">
        <v>785</v>
      </c>
      <c r="R458" s="8">
        <f>(M458*P458)</f>
        <v>102.8</v>
      </c>
      <c r="W458" s="4"/>
      <c r="AE458" s="51">
        <f t="shared" si="49"/>
        <v>729.74</v>
      </c>
      <c r="AF458" s="10">
        <f t="shared" si="48"/>
        <v>12.45</v>
      </c>
      <c r="AG458" s="38">
        <f t="shared" si="47"/>
        <v>729.74</v>
      </c>
    </row>
    <row r="459" spans="1:36" ht="24" customHeight="1">
      <c r="A459" s="218">
        <f t="shared" si="45"/>
        <v>292</v>
      </c>
      <c r="B459" s="219" t="s">
        <v>1138</v>
      </c>
      <c r="C459" s="1007">
        <v>789.6</v>
      </c>
      <c r="D459" s="219" t="s">
        <v>992</v>
      </c>
      <c r="F459" s="8">
        <v>0.5</v>
      </c>
      <c r="G459" s="7" t="s">
        <v>885</v>
      </c>
      <c r="H459" s="1" t="s">
        <v>2318</v>
      </c>
      <c r="I459" s="8">
        <f>(K454)</f>
        <v>6046.03</v>
      </c>
      <c r="J459" s="1" t="s">
        <v>884</v>
      </c>
      <c r="K459" s="8">
        <f>(F459*I459)</f>
        <v>3023.02</v>
      </c>
      <c r="M459" s="8">
        <v>1</v>
      </c>
      <c r="N459" s="1" t="s">
        <v>455</v>
      </c>
      <c r="O459" s="1" t="s">
        <v>1716</v>
      </c>
      <c r="P459" s="8">
        <f>(C56)</f>
        <v>12.1</v>
      </c>
      <c r="Q459" s="1" t="s">
        <v>455</v>
      </c>
      <c r="R459" s="8">
        <f>(M459*P459)</f>
        <v>12.1</v>
      </c>
      <c r="U459" s="603" t="s">
        <v>4183</v>
      </c>
      <c r="W459" s="4"/>
      <c r="Y459" s="50"/>
      <c r="AA459" s="603" t="s">
        <v>4306</v>
      </c>
      <c r="AE459" s="51">
        <f>AG459</f>
        <v>742.19</v>
      </c>
      <c r="AF459" s="10">
        <f>AF458</f>
        <v>12.45</v>
      </c>
      <c r="AG459" s="38">
        <f>AG458+AF459</f>
        <v>742.19</v>
      </c>
    </row>
    <row r="460" spans="1:36" ht="24" customHeight="1">
      <c r="A460" s="218">
        <f t="shared" si="45"/>
        <v>293</v>
      </c>
      <c r="B460" s="219" t="s">
        <v>4781</v>
      </c>
      <c r="C460" s="439">
        <f>AE49</f>
        <v>4.4000000000000004</v>
      </c>
      <c r="D460" s="219" t="s">
        <v>884</v>
      </c>
      <c r="F460" s="8">
        <v>1</v>
      </c>
      <c r="G460" s="7" t="s">
        <v>785</v>
      </c>
      <c r="H460" s="1" t="s">
        <v>2045</v>
      </c>
      <c r="I460" s="8">
        <f>(C10)</f>
        <v>1041.7</v>
      </c>
      <c r="J460" s="1" t="s">
        <v>884</v>
      </c>
      <c r="K460" s="8">
        <f>(F460*I460)</f>
        <v>1041.7</v>
      </c>
      <c r="M460" s="8">
        <v>1</v>
      </c>
      <c r="N460" s="1" t="s">
        <v>455</v>
      </c>
      <c r="O460" s="1" t="s">
        <v>456</v>
      </c>
      <c r="Q460" s="1" t="s">
        <v>455</v>
      </c>
      <c r="R460" s="8">
        <v>0</v>
      </c>
      <c r="S460" s="2" t="s">
        <v>1641</v>
      </c>
      <c r="T460" s="7" t="s">
        <v>2290</v>
      </c>
      <c r="U460" s="1" t="s">
        <v>898</v>
      </c>
      <c r="W460" s="4"/>
      <c r="Y460" s="2" t="s">
        <v>1641</v>
      </c>
      <c r="Z460" s="7" t="s">
        <v>2290</v>
      </c>
      <c r="AA460" s="1" t="s">
        <v>898</v>
      </c>
      <c r="AC460" s="10"/>
      <c r="AE460" s="51">
        <f>AG460</f>
        <v>754.64</v>
      </c>
      <c r="AF460" s="10">
        <f>AF459</f>
        <v>12.45</v>
      </c>
      <c r="AG460" s="38">
        <f>AG459+AF460</f>
        <v>754.64</v>
      </c>
    </row>
    <row r="461" spans="1:36" ht="24" customHeight="1">
      <c r="A461" s="218">
        <f t="shared" si="45"/>
        <v>294</v>
      </c>
      <c r="B461" s="219" t="s">
        <v>4782</v>
      </c>
      <c r="C461" s="439">
        <f>AE50</f>
        <v>5.5</v>
      </c>
      <c r="D461" s="219" t="s">
        <v>884</v>
      </c>
      <c r="G461" s="7" t="s">
        <v>455</v>
      </c>
      <c r="H461" s="1" t="s">
        <v>456</v>
      </c>
      <c r="I461" s="1" t="s">
        <v>992</v>
      </c>
      <c r="J461" s="1" t="s">
        <v>455</v>
      </c>
      <c r="K461" s="8">
        <v>0</v>
      </c>
      <c r="R461" s="5" t="s">
        <v>1615</v>
      </c>
      <c r="S461"/>
      <c r="T461" s="3"/>
      <c r="U461" s="1" t="s">
        <v>1116</v>
      </c>
      <c r="W461" s="4"/>
      <c r="Z461" s="3"/>
      <c r="AA461" s="1" t="s">
        <v>1116</v>
      </c>
      <c r="AC461" s="10"/>
      <c r="AE461" s="51">
        <f t="shared" ref="AE461:AE524" si="50">AG461</f>
        <v>767.09</v>
      </c>
      <c r="AF461" s="10">
        <f>AF460</f>
        <v>12.45</v>
      </c>
      <c r="AG461" s="38">
        <f>AG460+AF461</f>
        <v>767.09</v>
      </c>
    </row>
    <row r="462" spans="1:36" ht="24" customHeight="1">
      <c r="A462" s="218">
        <f t="shared" si="45"/>
        <v>295</v>
      </c>
      <c r="B462" s="219" t="s">
        <v>1102</v>
      </c>
      <c r="C462" s="848">
        <v>350</v>
      </c>
      <c r="D462" s="848">
        <v>375</v>
      </c>
      <c r="K462" s="5" t="s">
        <v>1615</v>
      </c>
      <c r="O462" s="1" t="s">
        <v>1572</v>
      </c>
      <c r="R462" s="8">
        <f>SUM(R450:R460)</f>
        <v>2558.83</v>
      </c>
      <c r="S462"/>
      <c r="T462" s="3"/>
      <c r="U462" s="1" t="s">
        <v>4175</v>
      </c>
      <c r="W462" s="4"/>
      <c r="Z462" s="3"/>
      <c r="AA462" s="1" t="s">
        <v>4175</v>
      </c>
      <c r="AC462" s="10"/>
      <c r="AE462" s="51">
        <f t="shared" si="50"/>
        <v>779.54</v>
      </c>
      <c r="AF462" s="10">
        <f>AF461</f>
        <v>12.45</v>
      </c>
      <c r="AG462" s="38">
        <f>AG461+AF462</f>
        <v>779.54</v>
      </c>
    </row>
    <row r="463" spans="1:36" ht="24" customHeight="1">
      <c r="A463" s="218">
        <f t="shared" si="45"/>
        <v>296</v>
      </c>
      <c r="B463" s="219" t="s">
        <v>2133</v>
      </c>
      <c r="C463" s="848">
        <v>400</v>
      </c>
      <c r="D463" s="848">
        <v>425</v>
      </c>
      <c r="H463" s="1" t="s">
        <v>447</v>
      </c>
      <c r="K463" s="8">
        <f>SUM(K459:K461)</f>
        <v>4064.72</v>
      </c>
      <c r="R463" s="5" t="s">
        <v>1615</v>
      </c>
      <c r="S463"/>
      <c r="T463" s="3"/>
      <c r="U463" s="5" t="s">
        <v>1615</v>
      </c>
      <c r="W463" s="4"/>
      <c r="Z463" s="3"/>
      <c r="AA463" s="5" t="s">
        <v>1615</v>
      </c>
      <c r="AC463" s="10"/>
      <c r="AE463" s="51">
        <f t="shared" si="50"/>
        <v>791.99</v>
      </c>
      <c r="AF463" s="10">
        <f>AF462</f>
        <v>12.45</v>
      </c>
      <c r="AG463" s="38">
        <f>AG462+AF463</f>
        <v>791.99</v>
      </c>
    </row>
    <row r="464" spans="1:36" ht="60.75" customHeight="1">
      <c r="A464" s="218">
        <f t="shared" si="45"/>
        <v>297</v>
      </c>
      <c r="B464" s="219" t="s">
        <v>1079</v>
      </c>
      <c r="C464" s="848">
        <v>450</v>
      </c>
      <c r="D464" s="848">
        <v>500</v>
      </c>
      <c r="K464" s="5" t="s">
        <v>1615</v>
      </c>
      <c r="O464" s="1" t="s">
        <v>1573</v>
      </c>
      <c r="R464" s="8">
        <f>(R462/30)</f>
        <v>85.29</v>
      </c>
      <c r="S464" s="8">
        <v>0.01</v>
      </c>
      <c r="T464" s="7" t="s">
        <v>885</v>
      </c>
      <c r="U464" s="22" t="s">
        <v>4184</v>
      </c>
      <c r="V464" s="8">
        <f>Z718</f>
        <v>7928.12</v>
      </c>
      <c r="W464" s="2" t="s">
        <v>885</v>
      </c>
      <c r="X464" s="8">
        <f>(S464*V464)</f>
        <v>79.28</v>
      </c>
      <c r="Y464" s="8">
        <v>0.01</v>
      </c>
      <c r="Z464" s="7" t="s">
        <v>885</v>
      </c>
      <c r="AA464" s="22" t="s">
        <v>4307</v>
      </c>
      <c r="AB464" s="8">
        <f>Y688</f>
        <v>8472.39</v>
      </c>
      <c r="AC464" s="1" t="s">
        <v>885</v>
      </c>
      <c r="AD464" s="8">
        <f>(Y464*AB464)</f>
        <v>84.72</v>
      </c>
      <c r="AE464" s="51" t="str">
        <f t="shared" si="50"/>
        <v>|</v>
      </c>
      <c r="AG464" s="1" t="s">
        <v>2298</v>
      </c>
    </row>
    <row r="465" spans="1:33" ht="24" customHeight="1">
      <c r="A465" s="218">
        <f t="shared" si="45"/>
        <v>298</v>
      </c>
      <c r="B465" s="219" t="s">
        <v>1989</v>
      </c>
      <c r="C465" s="848">
        <v>77.819999999999993</v>
      </c>
      <c r="D465" s="219" t="s">
        <v>884</v>
      </c>
      <c r="H465" s="1" t="s">
        <v>562</v>
      </c>
      <c r="K465" s="8">
        <f>(K463/10)</f>
        <v>406.47</v>
      </c>
      <c r="R465" s="5" t="s">
        <v>1615</v>
      </c>
      <c r="S465" s="8">
        <v>0.01</v>
      </c>
      <c r="T465" s="7" t="s">
        <v>885</v>
      </c>
      <c r="U465" s="1" t="s">
        <v>1002</v>
      </c>
      <c r="V465" s="8"/>
      <c r="W465" s="2" t="s">
        <v>455</v>
      </c>
      <c r="X465" s="8">
        <v>1.1499999999999999</v>
      </c>
      <c r="Y465" s="8">
        <v>0.01</v>
      </c>
      <c r="Z465" s="7" t="s">
        <v>885</v>
      </c>
      <c r="AA465" s="1" t="s">
        <v>1002</v>
      </c>
      <c r="AB465" s="8"/>
      <c r="AC465" s="1" t="s">
        <v>455</v>
      </c>
      <c r="AD465" s="8">
        <v>1.1499999999999999</v>
      </c>
      <c r="AE465" s="51" t="str">
        <f t="shared" si="50"/>
        <v>|</v>
      </c>
      <c r="AG465" s="1" t="s">
        <v>2298</v>
      </c>
    </row>
    <row r="466" spans="1:33" ht="24" customHeight="1">
      <c r="A466" s="218">
        <f t="shared" si="45"/>
        <v>299</v>
      </c>
      <c r="B466" s="219" t="s">
        <v>1990</v>
      </c>
      <c r="C466" s="848">
        <v>99.74</v>
      </c>
      <c r="D466" s="219" t="s">
        <v>884</v>
      </c>
      <c r="K466" s="5" t="s">
        <v>2091</v>
      </c>
      <c r="N466" s="1" t="s">
        <v>1991</v>
      </c>
      <c r="O466" s="2" t="s">
        <v>1992</v>
      </c>
      <c r="S466"/>
      <c r="T466" s="3"/>
      <c r="U466" s="1" t="s">
        <v>132</v>
      </c>
      <c r="V466" s="8"/>
      <c r="W466" s="4"/>
      <c r="Z466" s="3"/>
      <c r="AA466" s="1" t="s">
        <v>132</v>
      </c>
      <c r="AB466" s="8"/>
      <c r="AC466" s="10"/>
      <c r="AE466" s="51" t="str">
        <f t="shared" si="50"/>
        <v>|</v>
      </c>
      <c r="AG466" s="1" t="s">
        <v>2298</v>
      </c>
    </row>
    <row r="467" spans="1:33" ht="24" customHeight="1">
      <c r="A467" s="218">
        <f t="shared" si="45"/>
        <v>300</v>
      </c>
      <c r="B467" s="219" t="s">
        <v>1138</v>
      </c>
      <c r="C467" s="848">
        <v>165</v>
      </c>
      <c r="D467" s="219" t="s">
        <v>884</v>
      </c>
      <c r="H467" s="1" t="s">
        <v>391</v>
      </c>
      <c r="K467" s="38">
        <f>(K465+C19/10*F459)</f>
        <v>410.58</v>
      </c>
      <c r="O467" s="5" t="s">
        <v>1615</v>
      </c>
      <c r="S467"/>
      <c r="T467" s="3"/>
      <c r="V467" s="8"/>
      <c r="W467" s="4"/>
      <c r="X467" s="5" t="s">
        <v>1615</v>
      </c>
      <c r="Z467" s="3"/>
      <c r="AB467" s="8"/>
      <c r="AC467" s="10"/>
      <c r="AD467" s="5" t="s">
        <v>1615</v>
      </c>
      <c r="AE467" s="51" t="str">
        <f t="shared" si="50"/>
        <v>|</v>
      </c>
      <c r="AG467" s="1" t="s">
        <v>2298</v>
      </c>
    </row>
    <row r="468" spans="1:33" ht="24" customHeight="1">
      <c r="A468" s="218">
        <f t="shared" si="45"/>
        <v>301</v>
      </c>
      <c r="B468" s="219" t="s">
        <v>1139</v>
      </c>
      <c r="C468" s="848">
        <v>258</v>
      </c>
      <c r="D468" s="219" t="s">
        <v>884</v>
      </c>
      <c r="H468" s="1" t="s">
        <v>393</v>
      </c>
      <c r="K468" s="38">
        <f>(K467+C20/10*F459)</f>
        <v>418.88</v>
      </c>
      <c r="M468" s="8">
        <v>8.1</v>
      </c>
      <c r="N468" s="1" t="s">
        <v>885</v>
      </c>
      <c r="O468" s="1" t="s">
        <v>629</v>
      </c>
      <c r="P468" s="8">
        <f>(C61)*2</f>
        <v>233.76</v>
      </c>
      <c r="Q468" s="1" t="s">
        <v>885</v>
      </c>
      <c r="R468" s="8">
        <f>(M468*P468)</f>
        <v>1893.46</v>
      </c>
      <c r="S468"/>
      <c r="T468" s="3"/>
      <c r="U468" s="1" t="s">
        <v>1512</v>
      </c>
      <c r="V468" s="8"/>
      <c r="W468" s="4"/>
      <c r="X468" s="8">
        <f>SUM(X464:X466)</f>
        <v>80.430000000000007</v>
      </c>
      <c r="Z468" s="3"/>
      <c r="AA468" s="1" t="s">
        <v>1512</v>
      </c>
      <c r="AB468" s="8"/>
      <c r="AC468" s="10"/>
      <c r="AD468" s="8">
        <f>SUM(AD464:AD466)</f>
        <v>85.87</v>
      </c>
      <c r="AE468" s="51" t="str">
        <f t="shared" si="50"/>
        <v>|</v>
      </c>
      <c r="AG468" s="1" t="s">
        <v>2298</v>
      </c>
    </row>
    <row r="469" spans="1:33" ht="24" customHeight="1">
      <c r="A469" s="218">
        <f t="shared" si="45"/>
        <v>302</v>
      </c>
      <c r="B469" s="219" t="s">
        <v>1141</v>
      </c>
      <c r="C469" s="848">
        <v>298</v>
      </c>
      <c r="D469" s="219" t="s">
        <v>884</v>
      </c>
      <c r="H469" s="1" t="s">
        <v>2271</v>
      </c>
      <c r="K469" s="38">
        <f>(K468+C21/10*F459)</f>
        <v>427.18</v>
      </c>
      <c r="M469" s="8">
        <v>8.1</v>
      </c>
      <c r="N469" s="1" t="s">
        <v>885</v>
      </c>
      <c r="O469" s="1" t="s">
        <v>2196</v>
      </c>
      <c r="P469" s="8">
        <f>(C26)</f>
        <v>40.65</v>
      </c>
      <c r="Q469" s="1" t="s">
        <v>885</v>
      </c>
      <c r="R469" s="8">
        <f>(M469*P469)</f>
        <v>329.27</v>
      </c>
      <c r="S469"/>
      <c r="T469" s="3"/>
      <c r="V469" s="8"/>
      <c r="W469" s="4"/>
      <c r="X469" s="5" t="s">
        <v>1615</v>
      </c>
      <c r="Z469" s="3"/>
      <c r="AB469" s="8"/>
      <c r="AC469" s="10"/>
      <c r="AD469" s="5" t="s">
        <v>1615</v>
      </c>
      <c r="AE469" s="51" t="str">
        <f t="shared" si="50"/>
        <v>|</v>
      </c>
      <c r="AG469" s="1" t="s">
        <v>2298</v>
      </c>
    </row>
    <row r="470" spans="1:33" ht="24" customHeight="1">
      <c r="A470" s="218">
        <f t="shared" si="45"/>
        <v>303</v>
      </c>
      <c r="B470" s="219" t="s">
        <v>243</v>
      </c>
      <c r="C470" s="848">
        <v>398</v>
      </c>
      <c r="D470" s="219" t="s">
        <v>884</v>
      </c>
      <c r="H470" s="1" t="s">
        <v>385</v>
      </c>
      <c r="K470" s="38">
        <f>(K469+C21/10*F459)</f>
        <v>435.48</v>
      </c>
      <c r="L470">
        <f t="shared" ref="L470:L476" si="51">K470-K469</f>
        <v>8.3000000000000007</v>
      </c>
      <c r="M470" s="8">
        <v>30</v>
      </c>
      <c r="N470" s="1" t="s">
        <v>1805</v>
      </c>
      <c r="O470" s="1" t="s">
        <v>2197</v>
      </c>
      <c r="P470" s="8">
        <f>(C42)</f>
        <v>5</v>
      </c>
      <c r="Q470" s="1" t="s">
        <v>1805</v>
      </c>
      <c r="R470" s="8">
        <f>(M470*P470)</f>
        <v>150</v>
      </c>
      <c r="S470"/>
      <c r="T470" s="3"/>
      <c r="U470" s="1" t="s">
        <v>789</v>
      </c>
      <c r="V470" s="8"/>
      <c r="W470" s="4"/>
      <c r="X470" s="8">
        <f>ROUND(X468*100,0)</f>
        <v>8043</v>
      </c>
      <c r="Z470" s="3"/>
      <c r="AA470" s="1" t="s">
        <v>789</v>
      </c>
      <c r="AB470" s="8"/>
      <c r="AC470" s="10"/>
      <c r="AD470" s="8">
        <f>ROUND(AD468*100,0)</f>
        <v>8587</v>
      </c>
      <c r="AE470" s="51" t="str">
        <f t="shared" si="50"/>
        <v>|</v>
      </c>
      <c r="AG470" s="1" t="s">
        <v>2298</v>
      </c>
    </row>
    <row r="471" spans="1:33" ht="15.75">
      <c r="A471" s="218">
        <f t="shared" si="45"/>
        <v>304</v>
      </c>
      <c r="B471" s="219" t="s">
        <v>1142</v>
      </c>
      <c r="C471" s="850"/>
      <c r="D471" s="219" t="s">
        <v>884</v>
      </c>
      <c r="H471" s="1" t="s">
        <v>1560</v>
      </c>
      <c r="K471" s="38">
        <f>(K470+C21/10*F459)</f>
        <v>443.78</v>
      </c>
      <c r="L471">
        <f t="shared" si="51"/>
        <v>8.3000000000000007</v>
      </c>
      <c r="O471" s="1" t="s">
        <v>2198</v>
      </c>
      <c r="S471" s="1" t="s">
        <v>992</v>
      </c>
      <c r="T471" s="3"/>
      <c r="V471" s="8"/>
      <c r="W471" s="4"/>
      <c r="Y471" s="1" t="s">
        <v>992</v>
      </c>
      <c r="Z471" s="3"/>
      <c r="AB471" s="8"/>
      <c r="AC471" s="10"/>
      <c r="AE471" s="51" t="str">
        <f t="shared" si="50"/>
        <v>|</v>
      </c>
      <c r="AG471" s="1" t="s">
        <v>2298</v>
      </c>
    </row>
    <row r="472" spans="1:33" ht="15.75">
      <c r="A472" s="218"/>
      <c r="B472" s="219"/>
      <c r="C472" s="221"/>
      <c r="D472" s="219"/>
      <c r="H472" s="1">
        <v>5</v>
      </c>
      <c r="K472" s="38">
        <f>(K471+C21/10*F459)</f>
        <v>452.08</v>
      </c>
      <c r="L472">
        <f t="shared" si="51"/>
        <v>8.3000000000000007</v>
      </c>
      <c r="O472" s="1"/>
      <c r="S472"/>
      <c r="T472" s="3"/>
      <c r="V472" s="8"/>
      <c r="W472" s="4"/>
      <c r="X472" s="5" t="s">
        <v>2091</v>
      </c>
      <c r="Z472" s="3"/>
      <c r="AB472" s="8"/>
      <c r="AC472" s="10"/>
      <c r="AD472" s="5" t="s">
        <v>2091</v>
      </c>
      <c r="AE472" s="51"/>
      <c r="AG472" s="1"/>
    </row>
    <row r="473" spans="1:33" ht="15.75">
      <c r="A473" s="218"/>
      <c r="B473" s="219"/>
      <c r="C473" s="221"/>
      <c r="D473" s="219"/>
      <c r="H473" s="1">
        <v>6</v>
      </c>
      <c r="K473" s="38">
        <f>(K472+C21/10*F459)</f>
        <v>460.38</v>
      </c>
      <c r="L473">
        <f t="shared" si="51"/>
        <v>8.3000000000000007</v>
      </c>
      <c r="O473" s="1"/>
      <c r="S473"/>
      <c r="T473" s="7" t="s">
        <v>687</v>
      </c>
      <c r="U473" s="1" t="s">
        <v>1009</v>
      </c>
      <c r="V473" s="8"/>
      <c r="W473" s="4"/>
      <c r="Z473" s="7" t="s">
        <v>687</v>
      </c>
      <c r="AA473" s="1" t="s">
        <v>1009</v>
      </c>
      <c r="AB473" s="8"/>
      <c r="AC473" s="10"/>
      <c r="AE473" s="51"/>
      <c r="AG473" s="1"/>
    </row>
    <row r="474" spans="1:33" ht="15.75">
      <c r="A474" s="218"/>
      <c r="B474" s="219"/>
      <c r="C474" s="221"/>
      <c r="D474" s="219"/>
      <c r="H474" s="1">
        <v>7</v>
      </c>
      <c r="K474" s="38">
        <f>(K473+C21/10*F459)</f>
        <v>468.68</v>
      </c>
      <c r="L474">
        <f t="shared" si="51"/>
        <v>8.3000000000000007</v>
      </c>
      <c r="O474" s="1"/>
      <c r="S474"/>
      <c r="T474" s="3"/>
      <c r="U474" s="1" t="s">
        <v>1684</v>
      </c>
      <c r="V474" s="8"/>
      <c r="W474" s="4"/>
      <c r="Z474" s="3"/>
      <c r="AA474" s="1" t="s">
        <v>1684</v>
      </c>
      <c r="AB474" s="8"/>
      <c r="AC474" s="10"/>
      <c r="AE474" s="51"/>
      <c r="AG474" s="1"/>
    </row>
    <row r="475" spans="1:33" ht="15.75">
      <c r="A475" s="218"/>
      <c r="B475" s="219"/>
      <c r="C475" s="221"/>
      <c r="D475" s="219"/>
      <c r="H475" s="1">
        <v>8</v>
      </c>
      <c r="K475" s="38">
        <f>(K474+C21/10*F459)</f>
        <v>476.98</v>
      </c>
      <c r="L475">
        <f t="shared" si="51"/>
        <v>8.3000000000000007</v>
      </c>
      <c r="O475" s="1"/>
      <c r="S475"/>
      <c r="T475" s="3"/>
      <c r="U475" s="5" t="s">
        <v>1615</v>
      </c>
      <c r="V475" s="8"/>
      <c r="W475" s="4"/>
      <c r="Z475" s="3"/>
      <c r="AA475" s="5" t="s">
        <v>1615</v>
      </c>
      <c r="AB475" s="8"/>
      <c r="AC475" s="10"/>
      <c r="AE475" s="51"/>
      <c r="AG475" s="1"/>
    </row>
    <row r="476" spans="1:33" ht="15.75">
      <c r="A476" s="218"/>
      <c r="B476" s="219"/>
      <c r="C476" s="221"/>
      <c r="D476" s="219"/>
      <c r="H476" s="1">
        <v>9</v>
      </c>
      <c r="K476" s="38">
        <f>(K475+C21/10*F459)</f>
        <v>485.28</v>
      </c>
      <c r="L476">
        <f t="shared" si="51"/>
        <v>8.3000000000000007</v>
      </c>
      <c r="O476" s="1"/>
      <c r="S476" s="12">
        <v>1.4E-2</v>
      </c>
      <c r="T476" s="7" t="s">
        <v>885</v>
      </c>
      <c r="U476" s="1" t="s">
        <v>1349</v>
      </c>
      <c r="V476" s="8">
        <f>X470</f>
        <v>8043</v>
      </c>
      <c r="W476" s="2" t="s">
        <v>885</v>
      </c>
      <c r="X476" s="8">
        <f>(S476*V476)</f>
        <v>112.6</v>
      </c>
      <c r="Y476" s="12">
        <v>1.4E-2</v>
      </c>
      <c r="Z476" s="7" t="s">
        <v>885</v>
      </c>
      <c r="AA476" s="1" t="s">
        <v>1349</v>
      </c>
      <c r="AB476" s="8">
        <f>AD470</f>
        <v>8587</v>
      </c>
      <c r="AC476" s="1" t="s">
        <v>885</v>
      </c>
      <c r="AD476" s="8">
        <f>(Y476*AB476)</f>
        <v>120.22</v>
      </c>
      <c r="AE476" s="51"/>
      <c r="AG476" s="1"/>
    </row>
    <row r="477" spans="1:33" ht="15.75">
      <c r="A477" s="218"/>
      <c r="B477" s="219"/>
      <c r="C477" s="221"/>
      <c r="D477" s="219"/>
      <c r="H477" s="1">
        <v>10</v>
      </c>
      <c r="K477" s="38">
        <f>(K476+C21/10*F459)</f>
        <v>493.58</v>
      </c>
      <c r="L477">
        <f>K477-K476</f>
        <v>8.3000000000000007</v>
      </c>
      <c r="O477" s="1"/>
      <c r="S477" s="12"/>
      <c r="T477" s="3"/>
      <c r="U477" s="1" t="s">
        <v>1808</v>
      </c>
      <c r="V477" s="8"/>
      <c r="W477" s="4"/>
      <c r="X477" s="1" t="s">
        <v>992</v>
      </c>
      <c r="Y477" s="12"/>
      <c r="Z477" s="3"/>
      <c r="AA477" s="1" t="s">
        <v>1808</v>
      </c>
      <c r="AB477" s="8"/>
      <c r="AC477" s="10"/>
      <c r="AD477" s="1" t="s">
        <v>992</v>
      </c>
      <c r="AE477" s="51"/>
      <c r="AG477" s="1"/>
    </row>
    <row r="478" spans="1:33" ht="15.75">
      <c r="A478" s="218"/>
      <c r="B478" s="219"/>
      <c r="C478" s="221"/>
      <c r="D478" s="219"/>
      <c r="H478" s="1"/>
      <c r="K478" s="38">
        <f>(K477+C21/10*F459)</f>
        <v>501.88</v>
      </c>
      <c r="L478">
        <f>K478-K477</f>
        <v>8.3000000000000007</v>
      </c>
      <c r="O478" s="1"/>
      <c r="S478" s="8">
        <v>0.5</v>
      </c>
      <c r="T478" s="7" t="s">
        <v>785</v>
      </c>
      <c r="U478" s="1" t="s">
        <v>2045</v>
      </c>
      <c r="V478" s="8">
        <f>C10</f>
        <v>1041.7</v>
      </c>
      <c r="W478" s="2" t="s">
        <v>785</v>
      </c>
      <c r="X478" s="8">
        <f>(S478*V478)</f>
        <v>520.85</v>
      </c>
      <c r="Y478" s="8">
        <v>0.5</v>
      </c>
      <c r="Z478" s="7" t="s">
        <v>785</v>
      </c>
      <c r="AA478" s="1" t="s">
        <v>2045</v>
      </c>
      <c r="AB478" s="8">
        <f>V478</f>
        <v>1041.7</v>
      </c>
      <c r="AC478" s="1" t="s">
        <v>785</v>
      </c>
      <c r="AD478" s="8">
        <f>(Y478*AB478)</f>
        <v>520.85</v>
      </c>
      <c r="AE478" s="51"/>
      <c r="AG478" s="1"/>
    </row>
    <row r="479" spans="1:33" ht="15.75">
      <c r="A479" s="218">
        <f>(A471+1)</f>
        <v>305</v>
      </c>
      <c r="B479" s="531" t="s">
        <v>5677</v>
      </c>
      <c r="C479" s="221"/>
      <c r="D479" s="219" t="s">
        <v>884</v>
      </c>
      <c r="F479" s="2" t="s">
        <v>1993</v>
      </c>
      <c r="G479" s="7" t="s">
        <v>2290</v>
      </c>
      <c r="H479" s="1" t="s">
        <v>1994</v>
      </c>
      <c r="K479" s="38">
        <f>(K478+C21/10*F459)</f>
        <v>510.18</v>
      </c>
      <c r="L479">
        <f>K479-K478</f>
        <v>8.3000000000000007</v>
      </c>
      <c r="O479" s="1" t="s">
        <v>2199</v>
      </c>
      <c r="S479" s="8">
        <v>0.75</v>
      </c>
      <c r="T479" s="7" t="s">
        <v>785</v>
      </c>
      <c r="U479" s="1" t="s">
        <v>1937</v>
      </c>
      <c r="V479" s="8">
        <f>C12</f>
        <v>679.8</v>
      </c>
      <c r="W479" s="2" t="s">
        <v>785</v>
      </c>
      <c r="X479" s="8">
        <f>(S479*V479)</f>
        <v>509.85</v>
      </c>
      <c r="Y479" s="8">
        <v>0.75</v>
      </c>
      <c r="Z479" s="7" t="s">
        <v>785</v>
      </c>
      <c r="AA479" s="1" t="s">
        <v>1937</v>
      </c>
      <c r="AB479" s="8">
        <f>V479</f>
        <v>679.8</v>
      </c>
      <c r="AC479" s="1" t="s">
        <v>785</v>
      </c>
      <c r="AD479" s="8">
        <f>(Y479*AB479)</f>
        <v>509.85</v>
      </c>
      <c r="AE479" s="51" t="str">
        <f t="shared" si="50"/>
        <v>|</v>
      </c>
      <c r="AG479" s="1" t="s">
        <v>2298</v>
      </c>
    </row>
    <row r="480" spans="1:33" ht="50.25" customHeight="1">
      <c r="A480" s="218">
        <f t="shared" si="45"/>
        <v>306</v>
      </c>
      <c r="B480" s="219" t="s">
        <v>1136</v>
      </c>
      <c r="C480" s="1006">
        <v>168</v>
      </c>
      <c r="D480" s="219" t="s">
        <v>884</v>
      </c>
      <c r="H480" s="1" t="s">
        <v>2277</v>
      </c>
      <c r="O480" s="1" t="s">
        <v>2200</v>
      </c>
      <c r="S480"/>
      <c r="T480" s="7" t="s">
        <v>455</v>
      </c>
      <c r="U480" s="1" t="s">
        <v>456</v>
      </c>
      <c r="V480" s="8"/>
      <c r="W480" s="2" t="s">
        <v>455</v>
      </c>
      <c r="X480" s="8">
        <v>0</v>
      </c>
      <c r="Z480" s="7" t="s">
        <v>455</v>
      </c>
      <c r="AA480" s="1" t="s">
        <v>456</v>
      </c>
      <c r="AB480" s="8">
        <f>V480</f>
        <v>0</v>
      </c>
      <c r="AC480" s="1" t="s">
        <v>455</v>
      </c>
      <c r="AD480" s="8">
        <v>0</v>
      </c>
      <c r="AE480" s="51" t="str">
        <f t="shared" si="50"/>
        <v>|</v>
      </c>
      <c r="AG480" s="1" t="s">
        <v>2298</v>
      </c>
    </row>
    <row r="481" spans="1:33" ht="30.75" customHeight="1">
      <c r="A481" s="218">
        <f t="shared" si="45"/>
        <v>307</v>
      </c>
      <c r="B481" s="219" t="s">
        <v>1137</v>
      </c>
      <c r="C481" s="419">
        <v>350</v>
      </c>
      <c r="D481" s="219" t="s">
        <v>884</v>
      </c>
      <c r="H481" s="5" t="s">
        <v>1615</v>
      </c>
      <c r="O481" s="1" t="s">
        <v>2203</v>
      </c>
      <c r="S481"/>
      <c r="T481" s="3"/>
      <c r="V481" s="8"/>
      <c r="W481" s="4"/>
      <c r="X481" s="5" t="s">
        <v>1615</v>
      </c>
      <c r="Z481" s="3"/>
      <c r="AB481" s="8"/>
      <c r="AC481" s="10"/>
      <c r="AD481" s="5" t="s">
        <v>1615</v>
      </c>
      <c r="AE481" s="51" t="str">
        <f t="shared" si="50"/>
        <v>|</v>
      </c>
      <c r="AG481" s="1" t="s">
        <v>2298</v>
      </c>
    </row>
    <row r="482" spans="1:33" ht="24" customHeight="1">
      <c r="A482" s="218">
        <f t="shared" si="45"/>
        <v>308</v>
      </c>
      <c r="B482" s="219" t="s">
        <v>1138</v>
      </c>
      <c r="C482" s="419">
        <v>592</v>
      </c>
      <c r="D482" s="219" t="s">
        <v>884</v>
      </c>
      <c r="F482" s="8">
        <v>1</v>
      </c>
      <c r="G482" s="7" t="s">
        <v>885</v>
      </c>
      <c r="H482" s="1" t="s">
        <v>5861</v>
      </c>
      <c r="I482" s="8">
        <f>(C26)</f>
        <v>40.65</v>
      </c>
      <c r="J482" s="1" t="s">
        <v>885</v>
      </c>
      <c r="K482" s="38">
        <f>(F482*I482)</f>
        <v>40.65</v>
      </c>
      <c r="M482" s="8">
        <v>8</v>
      </c>
      <c r="N482" s="1" t="s">
        <v>785</v>
      </c>
      <c r="O482" s="1" t="s">
        <v>2182</v>
      </c>
      <c r="P482" s="8">
        <f>(C45)</f>
        <v>10.65</v>
      </c>
      <c r="Q482" s="1" t="s">
        <v>785</v>
      </c>
      <c r="R482" s="8">
        <f>(M482*P482)</f>
        <v>85.2</v>
      </c>
      <c r="S482"/>
      <c r="T482" s="3"/>
      <c r="U482" s="1" t="s">
        <v>104</v>
      </c>
      <c r="V482" s="8"/>
      <c r="W482" s="4"/>
      <c r="X482" s="8">
        <f>SUM(X476:X480)</f>
        <v>1143.3</v>
      </c>
      <c r="Z482" s="3"/>
      <c r="AA482" s="1" t="s">
        <v>104</v>
      </c>
      <c r="AB482" s="8"/>
      <c r="AC482" s="10"/>
      <c r="AD482" s="8">
        <f>SUM(AD476:AD480)</f>
        <v>1150.92</v>
      </c>
      <c r="AE482" s="51" t="str">
        <f t="shared" si="50"/>
        <v>|</v>
      </c>
      <c r="AG482" s="1" t="s">
        <v>2298</v>
      </c>
    </row>
    <row r="483" spans="1:33" ht="24" customHeight="1">
      <c r="A483" s="218">
        <f t="shared" si="45"/>
        <v>309</v>
      </c>
      <c r="B483" s="219" t="s">
        <v>1139</v>
      </c>
      <c r="C483" s="419">
        <v>760</v>
      </c>
      <c r="D483" s="219" t="s">
        <v>884</v>
      </c>
      <c r="K483" s="5" t="s">
        <v>2091</v>
      </c>
      <c r="M483" s="8">
        <v>8</v>
      </c>
      <c r="N483" s="1" t="s">
        <v>785</v>
      </c>
      <c r="O483" s="1" t="s">
        <v>473</v>
      </c>
      <c r="P483" s="8">
        <f>(C52)</f>
        <v>26.6</v>
      </c>
      <c r="Q483" s="1" t="s">
        <v>785</v>
      </c>
      <c r="R483" s="8">
        <f>(M483*P483)</f>
        <v>212.8</v>
      </c>
      <c r="S483"/>
      <c r="T483" s="3"/>
      <c r="V483" s="8"/>
      <c r="W483" s="4"/>
      <c r="X483" s="5" t="s">
        <v>1615</v>
      </c>
      <c r="Z483" s="3"/>
      <c r="AB483" s="8"/>
      <c r="AC483" s="10"/>
      <c r="AD483" s="5" t="s">
        <v>1615</v>
      </c>
      <c r="AE483" s="51" t="str">
        <f t="shared" si="50"/>
        <v>|</v>
      </c>
      <c r="AG483" s="1" t="s">
        <v>2298</v>
      </c>
    </row>
    <row r="484" spans="1:33" ht="24" customHeight="1">
      <c r="A484" s="218">
        <f t="shared" si="45"/>
        <v>310</v>
      </c>
      <c r="B484" s="219" t="s">
        <v>1141</v>
      </c>
      <c r="C484" s="419">
        <v>977</v>
      </c>
      <c r="D484" s="219" t="s">
        <v>884</v>
      </c>
      <c r="F484" s="24">
        <v>7.3</v>
      </c>
      <c r="G484" s="7" t="s">
        <v>2290</v>
      </c>
      <c r="H484" s="1" t="s">
        <v>2279</v>
      </c>
      <c r="M484" s="8">
        <v>1</v>
      </c>
      <c r="N484" s="1" t="s">
        <v>455</v>
      </c>
      <c r="O484" s="1" t="s">
        <v>1716</v>
      </c>
      <c r="P484" s="8">
        <f>(C56)</f>
        <v>12.1</v>
      </c>
      <c r="Q484" s="1" t="s">
        <v>455</v>
      </c>
      <c r="R484" s="8">
        <f>(M484*P484)</f>
        <v>12.1</v>
      </c>
      <c r="S484"/>
      <c r="T484" s="3"/>
      <c r="U484" s="1" t="s">
        <v>562</v>
      </c>
      <c r="W484" s="4"/>
      <c r="X484" s="8">
        <f>(X482/0.372)</f>
        <v>3073.39</v>
      </c>
      <c r="Z484" s="3"/>
      <c r="AA484" s="1" t="s">
        <v>562</v>
      </c>
      <c r="AC484" s="10"/>
      <c r="AD484" s="8">
        <f>(AD482/0.372)</f>
        <v>3093.87</v>
      </c>
      <c r="AE484" s="51" t="str">
        <f t="shared" si="50"/>
        <v>|</v>
      </c>
      <c r="AG484" s="1" t="s">
        <v>2298</v>
      </c>
    </row>
    <row r="485" spans="1:33" ht="24" customHeight="1">
      <c r="A485" s="218">
        <f t="shared" si="45"/>
        <v>311</v>
      </c>
      <c r="B485" s="219" t="s">
        <v>243</v>
      </c>
      <c r="C485" s="419">
        <v>1241</v>
      </c>
      <c r="D485" s="219" t="s">
        <v>884</v>
      </c>
      <c r="F485" s="1" t="s">
        <v>992</v>
      </c>
      <c r="H485" s="1" t="s">
        <v>980</v>
      </c>
      <c r="M485" s="8">
        <v>1</v>
      </c>
      <c r="N485" s="1" t="s">
        <v>455</v>
      </c>
      <c r="O485" s="1" t="s">
        <v>456</v>
      </c>
      <c r="Q485" s="1" t="s">
        <v>455</v>
      </c>
      <c r="R485" s="8">
        <v>0</v>
      </c>
      <c r="S485"/>
      <c r="T485" s="3"/>
      <c r="W485" s="4"/>
      <c r="X485" s="5" t="s">
        <v>2091</v>
      </c>
      <c r="Z485" s="3"/>
      <c r="AC485" s="10"/>
      <c r="AD485" s="5" t="s">
        <v>2091</v>
      </c>
      <c r="AE485" s="51" t="str">
        <f t="shared" si="50"/>
        <v>|</v>
      </c>
      <c r="AG485" s="1" t="s">
        <v>2298</v>
      </c>
    </row>
    <row r="486" spans="1:33" ht="24" customHeight="1">
      <c r="A486" s="218">
        <f t="shared" si="45"/>
        <v>312</v>
      </c>
      <c r="B486" s="219" t="s">
        <v>1142</v>
      </c>
      <c r="C486" s="431">
        <v>1523</v>
      </c>
      <c r="D486" s="219" t="s">
        <v>884</v>
      </c>
      <c r="F486" s="1" t="s">
        <v>992</v>
      </c>
      <c r="H486" s="5" t="s">
        <v>2338</v>
      </c>
      <c r="R486" s="5" t="s">
        <v>1615</v>
      </c>
      <c r="S486"/>
      <c r="T486" s="3"/>
      <c r="U486" s="1" t="s">
        <v>391</v>
      </c>
      <c r="V486">
        <f>X484</f>
        <v>3073.39</v>
      </c>
      <c r="W486" s="4">
        <f>J659</f>
        <v>4.7</v>
      </c>
      <c r="X486" s="38">
        <f>V486+W486</f>
        <v>3078.09</v>
      </c>
      <c r="Z486" s="3"/>
      <c r="AA486" s="1" t="s">
        <v>391</v>
      </c>
      <c r="AB486">
        <f>AD484</f>
        <v>3093.87</v>
      </c>
      <c r="AC486" s="10">
        <f>W486</f>
        <v>4.7</v>
      </c>
      <c r="AD486" s="38">
        <f>AB486+AC486</f>
        <v>3098.57</v>
      </c>
      <c r="AE486" s="51" t="str">
        <f t="shared" si="50"/>
        <v>|</v>
      </c>
      <c r="AG486" s="1" t="s">
        <v>2298</v>
      </c>
    </row>
    <row r="487" spans="1:33" ht="24" customHeight="1">
      <c r="A487" s="218">
        <f t="shared" si="45"/>
        <v>313</v>
      </c>
      <c r="B487" s="531" t="s">
        <v>5678</v>
      </c>
      <c r="C487" s="221"/>
      <c r="D487" s="219"/>
      <c r="F487" s="8">
        <v>0.13</v>
      </c>
      <c r="G487" s="7" t="s">
        <v>885</v>
      </c>
      <c r="H487" s="1" t="s">
        <v>1331</v>
      </c>
      <c r="I487" s="8">
        <f>(K40)</f>
        <v>3904.1</v>
      </c>
      <c r="J487" s="1" t="s">
        <v>885</v>
      </c>
      <c r="K487" s="8">
        <f t="shared" ref="K487:K492" si="52">(F487*I487)</f>
        <v>507.53</v>
      </c>
      <c r="O487" s="1" t="s">
        <v>1572</v>
      </c>
      <c r="R487" s="8">
        <f>SUM(R468:R485)</f>
        <v>2682.83</v>
      </c>
      <c r="S487"/>
      <c r="T487" s="3"/>
      <c r="U487" s="1" t="s">
        <v>393</v>
      </c>
      <c r="V487">
        <f>X486</f>
        <v>3078.09</v>
      </c>
      <c r="W487" s="4">
        <f>J662</f>
        <v>9.26</v>
      </c>
      <c r="X487" s="38">
        <f>V487+W487</f>
        <v>3087.35</v>
      </c>
      <c r="Z487" s="3"/>
      <c r="AA487" s="1" t="s">
        <v>393</v>
      </c>
      <c r="AB487">
        <f>AD486</f>
        <v>3098.57</v>
      </c>
      <c r="AC487" s="10">
        <f>W487</f>
        <v>9.26</v>
      </c>
      <c r="AD487" s="38">
        <f>AB487+AC487</f>
        <v>3107.83</v>
      </c>
      <c r="AE487" s="51" t="str">
        <f t="shared" si="50"/>
        <v>|</v>
      </c>
      <c r="AG487" s="1" t="s">
        <v>2298</v>
      </c>
    </row>
    <row r="488" spans="1:33" ht="24" customHeight="1">
      <c r="A488" s="218">
        <f t="shared" ref="A488:A494" si="53">(A487+1)</f>
        <v>314</v>
      </c>
      <c r="B488" s="219" t="s">
        <v>1136</v>
      </c>
      <c r="C488" s="419">
        <v>169</v>
      </c>
      <c r="D488" s="219" t="s">
        <v>884</v>
      </c>
      <c r="F488" s="8">
        <v>0.7</v>
      </c>
      <c r="G488" s="7" t="s">
        <v>785</v>
      </c>
      <c r="H488" s="1" t="s">
        <v>2045</v>
      </c>
      <c r="I488" s="8">
        <f>(C10)</f>
        <v>1041.7</v>
      </c>
      <c r="J488" s="1" t="s">
        <v>785</v>
      </c>
      <c r="K488" s="8">
        <f t="shared" si="52"/>
        <v>729.19</v>
      </c>
      <c r="R488" s="5" t="s">
        <v>1615</v>
      </c>
      <c r="S488"/>
      <c r="T488" s="3"/>
      <c r="U488" s="1" t="s">
        <v>2271</v>
      </c>
      <c r="V488">
        <f>X487</f>
        <v>3087.35</v>
      </c>
      <c r="W488" s="4">
        <f>J663</f>
        <v>9.26</v>
      </c>
      <c r="X488" s="38">
        <f>V488+W488</f>
        <v>3096.61</v>
      </c>
      <c r="Z488" s="3"/>
      <c r="AA488" s="1" t="s">
        <v>2271</v>
      </c>
      <c r="AB488">
        <f>AD487</f>
        <v>3107.83</v>
      </c>
      <c r="AC488" s="10">
        <f>W488</f>
        <v>9.26</v>
      </c>
      <c r="AD488" s="38">
        <f>AB488+AC488</f>
        <v>3117.09</v>
      </c>
      <c r="AE488" s="51" t="str">
        <f t="shared" si="50"/>
        <v>|</v>
      </c>
      <c r="AG488" s="1" t="s">
        <v>2298</v>
      </c>
    </row>
    <row r="489" spans="1:33" ht="33.75" customHeight="1">
      <c r="A489" s="218">
        <f t="shared" si="53"/>
        <v>315</v>
      </c>
      <c r="B489" s="219" t="s">
        <v>1137</v>
      </c>
      <c r="C489" s="419">
        <v>241</v>
      </c>
      <c r="D489" s="219" t="s">
        <v>884</v>
      </c>
      <c r="F489" s="8">
        <v>0.7</v>
      </c>
      <c r="G489" s="7" t="s">
        <v>785</v>
      </c>
      <c r="H489" s="1" t="s">
        <v>1744</v>
      </c>
      <c r="I489" s="8">
        <f>(C11)</f>
        <v>972.4</v>
      </c>
      <c r="J489" s="1" t="s">
        <v>785</v>
      </c>
      <c r="K489" s="8">
        <f t="shared" si="52"/>
        <v>680.68</v>
      </c>
      <c r="O489" s="1" t="s">
        <v>1573</v>
      </c>
      <c r="R489" s="8">
        <f>(R487/30)</f>
        <v>89.43</v>
      </c>
      <c r="S489"/>
      <c r="T489" s="3"/>
      <c r="U489" s="1" t="s">
        <v>385</v>
      </c>
      <c r="V489">
        <f>X488</f>
        <v>3096.61</v>
      </c>
      <c r="W489" s="4">
        <f>J664</f>
        <v>9.26</v>
      </c>
      <c r="X489" s="38">
        <f>V489+W489</f>
        <v>3105.87</v>
      </c>
      <c r="Z489" s="3"/>
      <c r="AA489" s="1" t="s">
        <v>385</v>
      </c>
      <c r="AB489">
        <f>AD488</f>
        <v>3117.09</v>
      </c>
      <c r="AC489" s="10">
        <f>W489</f>
        <v>9.26</v>
      </c>
      <c r="AD489" s="38">
        <f>AB489+AC489</f>
        <v>3126.35</v>
      </c>
      <c r="AE489" s="51" t="str">
        <f t="shared" si="50"/>
        <v>|</v>
      </c>
      <c r="AG489" s="1" t="s">
        <v>2298</v>
      </c>
    </row>
    <row r="490" spans="1:33" ht="24" customHeight="1">
      <c r="A490" s="218">
        <f t="shared" si="53"/>
        <v>316</v>
      </c>
      <c r="B490" s="219" t="s">
        <v>1138</v>
      </c>
      <c r="C490" s="419">
        <v>351</v>
      </c>
      <c r="D490" s="219" t="s">
        <v>884</v>
      </c>
      <c r="F490" s="8">
        <v>1.5</v>
      </c>
      <c r="G490" s="7" t="s">
        <v>785</v>
      </c>
      <c r="H490" s="1" t="s">
        <v>1937</v>
      </c>
      <c r="I490" s="8">
        <f>(C12)</f>
        <v>679.8</v>
      </c>
      <c r="J490" s="1" t="s">
        <v>785</v>
      </c>
      <c r="K490" s="8">
        <f t="shared" si="52"/>
        <v>1019.7</v>
      </c>
      <c r="R490" s="5" t="s">
        <v>1615</v>
      </c>
      <c r="S490"/>
      <c r="T490" s="3"/>
      <c r="U490" s="1" t="s">
        <v>1388</v>
      </c>
      <c r="V490">
        <f>X489</f>
        <v>3105.87</v>
      </c>
      <c r="W490" s="4">
        <f>J665</f>
        <v>9.26</v>
      </c>
      <c r="X490" s="38">
        <f>V490+W490</f>
        <v>3115.13</v>
      </c>
      <c r="Z490" s="3"/>
      <c r="AA490" s="1" t="s">
        <v>1388</v>
      </c>
      <c r="AB490">
        <f>AD489</f>
        <v>3126.35</v>
      </c>
      <c r="AC490" s="10">
        <f>W490</f>
        <v>9.26</v>
      </c>
      <c r="AD490" s="38">
        <f>AB490+AC490</f>
        <v>3135.61</v>
      </c>
      <c r="AE490" s="51" t="str">
        <f t="shared" si="50"/>
        <v>|</v>
      </c>
      <c r="AG490" s="1" t="s">
        <v>2298</v>
      </c>
    </row>
    <row r="491" spans="1:33" ht="24" customHeight="1">
      <c r="A491" s="218">
        <f t="shared" si="53"/>
        <v>317</v>
      </c>
      <c r="B491" s="219" t="s">
        <v>1139</v>
      </c>
      <c r="C491" s="419">
        <v>513</v>
      </c>
      <c r="D491" s="219" t="s">
        <v>884</v>
      </c>
      <c r="F491" s="8">
        <v>0.5</v>
      </c>
      <c r="G491" s="7" t="s">
        <v>785</v>
      </c>
      <c r="H491" s="1" t="s">
        <v>325</v>
      </c>
      <c r="I491" s="8">
        <f>(C13)</f>
        <v>557.70000000000005</v>
      </c>
      <c r="J491" s="1" t="s">
        <v>785</v>
      </c>
      <c r="K491" s="8">
        <f t="shared" si="52"/>
        <v>278.85000000000002</v>
      </c>
      <c r="M491" s="1" t="s">
        <v>992</v>
      </c>
      <c r="W491" s="4"/>
      <c r="Y491" s="50"/>
      <c r="AA491" s="1" t="s">
        <v>3641</v>
      </c>
      <c r="AC491" s="10">
        <f t="shared" ref="AC491:AC497" si="54">AC490</f>
        <v>9.26</v>
      </c>
      <c r="AD491" s="38">
        <f t="shared" ref="AD491:AD497" si="55">AD490+AC491</f>
        <v>3144.87</v>
      </c>
      <c r="AE491" s="51" t="str">
        <f t="shared" si="50"/>
        <v>|</v>
      </c>
      <c r="AG491" s="1" t="s">
        <v>2298</v>
      </c>
    </row>
    <row r="492" spans="1:33" ht="24" customHeight="1">
      <c r="A492" s="218">
        <f t="shared" si="53"/>
        <v>318</v>
      </c>
      <c r="B492" s="219" t="s">
        <v>1141</v>
      </c>
      <c r="C492" s="419">
        <v>652</v>
      </c>
      <c r="D492" s="219" t="s">
        <v>884</v>
      </c>
      <c r="F492" s="8">
        <v>0.94</v>
      </c>
      <c r="G492" s="7" t="s">
        <v>1676</v>
      </c>
      <c r="H492" s="1" t="s">
        <v>927</v>
      </c>
      <c r="I492" s="8">
        <f>C653</f>
        <v>42.7</v>
      </c>
      <c r="J492" s="1" t="s">
        <v>1676</v>
      </c>
      <c r="K492" s="8">
        <f t="shared" si="52"/>
        <v>40.14</v>
      </c>
      <c r="N492" s="1" t="s">
        <v>2290</v>
      </c>
      <c r="O492" s="1" t="s">
        <v>2083</v>
      </c>
      <c r="W492" s="4"/>
      <c r="Y492" s="50"/>
      <c r="AA492" s="1" t="s">
        <v>3642</v>
      </c>
      <c r="AC492" s="10">
        <f t="shared" si="54"/>
        <v>9.26</v>
      </c>
      <c r="AD492" s="38">
        <f t="shared" si="55"/>
        <v>3154.13</v>
      </c>
      <c r="AE492" s="51" t="str">
        <f t="shared" si="50"/>
        <v>|</v>
      </c>
      <c r="AG492" s="1" t="s">
        <v>2298</v>
      </c>
    </row>
    <row r="493" spans="1:33" ht="24" customHeight="1">
      <c r="A493" s="218">
        <f t="shared" si="53"/>
        <v>319</v>
      </c>
      <c r="B493" s="219" t="s">
        <v>243</v>
      </c>
      <c r="C493" s="848">
        <v>584</v>
      </c>
      <c r="D493" s="219" t="s">
        <v>884</v>
      </c>
      <c r="H493" s="1" t="s">
        <v>456</v>
      </c>
      <c r="I493" s="1" t="s">
        <v>992</v>
      </c>
      <c r="J493" s="1" t="s">
        <v>455</v>
      </c>
      <c r="K493" s="8">
        <v>0</v>
      </c>
      <c r="O493" s="1" t="s">
        <v>2084</v>
      </c>
      <c r="W493" s="4"/>
      <c r="Y493" s="50"/>
      <c r="AA493" s="1" t="s">
        <v>3643</v>
      </c>
      <c r="AC493" s="10">
        <f t="shared" si="54"/>
        <v>9.26</v>
      </c>
      <c r="AD493">
        <f t="shared" si="55"/>
        <v>3163.39</v>
      </c>
      <c r="AE493" s="51" t="str">
        <f t="shared" si="50"/>
        <v>|</v>
      </c>
      <c r="AG493" s="1" t="s">
        <v>2298</v>
      </c>
    </row>
    <row r="494" spans="1:33" ht="24" customHeight="1">
      <c r="A494" s="218">
        <f t="shared" si="53"/>
        <v>320</v>
      </c>
      <c r="B494" s="219" t="s">
        <v>1142</v>
      </c>
      <c r="C494" s="221"/>
      <c r="D494" s="219" t="s">
        <v>884</v>
      </c>
      <c r="K494" s="5" t="s">
        <v>1615</v>
      </c>
      <c r="O494" s="1" t="s">
        <v>965</v>
      </c>
      <c r="W494" s="4"/>
      <c r="Y494" s="50"/>
      <c r="AA494" s="1" t="s">
        <v>3644</v>
      </c>
      <c r="AC494" s="10">
        <f t="shared" si="54"/>
        <v>9.26</v>
      </c>
      <c r="AD494">
        <f t="shared" si="55"/>
        <v>3172.65</v>
      </c>
      <c r="AE494" s="51" t="str">
        <f t="shared" si="50"/>
        <v>|</v>
      </c>
      <c r="AG494" s="1" t="s">
        <v>2298</v>
      </c>
    </row>
    <row r="495" spans="1:33" ht="24" customHeight="1">
      <c r="A495" s="218">
        <f>(A494+1)</f>
        <v>321</v>
      </c>
      <c r="B495" s="531" t="s">
        <v>5679</v>
      </c>
      <c r="C495" s="221"/>
      <c r="D495" s="219" t="s">
        <v>884</v>
      </c>
      <c r="H495" s="1" t="s">
        <v>447</v>
      </c>
      <c r="K495" s="8">
        <f>SUM(K486:K493)</f>
        <v>3256.09</v>
      </c>
      <c r="O495" s="5" t="s">
        <v>1615</v>
      </c>
      <c r="W495" s="4"/>
      <c r="Y495" s="50"/>
      <c r="AA495" s="1" t="s">
        <v>3662</v>
      </c>
      <c r="AC495" s="10">
        <f t="shared" si="54"/>
        <v>9.26</v>
      </c>
      <c r="AD495" s="38">
        <f t="shared" si="55"/>
        <v>3181.91</v>
      </c>
      <c r="AE495" s="51" t="str">
        <f t="shared" si="50"/>
        <v>|</v>
      </c>
      <c r="AG495" s="1" t="s">
        <v>2298</v>
      </c>
    </row>
    <row r="496" spans="1:33" ht="24" customHeight="1">
      <c r="A496" s="218">
        <f>(A495+1)</f>
        <v>322</v>
      </c>
      <c r="B496" s="219" t="s">
        <v>4436</v>
      </c>
      <c r="C496" s="419">
        <v>20.3</v>
      </c>
      <c r="D496" s="219" t="s">
        <v>884</v>
      </c>
      <c r="K496" s="5" t="s">
        <v>1615</v>
      </c>
      <c r="N496" s="1" t="s">
        <v>156</v>
      </c>
      <c r="O496" s="2" t="s">
        <v>970</v>
      </c>
      <c r="W496" s="4"/>
      <c r="Y496" s="50"/>
      <c r="AA496" s="1" t="s">
        <v>3663</v>
      </c>
      <c r="AC496" s="10">
        <f t="shared" si="54"/>
        <v>9.26</v>
      </c>
      <c r="AD496" s="38">
        <f t="shared" si="55"/>
        <v>3191.17</v>
      </c>
      <c r="AE496" s="51" t="str">
        <f t="shared" si="50"/>
        <v>|</v>
      </c>
      <c r="AG496" s="1" t="s">
        <v>2298</v>
      </c>
    </row>
    <row r="497" spans="1:33" ht="33.75" customHeight="1">
      <c r="A497" s="218">
        <f>(A496+1)</f>
        <v>323</v>
      </c>
      <c r="B497" s="219" t="s">
        <v>759</v>
      </c>
      <c r="C497" s="848">
        <v>11.5</v>
      </c>
      <c r="D497" s="219" t="s">
        <v>884</v>
      </c>
      <c r="H497" s="58" t="s">
        <v>562</v>
      </c>
      <c r="K497" s="38">
        <f>(K495/10)</f>
        <v>325.61</v>
      </c>
      <c r="O497" s="5" t="s">
        <v>1615</v>
      </c>
      <c r="W497" s="4"/>
      <c r="Y497" s="50"/>
      <c r="AA497" s="1" t="s">
        <v>4825</v>
      </c>
      <c r="AC497" s="10">
        <f t="shared" si="54"/>
        <v>9.26</v>
      </c>
      <c r="AD497" s="38">
        <f t="shared" si="55"/>
        <v>3200.43</v>
      </c>
      <c r="AE497" s="51" t="str">
        <f t="shared" si="50"/>
        <v>|</v>
      </c>
      <c r="AG497" s="1" t="s">
        <v>2298</v>
      </c>
    </row>
    <row r="498" spans="1:33" ht="36" customHeight="1">
      <c r="A498" s="221"/>
      <c r="B498" s="221"/>
      <c r="C498" s="221"/>
      <c r="D498" s="221"/>
      <c r="F498" s="1" t="s">
        <v>992</v>
      </c>
      <c r="W498" s="4"/>
      <c r="AD498" s="38">
        <f>AD497+AC497</f>
        <v>3209.69</v>
      </c>
      <c r="AE498" s="51" t="str">
        <f t="shared" si="50"/>
        <v>|</v>
      </c>
      <c r="AG498" s="1" t="s">
        <v>2298</v>
      </c>
    </row>
    <row r="499" spans="1:33" ht="24" customHeight="1">
      <c r="A499" s="218">
        <f>(A497+1)</f>
        <v>324</v>
      </c>
      <c r="B499" s="219" t="s">
        <v>4437</v>
      </c>
      <c r="C499" s="419">
        <v>28.6</v>
      </c>
      <c r="D499" s="219" t="s">
        <v>884</v>
      </c>
      <c r="K499" s="5" t="s">
        <v>2091</v>
      </c>
      <c r="M499" s="8">
        <v>30</v>
      </c>
      <c r="N499" s="1" t="s">
        <v>1805</v>
      </c>
      <c r="O499" s="1" t="s">
        <v>1695</v>
      </c>
      <c r="P499" s="8">
        <f>(C42)</f>
        <v>5</v>
      </c>
      <c r="Q499" s="1" t="s">
        <v>1805</v>
      </c>
      <c r="R499" s="8">
        <f>(M499*P499)</f>
        <v>150</v>
      </c>
      <c r="W499" s="4"/>
      <c r="AE499" s="51" t="str">
        <f t="shared" si="50"/>
        <v>|</v>
      </c>
      <c r="AG499" s="1" t="s">
        <v>2298</v>
      </c>
    </row>
    <row r="500" spans="1:33" ht="24" customHeight="1">
      <c r="A500" s="218">
        <f t="shared" ref="A500:A562" si="56">(A499+1)</f>
        <v>325</v>
      </c>
      <c r="B500" s="219" t="s">
        <v>1696</v>
      </c>
      <c r="C500" s="848">
        <v>56.74</v>
      </c>
      <c r="D500" s="219" t="s">
        <v>884</v>
      </c>
      <c r="F500" s="2"/>
      <c r="G500" s="7" t="s">
        <v>2290</v>
      </c>
      <c r="H500" s="1" t="s">
        <v>1697</v>
      </c>
      <c r="M500" s="1" t="s">
        <v>992</v>
      </c>
      <c r="O500" s="1" t="s">
        <v>1698</v>
      </c>
      <c r="P500" s="1" t="s">
        <v>992</v>
      </c>
      <c r="R500" s="1" t="s">
        <v>992</v>
      </c>
      <c r="W500" s="4"/>
      <c r="AE500" s="51" t="str">
        <f t="shared" si="50"/>
        <v>|</v>
      </c>
      <c r="AG500" s="1" t="s">
        <v>2298</v>
      </c>
    </row>
    <row r="501" spans="1:33" ht="24" customHeight="1">
      <c r="A501" s="218">
        <f t="shared" si="56"/>
        <v>326</v>
      </c>
      <c r="B501" s="219" t="s">
        <v>1699</v>
      </c>
      <c r="C501" s="848">
        <v>56.74</v>
      </c>
      <c r="D501" s="219" t="s">
        <v>884</v>
      </c>
      <c r="H501" s="1" t="s">
        <v>2308</v>
      </c>
      <c r="M501" s="8">
        <v>8</v>
      </c>
      <c r="N501" s="1" t="s">
        <v>884</v>
      </c>
      <c r="O501" s="1" t="s">
        <v>2182</v>
      </c>
      <c r="P501" s="8">
        <f>(C43)</f>
        <v>8.9</v>
      </c>
      <c r="Q501" s="1" t="s">
        <v>884</v>
      </c>
      <c r="R501" s="8">
        <f t="shared" ref="R501:R506" si="57">(M501*P501)</f>
        <v>71.2</v>
      </c>
      <c r="W501" s="4"/>
      <c r="AE501" s="51" t="str">
        <f t="shared" si="50"/>
        <v>|</v>
      </c>
      <c r="AG501" s="1" t="s">
        <v>2298</v>
      </c>
    </row>
    <row r="502" spans="1:33" ht="45.75" customHeight="1">
      <c r="A502" s="218">
        <f t="shared" si="56"/>
        <v>327</v>
      </c>
      <c r="B502" s="531" t="s">
        <v>5680</v>
      </c>
      <c r="C502" s="221"/>
      <c r="D502" s="219" t="s">
        <v>992</v>
      </c>
      <c r="H502" s="5" t="s">
        <v>1615</v>
      </c>
      <c r="M502" s="8">
        <v>8</v>
      </c>
      <c r="N502" s="1" t="s">
        <v>884</v>
      </c>
      <c r="O502" s="1" t="s">
        <v>473</v>
      </c>
      <c r="P502" s="8">
        <f>(C50)</f>
        <v>12.65</v>
      </c>
      <c r="Q502" s="1" t="s">
        <v>884</v>
      </c>
      <c r="R502" s="8">
        <f t="shared" si="57"/>
        <v>101.2</v>
      </c>
      <c r="W502" s="4"/>
      <c r="AE502" s="51" t="str">
        <f t="shared" si="50"/>
        <v>|</v>
      </c>
      <c r="AG502" s="1" t="s">
        <v>2298</v>
      </c>
    </row>
    <row r="503" spans="1:33" ht="24" customHeight="1">
      <c r="A503" s="218">
        <f t="shared" si="56"/>
        <v>328</v>
      </c>
      <c r="B503" s="219" t="s">
        <v>969</v>
      </c>
      <c r="C503" s="419">
        <v>69.8</v>
      </c>
      <c r="D503" s="219" t="s">
        <v>884</v>
      </c>
      <c r="F503" s="8">
        <v>9</v>
      </c>
      <c r="G503" s="7" t="s">
        <v>885</v>
      </c>
      <c r="H503" s="1" t="s">
        <v>1701</v>
      </c>
      <c r="I503" s="8">
        <f>(C70)</f>
        <v>1000.02</v>
      </c>
      <c r="J503" s="1" t="s">
        <v>885</v>
      </c>
      <c r="K503" s="8">
        <f t="shared" ref="K503:K508" si="58">(F503*I503)</f>
        <v>9000.18</v>
      </c>
      <c r="M503" s="8">
        <v>3</v>
      </c>
      <c r="N503" s="1" t="s">
        <v>884</v>
      </c>
      <c r="O503" s="1" t="s">
        <v>1879</v>
      </c>
      <c r="P503" s="8">
        <f>(C41)</f>
        <v>770</v>
      </c>
      <c r="Q503" s="1" t="s">
        <v>884</v>
      </c>
      <c r="R503" s="8">
        <f t="shared" si="57"/>
        <v>2310</v>
      </c>
      <c r="W503" s="4"/>
      <c r="AE503" s="51" t="str">
        <f t="shared" si="50"/>
        <v>|</v>
      </c>
      <c r="AG503" s="1" t="s">
        <v>2298</v>
      </c>
    </row>
    <row r="504" spans="1:33" ht="24" customHeight="1">
      <c r="A504" s="218">
        <f t="shared" si="56"/>
        <v>329</v>
      </c>
      <c r="B504" s="219" t="s">
        <v>759</v>
      </c>
      <c r="C504" s="848">
        <v>15.6</v>
      </c>
      <c r="D504" s="219" t="s">
        <v>884</v>
      </c>
      <c r="F504" s="12">
        <v>3.2309999999999999</v>
      </c>
      <c r="G504" s="7" t="s">
        <v>877</v>
      </c>
      <c r="H504" s="1" t="s">
        <v>878</v>
      </c>
      <c r="I504" s="8">
        <f>(C67)</f>
        <v>6040</v>
      </c>
      <c r="J504" s="1" t="s">
        <v>877</v>
      </c>
      <c r="K504" s="8">
        <f t="shared" si="58"/>
        <v>19515.240000000002</v>
      </c>
      <c r="M504" s="8">
        <v>1</v>
      </c>
      <c r="N504" s="1" t="s">
        <v>884</v>
      </c>
      <c r="O504" s="1" t="s">
        <v>1880</v>
      </c>
      <c r="P504" s="8">
        <f>(C10)</f>
        <v>1041.7</v>
      </c>
      <c r="Q504" s="1" t="s">
        <v>884</v>
      </c>
      <c r="R504" s="8">
        <f t="shared" si="57"/>
        <v>1041.7</v>
      </c>
      <c r="W504" s="4"/>
      <c r="AE504" s="51" t="str">
        <f t="shared" si="50"/>
        <v>|</v>
      </c>
      <c r="AG504" s="1" t="s">
        <v>2298</v>
      </c>
    </row>
    <row r="505" spans="1:33" ht="24" customHeight="1">
      <c r="A505" s="218">
        <f t="shared" si="56"/>
        <v>330</v>
      </c>
      <c r="B505" s="219" t="s">
        <v>1694</v>
      </c>
      <c r="C505" s="419">
        <v>75.3</v>
      </c>
      <c r="D505" s="219" t="s">
        <v>884</v>
      </c>
      <c r="F505" s="8">
        <v>4.5</v>
      </c>
      <c r="G505" s="7" t="s">
        <v>885</v>
      </c>
      <c r="H505" s="1" t="s">
        <v>886</v>
      </c>
      <c r="I505" s="8">
        <f>(C78)</f>
        <v>1608.7</v>
      </c>
      <c r="J505" s="1" t="s">
        <v>885</v>
      </c>
      <c r="K505" s="8">
        <f t="shared" si="58"/>
        <v>7239.15</v>
      </c>
      <c r="M505" s="8">
        <v>2</v>
      </c>
      <c r="N505" s="1" t="s">
        <v>884</v>
      </c>
      <c r="O505" s="1" t="s">
        <v>1937</v>
      </c>
      <c r="P505" s="8">
        <f>(C12)</f>
        <v>679.8</v>
      </c>
      <c r="Q505" s="1" t="s">
        <v>884</v>
      </c>
      <c r="R505" s="8">
        <f t="shared" si="57"/>
        <v>1359.6</v>
      </c>
      <c r="W505" s="4"/>
      <c r="AE505" s="51" t="str">
        <f t="shared" si="50"/>
        <v>|</v>
      </c>
      <c r="AG505" s="1" t="s">
        <v>2298</v>
      </c>
    </row>
    <row r="506" spans="1:33" ht="24" customHeight="1">
      <c r="A506" s="218">
        <f t="shared" si="56"/>
        <v>331</v>
      </c>
      <c r="B506" s="219" t="s">
        <v>1696</v>
      </c>
      <c r="C506" s="848">
        <v>100.3</v>
      </c>
      <c r="D506" s="219" t="s">
        <v>884</v>
      </c>
      <c r="F506" s="8">
        <v>3.5</v>
      </c>
      <c r="G506" s="7" t="s">
        <v>884</v>
      </c>
      <c r="H506" s="1" t="s">
        <v>1744</v>
      </c>
      <c r="I506" s="8">
        <f>(C11)</f>
        <v>972.4</v>
      </c>
      <c r="J506" s="1" t="s">
        <v>884</v>
      </c>
      <c r="K506" s="8">
        <f t="shared" si="58"/>
        <v>3403.4</v>
      </c>
      <c r="M506" s="8">
        <v>1</v>
      </c>
      <c r="N506" s="1" t="s">
        <v>884</v>
      </c>
      <c r="O506" s="1" t="s">
        <v>325</v>
      </c>
      <c r="P506" s="8">
        <f>(C13)</f>
        <v>557.70000000000005</v>
      </c>
      <c r="Q506" s="1" t="s">
        <v>884</v>
      </c>
      <c r="R506" s="8">
        <f t="shared" si="57"/>
        <v>557.70000000000005</v>
      </c>
      <c r="W506" s="4"/>
      <c r="AE506" s="51" t="str">
        <f t="shared" si="50"/>
        <v>|</v>
      </c>
      <c r="AG506" s="1" t="s">
        <v>2298</v>
      </c>
    </row>
    <row r="507" spans="1:33" ht="24" customHeight="1">
      <c r="A507" s="218">
        <f t="shared" si="56"/>
        <v>332</v>
      </c>
      <c r="B507" s="219" t="s">
        <v>1699</v>
      </c>
      <c r="C507" s="848">
        <v>100.3</v>
      </c>
      <c r="D507" s="219" t="s">
        <v>884</v>
      </c>
      <c r="F507" s="8">
        <v>21.2</v>
      </c>
      <c r="G507" s="7" t="s">
        <v>884</v>
      </c>
      <c r="H507" s="1" t="s">
        <v>1937</v>
      </c>
      <c r="I507" s="8">
        <f>(C12)</f>
        <v>679.8</v>
      </c>
      <c r="J507" s="1" t="s">
        <v>884</v>
      </c>
      <c r="K507" s="8">
        <f t="shared" si="58"/>
        <v>14411.76</v>
      </c>
      <c r="N507" s="1" t="s">
        <v>455</v>
      </c>
      <c r="O507" s="1" t="s">
        <v>1881</v>
      </c>
      <c r="P507" s="1" t="s">
        <v>992</v>
      </c>
      <c r="Q507" s="1" t="s">
        <v>455</v>
      </c>
      <c r="R507" s="8">
        <f>(C56)</f>
        <v>12.1</v>
      </c>
      <c r="W507" s="4"/>
      <c r="AE507" s="51" t="str">
        <f t="shared" si="50"/>
        <v>|</v>
      </c>
      <c r="AG507" s="1" t="s">
        <v>2298</v>
      </c>
    </row>
    <row r="508" spans="1:33" ht="24" customHeight="1">
      <c r="A508" s="218">
        <f t="shared" si="56"/>
        <v>333</v>
      </c>
      <c r="B508" s="531" t="s">
        <v>5681</v>
      </c>
      <c r="C508" s="221"/>
      <c r="D508" s="219" t="s">
        <v>992</v>
      </c>
      <c r="F508" s="8">
        <v>35.299999999999997</v>
      </c>
      <c r="G508" s="7" t="s">
        <v>884</v>
      </c>
      <c r="H508" s="1" t="s">
        <v>325</v>
      </c>
      <c r="I508" s="8">
        <f>(C13)</f>
        <v>557.70000000000005</v>
      </c>
      <c r="J508" s="1" t="s">
        <v>884</v>
      </c>
      <c r="K508" s="8">
        <f t="shared" si="58"/>
        <v>19686.810000000001</v>
      </c>
      <c r="O508" s="1" t="s">
        <v>1883</v>
      </c>
      <c r="P508" s="1" t="s">
        <v>992</v>
      </c>
      <c r="R508" s="1" t="s">
        <v>992</v>
      </c>
      <c r="W508" s="4"/>
      <c r="AE508" s="51" t="str">
        <f t="shared" si="50"/>
        <v>|</v>
      </c>
      <c r="AG508" s="1" t="s">
        <v>2298</v>
      </c>
    </row>
    <row r="509" spans="1:33" ht="24" customHeight="1">
      <c r="A509" s="218">
        <f t="shared" si="56"/>
        <v>334</v>
      </c>
      <c r="B509" s="219" t="s">
        <v>969</v>
      </c>
      <c r="C509" s="419">
        <v>40.4</v>
      </c>
      <c r="D509" s="219" t="s">
        <v>884</v>
      </c>
      <c r="G509" s="7" t="s">
        <v>455</v>
      </c>
      <c r="H509" s="1" t="s">
        <v>456</v>
      </c>
      <c r="I509" s="1" t="s">
        <v>992</v>
      </c>
      <c r="J509" s="1" t="s">
        <v>455</v>
      </c>
      <c r="K509" s="8">
        <v>0</v>
      </c>
      <c r="N509" s="1" t="s">
        <v>455</v>
      </c>
      <c r="O509" s="1" t="s">
        <v>456</v>
      </c>
      <c r="Q509" s="1" t="s">
        <v>455</v>
      </c>
      <c r="R509" s="8">
        <v>0</v>
      </c>
      <c r="W509" s="4"/>
      <c r="AE509" s="51" t="str">
        <f t="shared" si="50"/>
        <v>|</v>
      </c>
      <c r="AG509" s="1" t="s">
        <v>2298</v>
      </c>
    </row>
    <row r="510" spans="1:33" ht="24" customHeight="1">
      <c r="A510" s="218">
        <f t="shared" si="56"/>
        <v>335</v>
      </c>
      <c r="B510" s="219" t="s">
        <v>759</v>
      </c>
      <c r="C510" s="855">
        <v>47</v>
      </c>
      <c r="D510" s="219" t="s">
        <v>884</v>
      </c>
      <c r="K510" s="5" t="s">
        <v>1615</v>
      </c>
      <c r="R510" s="5" t="s">
        <v>1615</v>
      </c>
      <c r="W510" s="4"/>
      <c r="AE510" s="51" t="str">
        <f t="shared" si="50"/>
        <v>|</v>
      </c>
      <c r="AG510" s="1" t="s">
        <v>2298</v>
      </c>
    </row>
    <row r="511" spans="1:33" ht="24" customHeight="1">
      <c r="A511" s="218">
        <f t="shared" si="56"/>
        <v>336</v>
      </c>
      <c r="B511" s="219" t="s">
        <v>1694</v>
      </c>
      <c r="C511" s="419">
        <v>52</v>
      </c>
      <c r="D511" s="219" t="s">
        <v>884</v>
      </c>
      <c r="H511" s="1" t="s">
        <v>2210</v>
      </c>
      <c r="K511" s="8">
        <f>SUM(K503:K509)</f>
        <v>73256.539999999994</v>
      </c>
      <c r="O511" s="1" t="s">
        <v>1884</v>
      </c>
      <c r="R511" s="8">
        <f>SUM(R499:R509)</f>
        <v>5603.5</v>
      </c>
      <c r="W511" s="4"/>
      <c r="AE511" s="51" t="str">
        <f t="shared" si="50"/>
        <v>|</v>
      </c>
      <c r="AG511" s="1" t="s">
        <v>2298</v>
      </c>
    </row>
    <row r="512" spans="1:33" ht="24" customHeight="1">
      <c r="A512" s="218">
        <f t="shared" si="56"/>
        <v>337</v>
      </c>
      <c r="B512" s="219" t="s">
        <v>1885</v>
      </c>
      <c r="C512" s="848">
        <v>36.61</v>
      </c>
      <c r="D512" s="219" t="s">
        <v>884</v>
      </c>
      <c r="K512" s="5" t="s">
        <v>1615</v>
      </c>
      <c r="R512" s="5" t="s">
        <v>1615</v>
      </c>
      <c r="W512" s="4"/>
      <c r="AE512" s="51" t="str">
        <f t="shared" si="50"/>
        <v>|</v>
      </c>
      <c r="AG512" s="1" t="s">
        <v>2298</v>
      </c>
    </row>
    <row r="513" spans="1:37" ht="24" customHeight="1">
      <c r="A513" s="218">
        <f t="shared" si="56"/>
        <v>338</v>
      </c>
      <c r="B513" s="219" t="s">
        <v>1696</v>
      </c>
      <c r="C513" s="848">
        <v>78.709999999999994</v>
      </c>
      <c r="D513" s="219" t="s">
        <v>884</v>
      </c>
      <c r="H513" s="1" t="s">
        <v>789</v>
      </c>
      <c r="K513" s="8">
        <f>(K511/10)+0.01</f>
        <v>7325.66</v>
      </c>
      <c r="O513" s="1" t="s">
        <v>1573</v>
      </c>
      <c r="R513" s="8">
        <f>(R511/30)</f>
        <v>186.78</v>
      </c>
      <c r="W513" s="4"/>
      <c r="AE513" s="51" t="str">
        <f t="shared" si="50"/>
        <v>|</v>
      </c>
      <c r="AG513" s="1" t="s">
        <v>2298</v>
      </c>
    </row>
    <row r="514" spans="1:37" ht="24" customHeight="1">
      <c r="A514" s="218">
        <f t="shared" si="56"/>
        <v>339</v>
      </c>
      <c r="B514" s="219" t="s">
        <v>1699</v>
      </c>
      <c r="C514" s="848">
        <v>78.709999999999994</v>
      </c>
      <c r="D514" s="219" t="s">
        <v>884</v>
      </c>
      <c r="R514" s="5" t="s">
        <v>1615</v>
      </c>
      <c r="W514" s="4"/>
      <c r="AE514" s="51">
        <f t="shared" si="50"/>
        <v>0</v>
      </c>
    </row>
    <row r="515" spans="1:37" ht="24" customHeight="1">
      <c r="A515" s="218">
        <f t="shared" si="56"/>
        <v>340</v>
      </c>
      <c r="B515" s="219" t="s">
        <v>1886</v>
      </c>
      <c r="C515" s="221"/>
      <c r="D515" s="219" t="s">
        <v>219</v>
      </c>
      <c r="F515" s="8">
        <v>1</v>
      </c>
      <c r="G515" s="7" t="s">
        <v>885</v>
      </c>
      <c r="H515" s="1" t="s">
        <v>46</v>
      </c>
      <c r="K515" s="8">
        <f>C25</f>
        <v>98.34</v>
      </c>
      <c r="N515" s="1" t="s">
        <v>1583</v>
      </c>
      <c r="O515" s="2" t="s">
        <v>220</v>
      </c>
      <c r="W515" s="4"/>
      <c r="AE515" s="51" t="str">
        <f t="shared" si="50"/>
        <v>|</v>
      </c>
      <c r="AG515" s="1" t="s">
        <v>2298</v>
      </c>
    </row>
    <row r="516" spans="1:37" ht="24" customHeight="1">
      <c r="A516" s="218">
        <f t="shared" si="56"/>
        <v>341</v>
      </c>
      <c r="B516" s="219" t="s">
        <v>4438</v>
      </c>
      <c r="C516" s="536">
        <v>20.55</v>
      </c>
      <c r="D516" s="219" t="s">
        <v>1805</v>
      </c>
      <c r="K516" s="5" t="s">
        <v>1615</v>
      </c>
      <c r="O516" s="5" t="s">
        <v>1615</v>
      </c>
      <c r="W516" s="4"/>
      <c r="AE516" s="51" t="str">
        <f t="shared" si="50"/>
        <v>|</v>
      </c>
      <c r="AG516" s="1" t="s">
        <v>2298</v>
      </c>
    </row>
    <row r="517" spans="1:37" ht="24" customHeight="1">
      <c r="A517" s="218">
        <f t="shared" si="56"/>
        <v>342</v>
      </c>
      <c r="B517" s="219" t="s">
        <v>2979</v>
      </c>
      <c r="C517" s="536">
        <v>26</v>
      </c>
      <c r="D517" s="219" t="s">
        <v>1805</v>
      </c>
      <c r="E517" s="431">
        <v>98.6</v>
      </c>
      <c r="H517" s="1" t="s">
        <v>1264</v>
      </c>
      <c r="K517" s="8">
        <f>SUM(K513:K515)</f>
        <v>7424</v>
      </c>
      <c r="M517" s="8">
        <v>30</v>
      </c>
      <c r="N517" s="1" t="s">
        <v>1805</v>
      </c>
      <c r="O517" s="1" t="s">
        <v>1695</v>
      </c>
      <c r="P517" s="8">
        <f>(C42)</f>
        <v>5</v>
      </c>
      <c r="Q517" s="1" t="s">
        <v>1805</v>
      </c>
      <c r="R517" s="8">
        <f>(M517*P517)</f>
        <v>150</v>
      </c>
      <c r="W517" s="4"/>
      <c r="AE517" s="51" t="str">
        <f t="shared" si="50"/>
        <v>|</v>
      </c>
      <c r="AG517" s="1" t="s">
        <v>2298</v>
      </c>
    </row>
    <row r="518" spans="1:37" ht="24" customHeight="1">
      <c r="A518" s="218">
        <f t="shared" si="56"/>
        <v>343</v>
      </c>
      <c r="B518" s="219" t="s">
        <v>1265</v>
      </c>
      <c r="C518" s="536">
        <v>35</v>
      </c>
      <c r="D518" s="219" t="s">
        <v>1805</v>
      </c>
      <c r="K518" s="5" t="s">
        <v>1615</v>
      </c>
      <c r="M518" s="1" t="s">
        <v>992</v>
      </c>
      <c r="O518" s="1" t="s">
        <v>1698</v>
      </c>
      <c r="P518" s="1" t="s">
        <v>992</v>
      </c>
      <c r="R518" s="1" t="s">
        <v>992</v>
      </c>
      <c r="W518" s="4"/>
      <c r="AE518" s="51" t="str">
        <f t="shared" si="50"/>
        <v>|</v>
      </c>
      <c r="AG518" s="1" t="s">
        <v>2298</v>
      </c>
    </row>
    <row r="519" spans="1:37" ht="24" customHeight="1">
      <c r="A519" s="218">
        <f t="shared" si="56"/>
        <v>344</v>
      </c>
      <c r="B519" s="219" t="s">
        <v>1266</v>
      </c>
      <c r="C519" s="536">
        <v>52</v>
      </c>
      <c r="D519" s="219" t="s">
        <v>1805</v>
      </c>
      <c r="G519" s="7" t="s">
        <v>1267</v>
      </c>
      <c r="H519" s="1" t="s">
        <v>391</v>
      </c>
      <c r="K519" s="8">
        <f>(K517+C22)</f>
        <v>7548.96</v>
      </c>
      <c r="L519">
        <f>K519-K517</f>
        <v>124.96</v>
      </c>
      <c r="M519" s="8">
        <v>8</v>
      </c>
      <c r="N519" s="1" t="s">
        <v>884</v>
      </c>
      <c r="O519" s="1" t="s">
        <v>2182</v>
      </c>
      <c r="P519" s="8">
        <f>(C44)</f>
        <v>8.9</v>
      </c>
      <c r="Q519" s="1" t="s">
        <v>884</v>
      </c>
      <c r="R519" s="8">
        <f t="shared" ref="R519:R524" si="59">(M519*P519)</f>
        <v>71.2</v>
      </c>
      <c r="W519" s="4"/>
      <c r="AE519" s="51" t="str">
        <f t="shared" si="50"/>
        <v>|</v>
      </c>
      <c r="AG519" s="1" t="s">
        <v>2298</v>
      </c>
    </row>
    <row r="520" spans="1:37" ht="24" customHeight="1">
      <c r="A520" s="218">
        <f t="shared" si="56"/>
        <v>345</v>
      </c>
      <c r="B520" s="219" t="s">
        <v>1268</v>
      </c>
      <c r="C520" s="536">
        <v>65</v>
      </c>
      <c r="D520" s="220">
        <v>21</v>
      </c>
      <c r="G520" s="7" t="s">
        <v>1269</v>
      </c>
      <c r="H520" s="1" t="s">
        <v>393</v>
      </c>
      <c r="K520" s="8">
        <f>(K519+C23)</f>
        <v>7795.14</v>
      </c>
      <c r="M520" s="8">
        <v>8</v>
      </c>
      <c r="N520" s="1" t="s">
        <v>884</v>
      </c>
      <c r="O520" s="1" t="s">
        <v>473</v>
      </c>
      <c r="P520" s="8">
        <f>(C51)</f>
        <v>12.85</v>
      </c>
      <c r="Q520" s="1" t="s">
        <v>884</v>
      </c>
      <c r="R520" s="8">
        <f t="shared" si="59"/>
        <v>102.8</v>
      </c>
      <c r="W520" s="4"/>
      <c r="AE520" s="51" t="str">
        <f t="shared" si="50"/>
        <v>|</v>
      </c>
      <c r="AG520" s="1" t="s">
        <v>2298</v>
      </c>
    </row>
    <row r="521" spans="1:37" ht="24" customHeight="1">
      <c r="A521" s="218">
        <f t="shared" si="56"/>
        <v>346</v>
      </c>
      <c r="B521" s="219" t="s">
        <v>381</v>
      </c>
      <c r="C521" s="536">
        <v>82</v>
      </c>
      <c r="D521" s="220">
        <v>37.15</v>
      </c>
      <c r="G521" s="7" t="s">
        <v>431</v>
      </c>
      <c r="H521" s="1" t="s">
        <v>2271</v>
      </c>
      <c r="K521" s="8">
        <f>(K520+C24)</f>
        <v>8041.32</v>
      </c>
      <c r="M521" s="8">
        <v>3</v>
      </c>
      <c r="N521" s="1" t="s">
        <v>884</v>
      </c>
      <c r="O521" s="1" t="s">
        <v>1879</v>
      </c>
      <c r="P521" s="8">
        <f>(C41)</f>
        <v>770</v>
      </c>
      <c r="Q521" s="1" t="s">
        <v>884</v>
      </c>
      <c r="R521" s="8">
        <f t="shared" si="59"/>
        <v>2310</v>
      </c>
      <c r="W521" s="4"/>
      <c r="AE521" s="51" t="str">
        <f t="shared" si="50"/>
        <v>|</v>
      </c>
      <c r="AG521" s="1" t="s">
        <v>2298</v>
      </c>
    </row>
    <row r="522" spans="1:37" ht="24" customHeight="1">
      <c r="A522" s="218">
        <f t="shared" si="56"/>
        <v>347</v>
      </c>
      <c r="B522" s="219" t="s">
        <v>1012</v>
      </c>
      <c r="C522" s="221"/>
      <c r="D522" s="219" t="s">
        <v>992</v>
      </c>
      <c r="G522" s="7" t="s">
        <v>1013</v>
      </c>
      <c r="H522" s="1" t="s">
        <v>385</v>
      </c>
      <c r="K522" s="8">
        <f>(K521+C24)</f>
        <v>8287.5</v>
      </c>
      <c r="M522" s="8">
        <v>1</v>
      </c>
      <c r="N522" s="1" t="s">
        <v>884</v>
      </c>
      <c r="O522" s="1" t="s">
        <v>1880</v>
      </c>
      <c r="P522" s="8">
        <f>(C10)</f>
        <v>1041.7</v>
      </c>
      <c r="Q522" s="1" t="s">
        <v>884</v>
      </c>
      <c r="R522" s="8">
        <f t="shared" si="59"/>
        <v>1041.7</v>
      </c>
      <c r="W522" s="4"/>
      <c r="AE522" s="51" t="str">
        <f t="shared" si="50"/>
        <v>|::</v>
      </c>
      <c r="AG522" s="1" t="s">
        <v>326</v>
      </c>
    </row>
    <row r="523" spans="1:37" ht="24" customHeight="1">
      <c r="A523" s="218">
        <f t="shared" si="56"/>
        <v>348</v>
      </c>
      <c r="B523" s="219" t="s">
        <v>1136</v>
      </c>
      <c r="C523" s="536">
        <v>4.1900000000000004</v>
      </c>
      <c r="D523" s="219" t="s">
        <v>884</v>
      </c>
      <c r="M523" s="8">
        <v>2</v>
      </c>
      <c r="N523" s="1" t="s">
        <v>884</v>
      </c>
      <c r="O523" s="1" t="s">
        <v>1937</v>
      </c>
      <c r="P523" s="8">
        <f>(C12)</f>
        <v>679.8</v>
      </c>
      <c r="Q523" s="1" t="s">
        <v>884</v>
      </c>
      <c r="R523" s="8">
        <f t="shared" si="59"/>
        <v>1359.6</v>
      </c>
      <c r="W523" s="4"/>
      <c r="AE523" s="51">
        <f t="shared" si="50"/>
        <v>0</v>
      </c>
    </row>
    <row r="524" spans="1:37" ht="24" customHeight="1">
      <c r="A524" s="218">
        <f t="shared" si="56"/>
        <v>349</v>
      </c>
      <c r="B524" s="219" t="s">
        <v>1137</v>
      </c>
      <c r="C524" s="536">
        <v>5</v>
      </c>
      <c r="D524" s="219" t="s">
        <v>884</v>
      </c>
      <c r="F524" s="2" t="s">
        <v>1014</v>
      </c>
      <c r="G524" s="7" t="s">
        <v>2290</v>
      </c>
      <c r="H524" s="1" t="s">
        <v>1015</v>
      </c>
      <c r="M524" s="8">
        <v>1</v>
      </c>
      <c r="N524" s="1" t="s">
        <v>884</v>
      </c>
      <c r="O524" s="1" t="s">
        <v>325</v>
      </c>
      <c r="P524" s="8">
        <f>(C13)</f>
        <v>557.70000000000005</v>
      </c>
      <c r="Q524" s="1" t="s">
        <v>884</v>
      </c>
      <c r="R524" s="8">
        <f t="shared" si="59"/>
        <v>557.70000000000005</v>
      </c>
      <c r="W524" s="4"/>
      <c r="AE524" s="51">
        <f t="shared" si="50"/>
        <v>0</v>
      </c>
    </row>
    <row r="525" spans="1:37" ht="24" customHeight="1">
      <c r="A525" s="218">
        <f t="shared" si="56"/>
        <v>350</v>
      </c>
      <c r="B525" s="219" t="s">
        <v>1138</v>
      </c>
      <c r="C525" s="536">
        <v>8.06</v>
      </c>
      <c r="D525" s="219" t="s">
        <v>884</v>
      </c>
      <c r="H525" s="5" t="s">
        <v>1615</v>
      </c>
      <c r="N525" s="1" t="s">
        <v>455</v>
      </c>
      <c r="O525" s="1" t="s">
        <v>1881</v>
      </c>
      <c r="P525" s="1" t="s">
        <v>992</v>
      </c>
      <c r="Q525" s="1" t="s">
        <v>455</v>
      </c>
      <c r="R525" s="8">
        <f>(C56)</f>
        <v>12.1</v>
      </c>
      <c r="U525" s="654" t="s">
        <v>4163</v>
      </c>
      <c r="W525" s="4"/>
      <c r="AA525" s="654" t="s">
        <v>4308</v>
      </c>
      <c r="AE525" s="51">
        <f t="shared" ref="AE525:AE596" si="60">AG525</f>
        <v>0</v>
      </c>
      <c r="AH525" s="654" t="s">
        <v>4904</v>
      </c>
    </row>
    <row r="526" spans="1:37" ht="24" customHeight="1">
      <c r="A526" s="218">
        <f t="shared" si="56"/>
        <v>351</v>
      </c>
      <c r="B526" s="219" t="s">
        <v>1139</v>
      </c>
      <c r="C526" s="536">
        <v>11.86</v>
      </c>
      <c r="D526" s="219" t="s">
        <v>884</v>
      </c>
      <c r="F526" s="12">
        <v>1.4999999999999999E-2</v>
      </c>
      <c r="G526" s="7" t="s">
        <v>885</v>
      </c>
      <c r="H526" s="1" t="s">
        <v>1016</v>
      </c>
      <c r="I526" s="8">
        <f>(K513)</f>
        <v>7325.66</v>
      </c>
      <c r="J526" s="1" t="s">
        <v>885</v>
      </c>
      <c r="K526" s="8">
        <f>(F526*I526)</f>
        <v>109.88</v>
      </c>
      <c r="O526" s="1" t="s">
        <v>1883</v>
      </c>
      <c r="P526" s="1" t="s">
        <v>992</v>
      </c>
      <c r="R526" s="1" t="s">
        <v>992</v>
      </c>
      <c r="S526" s="2" t="s">
        <v>1014</v>
      </c>
      <c r="T526" s="7" t="s">
        <v>2290</v>
      </c>
      <c r="U526" s="1" t="s">
        <v>4160</v>
      </c>
      <c r="W526" s="4"/>
      <c r="Y526" s="2" t="s">
        <v>1014</v>
      </c>
      <c r="Z526" s="7" t="s">
        <v>2290</v>
      </c>
      <c r="AA526" s="1" t="s">
        <v>4305</v>
      </c>
      <c r="AC526" s="10"/>
      <c r="AE526" s="51" t="str">
        <f t="shared" si="60"/>
        <v>*</v>
      </c>
      <c r="AF526" s="2" t="s">
        <v>1014</v>
      </c>
      <c r="AG526" s="7" t="s">
        <v>2290</v>
      </c>
      <c r="AH526" s="1" t="s">
        <v>5762</v>
      </c>
      <c r="AJ526" s="10"/>
    </row>
    <row r="527" spans="1:37" ht="24" customHeight="1">
      <c r="A527" s="218">
        <f t="shared" si="56"/>
        <v>352</v>
      </c>
      <c r="B527" s="219" t="s">
        <v>1141</v>
      </c>
      <c r="C527" s="536">
        <v>18.88</v>
      </c>
      <c r="D527" s="219" t="s">
        <v>884</v>
      </c>
      <c r="F527" s="8">
        <v>0.5</v>
      </c>
      <c r="G527" s="7" t="s">
        <v>785</v>
      </c>
      <c r="H527" s="1" t="s">
        <v>2045</v>
      </c>
      <c r="I527" s="8">
        <f>(C10)</f>
        <v>1041.7</v>
      </c>
      <c r="J527" s="1" t="s">
        <v>785</v>
      </c>
      <c r="K527" s="8">
        <f>(F527*I527)</f>
        <v>520.85</v>
      </c>
      <c r="N527" s="1" t="s">
        <v>455</v>
      </c>
      <c r="O527" s="1" t="s">
        <v>456</v>
      </c>
      <c r="Q527" s="1" t="s">
        <v>455</v>
      </c>
      <c r="R527" s="8">
        <v>0</v>
      </c>
      <c r="S527"/>
      <c r="T527" s="3"/>
      <c r="U527" s="5" t="s">
        <v>1615</v>
      </c>
      <c r="W527" s="4"/>
      <c r="Z527" s="3"/>
      <c r="AA527" s="5" t="s">
        <v>1615</v>
      </c>
      <c r="AC527" s="10"/>
      <c r="AE527" s="51">
        <f t="shared" si="60"/>
        <v>0</v>
      </c>
      <c r="AG527" s="3"/>
      <c r="AH527" s="5" t="s">
        <v>1615</v>
      </c>
      <c r="AJ527" s="10"/>
    </row>
    <row r="528" spans="1:37" ht="24" customHeight="1">
      <c r="A528" s="218">
        <f t="shared" si="56"/>
        <v>353</v>
      </c>
      <c r="B528" s="219" t="s">
        <v>243</v>
      </c>
      <c r="C528" s="536">
        <v>26</v>
      </c>
      <c r="D528" s="219" t="s">
        <v>884</v>
      </c>
      <c r="F528" s="8">
        <v>0.75</v>
      </c>
      <c r="G528" s="7" t="s">
        <v>785</v>
      </c>
      <c r="H528" s="1" t="s">
        <v>1937</v>
      </c>
      <c r="I528" s="8">
        <f>(C12)</f>
        <v>679.8</v>
      </c>
      <c r="J528" s="1" t="s">
        <v>785</v>
      </c>
      <c r="K528" s="8">
        <f>(F528*I528)</f>
        <v>509.85</v>
      </c>
      <c r="R528" s="5" t="s">
        <v>1615</v>
      </c>
      <c r="S528" s="12">
        <v>1.4999999999999999E-2</v>
      </c>
      <c r="T528" s="7" t="s">
        <v>885</v>
      </c>
      <c r="U528" s="1" t="s">
        <v>1016</v>
      </c>
      <c r="V528" s="8">
        <f>X657</f>
        <v>7435.01</v>
      </c>
      <c r="W528" s="2" t="s">
        <v>885</v>
      </c>
      <c r="X528" s="8">
        <f>(S528*V528)</f>
        <v>111.53</v>
      </c>
      <c r="Y528" s="12">
        <v>1.4999999999999999E-2</v>
      </c>
      <c r="Z528" s="7" t="s">
        <v>885</v>
      </c>
      <c r="AA528" s="1" t="s">
        <v>1016</v>
      </c>
      <c r="AB528" s="8">
        <f>AF657</f>
        <v>7979.28</v>
      </c>
      <c r="AC528" s="1" t="s">
        <v>885</v>
      </c>
      <c r="AD528" s="8">
        <f>(Y528*AB528)</f>
        <v>119.69</v>
      </c>
      <c r="AE528" s="51" t="str">
        <f t="shared" si="60"/>
        <v>CUM</v>
      </c>
      <c r="AF528" s="12">
        <v>1.4999999999999999E-2</v>
      </c>
      <c r="AG528" s="7" t="s">
        <v>885</v>
      </c>
      <c r="AH528" s="1" t="s">
        <v>1016</v>
      </c>
      <c r="AI528" s="8">
        <f>Y742</f>
        <v>8116.78</v>
      </c>
      <c r="AJ528" s="1" t="s">
        <v>885</v>
      </c>
      <c r="AK528" s="8">
        <f>(AF528*AI528)</f>
        <v>121.75</v>
      </c>
    </row>
    <row r="529" spans="1:37" ht="24" customHeight="1">
      <c r="A529" s="218">
        <f t="shared" si="56"/>
        <v>354</v>
      </c>
      <c r="B529" s="219" t="s">
        <v>695</v>
      </c>
      <c r="C529" s="607"/>
      <c r="D529" s="219" t="s">
        <v>992</v>
      </c>
      <c r="G529" s="7" t="s">
        <v>455</v>
      </c>
      <c r="H529" s="1" t="s">
        <v>456</v>
      </c>
      <c r="J529" s="1" t="s">
        <v>455</v>
      </c>
      <c r="K529" s="8">
        <v>0</v>
      </c>
      <c r="O529" s="1" t="s">
        <v>1884</v>
      </c>
      <c r="R529" s="8">
        <f>SUM(R517:R527)</f>
        <v>5605.1</v>
      </c>
      <c r="S529" s="8">
        <v>0.5</v>
      </c>
      <c r="T529" s="7" t="s">
        <v>785</v>
      </c>
      <c r="U529" s="1" t="s">
        <v>2045</v>
      </c>
      <c r="V529" s="8">
        <f>C10</f>
        <v>1041.7</v>
      </c>
      <c r="W529" s="2" t="s">
        <v>785</v>
      </c>
      <c r="X529" s="8">
        <f>(S529*V529)</f>
        <v>520.85</v>
      </c>
      <c r="Y529" s="8">
        <v>0.5</v>
      </c>
      <c r="Z529" s="7" t="s">
        <v>785</v>
      </c>
      <c r="AA529" s="1" t="s">
        <v>2045</v>
      </c>
      <c r="AB529" s="8">
        <f>V529</f>
        <v>1041.7</v>
      </c>
      <c r="AC529" s="1" t="s">
        <v>785</v>
      </c>
      <c r="AD529" s="8">
        <f>(Y529*AB529)</f>
        <v>520.85</v>
      </c>
      <c r="AE529" s="51" t="str">
        <f t="shared" si="60"/>
        <v>NO</v>
      </c>
      <c r="AF529" s="8">
        <v>0.5</v>
      </c>
      <c r="AG529" s="7" t="s">
        <v>785</v>
      </c>
      <c r="AH529" s="1" t="s">
        <v>2045</v>
      </c>
      <c r="AI529" s="8">
        <f>AB529</f>
        <v>1041.7</v>
      </c>
      <c r="AJ529" s="1" t="s">
        <v>785</v>
      </c>
      <c r="AK529" s="8">
        <f>(AF529*AI529)</f>
        <v>520.85</v>
      </c>
    </row>
    <row r="530" spans="1:37" ht="24" customHeight="1">
      <c r="A530" s="218">
        <f t="shared" si="56"/>
        <v>355</v>
      </c>
      <c r="B530" s="219" t="s">
        <v>1136</v>
      </c>
      <c r="C530" s="536">
        <v>4.62</v>
      </c>
      <c r="D530" s="219" t="s">
        <v>884</v>
      </c>
      <c r="K530" s="5" t="s">
        <v>1615</v>
      </c>
      <c r="R530" s="5" t="s">
        <v>1615</v>
      </c>
      <c r="S530" s="8">
        <v>0.75</v>
      </c>
      <c r="T530" s="7" t="s">
        <v>785</v>
      </c>
      <c r="U530" s="1" t="s">
        <v>1937</v>
      </c>
      <c r="V530" s="8">
        <f>C12</f>
        <v>679.8</v>
      </c>
      <c r="W530" s="2" t="s">
        <v>785</v>
      </c>
      <c r="X530" s="8">
        <f>(S530*V530)</f>
        <v>509.85</v>
      </c>
      <c r="Y530" s="8">
        <v>0.75</v>
      </c>
      <c r="Z530" s="7" t="s">
        <v>785</v>
      </c>
      <c r="AA530" s="1" t="s">
        <v>1937</v>
      </c>
      <c r="AB530" s="8">
        <f>V530</f>
        <v>679.8</v>
      </c>
      <c r="AC530" s="1" t="s">
        <v>785</v>
      </c>
      <c r="AD530" s="8">
        <f>(Y530*AB530)</f>
        <v>509.85</v>
      </c>
      <c r="AE530" s="51" t="str">
        <f t="shared" si="60"/>
        <v>NO</v>
      </c>
      <c r="AF530" s="8">
        <v>0.75</v>
      </c>
      <c r="AG530" s="7" t="s">
        <v>785</v>
      </c>
      <c r="AH530" s="1" t="s">
        <v>1937</v>
      </c>
      <c r="AI530" s="8">
        <f>AB530</f>
        <v>679.8</v>
      </c>
      <c r="AJ530" s="1" t="s">
        <v>785</v>
      </c>
      <c r="AK530" s="8">
        <f>(AF530*AI530)</f>
        <v>509.85</v>
      </c>
    </row>
    <row r="531" spans="1:37" ht="24" customHeight="1">
      <c r="A531" s="218">
        <f t="shared" si="56"/>
        <v>356</v>
      </c>
      <c r="B531" s="219" t="s">
        <v>1137</v>
      </c>
      <c r="C531" s="536">
        <v>7.83</v>
      </c>
      <c r="D531" s="219" t="s">
        <v>884</v>
      </c>
      <c r="H531" s="1" t="s">
        <v>1782</v>
      </c>
      <c r="K531" s="8">
        <f>SUM(K526:K529)</f>
        <v>1140.58</v>
      </c>
      <c r="O531" s="1" t="s">
        <v>1573</v>
      </c>
      <c r="R531" s="8">
        <f>(R529/30)</f>
        <v>186.84</v>
      </c>
      <c r="S531"/>
      <c r="T531" s="7" t="s">
        <v>455</v>
      </c>
      <c r="U531" s="1" t="s">
        <v>456</v>
      </c>
      <c r="W531" s="2" t="s">
        <v>455</v>
      </c>
      <c r="X531" s="8">
        <v>0</v>
      </c>
      <c r="Z531" s="7" t="s">
        <v>455</v>
      </c>
      <c r="AA531" s="1" t="s">
        <v>456</v>
      </c>
      <c r="AB531" s="8">
        <f>V531</f>
        <v>0</v>
      </c>
      <c r="AC531" s="1" t="s">
        <v>455</v>
      </c>
      <c r="AD531" s="8">
        <v>0</v>
      </c>
      <c r="AE531" s="51" t="str">
        <f t="shared" si="60"/>
        <v>L.S</v>
      </c>
      <c r="AG531" s="7" t="s">
        <v>455</v>
      </c>
      <c r="AH531" s="1" t="s">
        <v>456</v>
      </c>
      <c r="AI531" s="8">
        <f>AB531</f>
        <v>0</v>
      </c>
      <c r="AJ531" s="1" t="s">
        <v>455</v>
      </c>
      <c r="AK531" s="8">
        <v>0</v>
      </c>
    </row>
    <row r="532" spans="1:37" ht="24" customHeight="1">
      <c r="A532" s="218">
        <f t="shared" si="56"/>
        <v>357</v>
      </c>
      <c r="B532" s="219" t="s">
        <v>1138</v>
      </c>
      <c r="C532" s="536">
        <v>11.38</v>
      </c>
      <c r="D532" s="219" t="s">
        <v>884</v>
      </c>
      <c r="K532" s="5" t="s">
        <v>1615</v>
      </c>
      <c r="R532" s="5" t="s">
        <v>1615</v>
      </c>
      <c r="S532"/>
      <c r="T532" s="3"/>
      <c r="W532" s="4"/>
      <c r="X532" s="5" t="s">
        <v>1615</v>
      </c>
      <c r="Z532" s="3"/>
      <c r="AC532" s="10"/>
      <c r="AD532" s="5" t="s">
        <v>1615</v>
      </c>
      <c r="AE532" s="51">
        <f t="shared" si="60"/>
        <v>0</v>
      </c>
      <c r="AG532" s="3"/>
      <c r="AJ532" s="10"/>
      <c r="AK532" s="5" t="s">
        <v>1615</v>
      </c>
    </row>
    <row r="533" spans="1:37" ht="24" customHeight="1">
      <c r="A533" s="218">
        <f t="shared" si="56"/>
        <v>358</v>
      </c>
      <c r="B533" s="219" t="s">
        <v>1139</v>
      </c>
      <c r="C533" s="536">
        <v>18.75</v>
      </c>
      <c r="D533" s="219" t="s">
        <v>884</v>
      </c>
      <c r="H533" s="1" t="s">
        <v>562</v>
      </c>
      <c r="K533" s="8">
        <f>(K531/0.743)</f>
        <v>1535.1</v>
      </c>
      <c r="S533"/>
      <c r="T533" s="3"/>
      <c r="U533" s="1" t="s">
        <v>1782</v>
      </c>
      <c r="W533" s="4"/>
      <c r="X533" s="8">
        <f>SUM(X528:X531)</f>
        <v>1142.23</v>
      </c>
      <c r="Z533" s="3"/>
      <c r="AA533" s="1" t="s">
        <v>1782</v>
      </c>
      <c r="AC533" s="10"/>
      <c r="AD533" s="8">
        <f>SUM(AD528:AD531)</f>
        <v>1150.3900000000001</v>
      </c>
      <c r="AE533" s="51">
        <f t="shared" si="60"/>
        <v>0</v>
      </c>
      <c r="AG533" s="3"/>
      <c r="AH533" s="1" t="s">
        <v>1782</v>
      </c>
      <c r="AJ533" s="10"/>
      <c r="AK533" s="8">
        <f>SUM(AK528:AK531)</f>
        <v>1152.45</v>
      </c>
    </row>
    <row r="534" spans="1:37" ht="24" customHeight="1">
      <c r="A534" s="218">
        <f t="shared" si="56"/>
        <v>359</v>
      </c>
      <c r="B534" s="219" t="s">
        <v>1141</v>
      </c>
      <c r="C534" s="536">
        <v>35.1</v>
      </c>
      <c r="D534" s="219" t="s">
        <v>884</v>
      </c>
      <c r="K534" s="5" t="s">
        <v>2091</v>
      </c>
      <c r="S534"/>
      <c r="T534" s="3"/>
      <c r="W534" s="4"/>
      <c r="X534" s="5" t="s">
        <v>1615</v>
      </c>
      <c r="Z534" s="3"/>
      <c r="AC534" s="10"/>
      <c r="AD534" s="5" t="s">
        <v>1615</v>
      </c>
      <c r="AE534" s="51">
        <f t="shared" si="60"/>
        <v>0</v>
      </c>
      <c r="AG534" s="3"/>
      <c r="AJ534" s="10"/>
      <c r="AK534" s="5" t="s">
        <v>1615</v>
      </c>
    </row>
    <row r="535" spans="1:37" ht="24" customHeight="1">
      <c r="A535" s="218">
        <f t="shared" si="56"/>
        <v>360</v>
      </c>
      <c r="B535" s="219" t="s">
        <v>243</v>
      </c>
      <c r="C535" s="536">
        <v>45.57</v>
      </c>
      <c r="D535" s="219" t="s">
        <v>884</v>
      </c>
      <c r="H535" s="1" t="s">
        <v>391</v>
      </c>
      <c r="I535" s="8">
        <f>K533</f>
        <v>1535.1</v>
      </c>
      <c r="J535" s="1">
        <f>C22*0.015/0.743</f>
        <v>2.52</v>
      </c>
      <c r="K535" s="38">
        <f>I535+J535</f>
        <v>1537.62</v>
      </c>
      <c r="N535" s="1" t="s">
        <v>1991</v>
      </c>
      <c r="O535" s="2" t="s">
        <v>1296</v>
      </c>
      <c r="S535"/>
      <c r="T535" s="3"/>
      <c r="U535" s="1" t="s">
        <v>562</v>
      </c>
      <c r="W535" s="4"/>
      <c r="X535" s="8">
        <f>(X533/0.743)</f>
        <v>1537.32</v>
      </c>
      <c r="Z535" s="3"/>
      <c r="AA535" s="1" t="s">
        <v>562</v>
      </c>
      <c r="AC535" s="10"/>
      <c r="AD535" s="8">
        <f>(AD533/0.743)</f>
        <v>1548.3</v>
      </c>
      <c r="AE535" s="51">
        <f t="shared" si="60"/>
        <v>0</v>
      </c>
      <c r="AG535" s="3"/>
      <c r="AH535" s="1" t="s">
        <v>562</v>
      </c>
      <c r="AJ535" s="10"/>
      <c r="AK535" s="8">
        <f>(AK533/0.743)</f>
        <v>1551.08</v>
      </c>
    </row>
    <row r="536" spans="1:37" ht="24" customHeight="1">
      <c r="A536" s="218">
        <f t="shared" si="56"/>
        <v>361</v>
      </c>
      <c r="B536" s="219" t="s">
        <v>1148</v>
      </c>
      <c r="C536" s="607"/>
      <c r="D536" s="219" t="s">
        <v>992</v>
      </c>
      <c r="H536" s="1" t="s">
        <v>393</v>
      </c>
      <c r="I536" s="8">
        <f>K535</f>
        <v>1537.62</v>
      </c>
      <c r="J536" s="1">
        <f>C23*0.015/0.743</f>
        <v>4.97</v>
      </c>
      <c r="K536" s="38">
        <f>I536+J536</f>
        <v>1542.59</v>
      </c>
      <c r="O536" s="5" t="s">
        <v>1615</v>
      </c>
      <c r="S536"/>
      <c r="T536" s="3"/>
      <c r="W536" s="4"/>
      <c r="X536" s="5" t="s">
        <v>2091</v>
      </c>
      <c r="Z536" s="3"/>
      <c r="AC536" s="10"/>
      <c r="AD536" s="5" t="s">
        <v>2091</v>
      </c>
      <c r="AE536" s="51">
        <f t="shared" si="60"/>
        <v>0</v>
      </c>
      <c r="AG536" s="3"/>
      <c r="AJ536" s="10"/>
      <c r="AK536" s="5" t="s">
        <v>2091</v>
      </c>
    </row>
    <row r="537" spans="1:37" ht="24" customHeight="1">
      <c r="A537" s="218">
        <f t="shared" si="56"/>
        <v>362</v>
      </c>
      <c r="B537" s="219" t="s">
        <v>1136</v>
      </c>
      <c r="C537" s="536">
        <v>7.8</v>
      </c>
      <c r="D537" s="219" t="s">
        <v>884</v>
      </c>
      <c r="H537" s="1" t="s">
        <v>2271</v>
      </c>
      <c r="I537" s="8">
        <f>K536</f>
        <v>1542.59</v>
      </c>
      <c r="J537" s="1">
        <f>J536</f>
        <v>4.97</v>
      </c>
      <c r="K537" s="38">
        <f>I537+J537</f>
        <v>1547.56</v>
      </c>
      <c r="M537" s="8">
        <v>30</v>
      </c>
      <c r="N537" s="1" t="s">
        <v>1805</v>
      </c>
      <c r="O537" s="1" t="s">
        <v>1695</v>
      </c>
      <c r="P537" s="8">
        <f>(C42)</f>
        <v>5</v>
      </c>
      <c r="Q537" s="1" t="s">
        <v>1805</v>
      </c>
      <c r="R537" s="8">
        <f>(M537*P537)</f>
        <v>150</v>
      </c>
      <c r="S537"/>
      <c r="T537" s="3"/>
      <c r="U537" s="1" t="s">
        <v>391</v>
      </c>
      <c r="V537" s="8">
        <f>X535</f>
        <v>1537.32</v>
      </c>
      <c r="W537" s="2">
        <f>J535</f>
        <v>2.52</v>
      </c>
      <c r="X537" s="38">
        <f>V537+W537</f>
        <v>1539.84</v>
      </c>
      <c r="Z537" s="3"/>
      <c r="AA537" s="1" t="s">
        <v>391</v>
      </c>
      <c r="AB537" s="8">
        <f>AD535</f>
        <v>1548.3</v>
      </c>
      <c r="AC537" s="1">
        <f>W537</f>
        <v>2.52</v>
      </c>
      <c r="AD537" s="38">
        <f>AB537+AC537</f>
        <v>1550.82</v>
      </c>
      <c r="AE537" s="51">
        <f t="shared" si="60"/>
        <v>0</v>
      </c>
      <c r="AG537" s="3"/>
      <c r="AH537" s="1" t="s">
        <v>391</v>
      </c>
      <c r="AI537" s="8">
        <f>AK535</f>
        <v>1551.08</v>
      </c>
      <c r="AJ537" s="1">
        <f>AC537</f>
        <v>2.52</v>
      </c>
      <c r="AK537" s="38">
        <f>AI537+AJ537</f>
        <v>1553.6</v>
      </c>
    </row>
    <row r="538" spans="1:37" ht="24" customHeight="1">
      <c r="A538" s="218">
        <f t="shared" si="56"/>
        <v>363</v>
      </c>
      <c r="B538" s="219" t="s">
        <v>1137</v>
      </c>
      <c r="C538" s="536">
        <v>9.49</v>
      </c>
      <c r="D538" s="219" t="s">
        <v>884</v>
      </c>
      <c r="H538" s="1" t="s">
        <v>385</v>
      </c>
      <c r="I538" s="8">
        <f>K537</f>
        <v>1547.56</v>
      </c>
      <c r="J538" s="1">
        <f>J537</f>
        <v>4.97</v>
      </c>
      <c r="K538" s="38">
        <f>I538+J538</f>
        <v>1552.53</v>
      </c>
      <c r="M538" s="1" t="s">
        <v>992</v>
      </c>
      <c r="O538" s="1" t="s">
        <v>1698</v>
      </c>
      <c r="P538" s="1" t="s">
        <v>992</v>
      </c>
      <c r="R538" s="1" t="s">
        <v>992</v>
      </c>
      <c r="S538"/>
      <c r="T538" s="3"/>
      <c r="U538" s="1" t="s">
        <v>393</v>
      </c>
      <c r="V538" s="8">
        <f>X537</f>
        <v>1539.84</v>
      </c>
      <c r="W538" s="2">
        <f t="shared" ref="W538:W549" si="61">J538</f>
        <v>4.97</v>
      </c>
      <c r="X538" s="38">
        <f>V538+W538</f>
        <v>1544.81</v>
      </c>
      <c r="Z538" s="3"/>
      <c r="AA538" s="1" t="s">
        <v>393</v>
      </c>
      <c r="AB538" s="8">
        <f>AD537</f>
        <v>1550.82</v>
      </c>
      <c r="AC538" s="1">
        <f t="shared" ref="AC538:AC549" si="62">W538</f>
        <v>4.97</v>
      </c>
      <c r="AD538" s="38">
        <f>AB538+AC538</f>
        <v>1555.79</v>
      </c>
      <c r="AE538" s="51">
        <f t="shared" si="60"/>
        <v>0</v>
      </c>
      <c r="AG538" s="3"/>
      <c r="AH538" s="1" t="s">
        <v>393</v>
      </c>
      <c r="AI538" s="8">
        <f>AK537</f>
        <v>1553.6</v>
      </c>
      <c r="AJ538" s="1">
        <f t="shared" ref="AJ538:AJ548" si="63">AC538</f>
        <v>4.97</v>
      </c>
      <c r="AK538" s="38">
        <f>AI538+AJ538</f>
        <v>1558.57</v>
      </c>
    </row>
    <row r="539" spans="1:37" ht="24" customHeight="1">
      <c r="A539" s="218">
        <f t="shared" si="56"/>
        <v>364</v>
      </c>
      <c r="B539" s="219" t="s">
        <v>1138</v>
      </c>
      <c r="C539" s="536">
        <v>13.91</v>
      </c>
      <c r="D539" s="219" t="s">
        <v>884</v>
      </c>
      <c r="H539" s="1" t="s">
        <v>393</v>
      </c>
      <c r="I539" s="8">
        <f>K538</f>
        <v>1552.53</v>
      </c>
      <c r="J539" s="1">
        <f>J538</f>
        <v>4.97</v>
      </c>
      <c r="K539" s="38">
        <f>I539+J539</f>
        <v>1557.5</v>
      </c>
      <c r="M539" s="8">
        <v>8</v>
      </c>
      <c r="N539" s="1" t="s">
        <v>884</v>
      </c>
      <c r="O539" s="1" t="s">
        <v>2182</v>
      </c>
      <c r="P539" s="8">
        <f>(C45)</f>
        <v>10.65</v>
      </c>
      <c r="Q539" s="1" t="s">
        <v>884</v>
      </c>
      <c r="R539" s="8">
        <f>(M539*P539)</f>
        <v>85.2</v>
      </c>
      <c r="S539"/>
      <c r="T539" s="3"/>
      <c r="U539" s="1" t="s">
        <v>2271</v>
      </c>
      <c r="V539" s="8">
        <f>X538</f>
        <v>1544.81</v>
      </c>
      <c r="W539" s="2">
        <f t="shared" si="61"/>
        <v>4.97</v>
      </c>
      <c r="X539" s="38">
        <f>V539+W539</f>
        <v>1549.78</v>
      </c>
      <c r="Z539" s="3"/>
      <c r="AA539" s="1" t="s">
        <v>2271</v>
      </c>
      <c r="AB539" s="8">
        <f>AD538</f>
        <v>1555.79</v>
      </c>
      <c r="AC539" s="1">
        <f t="shared" si="62"/>
        <v>4.97</v>
      </c>
      <c r="AD539" s="38">
        <f>AB539+AC539</f>
        <v>1560.76</v>
      </c>
      <c r="AE539" s="51">
        <f t="shared" si="60"/>
        <v>0</v>
      </c>
      <c r="AG539" s="3"/>
      <c r="AH539" s="1" t="s">
        <v>2271</v>
      </c>
      <c r="AI539" s="8">
        <f>AK538</f>
        <v>1558.57</v>
      </c>
      <c r="AJ539" s="1">
        <f t="shared" si="63"/>
        <v>4.97</v>
      </c>
      <c r="AK539" s="38">
        <f>AI539+AJ539</f>
        <v>1563.54</v>
      </c>
    </row>
    <row r="540" spans="1:37" ht="24" customHeight="1">
      <c r="A540" s="218"/>
      <c r="B540" s="219"/>
      <c r="C540" s="220"/>
      <c r="D540" s="219"/>
      <c r="H540" s="1">
        <v>5</v>
      </c>
      <c r="I540" s="8">
        <f t="shared" ref="I540:I545" si="64">K539</f>
        <v>1557.5</v>
      </c>
      <c r="J540" s="1">
        <f t="shared" ref="J540:J547" si="65">J539</f>
        <v>4.97</v>
      </c>
      <c r="K540" s="38">
        <f t="shared" ref="K540:K545" si="66">I540+J540</f>
        <v>1562.47</v>
      </c>
      <c r="M540" s="8"/>
      <c r="N540" s="1"/>
      <c r="O540" s="1"/>
      <c r="P540" s="8"/>
      <c r="Q540" s="1"/>
      <c r="R540" s="8"/>
      <c r="S540"/>
      <c r="T540" s="3"/>
      <c r="U540" s="1" t="s">
        <v>385</v>
      </c>
      <c r="V540" s="8">
        <f>X539</f>
        <v>1549.78</v>
      </c>
      <c r="W540" s="2">
        <f t="shared" si="61"/>
        <v>4.97</v>
      </c>
      <c r="X540" s="38">
        <f>V540+W540</f>
        <v>1554.75</v>
      </c>
      <c r="Z540" s="3"/>
      <c r="AA540" s="1" t="s">
        <v>385</v>
      </c>
      <c r="AB540" s="8">
        <f>AD539</f>
        <v>1560.76</v>
      </c>
      <c r="AC540" s="1">
        <f t="shared" si="62"/>
        <v>4.97</v>
      </c>
      <c r="AD540" s="38">
        <f>AB540+AC540</f>
        <v>1565.73</v>
      </c>
      <c r="AE540" s="51"/>
      <c r="AG540" s="3"/>
      <c r="AH540" s="1" t="s">
        <v>385</v>
      </c>
      <c r="AI540" s="8">
        <f>AK539</f>
        <v>1563.54</v>
      </c>
      <c r="AJ540" s="1">
        <f t="shared" si="63"/>
        <v>4.97</v>
      </c>
      <c r="AK540" s="38">
        <f>AI540+AJ540</f>
        <v>1568.51</v>
      </c>
    </row>
    <row r="541" spans="1:37" ht="24" customHeight="1">
      <c r="A541" s="218"/>
      <c r="B541" s="219"/>
      <c r="C541" s="220"/>
      <c r="D541" s="219"/>
      <c r="H541" s="1">
        <v>6</v>
      </c>
      <c r="I541" s="8">
        <f t="shared" si="64"/>
        <v>1562.47</v>
      </c>
      <c r="J541" s="1">
        <f t="shared" si="65"/>
        <v>4.97</v>
      </c>
      <c r="K541" s="38">
        <f t="shared" si="66"/>
        <v>1567.44</v>
      </c>
      <c r="M541" s="8"/>
      <c r="N541" s="1"/>
      <c r="O541" s="1"/>
      <c r="P541" s="8"/>
      <c r="Q541" s="1"/>
      <c r="R541" s="8"/>
      <c r="S541"/>
      <c r="T541" s="3"/>
      <c r="U541" s="1" t="s">
        <v>393</v>
      </c>
      <c r="V541" s="8">
        <f>X540</f>
        <v>1554.75</v>
      </c>
      <c r="W541" s="2">
        <f t="shared" si="61"/>
        <v>4.97</v>
      </c>
      <c r="X541" s="38">
        <f>V541+W541</f>
        <v>1559.72</v>
      </c>
      <c r="Z541" s="3"/>
      <c r="AA541" s="1" t="s">
        <v>393</v>
      </c>
      <c r="AB541" s="8">
        <f>AD540</f>
        <v>1565.73</v>
      </c>
      <c r="AC541" s="1">
        <f t="shared" si="62"/>
        <v>4.97</v>
      </c>
      <c r="AD541" s="38">
        <f>AB541+AC541</f>
        <v>1570.7</v>
      </c>
      <c r="AE541" s="51"/>
      <c r="AG541" s="3"/>
      <c r="AH541" s="1" t="s">
        <v>393</v>
      </c>
      <c r="AI541" s="8">
        <f>AK540</f>
        <v>1568.51</v>
      </c>
      <c r="AJ541" s="1">
        <f t="shared" si="63"/>
        <v>4.97</v>
      </c>
      <c r="AK541" s="38">
        <f>AI541+AJ541</f>
        <v>1573.48</v>
      </c>
    </row>
    <row r="542" spans="1:37" ht="24" customHeight="1">
      <c r="A542" s="218"/>
      <c r="B542" s="219"/>
      <c r="C542" s="220"/>
      <c r="D542" s="219"/>
      <c r="H542" s="1">
        <v>7</v>
      </c>
      <c r="I542" s="8">
        <f t="shared" si="64"/>
        <v>1567.44</v>
      </c>
      <c r="J542" s="1">
        <f t="shared" si="65"/>
        <v>4.97</v>
      </c>
      <c r="K542" s="38">
        <f t="shared" si="66"/>
        <v>1572.41</v>
      </c>
      <c r="M542" s="8"/>
      <c r="N542" s="1"/>
      <c r="O542" s="1"/>
      <c r="P542" s="8"/>
      <c r="Q542" s="1"/>
      <c r="R542" s="8"/>
      <c r="S542"/>
      <c r="T542" s="3"/>
      <c r="U542" s="1">
        <v>5</v>
      </c>
      <c r="V542" s="8">
        <f t="shared" ref="V542:V547" si="67">X541</f>
        <v>1559.72</v>
      </c>
      <c r="W542" s="2">
        <f t="shared" si="61"/>
        <v>4.97</v>
      </c>
      <c r="X542" s="38">
        <f t="shared" ref="X542:X547" si="68">V542+W542</f>
        <v>1564.69</v>
      </c>
      <c r="Z542" s="3"/>
      <c r="AA542" s="1">
        <v>5</v>
      </c>
      <c r="AB542" s="8">
        <f t="shared" ref="AB542:AB547" si="69">AD541</f>
        <v>1570.7</v>
      </c>
      <c r="AC542" s="1">
        <f t="shared" si="62"/>
        <v>4.97</v>
      </c>
      <c r="AD542" s="38">
        <f t="shared" ref="AD542:AD547" si="70">AB542+AC542</f>
        <v>1575.67</v>
      </c>
      <c r="AE542" s="51"/>
      <c r="AG542" s="3"/>
      <c r="AH542" s="1">
        <v>5</v>
      </c>
      <c r="AI542" s="8">
        <f t="shared" ref="AI542:AI547" si="71">AK541</f>
        <v>1573.48</v>
      </c>
      <c r="AJ542" s="1">
        <f t="shared" si="63"/>
        <v>4.97</v>
      </c>
      <c r="AK542" s="38">
        <f t="shared" ref="AK542:AK547" si="72">AI542+AJ542</f>
        <v>1578.45</v>
      </c>
    </row>
    <row r="543" spans="1:37" ht="24" customHeight="1">
      <c r="A543" s="218"/>
      <c r="B543" s="219"/>
      <c r="C543" s="220"/>
      <c r="D543" s="219"/>
      <c r="H543" s="1">
        <v>8</v>
      </c>
      <c r="I543" s="8">
        <f t="shared" si="64"/>
        <v>1572.41</v>
      </c>
      <c r="J543" s="1">
        <f t="shared" si="65"/>
        <v>4.97</v>
      </c>
      <c r="K543" s="38">
        <f t="shared" si="66"/>
        <v>1577.38</v>
      </c>
      <c r="M543" s="8"/>
      <c r="N543" s="1"/>
      <c r="O543" s="1"/>
      <c r="P543" s="8"/>
      <c r="Q543" s="1"/>
      <c r="R543" s="8"/>
      <c r="S543"/>
      <c r="T543" s="3"/>
      <c r="U543" s="1">
        <v>6</v>
      </c>
      <c r="V543" s="8">
        <f t="shared" si="67"/>
        <v>1564.69</v>
      </c>
      <c r="W543" s="2">
        <f t="shared" si="61"/>
        <v>4.97</v>
      </c>
      <c r="X543" s="38">
        <f t="shared" si="68"/>
        <v>1569.66</v>
      </c>
      <c r="Z543" s="3"/>
      <c r="AA543" s="1">
        <v>6</v>
      </c>
      <c r="AB543" s="8">
        <f t="shared" si="69"/>
        <v>1575.67</v>
      </c>
      <c r="AC543" s="1">
        <f t="shared" si="62"/>
        <v>4.97</v>
      </c>
      <c r="AD543" s="38">
        <f t="shared" si="70"/>
        <v>1580.64</v>
      </c>
      <c r="AE543" s="51"/>
      <c r="AG543" s="3"/>
      <c r="AH543" s="1">
        <v>6</v>
      </c>
      <c r="AI543" s="8">
        <f t="shared" si="71"/>
        <v>1578.45</v>
      </c>
      <c r="AJ543" s="1">
        <f t="shared" si="63"/>
        <v>4.97</v>
      </c>
      <c r="AK543" s="38">
        <f t="shared" si="72"/>
        <v>1583.42</v>
      </c>
    </row>
    <row r="544" spans="1:37" ht="24" customHeight="1">
      <c r="A544" s="218"/>
      <c r="B544" s="219"/>
      <c r="C544" s="220"/>
      <c r="D544" s="219"/>
      <c r="H544" s="1">
        <v>9</v>
      </c>
      <c r="I544" s="8">
        <f t="shared" si="64"/>
        <v>1577.38</v>
      </c>
      <c r="J544" s="1">
        <f t="shared" si="65"/>
        <v>4.97</v>
      </c>
      <c r="K544" s="38">
        <f t="shared" si="66"/>
        <v>1582.35</v>
      </c>
      <c r="M544" s="8"/>
      <c r="N544" s="1"/>
      <c r="O544" s="1"/>
      <c r="P544" s="8"/>
      <c r="Q544" s="1"/>
      <c r="R544" s="8"/>
      <c r="S544"/>
      <c r="T544" s="3"/>
      <c r="U544" s="1">
        <v>7</v>
      </c>
      <c r="V544" s="8">
        <f t="shared" si="67"/>
        <v>1569.66</v>
      </c>
      <c r="W544" s="2">
        <f t="shared" si="61"/>
        <v>4.97</v>
      </c>
      <c r="X544" s="38">
        <f t="shared" si="68"/>
        <v>1574.63</v>
      </c>
      <c r="Z544" s="3"/>
      <c r="AA544" s="1">
        <v>7</v>
      </c>
      <c r="AB544" s="8">
        <f t="shared" si="69"/>
        <v>1580.64</v>
      </c>
      <c r="AC544" s="1">
        <f t="shared" si="62"/>
        <v>4.97</v>
      </c>
      <c r="AD544" s="38">
        <f t="shared" si="70"/>
        <v>1585.61</v>
      </c>
      <c r="AE544" s="51"/>
      <c r="AG544" s="3"/>
      <c r="AH544" s="1">
        <v>7</v>
      </c>
      <c r="AI544" s="8">
        <f t="shared" si="71"/>
        <v>1583.42</v>
      </c>
      <c r="AJ544" s="1">
        <f t="shared" si="63"/>
        <v>4.97</v>
      </c>
      <c r="AK544" s="38">
        <f t="shared" si="72"/>
        <v>1588.39</v>
      </c>
    </row>
    <row r="545" spans="1:37" ht="24" customHeight="1">
      <c r="A545" s="218"/>
      <c r="B545" s="219"/>
      <c r="C545" s="220"/>
      <c r="D545" s="219"/>
      <c r="H545" s="1">
        <v>10</v>
      </c>
      <c r="I545" s="8">
        <f t="shared" si="64"/>
        <v>1582.35</v>
      </c>
      <c r="J545" s="1">
        <f t="shared" si="65"/>
        <v>4.97</v>
      </c>
      <c r="K545" s="38">
        <f t="shared" si="66"/>
        <v>1587.32</v>
      </c>
      <c r="M545" s="8"/>
      <c r="N545" s="1"/>
      <c r="O545" s="1"/>
      <c r="P545" s="8"/>
      <c r="Q545" s="1"/>
      <c r="R545" s="8"/>
      <c r="S545"/>
      <c r="T545" s="3"/>
      <c r="U545" s="1">
        <v>8</v>
      </c>
      <c r="V545" s="8">
        <f t="shared" si="67"/>
        <v>1574.63</v>
      </c>
      <c r="W545" s="2">
        <f t="shared" si="61"/>
        <v>4.97</v>
      </c>
      <c r="X545" s="38">
        <f t="shared" si="68"/>
        <v>1579.6</v>
      </c>
      <c r="Z545" s="3"/>
      <c r="AA545" s="1">
        <v>8</v>
      </c>
      <c r="AB545" s="8">
        <f t="shared" si="69"/>
        <v>1585.61</v>
      </c>
      <c r="AC545" s="1">
        <f t="shared" si="62"/>
        <v>4.97</v>
      </c>
      <c r="AD545" s="38">
        <f t="shared" si="70"/>
        <v>1590.58</v>
      </c>
      <c r="AE545" s="51"/>
      <c r="AG545" s="3"/>
      <c r="AH545" s="1">
        <v>8</v>
      </c>
      <c r="AI545" s="8">
        <f t="shared" si="71"/>
        <v>1588.39</v>
      </c>
      <c r="AJ545" s="1">
        <f t="shared" si="63"/>
        <v>4.97</v>
      </c>
      <c r="AK545" s="38">
        <f t="shared" si="72"/>
        <v>1593.36</v>
      </c>
    </row>
    <row r="546" spans="1:37" ht="24" customHeight="1">
      <c r="A546" s="218"/>
      <c r="B546" s="219"/>
      <c r="C546" s="220"/>
      <c r="D546" s="219"/>
      <c r="H546" s="1">
        <v>11</v>
      </c>
      <c r="I546" s="8">
        <f>K545</f>
        <v>1587.32</v>
      </c>
      <c r="J546" s="1">
        <f t="shared" si="65"/>
        <v>4.97</v>
      </c>
      <c r="K546" s="38">
        <f>I546+J546</f>
        <v>1592.29</v>
      </c>
      <c r="M546" s="8"/>
      <c r="N546" s="1"/>
      <c r="O546" s="1"/>
      <c r="P546" s="8"/>
      <c r="Q546" s="1"/>
      <c r="R546" s="8"/>
      <c r="S546"/>
      <c r="T546" s="3"/>
      <c r="U546" s="1">
        <v>9</v>
      </c>
      <c r="V546" s="8">
        <f t="shared" si="67"/>
        <v>1579.6</v>
      </c>
      <c r="W546" s="2">
        <f t="shared" si="61"/>
        <v>4.97</v>
      </c>
      <c r="X546" s="38">
        <f t="shared" si="68"/>
        <v>1584.57</v>
      </c>
      <c r="Z546" s="3"/>
      <c r="AA546" s="1">
        <v>9</v>
      </c>
      <c r="AB546" s="8">
        <f t="shared" si="69"/>
        <v>1590.58</v>
      </c>
      <c r="AC546" s="1">
        <f t="shared" si="62"/>
        <v>4.97</v>
      </c>
      <c r="AD546" s="38">
        <f t="shared" si="70"/>
        <v>1595.55</v>
      </c>
      <c r="AE546" s="51"/>
      <c r="AG546" s="3"/>
      <c r="AH546" s="1">
        <v>9</v>
      </c>
      <c r="AI546" s="8">
        <f t="shared" si="71"/>
        <v>1593.36</v>
      </c>
      <c r="AJ546" s="1">
        <f t="shared" si="63"/>
        <v>4.97</v>
      </c>
      <c r="AK546" s="38">
        <f t="shared" si="72"/>
        <v>1598.33</v>
      </c>
    </row>
    <row r="547" spans="1:37" ht="24" customHeight="1">
      <c r="A547" s="218"/>
      <c r="B547" s="219"/>
      <c r="C547" s="220"/>
      <c r="D547" s="219"/>
      <c r="H547" s="1">
        <v>12</v>
      </c>
      <c r="I547" s="8">
        <f>K546</f>
        <v>1592.29</v>
      </c>
      <c r="J547" s="1">
        <f t="shared" si="65"/>
        <v>4.97</v>
      </c>
      <c r="K547" s="38">
        <f>I547+J547</f>
        <v>1597.26</v>
      </c>
      <c r="M547" s="8"/>
      <c r="N547" s="1"/>
      <c r="O547" s="1"/>
      <c r="P547" s="8"/>
      <c r="Q547" s="1"/>
      <c r="R547" s="8"/>
      <c r="S547"/>
      <c r="T547" s="3"/>
      <c r="U547" s="1">
        <v>10</v>
      </c>
      <c r="V547" s="8">
        <f t="shared" si="67"/>
        <v>1584.57</v>
      </c>
      <c r="W547" s="2">
        <f t="shared" si="61"/>
        <v>4.97</v>
      </c>
      <c r="X547" s="38">
        <f t="shared" si="68"/>
        <v>1589.54</v>
      </c>
      <c r="Z547" s="3"/>
      <c r="AA547" s="1">
        <v>10</v>
      </c>
      <c r="AB547" s="8">
        <f t="shared" si="69"/>
        <v>1595.55</v>
      </c>
      <c r="AC547" s="1">
        <f t="shared" si="62"/>
        <v>4.97</v>
      </c>
      <c r="AD547" s="38">
        <f t="shared" si="70"/>
        <v>1600.52</v>
      </c>
      <c r="AE547" s="51"/>
      <c r="AG547" s="3"/>
      <c r="AH547" s="1">
        <v>10</v>
      </c>
      <c r="AI547" s="8">
        <f t="shared" si="71"/>
        <v>1598.33</v>
      </c>
      <c r="AJ547" s="1">
        <f t="shared" si="63"/>
        <v>4.97</v>
      </c>
      <c r="AK547" s="38">
        <f t="shared" si="72"/>
        <v>1603.3</v>
      </c>
    </row>
    <row r="548" spans="1:37" ht="24" customHeight="1">
      <c r="A548" s="218">
        <f>(A539+1)</f>
        <v>365</v>
      </c>
      <c r="B548" s="219" t="s">
        <v>1139</v>
      </c>
      <c r="C548" s="536">
        <v>26.59</v>
      </c>
      <c r="D548" s="219" t="s">
        <v>884</v>
      </c>
      <c r="F548" s="2" t="s">
        <v>1149</v>
      </c>
      <c r="G548" s="7" t="s">
        <v>2290</v>
      </c>
      <c r="H548" s="1" t="s">
        <v>260</v>
      </c>
      <c r="M548" s="8">
        <v>8</v>
      </c>
      <c r="N548" s="1" t="s">
        <v>884</v>
      </c>
      <c r="O548" s="1" t="s">
        <v>473</v>
      </c>
      <c r="P548" s="8">
        <f>(C52)</f>
        <v>26.6</v>
      </c>
      <c r="Q548" s="1" t="s">
        <v>884</v>
      </c>
      <c r="R548" s="8">
        <f>(M548*P548)</f>
        <v>212.8</v>
      </c>
      <c r="S548"/>
      <c r="T548" s="3"/>
      <c r="U548" s="1">
        <v>11</v>
      </c>
      <c r="V548" s="8">
        <f>X547</f>
        <v>1589.54</v>
      </c>
      <c r="W548" s="2">
        <f t="shared" si="61"/>
        <v>0</v>
      </c>
      <c r="X548" s="38">
        <f>V548+W548</f>
        <v>1589.54</v>
      </c>
      <c r="Z548" s="3"/>
      <c r="AA548" s="1">
        <v>11</v>
      </c>
      <c r="AB548" s="8">
        <f>AD547</f>
        <v>1600.52</v>
      </c>
      <c r="AC548" s="1">
        <f t="shared" si="62"/>
        <v>0</v>
      </c>
      <c r="AD548" s="38">
        <f>AB548+AC548</f>
        <v>1600.52</v>
      </c>
      <c r="AE548" s="51">
        <f t="shared" si="60"/>
        <v>0</v>
      </c>
      <c r="AG548" s="3"/>
      <c r="AH548" s="1">
        <v>11</v>
      </c>
      <c r="AI548" s="8">
        <f>AK547</f>
        <v>1603.3</v>
      </c>
      <c r="AJ548" s="1">
        <f t="shared" si="63"/>
        <v>0</v>
      </c>
      <c r="AK548" s="38">
        <f>AI548+AJ548</f>
        <v>1603.3</v>
      </c>
    </row>
    <row r="549" spans="1:37" ht="45.75" customHeight="1">
      <c r="A549" s="218">
        <f t="shared" si="56"/>
        <v>366</v>
      </c>
      <c r="B549" s="219" t="s">
        <v>1141</v>
      </c>
      <c r="C549" s="536">
        <v>39.909999999999997</v>
      </c>
      <c r="D549" s="219" t="s">
        <v>884</v>
      </c>
      <c r="H549" s="5" t="s">
        <v>1615</v>
      </c>
      <c r="M549" s="8">
        <v>3</v>
      </c>
      <c r="N549" s="1" t="s">
        <v>884</v>
      </c>
      <c r="O549" s="1" t="s">
        <v>1879</v>
      </c>
      <c r="P549" s="8">
        <f>(C41)</f>
        <v>770</v>
      </c>
      <c r="Q549" s="1" t="s">
        <v>884</v>
      </c>
      <c r="R549" s="8">
        <f>(M549*P549)</f>
        <v>2310</v>
      </c>
      <c r="S549"/>
      <c r="T549" s="3"/>
      <c r="U549" s="1">
        <v>12</v>
      </c>
      <c r="V549" s="8">
        <f>X548</f>
        <v>1589.54</v>
      </c>
      <c r="W549" s="2">
        <f t="shared" si="61"/>
        <v>0</v>
      </c>
      <c r="X549" s="38">
        <f>V549+W549</f>
        <v>1589.54</v>
      </c>
      <c r="Z549" s="3"/>
      <c r="AA549" s="1">
        <v>12</v>
      </c>
      <c r="AB549" s="8">
        <f>AD548</f>
        <v>1600.52</v>
      </c>
      <c r="AC549" s="1">
        <f t="shared" si="62"/>
        <v>0</v>
      </c>
      <c r="AD549" s="38">
        <f>AB549+AC549</f>
        <v>1600.52</v>
      </c>
      <c r="AE549" s="51">
        <f t="shared" si="60"/>
        <v>0</v>
      </c>
      <c r="AG549" s="3"/>
      <c r="AH549" s="1">
        <v>12</v>
      </c>
      <c r="AI549" s="8">
        <f>AK548</f>
        <v>1603.3</v>
      </c>
      <c r="AJ549" s="1">
        <f>AD549</f>
        <v>1600.52</v>
      </c>
      <c r="AK549" s="38">
        <f>AI549+AJ549</f>
        <v>3203.82</v>
      </c>
    </row>
    <row r="550" spans="1:37" ht="52.5" customHeight="1">
      <c r="A550" s="218">
        <f t="shared" si="56"/>
        <v>367</v>
      </c>
      <c r="B550" s="219" t="s">
        <v>243</v>
      </c>
      <c r="C550" s="536">
        <v>66</v>
      </c>
      <c r="D550" s="219" t="s">
        <v>884</v>
      </c>
      <c r="F550" s="8">
        <v>0.03</v>
      </c>
      <c r="G550" s="7" t="s">
        <v>885</v>
      </c>
      <c r="H550" s="1" t="s">
        <v>1016</v>
      </c>
      <c r="I550" s="8">
        <f>(K513)</f>
        <v>7325.66</v>
      </c>
      <c r="J550" s="1" t="s">
        <v>885</v>
      </c>
      <c r="K550" s="8">
        <f>(F550*I550)</f>
        <v>219.77</v>
      </c>
      <c r="M550" s="8">
        <v>1</v>
      </c>
      <c r="N550" s="1" t="s">
        <v>884</v>
      </c>
      <c r="O550" s="1" t="s">
        <v>1880</v>
      </c>
      <c r="P550" s="8">
        <f>(C10)</f>
        <v>1041.7</v>
      </c>
      <c r="Q550" s="1" t="s">
        <v>884</v>
      </c>
      <c r="R550" s="8">
        <f>(M550*P550)</f>
        <v>1041.7</v>
      </c>
      <c r="S550" s="2" t="s">
        <v>1149</v>
      </c>
      <c r="T550" s="7" t="s">
        <v>2290</v>
      </c>
      <c r="U550" s="22" t="s">
        <v>4179</v>
      </c>
      <c r="W550" s="2"/>
      <c r="Y550" s="2" t="s">
        <v>1149</v>
      </c>
      <c r="Z550" s="7" t="s">
        <v>2290</v>
      </c>
      <c r="AA550" s="1584" t="s">
        <v>5499</v>
      </c>
      <c r="AB550" s="1584"/>
      <c r="AC550" s="1"/>
      <c r="AE550" s="51" t="str">
        <f t="shared" si="60"/>
        <v>*</v>
      </c>
      <c r="AF550" s="2" t="s">
        <v>1149</v>
      </c>
      <c r="AG550" s="7" t="s">
        <v>2290</v>
      </c>
      <c r="AH550" s="1584" t="s">
        <v>5763</v>
      </c>
      <c r="AI550" s="1584"/>
      <c r="AJ550" s="1"/>
    </row>
    <row r="551" spans="1:37" ht="24" customHeight="1">
      <c r="A551" s="218">
        <f t="shared" si="56"/>
        <v>368</v>
      </c>
      <c r="B551" s="219" t="s">
        <v>1150</v>
      </c>
      <c r="C551" s="607"/>
      <c r="D551" s="219" t="s">
        <v>992</v>
      </c>
      <c r="F551" s="8">
        <v>0.5</v>
      </c>
      <c r="G551" s="7" t="s">
        <v>785</v>
      </c>
      <c r="H551" s="1" t="s">
        <v>2045</v>
      </c>
      <c r="I551" s="8">
        <f>(C10)</f>
        <v>1041.7</v>
      </c>
      <c r="J551" s="1" t="s">
        <v>785</v>
      </c>
      <c r="K551" s="8">
        <f>(F551*I551)</f>
        <v>520.85</v>
      </c>
      <c r="M551" s="8">
        <v>2</v>
      </c>
      <c r="N551" s="1" t="s">
        <v>884</v>
      </c>
      <c r="O551" s="1" t="s">
        <v>1937</v>
      </c>
      <c r="P551" s="8">
        <f>(C12)</f>
        <v>679.8</v>
      </c>
      <c r="Q551" s="1" t="s">
        <v>884</v>
      </c>
      <c r="R551" s="8">
        <f>(M551*P551)</f>
        <v>1359.6</v>
      </c>
      <c r="S551"/>
      <c r="T551" s="3"/>
      <c r="U551" s="5" t="s">
        <v>1615</v>
      </c>
      <c r="W551" s="4"/>
      <c r="Z551" s="3"/>
      <c r="AA551" s="5" t="s">
        <v>1615</v>
      </c>
      <c r="AC551" s="10"/>
      <c r="AE551" s="51">
        <f t="shared" si="60"/>
        <v>0</v>
      </c>
      <c r="AG551" s="3"/>
      <c r="AH551" s="5" t="s">
        <v>1615</v>
      </c>
      <c r="AJ551" s="10"/>
    </row>
    <row r="552" spans="1:37" ht="24" customHeight="1">
      <c r="A552" s="218">
        <f t="shared" si="56"/>
        <v>369</v>
      </c>
      <c r="B552" s="219" t="s">
        <v>969</v>
      </c>
      <c r="C552" s="536">
        <v>4.75</v>
      </c>
      <c r="D552" s="219" t="s">
        <v>884</v>
      </c>
      <c r="F552" s="8">
        <v>0.75</v>
      </c>
      <c r="G552" s="7" t="s">
        <v>785</v>
      </c>
      <c r="H552" s="1" t="s">
        <v>1937</v>
      </c>
      <c r="I552" s="8">
        <f>(C12)</f>
        <v>679.8</v>
      </c>
      <c r="J552" s="1" t="s">
        <v>785</v>
      </c>
      <c r="K552" s="8">
        <f>(F552*I552)</f>
        <v>509.85</v>
      </c>
      <c r="M552" s="8">
        <v>1</v>
      </c>
      <c r="N552" s="1" t="s">
        <v>884</v>
      </c>
      <c r="O552" s="1" t="s">
        <v>325</v>
      </c>
      <c r="P552" s="8">
        <f>(C13)</f>
        <v>557.70000000000005</v>
      </c>
      <c r="Q552" s="1" t="s">
        <v>884</v>
      </c>
      <c r="R552" s="8">
        <f>(M552*P552)</f>
        <v>557.70000000000005</v>
      </c>
      <c r="S552" s="8">
        <v>0.03</v>
      </c>
      <c r="T552" s="7" t="s">
        <v>885</v>
      </c>
      <c r="U552" s="1" t="s">
        <v>4161</v>
      </c>
      <c r="V552" s="8">
        <f>V528</f>
        <v>7435.01</v>
      </c>
      <c r="W552" s="2" t="s">
        <v>885</v>
      </c>
      <c r="X552" s="8">
        <f>(S552*V552)</f>
        <v>223.05</v>
      </c>
      <c r="Y552" s="8">
        <v>0.03</v>
      </c>
      <c r="Z552" s="7" t="s">
        <v>885</v>
      </c>
      <c r="AA552" s="1" t="s">
        <v>4161</v>
      </c>
      <c r="AB552" s="8">
        <f>AB528</f>
        <v>7979.28</v>
      </c>
      <c r="AC552" s="1" t="s">
        <v>885</v>
      </c>
      <c r="AD552" s="8">
        <f>(Y552*AB552)</f>
        <v>239.38</v>
      </c>
      <c r="AE552" s="51" t="str">
        <f t="shared" si="60"/>
        <v>CUM</v>
      </c>
      <c r="AF552" s="8">
        <v>0.03</v>
      </c>
      <c r="AG552" s="7" t="s">
        <v>885</v>
      </c>
      <c r="AH552" s="1" t="s">
        <v>4161</v>
      </c>
      <c r="AI552" s="8">
        <f>AI528</f>
        <v>8116.78</v>
      </c>
      <c r="AJ552" s="1" t="s">
        <v>885</v>
      </c>
      <c r="AK552" s="8">
        <f>(AF552*AI552)</f>
        <v>243.5</v>
      </c>
    </row>
    <row r="553" spans="1:37" ht="24" customHeight="1">
      <c r="A553" s="218">
        <f t="shared" si="56"/>
        <v>370</v>
      </c>
      <c r="B553" s="219" t="s">
        <v>759</v>
      </c>
      <c r="C553" s="536">
        <v>6.89</v>
      </c>
      <c r="D553" s="219" t="s">
        <v>884</v>
      </c>
      <c r="E553" s="381">
        <f>0.03/40*75</f>
        <v>5.6300000000000003E-2</v>
      </c>
      <c r="G553" s="7" t="s">
        <v>455</v>
      </c>
      <c r="H553" s="1" t="s">
        <v>456</v>
      </c>
      <c r="J553" s="1" t="s">
        <v>455</v>
      </c>
      <c r="K553" s="8">
        <v>0</v>
      </c>
      <c r="N553" s="1" t="s">
        <v>455</v>
      </c>
      <c r="O553" s="1" t="s">
        <v>1881</v>
      </c>
      <c r="P553" s="1" t="s">
        <v>992</v>
      </c>
      <c r="Q553" s="1" t="s">
        <v>455</v>
      </c>
      <c r="R553" s="8">
        <f>(C56)</f>
        <v>12.1</v>
      </c>
      <c r="S553" s="8">
        <v>0.5</v>
      </c>
      <c r="T553" s="7" t="s">
        <v>785</v>
      </c>
      <c r="U553" s="1" t="s">
        <v>2045</v>
      </c>
      <c r="V553" s="8">
        <f>V529</f>
        <v>1041.7</v>
      </c>
      <c r="W553" s="2" t="s">
        <v>785</v>
      </c>
      <c r="X553" s="8">
        <f>(S553*V553)</f>
        <v>520.85</v>
      </c>
      <c r="Y553" s="8">
        <v>0.5</v>
      </c>
      <c r="Z553" s="7" t="s">
        <v>785</v>
      </c>
      <c r="AA553" s="1" t="s">
        <v>2045</v>
      </c>
      <c r="AB553" s="8">
        <f>AB529</f>
        <v>1041.7</v>
      </c>
      <c r="AC553" s="1" t="s">
        <v>785</v>
      </c>
      <c r="AD553" s="8">
        <f>(Y553*AB553)</f>
        <v>520.85</v>
      </c>
      <c r="AE553" s="51" t="str">
        <f t="shared" si="60"/>
        <v>NO</v>
      </c>
      <c r="AF553" s="8">
        <v>0.5</v>
      </c>
      <c r="AG553" s="7" t="s">
        <v>785</v>
      </c>
      <c r="AH553" s="1" t="s">
        <v>2045</v>
      </c>
      <c r="AI553" s="8">
        <f>AI529</f>
        <v>1041.7</v>
      </c>
      <c r="AJ553" s="1" t="s">
        <v>785</v>
      </c>
      <c r="AK553" s="8">
        <f>(AF553*AI553)</f>
        <v>520.85</v>
      </c>
    </row>
    <row r="554" spans="1:37" ht="24" customHeight="1">
      <c r="A554" s="218">
        <f t="shared" si="56"/>
        <v>371</v>
      </c>
      <c r="B554" s="219" t="s">
        <v>1694</v>
      </c>
      <c r="C554" s="536">
        <v>6.18</v>
      </c>
      <c r="D554" s="219" t="s">
        <v>884</v>
      </c>
      <c r="K554" s="5" t="s">
        <v>1615</v>
      </c>
      <c r="O554" s="1" t="s">
        <v>1883</v>
      </c>
      <c r="P554" s="1" t="s">
        <v>992</v>
      </c>
      <c r="R554" s="1" t="s">
        <v>992</v>
      </c>
      <c r="S554" s="8">
        <v>0.75</v>
      </c>
      <c r="T554" s="7" t="s">
        <v>785</v>
      </c>
      <c r="U554" s="1" t="s">
        <v>1937</v>
      </c>
      <c r="V554" s="8">
        <f>V530</f>
        <v>679.8</v>
      </c>
      <c r="W554" s="2" t="s">
        <v>785</v>
      </c>
      <c r="X554" s="8">
        <f>(S554*V554)</f>
        <v>509.85</v>
      </c>
      <c r="Y554" s="8">
        <v>0.75</v>
      </c>
      <c r="Z554" s="7" t="s">
        <v>785</v>
      </c>
      <c r="AA554" s="1" t="s">
        <v>1937</v>
      </c>
      <c r="AB554" s="8">
        <f>AB530</f>
        <v>679.8</v>
      </c>
      <c r="AC554" s="1" t="s">
        <v>785</v>
      </c>
      <c r="AD554" s="8">
        <f>(Y554*AB554)</f>
        <v>509.85</v>
      </c>
      <c r="AE554" s="51" t="str">
        <f t="shared" si="60"/>
        <v>NO</v>
      </c>
      <c r="AF554" s="8">
        <v>0.75</v>
      </c>
      <c r="AG554" s="7" t="s">
        <v>785</v>
      </c>
      <c r="AH554" s="1" t="s">
        <v>1937</v>
      </c>
      <c r="AI554" s="8">
        <f>AI530</f>
        <v>679.8</v>
      </c>
      <c r="AJ554" s="1" t="s">
        <v>785</v>
      </c>
      <c r="AK554" s="8">
        <f>(AF554*AI554)</f>
        <v>509.85</v>
      </c>
    </row>
    <row r="555" spans="1:37" ht="24" customHeight="1">
      <c r="A555" s="218">
        <f t="shared" si="56"/>
        <v>372</v>
      </c>
      <c r="B555" s="219" t="s">
        <v>1151</v>
      </c>
      <c r="C555" s="536">
        <v>13.29</v>
      </c>
      <c r="D555" s="219" t="s">
        <v>884</v>
      </c>
      <c r="H555" s="1" t="s">
        <v>1782</v>
      </c>
      <c r="K555" s="8">
        <f>SUM(K550:K553)</f>
        <v>1250.47</v>
      </c>
      <c r="N555" s="1" t="s">
        <v>455</v>
      </c>
      <c r="O555" s="1" t="s">
        <v>456</v>
      </c>
      <c r="Q555" s="1" t="s">
        <v>455</v>
      </c>
      <c r="R555" s="8">
        <v>0</v>
      </c>
      <c r="S555"/>
      <c r="T555" s="7" t="s">
        <v>455</v>
      </c>
      <c r="U555" s="1" t="s">
        <v>456</v>
      </c>
      <c r="V555" s="8">
        <f>V531</f>
        <v>0</v>
      </c>
      <c r="W555" s="2" t="s">
        <v>455</v>
      </c>
      <c r="X555" s="8">
        <v>0</v>
      </c>
      <c r="Z555" s="7" t="s">
        <v>455</v>
      </c>
      <c r="AA555" s="1" t="s">
        <v>456</v>
      </c>
      <c r="AB555" s="8">
        <f>AB531</f>
        <v>0</v>
      </c>
      <c r="AC555" s="1" t="s">
        <v>455</v>
      </c>
      <c r="AD555" s="8">
        <v>0</v>
      </c>
      <c r="AE555" s="51" t="str">
        <f t="shared" si="60"/>
        <v>L.S</v>
      </c>
      <c r="AG555" s="7" t="s">
        <v>455</v>
      </c>
      <c r="AH555" s="1" t="s">
        <v>456</v>
      </c>
      <c r="AI555" s="8">
        <f>AI531</f>
        <v>0</v>
      </c>
      <c r="AJ555" s="1" t="s">
        <v>455</v>
      </c>
      <c r="AK555" s="8">
        <v>0</v>
      </c>
    </row>
    <row r="556" spans="1:37" ht="24" customHeight="1">
      <c r="A556" s="218">
        <f t="shared" si="56"/>
        <v>373</v>
      </c>
      <c r="B556" s="219" t="s">
        <v>1152</v>
      </c>
      <c r="C556" s="536">
        <v>14.11</v>
      </c>
      <c r="D556" s="219" t="s">
        <v>884</v>
      </c>
      <c r="K556" s="5" t="s">
        <v>1615</v>
      </c>
      <c r="R556" s="5" t="s">
        <v>1615</v>
      </c>
      <c r="S556"/>
      <c r="T556" s="3"/>
      <c r="W556" s="4"/>
      <c r="X556" s="5" t="s">
        <v>1615</v>
      </c>
      <c r="Z556" s="3"/>
      <c r="AC556" s="10"/>
      <c r="AD556" s="5" t="s">
        <v>1615</v>
      </c>
      <c r="AE556" s="51">
        <f t="shared" si="60"/>
        <v>0</v>
      </c>
      <c r="AG556" s="3"/>
      <c r="AJ556" s="10"/>
      <c r="AK556" s="5" t="s">
        <v>1615</v>
      </c>
    </row>
    <row r="557" spans="1:37" ht="24" customHeight="1">
      <c r="A557" s="218">
        <f t="shared" si="56"/>
        <v>374</v>
      </c>
      <c r="B557" s="219" t="s">
        <v>1153</v>
      </c>
      <c r="C557" s="536">
        <v>14.69</v>
      </c>
      <c r="D557" s="219" t="s">
        <v>884</v>
      </c>
      <c r="H557" s="1" t="s">
        <v>562</v>
      </c>
      <c r="K557" s="8">
        <f>(K555/0.743)</f>
        <v>1683</v>
      </c>
      <c r="O557" s="1" t="s">
        <v>1884</v>
      </c>
      <c r="R557" s="8">
        <f>SUM(R537:R555)</f>
        <v>5729.1</v>
      </c>
      <c r="S557"/>
      <c r="T557" s="3"/>
      <c r="U557" s="1" t="s">
        <v>1782</v>
      </c>
      <c r="W557" s="4"/>
      <c r="X557" s="8">
        <f>SUM(X552:X555)</f>
        <v>1253.75</v>
      </c>
      <c r="Z557" s="3"/>
      <c r="AA557" s="1" t="s">
        <v>1782</v>
      </c>
      <c r="AC557" s="10"/>
      <c r="AD557" s="8">
        <f>SUM(AD552:AD555)</f>
        <v>1270.08</v>
      </c>
      <c r="AE557" s="51">
        <f t="shared" si="60"/>
        <v>0</v>
      </c>
      <c r="AG557" s="3"/>
      <c r="AH557" s="1" t="s">
        <v>1782</v>
      </c>
      <c r="AJ557" s="10"/>
      <c r="AK557" s="8">
        <f>SUM(AK552:AK555)</f>
        <v>1274.2</v>
      </c>
    </row>
    <row r="558" spans="1:37" ht="24" customHeight="1">
      <c r="A558" s="218">
        <f t="shared" si="56"/>
        <v>375</v>
      </c>
      <c r="B558" s="219" t="s">
        <v>1898</v>
      </c>
      <c r="C558" s="221"/>
      <c r="D558" s="219" t="s">
        <v>992</v>
      </c>
      <c r="K558" s="5" t="s">
        <v>2091</v>
      </c>
      <c r="R558" s="5" t="s">
        <v>1615</v>
      </c>
      <c r="S558"/>
      <c r="T558" s="3"/>
      <c r="W558" s="4"/>
      <c r="X558" s="5" t="s">
        <v>1615</v>
      </c>
      <c r="Z558" s="3"/>
      <c r="AC558" s="10"/>
      <c r="AD558" s="5" t="s">
        <v>1615</v>
      </c>
      <c r="AE558" s="51">
        <f t="shared" si="60"/>
        <v>0</v>
      </c>
      <c r="AG558" s="3"/>
      <c r="AJ558" s="10"/>
      <c r="AK558" s="5" t="s">
        <v>1615</v>
      </c>
    </row>
    <row r="559" spans="1:37" ht="24" customHeight="1">
      <c r="A559" s="218">
        <f t="shared" si="56"/>
        <v>376</v>
      </c>
      <c r="B559" s="219" t="s">
        <v>969</v>
      </c>
      <c r="C559" s="536">
        <v>10.3</v>
      </c>
      <c r="D559" s="219" t="s">
        <v>884</v>
      </c>
      <c r="H559" s="1" t="s">
        <v>391</v>
      </c>
      <c r="I559" s="8">
        <f>K557</f>
        <v>1683</v>
      </c>
      <c r="J559" s="1">
        <f>C22*0.03/0.743</f>
        <v>5.05</v>
      </c>
      <c r="K559" s="38">
        <f>I559+J559</f>
        <v>1688.05</v>
      </c>
      <c r="M559">
        <f>0.47*38.5</f>
        <v>18.100000000000001</v>
      </c>
      <c r="O559" s="1" t="s">
        <v>1573</v>
      </c>
      <c r="R559" s="8">
        <f>(R557/30)</f>
        <v>190.97</v>
      </c>
      <c r="S559"/>
      <c r="T559" s="3"/>
      <c r="U559" s="1" t="s">
        <v>4162</v>
      </c>
      <c r="W559" s="4"/>
      <c r="X559" s="38">
        <f>(X557/0.743)</f>
        <v>1687.42</v>
      </c>
      <c r="Z559" s="3"/>
      <c r="AA559" s="1" t="s">
        <v>4162</v>
      </c>
      <c r="AC559" s="10"/>
      <c r="AD559" s="38">
        <f>(AD557/0.743)</f>
        <v>1709.39</v>
      </c>
      <c r="AE559" s="51">
        <f t="shared" si="60"/>
        <v>0</v>
      </c>
      <c r="AG559" s="3"/>
      <c r="AH559" s="1" t="s">
        <v>4162</v>
      </c>
      <c r="AJ559" s="10"/>
      <c r="AK559" s="38">
        <f>(AK557/0.743)</f>
        <v>1714.94</v>
      </c>
    </row>
    <row r="560" spans="1:37" ht="24" customHeight="1">
      <c r="A560" s="218">
        <f t="shared" si="56"/>
        <v>377</v>
      </c>
      <c r="B560" s="219" t="s">
        <v>759</v>
      </c>
      <c r="C560" s="536">
        <v>19.05</v>
      </c>
      <c r="D560" s="219" t="s">
        <v>884</v>
      </c>
      <c r="H560" s="1" t="s">
        <v>393</v>
      </c>
      <c r="I560" s="8">
        <f>K559</f>
        <v>1688.05</v>
      </c>
      <c r="J560" s="1">
        <f>C23*0.03/0.743</f>
        <v>9.94</v>
      </c>
      <c r="K560" s="38">
        <f>I560+J560</f>
        <v>1697.99</v>
      </c>
      <c r="M560">
        <f>0.24*546</f>
        <v>131.04</v>
      </c>
      <c r="R560" s="5" t="s">
        <v>1615</v>
      </c>
      <c r="S560"/>
      <c r="T560" s="3"/>
      <c r="W560" s="4"/>
      <c r="X560" s="5" t="s">
        <v>2091</v>
      </c>
      <c r="Z560" s="3"/>
      <c r="AC560" s="10"/>
      <c r="AD560" s="5" t="s">
        <v>2091</v>
      </c>
      <c r="AE560" s="51">
        <f t="shared" si="60"/>
        <v>0</v>
      </c>
      <c r="AG560" s="3"/>
      <c r="AJ560" s="10"/>
      <c r="AK560" s="5" t="s">
        <v>2091</v>
      </c>
    </row>
    <row r="561" spans="1:37" ht="24" customHeight="1">
      <c r="A561" s="218">
        <f t="shared" si="56"/>
        <v>378</v>
      </c>
      <c r="B561" s="219" t="s">
        <v>1694</v>
      </c>
      <c r="C561" s="536">
        <v>15.34</v>
      </c>
      <c r="D561" s="219" t="s">
        <v>884</v>
      </c>
      <c r="H561" s="1" t="s">
        <v>2271</v>
      </c>
      <c r="I561" s="8">
        <f>K560</f>
        <v>1697.99</v>
      </c>
      <c r="J561" s="1">
        <f>J560</f>
        <v>9.94</v>
      </c>
      <c r="K561" s="38">
        <f>I561+J561</f>
        <v>1707.93</v>
      </c>
      <c r="M561">
        <f>0.24*143.6</f>
        <v>34.46</v>
      </c>
      <c r="N561" s="1" t="s">
        <v>2290</v>
      </c>
      <c r="O561" s="1" t="s">
        <v>2083</v>
      </c>
      <c r="S561"/>
      <c r="T561" s="3"/>
      <c r="U561" s="1" t="s">
        <v>391</v>
      </c>
      <c r="V561" s="8">
        <f>X559</f>
        <v>1687.42</v>
      </c>
      <c r="W561" s="2">
        <f>J559</f>
        <v>5.05</v>
      </c>
      <c r="X561" s="38">
        <f>V561+W561</f>
        <v>1692.47</v>
      </c>
      <c r="Z561" s="3"/>
      <c r="AA561" s="1" t="s">
        <v>391</v>
      </c>
      <c r="AB561" s="8">
        <f>AD559</f>
        <v>1709.39</v>
      </c>
      <c r="AC561" s="1">
        <f t="shared" ref="AC561:AC566" si="73">W561</f>
        <v>5.05</v>
      </c>
      <c r="AD561" s="38">
        <f t="shared" ref="AD561:AD566" si="74">AB561+AC561</f>
        <v>1714.44</v>
      </c>
      <c r="AE561" s="51">
        <f t="shared" si="60"/>
        <v>0</v>
      </c>
      <c r="AG561" s="3"/>
      <c r="AH561" s="1" t="s">
        <v>391</v>
      </c>
      <c r="AI561" s="8">
        <f>AK559</f>
        <v>1714.94</v>
      </c>
      <c r="AJ561" s="1">
        <f t="shared" ref="AJ561:AJ566" si="75">AC561</f>
        <v>5.05</v>
      </c>
      <c r="AK561" s="38">
        <f t="shared" ref="AK561:AK566" si="76">AI561+AJ561</f>
        <v>1719.99</v>
      </c>
    </row>
    <row r="562" spans="1:37" ht="24" customHeight="1">
      <c r="A562" s="218">
        <f t="shared" si="56"/>
        <v>379</v>
      </c>
      <c r="B562" s="219" t="s">
        <v>1899</v>
      </c>
      <c r="C562" s="536">
        <v>29.41</v>
      </c>
      <c r="D562" s="219" t="s">
        <v>884</v>
      </c>
      <c r="H562" s="1" t="s">
        <v>385</v>
      </c>
      <c r="I562" s="8">
        <f>K561</f>
        <v>1707.93</v>
      </c>
      <c r="J562" s="1">
        <f>J561</f>
        <v>9.94</v>
      </c>
      <c r="K562" s="38">
        <f>I562+J562</f>
        <v>1717.87</v>
      </c>
      <c r="M562">
        <f>0.79*328.9</f>
        <v>259.83</v>
      </c>
      <c r="O562" s="1" t="s">
        <v>1900</v>
      </c>
      <c r="S562"/>
      <c r="T562" s="3"/>
      <c r="U562" s="1" t="s">
        <v>393</v>
      </c>
      <c r="V562" s="8">
        <f>X561</f>
        <v>1692.47</v>
      </c>
      <c r="W562" s="2">
        <f>J560</f>
        <v>9.94</v>
      </c>
      <c r="X562" s="38">
        <f>V562+W562</f>
        <v>1702.41</v>
      </c>
      <c r="Z562" s="3"/>
      <c r="AA562" s="1" t="s">
        <v>393</v>
      </c>
      <c r="AB562" s="8">
        <f>AD561</f>
        <v>1714.44</v>
      </c>
      <c r="AC562" s="1">
        <f t="shared" si="73"/>
        <v>9.94</v>
      </c>
      <c r="AD562" s="38">
        <f t="shared" si="74"/>
        <v>1724.38</v>
      </c>
      <c r="AE562" s="51">
        <f t="shared" si="60"/>
        <v>0</v>
      </c>
      <c r="AG562" s="3"/>
      <c r="AH562" s="1" t="s">
        <v>393</v>
      </c>
      <c r="AI562" s="8">
        <f>AK561</f>
        <v>1719.99</v>
      </c>
      <c r="AJ562" s="1">
        <f t="shared" si="75"/>
        <v>9.94</v>
      </c>
      <c r="AK562" s="38">
        <f t="shared" si="76"/>
        <v>1729.93</v>
      </c>
    </row>
    <row r="563" spans="1:37" ht="24" customHeight="1">
      <c r="A563" s="221"/>
      <c r="B563" s="221"/>
      <c r="C563" s="607"/>
      <c r="D563" s="221"/>
      <c r="F563" s="1" t="s">
        <v>992</v>
      </c>
      <c r="H563" s="1" t="s">
        <v>393</v>
      </c>
      <c r="I563" s="8">
        <f>K562</f>
        <v>1717.87</v>
      </c>
      <c r="J563" s="1">
        <f>J562</f>
        <v>9.94</v>
      </c>
      <c r="K563" s="38">
        <f>I563+J563</f>
        <v>1727.81</v>
      </c>
      <c r="M563">
        <f>SUM(M559:M562)</f>
        <v>443.43</v>
      </c>
      <c r="S563"/>
      <c r="T563" s="3"/>
      <c r="U563" s="1" t="s">
        <v>2271</v>
      </c>
      <c r="V563" s="8">
        <f>X562</f>
        <v>1702.41</v>
      </c>
      <c r="W563" s="2">
        <f>J561</f>
        <v>9.94</v>
      </c>
      <c r="X563" s="38">
        <f>V563+W563</f>
        <v>1712.35</v>
      </c>
      <c r="Z563" s="3"/>
      <c r="AA563" s="1" t="s">
        <v>2271</v>
      </c>
      <c r="AB563" s="8">
        <f>AD562</f>
        <v>1724.38</v>
      </c>
      <c r="AC563" s="1">
        <f t="shared" si="73"/>
        <v>9.94</v>
      </c>
      <c r="AD563" s="38">
        <f t="shared" si="74"/>
        <v>1734.32</v>
      </c>
      <c r="AE563" s="51">
        <f t="shared" si="60"/>
        <v>0</v>
      </c>
      <c r="AG563" s="3"/>
      <c r="AH563" s="1" t="s">
        <v>2271</v>
      </c>
      <c r="AI563" s="8">
        <f>AK562</f>
        <v>1729.93</v>
      </c>
      <c r="AJ563" s="1">
        <f t="shared" si="75"/>
        <v>9.94</v>
      </c>
      <c r="AK563" s="38">
        <f t="shared" si="76"/>
        <v>1739.87</v>
      </c>
    </row>
    <row r="564" spans="1:37" ht="15.75">
      <c r="A564" s="218">
        <f>(A562+1)</f>
        <v>380</v>
      </c>
      <c r="B564" s="219" t="s">
        <v>1152</v>
      </c>
      <c r="C564" s="536">
        <v>38.35</v>
      </c>
      <c r="D564" s="219" t="s">
        <v>884</v>
      </c>
      <c r="H564" s="1">
        <v>5</v>
      </c>
      <c r="I564" s="8">
        <f t="shared" ref="I564:I569" si="77">K563</f>
        <v>1727.81</v>
      </c>
      <c r="J564" s="1">
        <f t="shared" ref="J564:J571" si="78">J563</f>
        <v>9.94</v>
      </c>
      <c r="K564" s="38">
        <f t="shared" ref="K564:K569" si="79">I564+J564</f>
        <v>1737.75</v>
      </c>
      <c r="O564" s="1" t="s">
        <v>155</v>
      </c>
      <c r="S564"/>
      <c r="T564" s="3"/>
      <c r="U564" s="1" t="s">
        <v>385</v>
      </c>
      <c r="V564" s="8">
        <f>X563</f>
        <v>1712.35</v>
      </c>
      <c r="W564" s="2">
        <f>J562</f>
        <v>9.94</v>
      </c>
      <c r="X564" s="38">
        <f>V564+W564</f>
        <v>1722.29</v>
      </c>
      <c r="Z564" s="3"/>
      <c r="AA564" s="1" t="s">
        <v>385</v>
      </c>
      <c r="AB564" s="8">
        <f>AD563</f>
        <v>1734.32</v>
      </c>
      <c r="AC564" s="1">
        <f t="shared" si="73"/>
        <v>9.94</v>
      </c>
      <c r="AD564" s="38">
        <f t="shared" si="74"/>
        <v>1744.26</v>
      </c>
      <c r="AE564" s="51">
        <f t="shared" si="60"/>
        <v>0</v>
      </c>
      <c r="AG564" s="3"/>
      <c r="AH564" s="1" t="s">
        <v>385</v>
      </c>
      <c r="AI564" s="8">
        <f>AK563</f>
        <v>1739.87</v>
      </c>
      <c r="AJ564" s="1">
        <f t="shared" si="75"/>
        <v>9.94</v>
      </c>
      <c r="AK564" s="38">
        <f t="shared" si="76"/>
        <v>1749.81</v>
      </c>
    </row>
    <row r="565" spans="1:37" ht="15.75">
      <c r="A565" s="218"/>
      <c r="B565" s="219"/>
      <c r="C565" s="220"/>
      <c r="D565" s="219"/>
      <c r="H565" s="1">
        <v>6</v>
      </c>
      <c r="I565" s="8">
        <f t="shared" si="77"/>
        <v>1737.75</v>
      </c>
      <c r="J565" s="1">
        <f t="shared" si="78"/>
        <v>9.94</v>
      </c>
      <c r="K565" s="38">
        <f t="shared" si="79"/>
        <v>1747.69</v>
      </c>
      <c r="O565" s="1"/>
      <c r="S565" s="1" t="s">
        <v>992</v>
      </c>
      <c r="T565" s="3"/>
      <c r="U565" s="1" t="s">
        <v>4178</v>
      </c>
      <c r="V565" s="8">
        <f>X564</f>
        <v>1722.29</v>
      </c>
      <c r="W565" s="2">
        <f>J563</f>
        <v>9.94</v>
      </c>
      <c r="X565" s="38">
        <f>V565+W565</f>
        <v>1732.23</v>
      </c>
      <c r="AA565" s="1" t="s">
        <v>393</v>
      </c>
      <c r="AB565" s="8">
        <f>AD564</f>
        <v>1744.26</v>
      </c>
      <c r="AC565" s="1">
        <f t="shared" si="73"/>
        <v>9.94</v>
      </c>
      <c r="AD565" s="38">
        <f t="shared" si="74"/>
        <v>1754.2</v>
      </c>
      <c r="AE565" s="51"/>
      <c r="AH565" s="1" t="s">
        <v>393</v>
      </c>
      <c r="AI565" s="8">
        <f>AK564</f>
        <v>1749.81</v>
      </c>
      <c r="AJ565" s="1">
        <f t="shared" si="75"/>
        <v>9.94</v>
      </c>
      <c r="AK565" s="38">
        <f t="shared" si="76"/>
        <v>1759.75</v>
      </c>
    </row>
    <row r="566" spans="1:37" ht="15.75">
      <c r="A566" s="218"/>
      <c r="B566" s="219"/>
      <c r="C566" s="220"/>
      <c r="D566" s="219"/>
      <c r="H566" s="1">
        <v>7</v>
      </c>
      <c r="I566" s="8">
        <f t="shared" si="77"/>
        <v>1747.69</v>
      </c>
      <c r="J566" s="1">
        <f t="shared" si="78"/>
        <v>9.94</v>
      </c>
      <c r="K566" s="38">
        <f t="shared" si="79"/>
        <v>1757.63</v>
      </c>
      <c r="O566" s="1"/>
      <c r="W566" s="4"/>
      <c r="AA566" s="1" t="s">
        <v>2271</v>
      </c>
      <c r="AB566" s="8">
        <f>AD565</f>
        <v>1754.2</v>
      </c>
      <c r="AC566" s="1">
        <f t="shared" si="73"/>
        <v>0</v>
      </c>
      <c r="AD566" s="38">
        <f t="shared" si="74"/>
        <v>1754.2</v>
      </c>
      <c r="AE566" s="51"/>
      <c r="AH566" s="1" t="s">
        <v>2271</v>
      </c>
      <c r="AI566" s="8">
        <f>AK565</f>
        <v>1759.75</v>
      </c>
      <c r="AJ566" s="1">
        <f t="shared" si="75"/>
        <v>0</v>
      </c>
      <c r="AK566" s="38">
        <f t="shared" si="76"/>
        <v>1759.75</v>
      </c>
    </row>
    <row r="567" spans="1:37" ht="15.75">
      <c r="A567" s="218"/>
      <c r="B567" s="219"/>
      <c r="C567" s="220"/>
      <c r="D567" s="219"/>
      <c r="H567" s="1">
        <v>8</v>
      </c>
      <c r="I567" s="8">
        <f t="shared" si="77"/>
        <v>1757.63</v>
      </c>
      <c r="J567" s="1">
        <f t="shared" si="78"/>
        <v>9.94</v>
      </c>
      <c r="K567" s="38">
        <f t="shared" si="79"/>
        <v>1767.57</v>
      </c>
      <c r="O567" s="1"/>
      <c r="W567" s="4"/>
      <c r="AE567" s="51"/>
      <c r="AG567" s="1"/>
    </row>
    <row r="568" spans="1:37" ht="15.75">
      <c r="A568" s="218"/>
      <c r="B568" s="219"/>
      <c r="C568" s="220"/>
      <c r="D568" s="219"/>
      <c r="H568" s="1">
        <v>9</v>
      </c>
      <c r="I568" s="8">
        <f t="shared" si="77"/>
        <v>1767.57</v>
      </c>
      <c r="J568" s="1">
        <f t="shared" si="78"/>
        <v>9.94</v>
      </c>
      <c r="K568" s="38">
        <f t="shared" si="79"/>
        <v>1777.51</v>
      </c>
      <c r="O568" s="1"/>
      <c r="W568" s="4"/>
      <c r="AE568" s="51"/>
      <c r="AG568" s="1"/>
    </row>
    <row r="569" spans="1:37" ht="15.75">
      <c r="A569" s="218"/>
      <c r="B569" s="219"/>
      <c r="C569" s="220"/>
      <c r="D569" s="219"/>
      <c r="H569" s="1">
        <v>10</v>
      </c>
      <c r="I569" s="8">
        <f t="shared" si="77"/>
        <v>1777.51</v>
      </c>
      <c r="J569" s="1">
        <f t="shared" si="78"/>
        <v>9.94</v>
      </c>
      <c r="K569" s="38">
        <f t="shared" si="79"/>
        <v>1787.45</v>
      </c>
      <c r="O569" s="1"/>
      <c r="W569" s="4"/>
      <c r="AE569" s="51"/>
      <c r="AG569" s="1"/>
    </row>
    <row r="570" spans="1:37" ht="15.75">
      <c r="A570" s="218"/>
      <c r="B570" s="219"/>
      <c r="C570" s="220"/>
      <c r="D570" s="219"/>
      <c r="H570" s="1">
        <v>11</v>
      </c>
      <c r="I570" s="8">
        <f>K569</f>
        <v>1787.45</v>
      </c>
      <c r="J570" s="1">
        <f t="shared" si="78"/>
        <v>9.94</v>
      </c>
      <c r="K570" s="38">
        <f>I570+J570</f>
        <v>1797.39</v>
      </c>
      <c r="O570" s="1"/>
      <c r="W570" s="4"/>
      <c r="AE570" s="51"/>
      <c r="AG570" s="1"/>
    </row>
    <row r="571" spans="1:37" ht="15.75">
      <c r="A571" s="218"/>
      <c r="B571" s="219"/>
      <c r="C571" s="220"/>
      <c r="D571" s="219"/>
      <c r="H571" s="1">
        <v>12</v>
      </c>
      <c r="I571" s="8">
        <f>K570</f>
        <v>1797.39</v>
      </c>
      <c r="J571" s="1">
        <f t="shared" si="78"/>
        <v>9.94</v>
      </c>
      <c r="K571" s="38">
        <f>I571+J571</f>
        <v>1807.33</v>
      </c>
      <c r="O571" s="1"/>
      <c r="W571" s="4"/>
      <c r="AE571" s="51"/>
      <c r="AG571" s="1"/>
    </row>
    <row r="572" spans="1:37" ht="15.75">
      <c r="A572" s="218">
        <f>(A564+1)</f>
        <v>381</v>
      </c>
      <c r="B572" s="219" t="s">
        <v>1153</v>
      </c>
      <c r="C572" s="536">
        <v>37.96</v>
      </c>
      <c r="D572" s="219" t="s">
        <v>884</v>
      </c>
      <c r="F572" s="24"/>
      <c r="G572" s="7" t="s">
        <v>992</v>
      </c>
      <c r="H572" s="1" t="s">
        <v>135</v>
      </c>
      <c r="O572" s="5" t="s">
        <v>1615</v>
      </c>
      <c r="S572" s="20"/>
      <c r="T572" s="7" t="s">
        <v>992</v>
      </c>
      <c r="U572" s="1" t="s">
        <v>135</v>
      </c>
      <c r="W572" s="4"/>
      <c r="AA572" s="1" t="s">
        <v>385</v>
      </c>
      <c r="AB572" s="8">
        <f>AD571</f>
        <v>0</v>
      </c>
      <c r="AC572" s="1">
        <f>W572</f>
        <v>0</v>
      </c>
      <c r="AD572" s="38">
        <f>AB572+AC572</f>
        <v>0</v>
      </c>
      <c r="AE572" s="51" t="str">
        <f t="shared" si="60"/>
        <v>|</v>
      </c>
      <c r="AG572" s="1" t="s">
        <v>2298</v>
      </c>
    </row>
    <row r="573" spans="1:37" ht="24" customHeight="1">
      <c r="A573" s="218">
        <f t="shared" ref="A573:A587" si="80">(A572+1)</f>
        <v>382</v>
      </c>
      <c r="B573" s="219" t="s">
        <v>136</v>
      </c>
      <c r="C573" s="607"/>
      <c r="D573" s="219" t="s">
        <v>992</v>
      </c>
      <c r="H573" s="1" t="s">
        <v>1289</v>
      </c>
      <c r="T573" s="3"/>
      <c r="U573" s="1" t="s">
        <v>1289</v>
      </c>
      <c r="W573" s="4"/>
      <c r="AE573" s="51" t="str">
        <f t="shared" si="60"/>
        <v>|</v>
      </c>
      <c r="AG573" s="1" t="s">
        <v>2298</v>
      </c>
    </row>
    <row r="574" spans="1:37" ht="24" customHeight="1">
      <c r="A574" s="218">
        <f t="shared" si="80"/>
        <v>383</v>
      </c>
      <c r="B574" s="219" t="s">
        <v>969</v>
      </c>
      <c r="C574" s="536">
        <v>6.68</v>
      </c>
      <c r="D574" s="219" t="s">
        <v>884</v>
      </c>
      <c r="H574" s="1" t="s">
        <v>1290</v>
      </c>
      <c r="N574" s="1" t="s">
        <v>156</v>
      </c>
      <c r="O574" s="1" t="s">
        <v>1042</v>
      </c>
      <c r="T574" s="3"/>
      <c r="U574" s="1" t="s">
        <v>1290</v>
      </c>
      <c r="W574" s="4"/>
      <c r="AE574" s="51" t="str">
        <f t="shared" si="60"/>
        <v>|</v>
      </c>
      <c r="AG574" s="1" t="s">
        <v>2298</v>
      </c>
    </row>
    <row r="575" spans="1:37" ht="24" customHeight="1">
      <c r="A575" s="218">
        <f t="shared" si="80"/>
        <v>384</v>
      </c>
      <c r="B575" s="219" t="s">
        <v>759</v>
      </c>
      <c r="C575" s="536">
        <v>9.4499999999999993</v>
      </c>
      <c r="D575" s="219" t="s">
        <v>884</v>
      </c>
      <c r="H575" s="1" t="s">
        <v>1043</v>
      </c>
      <c r="O575" s="5" t="s">
        <v>1615</v>
      </c>
      <c r="T575" s="3"/>
      <c r="U575" s="1" t="s">
        <v>1043</v>
      </c>
      <c r="W575" s="4"/>
      <c r="AE575" s="51" t="str">
        <f t="shared" si="60"/>
        <v>|</v>
      </c>
      <c r="AG575" s="1" t="s">
        <v>2298</v>
      </c>
    </row>
    <row r="576" spans="1:37" ht="24" customHeight="1">
      <c r="A576" s="218">
        <f t="shared" si="80"/>
        <v>385</v>
      </c>
      <c r="B576" s="219" t="s">
        <v>1694</v>
      </c>
      <c r="C576" s="536">
        <v>33.04</v>
      </c>
      <c r="D576" s="219" t="s">
        <v>884</v>
      </c>
      <c r="H576" s="1" t="s">
        <v>1044</v>
      </c>
      <c r="M576" s="8">
        <v>8.1</v>
      </c>
      <c r="N576" s="1" t="s">
        <v>885</v>
      </c>
      <c r="O576" s="1" t="s">
        <v>629</v>
      </c>
      <c r="P576" s="8">
        <f>(C61)*2</f>
        <v>233.76</v>
      </c>
      <c r="Q576" s="1" t="s">
        <v>885</v>
      </c>
      <c r="R576" s="8">
        <f>(M576*P576)</f>
        <v>1893.46</v>
      </c>
      <c r="T576" s="3"/>
      <c r="U576" s="1" t="s">
        <v>1044</v>
      </c>
      <c r="W576" s="4"/>
      <c r="AE576" s="51" t="str">
        <f t="shared" si="60"/>
        <v>|</v>
      </c>
      <c r="AG576" s="1" t="s">
        <v>2298</v>
      </c>
    </row>
    <row r="577" spans="1:33" ht="24" customHeight="1">
      <c r="A577" s="218">
        <f t="shared" si="80"/>
        <v>386</v>
      </c>
      <c r="B577" s="219" t="s">
        <v>1899</v>
      </c>
      <c r="C577" s="536">
        <v>33.04</v>
      </c>
      <c r="D577" s="219" t="s">
        <v>884</v>
      </c>
      <c r="H577" s="1" t="s">
        <v>1272</v>
      </c>
      <c r="M577" s="8">
        <v>8.1</v>
      </c>
      <c r="N577" s="1" t="s">
        <v>885</v>
      </c>
      <c r="O577" s="1" t="s">
        <v>2196</v>
      </c>
      <c r="P577" s="8">
        <f>(C26)</f>
        <v>40.65</v>
      </c>
      <c r="Q577" s="1" t="s">
        <v>885</v>
      </c>
      <c r="R577" s="8">
        <f>(M577*P577)</f>
        <v>329.27</v>
      </c>
      <c r="T577" s="3"/>
      <c r="U577" s="1" t="s">
        <v>1272</v>
      </c>
      <c r="W577" s="4"/>
      <c r="AE577" s="51" t="str">
        <f t="shared" si="60"/>
        <v>|</v>
      </c>
      <c r="AG577" s="1" t="s">
        <v>2298</v>
      </c>
    </row>
    <row r="578" spans="1:33" ht="24" customHeight="1">
      <c r="A578" s="218">
        <f t="shared" si="80"/>
        <v>387</v>
      </c>
      <c r="B578" s="219" t="s">
        <v>1273</v>
      </c>
      <c r="C578" s="536">
        <v>33.04</v>
      </c>
      <c r="D578" s="219" t="s">
        <v>884</v>
      </c>
      <c r="H578" s="1" t="s">
        <v>1168</v>
      </c>
      <c r="M578" s="8">
        <v>30</v>
      </c>
      <c r="N578" s="1" t="s">
        <v>1805</v>
      </c>
      <c r="O578" s="1" t="s">
        <v>2197</v>
      </c>
      <c r="P578" s="8">
        <f>(C661)</f>
        <v>12.32</v>
      </c>
      <c r="Q578" s="1" t="s">
        <v>1805</v>
      </c>
      <c r="R578" s="8">
        <f>(M578*P578)</f>
        <v>369.6</v>
      </c>
      <c r="T578" s="3"/>
      <c r="U578" s="1" t="s">
        <v>1168</v>
      </c>
      <c r="W578" s="4"/>
      <c r="AE578" s="51" t="str">
        <f t="shared" si="60"/>
        <v>|</v>
      </c>
      <c r="AG578" s="1" t="s">
        <v>2298</v>
      </c>
    </row>
    <row r="579" spans="1:33" ht="24" customHeight="1">
      <c r="A579" s="218">
        <f t="shared" si="80"/>
        <v>388</v>
      </c>
      <c r="B579" s="219" t="s">
        <v>1274</v>
      </c>
      <c r="C579" s="536">
        <v>33.04</v>
      </c>
      <c r="D579" s="219" t="s">
        <v>884</v>
      </c>
      <c r="H579" s="5" t="s">
        <v>1615</v>
      </c>
      <c r="I579" s="5" t="s">
        <v>1615</v>
      </c>
      <c r="O579" s="1" t="s">
        <v>1275</v>
      </c>
      <c r="T579" s="3"/>
      <c r="U579" s="5" t="s">
        <v>1615</v>
      </c>
      <c r="V579" s="5" t="s">
        <v>1615</v>
      </c>
      <c r="W579" s="4"/>
      <c r="AE579" s="51" t="str">
        <f t="shared" si="60"/>
        <v>|</v>
      </c>
      <c r="AG579" s="1" t="s">
        <v>2298</v>
      </c>
    </row>
    <row r="580" spans="1:33" ht="24" customHeight="1">
      <c r="A580" s="218">
        <f t="shared" si="80"/>
        <v>389</v>
      </c>
      <c r="B580" s="219" t="s">
        <v>622</v>
      </c>
      <c r="C580" s="536">
        <v>538</v>
      </c>
      <c r="D580" s="219" t="s">
        <v>884</v>
      </c>
      <c r="G580" s="7" t="s">
        <v>702</v>
      </c>
      <c r="H580" s="1" t="s">
        <v>623</v>
      </c>
      <c r="O580" s="1" t="s">
        <v>2199</v>
      </c>
      <c r="T580" s="7" t="s">
        <v>702</v>
      </c>
      <c r="U580" s="1" t="s">
        <v>2202</v>
      </c>
      <c r="W580" s="4"/>
      <c r="AE580" s="51" t="str">
        <f t="shared" si="60"/>
        <v>|</v>
      </c>
      <c r="AG580" s="1" t="s">
        <v>2298</v>
      </c>
    </row>
    <row r="581" spans="1:33" ht="24" customHeight="1">
      <c r="A581" s="218">
        <f t="shared" si="80"/>
        <v>390</v>
      </c>
      <c r="B581" s="219" t="s">
        <v>2319</v>
      </c>
      <c r="C581" s="536">
        <v>340</v>
      </c>
      <c r="D581" s="219" t="s">
        <v>884</v>
      </c>
      <c r="H581" s="1" t="s">
        <v>2320</v>
      </c>
      <c r="O581" s="1" t="s">
        <v>2200</v>
      </c>
      <c r="T581" s="3"/>
      <c r="U581" s="1" t="s">
        <v>2320</v>
      </c>
      <c r="W581" s="4"/>
      <c r="AE581" s="51" t="str">
        <f t="shared" si="60"/>
        <v>|</v>
      </c>
      <c r="AG581" s="1" t="s">
        <v>2298</v>
      </c>
    </row>
    <row r="582" spans="1:33" ht="24" customHeight="1">
      <c r="A582" s="218">
        <f t="shared" si="80"/>
        <v>391</v>
      </c>
      <c r="B582" s="219" t="s">
        <v>2321</v>
      </c>
      <c r="C582" s="536">
        <v>1039</v>
      </c>
      <c r="D582" s="219" t="s">
        <v>884</v>
      </c>
      <c r="F582" s="8">
        <v>10</v>
      </c>
      <c r="G582" s="7" t="s">
        <v>2322</v>
      </c>
      <c r="H582" s="1" t="s">
        <v>568</v>
      </c>
      <c r="I582" s="63">
        <f>C751</f>
        <v>376.7</v>
      </c>
      <c r="J582" s="1" t="s">
        <v>2322</v>
      </c>
      <c r="K582" s="8">
        <f>(F582*I582)</f>
        <v>3767</v>
      </c>
      <c r="O582" s="1" t="s">
        <v>2203</v>
      </c>
      <c r="S582" s="12">
        <v>10</v>
      </c>
      <c r="T582" s="7" t="s">
        <v>2322</v>
      </c>
      <c r="U582" s="1" t="s">
        <v>568</v>
      </c>
      <c r="V582" s="63">
        <f>I604</f>
        <v>408</v>
      </c>
      <c r="W582" s="2" t="s">
        <v>2322</v>
      </c>
      <c r="X582" s="8">
        <f>(S582*V582)</f>
        <v>4080</v>
      </c>
      <c r="AE582" s="51" t="str">
        <f t="shared" si="60"/>
        <v>|</v>
      </c>
      <c r="AG582" s="1" t="s">
        <v>2298</v>
      </c>
    </row>
    <row r="583" spans="1:33" ht="24" customHeight="1">
      <c r="A583" s="218">
        <f t="shared" si="80"/>
        <v>392</v>
      </c>
      <c r="B583" s="219" t="s">
        <v>5097</v>
      </c>
      <c r="C583" s="419">
        <v>230.2</v>
      </c>
      <c r="D583" s="219" t="s">
        <v>884</v>
      </c>
      <c r="F583" s="8">
        <v>1</v>
      </c>
      <c r="G583" s="7" t="s">
        <v>570</v>
      </c>
      <c r="H583" s="1" t="s">
        <v>571</v>
      </c>
      <c r="I583" s="8">
        <f>C10</f>
        <v>1041.7</v>
      </c>
      <c r="J583" s="1" t="s">
        <v>1423</v>
      </c>
      <c r="K583" s="8">
        <f>(F583*I583)</f>
        <v>1041.7</v>
      </c>
      <c r="M583" s="8">
        <v>8</v>
      </c>
      <c r="N583" s="1" t="s">
        <v>785</v>
      </c>
      <c r="O583" s="1" t="s">
        <v>2182</v>
      </c>
      <c r="P583" s="8">
        <v>10.199999999999999</v>
      </c>
      <c r="Q583" s="1" t="s">
        <v>785</v>
      </c>
      <c r="R583" s="8">
        <f>(M583*P583)</f>
        <v>81.599999999999994</v>
      </c>
      <c r="S583" s="12">
        <v>1</v>
      </c>
      <c r="T583" s="7" t="s">
        <v>570</v>
      </c>
      <c r="U583" s="1" t="s">
        <v>571</v>
      </c>
      <c r="V583" s="8">
        <f>I583</f>
        <v>1041.7</v>
      </c>
      <c r="W583" s="2" t="s">
        <v>1423</v>
      </c>
      <c r="X583" s="8">
        <f>(S583*V583)</f>
        <v>1041.7</v>
      </c>
      <c r="AE583" s="51" t="str">
        <f t="shared" si="60"/>
        <v>|</v>
      </c>
      <c r="AG583" s="1" t="s">
        <v>2298</v>
      </c>
    </row>
    <row r="584" spans="1:33" ht="24" customHeight="1">
      <c r="A584" s="218">
        <f t="shared" si="80"/>
        <v>393</v>
      </c>
      <c r="B584" s="219" t="s">
        <v>838</v>
      </c>
      <c r="C584" s="536">
        <v>31</v>
      </c>
      <c r="D584" s="219" t="s">
        <v>1174</v>
      </c>
      <c r="F584" s="8">
        <v>1</v>
      </c>
      <c r="G584" s="7" t="s">
        <v>570</v>
      </c>
      <c r="H584" s="1" t="s">
        <v>839</v>
      </c>
      <c r="I584" s="8">
        <f>C12</f>
        <v>679.8</v>
      </c>
      <c r="J584" s="1" t="s">
        <v>1423</v>
      </c>
      <c r="K584" s="8">
        <f>(F584*I584)</f>
        <v>679.8</v>
      </c>
      <c r="M584" s="8">
        <v>8</v>
      </c>
      <c r="N584" s="1" t="s">
        <v>785</v>
      </c>
      <c r="O584" s="1" t="s">
        <v>473</v>
      </c>
      <c r="P584" s="8">
        <v>28.5</v>
      </c>
      <c r="Q584" s="1" t="s">
        <v>785</v>
      </c>
      <c r="R584" s="8">
        <f>(M584*P584)</f>
        <v>228</v>
      </c>
      <c r="S584" s="12">
        <v>1</v>
      </c>
      <c r="T584" s="7" t="s">
        <v>570</v>
      </c>
      <c r="U584" s="1" t="s">
        <v>839</v>
      </c>
      <c r="V584" s="8">
        <f>I584</f>
        <v>679.8</v>
      </c>
      <c r="W584" s="2" t="s">
        <v>1423</v>
      </c>
      <c r="X584" s="8">
        <f>(S584*V584)</f>
        <v>679.8</v>
      </c>
      <c r="AE584" s="51" t="str">
        <f t="shared" si="60"/>
        <v>|</v>
      </c>
      <c r="AG584" s="1" t="s">
        <v>2298</v>
      </c>
    </row>
    <row r="585" spans="1:33" ht="24" customHeight="1">
      <c r="A585" s="218">
        <f t="shared" si="80"/>
        <v>394</v>
      </c>
      <c r="B585" s="1" t="s">
        <v>5098</v>
      </c>
      <c r="C585" s="419">
        <v>204</v>
      </c>
      <c r="D585" s="219" t="s">
        <v>884</v>
      </c>
      <c r="G585" s="7" t="s">
        <v>455</v>
      </c>
      <c r="H585" s="1" t="s">
        <v>61</v>
      </c>
      <c r="J585" s="1" t="s">
        <v>455</v>
      </c>
      <c r="K585" s="8">
        <v>120</v>
      </c>
      <c r="M585" s="8">
        <v>1</v>
      </c>
      <c r="N585" s="1" t="s">
        <v>455</v>
      </c>
      <c r="O585" s="1" t="s">
        <v>1716</v>
      </c>
      <c r="P585" s="8">
        <f>(C673)</f>
        <v>4</v>
      </c>
      <c r="Q585" s="1" t="s">
        <v>455</v>
      </c>
      <c r="R585" s="8">
        <f>(M585*P585)</f>
        <v>4</v>
      </c>
      <c r="T585" s="7" t="s">
        <v>455</v>
      </c>
      <c r="U585" s="1" t="s">
        <v>61</v>
      </c>
      <c r="V585" s="8">
        <f>I585</f>
        <v>0</v>
      </c>
      <c r="W585" s="2" t="s">
        <v>455</v>
      </c>
      <c r="X585" s="8">
        <v>120</v>
      </c>
      <c r="AE585" s="51" t="str">
        <f t="shared" si="60"/>
        <v>|</v>
      </c>
      <c r="AG585" s="1" t="s">
        <v>2298</v>
      </c>
    </row>
    <row r="586" spans="1:33" ht="24" customHeight="1">
      <c r="A586" s="218">
        <f t="shared" si="80"/>
        <v>395</v>
      </c>
      <c r="B586" s="219" t="s">
        <v>5682</v>
      </c>
      <c r="C586" s="419">
        <v>93.4</v>
      </c>
      <c r="D586" s="219" t="s">
        <v>884</v>
      </c>
      <c r="H586" s="1" t="s">
        <v>947</v>
      </c>
      <c r="K586" s="5" t="s">
        <v>1615</v>
      </c>
      <c r="M586" s="8">
        <v>1</v>
      </c>
      <c r="N586" s="1" t="s">
        <v>455</v>
      </c>
      <c r="O586" s="1" t="s">
        <v>456</v>
      </c>
      <c r="Q586" s="1" t="s">
        <v>455</v>
      </c>
      <c r="R586" s="8">
        <v>0</v>
      </c>
      <c r="T586" s="3"/>
      <c r="U586" s="1" t="s">
        <v>947</v>
      </c>
      <c r="W586" s="4"/>
      <c r="X586" s="5" t="s">
        <v>1615</v>
      </c>
      <c r="AE586" s="51">
        <f t="shared" si="60"/>
        <v>0</v>
      </c>
    </row>
    <row r="587" spans="1:33" ht="24" customHeight="1">
      <c r="A587" s="218">
        <f t="shared" si="80"/>
        <v>396</v>
      </c>
      <c r="B587" s="219" t="s">
        <v>1080</v>
      </c>
      <c r="C587" s="536">
        <v>57.51</v>
      </c>
      <c r="D587" s="219" t="s">
        <v>884</v>
      </c>
      <c r="H587" s="2" t="s">
        <v>1081</v>
      </c>
      <c r="K587" s="8">
        <f>SUM(K582:K585)</f>
        <v>5608.5</v>
      </c>
      <c r="R587" s="5" t="s">
        <v>1615</v>
      </c>
      <c r="T587" s="3"/>
      <c r="U587" s="2" t="s">
        <v>1081</v>
      </c>
      <c r="W587" s="4"/>
      <c r="X587" s="8">
        <f>SUM(X582:X585)</f>
        <v>5921.5</v>
      </c>
      <c r="AE587" s="51" t="str">
        <f t="shared" si="60"/>
        <v>|</v>
      </c>
      <c r="AG587" s="1" t="s">
        <v>2298</v>
      </c>
    </row>
    <row r="588" spans="1:33" ht="24" customHeight="1">
      <c r="A588" s="218">
        <f>(A587+1)</f>
        <v>397</v>
      </c>
      <c r="B588" s="219" t="s">
        <v>933</v>
      </c>
      <c r="C588" s="536">
        <v>30</v>
      </c>
      <c r="D588" s="219" t="s">
        <v>884</v>
      </c>
      <c r="K588" s="5" t="s">
        <v>1615</v>
      </c>
      <c r="O588" s="1" t="s">
        <v>1572</v>
      </c>
      <c r="R588" s="8">
        <f>SUM(R576:R586)</f>
        <v>2905.93</v>
      </c>
      <c r="T588" s="3"/>
      <c r="W588" s="4"/>
      <c r="X588" s="5" t="s">
        <v>1615</v>
      </c>
      <c r="AE588" s="51" t="str">
        <f t="shared" si="60"/>
        <v>|</v>
      </c>
      <c r="AG588" s="1" t="s">
        <v>2298</v>
      </c>
    </row>
    <row r="589" spans="1:33" ht="24" customHeight="1">
      <c r="A589" s="218">
        <f t="shared" ref="A589:A636" si="81">(A588+1)</f>
        <v>398</v>
      </c>
      <c r="B589" s="219" t="s">
        <v>508</v>
      </c>
      <c r="C589" s="536">
        <v>57.51</v>
      </c>
      <c r="D589" s="219" t="s">
        <v>884</v>
      </c>
      <c r="H589" s="2" t="s">
        <v>509</v>
      </c>
      <c r="K589" s="8">
        <f>K587/10</f>
        <v>560.85</v>
      </c>
      <c r="R589" s="5" t="s">
        <v>1615</v>
      </c>
      <c r="T589" s="3"/>
      <c r="U589" s="2" t="s">
        <v>509</v>
      </c>
      <c r="W589" s="4"/>
      <c r="X589" s="8">
        <f>X587/10</f>
        <v>592.15</v>
      </c>
      <c r="AE589" s="51" t="str">
        <f t="shared" si="60"/>
        <v>|</v>
      </c>
      <c r="AG589" s="1" t="s">
        <v>2298</v>
      </c>
    </row>
    <row r="590" spans="1:33" ht="24" customHeight="1">
      <c r="A590" s="218">
        <f t="shared" si="81"/>
        <v>399</v>
      </c>
      <c r="B590" s="219" t="s">
        <v>1944</v>
      </c>
      <c r="C590" s="536">
        <v>20</v>
      </c>
      <c r="D590" s="219" t="s">
        <v>884</v>
      </c>
      <c r="H590" s="1" t="s">
        <v>391</v>
      </c>
      <c r="I590" s="8">
        <f t="shared" ref="I590:I599" si="82">K589</f>
        <v>560.85</v>
      </c>
      <c r="J590" s="1">
        <f>C22*0.02</f>
        <v>2.5</v>
      </c>
      <c r="K590" s="38">
        <f>I590+J590</f>
        <v>563.35</v>
      </c>
      <c r="O590" s="1" t="s">
        <v>1573</v>
      </c>
      <c r="R590" s="8">
        <f>(R588/30)</f>
        <v>96.86</v>
      </c>
      <c r="T590" s="3"/>
      <c r="U590" s="1" t="s">
        <v>391</v>
      </c>
      <c r="V590" s="8">
        <f>J612</f>
        <v>5</v>
      </c>
      <c r="W590" s="2">
        <f>P22*0.02</f>
        <v>32.17</v>
      </c>
      <c r="X590" s="38">
        <f>X589+V590</f>
        <v>597.15</v>
      </c>
      <c r="Y590">
        <f>X595+V594</f>
        <v>656.25</v>
      </c>
      <c r="AE590" s="51" t="str">
        <f t="shared" si="60"/>
        <v>|</v>
      </c>
      <c r="AG590" s="1" t="s">
        <v>2298</v>
      </c>
    </row>
    <row r="591" spans="1:33" ht="24" customHeight="1">
      <c r="A591" s="218">
        <f t="shared" si="81"/>
        <v>400</v>
      </c>
      <c r="B591" s="219" t="s">
        <v>1945</v>
      </c>
      <c r="C591" s="536">
        <v>21.92</v>
      </c>
      <c r="D591" s="219" t="s">
        <v>884</v>
      </c>
      <c r="H591" s="1" t="s">
        <v>393</v>
      </c>
      <c r="I591" s="8">
        <f t="shared" si="82"/>
        <v>563.35</v>
      </c>
      <c r="J591" s="1">
        <f>C23*0.02</f>
        <v>4.92</v>
      </c>
      <c r="K591" s="38">
        <f>I591+J591</f>
        <v>568.27</v>
      </c>
      <c r="N591" s="1" t="s">
        <v>2290</v>
      </c>
      <c r="O591" s="1" t="s">
        <v>1946</v>
      </c>
      <c r="T591" s="3"/>
      <c r="U591" s="1" t="s">
        <v>393</v>
      </c>
      <c r="V591" s="8">
        <f>J613</f>
        <v>9.85</v>
      </c>
      <c r="W591" s="2">
        <f>P23*0.02</f>
        <v>21.97</v>
      </c>
      <c r="X591" s="38">
        <f>X590+V591</f>
        <v>607</v>
      </c>
      <c r="Y591">
        <f>Y590+V594</f>
        <v>666.1</v>
      </c>
      <c r="AE591" s="51" t="str">
        <f t="shared" si="60"/>
        <v>|</v>
      </c>
      <c r="AG591" s="1" t="s">
        <v>2298</v>
      </c>
    </row>
    <row r="592" spans="1:33" ht="24" customHeight="1">
      <c r="A592" s="218">
        <f t="shared" si="81"/>
        <v>401</v>
      </c>
      <c r="B592" s="219" t="s">
        <v>5683</v>
      </c>
      <c r="C592" s="419">
        <f>145.15/2</f>
        <v>72.58</v>
      </c>
      <c r="D592" s="219" t="s">
        <v>884</v>
      </c>
      <c r="H592" s="1" t="s">
        <v>2271</v>
      </c>
      <c r="I592" s="8">
        <f t="shared" si="82"/>
        <v>568.27</v>
      </c>
      <c r="J592" s="1">
        <f>C23*0.02</f>
        <v>4.92</v>
      </c>
      <c r="K592" s="38">
        <f>I592+J592</f>
        <v>573.19000000000005</v>
      </c>
      <c r="O592" s="1" t="s">
        <v>242</v>
      </c>
      <c r="T592" s="3"/>
      <c r="U592" s="1" t="s">
        <v>2271</v>
      </c>
      <c r="V592" s="8">
        <f>J614</f>
        <v>9.85</v>
      </c>
      <c r="W592" s="2">
        <f>P23*0.02</f>
        <v>21.97</v>
      </c>
      <c r="X592" s="38">
        <f>X591+V592</f>
        <v>616.85</v>
      </c>
      <c r="Y592">
        <f>Y591+V594</f>
        <v>675.95</v>
      </c>
      <c r="AE592" s="51" t="str">
        <f t="shared" si="60"/>
        <v>|</v>
      </c>
      <c r="AG592" s="1" t="s">
        <v>2298</v>
      </c>
    </row>
    <row r="593" spans="1:33" ht="24" customHeight="1">
      <c r="A593" s="218">
        <f t="shared" si="81"/>
        <v>402</v>
      </c>
      <c r="B593" s="219" t="s">
        <v>5684</v>
      </c>
      <c r="C593" s="419">
        <v>995</v>
      </c>
      <c r="D593" s="219" t="s">
        <v>884</v>
      </c>
      <c r="H593" s="1" t="s">
        <v>385</v>
      </c>
      <c r="I593" s="8">
        <f t="shared" si="82"/>
        <v>573.19000000000005</v>
      </c>
      <c r="J593" s="1">
        <f>C23*0.02</f>
        <v>4.92</v>
      </c>
      <c r="K593" s="38">
        <f>I593+J593</f>
        <v>578.11</v>
      </c>
      <c r="O593" s="5" t="s">
        <v>1615</v>
      </c>
      <c r="T593" s="3"/>
      <c r="U593" s="1" t="s">
        <v>385</v>
      </c>
      <c r="V593" s="8">
        <f>J615</f>
        <v>9.85</v>
      </c>
      <c r="W593" s="2">
        <f>P23*0.02</f>
        <v>21.97</v>
      </c>
      <c r="X593" s="38">
        <f>X592+V593</f>
        <v>626.70000000000005</v>
      </c>
      <c r="Y593">
        <f>Y592+V594</f>
        <v>685.8</v>
      </c>
      <c r="AE593" s="51" t="str">
        <f t="shared" si="60"/>
        <v>|</v>
      </c>
      <c r="AG593" s="1" t="s">
        <v>2298</v>
      </c>
    </row>
    <row r="594" spans="1:33" ht="24" customHeight="1">
      <c r="A594" s="218"/>
      <c r="B594" s="219"/>
      <c r="C594" s="220"/>
      <c r="D594" s="219"/>
      <c r="H594" s="1" t="s">
        <v>1388</v>
      </c>
      <c r="I594" s="8">
        <f t="shared" si="82"/>
        <v>578.11</v>
      </c>
      <c r="J594" s="1">
        <f>C23*0.02</f>
        <v>4.92</v>
      </c>
      <c r="K594" s="38">
        <f t="shared" ref="K594:K599" si="83">I594+J594</f>
        <v>583.03</v>
      </c>
      <c r="O594" s="5"/>
      <c r="T594" s="3"/>
      <c r="U594" s="1" t="s">
        <v>1388</v>
      </c>
      <c r="V594" s="8">
        <f>J616</f>
        <v>9.85</v>
      </c>
      <c r="W594" s="2">
        <f>P23*0.02</f>
        <v>21.97</v>
      </c>
      <c r="X594" s="38">
        <f>X593+V594</f>
        <v>636.54999999999995</v>
      </c>
      <c r="Y594">
        <f>Y593+V594</f>
        <v>695.65</v>
      </c>
      <c r="AE594" s="51" t="str">
        <f t="shared" si="60"/>
        <v>|::</v>
      </c>
      <c r="AG594" s="1" t="s">
        <v>326</v>
      </c>
    </row>
    <row r="595" spans="1:33" ht="24" customHeight="1">
      <c r="A595" s="218">
        <f>(A593+1)</f>
        <v>403</v>
      </c>
      <c r="B595" s="219" t="s">
        <v>552</v>
      </c>
      <c r="C595" s="536">
        <v>21</v>
      </c>
      <c r="D595" s="219" t="s">
        <v>884</v>
      </c>
      <c r="H595" s="1" t="s">
        <v>3641</v>
      </c>
      <c r="I595" s="8">
        <f t="shared" si="82"/>
        <v>583.03</v>
      </c>
      <c r="J595" s="1">
        <f>C23*0.02</f>
        <v>4.92</v>
      </c>
      <c r="K595" s="38">
        <f t="shared" si="83"/>
        <v>587.95000000000005</v>
      </c>
      <c r="M595" s="8">
        <v>1.08</v>
      </c>
      <c r="N595" s="1" t="s">
        <v>885</v>
      </c>
      <c r="O595" s="1" t="s">
        <v>803</v>
      </c>
      <c r="P595" s="8">
        <f>(K88)</f>
        <v>247.31</v>
      </c>
      <c r="Q595" s="1" t="s">
        <v>885</v>
      </c>
      <c r="R595" s="8">
        <f>(M595*P595)</f>
        <v>267.08999999999997</v>
      </c>
      <c r="S595" s="20">
        <v>15.2</v>
      </c>
      <c r="T595" s="7" t="s">
        <v>702</v>
      </c>
      <c r="U595" s="1" t="s">
        <v>802</v>
      </c>
      <c r="W595" s="4"/>
      <c r="X595" s="38">
        <f>X594+V594</f>
        <v>646.4</v>
      </c>
      <c r="AE595" s="51">
        <f t="shared" si="60"/>
        <v>0</v>
      </c>
    </row>
    <row r="596" spans="1:33" ht="24" customHeight="1">
      <c r="A596" s="218">
        <f t="shared" si="81"/>
        <v>404</v>
      </c>
      <c r="B596" s="219" t="s">
        <v>804</v>
      </c>
      <c r="C596" s="536">
        <v>150</v>
      </c>
      <c r="D596" s="219" t="s">
        <v>884</v>
      </c>
      <c r="H596" s="1" t="s">
        <v>3642</v>
      </c>
      <c r="I596" s="8">
        <f t="shared" si="82"/>
        <v>587.95000000000005</v>
      </c>
      <c r="J596" s="1">
        <f>C23*0.02</f>
        <v>4.92</v>
      </c>
      <c r="K596" s="38">
        <f t="shared" si="83"/>
        <v>592.87</v>
      </c>
      <c r="M596" s="12">
        <v>0.216</v>
      </c>
      <c r="N596" s="1" t="s">
        <v>885</v>
      </c>
      <c r="O596" s="1" t="s">
        <v>805</v>
      </c>
      <c r="P596" s="8">
        <f>(R60)</f>
        <v>4208.49</v>
      </c>
      <c r="Q596" s="1" t="s">
        <v>885</v>
      </c>
      <c r="R596" s="8">
        <f>(M596*P596)</f>
        <v>909.03</v>
      </c>
      <c r="W596" s="4"/>
      <c r="AE596" s="51">
        <f t="shared" si="60"/>
        <v>0</v>
      </c>
    </row>
    <row r="597" spans="1:33" ht="24" customHeight="1">
      <c r="A597" s="218">
        <f t="shared" si="81"/>
        <v>405</v>
      </c>
      <c r="B597" s="219" t="s">
        <v>4783</v>
      </c>
      <c r="C597" s="419">
        <v>21.6</v>
      </c>
      <c r="D597" s="219" t="s">
        <v>884</v>
      </c>
      <c r="H597" s="1" t="s">
        <v>3643</v>
      </c>
      <c r="I597" s="8">
        <f t="shared" si="82"/>
        <v>592.87</v>
      </c>
      <c r="J597" s="1">
        <f>C23*0.02</f>
        <v>4.92</v>
      </c>
      <c r="K597" s="38">
        <f t="shared" si="83"/>
        <v>597.79</v>
      </c>
      <c r="M597" s="12">
        <v>0.48699999999999999</v>
      </c>
      <c r="N597" s="1" t="s">
        <v>885</v>
      </c>
      <c r="O597" s="1" t="s">
        <v>2012</v>
      </c>
      <c r="P597" s="8">
        <f>AG321</f>
        <v>6772.44</v>
      </c>
      <c r="Q597" s="1" t="s">
        <v>885</v>
      </c>
      <c r="R597" s="8">
        <f>(M597*P597)</f>
        <v>3298.18</v>
      </c>
      <c r="W597" s="4"/>
      <c r="AE597" s="51" t="str">
        <f t="shared" ref="AE597:AE637" si="84">AG597</f>
        <v>|</v>
      </c>
      <c r="AG597" s="1" t="s">
        <v>2298</v>
      </c>
    </row>
    <row r="598" spans="1:33" ht="24" customHeight="1">
      <c r="A598" s="218">
        <f t="shared" si="81"/>
        <v>406</v>
      </c>
      <c r="B598" s="219" t="s">
        <v>5685</v>
      </c>
      <c r="C598" s="419">
        <v>57.65</v>
      </c>
      <c r="D598" s="419">
        <v>49.55</v>
      </c>
      <c r="E598" t="s">
        <v>5099</v>
      </c>
      <c r="H598" s="1" t="s">
        <v>3644</v>
      </c>
      <c r="I598" s="8">
        <f t="shared" si="82"/>
        <v>597.79</v>
      </c>
      <c r="J598" s="1">
        <f>C23*0.02</f>
        <v>4.92</v>
      </c>
      <c r="K598" s="38">
        <f t="shared" si="83"/>
        <v>602.71</v>
      </c>
      <c r="M598" s="12">
        <v>5.36</v>
      </c>
      <c r="N598" s="1" t="s">
        <v>621</v>
      </c>
      <c r="O598" s="1" t="s">
        <v>2013</v>
      </c>
      <c r="P598" s="8">
        <f>(R304)</f>
        <v>274.73</v>
      </c>
      <c r="Q598" s="1" t="s">
        <v>621</v>
      </c>
      <c r="R598" s="8">
        <f>(M598*P598)</f>
        <v>1472.55</v>
      </c>
      <c r="W598" s="4"/>
      <c r="AE598" s="51" t="str">
        <f t="shared" si="84"/>
        <v>|</v>
      </c>
      <c r="AG598" s="1" t="s">
        <v>2298</v>
      </c>
    </row>
    <row r="599" spans="1:33" ht="24" customHeight="1">
      <c r="A599" s="218">
        <f t="shared" si="81"/>
        <v>407</v>
      </c>
      <c r="B599" s="219" t="s">
        <v>429</v>
      </c>
      <c r="C599" s="536">
        <v>208.5</v>
      </c>
      <c r="D599" s="219" t="s">
        <v>884</v>
      </c>
      <c r="H599" s="1">
        <v>9</v>
      </c>
      <c r="I599" s="8">
        <f t="shared" si="82"/>
        <v>602.71</v>
      </c>
      <c r="J599" s="1">
        <f>C23*0.02</f>
        <v>4.92</v>
      </c>
      <c r="K599" s="38">
        <f t="shared" si="83"/>
        <v>607.63</v>
      </c>
      <c r="M599" s="12">
        <v>3.2000000000000001E-2</v>
      </c>
      <c r="N599" s="1" t="s">
        <v>885</v>
      </c>
      <c r="O599" s="1" t="s">
        <v>795</v>
      </c>
      <c r="P599" s="8">
        <f>(K643)</f>
        <v>8075</v>
      </c>
      <c r="Q599" s="1" t="s">
        <v>885</v>
      </c>
      <c r="R599" s="8">
        <f>(M599*P599)</f>
        <v>258.39999999999998</v>
      </c>
      <c r="W599" s="4"/>
      <c r="AE599" s="51" t="str">
        <f t="shared" si="84"/>
        <v>|</v>
      </c>
      <c r="AG599" s="1" t="s">
        <v>2298</v>
      </c>
    </row>
    <row r="600" spans="1:33" ht="24" customHeight="1">
      <c r="A600" s="218">
        <f t="shared" si="81"/>
        <v>408</v>
      </c>
      <c r="B600" s="604" t="s">
        <v>2077</v>
      </c>
      <c r="C600" s="707">
        <v>172</v>
      </c>
      <c r="D600" s="219" t="s">
        <v>884</v>
      </c>
      <c r="H600" s="1"/>
      <c r="I600" s="8"/>
      <c r="J600" s="1"/>
      <c r="K600" s="38"/>
      <c r="O600" s="1" t="s">
        <v>292</v>
      </c>
      <c r="R600" s="1" t="s">
        <v>992</v>
      </c>
      <c r="W600" s="4"/>
      <c r="AE600" s="51" t="str">
        <f t="shared" si="84"/>
        <v>|</v>
      </c>
      <c r="AG600" s="1" t="s">
        <v>2298</v>
      </c>
    </row>
    <row r="601" spans="1:33" ht="47.25" customHeight="1">
      <c r="A601" s="218">
        <f t="shared" si="81"/>
        <v>409</v>
      </c>
      <c r="B601" s="856" t="s">
        <v>5100</v>
      </c>
      <c r="C601" s="437">
        <f>ROUND(35.15/0.093025,2)</f>
        <v>377.86</v>
      </c>
      <c r="D601" s="219" t="s">
        <v>621</v>
      </c>
      <c r="H601" s="1"/>
      <c r="I601" s="8"/>
      <c r="J601" s="1"/>
      <c r="K601" s="38"/>
      <c r="N601" s="1" t="s">
        <v>455</v>
      </c>
      <c r="O601" s="1" t="s">
        <v>345</v>
      </c>
      <c r="Q601" s="1" t="s">
        <v>455</v>
      </c>
      <c r="R601" s="8">
        <v>2.66</v>
      </c>
      <c r="W601" s="4"/>
      <c r="AE601" s="51" t="str">
        <f t="shared" si="84"/>
        <v>|</v>
      </c>
      <c r="AG601" s="1" t="s">
        <v>2298</v>
      </c>
    </row>
    <row r="602" spans="1:33" ht="31.5">
      <c r="A602" s="218">
        <f t="shared" si="81"/>
        <v>410</v>
      </c>
      <c r="B602" s="857" t="s">
        <v>5101</v>
      </c>
      <c r="C602" s="419">
        <f>8.3/0.02</f>
        <v>415</v>
      </c>
      <c r="D602" s="219" t="s">
        <v>621</v>
      </c>
      <c r="E602" s="440">
        <f>7.25/0.02</f>
        <v>362.5</v>
      </c>
      <c r="F602" s="24">
        <v>15.2</v>
      </c>
      <c r="G602" s="7" t="s">
        <v>702</v>
      </c>
      <c r="H602" s="1" t="s">
        <v>802</v>
      </c>
      <c r="K602" s="520">
        <f>K594+J594</f>
        <v>587.95000000000005</v>
      </c>
      <c r="R602" s="5" t="s">
        <v>1615</v>
      </c>
      <c r="W602" s="4"/>
      <c r="AE602" s="51" t="str">
        <f t="shared" si="84"/>
        <v>|</v>
      </c>
      <c r="AG602" s="1" t="s">
        <v>2298</v>
      </c>
    </row>
    <row r="603" spans="1:33" ht="24" customHeight="1">
      <c r="A603" s="218">
        <f t="shared" si="81"/>
        <v>411</v>
      </c>
      <c r="B603" s="219" t="s">
        <v>346</v>
      </c>
      <c r="C603" s="536">
        <v>75</v>
      </c>
      <c r="D603" s="219" t="s">
        <v>884</v>
      </c>
      <c r="H603" s="1" t="s">
        <v>2320</v>
      </c>
      <c r="O603" s="1" t="s">
        <v>1785</v>
      </c>
      <c r="R603" s="8">
        <f>SUM(R595:R601)</f>
        <v>6207.91</v>
      </c>
      <c r="W603" s="4"/>
      <c r="AE603" s="51" t="str">
        <f t="shared" si="84"/>
        <v>|</v>
      </c>
      <c r="AG603" s="1" t="s">
        <v>2298</v>
      </c>
    </row>
    <row r="604" spans="1:33" ht="24" customHeight="1">
      <c r="A604" s="218">
        <f t="shared" si="81"/>
        <v>412</v>
      </c>
      <c r="B604" s="219" t="s">
        <v>1786</v>
      </c>
      <c r="C604" s="536">
        <v>125</v>
      </c>
      <c r="D604" s="219" t="s">
        <v>884</v>
      </c>
      <c r="F604" s="8">
        <v>1</v>
      </c>
      <c r="G604" s="7" t="s">
        <v>2322</v>
      </c>
      <c r="H604" s="1" t="s">
        <v>568</v>
      </c>
      <c r="I604" s="8">
        <f>D751</f>
        <v>408</v>
      </c>
      <c r="J604" s="1" t="s">
        <v>2322</v>
      </c>
      <c r="K604" s="8">
        <f>(F604*I604)</f>
        <v>408</v>
      </c>
      <c r="R604" s="5" t="s">
        <v>1615</v>
      </c>
      <c r="W604" s="4"/>
      <c r="AE604" s="51" t="str">
        <f t="shared" si="84"/>
        <v>|</v>
      </c>
      <c r="AG604" s="1" t="s">
        <v>2298</v>
      </c>
    </row>
    <row r="605" spans="1:33" ht="24" customHeight="1">
      <c r="A605" s="218">
        <f t="shared" si="81"/>
        <v>413</v>
      </c>
      <c r="B605" s="219" t="s">
        <v>1787</v>
      </c>
      <c r="C605" s="536">
        <v>190</v>
      </c>
      <c r="D605" s="219" t="s">
        <v>884</v>
      </c>
      <c r="F605" s="8">
        <v>0.75</v>
      </c>
      <c r="G605" s="7" t="s">
        <v>570</v>
      </c>
      <c r="H605" s="1" t="s">
        <v>571</v>
      </c>
      <c r="I605" s="8">
        <f>C10</f>
        <v>1041.7</v>
      </c>
      <c r="J605" s="1" t="s">
        <v>1423</v>
      </c>
      <c r="K605" s="8">
        <f>(F605*I605)</f>
        <v>781.28</v>
      </c>
      <c r="N605" s="1" t="s">
        <v>2290</v>
      </c>
      <c r="O605" s="1" t="s">
        <v>1946</v>
      </c>
      <c r="W605" s="4"/>
      <c r="AE605" s="51" t="str">
        <f t="shared" si="84"/>
        <v>|</v>
      </c>
      <c r="AG605" s="1" t="s">
        <v>2298</v>
      </c>
    </row>
    <row r="606" spans="1:33" ht="24" customHeight="1">
      <c r="A606" s="218">
        <f t="shared" si="81"/>
        <v>414</v>
      </c>
      <c r="B606" s="219" t="s">
        <v>1788</v>
      </c>
      <c r="C606" s="536">
        <v>16</v>
      </c>
      <c r="D606" s="219" t="s">
        <v>884</v>
      </c>
      <c r="F606" s="8">
        <v>0.75</v>
      </c>
      <c r="G606" s="7" t="s">
        <v>570</v>
      </c>
      <c r="H606" s="1" t="s">
        <v>839</v>
      </c>
      <c r="I606" s="8">
        <f>C12</f>
        <v>679.8</v>
      </c>
      <c r="J606" s="1" t="s">
        <v>1423</v>
      </c>
      <c r="K606" s="8">
        <f>(F606*I606)</f>
        <v>509.85</v>
      </c>
      <c r="O606" s="1" t="s">
        <v>1789</v>
      </c>
      <c r="W606" s="4"/>
      <c r="AE606" s="51" t="str">
        <f t="shared" si="84"/>
        <v>|</v>
      </c>
      <c r="AG606" s="1" t="s">
        <v>2298</v>
      </c>
    </row>
    <row r="607" spans="1:33" ht="24" customHeight="1">
      <c r="A607" s="218">
        <f t="shared" si="81"/>
        <v>415</v>
      </c>
      <c r="B607" s="1" t="s">
        <v>5686</v>
      </c>
      <c r="C607" s="419">
        <v>11.8</v>
      </c>
      <c r="D607" s="219" t="s">
        <v>1676</v>
      </c>
      <c r="F607" s="8">
        <v>0.5</v>
      </c>
      <c r="G607" s="7" t="s">
        <v>570</v>
      </c>
      <c r="H607" s="1" t="s">
        <v>2078</v>
      </c>
      <c r="I607" s="8">
        <f>C41</f>
        <v>770</v>
      </c>
      <c r="J607" s="1" t="s">
        <v>1423</v>
      </c>
      <c r="K607" s="8">
        <f>(F607*I607)</f>
        <v>385</v>
      </c>
      <c r="O607" s="5" t="s">
        <v>1615</v>
      </c>
      <c r="W607" s="4"/>
      <c r="AE607" s="51" t="str">
        <f t="shared" si="84"/>
        <v>|</v>
      </c>
      <c r="AG607" s="1" t="s">
        <v>2298</v>
      </c>
    </row>
    <row r="608" spans="1:33" ht="24" customHeight="1">
      <c r="A608" s="218">
        <f t="shared" si="81"/>
        <v>416</v>
      </c>
      <c r="B608" s="1" t="s">
        <v>5102</v>
      </c>
      <c r="C608" s="419">
        <f>(22.6+27.25)/2</f>
        <v>24.93</v>
      </c>
      <c r="D608" s="219" t="s">
        <v>1676</v>
      </c>
      <c r="G608" s="7" t="s">
        <v>455</v>
      </c>
      <c r="H608" s="1" t="s">
        <v>61</v>
      </c>
      <c r="J608" s="1" t="s">
        <v>455</v>
      </c>
      <c r="K608" s="8">
        <v>53.5</v>
      </c>
      <c r="M608" s="8">
        <v>1.3</v>
      </c>
      <c r="N608" s="1" t="s">
        <v>885</v>
      </c>
      <c r="O608" s="1" t="s">
        <v>803</v>
      </c>
      <c r="P608" s="8">
        <f>(K88)</f>
        <v>247.31</v>
      </c>
      <c r="Q608" s="1" t="s">
        <v>885</v>
      </c>
      <c r="R608" s="8">
        <f>(M608*P608)</f>
        <v>321.5</v>
      </c>
      <c r="W608" s="4"/>
      <c r="AE608" s="51" t="str">
        <f t="shared" si="84"/>
        <v>|</v>
      </c>
      <c r="AG608" s="1" t="s">
        <v>2298</v>
      </c>
    </row>
    <row r="609" spans="1:33" ht="24" customHeight="1">
      <c r="A609" s="218"/>
      <c r="B609" s="1" t="s">
        <v>5103</v>
      </c>
      <c r="C609" s="419">
        <v>22.6</v>
      </c>
      <c r="D609" s="219" t="s">
        <v>1676</v>
      </c>
      <c r="H609" s="1" t="s">
        <v>947</v>
      </c>
      <c r="K609" s="5" t="s">
        <v>1615</v>
      </c>
      <c r="M609" s="8"/>
      <c r="N609" s="1"/>
      <c r="O609" s="1"/>
      <c r="P609" s="8"/>
      <c r="Q609" s="1"/>
      <c r="R609" s="8"/>
      <c r="W609" s="4"/>
      <c r="AE609" s="51" t="str">
        <f t="shared" si="84"/>
        <v>|</v>
      </c>
      <c r="AG609" s="1" t="s">
        <v>2298</v>
      </c>
    </row>
    <row r="610" spans="1:33" ht="24" customHeight="1">
      <c r="A610" s="218">
        <f>(A608+1)</f>
        <v>417</v>
      </c>
      <c r="B610" s="1" t="s">
        <v>5104</v>
      </c>
      <c r="C610" s="419">
        <v>27.25</v>
      </c>
      <c r="D610" s="219" t="s">
        <v>1676</v>
      </c>
      <c r="H610" s="2" t="s">
        <v>1784</v>
      </c>
      <c r="K610" s="8">
        <f>SUM(K604:K608)</f>
        <v>2137.63</v>
      </c>
      <c r="M610" s="12">
        <v>0.216</v>
      </c>
      <c r="N610" s="1" t="s">
        <v>885</v>
      </c>
      <c r="O610" s="1" t="s">
        <v>805</v>
      </c>
      <c r="P610" s="8">
        <f>(R60)</f>
        <v>4208.49</v>
      </c>
      <c r="Q610" s="1" t="s">
        <v>885</v>
      </c>
      <c r="R610" s="8">
        <f>(M610*P610)</f>
        <v>909.03</v>
      </c>
      <c r="W610" s="4"/>
      <c r="AE610" s="51">
        <f t="shared" si="84"/>
        <v>0</v>
      </c>
      <c r="AG610" s="1"/>
    </row>
    <row r="611" spans="1:33" ht="24" customHeight="1">
      <c r="A611" s="218">
        <f t="shared" si="81"/>
        <v>418</v>
      </c>
      <c r="B611" s="219" t="s">
        <v>4784</v>
      </c>
      <c r="C611" s="536">
        <v>7.5</v>
      </c>
      <c r="D611" s="219" t="s">
        <v>785</v>
      </c>
      <c r="K611" s="5" t="s">
        <v>1615</v>
      </c>
      <c r="M611" s="12">
        <v>0.60099999999999998</v>
      </c>
      <c r="N611" s="1" t="s">
        <v>885</v>
      </c>
      <c r="O611" s="1" t="s">
        <v>2012</v>
      </c>
      <c r="P611" s="8">
        <f>P597</f>
        <v>6772.44</v>
      </c>
      <c r="Q611" s="1" t="s">
        <v>885</v>
      </c>
      <c r="R611" s="8">
        <f>(M611*P611)</f>
        <v>4070.24</v>
      </c>
      <c r="W611" s="4"/>
      <c r="AE611" s="51" t="str">
        <f t="shared" si="84"/>
        <v>|</v>
      </c>
      <c r="AG611" s="1" t="s">
        <v>2298</v>
      </c>
    </row>
    <row r="612" spans="1:33" ht="24" customHeight="1">
      <c r="A612" s="218">
        <f t="shared" si="81"/>
        <v>419</v>
      </c>
      <c r="B612" s="219" t="s">
        <v>4785</v>
      </c>
      <c r="C612" s="536">
        <v>16</v>
      </c>
      <c r="D612" s="219" t="s">
        <v>785</v>
      </c>
      <c r="E612" t="s">
        <v>1588</v>
      </c>
      <c r="H612" s="1" t="s">
        <v>391</v>
      </c>
      <c r="I612" s="8">
        <f>K610</f>
        <v>2137.63</v>
      </c>
      <c r="J612" s="1">
        <f>C22*0.04</f>
        <v>5</v>
      </c>
      <c r="K612" s="38">
        <f>(K610+C22*0.04)</f>
        <v>2142.63</v>
      </c>
      <c r="M612" s="12">
        <v>6.35</v>
      </c>
      <c r="N612" s="1" t="s">
        <v>621</v>
      </c>
      <c r="O612" s="1" t="s">
        <v>2013</v>
      </c>
      <c r="P612" s="8">
        <f>(R304)</f>
        <v>274.73</v>
      </c>
      <c r="Q612" s="1" t="s">
        <v>621</v>
      </c>
      <c r="R612" s="8">
        <f>(M612*P612)</f>
        <v>1744.54</v>
      </c>
      <c r="W612" s="4"/>
      <c r="AE612" s="51" t="str">
        <f t="shared" si="84"/>
        <v>|</v>
      </c>
      <c r="AG612" s="1" t="s">
        <v>2298</v>
      </c>
    </row>
    <row r="613" spans="1:33" ht="24" customHeight="1">
      <c r="A613" s="218">
        <f t="shared" si="81"/>
        <v>420</v>
      </c>
      <c r="B613" s="1" t="s">
        <v>5687</v>
      </c>
      <c r="C613" s="419">
        <v>3090</v>
      </c>
      <c r="D613" s="219" t="s">
        <v>799</v>
      </c>
      <c r="E613" s="431">
        <v>3484</v>
      </c>
      <c r="H613" s="1" t="s">
        <v>393</v>
      </c>
      <c r="I613" s="8">
        <f>K612</f>
        <v>2142.63</v>
      </c>
      <c r="J613" s="1">
        <f>C23*0.04</f>
        <v>9.85</v>
      </c>
      <c r="K613" s="38">
        <f>(K612+C23*0.04)</f>
        <v>2152.48</v>
      </c>
      <c r="M613" s="12">
        <v>3.2000000000000001E-2</v>
      </c>
      <c r="N613" s="1" t="s">
        <v>885</v>
      </c>
      <c r="O613" s="1" t="s">
        <v>795</v>
      </c>
      <c r="P613" s="8">
        <f>(K643)</f>
        <v>8075</v>
      </c>
      <c r="Q613" s="1" t="s">
        <v>885</v>
      </c>
      <c r="R613" s="8">
        <f>(M613*P613)</f>
        <v>258.39999999999998</v>
      </c>
      <c r="W613" s="4"/>
      <c r="AE613" s="51" t="str">
        <f t="shared" si="84"/>
        <v>|</v>
      </c>
      <c r="AG613" s="1" t="s">
        <v>2298</v>
      </c>
    </row>
    <row r="614" spans="1:33" ht="24" customHeight="1">
      <c r="A614" s="218">
        <f t="shared" si="81"/>
        <v>421</v>
      </c>
      <c r="B614" s="219" t="s">
        <v>801</v>
      </c>
      <c r="C614" s="536">
        <v>805</v>
      </c>
      <c r="D614" s="219" t="s">
        <v>799</v>
      </c>
      <c r="H614" s="1" t="s">
        <v>2271</v>
      </c>
      <c r="I614" s="8">
        <f>K613</f>
        <v>2152.48</v>
      </c>
      <c r="J614" s="1">
        <f>C23*0.04</f>
        <v>9.85</v>
      </c>
      <c r="K614" s="38">
        <f>(K613+C24*0.04)</f>
        <v>2162.33</v>
      </c>
      <c r="O614" s="1" t="s">
        <v>292</v>
      </c>
      <c r="R614" s="1" t="s">
        <v>992</v>
      </c>
      <c r="W614" s="4"/>
      <c r="AE614" s="51" t="str">
        <f t="shared" si="84"/>
        <v>|</v>
      </c>
      <c r="AG614" s="1" t="s">
        <v>2298</v>
      </c>
    </row>
    <row r="615" spans="1:33" ht="24" customHeight="1">
      <c r="A615" s="218">
        <f t="shared" si="81"/>
        <v>422</v>
      </c>
      <c r="B615" s="219" t="s">
        <v>2101</v>
      </c>
      <c r="C615" s="536">
        <f>204+53</f>
        <v>257</v>
      </c>
      <c r="D615" s="219" t="s">
        <v>799</v>
      </c>
      <c r="H615" s="1" t="s">
        <v>385</v>
      </c>
      <c r="I615" s="8">
        <f>K614</f>
        <v>2162.33</v>
      </c>
      <c r="J615" s="1">
        <f>C23*0.04</f>
        <v>9.85</v>
      </c>
      <c r="K615" s="38">
        <f>(K614+C24*0.04)</f>
        <v>2172.1799999999998</v>
      </c>
      <c r="N615" s="1" t="s">
        <v>455</v>
      </c>
      <c r="O615" s="1" t="s">
        <v>345</v>
      </c>
      <c r="Q615" s="1" t="s">
        <v>455</v>
      </c>
      <c r="R615" s="8">
        <v>2</v>
      </c>
      <c r="W615" s="4"/>
      <c r="AE615" s="51" t="str">
        <f t="shared" si="84"/>
        <v>|</v>
      </c>
      <c r="AG615" s="1" t="s">
        <v>2298</v>
      </c>
    </row>
    <row r="616" spans="1:33" ht="24" customHeight="1">
      <c r="A616" s="218">
        <f t="shared" si="81"/>
        <v>423</v>
      </c>
      <c r="B616" s="219" t="s">
        <v>1082</v>
      </c>
      <c r="C616" s="536">
        <v>53</v>
      </c>
      <c r="D616" s="219" t="s">
        <v>785</v>
      </c>
      <c r="H616" s="1" t="s">
        <v>1388</v>
      </c>
      <c r="I616" s="8">
        <f>K615</f>
        <v>2172.1799999999998</v>
      </c>
      <c r="J616" s="1">
        <f>C24*0.04</f>
        <v>9.85</v>
      </c>
      <c r="K616" s="38">
        <f>(K615+C24*0.04)</f>
        <v>2182.0300000000002</v>
      </c>
      <c r="R616" s="5" t="s">
        <v>1615</v>
      </c>
      <c r="W616" s="4"/>
      <c r="AE616" s="51" t="str">
        <f t="shared" si="84"/>
        <v>|</v>
      </c>
      <c r="AG616" s="1" t="s">
        <v>2298</v>
      </c>
    </row>
    <row r="617" spans="1:33" ht="24" customHeight="1">
      <c r="A617" s="218">
        <f t="shared" si="81"/>
        <v>424</v>
      </c>
      <c r="B617" s="1" t="s">
        <v>5688</v>
      </c>
      <c r="C617" s="419">
        <v>1672</v>
      </c>
      <c r="D617" s="219" t="s">
        <v>785</v>
      </c>
      <c r="F617" s="30">
        <v>15.1</v>
      </c>
      <c r="G617" s="7" t="s">
        <v>1791</v>
      </c>
      <c r="H617" s="1" t="s">
        <v>1637</v>
      </c>
      <c r="O617" s="1" t="s">
        <v>1785</v>
      </c>
      <c r="R617" s="8">
        <f>SUM(R608:R615)</f>
        <v>7305.71</v>
      </c>
      <c r="W617" s="4"/>
      <c r="AE617" s="51" t="str">
        <f t="shared" si="84"/>
        <v>|</v>
      </c>
      <c r="AG617" s="1" t="s">
        <v>2298</v>
      </c>
    </row>
    <row r="618" spans="1:33" ht="24" customHeight="1">
      <c r="A618" s="218">
        <f t="shared" si="81"/>
        <v>425</v>
      </c>
      <c r="B618" s="219" t="s">
        <v>411</v>
      </c>
      <c r="C618" s="536">
        <v>196</v>
      </c>
      <c r="D618" s="219" t="s">
        <v>785</v>
      </c>
      <c r="H618" s="1" t="s">
        <v>2320</v>
      </c>
      <c r="R618" s="5" t="s">
        <v>1615</v>
      </c>
      <c r="W618" s="4"/>
      <c r="AE618" s="51" t="str">
        <f t="shared" si="84"/>
        <v>|</v>
      </c>
      <c r="AG618" s="1" t="s">
        <v>2298</v>
      </c>
    </row>
    <row r="619" spans="1:33" ht="24" customHeight="1">
      <c r="A619" s="218">
        <f t="shared" si="81"/>
        <v>426</v>
      </c>
      <c r="B619" s="1" t="s">
        <v>5105</v>
      </c>
      <c r="C619" s="419">
        <v>940</v>
      </c>
      <c r="D619" s="219" t="s">
        <v>785</v>
      </c>
      <c r="F619" s="8">
        <v>10</v>
      </c>
      <c r="G619" s="7" t="s">
        <v>2322</v>
      </c>
      <c r="H619" s="1" t="s">
        <v>4251</v>
      </c>
      <c r="I619" s="63">
        <f>C751</f>
        <v>376.7</v>
      </c>
      <c r="J619" s="1" t="s">
        <v>2322</v>
      </c>
      <c r="K619" s="8">
        <f>(F619*I619)</f>
        <v>3767</v>
      </c>
      <c r="N619" s="1" t="s">
        <v>2290</v>
      </c>
      <c r="O619" s="1" t="s">
        <v>414</v>
      </c>
      <c r="W619" s="4"/>
      <c r="AE619" s="51" t="str">
        <f t="shared" si="84"/>
        <v>|</v>
      </c>
      <c r="AG619" s="1" t="s">
        <v>2298</v>
      </c>
    </row>
    <row r="620" spans="1:33" ht="24" customHeight="1">
      <c r="A620" s="218">
        <f t="shared" si="81"/>
        <v>427</v>
      </c>
      <c r="B620" s="219" t="s">
        <v>415</v>
      </c>
      <c r="C620" s="536">
        <v>193.05</v>
      </c>
      <c r="D620" s="604">
        <v>120.54</v>
      </c>
      <c r="F620" s="8">
        <v>0.12</v>
      </c>
      <c r="G620" s="7" t="s">
        <v>885</v>
      </c>
      <c r="H620" s="1" t="s">
        <v>800</v>
      </c>
      <c r="I620" s="8">
        <f>K32</f>
        <v>4628.8999999999996</v>
      </c>
      <c r="J620" s="1" t="s">
        <v>885</v>
      </c>
      <c r="K620" s="8">
        <f>(F620*I620)</f>
        <v>555.47</v>
      </c>
      <c r="O620" s="1" t="s">
        <v>417</v>
      </c>
      <c r="W620" s="4"/>
      <c r="AE620" s="51" t="str">
        <f t="shared" si="84"/>
        <v>|</v>
      </c>
      <c r="AG620" s="1" t="s">
        <v>2298</v>
      </c>
    </row>
    <row r="621" spans="1:33" ht="24" customHeight="1">
      <c r="A621" s="218">
        <f t="shared" si="81"/>
        <v>428</v>
      </c>
      <c r="B621" s="219" t="s">
        <v>418</v>
      </c>
      <c r="C621" s="480">
        <v>115.85</v>
      </c>
      <c r="D621" s="481" t="s">
        <v>1805</v>
      </c>
      <c r="E621" s="482"/>
      <c r="F621" s="8">
        <v>1</v>
      </c>
      <c r="G621" s="7" t="s">
        <v>570</v>
      </c>
      <c r="H621" s="1" t="s">
        <v>571</v>
      </c>
      <c r="I621" s="8">
        <f>C10</f>
        <v>1041.7</v>
      </c>
      <c r="J621" s="1" t="s">
        <v>1423</v>
      </c>
      <c r="K621" s="8">
        <f>(F621*I621)</f>
        <v>1041.7</v>
      </c>
      <c r="O621" s="5" t="s">
        <v>1615</v>
      </c>
      <c r="W621" s="4"/>
      <c r="AE621" s="51" t="str">
        <f t="shared" si="84"/>
        <v>|</v>
      </c>
      <c r="AG621" s="1" t="s">
        <v>2298</v>
      </c>
    </row>
    <row r="622" spans="1:33" ht="24" customHeight="1">
      <c r="A622" s="218">
        <f t="shared" si="81"/>
        <v>429</v>
      </c>
      <c r="B622" s="219" t="s">
        <v>419</v>
      </c>
      <c r="C622" s="483"/>
      <c r="D622" s="481" t="s">
        <v>1805</v>
      </c>
      <c r="E622" s="482"/>
      <c r="F622" s="8">
        <v>1</v>
      </c>
      <c r="G622" s="7" t="s">
        <v>570</v>
      </c>
      <c r="H622" s="1" t="s">
        <v>839</v>
      </c>
      <c r="I622" s="8">
        <f>C12</f>
        <v>679.8</v>
      </c>
      <c r="J622" s="1" t="s">
        <v>1423</v>
      </c>
      <c r="K622" s="8">
        <f>(F622*I622)</f>
        <v>679.8</v>
      </c>
      <c r="M622" s="8">
        <v>10.37</v>
      </c>
      <c r="N622" s="1" t="s">
        <v>885</v>
      </c>
      <c r="O622" s="1" t="s">
        <v>420</v>
      </c>
      <c r="P622" s="8">
        <f>(C61*2)</f>
        <v>233.76</v>
      </c>
      <c r="Q622" s="1" t="s">
        <v>885</v>
      </c>
      <c r="R622" s="8">
        <f t="shared" ref="R622:R630" si="85">(M622*P622)</f>
        <v>2424.09</v>
      </c>
      <c r="W622" s="4"/>
      <c r="AE622" s="51" t="str">
        <f t="shared" si="84"/>
        <v>|</v>
      </c>
      <c r="AG622" s="1" t="s">
        <v>2298</v>
      </c>
    </row>
    <row r="623" spans="1:33" ht="24" customHeight="1">
      <c r="A623" s="218">
        <f t="shared" si="81"/>
        <v>430</v>
      </c>
      <c r="B623" s="219" t="s">
        <v>4416</v>
      </c>
      <c r="C623" s="480">
        <v>76</v>
      </c>
      <c r="D623" s="481" t="s">
        <v>884</v>
      </c>
      <c r="E623" s="482"/>
      <c r="G623" s="7" t="s">
        <v>455</v>
      </c>
      <c r="H623" s="1" t="s">
        <v>61</v>
      </c>
      <c r="J623" s="1" t="s">
        <v>455</v>
      </c>
      <c r="K623" s="8">
        <v>0.33</v>
      </c>
      <c r="M623" s="8">
        <v>0.65</v>
      </c>
      <c r="N623" s="1" t="s">
        <v>885</v>
      </c>
      <c r="O623" s="1" t="s">
        <v>2100</v>
      </c>
      <c r="P623" s="8">
        <f>R60</f>
        <v>4208.49</v>
      </c>
      <c r="Q623" s="1" t="s">
        <v>885</v>
      </c>
      <c r="R623" s="8">
        <f t="shared" si="85"/>
        <v>2735.52</v>
      </c>
      <c r="W623" s="4"/>
      <c r="AE623" s="51" t="str">
        <f t="shared" si="84"/>
        <v>|</v>
      </c>
      <c r="AG623" s="1" t="s">
        <v>2298</v>
      </c>
    </row>
    <row r="624" spans="1:33" ht="24" customHeight="1">
      <c r="A624" s="218">
        <f t="shared" si="81"/>
        <v>431</v>
      </c>
      <c r="B624" s="219" t="s">
        <v>1816</v>
      </c>
      <c r="C624" s="480">
        <v>45</v>
      </c>
      <c r="D624" s="481" t="s">
        <v>884</v>
      </c>
      <c r="E624" s="482"/>
      <c r="H624" s="1" t="s">
        <v>947</v>
      </c>
      <c r="K624" s="5" t="s">
        <v>1615</v>
      </c>
      <c r="M624" s="8">
        <v>1.1399999999999999</v>
      </c>
      <c r="N624" s="1" t="s">
        <v>885</v>
      </c>
      <c r="O624" s="1" t="s">
        <v>331</v>
      </c>
      <c r="P624" s="8">
        <f>K321</f>
        <v>6761.33</v>
      </c>
      <c r="Q624" s="1" t="s">
        <v>885</v>
      </c>
      <c r="R624" s="8">
        <f t="shared" si="85"/>
        <v>7707.92</v>
      </c>
      <c r="W624" s="4"/>
      <c r="AE624" s="51" t="str">
        <f t="shared" si="84"/>
        <v>|</v>
      </c>
      <c r="AG624" s="1" t="s">
        <v>2298</v>
      </c>
    </row>
    <row r="625" spans="1:33" ht="24" customHeight="1">
      <c r="A625" s="218">
        <f t="shared" si="81"/>
        <v>432</v>
      </c>
      <c r="B625" s="219" t="s">
        <v>333</v>
      </c>
      <c r="C625" s="162">
        <v>34.299999999999997</v>
      </c>
      <c r="D625" s="219" t="s">
        <v>884</v>
      </c>
      <c r="H625" s="2" t="s">
        <v>412</v>
      </c>
      <c r="K625" s="8">
        <f>SUM(K619:K623)</f>
        <v>6044.3</v>
      </c>
      <c r="M625" s="8">
        <v>0.85</v>
      </c>
      <c r="N625" s="1" t="s">
        <v>885</v>
      </c>
      <c r="O625" s="1" t="s">
        <v>1639</v>
      </c>
      <c r="P625" s="8">
        <f>K321-K312/10</f>
        <v>5894.03</v>
      </c>
      <c r="Q625" s="1" t="s">
        <v>885</v>
      </c>
      <c r="R625" s="8">
        <f t="shared" si="85"/>
        <v>5009.93</v>
      </c>
      <c r="W625" s="4"/>
      <c r="AE625" s="51">
        <f t="shared" si="84"/>
        <v>0</v>
      </c>
      <c r="AG625" s="1"/>
    </row>
    <row r="626" spans="1:33" ht="24" customHeight="1">
      <c r="A626" s="218">
        <f t="shared" si="81"/>
        <v>433</v>
      </c>
      <c r="B626" s="1" t="s">
        <v>5689</v>
      </c>
      <c r="C626" s="419">
        <v>83.4</v>
      </c>
      <c r="D626" s="219" t="s">
        <v>884</v>
      </c>
      <c r="K626" s="5" t="s">
        <v>1615</v>
      </c>
      <c r="M626" s="8">
        <v>0.98</v>
      </c>
      <c r="N626" s="1" t="s">
        <v>885</v>
      </c>
      <c r="O626" s="1" t="s">
        <v>2257</v>
      </c>
      <c r="P626" s="8">
        <f>(C73)</f>
        <v>1704.69</v>
      </c>
      <c r="Q626" s="1" t="s">
        <v>885</v>
      </c>
      <c r="R626" s="8">
        <f t="shared" si="85"/>
        <v>1670.6</v>
      </c>
      <c r="W626" s="4"/>
      <c r="AE626" s="51" t="str">
        <f t="shared" si="84"/>
        <v>|</v>
      </c>
      <c r="AG626" s="1" t="s">
        <v>2298</v>
      </c>
    </row>
    <row r="627" spans="1:33" ht="24" customHeight="1">
      <c r="A627" s="218">
        <f t="shared" si="81"/>
        <v>434</v>
      </c>
      <c r="B627" s="219" t="s">
        <v>1115</v>
      </c>
      <c r="C627" s="536">
        <v>36.520000000000003</v>
      </c>
      <c r="D627" s="219" t="s">
        <v>884</v>
      </c>
      <c r="H627" s="2" t="s">
        <v>416</v>
      </c>
      <c r="K627" s="8">
        <f>K625/10</f>
        <v>604.42999999999995</v>
      </c>
      <c r="M627" s="8">
        <v>2.68</v>
      </c>
      <c r="N627" s="1" t="s">
        <v>885</v>
      </c>
      <c r="O627" s="1" t="s">
        <v>1055</v>
      </c>
      <c r="P627" s="8">
        <f>(C79)</f>
        <v>1608.7</v>
      </c>
      <c r="Q627" s="1" t="s">
        <v>885</v>
      </c>
      <c r="R627" s="8">
        <f t="shared" si="85"/>
        <v>4311.32</v>
      </c>
      <c r="W627" s="4"/>
      <c r="AE627" s="51" t="str">
        <f t="shared" si="84"/>
        <v>|</v>
      </c>
      <c r="AG627" s="1" t="s">
        <v>2298</v>
      </c>
    </row>
    <row r="628" spans="1:33" ht="24" customHeight="1">
      <c r="A628" s="218">
        <f t="shared" si="81"/>
        <v>435</v>
      </c>
      <c r="B628" s="219" t="s">
        <v>1642</v>
      </c>
      <c r="C628" s="221"/>
      <c r="D628" s="219" t="s">
        <v>884</v>
      </c>
      <c r="H628" s="1" t="s">
        <v>391</v>
      </c>
      <c r="I628">
        <f>K627</f>
        <v>604.42999999999995</v>
      </c>
      <c r="J628" s="10">
        <f>C22*0.02</f>
        <v>2.5</v>
      </c>
      <c r="K628" s="38">
        <f>I628+J628</f>
        <v>606.92999999999995</v>
      </c>
      <c r="M628" s="8">
        <v>7.24</v>
      </c>
      <c r="N628" s="1" t="s">
        <v>621</v>
      </c>
      <c r="O628" s="1" t="s">
        <v>1644</v>
      </c>
      <c r="P628" s="8">
        <f>(K1400)</f>
        <v>258.99</v>
      </c>
      <c r="Q628" s="1" t="s">
        <v>621</v>
      </c>
      <c r="R628" s="8">
        <f t="shared" si="85"/>
        <v>1875.09</v>
      </c>
      <c r="W628" s="4"/>
      <c r="AE628" s="51" t="str">
        <f t="shared" si="84"/>
        <v>|</v>
      </c>
      <c r="AG628" s="1" t="s">
        <v>2298</v>
      </c>
    </row>
    <row r="629" spans="1:33" ht="24" customHeight="1">
      <c r="A629" s="218">
        <f t="shared" si="81"/>
        <v>436</v>
      </c>
      <c r="B629" s="522" t="s">
        <v>4786</v>
      </c>
      <c r="C629" s="419">
        <v>104.1</v>
      </c>
      <c r="D629" s="220">
        <v>93.72</v>
      </c>
      <c r="H629" s="1" t="s">
        <v>393</v>
      </c>
      <c r="I629">
        <f>K628</f>
        <v>606.92999999999995</v>
      </c>
      <c r="J629" s="10">
        <f>C23*0.02</f>
        <v>4.92</v>
      </c>
      <c r="K629" s="38">
        <f>I629+J629</f>
        <v>611.85</v>
      </c>
      <c r="M629" s="8">
        <v>1</v>
      </c>
      <c r="N629" s="1" t="s">
        <v>884</v>
      </c>
      <c r="O629" s="1" t="s">
        <v>1502</v>
      </c>
      <c r="P629" s="8">
        <f>(C203)</f>
        <v>128</v>
      </c>
      <c r="Q629" s="1" t="s">
        <v>884</v>
      </c>
      <c r="R629" s="8">
        <f t="shared" si="85"/>
        <v>128</v>
      </c>
      <c r="W629" s="4"/>
      <c r="AE629" s="51" t="str">
        <f t="shared" si="84"/>
        <v>|</v>
      </c>
      <c r="AG629" s="1" t="s">
        <v>2298</v>
      </c>
    </row>
    <row r="630" spans="1:33" ht="24" customHeight="1">
      <c r="A630" s="218">
        <f t="shared" si="81"/>
        <v>437</v>
      </c>
      <c r="B630" s="522" t="s">
        <v>1503</v>
      </c>
      <c r="C630" s="419">
        <v>69.599999999999994</v>
      </c>
      <c r="D630" s="219" t="s">
        <v>884</v>
      </c>
      <c r="H630" s="1" t="s">
        <v>2271</v>
      </c>
      <c r="I630">
        <f>K629</f>
        <v>611.85</v>
      </c>
      <c r="J630" s="10">
        <f>J629</f>
        <v>4.92</v>
      </c>
      <c r="K630" s="38">
        <f>I630+J630</f>
        <v>616.77</v>
      </c>
      <c r="M630" s="12">
        <v>0.13600000000000001</v>
      </c>
      <c r="N630" s="1" t="s">
        <v>885</v>
      </c>
      <c r="O630" s="1" t="s">
        <v>1000</v>
      </c>
      <c r="P630" s="8">
        <f>(K643)</f>
        <v>8075</v>
      </c>
      <c r="Q630" s="1" t="s">
        <v>885</v>
      </c>
      <c r="R630" s="8">
        <f t="shared" si="85"/>
        <v>1098.2</v>
      </c>
      <c r="W630" s="4"/>
      <c r="AE630" s="51" t="str">
        <f t="shared" si="84"/>
        <v>|</v>
      </c>
      <c r="AG630" s="1" t="s">
        <v>2298</v>
      </c>
    </row>
    <row r="631" spans="1:33" ht="24" customHeight="1">
      <c r="A631" s="218">
        <f t="shared" si="81"/>
        <v>438</v>
      </c>
      <c r="B631" s="219" t="s">
        <v>1001</v>
      </c>
      <c r="C631" s="162">
        <v>30.25</v>
      </c>
      <c r="D631" s="219" t="s">
        <v>884</v>
      </c>
      <c r="H631" s="1" t="s">
        <v>385</v>
      </c>
      <c r="I631">
        <f>K630</f>
        <v>616.77</v>
      </c>
      <c r="J631" s="10">
        <f>J630</f>
        <v>4.92</v>
      </c>
      <c r="K631" s="38">
        <f>I631+J631</f>
        <v>621.69000000000005</v>
      </c>
      <c r="O631" s="1" t="s">
        <v>130</v>
      </c>
      <c r="W631" s="4"/>
      <c r="AE631" s="51" t="str">
        <f t="shared" si="84"/>
        <v>|</v>
      </c>
      <c r="AG631" s="1" t="s">
        <v>2298</v>
      </c>
    </row>
    <row r="632" spans="1:33" ht="24" customHeight="1">
      <c r="A632" s="218">
        <f t="shared" si="81"/>
        <v>439</v>
      </c>
      <c r="B632" s="522" t="s">
        <v>4787</v>
      </c>
      <c r="C632" s="419">
        <v>167.1</v>
      </c>
      <c r="D632" s="219" t="s">
        <v>884</v>
      </c>
      <c r="H632" s="1" t="s">
        <v>1388</v>
      </c>
      <c r="I632">
        <f>K631</f>
        <v>621.69000000000005</v>
      </c>
      <c r="J632" s="10">
        <f>J631</f>
        <v>4.92</v>
      </c>
      <c r="K632" s="38">
        <f>I632+J632</f>
        <v>626.61</v>
      </c>
      <c r="N632" s="1" t="s">
        <v>455</v>
      </c>
      <c r="O632" s="1" t="s">
        <v>345</v>
      </c>
      <c r="Q632" s="1" t="s">
        <v>455</v>
      </c>
      <c r="R632" s="8">
        <v>2.2400000000000002</v>
      </c>
      <c r="W632" s="4"/>
      <c r="AE632" s="51" t="str">
        <f t="shared" si="84"/>
        <v>|</v>
      </c>
      <c r="AG632" s="1" t="s">
        <v>2298</v>
      </c>
    </row>
    <row r="633" spans="1:33" ht="24" customHeight="1">
      <c r="A633" s="218">
        <f t="shared" si="81"/>
        <v>440</v>
      </c>
      <c r="B633" s="522" t="s">
        <v>1510</v>
      </c>
      <c r="C633" s="419">
        <v>104.1</v>
      </c>
      <c r="D633" s="219" t="s">
        <v>884</v>
      </c>
      <c r="F633" s="2" t="s">
        <v>1641</v>
      </c>
      <c r="G633" s="7" t="s">
        <v>2290</v>
      </c>
      <c r="H633" s="1" t="s">
        <v>898</v>
      </c>
      <c r="R633" s="5" t="s">
        <v>1615</v>
      </c>
      <c r="W633" s="4"/>
      <c r="AE633" s="51" t="str">
        <f t="shared" si="84"/>
        <v>|</v>
      </c>
      <c r="AG633" s="1" t="s">
        <v>2298</v>
      </c>
    </row>
    <row r="634" spans="1:33" ht="24" customHeight="1">
      <c r="A634" s="218">
        <f t="shared" si="81"/>
        <v>441</v>
      </c>
      <c r="B634" s="219" t="s">
        <v>1511</v>
      </c>
      <c r="C634" s="221"/>
      <c r="D634" s="219" t="s">
        <v>884</v>
      </c>
      <c r="H634" s="1" t="s">
        <v>1116</v>
      </c>
      <c r="O634" s="1" t="s">
        <v>1785</v>
      </c>
      <c r="R634" s="8">
        <f>SUM(R622:R632)</f>
        <v>26962.91</v>
      </c>
      <c r="W634" s="4"/>
      <c r="AE634" s="51" t="str">
        <f t="shared" si="84"/>
        <v>|</v>
      </c>
      <c r="AG634" s="1" t="s">
        <v>2298</v>
      </c>
    </row>
    <row r="635" spans="1:33" ht="24" customHeight="1">
      <c r="A635" s="218">
        <f t="shared" si="81"/>
        <v>442</v>
      </c>
      <c r="B635" s="522" t="s">
        <v>4788</v>
      </c>
      <c r="C635" s="419">
        <v>195.2</v>
      </c>
      <c r="D635" s="219" t="s">
        <v>884</v>
      </c>
      <c r="H635" s="1" t="s">
        <v>1643</v>
      </c>
      <c r="R635" s="5" t="s">
        <v>1615</v>
      </c>
      <c r="W635" s="4"/>
      <c r="AE635" s="51" t="str">
        <f t="shared" si="84"/>
        <v>|</v>
      </c>
      <c r="AG635" s="1" t="s">
        <v>2298</v>
      </c>
    </row>
    <row r="636" spans="1:33" ht="24" customHeight="1">
      <c r="A636" s="218">
        <f t="shared" si="81"/>
        <v>443</v>
      </c>
      <c r="B636" s="522" t="s">
        <v>440</v>
      </c>
      <c r="C636" s="419">
        <v>125.2</v>
      </c>
      <c r="D636" s="219" t="s">
        <v>884</v>
      </c>
      <c r="H636" s="5" t="s">
        <v>1615</v>
      </c>
      <c r="N636" s="1" t="s">
        <v>2290</v>
      </c>
      <c r="O636" s="1" t="s">
        <v>441</v>
      </c>
      <c r="W636" s="4"/>
      <c r="AE636" s="51" t="str">
        <f t="shared" si="84"/>
        <v>|</v>
      </c>
      <c r="AG636" s="1" t="s">
        <v>2298</v>
      </c>
    </row>
    <row r="637" spans="1:33" ht="24" customHeight="1">
      <c r="A637" s="221"/>
      <c r="B637" s="221"/>
      <c r="C637" s="221"/>
      <c r="D637" s="221"/>
      <c r="F637" s="8">
        <v>0.01</v>
      </c>
      <c r="G637" s="7" t="s">
        <v>885</v>
      </c>
      <c r="H637" s="1" t="s">
        <v>1504</v>
      </c>
      <c r="I637" s="8">
        <f>(K280)</f>
        <v>7959.86</v>
      </c>
      <c r="J637" s="1" t="s">
        <v>885</v>
      </c>
      <c r="K637" s="8">
        <f>(F637*I637)</f>
        <v>79.599999999999994</v>
      </c>
      <c r="W637" s="4"/>
      <c r="AE637" s="51" t="str">
        <f t="shared" si="84"/>
        <v>|</v>
      </c>
      <c r="AG637" s="1" t="s">
        <v>2298</v>
      </c>
    </row>
    <row r="638" spans="1:33" ht="24" customHeight="1">
      <c r="A638" s="218">
        <f>(A636+1)</f>
        <v>444</v>
      </c>
      <c r="B638" s="219" t="s">
        <v>1120</v>
      </c>
      <c r="C638" s="221"/>
      <c r="D638" s="219" t="s">
        <v>884</v>
      </c>
      <c r="F638" s="8">
        <v>0.01</v>
      </c>
      <c r="G638" s="7" t="s">
        <v>885</v>
      </c>
      <c r="H638" s="1" t="s">
        <v>1002</v>
      </c>
      <c r="J638" s="1" t="s">
        <v>455</v>
      </c>
      <c r="K638" s="8">
        <v>1.1499999999999999</v>
      </c>
      <c r="O638" s="1" t="s">
        <v>1121</v>
      </c>
      <c r="S638" s="2" t="s">
        <v>165</v>
      </c>
      <c r="T638" s="7" t="s">
        <v>2290</v>
      </c>
      <c r="U638" s="33" t="s">
        <v>4163</v>
      </c>
      <c r="W638" s="4"/>
      <c r="AA638" s="2" t="s">
        <v>165</v>
      </c>
      <c r="AB638" s="7" t="s">
        <v>2290</v>
      </c>
      <c r="AC638" s="33" t="s">
        <v>4308</v>
      </c>
      <c r="AE638" s="10"/>
    </row>
    <row r="639" spans="1:33" ht="24" customHeight="1">
      <c r="A639" s="218">
        <f t="shared" ref="A639:A702" si="86">(A638+1)</f>
        <v>445</v>
      </c>
      <c r="B639" s="522" t="s">
        <v>4439</v>
      </c>
      <c r="C639" s="419">
        <v>298.60000000000002</v>
      </c>
      <c r="D639" s="219" t="s">
        <v>884</v>
      </c>
      <c r="H639" s="1" t="s">
        <v>132</v>
      </c>
      <c r="O639" s="5" t="s">
        <v>1615</v>
      </c>
      <c r="S639"/>
      <c r="T639" s="3"/>
      <c r="U639" s="1" t="s">
        <v>1407</v>
      </c>
      <c r="W639" s="4"/>
      <c r="AB639" s="3"/>
      <c r="AC639" s="1" t="s">
        <v>1407</v>
      </c>
      <c r="AE639" s="10"/>
    </row>
    <row r="640" spans="1:33" ht="24" customHeight="1">
      <c r="A640" s="218">
        <f t="shared" si="86"/>
        <v>446</v>
      </c>
      <c r="B640" s="522" t="s">
        <v>1683</v>
      </c>
      <c r="C640" s="419">
        <v>208.1</v>
      </c>
      <c r="D640" s="219" t="s">
        <v>884</v>
      </c>
      <c r="K640" s="5" t="s">
        <v>1615</v>
      </c>
      <c r="M640" s="8">
        <v>3</v>
      </c>
      <c r="N640" s="1" t="s">
        <v>885</v>
      </c>
      <c r="O640" s="1" t="s">
        <v>1685</v>
      </c>
      <c r="P640" s="8">
        <f>(C61*2)</f>
        <v>233.76</v>
      </c>
      <c r="Q640" s="1" t="s">
        <v>885</v>
      </c>
      <c r="R640" s="8">
        <f>(M640*P640)</f>
        <v>701.28</v>
      </c>
      <c r="S640"/>
      <c r="T640" s="3"/>
      <c r="U640" s="1" t="s">
        <v>134</v>
      </c>
      <c r="W640" s="4"/>
      <c r="AB640" s="3"/>
      <c r="AC640" s="1" t="s">
        <v>134</v>
      </c>
      <c r="AE640" s="10"/>
    </row>
    <row r="641" spans="1:32" ht="24" customHeight="1">
      <c r="A641" s="218">
        <f t="shared" si="86"/>
        <v>447</v>
      </c>
      <c r="B641" s="219" t="s">
        <v>634</v>
      </c>
      <c r="C641" s="221"/>
      <c r="D641" s="219" t="s">
        <v>884</v>
      </c>
      <c r="H641" s="1" t="s">
        <v>1512</v>
      </c>
      <c r="K641" s="8">
        <f>SUM(K637:K639)</f>
        <v>80.75</v>
      </c>
      <c r="M641" s="8">
        <v>2.4</v>
      </c>
      <c r="N641" s="1" t="s">
        <v>885</v>
      </c>
      <c r="O641" s="1" t="s">
        <v>1664</v>
      </c>
      <c r="P641" s="8">
        <f>(C81)</f>
        <v>862.5</v>
      </c>
      <c r="Q641" s="1" t="s">
        <v>885</v>
      </c>
      <c r="R641" s="8">
        <f>(M641*P641)</f>
        <v>2070</v>
      </c>
      <c r="S641"/>
      <c r="T641" s="3"/>
      <c r="U641" s="5" t="s">
        <v>1615</v>
      </c>
      <c r="W641" s="4"/>
      <c r="AB641" s="3"/>
      <c r="AC641" s="5" t="s">
        <v>1615</v>
      </c>
      <c r="AE641" s="10"/>
    </row>
    <row r="642" spans="1:32" ht="24" customHeight="1">
      <c r="A642" s="218">
        <f t="shared" si="86"/>
        <v>448</v>
      </c>
      <c r="B642" s="522" t="s">
        <v>4790</v>
      </c>
      <c r="C642" s="419">
        <v>159.9</v>
      </c>
      <c r="D642" s="219" t="s">
        <v>884</v>
      </c>
      <c r="K642" s="5" t="s">
        <v>1615</v>
      </c>
      <c r="M642" s="8">
        <v>5</v>
      </c>
      <c r="N642" s="1" t="s">
        <v>884</v>
      </c>
      <c r="O642" s="1" t="s">
        <v>619</v>
      </c>
      <c r="P642" s="8">
        <f>(C204)</f>
        <v>63.4</v>
      </c>
      <c r="Q642" s="1" t="s">
        <v>884</v>
      </c>
      <c r="R642" s="8">
        <f>(M642*P642)</f>
        <v>317</v>
      </c>
      <c r="S642" s="12">
        <v>8.3000000000000007</v>
      </c>
      <c r="T642" s="7" t="s">
        <v>885</v>
      </c>
      <c r="U642" s="1" t="s">
        <v>4164</v>
      </c>
      <c r="V642" s="8">
        <f>AC11</f>
        <v>1000.02</v>
      </c>
      <c r="W642" s="2" t="s">
        <v>885</v>
      </c>
      <c r="X642" s="8">
        <f t="shared" ref="X642:X648" si="87">S642*V642</f>
        <v>8300.17</v>
      </c>
      <c r="AA642" s="12">
        <v>8.3000000000000007</v>
      </c>
      <c r="AB642" s="7" t="s">
        <v>885</v>
      </c>
      <c r="AC642" s="1" t="s">
        <v>4164</v>
      </c>
      <c r="AD642" s="8">
        <f>V642</f>
        <v>1000.02</v>
      </c>
      <c r="AE642" s="1" t="s">
        <v>885</v>
      </c>
      <c r="AF642" s="8">
        <f t="shared" ref="AF642:AF648" si="88">AA642*AD642</f>
        <v>8300.17</v>
      </c>
    </row>
    <row r="643" spans="1:32" ht="24" customHeight="1">
      <c r="A643" s="218">
        <f t="shared" si="86"/>
        <v>449</v>
      </c>
      <c r="B643" s="522" t="s">
        <v>1807</v>
      </c>
      <c r="C643" s="419">
        <v>97.3</v>
      </c>
      <c r="D643" s="219" t="s">
        <v>884</v>
      </c>
      <c r="H643" s="1" t="s">
        <v>789</v>
      </c>
      <c r="K643" s="8">
        <f>ROUND(K641*100,0)</f>
        <v>8075</v>
      </c>
      <c r="O643" s="1" t="s">
        <v>456</v>
      </c>
      <c r="Q643" s="1" t="s">
        <v>455</v>
      </c>
      <c r="R643" s="8">
        <v>0.08</v>
      </c>
      <c r="S643" s="12">
        <v>3.25</v>
      </c>
      <c r="T643" s="7" t="s">
        <v>877</v>
      </c>
      <c r="U643" s="1" t="s">
        <v>878</v>
      </c>
      <c r="V643" s="8">
        <f>I808</f>
        <v>6040</v>
      </c>
      <c r="W643" s="2" t="s">
        <v>877</v>
      </c>
      <c r="X643" s="8">
        <f t="shared" si="87"/>
        <v>19630</v>
      </c>
      <c r="AA643" s="12">
        <v>4</v>
      </c>
      <c r="AB643" s="7" t="s">
        <v>877</v>
      </c>
      <c r="AC643" s="1" t="s">
        <v>878</v>
      </c>
      <c r="AD643" s="8">
        <f t="shared" ref="AD643:AD648" si="89">V643</f>
        <v>6040</v>
      </c>
      <c r="AE643" s="1" t="s">
        <v>877</v>
      </c>
      <c r="AF643" s="8">
        <f t="shared" si="88"/>
        <v>24160</v>
      </c>
    </row>
    <row r="644" spans="1:32" ht="24" customHeight="1">
      <c r="A644" s="218">
        <f t="shared" si="86"/>
        <v>450</v>
      </c>
      <c r="B644" s="219" t="s">
        <v>1809</v>
      </c>
      <c r="C644" s="221"/>
      <c r="D644" s="219" t="s">
        <v>884</v>
      </c>
      <c r="F644" s="1" t="s">
        <v>992</v>
      </c>
      <c r="R644" s="5" t="s">
        <v>1615</v>
      </c>
      <c r="S644" s="12">
        <v>4.79</v>
      </c>
      <c r="T644" s="7" t="s">
        <v>885</v>
      </c>
      <c r="U644" s="1" t="s">
        <v>886</v>
      </c>
      <c r="V644" s="8">
        <f>I809</f>
        <v>1608.7</v>
      </c>
      <c r="W644" s="2" t="s">
        <v>885</v>
      </c>
      <c r="X644" s="8">
        <f t="shared" si="87"/>
        <v>7705.67</v>
      </c>
      <c r="AA644" s="12">
        <v>4.79</v>
      </c>
      <c r="AB644" s="7" t="s">
        <v>885</v>
      </c>
      <c r="AC644" s="1" t="s">
        <v>886</v>
      </c>
      <c r="AD644" s="8">
        <f t="shared" si="89"/>
        <v>1608.7</v>
      </c>
      <c r="AE644" s="1" t="s">
        <v>885</v>
      </c>
      <c r="AF644" s="8">
        <f t="shared" si="88"/>
        <v>7705.67</v>
      </c>
    </row>
    <row r="645" spans="1:32" ht="24" customHeight="1">
      <c r="A645" s="218">
        <f t="shared" si="86"/>
        <v>451</v>
      </c>
      <c r="B645" s="522" t="s">
        <v>4789</v>
      </c>
      <c r="C645" s="419">
        <v>187.8</v>
      </c>
      <c r="D645" s="219" t="s">
        <v>884</v>
      </c>
      <c r="K645" s="5" t="s">
        <v>2091</v>
      </c>
      <c r="O645" s="1" t="s">
        <v>1785</v>
      </c>
      <c r="R645" s="8">
        <f>SUM(R640:R643)</f>
        <v>3088.36</v>
      </c>
      <c r="S645" s="12">
        <v>3.5</v>
      </c>
      <c r="T645" s="7" t="s">
        <v>884</v>
      </c>
      <c r="U645" s="1" t="s">
        <v>1744</v>
      </c>
      <c r="V645" s="8">
        <f>C11</f>
        <v>972.4</v>
      </c>
      <c r="W645" s="2" t="s">
        <v>884</v>
      </c>
      <c r="X645" s="8">
        <f t="shared" si="87"/>
        <v>3403.4</v>
      </c>
      <c r="AA645" s="12">
        <v>3.5</v>
      </c>
      <c r="AB645" s="7" t="s">
        <v>884</v>
      </c>
      <c r="AC645" s="1" t="s">
        <v>1744</v>
      </c>
      <c r="AD645" s="8">
        <f t="shared" si="89"/>
        <v>972.4</v>
      </c>
      <c r="AE645" s="1" t="s">
        <v>884</v>
      </c>
      <c r="AF645" s="8">
        <f t="shared" si="88"/>
        <v>3403.4</v>
      </c>
    </row>
    <row r="646" spans="1:32" ht="24" customHeight="1">
      <c r="A646" s="218">
        <f t="shared" si="86"/>
        <v>452</v>
      </c>
      <c r="B646" s="522" t="s">
        <v>1666</v>
      </c>
      <c r="C646" s="419">
        <v>125.2</v>
      </c>
      <c r="D646" s="219" t="s">
        <v>884</v>
      </c>
      <c r="G646" s="7" t="s">
        <v>687</v>
      </c>
      <c r="H646" s="1" t="s">
        <v>1009</v>
      </c>
      <c r="R646" s="5" t="s">
        <v>1615</v>
      </c>
      <c r="S646" s="12">
        <v>21.2</v>
      </c>
      <c r="T646" s="7" t="s">
        <v>884</v>
      </c>
      <c r="U646" s="1" t="s">
        <v>1937</v>
      </c>
      <c r="V646" s="8">
        <f>C12</f>
        <v>679.8</v>
      </c>
      <c r="W646" s="2" t="s">
        <v>884</v>
      </c>
      <c r="X646" s="8">
        <f t="shared" si="87"/>
        <v>14411.76</v>
      </c>
      <c r="AA646" s="12">
        <v>21.2</v>
      </c>
      <c r="AB646" s="7" t="s">
        <v>884</v>
      </c>
      <c r="AC646" s="1" t="s">
        <v>1937</v>
      </c>
      <c r="AD646" s="8">
        <f t="shared" si="89"/>
        <v>679.8</v>
      </c>
      <c r="AE646" s="1" t="s">
        <v>884</v>
      </c>
      <c r="AF646" s="8">
        <f t="shared" si="88"/>
        <v>14411.76</v>
      </c>
    </row>
    <row r="647" spans="1:32" ht="24" customHeight="1">
      <c r="A647" s="218">
        <f t="shared" si="86"/>
        <v>453</v>
      </c>
      <c r="B647" s="219" t="s">
        <v>1667</v>
      </c>
      <c r="C647" s="221"/>
      <c r="D647" s="219" t="s">
        <v>884</v>
      </c>
      <c r="H647" s="1" t="s">
        <v>1684</v>
      </c>
      <c r="S647" s="12">
        <v>35.299999999999997</v>
      </c>
      <c r="T647" s="7" t="s">
        <v>884</v>
      </c>
      <c r="U647" s="1" t="s">
        <v>325</v>
      </c>
      <c r="V647" s="8">
        <f>C13</f>
        <v>557.70000000000005</v>
      </c>
      <c r="W647" s="2" t="s">
        <v>884</v>
      </c>
      <c r="X647" s="8">
        <f t="shared" si="87"/>
        <v>19686.810000000001</v>
      </c>
      <c r="AA647" s="12">
        <v>35.299999999999997</v>
      </c>
      <c r="AB647" s="7" t="s">
        <v>884</v>
      </c>
      <c r="AC647" s="1" t="s">
        <v>325</v>
      </c>
      <c r="AD647" s="8">
        <f t="shared" si="89"/>
        <v>557.70000000000005</v>
      </c>
      <c r="AE647" s="1" t="s">
        <v>884</v>
      </c>
      <c r="AF647" s="8">
        <f t="shared" si="88"/>
        <v>19686.810000000001</v>
      </c>
    </row>
    <row r="648" spans="1:32" ht="24" customHeight="1">
      <c r="A648" s="218">
        <f t="shared" si="86"/>
        <v>454</v>
      </c>
      <c r="B648" s="522" t="s">
        <v>4791</v>
      </c>
      <c r="C648" s="419">
        <v>82.3</v>
      </c>
      <c r="D648" s="219" t="s">
        <v>884</v>
      </c>
      <c r="H648" s="5" t="s">
        <v>1615</v>
      </c>
      <c r="N648" s="1" t="s">
        <v>2290</v>
      </c>
      <c r="O648" s="1" t="s">
        <v>63</v>
      </c>
      <c r="S648" s="6">
        <v>19.5</v>
      </c>
      <c r="T648" s="3"/>
      <c r="U648" s="1" t="s">
        <v>4165</v>
      </c>
      <c r="V648" s="431">
        <f>C149</f>
        <v>43.2</v>
      </c>
      <c r="W648" s="2" t="s">
        <v>455</v>
      </c>
      <c r="X648" s="8">
        <f t="shared" si="87"/>
        <v>842.4</v>
      </c>
      <c r="AA648" s="6">
        <v>40</v>
      </c>
      <c r="AB648" s="3"/>
      <c r="AC648" s="1" t="s">
        <v>4165</v>
      </c>
      <c r="AD648" s="8">
        <f t="shared" si="89"/>
        <v>43.2</v>
      </c>
      <c r="AE648" s="1" t="s">
        <v>455</v>
      </c>
      <c r="AF648" s="8">
        <f t="shared" si="88"/>
        <v>1728</v>
      </c>
    </row>
    <row r="649" spans="1:32" ht="24" customHeight="1">
      <c r="A649" s="218">
        <f t="shared" si="86"/>
        <v>455</v>
      </c>
      <c r="B649" s="522" t="s">
        <v>1996</v>
      </c>
      <c r="C649" s="419">
        <v>55.5</v>
      </c>
      <c r="D649" s="219" t="s">
        <v>884</v>
      </c>
      <c r="F649" s="12">
        <v>1.4E-2</v>
      </c>
      <c r="G649" s="7" t="s">
        <v>885</v>
      </c>
      <c r="H649" s="1" t="s">
        <v>1349</v>
      </c>
      <c r="I649" s="8">
        <f>(K643)</f>
        <v>8075</v>
      </c>
      <c r="J649" s="1" t="s">
        <v>885</v>
      </c>
      <c r="K649" s="8">
        <f>(F649*I649)</f>
        <v>113.05</v>
      </c>
      <c r="O649" s="1" t="s">
        <v>1997</v>
      </c>
      <c r="S649"/>
      <c r="T649" s="3"/>
      <c r="W649" s="4"/>
      <c r="X649" s="5" t="s">
        <v>1615</v>
      </c>
      <c r="AB649" s="3"/>
      <c r="AE649" s="10"/>
      <c r="AF649" s="5" t="s">
        <v>1615</v>
      </c>
    </row>
    <row r="650" spans="1:32" ht="24" customHeight="1">
      <c r="A650" s="218">
        <f t="shared" si="86"/>
        <v>456</v>
      </c>
      <c r="B650" s="522" t="s">
        <v>1998</v>
      </c>
      <c r="C650" s="431">
        <v>34.4</v>
      </c>
      <c r="D650" s="219" t="s">
        <v>884</v>
      </c>
      <c r="F650" s="12"/>
      <c r="H650" s="1" t="s">
        <v>1808</v>
      </c>
      <c r="K650" s="1" t="s">
        <v>992</v>
      </c>
      <c r="O650" s="1" t="s">
        <v>1999</v>
      </c>
      <c r="S650"/>
      <c r="T650" s="3"/>
      <c r="U650" s="2" t="s">
        <v>626</v>
      </c>
      <c r="W650" s="4"/>
      <c r="X650" s="8">
        <f>SUM(X642:X648)</f>
        <v>73980.210000000006</v>
      </c>
      <c r="AB650" s="3"/>
      <c r="AC650" s="2" t="s">
        <v>626</v>
      </c>
      <c r="AE650" s="10"/>
      <c r="AF650" s="8">
        <f>SUM(AF642:AF648)</f>
        <v>79395.81</v>
      </c>
    </row>
    <row r="651" spans="1:32" ht="24" customHeight="1">
      <c r="A651" s="218">
        <f t="shared" si="86"/>
        <v>457</v>
      </c>
      <c r="B651" s="219" t="s">
        <v>2000</v>
      </c>
      <c r="C651" s="536">
        <v>155.32</v>
      </c>
      <c r="D651" s="219" t="s">
        <v>884</v>
      </c>
      <c r="F651" s="8">
        <v>0.5</v>
      </c>
      <c r="G651" s="7" t="s">
        <v>785</v>
      </c>
      <c r="H651" s="1" t="s">
        <v>2045</v>
      </c>
      <c r="I651" s="8">
        <f>(C10)</f>
        <v>1041.7</v>
      </c>
      <c r="J651" s="1" t="s">
        <v>785</v>
      </c>
      <c r="K651" s="8">
        <f>(F651*I651)</f>
        <v>520.85</v>
      </c>
      <c r="O651" s="5" t="s">
        <v>1615</v>
      </c>
      <c r="S651"/>
      <c r="T651" s="3"/>
      <c r="W651" s="4"/>
      <c r="X651" s="5" t="s">
        <v>2091</v>
      </c>
      <c r="AB651" s="3"/>
      <c r="AE651" s="10"/>
      <c r="AF651" s="5" t="s">
        <v>2091</v>
      </c>
    </row>
    <row r="652" spans="1:32" ht="24" customHeight="1">
      <c r="A652" s="218">
        <f t="shared" si="86"/>
        <v>458</v>
      </c>
      <c r="B652" s="219" t="s">
        <v>1801</v>
      </c>
      <c r="C652" s="536">
        <v>91.08</v>
      </c>
      <c r="D652" s="219" t="s">
        <v>884</v>
      </c>
      <c r="F652" s="8">
        <v>0.75</v>
      </c>
      <c r="G652" s="7" t="s">
        <v>785</v>
      </c>
      <c r="H652" s="1" t="s">
        <v>1937</v>
      </c>
      <c r="I652" s="8">
        <f>(C12)</f>
        <v>679.8</v>
      </c>
      <c r="J652" s="1" t="s">
        <v>785</v>
      </c>
      <c r="K652" s="8">
        <f>(F652*I652)</f>
        <v>509.85</v>
      </c>
      <c r="M652" s="8">
        <v>9.5</v>
      </c>
      <c r="N652" s="1" t="s">
        <v>885</v>
      </c>
      <c r="O652" s="1" t="s">
        <v>1685</v>
      </c>
      <c r="P652" s="8">
        <f>(C61*2)</f>
        <v>233.76</v>
      </c>
      <c r="Q652" s="1" t="s">
        <v>885</v>
      </c>
      <c r="R652" s="8">
        <f t="shared" ref="R652:R660" si="90">(M652*P652)</f>
        <v>2220.7199999999998</v>
      </c>
      <c r="S652"/>
      <c r="T652" s="3"/>
      <c r="U652" s="1" t="s">
        <v>789</v>
      </c>
      <c r="W652" s="4"/>
      <c r="X652" s="8">
        <f>X650/10</f>
        <v>7398.02</v>
      </c>
      <c r="AB652" s="3"/>
      <c r="AC652" s="1" t="s">
        <v>789</v>
      </c>
      <c r="AE652" s="10"/>
      <c r="AF652" s="8">
        <f>AF650/10</f>
        <v>7939.58</v>
      </c>
    </row>
    <row r="653" spans="1:32" ht="24" customHeight="1">
      <c r="A653" s="218">
        <f t="shared" si="86"/>
        <v>459</v>
      </c>
      <c r="B653" s="1" t="s">
        <v>5106</v>
      </c>
      <c r="C653" s="419">
        <v>42.7</v>
      </c>
      <c r="D653" s="219" t="s">
        <v>1676</v>
      </c>
      <c r="G653" s="7" t="s">
        <v>455</v>
      </c>
      <c r="H653" s="1" t="s">
        <v>456</v>
      </c>
      <c r="J653" s="1" t="s">
        <v>455</v>
      </c>
      <c r="K653" s="8">
        <v>0</v>
      </c>
      <c r="M653" s="8">
        <v>0.47</v>
      </c>
      <c r="N653" s="1" t="s">
        <v>885</v>
      </c>
      <c r="O653" s="1" t="s">
        <v>347</v>
      </c>
      <c r="P653" s="8">
        <f>(R74)</f>
        <v>6434.18</v>
      </c>
      <c r="Q653" s="1" t="s">
        <v>885</v>
      </c>
      <c r="R653" s="8">
        <f t="shared" si="90"/>
        <v>3024.06</v>
      </c>
      <c r="S653" s="8">
        <v>1</v>
      </c>
      <c r="T653" s="7" t="s">
        <v>885</v>
      </c>
      <c r="U653" s="1" t="s">
        <v>46</v>
      </c>
      <c r="V653" s="8"/>
      <c r="W653" s="4"/>
      <c r="X653" s="8"/>
      <c r="AA653" s="8">
        <v>1</v>
      </c>
      <c r="AB653" s="7" t="s">
        <v>885</v>
      </c>
      <c r="AC653" s="1" t="s">
        <v>46</v>
      </c>
      <c r="AD653" s="8"/>
      <c r="AE653" s="10"/>
      <c r="AF653" s="8"/>
    </row>
    <row r="654" spans="1:32" ht="24" customHeight="1">
      <c r="A654" s="218">
        <f t="shared" si="86"/>
        <v>460</v>
      </c>
      <c r="B654" s="219" t="s">
        <v>1877</v>
      </c>
      <c r="C654" s="536">
        <v>0.3</v>
      </c>
      <c r="D654" s="219" t="s">
        <v>884</v>
      </c>
      <c r="K654" s="5" t="s">
        <v>1615</v>
      </c>
      <c r="M654" s="8">
        <v>1.62</v>
      </c>
      <c r="N654" s="1" t="s">
        <v>885</v>
      </c>
      <c r="O654" s="1" t="s">
        <v>2012</v>
      </c>
      <c r="P654" s="8">
        <f>(R89)</f>
        <v>7109.63</v>
      </c>
      <c r="Q654" s="1" t="s">
        <v>885</v>
      </c>
      <c r="R654" s="8">
        <f t="shared" si="90"/>
        <v>11517.6</v>
      </c>
      <c r="W654" s="4"/>
      <c r="X654" s="438">
        <f>SUM(X652:X653)</f>
        <v>7398.02</v>
      </c>
      <c r="AA654" s="50"/>
      <c r="AF654" s="438">
        <f>SUM(AF652:AF653)</f>
        <v>7939.58</v>
      </c>
    </row>
    <row r="655" spans="1:32" ht="24" customHeight="1">
      <c r="A655" s="218">
        <f t="shared" si="86"/>
        <v>461</v>
      </c>
      <c r="B655" s="1" t="s">
        <v>5107</v>
      </c>
      <c r="C655" s="419">
        <v>189.65</v>
      </c>
      <c r="D655" s="219" t="s">
        <v>621</v>
      </c>
      <c r="H655" s="1" t="s">
        <v>104</v>
      </c>
      <c r="K655" s="8">
        <f>SUM(K649:K653)</f>
        <v>1143.75</v>
      </c>
      <c r="M655" s="8">
        <v>15.22</v>
      </c>
      <c r="N655" s="1" t="s">
        <v>621</v>
      </c>
      <c r="O655" s="1" t="s">
        <v>2173</v>
      </c>
      <c r="P655" s="8">
        <f>(R304)</f>
        <v>274.73</v>
      </c>
      <c r="Q655" s="1" t="s">
        <v>621</v>
      </c>
      <c r="R655" s="8">
        <f t="shared" si="90"/>
        <v>4181.3900000000003</v>
      </c>
      <c r="S655"/>
      <c r="T655" s="3"/>
      <c r="U655" t="s">
        <v>4166</v>
      </c>
      <c r="W655" s="4"/>
      <c r="X655">
        <f>X654*0.5%</f>
        <v>36.99</v>
      </c>
      <c r="AB655" s="3"/>
      <c r="AC655" t="s">
        <v>4166</v>
      </c>
      <c r="AF655">
        <f>AF654*0.5%</f>
        <v>39.700000000000003</v>
      </c>
    </row>
    <row r="656" spans="1:32" ht="24" customHeight="1">
      <c r="A656" s="218">
        <f t="shared" si="86"/>
        <v>462</v>
      </c>
      <c r="B656" s="219" t="s">
        <v>2054</v>
      </c>
      <c r="C656" s="536">
        <v>97.31</v>
      </c>
      <c r="D656" s="219" t="s">
        <v>621</v>
      </c>
      <c r="K656" s="5" t="s">
        <v>1615</v>
      </c>
      <c r="M656" s="8">
        <v>0.18</v>
      </c>
      <c r="N656" s="1" t="s">
        <v>885</v>
      </c>
      <c r="O656" s="1" t="s">
        <v>1357</v>
      </c>
      <c r="P656" s="8">
        <f>(K280)</f>
        <v>7959.86</v>
      </c>
      <c r="Q656" s="1" t="s">
        <v>885</v>
      </c>
      <c r="R656" s="8">
        <f t="shared" si="90"/>
        <v>1432.77</v>
      </c>
      <c r="S656"/>
      <c r="T656" s="3"/>
      <c r="W656" s="4"/>
      <c r="X656" s="5"/>
      <c r="AB656" s="3"/>
      <c r="AE656" s="10"/>
      <c r="AF656" s="5"/>
    </row>
    <row r="657" spans="1:32" ht="24" customHeight="1">
      <c r="A657" s="218">
        <f t="shared" si="86"/>
        <v>463</v>
      </c>
      <c r="B657" s="522" t="s">
        <v>5108</v>
      </c>
      <c r="C657" s="419">
        <v>196.45</v>
      </c>
      <c r="D657" s="522" t="s">
        <v>1174</v>
      </c>
      <c r="H657" s="1" t="s">
        <v>562</v>
      </c>
      <c r="K657" s="8">
        <f>(K655/0.372)</f>
        <v>3074.6</v>
      </c>
      <c r="M657" s="8">
        <v>0.36</v>
      </c>
      <c r="N657" s="1" t="s">
        <v>621</v>
      </c>
      <c r="O657" s="1" t="s">
        <v>776</v>
      </c>
      <c r="P657" s="8">
        <f>(K467)</f>
        <v>410.58</v>
      </c>
      <c r="Q657" s="1" t="s">
        <v>621</v>
      </c>
      <c r="R657" s="8">
        <f t="shared" si="90"/>
        <v>147.81</v>
      </c>
      <c r="S657"/>
      <c r="T657" s="3"/>
      <c r="U657" t="s">
        <v>3667</v>
      </c>
      <c r="W657" s="4"/>
      <c r="X657" s="38">
        <f>SUM(X654:X656)</f>
        <v>7435.01</v>
      </c>
      <c r="AB657" s="3"/>
      <c r="AC657" t="s">
        <v>3667</v>
      </c>
      <c r="AE657" s="10"/>
      <c r="AF657" s="38">
        <f>SUM(AF654:AF656)</f>
        <v>7979.28</v>
      </c>
    </row>
    <row r="658" spans="1:32" ht="24" customHeight="1">
      <c r="A658" s="218">
        <f t="shared" si="86"/>
        <v>464</v>
      </c>
      <c r="B658" s="1" t="s">
        <v>5109</v>
      </c>
      <c r="C658" s="419">
        <f>C657</f>
        <v>196.45</v>
      </c>
      <c r="D658" s="522" t="s">
        <v>1174</v>
      </c>
      <c r="K658" s="5" t="s">
        <v>2091</v>
      </c>
      <c r="M658" s="8">
        <v>1</v>
      </c>
      <c r="N658" s="1" t="s">
        <v>884</v>
      </c>
      <c r="O658" s="1" t="s">
        <v>1186</v>
      </c>
      <c r="P658" s="8">
        <f>(C203)</f>
        <v>128</v>
      </c>
      <c r="Q658" s="1" t="s">
        <v>884</v>
      </c>
      <c r="R658" s="8">
        <f t="shared" si="90"/>
        <v>128</v>
      </c>
      <c r="S658"/>
      <c r="T658" s="3"/>
      <c r="W658" s="4"/>
      <c r="X658" s="5" t="s">
        <v>1615</v>
      </c>
      <c r="AB658" s="3"/>
      <c r="AE658" s="10"/>
      <c r="AF658" s="5" t="s">
        <v>1615</v>
      </c>
    </row>
    <row r="659" spans="1:32" ht="24" customHeight="1">
      <c r="A659" s="218">
        <f t="shared" si="86"/>
        <v>465</v>
      </c>
      <c r="B659" s="522" t="s">
        <v>1187</v>
      </c>
      <c r="C659" s="419">
        <v>3.91</v>
      </c>
      <c r="D659" s="522" t="s">
        <v>884</v>
      </c>
      <c r="E659" t="s">
        <v>150</v>
      </c>
      <c r="H659" s="1" t="s">
        <v>391</v>
      </c>
      <c r="I659">
        <f>K657</f>
        <v>3074.6</v>
      </c>
      <c r="J659" s="10">
        <f>C22*0.014/0.372</f>
        <v>4.7</v>
      </c>
      <c r="K659" s="38">
        <f>I659+J659</f>
        <v>3079.3</v>
      </c>
      <c r="M659" s="8">
        <v>1.8</v>
      </c>
      <c r="N659" s="1" t="s">
        <v>340</v>
      </c>
      <c r="O659" s="1" t="s">
        <v>341</v>
      </c>
      <c r="P659" s="8">
        <f>(C325)</f>
        <v>14.91</v>
      </c>
      <c r="Q659" s="1" t="s">
        <v>340</v>
      </c>
      <c r="R659" s="8">
        <f t="shared" si="90"/>
        <v>26.84</v>
      </c>
      <c r="S659"/>
      <c r="T659" s="3"/>
      <c r="U659" s="1" t="s">
        <v>391</v>
      </c>
      <c r="W659" s="4"/>
      <c r="X659" s="38">
        <f>(X657+C23)</f>
        <v>7681.19</v>
      </c>
      <c r="AB659" s="3"/>
      <c r="AC659" s="1" t="s">
        <v>391</v>
      </c>
      <c r="AE659" s="10"/>
      <c r="AF659" s="38">
        <f>AF657+C23</f>
        <v>8225.4599999999991</v>
      </c>
    </row>
    <row r="660" spans="1:32" ht="24" customHeight="1">
      <c r="A660" s="218">
        <f t="shared" si="86"/>
        <v>466</v>
      </c>
      <c r="B660" s="1" t="s">
        <v>5690</v>
      </c>
      <c r="C660" s="419">
        <v>70.150000000000006</v>
      </c>
      <c r="D660" s="440">
        <v>69.599999999999994</v>
      </c>
      <c r="E660" t="s">
        <v>4792</v>
      </c>
      <c r="H660" s="1" t="s">
        <v>393</v>
      </c>
      <c r="I660">
        <f>K659</f>
        <v>3079.3</v>
      </c>
      <c r="J660" s="10">
        <f>C23*0.014/0.372</f>
        <v>9.26</v>
      </c>
      <c r="K660" s="38">
        <f>I660+J660</f>
        <v>3088.56</v>
      </c>
      <c r="M660" s="8">
        <v>1</v>
      </c>
      <c r="N660" s="1" t="s">
        <v>884</v>
      </c>
      <c r="O660" s="1" t="s">
        <v>1948</v>
      </c>
      <c r="P660" s="8">
        <f>(C371)</f>
        <v>13.29</v>
      </c>
      <c r="Q660" s="1" t="s">
        <v>884</v>
      </c>
      <c r="R660" s="8">
        <f t="shared" si="90"/>
        <v>13.29</v>
      </c>
      <c r="S660"/>
      <c r="T660" s="3"/>
      <c r="U660" s="1" t="s">
        <v>393</v>
      </c>
      <c r="W660" s="4"/>
      <c r="X660" s="38">
        <f>X659+C24</f>
        <v>7927.37</v>
      </c>
      <c r="AB660" s="3"/>
      <c r="AC660" s="1" t="s">
        <v>393</v>
      </c>
      <c r="AE660" s="10"/>
      <c r="AF660" s="38">
        <f>AF659+C24</f>
        <v>8471.64</v>
      </c>
    </row>
    <row r="661" spans="1:32" ht="32.25" customHeight="1">
      <c r="A661" s="218">
        <f t="shared" si="86"/>
        <v>467</v>
      </c>
      <c r="B661" s="858" t="s">
        <v>5110</v>
      </c>
      <c r="C661" s="419">
        <f>AE68</f>
        <v>12.32</v>
      </c>
      <c r="D661" s="440" t="s">
        <v>1805</v>
      </c>
      <c r="E661" s="431">
        <f>AE69</f>
        <v>19.03</v>
      </c>
      <c r="H661" s="1" t="s">
        <v>2271</v>
      </c>
      <c r="I661">
        <f>K660</f>
        <v>3088.56</v>
      </c>
      <c r="J661" s="10">
        <f>J660</f>
        <v>9.26</v>
      </c>
      <c r="K661" s="38">
        <f>I661+J661</f>
        <v>3097.82</v>
      </c>
      <c r="N661" s="1" t="s">
        <v>455</v>
      </c>
      <c r="O661" s="1" t="s">
        <v>345</v>
      </c>
      <c r="Q661" s="1" t="s">
        <v>455</v>
      </c>
      <c r="R661" s="8">
        <v>1.72</v>
      </c>
      <c r="S661"/>
      <c r="T661" s="3"/>
      <c r="U661" s="1" t="s">
        <v>2271</v>
      </c>
      <c r="W661" s="4"/>
      <c r="X661" s="38">
        <f>X660+C25</f>
        <v>8025.71</v>
      </c>
      <c r="AB661" s="3"/>
      <c r="AC661" s="1" t="s">
        <v>2271</v>
      </c>
      <c r="AE661" s="10"/>
      <c r="AF661" s="38">
        <f>AF660+C25</f>
        <v>8569.98</v>
      </c>
    </row>
    <row r="662" spans="1:32" ht="24" customHeight="1">
      <c r="A662" s="218">
        <f t="shared" si="86"/>
        <v>468</v>
      </c>
      <c r="B662" s="708" t="s">
        <v>5111</v>
      </c>
      <c r="C662" s="419">
        <f>AE69</f>
        <v>19.03</v>
      </c>
      <c r="D662" s="440" t="s">
        <v>1805</v>
      </c>
      <c r="E662" s="431"/>
      <c r="H662" s="1" t="s">
        <v>385</v>
      </c>
      <c r="I662">
        <f>K661</f>
        <v>3097.82</v>
      </c>
      <c r="J662" s="10">
        <f>J661</f>
        <v>9.26</v>
      </c>
      <c r="K662" s="38">
        <f>I662+J662</f>
        <v>3107.08</v>
      </c>
      <c r="R662" s="1" t="s">
        <v>992</v>
      </c>
      <c r="S662"/>
      <c r="T662" s="3"/>
      <c r="U662" s="1" t="s">
        <v>385</v>
      </c>
      <c r="W662" s="4"/>
      <c r="X662" s="38">
        <f>X661+C25</f>
        <v>8124.05</v>
      </c>
      <c r="AB662" s="3"/>
      <c r="AC662" s="1" t="s">
        <v>385</v>
      </c>
      <c r="AE662" s="10"/>
      <c r="AF662" s="38">
        <f>AF661+C25</f>
        <v>8668.32</v>
      </c>
    </row>
    <row r="663" spans="1:32" ht="24" customHeight="1">
      <c r="A663" s="218">
        <f t="shared" si="86"/>
        <v>469</v>
      </c>
      <c r="B663" s="522" t="s">
        <v>4793</v>
      </c>
      <c r="C663" s="1008">
        <f>AE70</f>
        <v>9.7899999999999991</v>
      </c>
      <c r="D663" s="1009">
        <f>AE71</f>
        <v>11.72</v>
      </c>
      <c r="E663">
        <v>2</v>
      </c>
      <c r="H663" s="1" t="s">
        <v>1388</v>
      </c>
      <c r="I663">
        <f>K662</f>
        <v>3107.08</v>
      </c>
      <c r="J663" s="10">
        <f>J662</f>
        <v>9.26</v>
      </c>
      <c r="K663" s="38">
        <f>I663+J663</f>
        <v>3116.34</v>
      </c>
      <c r="R663" s="5" t="s">
        <v>1615</v>
      </c>
      <c r="S663"/>
      <c r="T663" s="3"/>
      <c r="U663" s="1" t="s">
        <v>1560</v>
      </c>
      <c r="W663" s="4"/>
      <c r="X663" s="38">
        <f>X662+C25</f>
        <v>8222.39</v>
      </c>
      <c r="AB663" s="3"/>
      <c r="AC663" s="1" t="s">
        <v>1560</v>
      </c>
      <c r="AE663" s="10"/>
      <c r="AF663" s="38">
        <f>AF662+K25</f>
        <v>8668.32</v>
      </c>
    </row>
    <row r="664" spans="1:32" ht="24" customHeight="1">
      <c r="A664" s="218"/>
      <c r="B664" s="219"/>
      <c r="C664" s="51"/>
      <c r="D664" s="158"/>
      <c r="H664" s="1">
        <v>5</v>
      </c>
      <c r="I664">
        <f t="shared" ref="I664:I670" si="91">K663</f>
        <v>3116.34</v>
      </c>
      <c r="J664" s="10">
        <f t="shared" ref="J664:J670" si="92">J663</f>
        <v>9.26</v>
      </c>
      <c r="K664" s="38">
        <f t="shared" ref="K664:K670" si="93">I664+J664</f>
        <v>3125.6</v>
      </c>
      <c r="R664" s="5"/>
      <c r="S664"/>
      <c r="T664" s="3"/>
      <c r="U664" s="1">
        <v>5</v>
      </c>
      <c r="W664" s="4"/>
      <c r="X664" s="38">
        <f>X663+C25</f>
        <v>8320.73</v>
      </c>
      <c r="AB664" s="3"/>
      <c r="AC664" s="1">
        <v>5</v>
      </c>
      <c r="AE664" s="10"/>
      <c r="AF664" s="38">
        <f>AF663+K25</f>
        <v>8668.32</v>
      </c>
    </row>
    <row r="665" spans="1:32" ht="24" customHeight="1">
      <c r="A665" s="218"/>
      <c r="B665" s="219"/>
      <c r="C665" s="51"/>
      <c r="D665" s="158"/>
      <c r="H665" s="1">
        <v>6</v>
      </c>
      <c r="I665">
        <f t="shared" si="91"/>
        <v>3125.6</v>
      </c>
      <c r="J665" s="10">
        <f t="shared" si="92"/>
        <v>9.26</v>
      </c>
      <c r="K665" s="38">
        <f t="shared" si="93"/>
        <v>3134.86</v>
      </c>
      <c r="R665" s="5"/>
      <c r="W665" s="4"/>
      <c r="AA665" s="50"/>
    </row>
    <row r="666" spans="1:32" ht="24" customHeight="1">
      <c r="A666" s="218"/>
      <c r="B666" s="219"/>
      <c r="C666" s="51"/>
      <c r="D666" s="158"/>
      <c r="H666" s="1">
        <v>7</v>
      </c>
      <c r="I666">
        <f t="shared" si="91"/>
        <v>3134.86</v>
      </c>
      <c r="J666" s="10">
        <f t="shared" si="92"/>
        <v>9.26</v>
      </c>
      <c r="K666" s="38">
        <f t="shared" si="93"/>
        <v>3144.12</v>
      </c>
      <c r="R666" s="5"/>
      <c r="W666" s="4"/>
      <c r="AA666" s="50"/>
    </row>
    <row r="667" spans="1:32" ht="24" customHeight="1">
      <c r="A667" s="218"/>
      <c r="B667" s="219"/>
      <c r="C667" s="51"/>
      <c r="D667" s="158"/>
      <c r="H667" s="1">
        <v>8</v>
      </c>
      <c r="I667">
        <f t="shared" si="91"/>
        <v>3144.12</v>
      </c>
      <c r="J667" s="10">
        <f t="shared" si="92"/>
        <v>9.26</v>
      </c>
      <c r="K667" s="38">
        <f t="shared" si="93"/>
        <v>3153.38</v>
      </c>
      <c r="R667" s="5"/>
      <c r="W667" s="4"/>
      <c r="AA667" s="50"/>
    </row>
    <row r="668" spans="1:32" ht="24" customHeight="1">
      <c r="A668" s="218"/>
      <c r="B668" s="219"/>
      <c r="C668" s="51"/>
      <c r="D668" s="158"/>
      <c r="H668" s="1">
        <v>9</v>
      </c>
      <c r="I668">
        <f t="shared" si="91"/>
        <v>3153.38</v>
      </c>
      <c r="J668" s="10">
        <f t="shared" si="92"/>
        <v>9.26</v>
      </c>
      <c r="K668" s="38">
        <f t="shared" si="93"/>
        <v>3162.64</v>
      </c>
      <c r="R668" s="5"/>
      <c r="W668" s="4"/>
      <c r="AA668" s="50"/>
    </row>
    <row r="669" spans="1:32" ht="24" customHeight="1">
      <c r="A669" s="218"/>
      <c r="B669" s="219"/>
      <c r="C669" s="51"/>
      <c r="D669" s="158"/>
      <c r="H669" s="1">
        <v>10</v>
      </c>
      <c r="I669">
        <f t="shared" si="91"/>
        <v>3162.64</v>
      </c>
      <c r="J669" s="10">
        <f t="shared" si="92"/>
        <v>9.26</v>
      </c>
      <c r="K669" s="38">
        <f t="shared" si="93"/>
        <v>3171.9</v>
      </c>
      <c r="R669" s="5"/>
      <c r="W669" s="4"/>
      <c r="AA669" s="50"/>
    </row>
    <row r="670" spans="1:32" ht="24" customHeight="1">
      <c r="A670" s="218"/>
      <c r="B670" s="219"/>
      <c r="C670" s="51"/>
      <c r="D670" s="158"/>
      <c r="H670" s="1">
        <v>11</v>
      </c>
      <c r="I670">
        <f t="shared" si="91"/>
        <v>3171.9</v>
      </c>
      <c r="J670" s="10">
        <f t="shared" si="92"/>
        <v>9.26</v>
      </c>
      <c r="K670" s="38">
        <f t="shared" si="93"/>
        <v>3181.16</v>
      </c>
      <c r="R670" s="5"/>
      <c r="W670" s="4"/>
      <c r="AA670" s="50"/>
    </row>
    <row r="671" spans="1:32" ht="24" customHeight="1">
      <c r="A671" s="218"/>
      <c r="B671" s="219"/>
      <c r="C671" s="51"/>
      <c r="D671" s="158"/>
      <c r="H671" s="1"/>
      <c r="K671" s="38"/>
      <c r="R671" s="5"/>
      <c r="W671" s="4"/>
      <c r="AA671" s="50"/>
    </row>
    <row r="672" spans="1:32" ht="28.5" customHeight="1">
      <c r="A672" s="218">
        <f>(A663+1)</f>
        <v>470</v>
      </c>
      <c r="B672" s="219" t="s">
        <v>176</v>
      </c>
      <c r="C672" s="1008">
        <f>AE74</f>
        <v>13.92</v>
      </c>
      <c r="D672" s="1009">
        <f>AE75</f>
        <v>14.14</v>
      </c>
      <c r="E672">
        <v>3.7</v>
      </c>
      <c r="F672" s="2" t="s">
        <v>1358</v>
      </c>
      <c r="H672" s="1" t="s">
        <v>775</v>
      </c>
      <c r="O672" s="1" t="s">
        <v>1785</v>
      </c>
      <c r="R672" s="8">
        <f>SUM(R652:R662)</f>
        <v>22694.2</v>
      </c>
      <c r="W672" s="4"/>
      <c r="AA672" s="50"/>
    </row>
    <row r="673" spans="1:33" ht="24" customHeight="1">
      <c r="A673" s="218">
        <f t="shared" si="86"/>
        <v>471</v>
      </c>
      <c r="B673" s="219" t="s">
        <v>177</v>
      </c>
      <c r="C673" s="536">
        <v>4</v>
      </c>
      <c r="D673" s="219" t="s">
        <v>455</v>
      </c>
      <c r="H673" s="1" t="s">
        <v>1434</v>
      </c>
      <c r="R673" s="5" t="s">
        <v>1615</v>
      </c>
      <c r="W673" s="4"/>
      <c r="AE673" s="51" t="str">
        <f t="shared" ref="AE673:AE680" si="94">AG673</f>
        <v>|</v>
      </c>
      <c r="AG673" s="1" t="s">
        <v>2298</v>
      </c>
    </row>
    <row r="674" spans="1:33" ht="24" customHeight="1">
      <c r="A674" s="218">
        <f t="shared" si="86"/>
        <v>472</v>
      </c>
      <c r="B674" s="219" t="s">
        <v>423</v>
      </c>
      <c r="C674" s="536">
        <v>5</v>
      </c>
      <c r="D674" s="219" t="s">
        <v>455</v>
      </c>
      <c r="H674" s="1" t="s">
        <v>339</v>
      </c>
      <c r="O674" s="1" t="s">
        <v>1464</v>
      </c>
      <c r="T674" s="36">
        <v>4.2</v>
      </c>
      <c r="U674" s="36" t="s">
        <v>4158</v>
      </c>
      <c r="W674" s="4"/>
      <c r="AE674" s="51" t="str">
        <f t="shared" si="94"/>
        <v>|</v>
      </c>
      <c r="AG674" s="1" t="s">
        <v>2298</v>
      </c>
    </row>
    <row r="675" spans="1:33" ht="24" customHeight="1">
      <c r="A675" s="218">
        <f t="shared" si="86"/>
        <v>473</v>
      </c>
      <c r="B675" s="219" t="s">
        <v>1627</v>
      </c>
      <c r="C675" s="536">
        <v>96</v>
      </c>
      <c r="D675" s="219" t="s">
        <v>884</v>
      </c>
      <c r="H675" s="1" t="s">
        <v>1529</v>
      </c>
      <c r="N675" s="1" t="s">
        <v>2290</v>
      </c>
      <c r="O675" s="1" t="s">
        <v>1629</v>
      </c>
      <c r="S675" s="50">
        <v>5</v>
      </c>
      <c r="T675" t="s">
        <v>1365</v>
      </c>
      <c r="U675" t="s">
        <v>4167</v>
      </c>
      <c r="V675">
        <f>V705</f>
        <v>1704.69</v>
      </c>
      <c r="W675" s="4"/>
      <c r="X675">
        <f>V675*S675</f>
        <v>8523.4500000000007</v>
      </c>
      <c r="AE675" s="51" t="str">
        <f t="shared" si="94"/>
        <v>|</v>
      </c>
      <c r="AG675" s="1" t="s">
        <v>2298</v>
      </c>
    </row>
    <row r="676" spans="1:33" ht="24" customHeight="1">
      <c r="A676" s="218">
        <f t="shared" si="86"/>
        <v>474</v>
      </c>
      <c r="B676" s="219" t="s">
        <v>1630</v>
      </c>
      <c r="C676" s="536">
        <v>75</v>
      </c>
      <c r="D676" s="219" t="s">
        <v>884</v>
      </c>
      <c r="H676" s="1" t="s">
        <v>172</v>
      </c>
      <c r="O676" s="1" t="s">
        <v>1631</v>
      </c>
      <c r="S676" s="50">
        <v>3.3</v>
      </c>
      <c r="T676" t="s">
        <v>1365</v>
      </c>
      <c r="U676" t="s">
        <v>4168</v>
      </c>
      <c r="V676">
        <f t="shared" ref="V676:V685" si="95">V706</f>
        <v>1419.19</v>
      </c>
      <c r="W676" s="4"/>
      <c r="X676">
        <f t="shared" ref="X676:X682" si="96">V676*S676</f>
        <v>4683.33</v>
      </c>
      <c r="AE676" s="51" t="str">
        <f t="shared" si="94"/>
        <v>|</v>
      </c>
      <c r="AG676" s="1" t="s">
        <v>2298</v>
      </c>
    </row>
    <row r="677" spans="1:33" ht="24" customHeight="1">
      <c r="A677" s="218">
        <f t="shared" si="86"/>
        <v>475</v>
      </c>
      <c r="B677" s="219" t="s">
        <v>1632</v>
      </c>
      <c r="C677" s="1010">
        <f>AE72</f>
        <v>29.26</v>
      </c>
      <c r="D677" s="1010">
        <f>AE73</f>
        <v>49.49</v>
      </c>
      <c r="E677">
        <v>3</v>
      </c>
      <c r="H677" s="1" t="s">
        <v>174</v>
      </c>
      <c r="O677" s="5" t="s">
        <v>1615</v>
      </c>
      <c r="S677" s="50">
        <v>4.79</v>
      </c>
      <c r="T677" t="s">
        <v>1365</v>
      </c>
      <c r="U677" t="s">
        <v>4169</v>
      </c>
      <c r="V677">
        <f t="shared" si="95"/>
        <v>1608.7</v>
      </c>
      <c r="W677" s="4"/>
      <c r="X677">
        <f t="shared" si="96"/>
        <v>7705.67</v>
      </c>
      <c r="AE677" s="51" t="str">
        <f t="shared" si="94"/>
        <v>|</v>
      </c>
      <c r="AG677" s="1" t="s">
        <v>2298</v>
      </c>
    </row>
    <row r="678" spans="1:33" ht="24" customHeight="1">
      <c r="A678" s="218">
        <f t="shared" si="86"/>
        <v>476</v>
      </c>
      <c r="B678" s="219" t="s">
        <v>1609</v>
      </c>
      <c r="C678" s="536">
        <v>80</v>
      </c>
      <c r="D678" s="219" t="s">
        <v>884</v>
      </c>
      <c r="H678" s="1" t="s">
        <v>175</v>
      </c>
      <c r="M678" s="8">
        <v>1</v>
      </c>
      <c r="N678" s="1" t="s">
        <v>884</v>
      </c>
      <c r="O678" s="1" t="s">
        <v>1611</v>
      </c>
      <c r="P678" s="8">
        <f>(C383)</f>
        <v>14.91</v>
      </c>
      <c r="Q678" s="1" t="s">
        <v>884</v>
      </c>
      <c r="R678" s="8">
        <f>(M678*P678)</f>
        <v>14.91</v>
      </c>
      <c r="S678" s="50">
        <v>4</v>
      </c>
      <c r="T678" t="s">
        <v>535</v>
      </c>
      <c r="U678" t="s">
        <v>395</v>
      </c>
      <c r="V678">
        <f t="shared" si="95"/>
        <v>6040</v>
      </c>
      <c r="W678" s="4"/>
      <c r="X678">
        <f t="shared" si="96"/>
        <v>24160</v>
      </c>
      <c r="AE678" s="51" t="str">
        <f t="shared" si="94"/>
        <v>|</v>
      </c>
      <c r="AG678" s="1" t="s">
        <v>2298</v>
      </c>
    </row>
    <row r="679" spans="1:33" ht="24" customHeight="1">
      <c r="A679" s="218">
        <f t="shared" si="86"/>
        <v>477</v>
      </c>
      <c r="B679" s="219" t="s">
        <v>137</v>
      </c>
      <c r="C679" s="536">
        <v>64</v>
      </c>
      <c r="D679" s="219" t="s">
        <v>884</v>
      </c>
      <c r="H679" s="5" t="s">
        <v>1615</v>
      </c>
      <c r="I679" s="5" t="s">
        <v>1615</v>
      </c>
      <c r="N679" s="1" t="s">
        <v>455</v>
      </c>
      <c r="O679" s="1" t="s">
        <v>138</v>
      </c>
      <c r="Q679" s="1" t="s">
        <v>455</v>
      </c>
      <c r="R679" s="8">
        <v>2.09</v>
      </c>
      <c r="S679" s="50">
        <v>40</v>
      </c>
      <c r="T679" t="s">
        <v>1676</v>
      </c>
      <c r="U679" t="s">
        <v>4176</v>
      </c>
      <c r="V679">
        <f>V648</f>
        <v>43.2</v>
      </c>
      <c r="W679" s="4"/>
      <c r="X679">
        <f t="shared" si="96"/>
        <v>1728</v>
      </c>
      <c r="AE679" s="51" t="str">
        <f t="shared" si="94"/>
        <v>|</v>
      </c>
      <c r="AG679" s="1" t="s">
        <v>2298</v>
      </c>
    </row>
    <row r="680" spans="1:33" ht="24" customHeight="1">
      <c r="A680" s="218">
        <f t="shared" si="86"/>
        <v>478</v>
      </c>
      <c r="B680" s="219" t="s">
        <v>139</v>
      </c>
      <c r="C680" s="536">
        <v>40.5</v>
      </c>
      <c r="D680" s="219" t="s">
        <v>884</v>
      </c>
      <c r="F680" s="8">
        <v>1</v>
      </c>
      <c r="G680" s="7" t="s">
        <v>621</v>
      </c>
      <c r="H680" s="1" t="s">
        <v>178</v>
      </c>
      <c r="I680" s="8">
        <f>D76</f>
        <v>290</v>
      </c>
      <c r="J680" s="1" t="s">
        <v>621</v>
      </c>
      <c r="K680" s="8">
        <f>(F680*I680)</f>
        <v>290</v>
      </c>
      <c r="O680" s="1" t="s">
        <v>140</v>
      </c>
      <c r="R680" s="1" t="s">
        <v>992</v>
      </c>
      <c r="S680" s="50">
        <v>3.5</v>
      </c>
      <c r="T680" t="s">
        <v>1457</v>
      </c>
      <c r="U680" t="s">
        <v>471</v>
      </c>
      <c r="V680">
        <f t="shared" si="95"/>
        <v>972.4</v>
      </c>
      <c r="W680" s="4"/>
      <c r="X680">
        <f>V680*S680</f>
        <v>3403.4</v>
      </c>
      <c r="AE680" s="51" t="str">
        <f t="shared" si="94"/>
        <v>|</v>
      </c>
      <c r="AG680" s="1" t="s">
        <v>2298</v>
      </c>
    </row>
    <row r="681" spans="1:33" ht="24" customHeight="1">
      <c r="A681" s="218">
        <f t="shared" si="86"/>
        <v>479</v>
      </c>
      <c r="B681" s="219" t="s">
        <v>1487</v>
      </c>
      <c r="C681" s="536">
        <v>92</v>
      </c>
      <c r="D681" s="219" t="s">
        <v>884</v>
      </c>
      <c r="F681" s="8">
        <v>1</v>
      </c>
      <c r="G681" s="7" t="s">
        <v>621</v>
      </c>
      <c r="H681" s="1" t="s">
        <v>1463</v>
      </c>
      <c r="I681" s="8">
        <f>C75</f>
        <v>175</v>
      </c>
      <c r="J681" s="1" t="s">
        <v>621</v>
      </c>
      <c r="K681" s="8">
        <f>(F681*I681)</f>
        <v>175</v>
      </c>
      <c r="R681" s="5" t="s">
        <v>1615</v>
      </c>
      <c r="S681" s="50">
        <v>21.2</v>
      </c>
      <c r="T681" t="s">
        <v>1457</v>
      </c>
      <c r="U681" t="s">
        <v>3539</v>
      </c>
      <c r="V681">
        <f t="shared" si="95"/>
        <v>679.8</v>
      </c>
      <c r="W681" s="4"/>
      <c r="X681">
        <f t="shared" si="96"/>
        <v>14411.76</v>
      </c>
      <c r="AE681" s="51">
        <f>32.32*100</f>
        <v>3232</v>
      </c>
      <c r="AG681" s="1" t="s">
        <v>2298</v>
      </c>
    </row>
    <row r="682" spans="1:33" ht="24" customHeight="1">
      <c r="A682" s="218">
        <f t="shared" si="86"/>
        <v>480</v>
      </c>
      <c r="B682" s="219" t="s">
        <v>1593</v>
      </c>
      <c r="C682" s="536">
        <v>60</v>
      </c>
      <c r="D682" s="219" t="s">
        <v>884</v>
      </c>
      <c r="F682" s="8">
        <v>1</v>
      </c>
      <c r="G682" s="7" t="s">
        <v>455</v>
      </c>
      <c r="H682" s="1" t="s">
        <v>1628</v>
      </c>
      <c r="I682" s="485">
        <v>15</v>
      </c>
      <c r="J682" s="1" t="s">
        <v>455</v>
      </c>
      <c r="K682" s="8">
        <f>(F682*I682)</f>
        <v>15</v>
      </c>
      <c r="O682" s="1" t="s">
        <v>1594</v>
      </c>
      <c r="R682" s="8">
        <f>SUM(R678:R680)</f>
        <v>17</v>
      </c>
      <c r="S682" s="50">
        <v>35.299999999999997</v>
      </c>
      <c r="T682" t="s">
        <v>1457</v>
      </c>
      <c r="U682" t="s">
        <v>3540</v>
      </c>
      <c r="V682">
        <f>V712</f>
        <v>557.70000000000005</v>
      </c>
      <c r="W682" s="4"/>
      <c r="X682">
        <f t="shared" si="96"/>
        <v>19686.810000000001</v>
      </c>
      <c r="AE682" s="51">
        <f>48.824*100</f>
        <v>4882.3999999999996</v>
      </c>
      <c r="AG682" s="1" t="s">
        <v>2298</v>
      </c>
    </row>
    <row r="683" spans="1:33" ht="24" customHeight="1">
      <c r="A683" s="218">
        <f t="shared" si="86"/>
        <v>481</v>
      </c>
      <c r="B683" s="219" t="s">
        <v>1387</v>
      </c>
      <c r="C683" s="536">
        <v>49.87</v>
      </c>
      <c r="D683" s="219" t="s">
        <v>884</v>
      </c>
      <c r="K683" s="5" t="s">
        <v>1615</v>
      </c>
      <c r="R683" s="5" t="s">
        <v>1615</v>
      </c>
      <c r="U683" s="36" t="s">
        <v>4171</v>
      </c>
      <c r="W683" s="4"/>
      <c r="X683" s="36">
        <f>SUM(X675:X682)</f>
        <v>84302.42</v>
      </c>
      <c r="AA683" s="50">
        <f>22.77+26.054</f>
        <v>48.823999999999998</v>
      </c>
      <c r="AE683" s="51">
        <f>0.52*100</f>
        <v>52</v>
      </c>
      <c r="AG683" s="1" t="s">
        <v>2298</v>
      </c>
    </row>
    <row r="684" spans="1:33" ht="24" customHeight="1">
      <c r="A684" s="218">
        <f t="shared" si="86"/>
        <v>482</v>
      </c>
      <c r="B684" s="219" t="s">
        <v>1849</v>
      </c>
      <c r="C684" s="536">
        <v>80</v>
      </c>
      <c r="D684" s="219" t="s">
        <v>884</v>
      </c>
      <c r="H684" s="1" t="s">
        <v>562</v>
      </c>
      <c r="K684" s="8">
        <f>SUM(K678:K682)</f>
        <v>480</v>
      </c>
      <c r="U684" s="36" t="s">
        <v>4172</v>
      </c>
      <c r="W684" s="4"/>
      <c r="X684" s="36">
        <f>X683/10</f>
        <v>8430.24</v>
      </c>
      <c r="Y684">
        <f>X684</f>
        <v>8430.24</v>
      </c>
      <c r="AC684">
        <f>26.19*0.02</f>
        <v>0.52</v>
      </c>
      <c r="AE684" s="51">
        <f>0.397*100</f>
        <v>39.700000000000003</v>
      </c>
      <c r="AF684">
        <f>AE681+AE682+AE683+AE684</f>
        <v>8206.1</v>
      </c>
      <c r="AG684" s="1" t="s">
        <v>2298</v>
      </c>
    </row>
    <row r="685" spans="1:33" ht="24" customHeight="1">
      <c r="A685" s="218">
        <f t="shared" si="86"/>
        <v>483</v>
      </c>
      <c r="B685" s="219" t="s">
        <v>1851</v>
      </c>
      <c r="C685" s="536">
        <v>52</v>
      </c>
      <c r="D685" s="219" t="s">
        <v>884</v>
      </c>
      <c r="H685" s="1" t="s">
        <v>1610</v>
      </c>
      <c r="K685" s="5" t="s">
        <v>2091</v>
      </c>
      <c r="N685" s="1" t="s">
        <v>2290</v>
      </c>
      <c r="O685" s="1" t="s">
        <v>910</v>
      </c>
      <c r="S685" s="50">
        <v>1</v>
      </c>
      <c r="T685" t="s">
        <v>1365</v>
      </c>
      <c r="U685" t="s">
        <v>4199</v>
      </c>
      <c r="V685">
        <f t="shared" si="95"/>
        <v>98.34</v>
      </c>
      <c r="W685" s="4"/>
      <c r="X685">
        <f>V685</f>
        <v>98.34</v>
      </c>
      <c r="AC685" s="50">
        <f>9.92*0.04</f>
        <v>0.39700000000000002</v>
      </c>
      <c r="AE685" s="51" t="str">
        <f t="shared" ref="AE685:AE748" si="97">AG685</f>
        <v>|</v>
      </c>
      <c r="AG685" s="1" t="s">
        <v>2298</v>
      </c>
    </row>
    <row r="686" spans="1:33" ht="24" customHeight="1">
      <c r="A686" s="218">
        <f t="shared" si="86"/>
        <v>484</v>
      </c>
      <c r="B686" s="219" t="s">
        <v>1204</v>
      </c>
      <c r="C686" s="536">
        <v>39</v>
      </c>
      <c r="D686" s="219" t="s">
        <v>884</v>
      </c>
      <c r="H686" s="1" t="s">
        <v>391</v>
      </c>
      <c r="I686">
        <f>K684</f>
        <v>480</v>
      </c>
      <c r="J686" s="10">
        <f>C19*0.05</f>
        <v>4.1100000000000003</v>
      </c>
      <c r="K686" s="38">
        <f>I686+J686</f>
        <v>484.11</v>
      </c>
      <c r="O686" s="1" t="s">
        <v>1631</v>
      </c>
      <c r="U686" t="s">
        <v>4173</v>
      </c>
      <c r="W686" s="4"/>
      <c r="X686" s="36">
        <f>SUM(X684:X685)</f>
        <v>8528.58</v>
      </c>
      <c r="Y686">
        <f>SUM(Y684:Y685)</f>
        <v>8430.24</v>
      </c>
      <c r="AE686" s="51" t="str">
        <f t="shared" si="97"/>
        <v>|</v>
      </c>
      <c r="AF686">
        <f>SUM(AF684:AF685)</f>
        <v>8206.1</v>
      </c>
      <c r="AG686" s="1" t="s">
        <v>2298</v>
      </c>
    </row>
    <row r="687" spans="1:33" ht="24" customHeight="1">
      <c r="A687" s="218">
        <f t="shared" si="86"/>
        <v>485</v>
      </c>
      <c r="B687" s="219" t="s">
        <v>1277</v>
      </c>
      <c r="C687" s="536">
        <v>90</v>
      </c>
      <c r="D687" s="219" t="s">
        <v>884</v>
      </c>
      <c r="H687" s="1" t="s">
        <v>393</v>
      </c>
      <c r="I687">
        <f>K686</f>
        <v>484.11</v>
      </c>
      <c r="J687" s="10">
        <f>C20*0.05</f>
        <v>8.3000000000000007</v>
      </c>
      <c r="K687" s="38">
        <f>I687+J687</f>
        <v>492.41</v>
      </c>
      <c r="O687" s="5" t="s">
        <v>1615</v>
      </c>
      <c r="S687" s="416" t="s">
        <v>669</v>
      </c>
      <c r="U687" t="s">
        <v>4174</v>
      </c>
      <c r="V687" s="416" t="s">
        <v>669</v>
      </c>
      <c r="W687" s="4"/>
      <c r="X687">
        <f>X686*0.5%</f>
        <v>42.64</v>
      </c>
      <c r="Y687">
        <f>Y686*0.5/100</f>
        <v>42.15</v>
      </c>
      <c r="AE687" s="51" t="str">
        <f t="shared" si="97"/>
        <v>|</v>
      </c>
      <c r="AF687">
        <f>AF686/185.82</f>
        <v>44.16</v>
      </c>
      <c r="AG687" s="1" t="s">
        <v>2298</v>
      </c>
    </row>
    <row r="688" spans="1:33" ht="30.75" customHeight="1">
      <c r="A688" s="218">
        <f t="shared" si="86"/>
        <v>486</v>
      </c>
      <c r="B688" s="219" t="s">
        <v>1278</v>
      </c>
      <c r="C688" s="536">
        <v>60</v>
      </c>
      <c r="D688" s="219" t="s">
        <v>884</v>
      </c>
      <c r="H688" s="1" t="s">
        <v>2271</v>
      </c>
      <c r="I688">
        <f>K687</f>
        <v>492.41</v>
      </c>
      <c r="J688" s="10">
        <f>J687</f>
        <v>8.3000000000000007</v>
      </c>
      <c r="K688" s="38">
        <f>I688+J688</f>
        <v>500.71</v>
      </c>
      <c r="M688" s="8">
        <v>1</v>
      </c>
      <c r="N688" s="1" t="s">
        <v>884</v>
      </c>
      <c r="O688" s="1" t="s">
        <v>1105</v>
      </c>
      <c r="P688" s="8">
        <f>(C384)</f>
        <v>17.579999999999998</v>
      </c>
      <c r="Q688" s="1" t="s">
        <v>884</v>
      </c>
      <c r="R688" s="8">
        <f>(M688*P688)</f>
        <v>17.579999999999998</v>
      </c>
      <c r="T688" s="3"/>
      <c r="U688" s="36" t="s">
        <v>3667</v>
      </c>
      <c r="W688" s="4"/>
      <c r="X688" s="38">
        <f>SUM(X686:X687)</f>
        <v>8571.2199999999993</v>
      </c>
      <c r="Y688" s="36">
        <f>SUM(Y686:Y687)</f>
        <v>8472.39</v>
      </c>
      <c r="Z688" s="408" t="s">
        <v>4185</v>
      </c>
      <c r="AE688" s="51" t="str">
        <f t="shared" si="97"/>
        <v>|</v>
      </c>
      <c r="AF688">
        <f>AF686/1000</f>
        <v>8.2100000000000009</v>
      </c>
      <c r="AG688" s="1" t="s">
        <v>2298</v>
      </c>
    </row>
    <row r="689" spans="1:33" ht="17.25" customHeight="1">
      <c r="A689" s="218">
        <f t="shared" si="86"/>
        <v>487</v>
      </c>
      <c r="B689" s="219" t="s">
        <v>1106</v>
      </c>
      <c r="C689" s="536">
        <v>43.5</v>
      </c>
      <c r="D689" s="219" t="s">
        <v>884</v>
      </c>
      <c r="H689" s="1" t="s">
        <v>385</v>
      </c>
      <c r="I689">
        <f>K688</f>
        <v>500.71</v>
      </c>
      <c r="J689" s="10">
        <f>J688</f>
        <v>8.3000000000000007</v>
      </c>
      <c r="K689" s="38">
        <f>I689+J689</f>
        <v>509.01</v>
      </c>
      <c r="N689" s="1" t="s">
        <v>455</v>
      </c>
      <c r="O689" s="1" t="s">
        <v>138</v>
      </c>
      <c r="Q689" s="1" t="s">
        <v>455</v>
      </c>
      <c r="R689" s="8">
        <v>2.09</v>
      </c>
      <c r="T689" s="3"/>
      <c r="W689" s="4"/>
      <c r="X689" s="5" t="s">
        <v>1615</v>
      </c>
      <c r="AE689" s="51" t="str">
        <f t="shared" si="97"/>
        <v>|</v>
      </c>
      <c r="AF689">
        <f>185.82*10.764</f>
        <v>2000.17</v>
      </c>
      <c r="AG689" s="1" t="s">
        <v>2298</v>
      </c>
    </row>
    <row r="690" spans="1:33" ht="24" customHeight="1">
      <c r="A690" s="218">
        <f t="shared" si="86"/>
        <v>488</v>
      </c>
      <c r="B690" s="219" t="s">
        <v>250</v>
      </c>
      <c r="C690" s="536">
        <v>75</v>
      </c>
      <c r="D690" s="219" t="s">
        <v>884</v>
      </c>
      <c r="H690" s="1" t="s">
        <v>1388</v>
      </c>
      <c r="I690">
        <f>K689</f>
        <v>509.01</v>
      </c>
      <c r="J690" s="10">
        <f>J689</f>
        <v>8.3000000000000007</v>
      </c>
      <c r="K690" s="38">
        <f>I690+J690</f>
        <v>517.30999999999995</v>
      </c>
      <c r="O690" s="1" t="s">
        <v>140</v>
      </c>
      <c r="R690" s="1" t="s">
        <v>992</v>
      </c>
      <c r="T690" s="3"/>
      <c r="U690" s="1" t="s">
        <v>391</v>
      </c>
      <c r="W690" s="4"/>
      <c r="X690" s="38">
        <f>(X688+C22)</f>
        <v>8696.18</v>
      </c>
      <c r="AE690" s="51" t="str">
        <f t="shared" si="97"/>
        <v>|</v>
      </c>
      <c r="AF690">
        <f>AF686/AF689</f>
        <v>4.0999999999999996</v>
      </c>
      <c r="AG690" s="1" t="s">
        <v>2298</v>
      </c>
    </row>
    <row r="691" spans="1:33" ht="24" customHeight="1">
      <c r="A691" s="218">
        <f t="shared" si="86"/>
        <v>489</v>
      </c>
      <c r="B691" s="219" t="s">
        <v>2061</v>
      </c>
      <c r="C691" s="536">
        <v>52</v>
      </c>
      <c r="D691" s="219" t="s">
        <v>884</v>
      </c>
      <c r="F691" s="2" t="s">
        <v>1850</v>
      </c>
      <c r="H691" s="1" t="s">
        <v>775</v>
      </c>
      <c r="R691" s="5" t="s">
        <v>1615</v>
      </c>
      <c r="T691" s="3"/>
      <c r="U691" s="1" t="s">
        <v>393</v>
      </c>
      <c r="W691" s="4"/>
      <c r="X691" s="38">
        <f>(X690+C24)</f>
        <v>8942.36</v>
      </c>
      <c r="AE691" s="51" t="str">
        <f t="shared" si="97"/>
        <v>|</v>
      </c>
      <c r="AF691">
        <f>924.2/8.21</f>
        <v>112.57</v>
      </c>
      <c r="AG691" s="1" t="s">
        <v>2298</v>
      </c>
    </row>
    <row r="692" spans="1:33" ht="24" customHeight="1">
      <c r="A692" s="218">
        <f t="shared" si="86"/>
        <v>490</v>
      </c>
      <c r="B692" s="219" t="s">
        <v>1204</v>
      </c>
      <c r="C692" s="536">
        <v>35.25</v>
      </c>
      <c r="D692" s="219" t="s">
        <v>884</v>
      </c>
      <c r="H692" s="1" t="s">
        <v>1852</v>
      </c>
      <c r="O692" s="1" t="s">
        <v>1594</v>
      </c>
      <c r="R692" s="8">
        <f>SUM(R688:R690)</f>
        <v>19.670000000000002</v>
      </c>
      <c r="T692" s="3"/>
      <c r="U692" s="1" t="s">
        <v>2271</v>
      </c>
      <c r="W692" s="4"/>
      <c r="X692" s="38">
        <f>(X691+C24)</f>
        <v>9188.5400000000009</v>
      </c>
      <c r="AE692" s="51" t="str">
        <f t="shared" si="97"/>
        <v>|</v>
      </c>
      <c r="AG692" s="1" t="s">
        <v>2298</v>
      </c>
    </row>
    <row r="693" spans="1:33" ht="24" customHeight="1">
      <c r="A693" s="218">
        <f t="shared" si="86"/>
        <v>491</v>
      </c>
      <c r="B693" s="219" t="s">
        <v>943</v>
      </c>
      <c r="C693" s="536">
        <v>37.5</v>
      </c>
      <c r="D693" s="219" t="s">
        <v>884</v>
      </c>
      <c r="H693" s="1" t="s">
        <v>339</v>
      </c>
      <c r="R693" s="5" t="s">
        <v>1615</v>
      </c>
      <c r="T693" s="3"/>
      <c r="U693" s="1" t="s">
        <v>385</v>
      </c>
      <c r="W693" s="4"/>
      <c r="X693" s="38">
        <f>(X692+C24)</f>
        <v>9434.7199999999993</v>
      </c>
      <c r="AE693" s="51" t="str">
        <f t="shared" si="97"/>
        <v>|</v>
      </c>
      <c r="AG693" s="1" t="s">
        <v>2298</v>
      </c>
    </row>
    <row r="694" spans="1:33" ht="24" customHeight="1">
      <c r="A694" s="218">
        <f t="shared" si="86"/>
        <v>492</v>
      </c>
      <c r="B694" s="219" t="s">
        <v>944</v>
      </c>
      <c r="C694" s="536">
        <v>24</v>
      </c>
      <c r="D694" s="219" t="s">
        <v>884</v>
      </c>
      <c r="H694" s="1" t="s">
        <v>1529</v>
      </c>
      <c r="O694" t="s">
        <v>252</v>
      </c>
      <c r="T694" s="3"/>
      <c r="U694" s="1" t="s">
        <v>1560</v>
      </c>
      <c r="W694" s="4"/>
      <c r="X694" s="38">
        <f>(X693+C24)</f>
        <v>9680.9</v>
      </c>
      <c r="AE694" s="51" t="str">
        <f t="shared" si="97"/>
        <v>|</v>
      </c>
      <c r="AG694" s="1" t="s">
        <v>2298</v>
      </c>
    </row>
    <row r="695" spans="1:33" ht="24" customHeight="1">
      <c r="A695" s="218">
        <f t="shared" si="86"/>
        <v>493</v>
      </c>
      <c r="B695" s="219" t="s">
        <v>945</v>
      </c>
      <c r="C695" s="536">
        <v>16</v>
      </c>
      <c r="D695" s="219" t="s">
        <v>884</v>
      </c>
      <c r="H695" s="1" t="s">
        <v>172</v>
      </c>
      <c r="N695" s="1" t="s">
        <v>2290</v>
      </c>
      <c r="O695" s="1" t="s">
        <v>487</v>
      </c>
      <c r="W695" s="4"/>
      <c r="X695">
        <f>X694+C24</f>
        <v>9927.08</v>
      </c>
      <c r="AE695" s="51" t="str">
        <f t="shared" si="97"/>
        <v>|</v>
      </c>
      <c r="AG695" s="1" t="s">
        <v>2298</v>
      </c>
    </row>
    <row r="696" spans="1:33" ht="24" customHeight="1">
      <c r="A696" s="218">
        <f t="shared" si="86"/>
        <v>494</v>
      </c>
      <c r="B696" s="1" t="s">
        <v>5112</v>
      </c>
      <c r="C696" s="51">
        <v>32.1</v>
      </c>
      <c r="D696" s="219" t="s">
        <v>884</v>
      </c>
      <c r="H696" s="1" t="s">
        <v>174</v>
      </c>
      <c r="O696" s="1" t="s">
        <v>1631</v>
      </c>
      <c r="W696" s="4"/>
      <c r="X696">
        <f>X695+C24</f>
        <v>10173.26</v>
      </c>
      <c r="AE696" s="51" t="str">
        <f t="shared" si="97"/>
        <v>|</v>
      </c>
      <c r="AG696" s="1" t="s">
        <v>2298</v>
      </c>
    </row>
    <row r="697" spans="1:33" ht="24" customHeight="1">
      <c r="A697" s="218">
        <f t="shared" si="86"/>
        <v>495</v>
      </c>
      <c r="B697" s="219" t="s">
        <v>3963</v>
      </c>
      <c r="C697" s="536">
        <v>6</v>
      </c>
      <c r="D697" s="219" t="s">
        <v>884</v>
      </c>
      <c r="H697" s="1" t="s">
        <v>2107</v>
      </c>
      <c r="O697" s="5" t="s">
        <v>1615</v>
      </c>
      <c r="W697" s="4"/>
      <c r="X697">
        <f>X696+C24</f>
        <v>10419.44</v>
      </c>
      <c r="AE697" s="51" t="str">
        <f t="shared" si="97"/>
        <v>|</v>
      </c>
      <c r="AG697" s="1" t="s">
        <v>2298</v>
      </c>
    </row>
    <row r="698" spans="1:33" ht="24" customHeight="1">
      <c r="A698" s="218">
        <f t="shared" si="86"/>
        <v>496</v>
      </c>
      <c r="B698" s="219" t="s">
        <v>128</v>
      </c>
      <c r="C698" s="220">
        <v>152.5</v>
      </c>
      <c r="D698" s="219" t="s">
        <v>1805</v>
      </c>
      <c r="E698" s="431">
        <v>98.6</v>
      </c>
      <c r="F698" t="s">
        <v>4794</v>
      </c>
      <c r="H698" s="5" t="s">
        <v>1615</v>
      </c>
      <c r="I698" s="5" t="s">
        <v>1615</v>
      </c>
      <c r="M698" s="8">
        <v>1</v>
      </c>
      <c r="N698" s="1" t="s">
        <v>884</v>
      </c>
      <c r="O698" s="1" t="s">
        <v>491</v>
      </c>
      <c r="P698" s="8">
        <f>(C385)</f>
        <v>19.3</v>
      </c>
      <c r="Q698" s="1" t="s">
        <v>884</v>
      </c>
      <c r="R698" s="8">
        <f>(M698*P698)</f>
        <v>19.3</v>
      </c>
      <c r="W698" s="4"/>
      <c r="X698">
        <f>X697+C24</f>
        <v>10665.62</v>
      </c>
      <c r="AE698" s="51" t="str">
        <f t="shared" si="97"/>
        <v>|</v>
      </c>
      <c r="AG698" s="1" t="s">
        <v>2298</v>
      </c>
    </row>
    <row r="699" spans="1:33" ht="24" customHeight="1">
      <c r="A699" s="218">
        <f t="shared" si="86"/>
        <v>497</v>
      </c>
      <c r="B699" s="1" t="s">
        <v>5113</v>
      </c>
      <c r="C699" s="1010">
        <v>366</v>
      </c>
      <c r="D699" s="219" t="s">
        <v>884</v>
      </c>
      <c r="F699" s="8">
        <v>1</v>
      </c>
      <c r="G699" s="7" t="s">
        <v>621</v>
      </c>
      <c r="H699" s="1" t="s">
        <v>942</v>
      </c>
      <c r="I699" s="8">
        <f>C76</f>
        <v>460</v>
      </c>
      <c r="J699" s="1" t="s">
        <v>621</v>
      </c>
      <c r="K699" s="8">
        <f>(F699*I699)</f>
        <v>460</v>
      </c>
      <c r="N699" s="1" t="s">
        <v>455</v>
      </c>
      <c r="O699" s="1" t="s">
        <v>138</v>
      </c>
      <c r="Q699" s="1" t="s">
        <v>455</v>
      </c>
      <c r="R699" s="8">
        <v>2.09</v>
      </c>
      <c r="W699" s="4"/>
      <c r="X699">
        <f>X698+C24</f>
        <v>10911.8</v>
      </c>
      <c r="AE699" s="51" t="str">
        <f t="shared" si="97"/>
        <v>|</v>
      </c>
      <c r="AG699" s="1" t="s">
        <v>2298</v>
      </c>
    </row>
    <row r="700" spans="1:33" ht="24" customHeight="1">
      <c r="A700" s="218">
        <f t="shared" si="86"/>
        <v>498</v>
      </c>
      <c r="B700" s="522" t="s">
        <v>558</v>
      </c>
      <c r="C700" s="1010">
        <v>256</v>
      </c>
      <c r="D700" s="219" t="s">
        <v>884</v>
      </c>
      <c r="F700" s="8">
        <v>1</v>
      </c>
      <c r="G700" s="7" t="s">
        <v>621</v>
      </c>
      <c r="H700" s="1" t="s">
        <v>1463</v>
      </c>
      <c r="I700" s="8">
        <f>C75</f>
        <v>175</v>
      </c>
      <c r="J700" s="1" t="s">
        <v>621</v>
      </c>
      <c r="K700" s="8">
        <f>(F700*I700)</f>
        <v>175</v>
      </c>
      <c r="O700" s="1" t="s">
        <v>140</v>
      </c>
      <c r="R700" s="1" t="s">
        <v>992</v>
      </c>
      <c r="W700" s="4"/>
      <c r="X700">
        <f>X699+C24</f>
        <v>11157.98</v>
      </c>
      <c r="AE700" s="51" t="str">
        <f t="shared" si="97"/>
        <v>|</v>
      </c>
      <c r="AG700" s="1" t="s">
        <v>2298</v>
      </c>
    </row>
    <row r="701" spans="1:33" ht="24" customHeight="1">
      <c r="A701" s="218">
        <f t="shared" si="86"/>
        <v>499</v>
      </c>
      <c r="B701" s="522" t="s">
        <v>559</v>
      </c>
      <c r="C701" s="1010">
        <v>768.6</v>
      </c>
      <c r="D701" s="219" t="s">
        <v>884</v>
      </c>
      <c r="F701" s="8">
        <v>1</v>
      </c>
      <c r="G701" s="7" t="s">
        <v>455</v>
      </c>
      <c r="H701" s="1" t="s">
        <v>1628</v>
      </c>
      <c r="I701" s="485">
        <v>15</v>
      </c>
      <c r="J701" s="1" t="s">
        <v>455</v>
      </c>
      <c r="K701" s="8">
        <f>(F701*I701)</f>
        <v>15</v>
      </c>
      <c r="R701" s="5" t="s">
        <v>1615</v>
      </c>
      <c r="W701" s="4"/>
      <c r="X701">
        <f>X700+C24</f>
        <v>11404.16</v>
      </c>
      <c r="AE701" s="51" t="str">
        <f t="shared" si="97"/>
        <v>|</v>
      </c>
      <c r="AG701" s="1" t="s">
        <v>2298</v>
      </c>
    </row>
    <row r="702" spans="1:33" ht="24" customHeight="1">
      <c r="A702" s="218">
        <f t="shared" si="86"/>
        <v>500</v>
      </c>
      <c r="B702" s="522" t="s">
        <v>560</v>
      </c>
      <c r="C702" s="1010">
        <v>129</v>
      </c>
      <c r="D702" s="219" t="s">
        <v>884</v>
      </c>
      <c r="H702" s="1" t="s">
        <v>456</v>
      </c>
      <c r="J702" s="1" t="s">
        <v>455</v>
      </c>
      <c r="K702" s="8">
        <v>0</v>
      </c>
      <c r="O702" s="1" t="s">
        <v>1594</v>
      </c>
      <c r="R702" s="8">
        <f>SUM(R698:R700)</f>
        <v>21.39</v>
      </c>
      <c r="W702" s="4"/>
      <c r="X702">
        <f>X701+C24</f>
        <v>11650.34</v>
      </c>
      <c r="AE702" s="51" t="str">
        <f t="shared" si="97"/>
        <v>|</v>
      </c>
      <c r="AG702" s="1" t="s">
        <v>2298</v>
      </c>
    </row>
    <row r="703" spans="1:33" ht="24" customHeight="1">
      <c r="A703" s="218">
        <f>(A702+1)</f>
        <v>501</v>
      </c>
      <c r="B703" s="522" t="s">
        <v>188</v>
      </c>
      <c r="C703" s="1010">
        <v>515.54999999999995</v>
      </c>
      <c r="D703" s="219" t="s">
        <v>884</v>
      </c>
      <c r="K703" s="5" t="s">
        <v>1615</v>
      </c>
      <c r="R703" s="5" t="s">
        <v>1615</v>
      </c>
      <c r="W703" s="4"/>
      <c r="AE703" s="51" t="str">
        <f t="shared" si="97"/>
        <v>|</v>
      </c>
      <c r="AG703" s="1" t="s">
        <v>2298</v>
      </c>
    </row>
    <row r="704" spans="1:33" ht="24" customHeight="1">
      <c r="A704" s="221"/>
      <c r="B704" t="s">
        <v>5114</v>
      </c>
      <c r="C704" s="431">
        <v>3325</v>
      </c>
      <c r="D704" s="221" t="s">
        <v>621</v>
      </c>
      <c r="H704" s="1" t="s">
        <v>562</v>
      </c>
      <c r="K704" s="8">
        <f>SUM(K699:K702)</f>
        <v>650</v>
      </c>
      <c r="U704" s="36" t="s">
        <v>4159</v>
      </c>
      <c r="W704" s="4"/>
      <c r="AE704" s="51" t="str">
        <f t="shared" si="97"/>
        <v>|</v>
      </c>
      <c r="AG704" s="1" t="s">
        <v>2298</v>
      </c>
    </row>
    <row r="705" spans="1:33" ht="24" customHeight="1">
      <c r="A705" s="218">
        <f>(A703+1)</f>
        <v>502</v>
      </c>
      <c r="B705" s="522" t="s">
        <v>189</v>
      </c>
      <c r="C705" s="1010">
        <v>254</v>
      </c>
      <c r="D705" s="219" t="s">
        <v>884</v>
      </c>
      <c r="H705" s="1" t="s">
        <v>1610</v>
      </c>
      <c r="K705" s="5" t="s">
        <v>2091</v>
      </c>
      <c r="S705" s="50">
        <v>5</v>
      </c>
      <c r="T705" t="s">
        <v>1365</v>
      </c>
      <c r="U705" t="s">
        <v>4167</v>
      </c>
      <c r="V705">
        <f>AC14</f>
        <v>1704.69</v>
      </c>
      <c r="W705" s="4"/>
      <c r="X705">
        <f>V705*S705</f>
        <v>8523.4500000000007</v>
      </c>
      <c r="Z705">
        <f>X705</f>
        <v>8523.4500000000007</v>
      </c>
      <c r="AE705" s="51" t="str">
        <f t="shared" si="97"/>
        <v>|</v>
      </c>
      <c r="AG705" s="1" t="s">
        <v>2298</v>
      </c>
    </row>
    <row r="706" spans="1:33" ht="24" customHeight="1">
      <c r="A706" s="218">
        <f t="shared" ref="A706:A763" si="98">(A705+1)</f>
        <v>503</v>
      </c>
      <c r="B706" s="522" t="s">
        <v>190</v>
      </c>
      <c r="C706" s="1010">
        <v>315</v>
      </c>
      <c r="D706" s="219" t="s">
        <v>884</v>
      </c>
      <c r="H706" s="1" t="s">
        <v>391</v>
      </c>
      <c r="I706">
        <f>K704</f>
        <v>650</v>
      </c>
      <c r="J706" s="1">
        <f>C19*0.11</f>
        <v>9.0500000000000007</v>
      </c>
      <c r="K706" s="38">
        <f>I706+J706</f>
        <v>659.05</v>
      </c>
      <c r="N706" s="1" t="s">
        <v>2290</v>
      </c>
      <c r="O706" s="1" t="s">
        <v>1478</v>
      </c>
      <c r="S706" s="50">
        <v>3.3</v>
      </c>
      <c r="T706" t="s">
        <v>1365</v>
      </c>
      <c r="U706" t="s">
        <v>4168</v>
      </c>
      <c r="V706">
        <f>(AC12+AC13)/2</f>
        <v>1419.19</v>
      </c>
      <c r="W706" s="4"/>
      <c r="X706">
        <f t="shared" ref="X706:X712" si="99">V706*S706</f>
        <v>4683.33</v>
      </c>
      <c r="Z706">
        <f t="shared" ref="Z706:Z714" si="100">X706</f>
        <v>4683.33</v>
      </c>
      <c r="AE706" s="51" t="str">
        <f t="shared" si="97"/>
        <v>|</v>
      </c>
      <c r="AG706" s="1" t="s">
        <v>2298</v>
      </c>
    </row>
    <row r="707" spans="1:33" ht="24" customHeight="1">
      <c r="A707" s="218">
        <f t="shared" si="98"/>
        <v>504</v>
      </c>
      <c r="B707" s="522" t="s">
        <v>1479</v>
      </c>
      <c r="C707" s="1010">
        <v>306</v>
      </c>
      <c r="D707" s="219" t="s">
        <v>884</v>
      </c>
      <c r="H707" s="1" t="s">
        <v>393</v>
      </c>
      <c r="I707">
        <f>K706</f>
        <v>659.05</v>
      </c>
      <c r="J707" s="10">
        <f>C20*0.11</f>
        <v>18.260000000000002</v>
      </c>
      <c r="K707" s="38">
        <f>I707+J707</f>
        <v>677.31</v>
      </c>
      <c r="O707" s="1" t="s">
        <v>1481</v>
      </c>
      <c r="S707" s="50">
        <v>4.79</v>
      </c>
      <c r="T707" t="s">
        <v>1365</v>
      </c>
      <c r="U707" t="s">
        <v>4169</v>
      </c>
      <c r="V707">
        <f>V644</f>
        <v>1608.7</v>
      </c>
      <c r="W707" s="4"/>
      <c r="X707">
        <f t="shared" si="99"/>
        <v>7705.67</v>
      </c>
      <c r="Z707">
        <f t="shared" si="100"/>
        <v>7705.67</v>
      </c>
      <c r="AE707" s="51" t="str">
        <f t="shared" si="97"/>
        <v>|</v>
      </c>
      <c r="AG707" s="1" t="s">
        <v>2298</v>
      </c>
    </row>
    <row r="708" spans="1:33" ht="24" customHeight="1">
      <c r="A708" s="218">
        <f t="shared" si="98"/>
        <v>505</v>
      </c>
      <c r="B708" s="522" t="s">
        <v>1482</v>
      </c>
      <c r="C708" s="1010">
        <v>274</v>
      </c>
      <c r="D708" s="219" t="s">
        <v>884</v>
      </c>
      <c r="H708" s="1" t="s">
        <v>2271</v>
      </c>
      <c r="I708">
        <f>K707</f>
        <v>677.31</v>
      </c>
      <c r="J708" s="10">
        <f>J707</f>
        <v>18.260000000000002</v>
      </c>
      <c r="K708" s="38">
        <f>I708+J708</f>
        <v>695.57</v>
      </c>
      <c r="O708" s="5" t="s">
        <v>1615</v>
      </c>
      <c r="S708" s="50">
        <v>3.25</v>
      </c>
      <c r="T708" t="s">
        <v>535</v>
      </c>
      <c r="U708" t="s">
        <v>395</v>
      </c>
      <c r="V708">
        <f>V643</f>
        <v>6040</v>
      </c>
      <c r="W708" s="4"/>
      <c r="X708">
        <f t="shared" si="99"/>
        <v>19630</v>
      </c>
      <c r="Z708">
        <f t="shared" si="100"/>
        <v>19630</v>
      </c>
      <c r="AE708" s="51" t="str">
        <f t="shared" si="97"/>
        <v>|</v>
      </c>
      <c r="AG708" s="1" t="s">
        <v>2298</v>
      </c>
    </row>
    <row r="709" spans="1:33" ht="30.75" customHeight="1">
      <c r="A709" s="218">
        <f t="shared" si="98"/>
        <v>506</v>
      </c>
      <c r="B709" s="522" t="s">
        <v>1237</v>
      </c>
      <c r="C709" s="1010">
        <v>266</v>
      </c>
      <c r="D709" s="219" t="s">
        <v>884</v>
      </c>
      <c r="H709" s="1" t="s">
        <v>385</v>
      </c>
      <c r="I709">
        <f>K708</f>
        <v>695.57</v>
      </c>
      <c r="J709" s="10">
        <f>J708</f>
        <v>18.260000000000002</v>
      </c>
      <c r="K709" s="38">
        <f>I709+J709</f>
        <v>713.83</v>
      </c>
      <c r="M709" s="8">
        <v>1</v>
      </c>
      <c r="N709" s="1" t="s">
        <v>884</v>
      </c>
      <c r="O709" s="1" t="s">
        <v>1238</v>
      </c>
      <c r="P709" s="8">
        <f>(C393/1*0.3)</f>
        <v>38.4</v>
      </c>
      <c r="Q709" s="1" t="s">
        <v>884</v>
      </c>
      <c r="R709" s="8">
        <f>(M709*P709)</f>
        <v>38.4</v>
      </c>
      <c r="S709" s="50">
        <f>3250*0.6%</f>
        <v>19.5</v>
      </c>
      <c r="T709" t="s">
        <v>1676</v>
      </c>
      <c r="U709" s="327" t="s">
        <v>4170</v>
      </c>
      <c r="V709">
        <f>V648</f>
        <v>43.2</v>
      </c>
      <c r="W709" s="4"/>
      <c r="X709">
        <f t="shared" si="99"/>
        <v>842.4</v>
      </c>
      <c r="Z709">
        <f t="shared" si="100"/>
        <v>842.4</v>
      </c>
      <c r="AE709" s="51" t="str">
        <f t="shared" si="97"/>
        <v>|</v>
      </c>
      <c r="AG709" s="1" t="s">
        <v>2298</v>
      </c>
    </row>
    <row r="710" spans="1:33" ht="24" customHeight="1">
      <c r="A710" s="218">
        <f t="shared" si="98"/>
        <v>507</v>
      </c>
      <c r="B710" s="219" t="s">
        <v>1239</v>
      </c>
      <c r="C710" s="536">
        <v>107.64</v>
      </c>
      <c r="D710" s="219" t="s">
        <v>621</v>
      </c>
      <c r="H710" s="1" t="s">
        <v>1388</v>
      </c>
      <c r="I710">
        <f>K709</f>
        <v>713.83</v>
      </c>
      <c r="J710" s="10">
        <f>J709</f>
        <v>18.260000000000002</v>
      </c>
      <c r="K710" s="38">
        <f>I710+J710</f>
        <v>732.09</v>
      </c>
      <c r="N710" s="1" t="s">
        <v>455</v>
      </c>
      <c r="O710" s="1" t="s">
        <v>138</v>
      </c>
      <c r="Q710" s="1" t="s">
        <v>455</v>
      </c>
      <c r="R710" s="8">
        <v>1.65</v>
      </c>
      <c r="S710" s="50">
        <v>3.5</v>
      </c>
      <c r="T710" t="s">
        <v>1457</v>
      </c>
      <c r="U710" t="s">
        <v>471</v>
      </c>
      <c r="V710">
        <f>C11</f>
        <v>972.4</v>
      </c>
      <c r="W710" s="4">
        <f>J719</f>
        <v>0</v>
      </c>
      <c r="X710">
        <f t="shared" si="99"/>
        <v>3403.4</v>
      </c>
      <c r="Z710">
        <f t="shared" si="100"/>
        <v>3403.4</v>
      </c>
      <c r="AE710" s="51" t="str">
        <f t="shared" si="97"/>
        <v>|</v>
      </c>
      <c r="AG710" s="1" t="s">
        <v>2298</v>
      </c>
    </row>
    <row r="711" spans="1:33" ht="24" customHeight="1">
      <c r="A711" s="218">
        <f t="shared" si="98"/>
        <v>508</v>
      </c>
      <c r="B711" s="219" t="s">
        <v>1241</v>
      </c>
      <c r="C711" s="221"/>
      <c r="D711" s="221"/>
      <c r="F711" s="1" t="s">
        <v>992</v>
      </c>
      <c r="O711" s="1" t="s">
        <v>140</v>
      </c>
      <c r="R711" s="1" t="s">
        <v>992</v>
      </c>
      <c r="S711" s="50">
        <v>21.2</v>
      </c>
      <c r="T711" t="s">
        <v>1457</v>
      </c>
      <c r="U711" t="s">
        <v>3539</v>
      </c>
      <c r="V711">
        <f>C12</f>
        <v>679.8</v>
      </c>
      <c r="W711" s="4"/>
      <c r="X711">
        <f t="shared" si="99"/>
        <v>14411.76</v>
      </c>
      <c r="Z711">
        <f t="shared" si="100"/>
        <v>14411.76</v>
      </c>
      <c r="AE711" s="51" t="str">
        <f t="shared" si="97"/>
        <v>|</v>
      </c>
      <c r="AG711" s="1" t="s">
        <v>2298</v>
      </c>
    </row>
    <row r="712" spans="1:33" ht="24" customHeight="1">
      <c r="A712" s="218">
        <f t="shared" si="98"/>
        <v>509</v>
      </c>
      <c r="B712" s="219" t="s">
        <v>2154</v>
      </c>
      <c r="C712" s="536">
        <v>11.55</v>
      </c>
      <c r="D712" s="219" t="s">
        <v>884</v>
      </c>
      <c r="R712" s="5" t="s">
        <v>1615</v>
      </c>
      <c r="S712" s="50">
        <v>35.299999999999997</v>
      </c>
      <c r="T712" t="s">
        <v>1457</v>
      </c>
      <c r="U712" t="s">
        <v>3540</v>
      </c>
      <c r="V712">
        <f>C13</f>
        <v>557.70000000000005</v>
      </c>
      <c r="W712" s="4"/>
      <c r="X712">
        <f t="shared" si="99"/>
        <v>19686.810000000001</v>
      </c>
      <c r="Z712">
        <f t="shared" si="100"/>
        <v>19686.810000000001</v>
      </c>
      <c r="AE712" s="51" t="str">
        <f t="shared" si="97"/>
        <v>|</v>
      </c>
      <c r="AG712" s="1" t="s">
        <v>2298</v>
      </c>
    </row>
    <row r="713" spans="1:33" ht="24" customHeight="1">
      <c r="A713" s="218">
        <f t="shared" si="98"/>
        <v>510</v>
      </c>
      <c r="B713" s="219" t="s">
        <v>1137</v>
      </c>
      <c r="C713" s="536">
        <v>16.399999999999999</v>
      </c>
      <c r="D713" s="219" t="s">
        <v>884</v>
      </c>
      <c r="F713" s="2" t="s">
        <v>1379</v>
      </c>
      <c r="H713" s="1" t="s">
        <v>191</v>
      </c>
      <c r="O713" s="1" t="s">
        <v>1594</v>
      </c>
      <c r="R713" s="8">
        <f>SUM(R709:R711)</f>
        <v>40.049999999999997</v>
      </c>
      <c r="U713" t="s">
        <v>4171</v>
      </c>
      <c r="V713">
        <f>V683</f>
        <v>0</v>
      </c>
      <c r="W713" s="4"/>
      <c r="X713" s="36">
        <f>SUM(X705:X712)</f>
        <v>78886.820000000007</v>
      </c>
      <c r="Z713">
        <f t="shared" si="100"/>
        <v>78886.820000000007</v>
      </c>
      <c r="AE713" s="51" t="str">
        <f t="shared" si="97"/>
        <v>|</v>
      </c>
      <c r="AG713" s="1" t="s">
        <v>2298</v>
      </c>
    </row>
    <row r="714" spans="1:33" ht="27" customHeight="1">
      <c r="A714" s="218">
        <f t="shared" si="98"/>
        <v>511</v>
      </c>
      <c r="B714" s="219" t="s">
        <v>1138</v>
      </c>
      <c r="C714" s="536">
        <v>27.85</v>
      </c>
      <c r="D714" s="219" t="s">
        <v>884</v>
      </c>
      <c r="H714" s="1" t="s">
        <v>1480</v>
      </c>
      <c r="R714" s="5" t="s">
        <v>1615</v>
      </c>
      <c r="U714" t="s">
        <v>4172</v>
      </c>
      <c r="V714">
        <f>V684</f>
        <v>0</v>
      </c>
      <c r="W714" s="4"/>
      <c r="X714" s="36">
        <f>X713/10</f>
        <v>7888.68</v>
      </c>
      <c r="Z714">
        <f t="shared" si="100"/>
        <v>7888.68</v>
      </c>
      <c r="AE714" s="51" t="str">
        <f t="shared" si="97"/>
        <v>|</v>
      </c>
      <c r="AG714" s="1" t="s">
        <v>2298</v>
      </c>
    </row>
    <row r="715" spans="1:33" ht="24" customHeight="1">
      <c r="A715" s="218">
        <f t="shared" si="98"/>
        <v>512</v>
      </c>
      <c r="B715" s="219" t="s">
        <v>1139</v>
      </c>
      <c r="C715" s="536">
        <v>49.9</v>
      </c>
      <c r="D715" s="219" t="s">
        <v>884</v>
      </c>
      <c r="H715" s="1" t="s">
        <v>1483</v>
      </c>
      <c r="O715" s="2" t="s">
        <v>674</v>
      </c>
      <c r="R715" s="1" t="s">
        <v>992</v>
      </c>
      <c r="S715" s="50">
        <v>1</v>
      </c>
      <c r="T715" t="s">
        <v>1365</v>
      </c>
      <c r="U715" t="s">
        <v>4199</v>
      </c>
      <c r="V715">
        <f>C25</f>
        <v>98.34</v>
      </c>
      <c r="W715" s="4"/>
      <c r="X715">
        <f>V715*S715</f>
        <v>98.34</v>
      </c>
      <c r="AE715" s="51" t="str">
        <f t="shared" si="97"/>
        <v>|</v>
      </c>
      <c r="AG715" s="1" t="s">
        <v>2298</v>
      </c>
    </row>
    <row r="716" spans="1:33" ht="24" customHeight="1">
      <c r="A716" s="218">
        <f t="shared" si="98"/>
        <v>513</v>
      </c>
      <c r="B716" s="219" t="s">
        <v>1141</v>
      </c>
      <c r="C716" s="536">
        <v>69.25</v>
      </c>
      <c r="D716" s="219" t="s">
        <v>884</v>
      </c>
      <c r="H716" s="5" t="s">
        <v>1615</v>
      </c>
      <c r="M716" s="15"/>
      <c r="O716" s="2" t="s">
        <v>2121</v>
      </c>
      <c r="U716" t="s">
        <v>4173</v>
      </c>
      <c r="V716">
        <f>V686</f>
        <v>0</v>
      </c>
      <c r="W716" s="4"/>
      <c r="X716" s="36">
        <f>SUM(X714:X715)</f>
        <v>7987.02</v>
      </c>
      <c r="Z716">
        <f>Z714</f>
        <v>7888.68</v>
      </c>
      <c r="AE716" s="51" t="str">
        <f t="shared" si="97"/>
        <v>|</v>
      </c>
      <c r="AG716" s="1" t="s">
        <v>2298</v>
      </c>
    </row>
    <row r="717" spans="1:33" ht="24" customHeight="1">
      <c r="A717" s="218">
        <f t="shared" si="98"/>
        <v>514</v>
      </c>
      <c r="B717" s="219" t="s">
        <v>1941</v>
      </c>
      <c r="C717" s="221"/>
      <c r="D717" s="219" t="s">
        <v>992</v>
      </c>
      <c r="F717" s="8">
        <v>0.4</v>
      </c>
      <c r="G717" s="7" t="s">
        <v>885</v>
      </c>
      <c r="H717" s="1" t="s">
        <v>1240</v>
      </c>
      <c r="I717" s="8">
        <f>(C268)</f>
        <v>17600</v>
      </c>
      <c r="J717" s="1" t="s">
        <v>885</v>
      </c>
      <c r="K717" s="8">
        <f>(F717*I717)</f>
        <v>7040</v>
      </c>
      <c r="M717" s="2" t="s">
        <v>1567</v>
      </c>
      <c r="N717" s="1" t="s">
        <v>1942</v>
      </c>
      <c r="O717" s="1" t="s">
        <v>335</v>
      </c>
      <c r="S717" s="416" t="s">
        <v>669</v>
      </c>
      <c r="U717" t="s">
        <v>4174</v>
      </c>
      <c r="V717" t="str">
        <f>V687</f>
        <v>LS</v>
      </c>
      <c r="W717" s="4"/>
      <c r="X717">
        <f>X716*0.5%</f>
        <v>39.94</v>
      </c>
      <c r="Z717">
        <f>Z716*0.5/100</f>
        <v>39.44</v>
      </c>
      <c r="AE717" s="51" t="str">
        <f t="shared" si="97"/>
        <v>|::</v>
      </c>
      <c r="AG717" s="1" t="s">
        <v>326</v>
      </c>
    </row>
    <row r="718" spans="1:33" ht="24" customHeight="1">
      <c r="A718" s="218">
        <f t="shared" si="98"/>
        <v>515</v>
      </c>
      <c r="B718" s="219" t="s">
        <v>244</v>
      </c>
      <c r="C718" s="536">
        <v>20</v>
      </c>
      <c r="D718" s="219" t="s">
        <v>884</v>
      </c>
      <c r="F718" s="8">
        <v>0.12</v>
      </c>
      <c r="G718" s="7" t="s">
        <v>885</v>
      </c>
      <c r="H718" s="1" t="s">
        <v>1196</v>
      </c>
      <c r="I718" s="8">
        <f>(C269)</f>
        <v>15500</v>
      </c>
      <c r="J718" s="1" t="s">
        <v>885</v>
      </c>
      <c r="K718" s="8">
        <f>(F718*I718)</f>
        <v>1860</v>
      </c>
      <c r="O718" s="5" t="s">
        <v>1615</v>
      </c>
      <c r="T718" s="3"/>
      <c r="U718" s="36" t="s">
        <v>3667</v>
      </c>
      <c r="W718" s="4"/>
      <c r="X718" s="38">
        <f>SUM(X716:X717)</f>
        <v>8026.96</v>
      </c>
      <c r="Z718" s="36">
        <f>SUM(Z716:Z717)</f>
        <v>7928.12</v>
      </c>
      <c r="AE718" s="51">
        <f t="shared" si="97"/>
        <v>0</v>
      </c>
    </row>
    <row r="719" spans="1:33" ht="24" customHeight="1">
      <c r="A719" s="218">
        <f t="shared" si="98"/>
        <v>516</v>
      </c>
      <c r="B719" s="219" t="s">
        <v>506</v>
      </c>
      <c r="C719" s="536">
        <v>45</v>
      </c>
      <c r="D719" s="219" t="s">
        <v>884</v>
      </c>
      <c r="H719" s="1" t="s">
        <v>2155</v>
      </c>
      <c r="I719" s="1" t="s">
        <v>992</v>
      </c>
      <c r="K719" s="1" t="s">
        <v>992</v>
      </c>
      <c r="M719" s="15">
        <v>2.69E-2</v>
      </c>
      <c r="N719" s="1" t="s">
        <v>885</v>
      </c>
      <c r="O719" s="504" t="s">
        <v>492</v>
      </c>
      <c r="P719" s="8">
        <f>C86</f>
        <v>34300</v>
      </c>
      <c r="Q719" s="1" t="s">
        <v>885</v>
      </c>
      <c r="R719" s="8">
        <f t="shared" ref="R719:R725" si="101">M719*P719</f>
        <v>922.67</v>
      </c>
      <c r="T719" s="3"/>
      <c r="W719" s="4"/>
      <c r="X719" s="5" t="s">
        <v>1615</v>
      </c>
      <c r="AE719" s="51">
        <f t="shared" si="97"/>
        <v>0</v>
      </c>
    </row>
    <row r="720" spans="1:33" ht="24" customHeight="1">
      <c r="A720" s="218">
        <f t="shared" si="98"/>
        <v>517</v>
      </c>
      <c r="B720" s="219" t="s">
        <v>1339</v>
      </c>
      <c r="C720" s="607"/>
      <c r="D720" s="219" t="s">
        <v>252</v>
      </c>
      <c r="F720" s="8">
        <v>98.5</v>
      </c>
      <c r="G720" s="7" t="s">
        <v>1805</v>
      </c>
      <c r="H720" s="1" t="s">
        <v>1451</v>
      </c>
      <c r="I720" s="8">
        <f>(C270)</f>
        <v>25.2</v>
      </c>
      <c r="J720" s="1" t="s">
        <v>1805</v>
      </c>
      <c r="K720" s="8">
        <f>(F720*I720)</f>
        <v>2482.1999999999998</v>
      </c>
      <c r="M720" s="15">
        <v>1.2949999999999999</v>
      </c>
      <c r="N720" s="1" t="s">
        <v>621</v>
      </c>
      <c r="O720" s="1" t="s">
        <v>1321</v>
      </c>
      <c r="P720" s="8">
        <f>C783</f>
        <v>387.4</v>
      </c>
      <c r="Q720" s="1" t="s">
        <v>621</v>
      </c>
      <c r="R720" s="8">
        <f t="shared" si="101"/>
        <v>501.68</v>
      </c>
      <c r="T720" s="3"/>
      <c r="U720" s="1" t="s">
        <v>391</v>
      </c>
      <c r="W720" s="4"/>
      <c r="X720" s="38">
        <f>(X718+C22)</f>
        <v>8151.92</v>
      </c>
      <c r="AE720" s="51">
        <f t="shared" si="97"/>
        <v>0</v>
      </c>
    </row>
    <row r="721" spans="1:33" ht="24" customHeight="1">
      <c r="A721" s="218">
        <f t="shared" si="98"/>
        <v>518</v>
      </c>
      <c r="B721" s="219" t="s">
        <v>244</v>
      </c>
      <c r="C721" s="536">
        <v>19.09</v>
      </c>
      <c r="D721" s="219" t="s">
        <v>884</v>
      </c>
      <c r="H721" s="1" t="s">
        <v>316</v>
      </c>
      <c r="I721" s="1" t="s">
        <v>992</v>
      </c>
      <c r="K721" s="1" t="s">
        <v>252</v>
      </c>
      <c r="M721" s="15">
        <v>1.8149999999999999</v>
      </c>
      <c r="N721" s="1" t="s">
        <v>621</v>
      </c>
      <c r="O721" s="1" t="s">
        <v>2129</v>
      </c>
      <c r="P721" s="8">
        <f>C31</f>
        <v>1602.7</v>
      </c>
      <c r="Q721" s="1" t="s">
        <v>621</v>
      </c>
      <c r="R721" s="8">
        <f t="shared" si="101"/>
        <v>2908.9</v>
      </c>
      <c r="T721" s="3"/>
      <c r="U721" s="1" t="s">
        <v>393</v>
      </c>
      <c r="W721" s="4"/>
      <c r="X721" s="38">
        <f>(X720+C24)</f>
        <v>8398.1</v>
      </c>
      <c r="AE721" s="51" t="str">
        <f t="shared" si="97"/>
        <v>|</v>
      </c>
      <c r="AG721" s="1" t="s">
        <v>2298</v>
      </c>
    </row>
    <row r="722" spans="1:33" ht="24" customHeight="1">
      <c r="A722" s="218">
        <f t="shared" si="98"/>
        <v>519</v>
      </c>
      <c r="B722" s="219" t="s">
        <v>506</v>
      </c>
      <c r="C722" s="536">
        <v>50.66</v>
      </c>
      <c r="D722" s="219" t="s">
        <v>884</v>
      </c>
      <c r="K722" s="5" t="s">
        <v>1615</v>
      </c>
      <c r="M722" s="8">
        <v>2</v>
      </c>
      <c r="N722" s="1" t="s">
        <v>884</v>
      </c>
      <c r="O722" s="1" t="s">
        <v>1755</v>
      </c>
      <c r="P722" s="8">
        <f>C299</f>
        <v>10.5</v>
      </c>
      <c r="Q722" s="1" t="s">
        <v>884</v>
      </c>
      <c r="R722" s="8">
        <f t="shared" si="101"/>
        <v>21</v>
      </c>
      <c r="T722" s="3"/>
      <c r="U722" s="1" t="s">
        <v>2271</v>
      </c>
      <c r="W722" s="4"/>
      <c r="X722" s="38">
        <f>(X721+C24)</f>
        <v>8644.2800000000007</v>
      </c>
      <c r="AE722" s="51" t="str">
        <f t="shared" si="97"/>
        <v>|</v>
      </c>
      <c r="AG722" s="1" t="s">
        <v>2298</v>
      </c>
    </row>
    <row r="723" spans="1:33" ht="24" customHeight="1">
      <c r="A723" s="218">
        <f t="shared" si="98"/>
        <v>520</v>
      </c>
      <c r="B723" s="219" t="s">
        <v>1648</v>
      </c>
      <c r="C723" s="536">
        <v>1183.82</v>
      </c>
      <c r="D723" s="219" t="s">
        <v>621</v>
      </c>
      <c r="H723" s="1" t="s">
        <v>675</v>
      </c>
      <c r="K723" s="8">
        <f>SUM(K717:K721)</f>
        <v>11382.2</v>
      </c>
      <c r="M723" s="8">
        <v>3</v>
      </c>
      <c r="N723" s="1" t="s">
        <v>884</v>
      </c>
      <c r="O723" s="1" t="s">
        <v>1649</v>
      </c>
      <c r="P723" s="8">
        <f>C295</f>
        <v>8.5</v>
      </c>
      <c r="Q723" s="1" t="s">
        <v>884</v>
      </c>
      <c r="R723" s="8">
        <f t="shared" si="101"/>
        <v>25.5</v>
      </c>
      <c r="T723" s="3"/>
      <c r="U723" s="1" t="s">
        <v>385</v>
      </c>
      <c r="W723" s="4"/>
      <c r="X723" s="38">
        <f>(X722+C24)</f>
        <v>8890.4599999999991</v>
      </c>
      <c r="AE723" s="51" t="str">
        <f t="shared" si="97"/>
        <v>|</v>
      </c>
      <c r="AG723" s="1" t="s">
        <v>2298</v>
      </c>
    </row>
    <row r="724" spans="1:33" ht="24" customHeight="1">
      <c r="A724" s="218">
        <f t="shared" si="98"/>
        <v>521</v>
      </c>
      <c r="B724" s="219" t="s">
        <v>1650</v>
      </c>
      <c r="C724" s="536">
        <v>1605</v>
      </c>
      <c r="D724" s="219" t="s">
        <v>621</v>
      </c>
      <c r="H724" s="1" t="s">
        <v>992</v>
      </c>
      <c r="K724" s="5" t="s">
        <v>1615</v>
      </c>
      <c r="M724" s="8">
        <v>1</v>
      </c>
      <c r="N724" s="1" t="s">
        <v>884</v>
      </c>
      <c r="O724" s="1" t="s">
        <v>1739</v>
      </c>
      <c r="P724" s="8">
        <f>C301</f>
        <v>21</v>
      </c>
      <c r="Q724" s="1" t="s">
        <v>884</v>
      </c>
      <c r="R724" s="8">
        <f t="shared" si="101"/>
        <v>21</v>
      </c>
      <c r="T724" s="3"/>
      <c r="U724" s="1" t="s">
        <v>1560</v>
      </c>
      <c r="W724" s="4"/>
      <c r="X724" s="38">
        <f>(X723+C24)</f>
        <v>9136.64</v>
      </c>
      <c r="AE724" s="51" t="str">
        <f t="shared" si="97"/>
        <v>|</v>
      </c>
      <c r="AG724" s="1" t="s">
        <v>2298</v>
      </c>
    </row>
    <row r="725" spans="1:33" ht="24" customHeight="1">
      <c r="A725" s="218">
        <f t="shared" si="98"/>
        <v>522</v>
      </c>
      <c r="B725" s="1" t="s">
        <v>5691</v>
      </c>
      <c r="C725" s="437">
        <v>10.050000000000001</v>
      </c>
      <c r="D725" s="440" t="s">
        <v>55</v>
      </c>
      <c r="F725" s="8">
        <v>10</v>
      </c>
      <c r="G725" s="7" t="s">
        <v>621</v>
      </c>
      <c r="H725" s="1" t="s">
        <v>505</v>
      </c>
      <c r="I725" s="8">
        <f>(K723/50)</f>
        <v>227.64</v>
      </c>
      <c r="J725" s="1" t="s">
        <v>621</v>
      </c>
      <c r="K725" s="8">
        <f>(F725*I725)</f>
        <v>2276.4</v>
      </c>
      <c r="M725" s="8">
        <v>1</v>
      </c>
      <c r="N725" s="1" t="s">
        <v>884</v>
      </c>
      <c r="O725" s="1" t="s">
        <v>2016</v>
      </c>
      <c r="P725" s="8">
        <f>C303</f>
        <v>4</v>
      </c>
      <c r="Q725" s="1" t="s">
        <v>884</v>
      </c>
      <c r="R725" s="8">
        <f t="shared" si="101"/>
        <v>4</v>
      </c>
      <c r="W725" s="4"/>
      <c r="AE725" s="51" t="str">
        <f t="shared" si="97"/>
        <v>|</v>
      </c>
      <c r="AG725" s="1" t="s">
        <v>2298</v>
      </c>
    </row>
    <row r="726" spans="1:33" ht="24" customHeight="1">
      <c r="A726" s="218">
        <f t="shared" si="98"/>
        <v>523</v>
      </c>
      <c r="B726" s="219" t="s">
        <v>1749</v>
      </c>
      <c r="C726" s="536">
        <v>147.6</v>
      </c>
      <c r="D726" s="219" t="s">
        <v>1805</v>
      </c>
      <c r="F726" s="8">
        <v>3.8</v>
      </c>
      <c r="G726" s="7" t="s">
        <v>785</v>
      </c>
      <c r="H726" s="1" t="s">
        <v>507</v>
      </c>
      <c r="I726" s="8">
        <f>(C16)</f>
        <v>1018.6</v>
      </c>
      <c r="J726" s="1" t="s">
        <v>785</v>
      </c>
      <c r="K726" s="8">
        <f>(F726*I726)</f>
        <v>3870.68</v>
      </c>
      <c r="N726" s="1" t="s">
        <v>455</v>
      </c>
      <c r="O726" s="1" t="s">
        <v>456</v>
      </c>
      <c r="Q726" s="1" t="s">
        <v>455</v>
      </c>
      <c r="R726" s="8">
        <v>0</v>
      </c>
      <c r="W726" s="4"/>
      <c r="AE726" s="51" t="str">
        <f t="shared" si="97"/>
        <v>|</v>
      </c>
      <c r="AG726" s="1" t="s">
        <v>2298</v>
      </c>
    </row>
    <row r="727" spans="1:33" ht="24" customHeight="1">
      <c r="A727" s="218">
        <f t="shared" si="98"/>
        <v>524</v>
      </c>
      <c r="B727" s="219" t="s">
        <v>1750</v>
      </c>
      <c r="C727" s="536">
        <v>147.6</v>
      </c>
      <c r="D727" s="219" t="s">
        <v>1805</v>
      </c>
      <c r="F727" s="8">
        <v>5.4</v>
      </c>
      <c r="G727" s="7" t="s">
        <v>785</v>
      </c>
      <c r="H727" s="1" t="s">
        <v>1937</v>
      </c>
      <c r="I727" s="8">
        <f>(C12)</f>
        <v>679.8</v>
      </c>
      <c r="J727" s="1" t="s">
        <v>785</v>
      </c>
      <c r="K727" s="8">
        <f>(F727*I727)</f>
        <v>3670.92</v>
      </c>
      <c r="R727" s="5" t="s">
        <v>1615</v>
      </c>
      <c r="W727" s="4"/>
      <c r="AE727" s="51" t="str">
        <f t="shared" si="97"/>
        <v>|</v>
      </c>
      <c r="AG727" s="1" t="s">
        <v>2298</v>
      </c>
    </row>
    <row r="728" spans="1:33" ht="24" customHeight="1">
      <c r="A728" s="218">
        <f t="shared" si="98"/>
        <v>525</v>
      </c>
      <c r="B728" s="219" t="s">
        <v>1751</v>
      </c>
      <c r="C728" s="536">
        <v>147.6</v>
      </c>
      <c r="D728" s="219" t="s">
        <v>1805</v>
      </c>
      <c r="G728" s="7" t="s">
        <v>455</v>
      </c>
      <c r="H728" s="1" t="s">
        <v>1322</v>
      </c>
      <c r="J728" s="1" t="s">
        <v>455</v>
      </c>
      <c r="K728" s="8">
        <v>5</v>
      </c>
      <c r="O728" s="2" t="s">
        <v>12</v>
      </c>
      <c r="R728" s="8">
        <f>SUM(R719:R726)</f>
        <v>4404.75</v>
      </c>
      <c r="T728" s="36">
        <v>4.2</v>
      </c>
      <c r="U728" s="36" t="s">
        <v>4830</v>
      </c>
      <c r="W728" s="4"/>
      <c r="AE728" s="51" t="str">
        <f t="shared" si="97"/>
        <v>|</v>
      </c>
      <c r="AG728" s="1" t="s">
        <v>2298</v>
      </c>
    </row>
    <row r="729" spans="1:33" ht="24" customHeight="1">
      <c r="A729" s="218">
        <f t="shared" si="98"/>
        <v>526</v>
      </c>
      <c r="B729" s="219" t="s">
        <v>660</v>
      </c>
      <c r="C729" s="536">
        <v>1250</v>
      </c>
      <c r="D729" s="219" t="s">
        <v>621</v>
      </c>
      <c r="K729" s="5" t="s">
        <v>1615</v>
      </c>
      <c r="R729" s="5" t="s">
        <v>1615</v>
      </c>
      <c r="S729" s="50">
        <v>5</v>
      </c>
      <c r="T729" t="s">
        <v>1365</v>
      </c>
      <c r="U729" t="s">
        <v>4167</v>
      </c>
      <c r="V729">
        <f>V675</f>
        <v>1704.69</v>
      </c>
      <c r="W729" s="4"/>
      <c r="X729">
        <f t="shared" ref="X729:X736" si="102">V729*S729</f>
        <v>8523.4500000000007</v>
      </c>
      <c r="AE729" s="51" t="str">
        <f t="shared" si="97"/>
        <v>|</v>
      </c>
      <c r="AG729" s="1" t="s">
        <v>2298</v>
      </c>
    </row>
    <row r="730" spans="1:33" ht="24" customHeight="1">
      <c r="A730" s="218">
        <f t="shared" si="98"/>
        <v>527</v>
      </c>
      <c r="B730" s="219" t="s">
        <v>662</v>
      </c>
      <c r="C730" s="536">
        <v>1250</v>
      </c>
      <c r="D730" s="219" t="s">
        <v>621</v>
      </c>
      <c r="H730" s="1" t="s">
        <v>447</v>
      </c>
      <c r="K730" s="8">
        <f>SUM(K725:K728)</f>
        <v>9823</v>
      </c>
      <c r="N730" s="1" t="s">
        <v>992</v>
      </c>
      <c r="O730" s="2" t="s">
        <v>562</v>
      </c>
      <c r="R730" s="8">
        <f>R728/M720</f>
        <v>3401.35</v>
      </c>
      <c r="S730" s="50">
        <v>3.3</v>
      </c>
      <c r="T730" t="s">
        <v>1365</v>
      </c>
      <c r="U730" t="s">
        <v>4168</v>
      </c>
      <c r="V730">
        <f t="shared" ref="V730:V739" si="103">V676</f>
        <v>1419.19</v>
      </c>
      <c r="W730" s="4"/>
      <c r="X730">
        <f t="shared" si="102"/>
        <v>4683.33</v>
      </c>
      <c r="AE730" s="51" t="str">
        <f t="shared" si="97"/>
        <v>|</v>
      </c>
      <c r="AG730" s="1" t="s">
        <v>2298</v>
      </c>
    </row>
    <row r="731" spans="1:33" ht="24" customHeight="1">
      <c r="A731" s="218">
        <f t="shared" si="98"/>
        <v>528</v>
      </c>
      <c r="B731" s="219" t="s">
        <v>1259</v>
      </c>
      <c r="C731" s="536">
        <v>1250</v>
      </c>
      <c r="D731" s="219" t="s">
        <v>621</v>
      </c>
      <c r="K731" s="5" t="s">
        <v>1615</v>
      </c>
      <c r="R731" s="5" t="s">
        <v>2091</v>
      </c>
      <c r="S731" s="50">
        <v>4.79</v>
      </c>
      <c r="T731" t="s">
        <v>1365</v>
      </c>
      <c r="U731" t="s">
        <v>4169</v>
      </c>
      <c r="V731">
        <f t="shared" si="103"/>
        <v>1608.7</v>
      </c>
      <c r="W731" s="4"/>
      <c r="X731">
        <f t="shared" si="102"/>
        <v>7705.67</v>
      </c>
      <c r="AE731" s="51" t="str">
        <f t="shared" si="97"/>
        <v>|</v>
      </c>
      <c r="AG731" s="1" t="s">
        <v>2298</v>
      </c>
    </row>
    <row r="732" spans="1:33" ht="24" customHeight="1">
      <c r="A732" s="218">
        <f t="shared" si="98"/>
        <v>529</v>
      </c>
      <c r="B732" s="219" t="s">
        <v>525</v>
      </c>
      <c r="C732" s="536">
        <v>1250</v>
      </c>
      <c r="D732" s="219" t="s">
        <v>621</v>
      </c>
      <c r="H732" s="1" t="s">
        <v>562</v>
      </c>
      <c r="K732" s="8">
        <f>(K730/10)</f>
        <v>982.3</v>
      </c>
      <c r="M732" s="2" t="s">
        <v>1567</v>
      </c>
      <c r="N732" s="1" t="s">
        <v>527</v>
      </c>
      <c r="O732" s="1" t="s">
        <v>528</v>
      </c>
      <c r="S732" s="50">
        <v>3.5</v>
      </c>
      <c r="T732" t="s">
        <v>535</v>
      </c>
      <c r="U732" t="s">
        <v>395</v>
      </c>
      <c r="V732">
        <f t="shared" si="103"/>
        <v>6040</v>
      </c>
      <c r="W732" s="4"/>
      <c r="X732">
        <f t="shared" si="102"/>
        <v>21140</v>
      </c>
      <c r="AE732" s="51" t="str">
        <f t="shared" si="97"/>
        <v>|</v>
      </c>
      <c r="AG732" s="1" t="s">
        <v>2298</v>
      </c>
    </row>
    <row r="733" spans="1:33" ht="24" customHeight="1">
      <c r="A733" s="218">
        <f t="shared" si="98"/>
        <v>530</v>
      </c>
      <c r="B733" s="219" t="s">
        <v>529</v>
      </c>
      <c r="C733" s="536">
        <v>1250</v>
      </c>
      <c r="D733" s="219" t="s">
        <v>621</v>
      </c>
      <c r="K733" s="5" t="s">
        <v>2091</v>
      </c>
      <c r="O733" s="5" t="s">
        <v>1615</v>
      </c>
      <c r="S733" s="50">
        <v>28</v>
      </c>
      <c r="T733" t="s">
        <v>1676</v>
      </c>
      <c r="U733" t="s">
        <v>4176</v>
      </c>
      <c r="V733">
        <f t="shared" si="103"/>
        <v>43.2</v>
      </c>
      <c r="W733" s="4"/>
      <c r="X733">
        <f t="shared" si="102"/>
        <v>1209.5999999999999</v>
      </c>
      <c r="AE733" s="51" t="str">
        <f t="shared" si="97"/>
        <v>|</v>
      </c>
      <c r="AG733" s="1" t="s">
        <v>2298</v>
      </c>
    </row>
    <row r="734" spans="1:33" ht="24" customHeight="1">
      <c r="A734" s="218">
        <f t="shared" si="98"/>
        <v>531</v>
      </c>
      <c r="B734" s="219" t="s">
        <v>777</v>
      </c>
      <c r="C734" s="536">
        <v>1250</v>
      </c>
      <c r="D734" s="219" t="s">
        <v>621</v>
      </c>
      <c r="M734" s="15">
        <v>2.5499999999999998E-2</v>
      </c>
      <c r="N734" s="1" t="s">
        <v>885</v>
      </c>
      <c r="O734" s="1" t="s">
        <v>1338</v>
      </c>
      <c r="P734" s="8">
        <f>C86</f>
        <v>34300</v>
      </c>
      <c r="Q734" s="1" t="s">
        <v>885</v>
      </c>
      <c r="R734" s="8">
        <f t="shared" ref="R734:R740" si="104">M734*P734</f>
        <v>874.65</v>
      </c>
      <c r="S734" s="50">
        <v>3.5</v>
      </c>
      <c r="T734" t="s">
        <v>1457</v>
      </c>
      <c r="U734" t="s">
        <v>471</v>
      </c>
      <c r="V734">
        <f t="shared" si="103"/>
        <v>972.4</v>
      </c>
      <c r="W734" s="4"/>
      <c r="X734">
        <f t="shared" si="102"/>
        <v>3403.4</v>
      </c>
      <c r="AE734" s="51" t="str">
        <f t="shared" si="97"/>
        <v>|</v>
      </c>
      <c r="AG734" s="1" t="s">
        <v>2298</v>
      </c>
    </row>
    <row r="735" spans="1:33" ht="24" customHeight="1">
      <c r="A735" s="218">
        <f t="shared" si="98"/>
        <v>532</v>
      </c>
      <c r="B735" s="219" t="s">
        <v>1251</v>
      </c>
      <c r="C735" s="536">
        <v>1250</v>
      </c>
      <c r="D735" s="219" t="s">
        <v>621</v>
      </c>
      <c r="F735" s="2" t="s">
        <v>2080</v>
      </c>
      <c r="G735" s="7" t="s">
        <v>2290</v>
      </c>
      <c r="H735" s="1" t="s">
        <v>11</v>
      </c>
      <c r="M735" s="15">
        <v>1.1299999999999999</v>
      </c>
      <c r="N735" s="1" t="s">
        <v>621</v>
      </c>
      <c r="O735" s="1" t="s">
        <v>1321</v>
      </c>
      <c r="P735" s="8">
        <f>C783</f>
        <v>387.4</v>
      </c>
      <c r="Q735" s="1" t="s">
        <v>621</v>
      </c>
      <c r="R735" s="8">
        <f t="shared" si="104"/>
        <v>437.76</v>
      </c>
      <c r="S735" s="50">
        <v>21.2</v>
      </c>
      <c r="T735" t="s">
        <v>1457</v>
      </c>
      <c r="U735" t="s">
        <v>3539</v>
      </c>
      <c r="V735">
        <f t="shared" si="103"/>
        <v>679.8</v>
      </c>
      <c r="W735" s="4"/>
      <c r="X735">
        <f t="shared" si="102"/>
        <v>14411.76</v>
      </c>
      <c r="AE735" s="51" t="str">
        <f t="shared" si="97"/>
        <v>|</v>
      </c>
      <c r="AG735" s="1" t="s">
        <v>2298</v>
      </c>
    </row>
    <row r="736" spans="1:33" ht="24" customHeight="1">
      <c r="A736" s="218">
        <f t="shared" si="98"/>
        <v>533</v>
      </c>
      <c r="B736" s="219" t="s">
        <v>1252</v>
      </c>
      <c r="C736" s="536">
        <v>1250</v>
      </c>
      <c r="D736" s="219" t="s">
        <v>621</v>
      </c>
      <c r="H736" s="1" t="s">
        <v>661</v>
      </c>
      <c r="M736" s="15">
        <v>1.6191</v>
      </c>
      <c r="N736" s="1" t="s">
        <v>621</v>
      </c>
      <c r="O736" s="1" t="s">
        <v>2129</v>
      </c>
      <c r="P736" s="8">
        <f>C31</f>
        <v>1602.7</v>
      </c>
      <c r="Q736" s="1" t="s">
        <v>621</v>
      </c>
      <c r="R736" s="8">
        <f t="shared" si="104"/>
        <v>2594.9299999999998</v>
      </c>
      <c r="S736" s="50">
        <v>35.299999999999997</v>
      </c>
      <c r="T736" t="s">
        <v>1457</v>
      </c>
      <c r="U736" t="s">
        <v>3540</v>
      </c>
      <c r="V736">
        <f t="shared" si="103"/>
        <v>557.70000000000005</v>
      </c>
      <c r="W736" s="4"/>
      <c r="X736">
        <f t="shared" si="102"/>
        <v>19686.810000000001</v>
      </c>
      <c r="AE736" s="51" t="str">
        <f t="shared" si="97"/>
        <v>|</v>
      </c>
      <c r="AG736" s="1" t="s">
        <v>2298</v>
      </c>
    </row>
    <row r="737" spans="1:33" ht="24" customHeight="1">
      <c r="A737" s="218">
        <f t="shared" si="98"/>
        <v>534</v>
      </c>
      <c r="B737" s="219" t="s">
        <v>996</v>
      </c>
      <c r="C737" s="536">
        <v>1250</v>
      </c>
      <c r="D737" s="219" t="s">
        <v>621</v>
      </c>
      <c r="H737" s="1" t="s">
        <v>663</v>
      </c>
      <c r="M737" s="8">
        <v>2</v>
      </c>
      <c r="N737" s="1" t="s">
        <v>884</v>
      </c>
      <c r="O737" s="1" t="s">
        <v>1755</v>
      </c>
      <c r="P737" s="8">
        <f>C299</f>
        <v>10.5</v>
      </c>
      <c r="Q737" s="1" t="s">
        <v>884</v>
      </c>
      <c r="R737" s="8">
        <f t="shared" si="104"/>
        <v>21</v>
      </c>
      <c r="U737" s="36" t="s">
        <v>4171</v>
      </c>
      <c r="V737">
        <f t="shared" si="103"/>
        <v>0</v>
      </c>
      <c r="W737" s="4"/>
      <c r="X737" s="36">
        <f>SUM(X729:X736)</f>
        <v>80764.02</v>
      </c>
      <c r="AE737" s="51" t="str">
        <f t="shared" si="97"/>
        <v>|</v>
      </c>
      <c r="AG737" s="1" t="s">
        <v>2298</v>
      </c>
    </row>
    <row r="738" spans="1:33" ht="24" customHeight="1">
      <c r="A738" s="218">
        <f t="shared" si="98"/>
        <v>535</v>
      </c>
      <c r="B738" s="219" t="s">
        <v>998</v>
      </c>
      <c r="C738" s="536">
        <v>1250</v>
      </c>
      <c r="D738" s="219" t="s">
        <v>621</v>
      </c>
      <c r="H738" s="1" t="s">
        <v>524</v>
      </c>
      <c r="M738" s="8">
        <v>3</v>
      </c>
      <c r="N738" s="1" t="s">
        <v>884</v>
      </c>
      <c r="O738" s="1" t="s">
        <v>1649</v>
      </c>
      <c r="P738" s="8">
        <f>C295</f>
        <v>8.5</v>
      </c>
      <c r="Q738" s="1" t="s">
        <v>884</v>
      </c>
      <c r="R738" s="8">
        <f t="shared" si="104"/>
        <v>25.5</v>
      </c>
      <c r="U738" s="36" t="s">
        <v>4172</v>
      </c>
      <c r="V738">
        <f t="shared" si="103"/>
        <v>0</v>
      </c>
      <c r="W738" s="4"/>
      <c r="X738" s="36">
        <f>X737/10</f>
        <v>8076.4</v>
      </c>
      <c r="Y738">
        <f>X738</f>
        <v>8076.4</v>
      </c>
      <c r="AE738" s="51" t="str">
        <f t="shared" si="97"/>
        <v>|</v>
      </c>
      <c r="AG738" s="1" t="s">
        <v>2298</v>
      </c>
    </row>
    <row r="739" spans="1:33" ht="24" customHeight="1">
      <c r="A739" s="218">
        <f t="shared" si="98"/>
        <v>536</v>
      </c>
      <c r="B739" s="219" t="s">
        <v>959</v>
      </c>
      <c r="C739" s="536">
        <v>1250</v>
      </c>
      <c r="D739" s="219" t="s">
        <v>621</v>
      </c>
      <c r="H739" s="1" t="s">
        <v>526</v>
      </c>
      <c r="M739" s="8">
        <v>1</v>
      </c>
      <c r="N739" s="1" t="s">
        <v>884</v>
      </c>
      <c r="O739" s="1" t="s">
        <v>1739</v>
      </c>
      <c r="P739" s="8">
        <f>C301</f>
        <v>21</v>
      </c>
      <c r="Q739" s="1" t="s">
        <v>884</v>
      </c>
      <c r="R739" s="8">
        <f t="shared" si="104"/>
        <v>21</v>
      </c>
      <c r="S739" s="50">
        <v>1</v>
      </c>
      <c r="T739" t="s">
        <v>1365</v>
      </c>
      <c r="U739" t="s">
        <v>4199</v>
      </c>
      <c r="V739">
        <f t="shared" si="103"/>
        <v>98.34</v>
      </c>
      <c r="W739" s="4"/>
      <c r="X739">
        <f>V739</f>
        <v>98.34</v>
      </c>
      <c r="AE739" s="51" t="str">
        <f t="shared" si="97"/>
        <v>|</v>
      </c>
      <c r="AG739" s="1" t="s">
        <v>2298</v>
      </c>
    </row>
    <row r="740" spans="1:33" ht="24" customHeight="1">
      <c r="A740" s="218">
        <f t="shared" si="98"/>
        <v>537</v>
      </c>
      <c r="B740" s="219" t="s">
        <v>1251</v>
      </c>
      <c r="C740" s="536">
        <v>1250</v>
      </c>
      <c r="D740" s="219" t="s">
        <v>621</v>
      </c>
      <c r="H740" s="1" t="s">
        <v>2</v>
      </c>
      <c r="M740" s="8">
        <v>1</v>
      </c>
      <c r="N740" s="1" t="s">
        <v>884</v>
      </c>
      <c r="O740" s="1" t="s">
        <v>2016</v>
      </c>
      <c r="P740" s="8">
        <f>C303</f>
        <v>4</v>
      </c>
      <c r="Q740" s="1" t="s">
        <v>884</v>
      </c>
      <c r="R740" s="8">
        <f t="shared" si="104"/>
        <v>4</v>
      </c>
      <c r="U740" t="s">
        <v>4173</v>
      </c>
      <c r="W740" s="4"/>
      <c r="X740" s="36">
        <f>SUM(X738:X739)</f>
        <v>8174.74</v>
      </c>
      <c r="Y740">
        <f>SUM(Y738:Y739)</f>
        <v>8076.4</v>
      </c>
      <c r="AE740" s="51" t="str">
        <f t="shared" si="97"/>
        <v>|</v>
      </c>
      <c r="AG740" s="1" t="s">
        <v>2298</v>
      </c>
    </row>
    <row r="741" spans="1:33" ht="24" customHeight="1">
      <c r="A741" s="218">
        <f t="shared" si="98"/>
        <v>538</v>
      </c>
      <c r="B741" s="219" t="s">
        <v>1688</v>
      </c>
      <c r="C741" s="221"/>
      <c r="D741" s="219" t="s">
        <v>992</v>
      </c>
      <c r="H741" s="1" t="s">
        <v>1250</v>
      </c>
      <c r="N741" s="1" t="s">
        <v>455</v>
      </c>
      <c r="O741" s="1" t="s">
        <v>456</v>
      </c>
      <c r="Q741" s="1" t="s">
        <v>455</v>
      </c>
      <c r="R741" s="8">
        <v>0</v>
      </c>
      <c r="S741" s="416" t="s">
        <v>669</v>
      </c>
      <c r="U741" t="s">
        <v>4174</v>
      </c>
      <c r="V741" s="416" t="s">
        <v>669</v>
      </c>
      <c r="W741" s="4"/>
      <c r="X741">
        <f>X740*0.5%</f>
        <v>40.869999999999997</v>
      </c>
      <c r="Y741">
        <f>Y740*0.5/100</f>
        <v>40.380000000000003</v>
      </c>
      <c r="AE741" s="51" t="str">
        <f t="shared" si="97"/>
        <v>|</v>
      </c>
      <c r="AG741" s="1" t="s">
        <v>2298</v>
      </c>
    </row>
    <row r="742" spans="1:33" ht="24" customHeight="1">
      <c r="A742" s="218">
        <f t="shared" si="98"/>
        <v>539</v>
      </c>
      <c r="B742" s="219" t="s">
        <v>1690</v>
      </c>
      <c r="C742" s="536">
        <v>65</v>
      </c>
      <c r="D742" s="219" t="s">
        <v>1748</v>
      </c>
      <c r="H742" s="5" t="s">
        <v>1615</v>
      </c>
      <c r="I742" s="5" t="s">
        <v>1615</v>
      </c>
      <c r="J742" s="1" t="s">
        <v>1615</v>
      </c>
      <c r="R742" s="5" t="s">
        <v>1615</v>
      </c>
      <c r="T742" s="3"/>
      <c r="U742" s="36" t="s">
        <v>3667</v>
      </c>
      <c r="W742" s="4"/>
      <c r="X742" s="38">
        <f>SUM(X740:X741)</f>
        <v>8215.61</v>
      </c>
      <c r="Y742" s="36">
        <f>SUM(Y740:Y741)</f>
        <v>8116.78</v>
      </c>
      <c r="AE742" s="51" t="str">
        <f t="shared" si="97"/>
        <v>|</v>
      </c>
      <c r="AG742" s="1" t="s">
        <v>2298</v>
      </c>
    </row>
    <row r="743" spans="1:33" ht="24" customHeight="1">
      <c r="A743" s="218">
        <f t="shared" si="98"/>
        <v>540</v>
      </c>
      <c r="B743" s="522" t="s">
        <v>26</v>
      </c>
      <c r="C743" s="419">
        <v>21.5</v>
      </c>
      <c r="D743" s="219" t="s">
        <v>1748</v>
      </c>
      <c r="F743" s="8">
        <v>13.46</v>
      </c>
      <c r="G743" s="7" t="s">
        <v>272</v>
      </c>
      <c r="H743" s="1" t="s">
        <v>273</v>
      </c>
      <c r="I743" s="8">
        <f>C34/1000</f>
        <v>53</v>
      </c>
      <c r="J743" s="1" t="s">
        <v>272</v>
      </c>
      <c r="K743" s="8">
        <f>(F743*I743)</f>
        <v>713.38</v>
      </c>
      <c r="O743" s="2" t="s">
        <v>27</v>
      </c>
      <c r="R743" s="8">
        <f>SUM(R734:R741)</f>
        <v>3978.84</v>
      </c>
      <c r="T743" s="3"/>
      <c r="W743" s="4"/>
      <c r="X743" s="5" t="s">
        <v>1615</v>
      </c>
      <c r="AE743" s="51" t="str">
        <f t="shared" si="97"/>
        <v>|</v>
      </c>
      <c r="AG743" s="1" t="s">
        <v>2298</v>
      </c>
    </row>
    <row r="744" spans="1:33" ht="24" customHeight="1">
      <c r="A744" s="218">
        <f t="shared" si="98"/>
        <v>541</v>
      </c>
      <c r="B744" s="219" t="s">
        <v>28</v>
      </c>
      <c r="C744" s="536">
        <v>110.95</v>
      </c>
      <c r="D744" s="219" t="s">
        <v>1748</v>
      </c>
      <c r="H744" s="1" t="s">
        <v>997</v>
      </c>
      <c r="R744" s="5" t="s">
        <v>1615</v>
      </c>
      <c r="T744" s="3"/>
      <c r="U744" s="1" t="s">
        <v>391</v>
      </c>
      <c r="W744" s="4"/>
      <c r="X744" s="38">
        <f>(X742+C22)</f>
        <v>8340.57</v>
      </c>
      <c r="AE744" s="51" t="str">
        <f t="shared" si="97"/>
        <v>|</v>
      </c>
      <c r="AG744" s="1" t="s">
        <v>2298</v>
      </c>
    </row>
    <row r="745" spans="1:33" ht="24" customHeight="1">
      <c r="A745" s="218">
        <f t="shared" si="98"/>
        <v>542</v>
      </c>
      <c r="B745" s="219" t="s">
        <v>1037</v>
      </c>
      <c r="C745" s="536">
        <v>399</v>
      </c>
      <c r="D745" s="219" t="s">
        <v>1748</v>
      </c>
      <c r="F745" s="8">
        <v>4</v>
      </c>
      <c r="G745" s="7" t="s">
        <v>272</v>
      </c>
      <c r="H745" s="1" t="s">
        <v>999</v>
      </c>
      <c r="I745" s="8">
        <f>C34/1000</f>
        <v>53</v>
      </c>
      <c r="J745" s="1" t="s">
        <v>272</v>
      </c>
      <c r="K745" s="8">
        <f>(F745*I745)</f>
        <v>212</v>
      </c>
      <c r="O745" s="2" t="s">
        <v>562</v>
      </c>
      <c r="R745" s="8">
        <f>R743/M736</f>
        <v>2457.44</v>
      </c>
      <c r="T745" s="3"/>
      <c r="U745" s="1" t="s">
        <v>393</v>
      </c>
      <c r="W745" s="4"/>
      <c r="X745" s="38">
        <f>(X744+C24)</f>
        <v>8586.75</v>
      </c>
      <c r="AE745" s="51" t="str">
        <f t="shared" si="97"/>
        <v>|</v>
      </c>
      <c r="AG745" s="1" t="s">
        <v>2298</v>
      </c>
    </row>
    <row r="746" spans="1:33" ht="24" customHeight="1">
      <c r="A746" s="218">
        <f t="shared" si="98"/>
        <v>543</v>
      </c>
      <c r="B746" s="219" t="s">
        <v>912</v>
      </c>
      <c r="C746" s="536">
        <v>92</v>
      </c>
      <c r="D746" s="219" t="s">
        <v>1748</v>
      </c>
      <c r="H746" s="1" t="s">
        <v>1050</v>
      </c>
      <c r="R746" s="5" t="s">
        <v>2091</v>
      </c>
      <c r="T746" s="3"/>
      <c r="U746" s="1" t="s">
        <v>2271</v>
      </c>
      <c r="W746" s="4"/>
      <c r="X746" s="38">
        <f>(X745+C24)</f>
        <v>8832.93</v>
      </c>
      <c r="Y746">
        <f>X746-X745</f>
        <v>246.18</v>
      </c>
      <c r="AE746" s="51" t="str">
        <f t="shared" si="97"/>
        <v>|</v>
      </c>
      <c r="AG746" s="1" t="s">
        <v>2298</v>
      </c>
    </row>
    <row r="747" spans="1:33" ht="24" customHeight="1">
      <c r="A747" s="218">
        <f t="shared" si="98"/>
        <v>544</v>
      </c>
      <c r="B747" s="219" t="s">
        <v>317</v>
      </c>
      <c r="C747" s="536">
        <v>174.24</v>
      </c>
      <c r="D747" s="219" t="s">
        <v>1748</v>
      </c>
      <c r="F747" s="8"/>
      <c r="G747" s="7" t="s">
        <v>455</v>
      </c>
      <c r="H747" s="1" t="s">
        <v>1687</v>
      </c>
      <c r="J747" s="1" t="s">
        <v>455</v>
      </c>
      <c r="K747" s="1006">
        <v>40</v>
      </c>
      <c r="T747" s="3"/>
      <c r="U747" s="1" t="s">
        <v>385</v>
      </c>
      <c r="W747" s="4"/>
      <c r="X747" s="38">
        <f>(X746+C24)</f>
        <v>9079.11</v>
      </c>
      <c r="AE747" s="51" t="str">
        <f t="shared" si="97"/>
        <v>|</v>
      </c>
      <c r="AG747" s="1" t="s">
        <v>2298</v>
      </c>
    </row>
    <row r="748" spans="1:33" ht="24" customHeight="1">
      <c r="A748" s="218">
        <f t="shared" si="98"/>
        <v>545</v>
      </c>
      <c r="B748" s="219" t="s">
        <v>319</v>
      </c>
      <c r="C748" s="536">
        <v>215.06</v>
      </c>
      <c r="D748" s="219" t="s">
        <v>1748</v>
      </c>
      <c r="H748" s="1" t="s">
        <v>1689</v>
      </c>
      <c r="K748" s="5" t="s">
        <v>1615</v>
      </c>
      <c r="M748" s="2" t="s">
        <v>1567</v>
      </c>
      <c r="N748" s="1" t="s">
        <v>321</v>
      </c>
      <c r="O748" s="1" t="s">
        <v>1651</v>
      </c>
      <c r="T748" s="3"/>
      <c r="U748" s="1" t="s">
        <v>1560</v>
      </c>
      <c r="W748" s="4"/>
      <c r="X748" s="38">
        <f t="shared" ref="X748:X753" si="105">(X747+C24)</f>
        <v>9325.2900000000009</v>
      </c>
      <c r="Y748">
        <f>X748+Y746</f>
        <v>9571.4699999999993</v>
      </c>
      <c r="AE748" s="51" t="str">
        <f t="shared" si="97"/>
        <v>|</v>
      </c>
      <c r="AG748" s="1" t="s">
        <v>2298</v>
      </c>
    </row>
    <row r="749" spans="1:33" ht="24" customHeight="1">
      <c r="A749" s="218">
        <f t="shared" si="98"/>
        <v>546</v>
      </c>
      <c r="B749" s="219" t="s">
        <v>1652</v>
      </c>
      <c r="C749" s="536">
        <v>97.24</v>
      </c>
      <c r="D749" s="219" t="s">
        <v>1748</v>
      </c>
      <c r="H749" s="2" t="s">
        <v>3676</v>
      </c>
      <c r="K749" s="8">
        <f>SUM(K743:K747)</f>
        <v>965.38</v>
      </c>
      <c r="O749" s="5" t="s">
        <v>1615</v>
      </c>
      <c r="W749" s="4"/>
      <c r="X749" s="38">
        <f t="shared" si="105"/>
        <v>9423.6299999999992</v>
      </c>
      <c r="Y749">
        <f>Y748-X748</f>
        <v>246.18</v>
      </c>
      <c r="AE749" s="51" t="str">
        <f t="shared" ref="AE749:AE812" si="106">AG749</f>
        <v>|</v>
      </c>
      <c r="AG749" s="1" t="s">
        <v>2298</v>
      </c>
    </row>
    <row r="750" spans="1:33" ht="24" customHeight="1">
      <c r="A750" s="218">
        <f t="shared" si="98"/>
        <v>547</v>
      </c>
      <c r="B750" s="219" t="s">
        <v>1456</v>
      </c>
      <c r="C750" s="536">
        <v>168.96</v>
      </c>
      <c r="D750" s="219" t="s">
        <v>1748</v>
      </c>
      <c r="K750" s="5" t="s">
        <v>1615</v>
      </c>
      <c r="M750" s="15">
        <v>2.35E-2</v>
      </c>
      <c r="N750" s="1" t="s">
        <v>885</v>
      </c>
      <c r="O750" s="1" t="s">
        <v>1338</v>
      </c>
      <c r="P750" s="8">
        <f>C86</f>
        <v>34300</v>
      </c>
      <c r="Q750" s="1" t="s">
        <v>885</v>
      </c>
      <c r="R750" s="8">
        <f t="shared" ref="R750:R756" si="107">M750*P750</f>
        <v>806.05</v>
      </c>
      <c r="W750" s="4"/>
      <c r="X750" s="38">
        <f t="shared" si="105"/>
        <v>9464.2800000000007</v>
      </c>
      <c r="AE750" s="51" t="str">
        <f t="shared" si="106"/>
        <v>|</v>
      </c>
      <c r="AG750" s="1" t="s">
        <v>2298</v>
      </c>
    </row>
    <row r="751" spans="1:33" ht="24" customHeight="1">
      <c r="A751" s="218">
        <f t="shared" si="98"/>
        <v>548</v>
      </c>
      <c r="B751" s="1" t="s">
        <v>5692</v>
      </c>
      <c r="C751" s="419">
        <v>376.7</v>
      </c>
      <c r="D751" s="419">
        <v>408</v>
      </c>
      <c r="H751" s="2" t="s">
        <v>29</v>
      </c>
      <c r="K751" s="8">
        <f>K749/40</f>
        <v>24.13</v>
      </c>
      <c r="M751" s="15">
        <v>0.872</v>
      </c>
      <c r="N751" s="1" t="s">
        <v>621</v>
      </c>
      <c r="O751" s="1" t="s">
        <v>1321</v>
      </c>
      <c r="P751" s="8">
        <f>C783</f>
        <v>387.4</v>
      </c>
      <c r="Q751" s="1" t="s">
        <v>621</v>
      </c>
      <c r="R751" s="8">
        <f t="shared" si="107"/>
        <v>337.81</v>
      </c>
      <c r="W751" s="4"/>
      <c r="X751" s="38">
        <f t="shared" si="105"/>
        <v>9499.98</v>
      </c>
      <c r="AE751" s="51" t="str">
        <f t="shared" si="106"/>
        <v>|</v>
      </c>
      <c r="AG751" s="1" t="s">
        <v>2298</v>
      </c>
    </row>
    <row r="752" spans="1:33" ht="24" customHeight="1">
      <c r="A752" s="218">
        <f t="shared" si="98"/>
        <v>549</v>
      </c>
      <c r="B752" s="1" t="s">
        <v>5693</v>
      </c>
      <c r="C752" s="419">
        <v>769</v>
      </c>
      <c r="D752" s="219" t="s">
        <v>1748</v>
      </c>
      <c r="K752" s="5" t="s">
        <v>1615</v>
      </c>
      <c r="M752" s="15">
        <v>1.3247</v>
      </c>
      <c r="N752" s="1" t="s">
        <v>621</v>
      </c>
      <c r="O752" s="1" t="s">
        <v>2129</v>
      </c>
      <c r="P752" s="8">
        <f>C31</f>
        <v>1602.7</v>
      </c>
      <c r="Q752" s="1" t="s">
        <v>621</v>
      </c>
      <c r="R752" s="8">
        <f t="shared" si="107"/>
        <v>2123.1</v>
      </c>
      <c r="W752" s="4"/>
      <c r="X752" s="38">
        <f t="shared" si="105"/>
        <v>9586.3799999999992</v>
      </c>
      <c r="AE752" s="51" t="str">
        <f t="shared" si="106"/>
        <v>|</v>
      </c>
      <c r="AG752" s="1" t="s">
        <v>2298</v>
      </c>
    </row>
    <row r="753" spans="1:33" ht="24" customHeight="1">
      <c r="A753" s="218">
        <f t="shared" si="98"/>
        <v>550</v>
      </c>
      <c r="B753" s="219" t="s">
        <v>841</v>
      </c>
      <c r="C753" s="536">
        <v>210</v>
      </c>
      <c r="D753" s="219" t="s">
        <v>1748</v>
      </c>
      <c r="H753" s="1" t="s">
        <v>913</v>
      </c>
      <c r="M753" s="8">
        <v>1</v>
      </c>
      <c r="N753" s="1" t="s">
        <v>884</v>
      </c>
      <c r="O753" s="1" t="s">
        <v>1755</v>
      </c>
      <c r="P753" s="8">
        <f>C299</f>
        <v>10.5</v>
      </c>
      <c r="Q753" s="1" t="s">
        <v>884</v>
      </c>
      <c r="R753" s="8">
        <f t="shared" si="107"/>
        <v>10.5</v>
      </c>
      <c r="W753" s="4"/>
      <c r="X753" s="38">
        <f t="shared" si="105"/>
        <v>10388.280000000001</v>
      </c>
      <c r="AE753" s="51" t="str">
        <f t="shared" si="106"/>
        <v>|</v>
      </c>
      <c r="AG753" s="1" t="s">
        <v>2298</v>
      </c>
    </row>
    <row r="754" spans="1:33" ht="24" customHeight="1">
      <c r="A754" s="218">
        <f t="shared" si="98"/>
        <v>551</v>
      </c>
      <c r="B754" s="1" t="s">
        <v>5115</v>
      </c>
      <c r="C754" s="419">
        <v>1462</v>
      </c>
      <c r="D754" s="219" t="s">
        <v>621</v>
      </c>
      <c r="H754" s="1" t="s">
        <v>318</v>
      </c>
      <c r="M754" s="8">
        <v>3</v>
      </c>
      <c r="N754" s="1" t="s">
        <v>884</v>
      </c>
      <c r="O754" s="1" t="s">
        <v>1417</v>
      </c>
      <c r="P754" s="8">
        <f>C294</f>
        <v>5.75</v>
      </c>
      <c r="Q754" s="1" t="s">
        <v>884</v>
      </c>
      <c r="R754" s="8">
        <f t="shared" si="107"/>
        <v>17.25</v>
      </c>
      <c r="W754" s="4"/>
      <c r="AE754" s="51" t="str">
        <f t="shared" si="106"/>
        <v>|</v>
      </c>
      <c r="AG754" s="1" t="s">
        <v>2298</v>
      </c>
    </row>
    <row r="755" spans="1:33" ht="24" customHeight="1">
      <c r="A755" s="218">
        <f t="shared" si="98"/>
        <v>552</v>
      </c>
      <c r="B755" s="219" t="s">
        <v>1418</v>
      </c>
      <c r="C755" s="221"/>
      <c r="D755" s="219" t="s">
        <v>992</v>
      </c>
      <c r="H755" s="1" t="s">
        <v>320</v>
      </c>
      <c r="M755" s="8">
        <v>1</v>
      </c>
      <c r="N755" s="1" t="s">
        <v>884</v>
      </c>
      <c r="O755" s="1" t="s">
        <v>1421</v>
      </c>
      <c r="P755" s="8">
        <f>C302</f>
        <v>10</v>
      </c>
      <c r="Q755" s="1" t="s">
        <v>884</v>
      </c>
      <c r="R755" s="8">
        <f t="shared" si="107"/>
        <v>10</v>
      </c>
      <c r="W755" s="4"/>
      <c r="AE755" s="51" t="str">
        <f t="shared" si="106"/>
        <v>|</v>
      </c>
      <c r="AG755" s="1" t="s">
        <v>2298</v>
      </c>
    </row>
    <row r="756" spans="1:33" ht="24" customHeight="1">
      <c r="A756" s="218">
        <f t="shared" si="98"/>
        <v>553</v>
      </c>
      <c r="B756" s="219" t="s">
        <v>1422</v>
      </c>
      <c r="C756" s="221"/>
      <c r="D756" s="221"/>
      <c r="M756" s="8">
        <v>1</v>
      </c>
      <c r="N756" s="1" t="s">
        <v>884</v>
      </c>
      <c r="O756" s="1" t="s">
        <v>2016</v>
      </c>
      <c r="P756" s="8">
        <f>C303</f>
        <v>4</v>
      </c>
      <c r="Q756" s="1" t="s">
        <v>884</v>
      </c>
      <c r="R756" s="8">
        <f t="shared" si="107"/>
        <v>4</v>
      </c>
      <c r="W756" s="4"/>
      <c r="AE756" s="51" t="str">
        <f t="shared" si="106"/>
        <v>|</v>
      </c>
      <c r="AG756" s="1" t="s">
        <v>2298</v>
      </c>
    </row>
    <row r="757" spans="1:33" ht="24" customHeight="1">
      <c r="A757" s="218">
        <f t="shared" si="98"/>
        <v>554</v>
      </c>
      <c r="B757" s="219" t="s">
        <v>2217</v>
      </c>
      <c r="C757" s="220">
        <v>300</v>
      </c>
      <c r="D757" s="219" t="s">
        <v>2324</v>
      </c>
      <c r="F757" s="8">
        <v>19</v>
      </c>
      <c r="G757" s="7" t="s">
        <v>1457</v>
      </c>
      <c r="H757" s="1" t="s">
        <v>70</v>
      </c>
      <c r="I757" s="12">
        <f>K751</f>
        <v>24.13</v>
      </c>
      <c r="J757" s="1" t="s">
        <v>263</v>
      </c>
      <c r="K757" s="8">
        <f>(F757*I757)</f>
        <v>458.47</v>
      </c>
      <c r="N757" s="1" t="s">
        <v>455</v>
      </c>
      <c r="O757" s="1" t="s">
        <v>456</v>
      </c>
      <c r="Q757" s="1" t="s">
        <v>455</v>
      </c>
      <c r="R757" s="8">
        <v>0</v>
      </c>
      <c r="W757" s="4"/>
      <c r="AE757" s="51" t="str">
        <f t="shared" si="106"/>
        <v>|</v>
      </c>
      <c r="AG757" s="1" t="s">
        <v>2298</v>
      </c>
    </row>
    <row r="758" spans="1:33" ht="24" customHeight="1">
      <c r="A758" s="218">
        <f t="shared" si="98"/>
        <v>555</v>
      </c>
      <c r="B758" s="223" t="s">
        <v>790</v>
      </c>
      <c r="C758" s="220">
        <v>302</v>
      </c>
      <c r="D758" s="219" t="s">
        <v>2324</v>
      </c>
      <c r="H758" s="1" t="s">
        <v>1691</v>
      </c>
      <c r="R758" s="5" t="s">
        <v>1615</v>
      </c>
      <c r="W758" s="4"/>
      <c r="AE758" s="51" t="str">
        <f t="shared" si="106"/>
        <v>|</v>
      </c>
      <c r="AG758" s="1" t="s">
        <v>2298</v>
      </c>
    </row>
    <row r="759" spans="1:33" ht="24" customHeight="1">
      <c r="A759" s="218">
        <f t="shared" si="98"/>
        <v>556</v>
      </c>
      <c r="B759" s="219" t="s">
        <v>792</v>
      </c>
      <c r="C759" s="220">
        <v>382</v>
      </c>
      <c r="D759" s="219" t="s">
        <v>2324</v>
      </c>
      <c r="F759" s="8">
        <v>0.12</v>
      </c>
      <c r="G759" s="7" t="s">
        <v>2190</v>
      </c>
      <c r="H759" s="1" t="s">
        <v>1156</v>
      </c>
      <c r="I759" s="8">
        <f>C269/5</f>
        <v>3100</v>
      </c>
      <c r="J759" s="1" t="s">
        <v>263</v>
      </c>
      <c r="K759" s="8">
        <f t="shared" ref="K759:K766" si="108">(F759*I759)</f>
        <v>372</v>
      </c>
      <c r="O759" s="2" t="s">
        <v>760</v>
      </c>
      <c r="R759" s="8">
        <f>SUM(R750:R757)</f>
        <v>3308.71</v>
      </c>
      <c r="W759" s="4"/>
      <c r="AE759" s="51" t="str">
        <f t="shared" si="106"/>
        <v>|</v>
      </c>
      <c r="AG759" s="1" t="s">
        <v>2298</v>
      </c>
    </row>
    <row r="760" spans="1:33" ht="24" customHeight="1">
      <c r="A760" s="218">
        <f t="shared" si="98"/>
        <v>557</v>
      </c>
      <c r="B760" s="219" t="s">
        <v>580</v>
      </c>
      <c r="C760" s="220">
        <v>140</v>
      </c>
      <c r="D760" s="219" t="s">
        <v>2324</v>
      </c>
      <c r="F760" s="8">
        <v>98.5</v>
      </c>
      <c r="G760" s="7" t="s">
        <v>842</v>
      </c>
      <c r="H760" s="1" t="s">
        <v>843</v>
      </c>
      <c r="I760" s="8">
        <f>C270/5</f>
        <v>5.04</v>
      </c>
      <c r="J760" s="1" t="s">
        <v>263</v>
      </c>
      <c r="K760" s="8">
        <f t="shared" si="108"/>
        <v>496.44</v>
      </c>
      <c r="R760" s="5" t="s">
        <v>1615</v>
      </c>
      <c r="T760" s="36">
        <v>4.2</v>
      </c>
      <c r="U760" s="36" t="s">
        <v>5694</v>
      </c>
      <c r="W760" s="4"/>
      <c r="AE760" s="51" t="str">
        <f t="shared" si="106"/>
        <v>|</v>
      </c>
      <c r="AG760" s="1" t="s">
        <v>2298</v>
      </c>
    </row>
    <row r="761" spans="1:33" ht="24" customHeight="1">
      <c r="A761" s="218">
        <f t="shared" si="98"/>
        <v>558</v>
      </c>
      <c r="B761" s="219" t="s">
        <v>854</v>
      </c>
      <c r="C761" s="220">
        <v>222</v>
      </c>
      <c r="D761" s="219" t="s">
        <v>2324</v>
      </c>
      <c r="F761" s="8">
        <v>1</v>
      </c>
      <c r="G761" s="7" t="s">
        <v>455</v>
      </c>
      <c r="H761" s="1" t="s">
        <v>1416</v>
      </c>
      <c r="I761" s="485">
        <v>11</v>
      </c>
      <c r="J761" s="1" t="s">
        <v>455</v>
      </c>
      <c r="K761" s="8">
        <f t="shared" si="108"/>
        <v>11</v>
      </c>
      <c r="O761" s="2" t="s">
        <v>562</v>
      </c>
      <c r="R761" s="8">
        <f>R759/1.3247</f>
        <v>2497.71</v>
      </c>
      <c r="S761" s="50">
        <v>5</v>
      </c>
      <c r="T761" t="s">
        <v>1365</v>
      </c>
      <c r="U761" t="s">
        <v>4167</v>
      </c>
      <c r="V761">
        <f>V675</f>
        <v>1704.69</v>
      </c>
      <c r="W761" s="4"/>
      <c r="X761">
        <f t="shared" ref="X761:X768" si="109">V761*S761</f>
        <v>8523.4500000000007</v>
      </c>
      <c r="AE761" s="51" t="str">
        <f t="shared" si="106"/>
        <v>|</v>
      </c>
      <c r="AG761" s="1" t="s">
        <v>2298</v>
      </c>
    </row>
    <row r="762" spans="1:33" ht="24" customHeight="1">
      <c r="A762" s="218">
        <f t="shared" si="98"/>
        <v>559</v>
      </c>
      <c r="B762" s="219" t="s">
        <v>624</v>
      </c>
      <c r="C762" s="220">
        <v>505</v>
      </c>
      <c r="D762" s="219" t="s">
        <v>2324</v>
      </c>
      <c r="F762" s="8">
        <v>3.8</v>
      </c>
      <c r="G762" s="7" t="s">
        <v>1419</v>
      </c>
      <c r="H762" s="1" t="s">
        <v>1420</v>
      </c>
      <c r="I762" s="8">
        <f>C16</f>
        <v>1018.6</v>
      </c>
      <c r="J762" s="1" t="s">
        <v>1423</v>
      </c>
      <c r="K762" s="8">
        <f t="shared" si="108"/>
        <v>3870.68</v>
      </c>
      <c r="R762" s="5" t="s">
        <v>2091</v>
      </c>
      <c r="S762" s="50">
        <v>3.3</v>
      </c>
      <c r="T762" t="s">
        <v>1365</v>
      </c>
      <c r="U762" t="s">
        <v>4168</v>
      </c>
      <c r="V762">
        <f t="shared" ref="V762:V768" si="110">V676</f>
        <v>1419.19</v>
      </c>
      <c r="W762" s="4"/>
      <c r="X762">
        <f t="shared" si="109"/>
        <v>4683.33</v>
      </c>
      <c r="AE762" s="51" t="str">
        <f t="shared" si="106"/>
        <v>|</v>
      </c>
      <c r="AG762" s="1" t="s">
        <v>2298</v>
      </c>
    </row>
    <row r="763" spans="1:33" ht="24" customHeight="1">
      <c r="A763" s="218">
        <f t="shared" si="98"/>
        <v>560</v>
      </c>
      <c r="B763" s="219" t="s">
        <v>4795</v>
      </c>
      <c r="C763" s="439">
        <v>272.2</v>
      </c>
      <c r="D763" s="219" t="s">
        <v>1748</v>
      </c>
      <c r="F763" s="8">
        <v>5.4</v>
      </c>
      <c r="G763" s="7" t="s">
        <v>1419</v>
      </c>
      <c r="H763" s="1" t="s">
        <v>839</v>
      </c>
      <c r="I763" s="8">
        <f>C12</f>
        <v>679.8</v>
      </c>
      <c r="J763" s="1" t="s">
        <v>1423</v>
      </c>
      <c r="K763" s="8">
        <f t="shared" si="108"/>
        <v>3670.92</v>
      </c>
      <c r="N763" s="1" t="s">
        <v>2290</v>
      </c>
      <c r="S763" s="50">
        <v>4.79</v>
      </c>
      <c r="T763" t="s">
        <v>1365</v>
      </c>
      <c r="U763" t="s">
        <v>4169</v>
      </c>
      <c r="V763">
        <f t="shared" si="110"/>
        <v>1608.7</v>
      </c>
      <c r="W763" s="4"/>
      <c r="X763">
        <f t="shared" si="109"/>
        <v>7705.67</v>
      </c>
      <c r="AE763" s="51" t="str">
        <f t="shared" si="106"/>
        <v>|</v>
      </c>
      <c r="AG763" s="1" t="s">
        <v>2298</v>
      </c>
    </row>
    <row r="764" spans="1:33" ht="24" customHeight="1">
      <c r="A764" s="221" t="s">
        <v>2885</v>
      </c>
      <c r="B764" s="219" t="s">
        <v>5695</v>
      </c>
      <c r="C764" s="419">
        <v>1020</v>
      </c>
      <c r="D764" s="219" t="s">
        <v>1748</v>
      </c>
      <c r="F764" s="8">
        <v>1</v>
      </c>
      <c r="G764" s="7" t="s">
        <v>1419</v>
      </c>
      <c r="H764" s="1" t="s">
        <v>2325</v>
      </c>
      <c r="I764" s="8">
        <f>C66</f>
        <v>893.2</v>
      </c>
      <c r="J764" s="1" t="s">
        <v>1423</v>
      </c>
      <c r="K764" s="8">
        <f t="shared" si="108"/>
        <v>893.2</v>
      </c>
      <c r="O764" s="1" t="s">
        <v>2323</v>
      </c>
      <c r="S764" s="50">
        <v>4.25</v>
      </c>
      <c r="T764" t="s">
        <v>535</v>
      </c>
      <c r="U764" t="s">
        <v>395</v>
      </c>
      <c r="V764">
        <f t="shared" si="110"/>
        <v>6040</v>
      </c>
      <c r="W764" s="4"/>
      <c r="X764">
        <f t="shared" si="109"/>
        <v>25670</v>
      </c>
      <c r="AE764" s="51" t="str">
        <f t="shared" si="106"/>
        <v>|</v>
      </c>
      <c r="AG764" s="1" t="s">
        <v>2298</v>
      </c>
    </row>
    <row r="765" spans="1:33" ht="24" customHeight="1">
      <c r="A765" s="218">
        <f>(A763+1)</f>
        <v>561</v>
      </c>
      <c r="B765" s="219" t="s">
        <v>102</v>
      </c>
      <c r="C765" s="220">
        <v>43.3</v>
      </c>
      <c r="D765" s="219" t="s">
        <v>1805</v>
      </c>
      <c r="F765" s="8">
        <v>1</v>
      </c>
      <c r="G765" s="7" t="s">
        <v>455</v>
      </c>
      <c r="H765" s="1" t="s">
        <v>791</v>
      </c>
      <c r="I765" s="485">
        <v>10</v>
      </c>
      <c r="J765" s="1" t="s">
        <v>455</v>
      </c>
      <c r="K765" s="8">
        <f t="shared" si="108"/>
        <v>10</v>
      </c>
      <c r="O765" s="1" t="s">
        <v>2150</v>
      </c>
      <c r="S765" s="50">
        <v>40</v>
      </c>
      <c r="T765" t="s">
        <v>1676</v>
      </c>
      <c r="U765" t="s">
        <v>4176</v>
      </c>
      <c r="V765">
        <f t="shared" si="110"/>
        <v>43.2</v>
      </c>
      <c r="W765" s="4"/>
      <c r="X765">
        <f t="shared" si="109"/>
        <v>1728</v>
      </c>
      <c r="AE765" s="51" t="str">
        <f t="shared" si="106"/>
        <v>|</v>
      </c>
      <c r="AG765" s="1" t="s">
        <v>2298</v>
      </c>
    </row>
    <row r="766" spans="1:33" ht="24" customHeight="1">
      <c r="A766" s="218">
        <f t="shared" ref="A766:A783" si="111">(A765+1)</f>
        <v>562</v>
      </c>
      <c r="B766" s="219" t="s">
        <v>2151</v>
      </c>
      <c r="C766" s="220">
        <v>218</v>
      </c>
      <c r="D766" s="219" t="s">
        <v>1748</v>
      </c>
      <c r="F766" s="8">
        <v>19</v>
      </c>
      <c r="G766" s="7" t="s">
        <v>1457</v>
      </c>
      <c r="H766" s="1" t="s">
        <v>793</v>
      </c>
      <c r="I766" s="485">
        <v>2</v>
      </c>
      <c r="J766" s="1" t="s">
        <v>1457</v>
      </c>
      <c r="K766" s="8">
        <f t="shared" si="108"/>
        <v>38</v>
      </c>
      <c r="O766" s="1" t="s">
        <v>730</v>
      </c>
      <c r="S766" s="50">
        <v>3.5</v>
      </c>
      <c r="T766" t="s">
        <v>1457</v>
      </c>
      <c r="U766" t="s">
        <v>471</v>
      </c>
      <c r="V766">
        <f t="shared" si="110"/>
        <v>972.4</v>
      </c>
      <c r="W766" s="4"/>
      <c r="X766">
        <f t="shared" si="109"/>
        <v>3403.4</v>
      </c>
      <c r="AE766" s="51" t="str">
        <f t="shared" si="106"/>
        <v>|</v>
      </c>
      <c r="AG766" s="1" t="s">
        <v>2298</v>
      </c>
    </row>
    <row r="767" spans="1:33" ht="24" customHeight="1">
      <c r="A767" s="218">
        <f t="shared" si="111"/>
        <v>563</v>
      </c>
      <c r="B767" s="219" t="s">
        <v>731</v>
      </c>
      <c r="C767" s="220">
        <v>926</v>
      </c>
      <c r="D767" s="219" t="s">
        <v>1748</v>
      </c>
      <c r="H767" s="1" t="s">
        <v>510</v>
      </c>
      <c r="K767" s="5" t="s">
        <v>1615</v>
      </c>
      <c r="O767" s="1" t="s">
        <v>88</v>
      </c>
      <c r="S767" s="50">
        <v>21.2</v>
      </c>
      <c r="T767" t="s">
        <v>1457</v>
      </c>
      <c r="U767" t="s">
        <v>3539</v>
      </c>
      <c r="V767">
        <f t="shared" si="110"/>
        <v>679.8</v>
      </c>
      <c r="W767" s="4"/>
      <c r="X767">
        <f t="shared" si="109"/>
        <v>14411.76</v>
      </c>
      <c r="AE767" s="51" t="str">
        <f t="shared" si="106"/>
        <v>|</v>
      </c>
      <c r="AG767" s="1" t="s">
        <v>2298</v>
      </c>
    </row>
    <row r="768" spans="1:33" ht="24" customHeight="1">
      <c r="A768" s="218">
        <f t="shared" si="111"/>
        <v>564</v>
      </c>
      <c r="B768" s="219" t="s">
        <v>89</v>
      </c>
      <c r="C768" s="220">
        <v>5.15</v>
      </c>
      <c r="D768" s="219" t="s">
        <v>1805</v>
      </c>
      <c r="H768" s="2" t="s">
        <v>447</v>
      </c>
      <c r="K768" s="8">
        <f>SUM(K757:K766)+0.07</f>
        <v>9820.7800000000007</v>
      </c>
      <c r="O768" s="5" t="s">
        <v>1615</v>
      </c>
      <c r="S768" s="50">
        <v>35.299999999999997</v>
      </c>
      <c r="T768" t="s">
        <v>1457</v>
      </c>
      <c r="U768" t="s">
        <v>3540</v>
      </c>
      <c r="V768">
        <f t="shared" si="110"/>
        <v>557.70000000000005</v>
      </c>
      <c r="W768" s="4"/>
      <c r="X768">
        <f t="shared" si="109"/>
        <v>19686.810000000001</v>
      </c>
      <c r="AE768" s="51" t="str">
        <f t="shared" si="106"/>
        <v>|</v>
      </c>
      <c r="AG768" s="1" t="s">
        <v>2298</v>
      </c>
    </row>
    <row r="769" spans="1:33" ht="24" customHeight="1">
      <c r="A769" s="218">
        <f t="shared" si="111"/>
        <v>565</v>
      </c>
      <c r="B769" s="219" t="s">
        <v>577</v>
      </c>
      <c r="C769" s="220">
        <v>550</v>
      </c>
      <c r="D769" s="219" t="s">
        <v>1748</v>
      </c>
      <c r="K769" s="5" t="s">
        <v>1615</v>
      </c>
      <c r="U769" s="36" t="s">
        <v>4171</v>
      </c>
      <c r="W769" s="4"/>
      <c r="X769" s="36">
        <f>SUM(X761:X768)</f>
        <v>85812.42</v>
      </c>
      <c r="AE769" s="51" t="str">
        <f t="shared" si="106"/>
        <v>|</v>
      </c>
      <c r="AG769" s="1" t="s">
        <v>2298</v>
      </c>
    </row>
    <row r="770" spans="1:33" ht="24" customHeight="1">
      <c r="A770" s="218">
        <f t="shared" si="111"/>
        <v>566</v>
      </c>
      <c r="B770" s="219" t="s">
        <v>995</v>
      </c>
      <c r="C770" s="220">
        <v>286</v>
      </c>
      <c r="D770" s="219" t="s">
        <v>1748</v>
      </c>
      <c r="H770" s="2" t="s">
        <v>562</v>
      </c>
      <c r="K770" s="8">
        <f>(K768/10)</f>
        <v>982.08</v>
      </c>
      <c r="O770" s="1" t="s">
        <v>915</v>
      </c>
      <c r="R770" s="8">
        <f>(C723)</f>
        <v>1183.82</v>
      </c>
      <c r="U770" s="36" t="s">
        <v>4172</v>
      </c>
      <c r="W770" s="4"/>
      <c r="X770" s="36">
        <f>X769/10</f>
        <v>8581.24</v>
      </c>
      <c r="AE770" s="51" t="str">
        <f t="shared" si="106"/>
        <v>|</v>
      </c>
      <c r="AG770" s="1" t="s">
        <v>2298</v>
      </c>
    </row>
    <row r="771" spans="1:33" ht="24" customHeight="1">
      <c r="A771" s="218">
        <f t="shared" si="111"/>
        <v>567</v>
      </c>
      <c r="B771" s="219" t="s">
        <v>916</v>
      </c>
      <c r="C771" s="220">
        <v>96.3</v>
      </c>
      <c r="D771" s="219" t="s">
        <v>1805</v>
      </c>
      <c r="F771" s="1" t="s">
        <v>992</v>
      </c>
      <c r="R771" s="5" t="s">
        <v>2091</v>
      </c>
      <c r="S771" s="50">
        <v>1</v>
      </c>
      <c r="T771" t="s">
        <v>1365</v>
      </c>
      <c r="U771" t="s">
        <v>4199</v>
      </c>
      <c r="V771">
        <f>V807</f>
        <v>98.34</v>
      </c>
      <c r="W771" s="4"/>
      <c r="X771">
        <f>V771</f>
        <v>98.34</v>
      </c>
      <c r="AE771" s="51" t="str">
        <f t="shared" si="106"/>
        <v>|</v>
      </c>
      <c r="AG771" s="1" t="s">
        <v>2298</v>
      </c>
    </row>
    <row r="772" spans="1:33" ht="24" customHeight="1">
      <c r="A772" s="218">
        <f t="shared" si="111"/>
        <v>568</v>
      </c>
      <c r="B772" s="219" t="s">
        <v>855</v>
      </c>
      <c r="C772" s="220">
        <v>51</v>
      </c>
      <c r="D772" s="219" t="s">
        <v>1748</v>
      </c>
      <c r="K772" s="5" t="s">
        <v>2091</v>
      </c>
      <c r="U772" t="s">
        <v>4173</v>
      </c>
      <c r="W772" s="4"/>
      <c r="X772" s="36">
        <f>SUM(X770:X771)</f>
        <v>8679.58</v>
      </c>
      <c r="AE772" s="51" t="str">
        <f t="shared" si="106"/>
        <v>|</v>
      </c>
      <c r="AG772" s="1" t="s">
        <v>2298</v>
      </c>
    </row>
    <row r="773" spans="1:33" ht="24" customHeight="1">
      <c r="A773" s="218">
        <f t="shared" si="111"/>
        <v>569</v>
      </c>
      <c r="B773" s="219" t="s">
        <v>564</v>
      </c>
      <c r="C773" s="220">
        <v>181</v>
      </c>
      <c r="D773" s="219" t="s">
        <v>799</v>
      </c>
      <c r="F773" s="2" t="s">
        <v>1516</v>
      </c>
      <c r="G773" s="7" t="s">
        <v>2290</v>
      </c>
      <c r="H773" s="1" t="s">
        <v>729</v>
      </c>
      <c r="N773" s="1" t="s">
        <v>2290</v>
      </c>
      <c r="O773" s="1" t="s">
        <v>566</v>
      </c>
      <c r="S773" s="416" t="s">
        <v>669</v>
      </c>
      <c r="U773" t="s">
        <v>4174</v>
      </c>
      <c r="V773" s="416" t="s">
        <v>669</v>
      </c>
      <c r="W773" s="4"/>
      <c r="X773">
        <f>X772*0.5%</f>
        <v>43.4</v>
      </c>
      <c r="AE773" s="51" t="str">
        <f t="shared" si="106"/>
        <v>|</v>
      </c>
      <c r="AG773" s="1" t="s">
        <v>2298</v>
      </c>
    </row>
    <row r="774" spans="1:33" ht="24" customHeight="1">
      <c r="A774" s="218">
        <f t="shared" si="111"/>
        <v>570</v>
      </c>
      <c r="B774" s="219" t="s">
        <v>567</v>
      </c>
      <c r="C774" s="220">
        <v>36.200000000000003</v>
      </c>
      <c r="D774" s="219" t="s">
        <v>1805</v>
      </c>
      <c r="H774" s="1" t="s">
        <v>732</v>
      </c>
      <c r="O774" s="5" t="s">
        <v>2091</v>
      </c>
      <c r="P774" s="5" t="s">
        <v>2091</v>
      </c>
      <c r="Q774" s="5" t="s">
        <v>2091</v>
      </c>
      <c r="R774" s="1" t="s">
        <v>1021</v>
      </c>
      <c r="T774" s="3"/>
      <c r="U774" s="36" t="s">
        <v>3667</v>
      </c>
      <c r="W774" s="4"/>
      <c r="X774" s="38">
        <f>SUM(X772:X773)</f>
        <v>8722.98</v>
      </c>
      <c r="AE774" s="51" t="str">
        <f t="shared" si="106"/>
        <v>|</v>
      </c>
      <c r="AG774" s="1" t="s">
        <v>2298</v>
      </c>
    </row>
    <row r="775" spans="1:33" ht="24" customHeight="1">
      <c r="A775" s="218">
        <f t="shared" si="111"/>
        <v>571</v>
      </c>
      <c r="B775" s="219" t="s">
        <v>670</v>
      </c>
      <c r="C775" s="220">
        <v>98</v>
      </c>
      <c r="D775" s="219" t="s">
        <v>1748</v>
      </c>
      <c r="H775" s="1" t="s">
        <v>2312</v>
      </c>
      <c r="O775" s="1" t="s">
        <v>1458</v>
      </c>
      <c r="Q775" s="2" t="s">
        <v>842</v>
      </c>
      <c r="R775" s="8">
        <f>(C726)</f>
        <v>147.6</v>
      </c>
      <c r="T775" s="3"/>
      <c r="W775" s="4"/>
      <c r="X775" s="5" t="s">
        <v>1615</v>
      </c>
      <c r="AE775" s="51" t="str">
        <f t="shared" si="106"/>
        <v>|</v>
      </c>
      <c r="AG775" s="1" t="s">
        <v>2298</v>
      </c>
    </row>
    <row r="776" spans="1:33" ht="24" customHeight="1">
      <c r="A776" s="218">
        <f t="shared" si="111"/>
        <v>572</v>
      </c>
      <c r="B776" s="219" t="s">
        <v>1995</v>
      </c>
      <c r="C776" s="220">
        <v>92</v>
      </c>
      <c r="D776" s="219" t="s">
        <v>1805</v>
      </c>
      <c r="H776" s="5" t="s">
        <v>1615</v>
      </c>
      <c r="O776" s="1" t="s">
        <v>2120</v>
      </c>
      <c r="T776" s="3"/>
      <c r="U776" s="1" t="s">
        <v>391</v>
      </c>
      <c r="W776" s="4"/>
      <c r="X776" s="38">
        <f>(X774+C22)</f>
        <v>8847.94</v>
      </c>
      <c r="AE776" s="51" t="str">
        <f t="shared" si="106"/>
        <v>|::</v>
      </c>
      <c r="AG776" s="1" t="s">
        <v>326</v>
      </c>
    </row>
    <row r="777" spans="1:33" ht="24" customHeight="1">
      <c r="A777" s="218">
        <f t="shared" si="111"/>
        <v>573</v>
      </c>
      <c r="B777" s="219" t="s">
        <v>329</v>
      </c>
      <c r="C777" s="220">
        <v>49.42</v>
      </c>
      <c r="D777" s="219" t="s">
        <v>1748</v>
      </c>
      <c r="F777" s="8">
        <v>10</v>
      </c>
      <c r="G777" s="7" t="s">
        <v>621</v>
      </c>
      <c r="H777" s="1" t="s">
        <v>914</v>
      </c>
      <c r="I777" s="8">
        <f>(K757)*1.2</f>
        <v>550.16</v>
      </c>
      <c r="J777" s="1" t="s">
        <v>263</v>
      </c>
      <c r="K777" s="8">
        <f>(F777*I777)/10</f>
        <v>550.16</v>
      </c>
      <c r="O777" s="1" t="s">
        <v>330</v>
      </c>
      <c r="T777" s="3"/>
      <c r="U777" s="1" t="s">
        <v>393</v>
      </c>
      <c r="W777" s="4"/>
      <c r="X777" s="38">
        <f>(X776+C24)</f>
        <v>9094.1200000000008</v>
      </c>
      <c r="AE777" s="51">
        <f t="shared" si="106"/>
        <v>0</v>
      </c>
    </row>
    <row r="778" spans="1:33" ht="24" customHeight="1">
      <c r="A778" s="218">
        <f t="shared" si="111"/>
        <v>574</v>
      </c>
      <c r="B778" s="219" t="s">
        <v>728</v>
      </c>
      <c r="C778" s="220">
        <v>53.2</v>
      </c>
      <c r="D778" s="219" t="s">
        <v>1748</v>
      </c>
      <c r="H778" s="1" t="s">
        <v>917</v>
      </c>
      <c r="O778" s="1" t="s">
        <v>1063</v>
      </c>
      <c r="T778" s="3"/>
      <c r="U778" s="1" t="s">
        <v>2271</v>
      </c>
      <c r="W778" s="4"/>
      <c r="X778" s="38">
        <f>(X777+C24)</f>
        <v>9340.2999999999993</v>
      </c>
      <c r="AE778" s="51">
        <f t="shared" si="106"/>
        <v>0</v>
      </c>
    </row>
    <row r="779" spans="1:33" ht="24" customHeight="1">
      <c r="A779" s="218">
        <f t="shared" si="111"/>
        <v>575</v>
      </c>
      <c r="B779" s="219" t="s">
        <v>1064</v>
      </c>
      <c r="C779" s="220">
        <v>59</v>
      </c>
      <c r="D779" s="219" t="s">
        <v>1748</v>
      </c>
      <c r="H779" s="1" t="s">
        <v>856</v>
      </c>
      <c r="O779" s="1" t="s">
        <v>1122</v>
      </c>
      <c r="T779" s="3"/>
      <c r="U779" s="1" t="s">
        <v>385</v>
      </c>
      <c r="W779" s="4"/>
      <c r="X779" s="38">
        <f>(X778+C24)</f>
        <v>9586.48</v>
      </c>
      <c r="AE779" s="51" t="str">
        <f t="shared" si="106"/>
        <v>|</v>
      </c>
      <c r="AG779" s="1" t="s">
        <v>2298</v>
      </c>
    </row>
    <row r="780" spans="1:33" ht="24" customHeight="1">
      <c r="A780" s="218">
        <f t="shared" si="111"/>
        <v>576</v>
      </c>
      <c r="B780" s="219" t="s">
        <v>978</v>
      </c>
      <c r="C780" s="220">
        <v>100</v>
      </c>
      <c r="D780" s="219" t="s">
        <v>1748</v>
      </c>
      <c r="F780" s="8">
        <v>10</v>
      </c>
      <c r="G780" s="7" t="s">
        <v>621</v>
      </c>
      <c r="H780" s="1" t="s">
        <v>565</v>
      </c>
      <c r="I780" s="8">
        <f>K759*1.2</f>
        <v>446.4</v>
      </c>
      <c r="J780" s="1" t="s">
        <v>263</v>
      </c>
      <c r="K780" s="8">
        <f>(F780*I780)/10</f>
        <v>446.4</v>
      </c>
      <c r="O780" s="1" t="s">
        <v>1131</v>
      </c>
      <c r="R780" s="1" t="s">
        <v>992</v>
      </c>
      <c r="T780" s="3"/>
      <c r="U780" s="1" t="s">
        <v>1560</v>
      </c>
      <c r="W780" s="4"/>
      <c r="X780" s="38">
        <f>(X779+C$24)</f>
        <v>9832.66</v>
      </c>
      <c r="AE780" s="51">
        <f t="shared" si="106"/>
        <v>0</v>
      </c>
    </row>
    <row r="781" spans="1:33" ht="24" customHeight="1">
      <c r="A781" s="218">
        <f t="shared" si="111"/>
        <v>577</v>
      </c>
      <c r="B781" s="219" t="s">
        <v>1132</v>
      </c>
      <c r="C781" s="220">
        <v>49.52</v>
      </c>
      <c r="D781" s="219" t="s">
        <v>1805</v>
      </c>
      <c r="H781" s="1" t="s">
        <v>1020</v>
      </c>
      <c r="O781" s="1" t="s">
        <v>992</v>
      </c>
      <c r="W781" s="4"/>
      <c r="X781" s="38">
        <f>(X780+C$24)</f>
        <v>10078.84</v>
      </c>
      <c r="AE781" s="51" t="str">
        <f t="shared" si="106"/>
        <v>|</v>
      </c>
      <c r="AG781" s="1" t="s">
        <v>2298</v>
      </c>
    </row>
    <row r="782" spans="1:33" ht="24" customHeight="1">
      <c r="A782" s="218">
        <f t="shared" si="111"/>
        <v>578</v>
      </c>
      <c r="B782" s="219" t="s">
        <v>2163</v>
      </c>
      <c r="C782" s="220">
        <v>1080</v>
      </c>
      <c r="D782" s="219" t="s">
        <v>1748</v>
      </c>
      <c r="H782" s="1" t="s">
        <v>832</v>
      </c>
      <c r="W782" s="4"/>
      <c r="X782" s="38">
        <f>(X781+C$24)</f>
        <v>10325.02</v>
      </c>
      <c r="AE782" s="51" t="str">
        <f t="shared" si="106"/>
        <v>|</v>
      </c>
      <c r="AG782" s="1" t="s">
        <v>2298</v>
      </c>
    </row>
    <row r="783" spans="1:33" ht="24" customHeight="1">
      <c r="A783" s="218">
        <f t="shared" si="111"/>
        <v>579</v>
      </c>
      <c r="B783" s="219" t="s">
        <v>4410</v>
      </c>
      <c r="C783" s="536">
        <v>387.4</v>
      </c>
      <c r="D783" s="219" t="s">
        <v>621</v>
      </c>
      <c r="F783" s="8">
        <v>98.5</v>
      </c>
      <c r="G783" s="7" t="s">
        <v>842</v>
      </c>
      <c r="H783" s="1" t="s">
        <v>843</v>
      </c>
      <c r="I783" s="8">
        <f>C270/5</f>
        <v>5.04</v>
      </c>
      <c r="J783" s="1" t="s">
        <v>263</v>
      </c>
      <c r="K783" s="8">
        <f t="shared" ref="K783:K789" si="112">(F783*I783)</f>
        <v>496.44</v>
      </c>
      <c r="N783" s="1" t="s">
        <v>2290</v>
      </c>
      <c r="O783" s="1" t="s">
        <v>2165</v>
      </c>
      <c r="Q783" s="2" t="s">
        <v>2322</v>
      </c>
      <c r="R783" s="8">
        <f>(C730)</f>
        <v>1250</v>
      </c>
      <c r="W783" s="4"/>
      <c r="X783" s="38">
        <f>(X782+C$24)</f>
        <v>10571.2</v>
      </c>
      <c r="AE783" s="51" t="str">
        <f t="shared" si="106"/>
        <v>|</v>
      </c>
      <c r="AG783" s="1" t="s">
        <v>2298</v>
      </c>
    </row>
    <row r="784" spans="1:33" ht="24" customHeight="1">
      <c r="A784" s="218" t="e">
        <f>(#REF!+1)</f>
        <v>#REF!</v>
      </c>
      <c r="B784" s="219" t="s">
        <v>1422</v>
      </c>
      <c r="C784" s="221"/>
      <c r="D784" s="221"/>
      <c r="F784" s="8">
        <v>3.8</v>
      </c>
      <c r="G784" s="7" t="s">
        <v>785</v>
      </c>
      <c r="H784" s="1" t="s">
        <v>507</v>
      </c>
      <c r="I784" s="8">
        <f>(C16)</f>
        <v>1018.6</v>
      </c>
      <c r="J784" s="1" t="s">
        <v>785</v>
      </c>
      <c r="K784" s="8">
        <f t="shared" si="112"/>
        <v>3870.68</v>
      </c>
      <c r="O784" s="1" t="s">
        <v>1715</v>
      </c>
      <c r="W784" s="4"/>
      <c r="AE784" s="51" t="str">
        <f t="shared" si="106"/>
        <v>|</v>
      </c>
      <c r="AG784" s="1" t="s">
        <v>2298</v>
      </c>
    </row>
    <row r="785" spans="1:33" ht="24" customHeight="1">
      <c r="A785" s="218"/>
      <c r="B785" s="219" t="s">
        <v>2217</v>
      </c>
      <c r="C785" s="220">
        <v>300</v>
      </c>
      <c r="D785" s="221"/>
      <c r="F785" s="8">
        <v>5.4</v>
      </c>
      <c r="G785" s="7" t="s">
        <v>785</v>
      </c>
      <c r="H785" s="1" t="s">
        <v>1937</v>
      </c>
      <c r="I785" s="8">
        <f>(C12)</f>
        <v>679.8</v>
      </c>
      <c r="J785" s="1" t="s">
        <v>785</v>
      </c>
      <c r="K785" s="8">
        <f t="shared" si="112"/>
        <v>3670.92</v>
      </c>
      <c r="O785" s="1" t="s">
        <v>322</v>
      </c>
      <c r="W785" s="4"/>
      <c r="AE785" s="51" t="str">
        <f t="shared" si="106"/>
        <v>|</v>
      </c>
      <c r="AG785" s="1" t="s">
        <v>2298</v>
      </c>
    </row>
    <row r="786" spans="1:33" ht="24" customHeight="1">
      <c r="A786" s="218"/>
      <c r="B786" s="223" t="s">
        <v>790</v>
      </c>
      <c r="C786" s="220">
        <v>302</v>
      </c>
      <c r="D786" s="221"/>
      <c r="F786" s="8">
        <v>1</v>
      </c>
      <c r="G786" s="7" t="s">
        <v>785</v>
      </c>
      <c r="H786" s="1" t="s">
        <v>2325</v>
      </c>
      <c r="I786" s="8">
        <f>C66</f>
        <v>893.2</v>
      </c>
      <c r="J786" s="1" t="s">
        <v>1423</v>
      </c>
      <c r="K786" s="8">
        <f t="shared" si="112"/>
        <v>893.2</v>
      </c>
      <c r="O786" s="1" t="s">
        <v>1291</v>
      </c>
      <c r="W786" s="4"/>
      <c r="AE786" s="51" t="str">
        <f t="shared" si="106"/>
        <v>|</v>
      </c>
      <c r="AG786" s="1" t="s">
        <v>2298</v>
      </c>
    </row>
    <row r="787" spans="1:33" ht="24" customHeight="1">
      <c r="A787" s="218"/>
      <c r="B787" s="219" t="s">
        <v>1292</v>
      </c>
      <c r="C787" s="220">
        <v>324</v>
      </c>
      <c r="D787" s="221"/>
      <c r="F787" s="8">
        <v>1</v>
      </c>
      <c r="G787" s="7" t="s">
        <v>455</v>
      </c>
      <c r="H787" s="1" t="s">
        <v>979</v>
      </c>
      <c r="I787" s="8">
        <f>I761</f>
        <v>11</v>
      </c>
      <c r="J787" s="1" t="s">
        <v>1423</v>
      </c>
      <c r="K787" s="8">
        <f t="shared" si="112"/>
        <v>11</v>
      </c>
      <c r="W787" s="4"/>
      <c r="AE787" s="51" t="str">
        <f t="shared" si="106"/>
        <v>|</v>
      </c>
      <c r="AG787" s="1" t="s">
        <v>2298</v>
      </c>
    </row>
    <row r="788" spans="1:33" ht="24" customHeight="1">
      <c r="A788" s="218"/>
      <c r="B788" s="219" t="s">
        <v>792</v>
      </c>
      <c r="C788" s="220">
        <v>382</v>
      </c>
      <c r="D788" s="221"/>
      <c r="F788" s="8">
        <v>1</v>
      </c>
      <c r="G788" s="7" t="s">
        <v>455</v>
      </c>
      <c r="H788" s="1" t="s">
        <v>1322</v>
      </c>
      <c r="I788" s="486">
        <v>10</v>
      </c>
      <c r="J788" s="1" t="s">
        <v>455</v>
      </c>
      <c r="K788" s="8">
        <f t="shared" si="112"/>
        <v>10</v>
      </c>
      <c r="N788" s="1" t="s">
        <v>2290</v>
      </c>
      <c r="O788" s="1" t="s">
        <v>604</v>
      </c>
      <c r="W788" s="4"/>
      <c r="AE788" s="51" t="str">
        <f t="shared" si="106"/>
        <v>|</v>
      </c>
      <c r="AG788" s="1" t="s">
        <v>2298</v>
      </c>
    </row>
    <row r="789" spans="1:33" ht="24" customHeight="1">
      <c r="A789" s="218"/>
      <c r="B789" s="219" t="s">
        <v>624</v>
      </c>
      <c r="C789" s="220">
        <v>505</v>
      </c>
      <c r="D789" s="221"/>
      <c r="F789" s="8">
        <v>19</v>
      </c>
      <c r="G789" s="7" t="s">
        <v>1457</v>
      </c>
      <c r="H789" s="1" t="s">
        <v>2164</v>
      </c>
      <c r="I789" s="486">
        <v>2</v>
      </c>
      <c r="J789" s="10" t="s">
        <v>1457</v>
      </c>
      <c r="K789" s="8">
        <f t="shared" si="112"/>
        <v>38</v>
      </c>
      <c r="O789" s="1" t="s">
        <v>4253</v>
      </c>
      <c r="R789" s="1" t="s">
        <v>992</v>
      </c>
      <c r="W789" s="4"/>
      <c r="AE789" s="51" t="str">
        <f t="shared" si="106"/>
        <v>|</v>
      </c>
      <c r="AG789" s="1" t="s">
        <v>2298</v>
      </c>
    </row>
    <row r="790" spans="1:33" ht="24" customHeight="1">
      <c r="A790" s="218"/>
      <c r="B790" s="219" t="s">
        <v>580</v>
      </c>
      <c r="C790" s="220">
        <v>140</v>
      </c>
      <c r="D790" s="221"/>
      <c r="H790" s="1" t="s">
        <v>77</v>
      </c>
      <c r="O790" s="1" t="s">
        <v>2127</v>
      </c>
      <c r="W790" s="4"/>
      <c r="AE790" s="51" t="str">
        <f t="shared" si="106"/>
        <v>|</v>
      </c>
      <c r="AG790" s="1" t="s">
        <v>2298</v>
      </c>
    </row>
    <row r="791" spans="1:33" ht="24" customHeight="1">
      <c r="A791" s="218"/>
      <c r="B791" s="219" t="s">
        <v>854</v>
      </c>
      <c r="C791" s="220">
        <v>222</v>
      </c>
      <c r="D791" s="221"/>
      <c r="K791" s="5" t="s">
        <v>1615</v>
      </c>
      <c r="O791" s="5" t="s">
        <v>1615</v>
      </c>
      <c r="W791" s="4"/>
      <c r="AE791" s="51" t="str">
        <f t="shared" si="106"/>
        <v>|</v>
      </c>
      <c r="AG791" s="1" t="s">
        <v>2298</v>
      </c>
    </row>
    <row r="792" spans="1:33" ht="24" customHeight="1">
      <c r="A792" s="218"/>
      <c r="B792" s="219" t="s">
        <v>745</v>
      </c>
      <c r="C792" s="220">
        <v>100</v>
      </c>
      <c r="D792" s="221"/>
      <c r="H792" s="1" t="s">
        <v>447</v>
      </c>
      <c r="K792" s="8">
        <f>SUM(K777:K790)</f>
        <v>9986.7999999999993</v>
      </c>
      <c r="N792" s="1" t="s">
        <v>236</v>
      </c>
      <c r="O792" s="1" t="s">
        <v>4252</v>
      </c>
      <c r="P792" s="8">
        <f>(C272)</f>
        <v>306.89999999999998</v>
      </c>
      <c r="Q792" s="1" t="s">
        <v>236</v>
      </c>
      <c r="R792" s="8">
        <f>M792*P792</f>
        <v>0</v>
      </c>
      <c r="W792" s="4"/>
      <c r="AE792" s="51" t="str">
        <f t="shared" si="106"/>
        <v>|</v>
      </c>
      <c r="AG792" s="1" t="s">
        <v>2298</v>
      </c>
    </row>
    <row r="793" spans="1:33" ht="24" customHeight="1">
      <c r="A793" s="218"/>
      <c r="B793" s="219" t="s">
        <v>504</v>
      </c>
      <c r="C793" s="220">
        <v>75</v>
      </c>
      <c r="D793" s="221"/>
      <c r="K793" s="5" t="s">
        <v>1615</v>
      </c>
      <c r="R793" s="8"/>
      <c r="W793" s="4"/>
      <c r="AE793" s="51" t="str">
        <f t="shared" si="106"/>
        <v>|</v>
      </c>
      <c r="AG793" s="1" t="s">
        <v>2298</v>
      </c>
    </row>
    <row r="794" spans="1:33" ht="24" customHeight="1">
      <c r="A794" s="218"/>
      <c r="B794" s="219" t="s">
        <v>1178</v>
      </c>
      <c r="C794" s="220">
        <v>218</v>
      </c>
      <c r="D794" s="221"/>
      <c r="H794" s="1" t="s">
        <v>562</v>
      </c>
      <c r="K794" s="8">
        <f>(K792/10)</f>
        <v>998.68</v>
      </c>
      <c r="N794" s="1" t="s">
        <v>1180</v>
      </c>
      <c r="O794" s="1" t="s">
        <v>278</v>
      </c>
      <c r="P794" s="8">
        <f>(C16)</f>
        <v>1018.6</v>
      </c>
      <c r="Q794" s="1" t="s">
        <v>1180</v>
      </c>
      <c r="R794" s="8">
        <f>M794*P794</f>
        <v>0</v>
      </c>
      <c r="W794" s="4"/>
      <c r="AE794" s="51" t="str">
        <f t="shared" si="106"/>
        <v>|</v>
      </c>
      <c r="AG794" s="1" t="s">
        <v>2298</v>
      </c>
    </row>
    <row r="795" spans="1:33" ht="24" customHeight="1">
      <c r="A795" s="218"/>
      <c r="B795" s="219" t="s">
        <v>279</v>
      </c>
      <c r="C795" s="220">
        <v>1854</v>
      </c>
      <c r="D795" s="221"/>
      <c r="K795" s="5" t="s">
        <v>2091</v>
      </c>
      <c r="R795" s="8"/>
      <c r="W795" s="4"/>
      <c r="AE795" s="51" t="str">
        <f t="shared" si="106"/>
        <v>|</v>
      </c>
      <c r="AG795" s="1" t="s">
        <v>2298</v>
      </c>
    </row>
    <row r="796" spans="1:33" ht="24" customHeight="1">
      <c r="A796" s="218"/>
      <c r="B796" s="219" t="s">
        <v>164</v>
      </c>
      <c r="C796" s="220">
        <v>51</v>
      </c>
      <c r="D796" s="221"/>
      <c r="O796" s="1" t="s">
        <v>1350</v>
      </c>
      <c r="P796" s="6" t="s">
        <v>455</v>
      </c>
      <c r="R796" s="8">
        <v>0.64</v>
      </c>
      <c r="W796" s="4"/>
      <c r="AE796" s="51" t="str">
        <f t="shared" si="106"/>
        <v>|</v>
      </c>
      <c r="AG796" s="1" t="s">
        <v>2298</v>
      </c>
    </row>
    <row r="797" spans="1:33" ht="24" customHeight="1">
      <c r="A797" s="218"/>
      <c r="B797" s="219" t="s">
        <v>1406</v>
      </c>
      <c r="C797" s="220">
        <v>915</v>
      </c>
      <c r="D797" s="221"/>
      <c r="F797" s="2" t="s">
        <v>901</v>
      </c>
      <c r="G797" s="7" t="s">
        <v>2290</v>
      </c>
      <c r="H797" s="1" t="s">
        <v>729</v>
      </c>
      <c r="R797" s="5" t="s">
        <v>1615</v>
      </c>
      <c r="W797" s="4"/>
      <c r="AE797" s="51" t="str">
        <f t="shared" si="106"/>
        <v>|</v>
      </c>
      <c r="AG797" s="1" t="s">
        <v>2298</v>
      </c>
    </row>
    <row r="798" spans="1:33" ht="24" customHeight="1">
      <c r="A798" s="218"/>
      <c r="B798" s="219" t="s">
        <v>133</v>
      </c>
      <c r="C798" s="220">
        <v>890</v>
      </c>
      <c r="D798" s="221"/>
      <c r="H798" s="1" t="s">
        <v>732</v>
      </c>
      <c r="O798" s="1" t="s">
        <v>1966</v>
      </c>
      <c r="R798" s="8">
        <f>SUM(R792:R796)</f>
        <v>0.64</v>
      </c>
      <c r="W798" s="4"/>
      <c r="AE798" s="51" t="str">
        <f t="shared" si="106"/>
        <v>|</v>
      </c>
      <c r="AG798" s="1" t="s">
        <v>2298</v>
      </c>
    </row>
    <row r="799" spans="1:33" ht="24" customHeight="1">
      <c r="A799" s="218"/>
      <c r="B799" s="219" t="s">
        <v>1967</v>
      </c>
      <c r="C799" s="220">
        <v>5.15</v>
      </c>
      <c r="D799" s="221"/>
      <c r="H799" s="1" t="s">
        <v>281</v>
      </c>
      <c r="R799" s="5" t="s">
        <v>1615</v>
      </c>
      <c r="U799" s="36" t="s">
        <v>3544</v>
      </c>
      <c r="W799" s="4"/>
      <c r="AE799" s="51" t="str">
        <f t="shared" si="106"/>
        <v>|</v>
      </c>
      <c r="AG799" s="1" t="s">
        <v>2298</v>
      </c>
    </row>
    <row r="800" spans="1:33" ht="24" customHeight="1">
      <c r="A800" s="218"/>
      <c r="B800" s="219" t="s">
        <v>1435</v>
      </c>
      <c r="C800" s="220">
        <v>43.3</v>
      </c>
      <c r="D800" s="221"/>
      <c r="H800" s="5" t="s">
        <v>1615</v>
      </c>
      <c r="O800" s="1" t="s">
        <v>1437</v>
      </c>
      <c r="R800" s="8">
        <f>(R798/0.4)</f>
        <v>1.6</v>
      </c>
      <c r="S800" s="50">
        <v>0.443</v>
      </c>
      <c r="T800" t="s">
        <v>1365</v>
      </c>
      <c r="U800" t="s">
        <v>3537</v>
      </c>
      <c r="V800">
        <f>AC14</f>
        <v>1704.69</v>
      </c>
      <c r="W800" s="4"/>
      <c r="X800">
        <f>V800*S800</f>
        <v>755.18</v>
      </c>
      <c r="AE800" s="51" t="str">
        <f t="shared" si="106"/>
        <v>|</v>
      </c>
      <c r="AG800" s="1" t="s">
        <v>2298</v>
      </c>
    </row>
    <row r="801" spans="1:33" ht="24" customHeight="1">
      <c r="A801" s="218"/>
      <c r="B801" s="219" t="s">
        <v>81</v>
      </c>
      <c r="C801" s="220">
        <v>920</v>
      </c>
      <c r="D801" s="221"/>
      <c r="H801" s="1" t="s">
        <v>1179</v>
      </c>
      <c r="K801" s="8">
        <f>(K732/2)</f>
        <v>491.15</v>
      </c>
      <c r="R801" s="5" t="s">
        <v>2091</v>
      </c>
      <c r="S801" s="50">
        <v>0.29499999999999998</v>
      </c>
      <c r="T801" t="s">
        <v>1365</v>
      </c>
      <c r="U801" t="s">
        <v>3538</v>
      </c>
      <c r="V801">
        <f>AC12</f>
        <v>1238.69</v>
      </c>
      <c r="W801" s="4"/>
      <c r="X801">
        <f t="shared" ref="X801:X807" si="113">V801*S801</f>
        <v>365.41</v>
      </c>
      <c r="AE801" s="51" t="str">
        <f t="shared" si="106"/>
        <v>|</v>
      </c>
      <c r="AG801" s="1" t="s">
        <v>2298</v>
      </c>
    </row>
    <row r="802" spans="1:33" ht="24" customHeight="1">
      <c r="A802" s="218"/>
      <c r="B802" s="219" t="s">
        <v>82</v>
      </c>
      <c r="C802" s="220">
        <v>98</v>
      </c>
      <c r="D802" s="221"/>
      <c r="H802" s="1" t="s">
        <v>280</v>
      </c>
      <c r="K802" s="5" t="s">
        <v>2091</v>
      </c>
      <c r="N802" s="605"/>
      <c r="O802" s="605"/>
      <c r="P802" s="607"/>
      <c r="Q802" s="607"/>
      <c r="R802" s="607"/>
      <c r="S802" s="50">
        <v>0.43</v>
      </c>
      <c r="T802" t="s">
        <v>1365</v>
      </c>
      <c r="U802" t="s">
        <v>1086</v>
      </c>
      <c r="V802">
        <f>I809</f>
        <v>1608.7</v>
      </c>
      <c r="W802" s="4"/>
      <c r="X802">
        <f t="shared" si="113"/>
        <v>691.74</v>
      </c>
      <c r="AE802" s="51" t="str">
        <f t="shared" si="106"/>
        <v>|</v>
      </c>
      <c r="AG802" s="1" t="s">
        <v>2298</v>
      </c>
    </row>
    <row r="803" spans="1:33" ht="24" customHeight="1">
      <c r="A803" s="218"/>
      <c r="B803" s="219" t="s">
        <v>2153</v>
      </c>
      <c r="C803" s="220">
        <v>181</v>
      </c>
      <c r="D803" s="221"/>
      <c r="F803" s="2" t="s">
        <v>165</v>
      </c>
      <c r="G803" s="7" t="s">
        <v>2290</v>
      </c>
      <c r="H803" s="1" t="s">
        <v>166</v>
      </c>
      <c r="N803" s="607"/>
      <c r="O803" s="605"/>
      <c r="P803" s="607"/>
      <c r="Q803" s="607"/>
      <c r="R803" s="607"/>
      <c r="S803" s="50">
        <v>0.39</v>
      </c>
      <c r="T803" t="s">
        <v>535</v>
      </c>
      <c r="U803" t="s">
        <v>395</v>
      </c>
      <c r="V803">
        <f>I808</f>
        <v>6040</v>
      </c>
      <c r="W803" s="4"/>
      <c r="X803">
        <f t="shared" si="113"/>
        <v>2355.6</v>
      </c>
      <c r="AE803" s="51" t="str">
        <f t="shared" si="106"/>
        <v>|</v>
      </c>
      <c r="AG803" s="1" t="s">
        <v>2298</v>
      </c>
    </row>
    <row r="804" spans="1:33" ht="24" customHeight="1">
      <c r="A804" s="218"/>
      <c r="B804" s="219" t="s">
        <v>93</v>
      </c>
      <c r="C804" s="220">
        <v>1148.76</v>
      </c>
      <c r="D804" s="221"/>
      <c r="H804" s="1" t="s">
        <v>1407</v>
      </c>
      <c r="N804" s="607"/>
      <c r="O804" s="605"/>
      <c r="P804" s="607"/>
      <c r="Q804" s="607"/>
      <c r="R804" s="607"/>
      <c r="S804" s="50">
        <v>0.35</v>
      </c>
      <c r="T804" t="s">
        <v>1457</v>
      </c>
      <c r="U804" t="s">
        <v>471</v>
      </c>
      <c r="V804">
        <f>I810</f>
        <v>972.4</v>
      </c>
      <c r="W804" s="4" t="str">
        <f>J810</f>
        <v>NO.</v>
      </c>
      <c r="X804">
        <f t="shared" si="113"/>
        <v>340.34</v>
      </c>
      <c r="AE804" s="51" t="str">
        <f t="shared" si="106"/>
        <v>|</v>
      </c>
      <c r="AG804" s="1" t="s">
        <v>2298</v>
      </c>
    </row>
    <row r="805" spans="1:33" ht="24" customHeight="1">
      <c r="A805" s="218"/>
      <c r="B805" s="219" t="s">
        <v>1577</v>
      </c>
      <c r="C805" s="220">
        <v>967</v>
      </c>
      <c r="D805" s="221"/>
      <c r="H805" s="1" t="s">
        <v>134</v>
      </c>
      <c r="N805" s="607"/>
      <c r="O805" s="859"/>
      <c r="P805" s="607"/>
      <c r="Q805" s="607"/>
      <c r="R805" s="607"/>
      <c r="S805" s="50">
        <v>2.12</v>
      </c>
      <c r="T805" t="s">
        <v>1457</v>
      </c>
      <c r="U805" t="s">
        <v>3539</v>
      </c>
      <c r="V805">
        <f>I811</f>
        <v>679.8</v>
      </c>
      <c r="W805" s="4"/>
      <c r="X805">
        <f t="shared" si="113"/>
        <v>1441.18</v>
      </c>
      <c r="AE805" s="51" t="str">
        <f t="shared" si="106"/>
        <v>|</v>
      </c>
      <c r="AG805" s="1" t="s">
        <v>2298</v>
      </c>
    </row>
    <row r="806" spans="1:33" ht="24" customHeight="1">
      <c r="A806" s="218"/>
      <c r="B806" s="219" t="s">
        <v>4411</v>
      </c>
      <c r="C806" s="484">
        <v>33.9</v>
      </c>
      <c r="D806" s="221"/>
      <c r="H806" s="5" t="s">
        <v>1615</v>
      </c>
      <c r="N806" s="713"/>
      <c r="O806" s="605"/>
      <c r="P806" s="607"/>
      <c r="Q806" s="607"/>
      <c r="R806" s="607"/>
      <c r="S806" s="50">
        <v>3.53</v>
      </c>
      <c r="T806" t="s">
        <v>1457</v>
      </c>
      <c r="U806" t="s">
        <v>3540</v>
      </c>
      <c r="V806">
        <f>I812</f>
        <v>557.70000000000005</v>
      </c>
      <c r="W806" s="4"/>
      <c r="X806">
        <f t="shared" si="113"/>
        <v>1968.68</v>
      </c>
      <c r="AE806" s="51" t="str">
        <f t="shared" si="106"/>
        <v>|</v>
      </c>
      <c r="AG806" s="1" t="s">
        <v>2298</v>
      </c>
    </row>
    <row r="807" spans="1:33" ht="24" customHeight="1">
      <c r="A807" s="218"/>
      <c r="B807" s="219" t="s">
        <v>1796</v>
      </c>
      <c r="C807" s="220">
        <v>2107</v>
      </c>
      <c r="D807" s="221"/>
      <c r="F807" s="12">
        <v>9</v>
      </c>
      <c r="G807" s="7" t="s">
        <v>885</v>
      </c>
      <c r="H807" s="1" t="s">
        <v>1436</v>
      </c>
      <c r="I807" s="8">
        <f>C73</f>
        <v>1704.69</v>
      </c>
      <c r="J807" s="1" t="s">
        <v>885</v>
      </c>
      <c r="K807" s="8">
        <f t="shared" ref="K807:K812" si="114">F807*I807</f>
        <v>15342.21</v>
      </c>
      <c r="N807" s="607"/>
      <c r="O807" s="605"/>
      <c r="P807" s="607"/>
      <c r="Q807" s="607"/>
      <c r="R807" s="607"/>
      <c r="S807" s="50">
        <v>1</v>
      </c>
      <c r="T807" t="s">
        <v>1365</v>
      </c>
      <c r="U807" t="s">
        <v>3541</v>
      </c>
      <c r="V807">
        <f>K819</f>
        <v>98.34</v>
      </c>
      <c r="W807" s="4"/>
      <c r="X807">
        <f t="shared" si="113"/>
        <v>98.34</v>
      </c>
      <c r="AE807" s="51" t="str">
        <f t="shared" si="106"/>
        <v>|</v>
      </c>
      <c r="AG807" s="1" t="s">
        <v>2298</v>
      </c>
    </row>
    <row r="808" spans="1:33" ht="24" customHeight="1">
      <c r="A808" s="218"/>
      <c r="B808" s="219" t="s">
        <v>5696</v>
      </c>
      <c r="C808" s="51">
        <v>940</v>
      </c>
      <c r="D808" s="221"/>
      <c r="F808" s="12">
        <v>4.3079999999999998</v>
      </c>
      <c r="G808" s="7" t="s">
        <v>877</v>
      </c>
      <c r="H808" s="1" t="s">
        <v>878</v>
      </c>
      <c r="I808" s="8">
        <f>C67</f>
        <v>6040</v>
      </c>
      <c r="J808" s="1" t="s">
        <v>877</v>
      </c>
      <c r="K808" s="8">
        <f t="shared" si="114"/>
        <v>26020.32</v>
      </c>
      <c r="N808" s="605"/>
      <c r="O808" s="605"/>
      <c r="P808" s="536"/>
      <c r="Q808" s="607"/>
      <c r="R808" s="536"/>
      <c r="S808" s="416" t="s">
        <v>669</v>
      </c>
      <c r="U808" t="s">
        <v>3542</v>
      </c>
      <c r="V808" s="416" t="s">
        <v>669</v>
      </c>
      <c r="W808" s="4"/>
      <c r="X808">
        <v>270</v>
      </c>
      <c r="AE808" s="51" t="str">
        <f t="shared" si="106"/>
        <v>|</v>
      </c>
      <c r="AG808" s="1" t="s">
        <v>2298</v>
      </c>
    </row>
    <row r="809" spans="1:33" ht="24" customHeight="1">
      <c r="A809" s="218"/>
      <c r="B809" s="219" t="s">
        <v>4796</v>
      </c>
      <c r="C809" s="419">
        <v>783</v>
      </c>
      <c r="D809" s="221"/>
      <c r="F809" s="12">
        <v>4.5</v>
      </c>
      <c r="G809" s="7" t="s">
        <v>885</v>
      </c>
      <c r="H809" s="1" t="s">
        <v>886</v>
      </c>
      <c r="I809" s="8">
        <f>C78</f>
        <v>1608.7</v>
      </c>
      <c r="J809" s="1" t="s">
        <v>885</v>
      </c>
      <c r="K809" s="8">
        <f t="shared" si="114"/>
        <v>7239.15</v>
      </c>
      <c r="N809" s="607"/>
      <c r="O809" s="605"/>
      <c r="P809" s="607"/>
      <c r="Q809" s="607"/>
      <c r="R809" s="607"/>
      <c r="S809" s="416" t="s">
        <v>669</v>
      </c>
      <c r="U809" t="s">
        <v>3543</v>
      </c>
      <c r="V809" s="416" t="s">
        <v>669</v>
      </c>
      <c r="W809" s="4"/>
      <c r="X809">
        <v>150</v>
      </c>
      <c r="AE809" s="51" t="str">
        <f t="shared" si="106"/>
        <v>|</v>
      </c>
      <c r="AG809" s="1" t="s">
        <v>2298</v>
      </c>
    </row>
    <row r="810" spans="1:33" ht="24" customHeight="1">
      <c r="A810" s="218"/>
      <c r="B810" s="219" t="s">
        <v>4797</v>
      </c>
      <c r="C810" s="419">
        <v>611</v>
      </c>
      <c r="D810" s="221"/>
      <c r="F810" s="12">
        <v>3.5</v>
      </c>
      <c r="G810" s="7" t="s">
        <v>884</v>
      </c>
      <c r="H810" s="1" t="s">
        <v>1744</v>
      </c>
      <c r="I810" s="8">
        <f>C11</f>
        <v>972.4</v>
      </c>
      <c r="J810" s="1" t="s">
        <v>884</v>
      </c>
      <c r="K810" s="8">
        <f t="shared" si="114"/>
        <v>3403.4</v>
      </c>
      <c r="N810" s="607"/>
      <c r="O810" s="605"/>
      <c r="P810" s="607"/>
      <c r="Q810" s="607"/>
      <c r="R810" s="607"/>
      <c r="S810" s="416" t="s">
        <v>669</v>
      </c>
      <c r="U810" t="s">
        <v>2310</v>
      </c>
      <c r="V810" s="416" t="s">
        <v>669</v>
      </c>
      <c r="W810" s="4"/>
      <c r="X810">
        <v>0.06</v>
      </c>
      <c r="AE810" s="51" t="str">
        <f t="shared" si="106"/>
        <v>|</v>
      </c>
      <c r="AG810" s="1" t="s">
        <v>2298</v>
      </c>
    </row>
    <row r="811" spans="1:33" ht="24" customHeight="1">
      <c r="A811" s="218"/>
      <c r="B811" s="221"/>
      <c r="C811" s="221"/>
      <c r="D811" s="221"/>
      <c r="F811" s="12">
        <v>21.2</v>
      </c>
      <c r="G811" s="7" t="s">
        <v>884</v>
      </c>
      <c r="H811" s="1" t="s">
        <v>1937</v>
      </c>
      <c r="I811" s="8">
        <f>C12</f>
        <v>679.8</v>
      </c>
      <c r="J811" s="1" t="s">
        <v>884</v>
      </c>
      <c r="K811" s="8">
        <f t="shared" si="114"/>
        <v>14411.76</v>
      </c>
      <c r="N811" s="605"/>
      <c r="O811" s="605"/>
      <c r="P811" s="536"/>
      <c r="Q811" s="607"/>
      <c r="R811" s="536"/>
      <c r="W811" s="4"/>
      <c r="X811" s="36">
        <f>SUM(X800:X810)</f>
        <v>8436.5300000000007</v>
      </c>
      <c r="Y811">
        <v>59.4</v>
      </c>
      <c r="Z811">
        <v>117</v>
      </c>
      <c r="AE811" s="51" t="str">
        <f t="shared" si="106"/>
        <v>|</v>
      </c>
      <c r="AG811" s="1" t="s">
        <v>2298</v>
      </c>
    </row>
    <row r="812" spans="1:33" ht="24" customHeight="1">
      <c r="A812" s="218"/>
      <c r="B812" s="219" t="s">
        <v>3950</v>
      </c>
      <c r="C812" s="1011">
        <v>3.15</v>
      </c>
      <c r="D812" s="221"/>
      <c r="F812" s="12">
        <v>35.299999999999997</v>
      </c>
      <c r="G812" s="7" t="s">
        <v>884</v>
      </c>
      <c r="H812" s="1" t="s">
        <v>325</v>
      </c>
      <c r="I812" s="8">
        <f>C13</f>
        <v>557.70000000000005</v>
      </c>
      <c r="J812" s="1" t="s">
        <v>884</v>
      </c>
      <c r="K812" s="8">
        <f t="shared" si="114"/>
        <v>19686.810000000001</v>
      </c>
      <c r="N812" s="605"/>
      <c r="O812" s="605"/>
      <c r="P812" s="536"/>
      <c r="Q812" s="607"/>
      <c r="R812" s="536"/>
      <c r="W812" s="4"/>
      <c r="AE812" s="51" t="str">
        <f t="shared" si="106"/>
        <v>|</v>
      </c>
      <c r="AG812" s="1" t="s">
        <v>2298</v>
      </c>
    </row>
    <row r="813" spans="1:33" ht="24" customHeight="1">
      <c r="A813" s="218"/>
      <c r="B813" s="221"/>
      <c r="C813" s="221"/>
      <c r="D813" s="221"/>
      <c r="F813" s="6" t="s">
        <v>455</v>
      </c>
      <c r="H813" s="1" t="s">
        <v>456</v>
      </c>
      <c r="J813" s="1" t="s">
        <v>455</v>
      </c>
      <c r="K813" s="8">
        <v>0</v>
      </c>
      <c r="N813" s="605"/>
      <c r="O813" s="605"/>
      <c r="P813" s="536"/>
      <c r="Q813" s="607"/>
      <c r="R813" s="536"/>
      <c r="W813" s="4"/>
      <c r="AE813" s="51" t="str">
        <f t="shared" ref="AE813:AE876" si="115">AG813</f>
        <v>|</v>
      </c>
      <c r="AG813" s="1" t="s">
        <v>2298</v>
      </c>
    </row>
    <row r="814" spans="1:33" ht="24" customHeight="1">
      <c r="A814" s="218"/>
      <c r="B814" s="219" t="s">
        <v>4798</v>
      </c>
      <c r="C814" s="1012">
        <v>8.5</v>
      </c>
      <c r="D814" s="221"/>
      <c r="K814" s="5" t="s">
        <v>1615</v>
      </c>
      <c r="N814" s="605"/>
      <c r="O814" s="605"/>
      <c r="P814" s="536"/>
      <c r="Q814" s="607"/>
      <c r="R814" s="536"/>
      <c r="U814" s="36" t="s">
        <v>3545</v>
      </c>
      <c r="W814" s="4"/>
      <c r="AE814" s="51" t="str">
        <f t="shared" si="115"/>
        <v>|</v>
      </c>
      <c r="AG814" s="1" t="s">
        <v>2298</v>
      </c>
    </row>
    <row r="815" spans="1:33" ht="24" customHeight="1">
      <c r="A815" s="218"/>
      <c r="B815" s="219" t="s">
        <v>1087</v>
      </c>
      <c r="C815" s="1012">
        <v>21.1</v>
      </c>
      <c r="D815" s="221"/>
      <c r="H815" s="2" t="s">
        <v>626</v>
      </c>
      <c r="K815" s="8">
        <f>SUM(K807:K813)</f>
        <v>86103.65</v>
      </c>
      <c r="N815" s="605"/>
      <c r="O815" s="605"/>
      <c r="P815" s="536"/>
      <c r="Q815" s="607"/>
      <c r="R815" s="536"/>
      <c r="S815" s="50">
        <v>0.45300000000000001</v>
      </c>
      <c r="T815" t="s">
        <v>1365</v>
      </c>
      <c r="U815" t="s">
        <v>3537</v>
      </c>
      <c r="V815">
        <f>V800</f>
        <v>1704.69</v>
      </c>
      <c r="W815" s="4"/>
      <c r="X815">
        <f>V815*S815</f>
        <v>772.22</v>
      </c>
      <c r="Z815">
        <f>X826+Y811</f>
        <v>8417.0400000000009</v>
      </c>
      <c r="AE815" s="51" t="str">
        <f t="shared" si="115"/>
        <v>|</v>
      </c>
      <c r="AG815" s="1" t="s">
        <v>2298</v>
      </c>
    </row>
    <row r="816" spans="1:33" ht="24" customHeight="1">
      <c r="A816" s="218"/>
      <c r="B816" s="221"/>
      <c r="C816" s="221" t="s">
        <v>4440</v>
      </c>
      <c r="D816" s="221"/>
      <c r="K816" s="5" t="s">
        <v>2091</v>
      </c>
      <c r="N816" s="605"/>
      <c r="O816" s="605"/>
      <c r="P816" s="536"/>
      <c r="Q816" s="607"/>
      <c r="R816" s="536"/>
      <c r="S816" s="50">
        <v>0.30199999999999999</v>
      </c>
      <c r="T816" t="s">
        <v>1365</v>
      </c>
      <c r="U816" t="s">
        <v>3538</v>
      </c>
      <c r="V816">
        <f t="shared" ref="V816:V825" si="116">V801</f>
        <v>1238.69</v>
      </c>
      <c r="W816" s="4"/>
      <c r="X816">
        <f t="shared" ref="X816:X822" si="117">V816*S816</f>
        <v>374.08</v>
      </c>
      <c r="Z816">
        <f>Z815+Z811</f>
        <v>8534.0400000000009</v>
      </c>
      <c r="AE816" s="51" t="str">
        <f t="shared" si="115"/>
        <v>|</v>
      </c>
      <c r="AG816" s="1" t="s">
        <v>2298</v>
      </c>
    </row>
    <row r="817" spans="1:33" ht="24" customHeight="1">
      <c r="A817" s="9"/>
      <c r="H817" s="1" t="s">
        <v>789</v>
      </c>
      <c r="K817" s="8">
        <f>K815/10</f>
        <v>8610.3700000000008</v>
      </c>
      <c r="N817" s="605"/>
      <c r="O817" s="605"/>
      <c r="P817" s="536"/>
      <c r="Q817" s="607"/>
      <c r="R817" s="536"/>
      <c r="S817" s="50">
        <v>0.44</v>
      </c>
      <c r="T817" t="s">
        <v>1365</v>
      </c>
      <c r="U817" t="s">
        <v>1086</v>
      </c>
      <c r="V817">
        <f t="shared" si="116"/>
        <v>1608.7</v>
      </c>
      <c r="W817" s="4"/>
      <c r="X817">
        <f t="shared" si="117"/>
        <v>707.83</v>
      </c>
      <c r="Z817">
        <f>Z816+Z811</f>
        <v>8651.0400000000009</v>
      </c>
      <c r="AE817" s="51" t="str">
        <f t="shared" si="115"/>
        <v>|</v>
      </c>
      <c r="AG817" s="1" t="s">
        <v>2298</v>
      </c>
    </row>
    <row r="818" spans="1:33" ht="24" customHeight="1">
      <c r="A818" s="9"/>
      <c r="R818" s="8"/>
      <c r="S818" s="50">
        <v>0.37</v>
      </c>
      <c r="T818" t="s">
        <v>535</v>
      </c>
      <c r="U818" t="s">
        <v>395</v>
      </c>
      <c r="V818">
        <f t="shared" si="116"/>
        <v>6040</v>
      </c>
      <c r="W818" s="4"/>
      <c r="X818">
        <f t="shared" si="117"/>
        <v>2234.8000000000002</v>
      </c>
      <c r="Z818">
        <f>Z817+Z811</f>
        <v>8768.0400000000009</v>
      </c>
      <c r="AE818" s="51" t="str">
        <f t="shared" si="115"/>
        <v>|</v>
      </c>
      <c r="AG818" s="1" t="s">
        <v>2298</v>
      </c>
    </row>
    <row r="819" spans="1:33" ht="24" customHeight="1">
      <c r="A819" s="9"/>
      <c r="F819" s="8">
        <v>1</v>
      </c>
      <c r="G819" s="7" t="s">
        <v>885</v>
      </c>
      <c r="H819" s="1" t="s">
        <v>46</v>
      </c>
      <c r="I819" s="8">
        <f>C25</f>
        <v>98.34</v>
      </c>
      <c r="K819" s="8">
        <f>F819*I819</f>
        <v>98.34</v>
      </c>
      <c r="R819" s="5"/>
      <c r="S819" s="50">
        <v>0.35</v>
      </c>
      <c r="T819" t="s">
        <v>1457</v>
      </c>
      <c r="U819" t="s">
        <v>471</v>
      </c>
      <c r="V819">
        <f t="shared" si="116"/>
        <v>972.4</v>
      </c>
      <c r="W819" s="4">
        <f>J825</f>
        <v>0</v>
      </c>
      <c r="X819">
        <f t="shared" si="117"/>
        <v>340.34</v>
      </c>
      <c r="Z819">
        <f>Z811+Z818</f>
        <v>8885.0400000000009</v>
      </c>
      <c r="AE819" s="51" t="str">
        <f t="shared" si="115"/>
        <v>|</v>
      </c>
      <c r="AG819" s="1" t="s">
        <v>2298</v>
      </c>
    </row>
    <row r="820" spans="1:33" ht="24" customHeight="1">
      <c r="A820" s="9"/>
      <c r="K820" s="5" t="s">
        <v>1615</v>
      </c>
      <c r="O820" s="2"/>
      <c r="R820" s="8"/>
      <c r="S820" s="50">
        <v>2.12</v>
      </c>
      <c r="T820" t="s">
        <v>1457</v>
      </c>
      <c r="U820" t="s">
        <v>3539</v>
      </c>
      <c r="V820">
        <f t="shared" si="116"/>
        <v>679.8</v>
      </c>
      <c r="W820" s="4"/>
      <c r="X820">
        <f t="shared" si="117"/>
        <v>1441.18</v>
      </c>
      <c r="Z820">
        <f>Z811+Z819</f>
        <v>9002.0400000000009</v>
      </c>
      <c r="AE820" s="51" t="str">
        <f t="shared" si="115"/>
        <v>|</v>
      </c>
      <c r="AG820" s="1" t="s">
        <v>2298</v>
      </c>
    </row>
    <row r="821" spans="1:33" ht="24" customHeight="1">
      <c r="K821" s="8">
        <f>SUM(K817:K819)</f>
        <v>8708.7099999999991</v>
      </c>
      <c r="S821" s="50">
        <v>3.53</v>
      </c>
      <c r="T821" t="s">
        <v>1457</v>
      </c>
      <c r="U821" t="s">
        <v>3540</v>
      </c>
      <c r="V821">
        <f t="shared" si="116"/>
        <v>557.70000000000005</v>
      </c>
      <c r="W821" s="4"/>
      <c r="X821">
        <f t="shared" si="117"/>
        <v>1968.68</v>
      </c>
      <c r="Z821">
        <f>Z811+Z820</f>
        <v>9119.0400000000009</v>
      </c>
      <c r="AE821" s="51" t="str">
        <f t="shared" si="115"/>
        <v>|</v>
      </c>
      <c r="AG821" s="1" t="s">
        <v>2298</v>
      </c>
    </row>
    <row r="822" spans="1:33" ht="24" customHeight="1">
      <c r="A822" s="9"/>
      <c r="K822" s="5" t="s">
        <v>1615</v>
      </c>
      <c r="R822" s="5"/>
      <c r="S822" s="50">
        <v>1</v>
      </c>
      <c r="T822" t="s">
        <v>1365</v>
      </c>
      <c r="U822" t="s">
        <v>3541</v>
      </c>
      <c r="V822">
        <f t="shared" si="116"/>
        <v>98.34</v>
      </c>
      <c r="W822" s="4"/>
      <c r="X822">
        <f t="shared" si="117"/>
        <v>98.34</v>
      </c>
      <c r="Z822">
        <f>Z811+Z821</f>
        <v>9236.0400000000009</v>
      </c>
      <c r="AE822" s="51" t="str">
        <f t="shared" si="115"/>
        <v>|</v>
      </c>
      <c r="AG822" s="1" t="s">
        <v>2298</v>
      </c>
    </row>
    <row r="823" spans="1:33" ht="24" customHeight="1">
      <c r="A823" s="9"/>
      <c r="H823" s="1" t="s">
        <v>391</v>
      </c>
      <c r="K823" s="38">
        <f>(K821+C22)</f>
        <v>8833.67</v>
      </c>
      <c r="S823" s="416" t="s">
        <v>669</v>
      </c>
      <c r="U823" t="s">
        <v>3542</v>
      </c>
      <c r="V823" s="32" t="str">
        <f t="shared" si="116"/>
        <v>LS</v>
      </c>
      <c r="W823" s="4"/>
      <c r="X823">
        <v>270</v>
      </c>
      <c r="Z823">
        <f>Z811+Z822</f>
        <v>9353.0400000000009</v>
      </c>
      <c r="AE823" s="51" t="str">
        <f t="shared" si="115"/>
        <v>|</v>
      </c>
      <c r="AG823" s="1" t="s">
        <v>2298</v>
      </c>
    </row>
    <row r="824" spans="1:33" ht="24" customHeight="1">
      <c r="A824" s="9"/>
      <c r="H824" s="1" t="s">
        <v>393</v>
      </c>
      <c r="K824" s="38">
        <f>(K823+C23)</f>
        <v>9079.85</v>
      </c>
      <c r="N824" s="1"/>
      <c r="O824" s="1"/>
      <c r="S824" s="416" t="s">
        <v>669</v>
      </c>
      <c r="U824" t="s">
        <v>3543</v>
      </c>
      <c r="V824" s="32" t="str">
        <f t="shared" si="116"/>
        <v>LS</v>
      </c>
      <c r="W824" s="4"/>
      <c r="X824">
        <v>150</v>
      </c>
      <c r="Z824">
        <f>Z811+Z823</f>
        <v>9470.0400000000009</v>
      </c>
      <c r="AE824" s="51" t="str">
        <f t="shared" si="115"/>
        <v>|</v>
      </c>
      <c r="AG824" s="1" t="s">
        <v>2298</v>
      </c>
    </row>
    <row r="825" spans="1:33" ht="24" customHeight="1">
      <c r="A825" s="9"/>
      <c r="H825" s="1" t="s">
        <v>2271</v>
      </c>
      <c r="K825" s="38">
        <f>(K824+C24)</f>
        <v>9326.0300000000007</v>
      </c>
      <c r="O825" s="1"/>
      <c r="S825" s="416" t="s">
        <v>669</v>
      </c>
      <c r="U825" t="s">
        <v>2310</v>
      </c>
      <c r="V825" s="32" t="str">
        <f t="shared" si="116"/>
        <v>LS</v>
      </c>
      <c r="W825" s="4"/>
      <c r="X825">
        <v>0.17</v>
      </c>
      <c r="AE825" s="51" t="str">
        <f t="shared" si="115"/>
        <v>|</v>
      </c>
      <c r="AG825" s="1" t="s">
        <v>2298</v>
      </c>
    </row>
    <row r="826" spans="1:33" ht="24" customHeight="1">
      <c r="A826" s="9"/>
      <c r="H826" s="1" t="s">
        <v>385</v>
      </c>
      <c r="K826" s="38">
        <f>(K825+C24)</f>
        <v>9572.2099999999991</v>
      </c>
      <c r="N826" s="1"/>
      <c r="O826" s="1"/>
      <c r="P826" s="8"/>
      <c r="R826" s="8"/>
      <c r="W826" s="4"/>
      <c r="X826" s="36">
        <f>SUM(X815:X825)</f>
        <v>8357.64</v>
      </c>
      <c r="AE826" s="51" t="str">
        <f t="shared" si="115"/>
        <v>|</v>
      </c>
      <c r="AG826" s="1" t="s">
        <v>2298</v>
      </c>
    </row>
    <row r="827" spans="1:33" ht="24" customHeight="1">
      <c r="H827" s="1" t="s">
        <v>1560</v>
      </c>
      <c r="K827" s="38">
        <f>(K826+C24)</f>
        <v>9818.39</v>
      </c>
      <c r="O827" s="1"/>
      <c r="W827" s="4"/>
      <c r="AE827" s="51" t="str">
        <f t="shared" si="115"/>
        <v>|</v>
      </c>
      <c r="AG827" s="1" t="s">
        <v>2298</v>
      </c>
    </row>
    <row r="828" spans="1:33" ht="24" customHeight="1">
      <c r="H828" s="1">
        <v>5</v>
      </c>
      <c r="K828" s="38">
        <f>(K827+C24)</f>
        <v>10064.57</v>
      </c>
      <c r="O828" s="1"/>
      <c r="W828" s="4"/>
      <c r="AE828" s="51">
        <f>SUM(AE681:AE685)</f>
        <v>8206.1</v>
      </c>
      <c r="AG828" s="1"/>
    </row>
    <row r="829" spans="1:33" ht="24" customHeight="1">
      <c r="H829" s="1">
        <v>6</v>
      </c>
      <c r="K829" s="38">
        <f>(K828+C24)</f>
        <v>10310.75</v>
      </c>
      <c r="O829" s="1"/>
      <c r="W829" s="4"/>
      <c r="AE829" s="51"/>
      <c r="AG829" s="1"/>
    </row>
    <row r="830" spans="1:33" ht="24" customHeight="1">
      <c r="H830" s="1">
        <v>7</v>
      </c>
      <c r="K830" s="38">
        <f>(K829+C24)</f>
        <v>10556.93</v>
      </c>
      <c r="O830" s="1"/>
      <c r="W830" s="4"/>
      <c r="AE830" s="51"/>
      <c r="AG830" s="1"/>
    </row>
    <row r="831" spans="1:33" ht="24" customHeight="1">
      <c r="H831" s="1">
        <v>8</v>
      </c>
      <c r="K831" s="38">
        <f>(K830+C24)</f>
        <v>10803.11</v>
      </c>
      <c r="O831" s="1"/>
      <c r="W831" s="4"/>
      <c r="AE831" s="51"/>
      <c r="AG831" s="1"/>
    </row>
    <row r="832" spans="1:33" ht="24" customHeight="1">
      <c r="H832" s="1">
        <v>9</v>
      </c>
      <c r="K832" s="38">
        <f>(K831+C24)</f>
        <v>11049.29</v>
      </c>
      <c r="O832" s="1"/>
      <c r="W832" s="4"/>
      <c r="AE832" s="51"/>
      <c r="AG832" s="1"/>
    </row>
    <row r="833" spans="6:33" ht="24" customHeight="1">
      <c r="H833" s="1">
        <v>10</v>
      </c>
      <c r="K833" s="38">
        <f>(K832+C24)</f>
        <v>11295.47</v>
      </c>
      <c r="O833" s="1"/>
      <c r="W833" s="4"/>
      <c r="AE833" s="51"/>
      <c r="AG833" s="1"/>
    </row>
    <row r="834" spans="6:33" ht="24" customHeight="1">
      <c r="H834" s="1">
        <v>11</v>
      </c>
      <c r="K834" s="38">
        <f>(K833+C24)</f>
        <v>11541.65</v>
      </c>
      <c r="O834" s="1"/>
      <c r="W834" s="4"/>
      <c r="AE834" s="51"/>
      <c r="AG834" s="1"/>
    </row>
    <row r="835" spans="6:33" ht="24" customHeight="1">
      <c r="H835" s="1">
        <v>12</v>
      </c>
      <c r="K835" s="38">
        <f>(K834+C24)</f>
        <v>11787.83</v>
      </c>
      <c r="O835" s="1"/>
      <c r="W835" s="4"/>
      <c r="AE835" s="51"/>
      <c r="AG835" s="1"/>
    </row>
    <row r="836" spans="6:33" ht="24" customHeight="1">
      <c r="H836" s="1"/>
      <c r="K836" s="38"/>
      <c r="O836" s="1"/>
      <c r="W836" s="4"/>
      <c r="AE836" s="51"/>
      <c r="AG836" s="1"/>
    </row>
    <row r="837" spans="6:33" ht="24" customHeight="1">
      <c r="F837" s="1" t="s">
        <v>992</v>
      </c>
      <c r="O837" s="1"/>
      <c r="W837" s="4"/>
      <c r="AE837" s="51" t="str">
        <f t="shared" si="115"/>
        <v>|</v>
      </c>
      <c r="AG837" s="1" t="s">
        <v>2298</v>
      </c>
    </row>
    <row r="838" spans="6:33" ht="24" customHeight="1">
      <c r="F838" s="1" t="s">
        <v>992</v>
      </c>
      <c r="G838" s="7" t="s">
        <v>2290</v>
      </c>
      <c r="H838" s="2" t="s">
        <v>1345</v>
      </c>
      <c r="N838" s="1"/>
      <c r="O838" s="1"/>
      <c r="P838" s="8"/>
      <c r="R838" s="8"/>
      <c r="W838" s="4"/>
      <c r="AE838" s="51" t="str">
        <f t="shared" si="115"/>
        <v>|</v>
      </c>
      <c r="AG838" s="1" t="s">
        <v>2298</v>
      </c>
    </row>
    <row r="839" spans="6:33" ht="24" customHeight="1">
      <c r="H839" s="5" t="s">
        <v>2091</v>
      </c>
      <c r="N839" s="1"/>
      <c r="O839" s="1"/>
      <c r="P839" s="8"/>
      <c r="R839" s="8"/>
      <c r="W839" s="4"/>
      <c r="AE839" s="51" t="str">
        <f t="shared" si="115"/>
        <v>|</v>
      </c>
      <c r="AG839" s="1" t="s">
        <v>2298</v>
      </c>
    </row>
    <row r="840" spans="6:33" ht="24" customHeight="1">
      <c r="N840" s="1"/>
      <c r="O840" s="1"/>
      <c r="P840" s="8"/>
      <c r="R840" s="8"/>
      <c r="W840" s="4"/>
      <c r="AE840" s="51" t="str">
        <f t="shared" si="115"/>
        <v>|</v>
      </c>
      <c r="AG840" s="1" t="s">
        <v>2298</v>
      </c>
    </row>
    <row r="841" spans="6:33" ht="24" customHeight="1">
      <c r="F841" s="2" t="s">
        <v>1347</v>
      </c>
      <c r="G841" s="7" t="s">
        <v>2290</v>
      </c>
      <c r="H841" s="1" t="s">
        <v>2067</v>
      </c>
      <c r="N841" s="1"/>
      <c r="O841" s="1"/>
      <c r="P841" s="8"/>
      <c r="R841" s="8"/>
      <c r="W841" s="4"/>
      <c r="AE841" s="51" t="str">
        <f t="shared" si="115"/>
        <v>|</v>
      </c>
      <c r="AG841" s="1" t="s">
        <v>2298</v>
      </c>
    </row>
    <row r="842" spans="6:33" ht="24" customHeight="1">
      <c r="H842" s="1" t="s">
        <v>2068</v>
      </c>
      <c r="N842" s="1"/>
      <c r="O842" s="1"/>
      <c r="P842" s="8"/>
      <c r="R842" s="8"/>
      <c r="W842" s="4"/>
      <c r="AE842" s="51" t="str">
        <f t="shared" si="115"/>
        <v>|</v>
      </c>
      <c r="AG842" s="1" t="s">
        <v>2298</v>
      </c>
    </row>
    <row r="843" spans="6:33" ht="24" customHeight="1">
      <c r="H843" s="1" t="s">
        <v>2069</v>
      </c>
      <c r="N843" s="1"/>
      <c r="O843" s="1"/>
      <c r="P843" s="8"/>
      <c r="R843" s="8"/>
      <c r="W843" s="4"/>
      <c r="AE843" s="51" t="str">
        <f t="shared" si="115"/>
        <v>|::</v>
      </c>
      <c r="AG843" s="1" t="s">
        <v>326</v>
      </c>
    </row>
    <row r="844" spans="6:33" ht="24" customHeight="1">
      <c r="H844" s="1" t="s">
        <v>907</v>
      </c>
      <c r="N844" s="1"/>
      <c r="O844" s="1"/>
      <c r="P844" s="8"/>
      <c r="R844" s="8"/>
      <c r="W844" s="4"/>
      <c r="AE844" s="51">
        <f t="shared" si="115"/>
        <v>0</v>
      </c>
    </row>
    <row r="845" spans="6:33" ht="24" customHeight="1">
      <c r="H845" s="1" t="s">
        <v>908</v>
      </c>
      <c r="R845" s="8"/>
      <c r="W845" s="4"/>
      <c r="AE845" s="51">
        <f t="shared" si="115"/>
        <v>0</v>
      </c>
    </row>
    <row r="846" spans="6:33" ht="24" customHeight="1">
      <c r="H846" s="1" t="s">
        <v>1753</v>
      </c>
      <c r="R846" s="5"/>
      <c r="W846" s="4"/>
      <c r="AE846" s="51">
        <f t="shared" si="115"/>
        <v>0</v>
      </c>
    </row>
    <row r="847" spans="6:33" ht="24" customHeight="1">
      <c r="H847" s="1" t="s">
        <v>95</v>
      </c>
      <c r="O847" s="2"/>
      <c r="R847" s="8"/>
      <c r="W847" s="4"/>
      <c r="AE847" s="51" t="str">
        <f t="shared" si="115"/>
        <v>|</v>
      </c>
      <c r="AG847" s="1" t="s">
        <v>2298</v>
      </c>
    </row>
    <row r="848" spans="6:33" ht="24" customHeight="1">
      <c r="H848" s="1" t="s">
        <v>96</v>
      </c>
      <c r="R848" s="5"/>
      <c r="W848" s="4"/>
      <c r="AE848" s="51" t="str">
        <f t="shared" si="115"/>
        <v>|</v>
      </c>
      <c r="AG848" s="1" t="s">
        <v>2298</v>
      </c>
    </row>
    <row r="849" spans="6:33" ht="24" customHeight="1">
      <c r="H849" s="1" t="s">
        <v>97</v>
      </c>
      <c r="O849" s="36" t="s">
        <v>4585</v>
      </c>
      <c r="R849" s="5"/>
      <c r="W849" s="4"/>
      <c r="AE849" s="51" t="str">
        <f t="shared" si="115"/>
        <v>|</v>
      </c>
      <c r="AG849" s="1" t="s">
        <v>2298</v>
      </c>
    </row>
    <row r="850" spans="6:33" ht="24" customHeight="1">
      <c r="H850" s="1" t="s">
        <v>98</v>
      </c>
      <c r="O850" s="2" t="s">
        <v>1777</v>
      </c>
      <c r="R850" s="5"/>
      <c r="W850" s="4"/>
      <c r="AE850" s="51" t="str">
        <f t="shared" si="115"/>
        <v>|</v>
      </c>
      <c r="AG850" s="1" t="s">
        <v>2298</v>
      </c>
    </row>
    <row r="851" spans="6:33" ht="24" customHeight="1">
      <c r="H851" s="1" t="s">
        <v>2089</v>
      </c>
      <c r="R851" s="5"/>
      <c r="W851" s="4"/>
      <c r="AE851" s="51" t="str">
        <f t="shared" si="115"/>
        <v>|</v>
      </c>
      <c r="AG851" s="1" t="s">
        <v>2298</v>
      </c>
    </row>
    <row r="852" spans="6:33" ht="24" customHeight="1">
      <c r="H852" s="1" t="s">
        <v>1049</v>
      </c>
      <c r="M852" s="14">
        <v>6.5000000000000002E-2</v>
      </c>
      <c r="N852" s="7" t="s">
        <v>885</v>
      </c>
      <c r="O852" s="1" t="s">
        <v>2110</v>
      </c>
      <c r="P852" s="8">
        <f>I859</f>
        <v>8472.39</v>
      </c>
      <c r="Q852" s="1" t="s">
        <v>885</v>
      </c>
      <c r="R852" s="8">
        <f>P852*M852</f>
        <v>550.71</v>
      </c>
      <c r="W852" s="4"/>
      <c r="AE852" s="51" t="str">
        <f t="shared" si="115"/>
        <v>|</v>
      </c>
      <c r="AG852" s="1" t="s">
        <v>2298</v>
      </c>
    </row>
    <row r="853" spans="6:33" ht="24" customHeight="1">
      <c r="H853" s="1" t="s">
        <v>1812</v>
      </c>
      <c r="M853" s="403">
        <v>8.4499999999999993</v>
      </c>
      <c r="N853" s="7" t="s">
        <v>1676</v>
      </c>
      <c r="O853" s="1" t="s">
        <v>2111</v>
      </c>
      <c r="P853" s="8">
        <f t="shared" ref="P853:P862" si="118">I860</f>
        <v>90172</v>
      </c>
      <c r="Q853" s="1" t="s">
        <v>877</v>
      </c>
      <c r="R853" s="8">
        <f>P853*M853/1000</f>
        <v>761.95</v>
      </c>
      <c r="W853" s="4"/>
      <c r="AE853" s="51" t="str">
        <f t="shared" si="115"/>
        <v>|</v>
      </c>
      <c r="AG853" s="1" t="s">
        <v>2298</v>
      </c>
    </row>
    <row r="854" spans="6:33" ht="24" customHeight="1">
      <c r="H854" s="1" t="s">
        <v>1813</v>
      </c>
      <c r="M854" s="8">
        <v>3</v>
      </c>
      <c r="N854" s="7" t="s">
        <v>884</v>
      </c>
      <c r="O854" s="1" t="s">
        <v>1208</v>
      </c>
      <c r="P854" s="8">
        <f t="shared" si="118"/>
        <v>14.8</v>
      </c>
      <c r="Q854" s="1" t="s">
        <v>884</v>
      </c>
      <c r="R854" s="8">
        <f t="shared" ref="R854:R861" si="119">P854*M854</f>
        <v>44.4</v>
      </c>
      <c r="W854" s="4"/>
      <c r="AE854" s="51" t="str">
        <f t="shared" si="115"/>
        <v>|</v>
      </c>
      <c r="AG854" s="1" t="s">
        <v>2298</v>
      </c>
    </row>
    <row r="855" spans="6:33" ht="24" customHeight="1">
      <c r="M855" s="8">
        <v>12</v>
      </c>
      <c r="N855" s="7" t="s">
        <v>884</v>
      </c>
      <c r="O855" s="1" t="s">
        <v>1209</v>
      </c>
      <c r="P855" s="8">
        <f t="shared" si="118"/>
        <v>2</v>
      </c>
      <c r="Q855" s="1" t="s">
        <v>884</v>
      </c>
      <c r="R855" s="8">
        <f t="shared" si="119"/>
        <v>24</v>
      </c>
      <c r="W855" s="4"/>
      <c r="AE855" s="51" t="str">
        <f t="shared" si="115"/>
        <v>|</v>
      </c>
      <c r="AG855" s="1" t="s">
        <v>2298</v>
      </c>
    </row>
    <row r="856" spans="6:33" ht="24" customHeight="1">
      <c r="M856" s="8">
        <v>2</v>
      </c>
      <c r="N856" s="7" t="s">
        <v>884</v>
      </c>
      <c r="O856" s="1" t="s">
        <v>1210</v>
      </c>
      <c r="P856" s="8">
        <f t="shared" si="118"/>
        <v>4.9000000000000004</v>
      </c>
      <c r="Q856" s="1" t="s">
        <v>884</v>
      </c>
      <c r="R856" s="8">
        <f t="shared" si="119"/>
        <v>9.8000000000000007</v>
      </c>
      <c r="W856" s="4"/>
      <c r="AE856" s="51" t="str">
        <f t="shared" si="115"/>
        <v>|</v>
      </c>
      <c r="AG856" s="1" t="s">
        <v>2298</v>
      </c>
    </row>
    <row r="857" spans="6:33" ht="24" customHeight="1">
      <c r="G857" s="7" t="s">
        <v>321</v>
      </c>
      <c r="H857" s="2" t="s">
        <v>1810</v>
      </c>
      <c r="M857" s="8">
        <v>6</v>
      </c>
      <c r="N857" s="7" t="s">
        <v>884</v>
      </c>
      <c r="O857" s="1" t="s">
        <v>2259</v>
      </c>
      <c r="P857" s="8">
        <f t="shared" si="118"/>
        <v>4.45</v>
      </c>
      <c r="Q857" s="1" t="s">
        <v>884</v>
      </c>
      <c r="R857" s="8">
        <f t="shared" si="119"/>
        <v>26.7</v>
      </c>
      <c r="S857"/>
      <c r="T857" s="7" t="s">
        <v>321</v>
      </c>
      <c r="U857" s="2" t="s">
        <v>3838</v>
      </c>
      <c r="W857" s="4"/>
      <c r="AE857" s="51" t="str">
        <f t="shared" si="115"/>
        <v>|</v>
      </c>
      <c r="AG857" s="1" t="s">
        <v>2298</v>
      </c>
    </row>
    <row r="858" spans="6:33" ht="24" customHeight="1">
      <c r="H858" s="2" t="s">
        <v>1815</v>
      </c>
      <c r="M858" s="8">
        <v>1</v>
      </c>
      <c r="N858" s="7" t="s">
        <v>884</v>
      </c>
      <c r="O858" s="1" t="s">
        <v>1215</v>
      </c>
      <c r="P858" s="8">
        <f t="shared" si="118"/>
        <v>1041.7</v>
      </c>
      <c r="Q858" s="1" t="s">
        <v>884</v>
      </c>
      <c r="R858" s="8">
        <f t="shared" si="119"/>
        <v>1041.7</v>
      </c>
      <c r="S858"/>
      <c r="T858" s="3"/>
      <c r="U858" s="2" t="s">
        <v>1815</v>
      </c>
      <c r="W858" s="4"/>
      <c r="AE858" s="51" t="str">
        <f t="shared" si="115"/>
        <v>|</v>
      </c>
      <c r="AG858" s="1" t="s">
        <v>2298</v>
      </c>
    </row>
    <row r="859" spans="6:33" ht="24" customHeight="1">
      <c r="F859" s="14">
        <v>3.8100000000000002E-2</v>
      </c>
      <c r="G859" s="7" t="s">
        <v>885</v>
      </c>
      <c r="H859" s="1" t="s">
        <v>5862</v>
      </c>
      <c r="I859" s="8">
        <f>I877</f>
        <v>8472.39</v>
      </c>
      <c r="J859" s="1" t="s">
        <v>885</v>
      </c>
      <c r="K859" s="8">
        <f>F859*I859</f>
        <v>322.8</v>
      </c>
      <c r="M859" s="8">
        <v>1</v>
      </c>
      <c r="N859" s="7" t="s">
        <v>884</v>
      </c>
      <c r="O859" s="1" t="s">
        <v>1216</v>
      </c>
      <c r="P859" s="8">
        <f t="shared" si="118"/>
        <v>679.8</v>
      </c>
      <c r="Q859" s="1" t="s">
        <v>884</v>
      </c>
      <c r="R859" s="8">
        <f t="shared" si="119"/>
        <v>679.8</v>
      </c>
      <c r="S859" s="14">
        <v>4.9500000000000002E-2</v>
      </c>
      <c r="T859" s="7" t="s">
        <v>885</v>
      </c>
      <c r="U859" s="1" t="s">
        <v>2110</v>
      </c>
      <c r="V859" s="8">
        <f>I859</f>
        <v>8472.39</v>
      </c>
      <c r="W859" s="2" t="s">
        <v>885</v>
      </c>
      <c r="X859" s="8">
        <f>S859*V859</f>
        <v>419.38</v>
      </c>
      <c r="AE859" s="51" t="str">
        <f t="shared" si="115"/>
        <v>|</v>
      </c>
      <c r="AG859" s="1" t="s">
        <v>2298</v>
      </c>
    </row>
    <row r="860" spans="6:33" ht="24" customHeight="1">
      <c r="F860" s="215">
        <v>5.01</v>
      </c>
      <c r="G860" s="7" t="s">
        <v>1676</v>
      </c>
      <c r="H860" s="1" t="s">
        <v>2111</v>
      </c>
      <c r="I860" s="8">
        <f>I878</f>
        <v>90172</v>
      </c>
      <c r="J860" s="1" t="s">
        <v>877</v>
      </c>
      <c r="K860" s="8">
        <f>F860*I860/1000</f>
        <v>451.76</v>
      </c>
      <c r="M860" s="8">
        <v>1</v>
      </c>
      <c r="N860" s="7" t="s">
        <v>884</v>
      </c>
      <c r="O860" s="1" t="s">
        <v>1217</v>
      </c>
      <c r="P860" s="8">
        <f t="shared" si="118"/>
        <v>25</v>
      </c>
      <c r="Q860" s="1" t="s">
        <v>884</v>
      </c>
      <c r="R860" s="8">
        <f t="shared" si="119"/>
        <v>25</v>
      </c>
      <c r="S860" s="215">
        <v>5.66</v>
      </c>
      <c r="T860" s="7" t="s">
        <v>1676</v>
      </c>
      <c r="U860" s="1" t="s">
        <v>2111</v>
      </c>
      <c r="V860" s="8">
        <f t="shared" ref="V860:V868" si="120">I860</f>
        <v>90172</v>
      </c>
      <c r="W860" s="2" t="s">
        <v>877</v>
      </c>
      <c r="X860" s="8">
        <f>S860*V860/1000</f>
        <v>510.37</v>
      </c>
      <c r="AE860" s="51" t="str">
        <f t="shared" si="115"/>
        <v>|</v>
      </c>
      <c r="AG860" s="1" t="s">
        <v>2298</v>
      </c>
    </row>
    <row r="861" spans="6:33" ht="24" customHeight="1">
      <c r="F861" s="8">
        <v>3</v>
      </c>
      <c r="G861" s="7" t="s">
        <v>884</v>
      </c>
      <c r="H861" s="1096" t="s">
        <v>1208</v>
      </c>
      <c r="I861" s="485">
        <v>14.8</v>
      </c>
      <c r="J861" s="1" t="s">
        <v>884</v>
      </c>
      <c r="K861" s="8">
        <f t="shared" ref="K861:K868" si="121">F861*I861</f>
        <v>44.4</v>
      </c>
      <c r="M861" s="8">
        <v>0.5</v>
      </c>
      <c r="N861" s="7" t="s">
        <v>884</v>
      </c>
      <c r="O861" s="1" t="s">
        <v>1218</v>
      </c>
      <c r="P861" s="8">
        <f t="shared" si="118"/>
        <v>557.70000000000005</v>
      </c>
      <c r="Q861" s="1" t="s">
        <v>884</v>
      </c>
      <c r="R861" s="8">
        <f t="shared" si="119"/>
        <v>278.85000000000002</v>
      </c>
      <c r="S861" s="8">
        <v>3</v>
      </c>
      <c r="T861" s="7" t="s">
        <v>884</v>
      </c>
      <c r="U861" s="1" t="s">
        <v>1208</v>
      </c>
      <c r="V861" s="8">
        <f t="shared" si="120"/>
        <v>14.8</v>
      </c>
      <c r="W861" s="2" t="s">
        <v>884</v>
      </c>
      <c r="X861" s="8">
        <f t="shared" ref="X861:X868" si="122">S861*V861</f>
        <v>44.4</v>
      </c>
      <c r="AE861" s="51" t="str">
        <f t="shared" si="115"/>
        <v>|</v>
      </c>
      <c r="AG861" s="1" t="s">
        <v>2298</v>
      </c>
    </row>
    <row r="862" spans="6:33" ht="24" customHeight="1">
      <c r="F862" s="8">
        <v>12</v>
      </c>
      <c r="G862" s="7" t="s">
        <v>884</v>
      </c>
      <c r="H862" s="1096" t="s">
        <v>1209</v>
      </c>
      <c r="I862" s="485">
        <v>2</v>
      </c>
      <c r="J862" s="1" t="s">
        <v>884</v>
      </c>
      <c r="K862" s="8">
        <f t="shared" si="121"/>
        <v>24</v>
      </c>
      <c r="N862" s="7" t="s">
        <v>455</v>
      </c>
      <c r="O862" s="1" t="s">
        <v>2177</v>
      </c>
      <c r="P862" s="8">
        <f t="shared" si="118"/>
        <v>0</v>
      </c>
      <c r="Q862" s="1" t="s">
        <v>455</v>
      </c>
      <c r="R862" s="8">
        <v>2.1</v>
      </c>
      <c r="S862" s="8">
        <v>12</v>
      </c>
      <c r="T862" s="7" t="s">
        <v>884</v>
      </c>
      <c r="U862" s="1" t="s">
        <v>1209</v>
      </c>
      <c r="V862" s="8">
        <f t="shared" si="120"/>
        <v>2</v>
      </c>
      <c r="W862" s="2" t="s">
        <v>884</v>
      </c>
      <c r="X862" s="8">
        <f t="shared" si="122"/>
        <v>24</v>
      </c>
      <c r="AE862" s="51" t="str">
        <f t="shared" si="115"/>
        <v>|</v>
      </c>
      <c r="AG862" s="1" t="s">
        <v>2298</v>
      </c>
    </row>
    <row r="863" spans="6:33" ht="24" customHeight="1">
      <c r="F863" s="8">
        <v>2</v>
      </c>
      <c r="G863" s="7" t="s">
        <v>884</v>
      </c>
      <c r="H863" s="1096" t="s">
        <v>1210</v>
      </c>
      <c r="I863" s="485">
        <v>4.9000000000000004</v>
      </c>
      <c r="J863" s="1" t="s">
        <v>884</v>
      </c>
      <c r="K863" s="8">
        <f t="shared" si="121"/>
        <v>9.8000000000000007</v>
      </c>
      <c r="N863" s="3"/>
      <c r="Q863" s="10"/>
      <c r="R863" s="5" t="s">
        <v>1615</v>
      </c>
      <c r="S863" s="8">
        <v>2</v>
      </c>
      <c r="T863" s="7" t="s">
        <v>884</v>
      </c>
      <c r="U863" s="1" t="s">
        <v>1210</v>
      </c>
      <c r="V863" s="8">
        <f t="shared" si="120"/>
        <v>4.9000000000000004</v>
      </c>
      <c r="W863" s="2" t="s">
        <v>884</v>
      </c>
      <c r="X863" s="8">
        <f t="shared" si="122"/>
        <v>9.8000000000000007</v>
      </c>
      <c r="AE863" s="51" t="str">
        <f t="shared" si="115"/>
        <v>|</v>
      </c>
      <c r="AG863" s="1" t="s">
        <v>2298</v>
      </c>
    </row>
    <row r="864" spans="6:33" ht="24" customHeight="1">
      <c r="F864" s="8">
        <v>6</v>
      </c>
      <c r="G864" s="7" t="s">
        <v>884</v>
      </c>
      <c r="H864" s="1096" t="s">
        <v>2259</v>
      </c>
      <c r="I864" s="485">
        <v>4.45</v>
      </c>
      <c r="J864" s="1" t="s">
        <v>884</v>
      </c>
      <c r="K864" s="8">
        <f t="shared" si="121"/>
        <v>26.7</v>
      </c>
      <c r="N864" s="3"/>
      <c r="O864" s="58" t="s">
        <v>287</v>
      </c>
      <c r="Q864" s="10"/>
      <c r="R864" s="404">
        <f>SUM(R852:R862)</f>
        <v>3445.01</v>
      </c>
      <c r="S864" s="8">
        <v>6</v>
      </c>
      <c r="T864" s="7" t="s">
        <v>884</v>
      </c>
      <c r="U864" s="1" t="s">
        <v>2259</v>
      </c>
      <c r="V864" s="8">
        <f t="shared" si="120"/>
        <v>4.45</v>
      </c>
      <c r="W864" s="2" t="s">
        <v>884</v>
      </c>
      <c r="X864" s="8">
        <f t="shared" si="122"/>
        <v>26.7</v>
      </c>
      <c r="AE864" s="51" t="str">
        <f t="shared" si="115"/>
        <v>|</v>
      </c>
      <c r="AG864" s="1" t="s">
        <v>2298</v>
      </c>
    </row>
    <row r="865" spans="2:33" ht="24" customHeight="1">
      <c r="F865" s="8">
        <v>1</v>
      </c>
      <c r="G865" s="7" t="s">
        <v>884</v>
      </c>
      <c r="H865" s="1" t="s">
        <v>1215</v>
      </c>
      <c r="I865" s="8">
        <f>C10</f>
        <v>1041.7</v>
      </c>
      <c r="J865" s="1" t="s">
        <v>884</v>
      </c>
      <c r="K865" s="8">
        <f t="shared" si="121"/>
        <v>1041.7</v>
      </c>
      <c r="N865" s="3"/>
      <c r="Q865" s="10"/>
      <c r="R865" s="5" t="s">
        <v>1615</v>
      </c>
      <c r="S865" s="8">
        <v>1</v>
      </c>
      <c r="T865" s="7" t="s">
        <v>884</v>
      </c>
      <c r="U865" s="1" t="s">
        <v>1215</v>
      </c>
      <c r="V865" s="8">
        <f t="shared" si="120"/>
        <v>1041.7</v>
      </c>
      <c r="W865" s="2" t="s">
        <v>884</v>
      </c>
      <c r="X865" s="8">
        <f t="shared" si="122"/>
        <v>1041.7</v>
      </c>
      <c r="AE865" s="51">
        <f t="shared" si="115"/>
        <v>0</v>
      </c>
      <c r="AG865" s="1"/>
    </row>
    <row r="866" spans="2:33" ht="24" customHeight="1">
      <c r="F866" s="8">
        <v>1</v>
      </c>
      <c r="G866" s="7" t="s">
        <v>884</v>
      </c>
      <c r="H866" s="1" t="s">
        <v>1216</v>
      </c>
      <c r="I866" s="8">
        <f>C12</f>
        <v>679.8</v>
      </c>
      <c r="J866" s="1" t="s">
        <v>884</v>
      </c>
      <c r="K866" s="8">
        <f t="shared" si="121"/>
        <v>679.8</v>
      </c>
      <c r="S866" s="8">
        <v>1</v>
      </c>
      <c r="T866" s="7" t="s">
        <v>884</v>
      </c>
      <c r="U866" s="1" t="s">
        <v>1216</v>
      </c>
      <c r="V866" s="8">
        <f t="shared" si="120"/>
        <v>679.8</v>
      </c>
      <c r="W866" s="2" t="s">
        <v>884</v>
      </c>
      <c r="X866" s="8">
        <f t="shared" si="122"/>
        <v>679.8</v>
      </c>
      <c r="AE866" s="51">
        <f t="shared" si="115"/>
        <v>0</v>
      </c>
      <c r="AG866" s="1"/>
    </row>
    <row r="867" spans="2:33" ht="24" customHeight="1">
      <c r="F867" s="8">
        <v>1</v>
      </c>
      <c r="G867" s="7" t="s">
        <v>884</v>
      </c>
      <c r="H867" s="1096" t="s">
        <v>1217</v>
      </c>
      <c r="I867" s="485">
        <v>25</v>
      </c>
      <c r="J867" s="1" t="s">
        <v>884</v>
      </c>
      <c r="K867" s="8">
        <f t="shared" si="121"/>
        <v>25</v>
      </c>
      <c r="R867" s="5"/>
      <c r="S867" s="8">
        <v>1</v>
      </c>
      <c r="T867" s="7" t="s">
        <v>884</v>
      </c>
      <c r="U867" s="1" t="s">
        <v>1217</v>
      </c>
      <c r="V867" s="8">
        <f t="shared" si="120"/>
        <v>25</v>
      </c>
      <c r="W867" s="2" t="s">
        <v>884</v>
      </c>
      <c r="X867" s="8">
        <f t="shared" si="122"/>
        <v>25</v>
      </c>
      <c r="AE867" s="51">
        <f t="shared" si="115"/>
        <v>0</v>
      </c>
      <c r="AG867" s="1"/>
    </row>
    <row r="868" spans="2:33" ht="24" customHeight="1">
      <c r="F868" s="8">
        <v>0.5</v>
      </c>
      <c r="G868" s="7" t="s">
        <v>884</v>
      </c>
      <c r="H868" s="1" t="s">
        <v>1218</v>
      </c>
      <c r="I868" s="8">
        <f>C13</f>
        <v>557.70000000000005</v>
      </c>
      <c r="J868" s="1" t="s">
        <v>884</v>
      </c>
      <c r="K868" s="8">
        <f t="shared" si="121"/>
        <v>278.85000000000002</v>
      </c>
      <c r="R868" s="1" t="s">
        <v>992</v>
      </c>
      <c r="S868" s="8">
        <v>0.5</v>
      </c>
      <c r="T868" s="7" t="s">
        <v>884</v>
      </c>
      <c r="U868" s="1" t="s">
        <v>1218</v>
      </c>
      <c r="V868" s="8">
        <f t="shared" si="120"/>
        <v>557.70000000000005</v>
      </c>
      <c r="W868" s="2" t="s">
        <v>884</v>
      </c>
      <c r="X868" s="8">
        <f t="shared" si="122"/>
        <v>278.85000000000002</v>
      </c>
      <c r="AE868" s="51">
        <f t="shared" si="115"/>
        <v>0</v>
      </c>
      <c r="AG868" s="1"/>
    </row>
    <row r="869" spans="2:33" ht="24" customHeight="1">
      <c r="G869" s="7" t="s">
        <v>455</v>
      </c>
      <c r="H869" s="1" t="s">
        <v>2177</v>
      </c>
      <c r="J869" s="1" t="s">
        <v>455</v>
      </c>
      <c r="K869" s="8">
        <v>1.1299999999999999</v>
      </c>
      <c r="N869" s="1"/>
      <c r="O869" s="1"/>
      <c r="S869"/>
      <c r="T869" s="7" t="s">
        <v>455</v>
      </c>
      <c r="U869" s="1" t="s">
        <v>2177</v>
      </c>
      <c r="W869" s="2" t="s">
        <v>455</v>
      </c>
      <c r="X869" s="8">
        <v>0.06</v>
      </c>
      <c r="AE869" s="51">
        <f t="shared" si="115"/>
        <v>0</v>
      </c>
      <c r="AG869" s="1"/>
    </row>
    <row r="870" spans="2:33" ht="24" customHeight="1">
      <c r="K870" s="5" t="s">
        <v>1615</v>
      </c>
      <c r="O870" s="1"/>
      <c r="S870"/>
      <c r="T870" s="3"/>
      <c r="W870" s="4"/>
      <c r="X870" s="5" t="s">
        <v>1615</v>
      </c>
      <c r="AE870" s="51">
        <f t="shared" si="115"/>
        <v>0</v>
      </c>
      <c r="AG870" s="1"/>
    </row>
    <row r="871" spans="2:33" ht="24" customHeight="1">
      <c r="H871" s="58" t="s">
        <v>287</v>
      </c>
      <c r="K871" s="38">
        <f>SUM(K859:K869)</f>
        <v>2905.94</v>
      </c>
      <c r="N871" s="1"/>
      <c r="O871" s="1"/>
      <c r="P871" s="8"/>
      <c r="R871" s="8"/>
      <c r="S871"/>
      <c r="T871" s="3"/>
      <c r="U871" s="58" t="s">
        <v>287</v>
      </c>
      <c r="W871" s="4"/>
      <c r="X871" s="38">
        <f>SUM(X859:X869)</f>
        <v>3060.06</v>
      </c>
      <c r="AE871" s="51">
        <f t="shared" si="115"/>
        <v>0</v>
      </c>
      <c r="AG871" s="1"/>
    </row>
    <row r="872" spans="2:33" ht="24" customHeight="1">
      <c r="K872" s="5" t="s">
        <v>1615</v>
      </c>
      <c r="O872" s="1"/>
      <c r="W872" s="4"/>
      <c r="AE872" s="51">
        <f t="shared" si="115"/>
        <v>0</v>
      </c>
      <c r="AG872" s="1"/>
    </row>
    <row r="873" spans="2:33" ht="24" customHeight="1">
      <c r="O873" s="1"/>
      <c r="W873" s="4"/>
      <c r="AE873" s="51">
        <f t="shared" si="115"/>
        <v>0</v>
      </c>
      <c r="AG873" s="1"/>
    </row>
    <row r="874" spans="2:33" ht="24" customHeight="1">
      <c r="N874" s="1"/>
      <c r="O874" s="1"/>
      <c r="P874" s="8"/>
      <c r="R874" s="8"/>
      <c r="W874" s="4"/>
      <c r="AE874" s="51">
        <f t="shared" si="115"/>
        <v>0</v>
      </c>
      <c r="AG874" s="1"/>
    </row>
    <row r="875" spans="2:33" ht="24" customHeight="1">
      <c r="G875" s="7" t="s">
        <v>1942</v>
      </c>
      <c r="H875" s="2" t="s">
        <v>1814</v>
      </c>
      <c r="N875" s="1"/>
      <c r="O875" s="1"/>
      <c r="P875" s="8"/>
      <c r="R875" s="8"/>
      <c r="S875"/>
      <c r="T875" s="7" t="s">
        <v>321</v>
      </c>
      <c r="U875" s="2" t="s">
        <v>3839</v>
      </c>
      <c r="W875" s="4"/>
      <c r="AE875" s="51">
        <f t="shared" si="115"/>
        <v>0</v>
      </c>
      <c r="AG875" s="1"/>
    </row>
    <row r="876" spans="2:33" ht="24" customHeight="1">
      <c r="H876" s="2" t="s">
        <v>1815</v>
      </c>
      <c r="N876" s="1"/>
      <c r="O876" s="1"/>
      <c r="P876" s="8"/>
      <c r="R876" s="8"/>
      <c r="S876"/>
      <c r="T876" s="3"/>
      <c r="U876" s="2" t="s">
        <v>1815</v>
      </c>
      <c r="W876" s="4"/>
      <c r="AE876" s="51">
        <f t="shared" si="115"/>
        <v>0</v>
      </c>
      <c r="AG876" s="1"/>
    </row>
    <row r="877" spans="2:33" ht="64.5" customHeight="1">
      <c r="B877" s="22" t="s">
        <v>4528</v>
      </c>
      <c r="C877" s="8">
        <f>Y688</f>
        <v>8472.39</v>
      </c>
      <c r="F877" s="14">
        <v>3.6799999999999999E-2</v>
      </c>
      <c r="G877" s="7" t="s">
        <v>885</v>
      </c>
      <c r="H877" s="22" t="s">
        <v>4528</v>
      </c>
      <c r="I877" s="8">
        <f>Y688</f>
        <v>8472.39</v>
      </c>
      <c r="J877" s="1" t="s">
        <v>885</v>
      </c>
      <c r="K877" s="8">
        <f>F877*I877</f>
        <v>311.77999999999997</v>
      </c>
      <c r="N877" s="1"/>
      <c r="O877" s="1"/>
      <c r="P877" s="8"/>
      <c r="R877" s="8"/>
      <c r="S877" s="14">
        <v>5.4699999999999999E-2</v>
      </c>
      <c r="T877" s="7" t="s">
        <v>885</v>
      </c>
      <c r="U877" s="1" t="s">
        <v>2110</v>
      </c>
      <c r="V877" s="8">
        <f>I877</f>
        <v>8472.39</v>
      </c>
      <c r="W877" s="2" t="s">
        <v>885</v>
      </c>
      <c r="X877" s="8">
        <f>S877*V877</f>
        <v>463.44</v>
      </c>
      <c r="AE877" s="51">
        <f t="shared" ref="AE877:AE949" si="123">AG877</f>
        <v>0</v>
      </c>
      <c r="AG877" s="1"/>
    </row>
    <row r="878" spans="2:33" ht="34.5" customHeight="1">
      <c r="B878" s="1" t="s">
        <v>2111</v>
      </c>
      <c r="C878" s="8">
        <f>R1609</f>
        <v>90322.8</v>
      </c>
      <c r="F878" s="8">
        <v>4.87</v>
      </c>
      <c r="G878" s="7" t="s">
        <v>1676</v>
      </c>
      <c r="H878" s="1" t="s">
        <v>2111</v>
      </c>
      <c r="I878" s="8">
        <f>K1608</f>
        <v>90172</v>
      </c>
      <c r="J878" s="1" t="s">
        <v>877</v>
      </c>
      <c r="K878" s="8">
        <f>F878*I878/1000</f>
        <v>439.14</v>
      </c>
      <c r="N878" s="1"/>
      <c r="O878" s="1"/>
      <c r="P878" s="8"/>
      <c r="R878" s="8"/>
      <c r="S878" s="215">
        <v>6.16</v>
      </c>
      <c r="T878" s="7" t="s">
        <v>1676</v>
      </c>
      <c r="U878" s="1" t="s">
        <v>2111</v>
      </c>
      <c r="V878" s="8">
        <f t="shared" ref="V878:V886" si="124">I878</f>
        <v>90172</v>
      </c>
      <c r="W878" s="2" t="s">
        <v>877</v>
      </c>
      <c r="X878" s="8">
        <f>S878*V878/1000</f>
        <v>555.46</v>
      </c>
      <c r="AE878" s="51">
        <f t="shared" si="123"/>
        <v>0</v>
      </c>
      <c r="AG878" s="1"/>
    </row>
    <row r="879" spans="2:33" ht="24" customHeight="1">
      <c r="F879" s="8">
        <v>3</v>
      </c>
      <c r="G879" s="7" t="s">
        <v>884</v>
      </c>
      <c r="H879" s="1" t="s">
        <v>1208</v>
      </c>
      <c r="I879" s="484">
        <f>I861</f>
        <v>14.8</v>
      </c>
      <c r="J879" s="1" t="s">
        <v>884</v>
      </c>
      <c r="K879" s="8">
        <f t="shared" ref="K879:K886" si="125">F879*I879</f>
        <v>44.4</v>
      </c>
      <c r="N879" s="1"/>
      <c r="O879" s="1"/>
      <c r="P879" s="8"/>
      <c r="R879" s="8"/>
      <c r="S879" s="8">
        <v>3</v>
      </c>
      <c r="T879" s="7" t="s">
        <v>884</v>
      </c>
      <c r="U879" s="1" t="s">
        <v>1208</v>
      </c>
      <c r="V879" s="8">
        <f t="shared" si="124"/>
        <v>14.8</v>
      </c>
      <c r="W879" s="2" t="s">
        <v>884</v>
      </c>
      <c r="X879" s="8">
        <f t="shared" ref="X879:X886" si="126">S879*V879</f>
        <v>44.4</v>
      </c>
      <c r="AE879" s="51">
        <f t="shared" si="123"/>
        <v>0</v>
      </c>
      <c r="AG879" s="1"/>
    </row>
    <row r="880" spans="2:33" ht="24" customHeight="1">
      <c r="F880" s="8">
        <v>12</v>
      </c>
      <c r="G880" s="7" t="s">
        <v>884</v>
      </c>
      <c r="H880" s="1" t="s">
        <v>1209</v>
      </c>
      <c r="I880" s="484">
        <f>I862</f>
        <v>2</v>
      </c>
      <c r="J880" s="1" t="s">
        <v>884</v>
      </c>
      <c r="K880" s="8">
        <f t="shared" si="125"/>
        <v>24</v>
      </c>
      <c r="N880" s="1"/>
      <c r="O880" s="1"/>
      <c r="P880" s="8"/>
      <c r="R880" s="8"/>
      <c r="S880" s="8">
        <v>12</v>
      </c>
      <c r="T880" s="7" t="s">
        <v>884</v>
      </c>
      <c r="U880" s="1" t="s">
        <v>1209</v>
      </c>
      <c r="V880" s="8">
        <f t="shared" si="124"/>
        <v>2</v>
      </c>
      <c r="W880" s="2" t="s">
        <v>884</v>
      </c>
      <c r="X880" s="8">
        <f t="shared" si="126"/>
        <v>24</v>
      </c>
      <c r="AE880" s="51">
        <f t="shared" si="123"/>
        <v>0</v>
      </c>
      <c r="AG880" s="1"/>
    </row>
    <row r="881" spans="6:33" ht="24" customHeight="1">
      <c r="F881" s="8">
        <v>2</v>
      </c>
      <c r="G881" s="7" t="s">
        <v>884</v>
      </c>
      <c r="H881" s="1" t="s">
        <v>1210</v>
      </c>
      <c r="I881" s="484">
        <f>I863</f>
        <v>4.9000000000000004</v>
      </c>
      <c r="J881" s="1" t="s">
        <v>884</v>
      </c>
      <c r="K881" s="8">
        <f t="shared" si="125"/>
        <v>9.8000000000000007</v>
      </c>
      <c r="R881" s="8"/>
      <c r="S881" s="8">
        <v>2</v>
      </c>
      <c r="T881" s="7" t="s">
        <v>884</v>
      </c>
      <c r="U881" s="1" t="s">
        <v>1210</v>
      </c>
      <c r="V881" s="8">
        <f t="shared" si="124"/>
        <v>4.9000000000000004</v>
      </c>
      <c r="W881" s="2" t="s">
        <v>884</v>
      </c>
      <c r="X881" s="8">
        <f t="shared" si="126"/>
        <v>9.8000000000000007</v>
      </c>
      <c r="AE881" s="51">
        <f t="shared" si="123"/>
        <v>0</v>
      </c>
      <c r="AG881" s="1"/>
    </row>
    <row r="882" spans="6:33" ht="24" customHeight="1">
      <c r="F882" s="8">
        <v>6</v>
      </c>
      <c r="G882" s="7" t="s">
        <v>884</v>
      </c>
      <c r="H882" s="1" t="s">
        <v>2259</v>
      </c>
      <c r="I882" s="484">
        <f>I864</f>
        <v>4.45</v>
      </c>
      <c r="J882" s="1" t="s">
        <v>884</v>
      </c>
      <c r="K882" s="8">
        <f t="shared" si="125"/>
        <v>26.7</v>
      </c>
      <c r="R882" s="5"/>
      <c r="S882" s="8">
        <v>6</v>
      </c>
      <c r="T882" s="7" t="s">
        <v>884</v>
      </c>
      <c r="U882" s="1" t="s">
        <v>2259</v>
      </c>
      <c r="V882" s="8">
        <f t="shared" si="124"/>
        <v>4.45</v>
      </c>
      <c r="W882" s="2" t="s">
        <v>884</v>
      </c>
      <c r="X882" s="8">
        <f t="shared" si="126"/>
        <v>26.7</v>
      </c>
      <c r="AE882" s="51">
        <f t="shared" si="123"/>
        <v>0</v>
      </c>
      <c r="AG882" s="1"/>
    </row>
    <row r="883" spans="6:33" ht="24" customHeight="1">
      <c r="F883" s="8">
        <v>1</v>
      </c>
      <c r="G883" s="7" t="s">
        <v>884</v>
      </c>
      <c r="H883" s="1" t="s">
        <v>1215</v>
      </c>
      <c r="I883" s="8">
        <f>C10</f>
        <v>1041.7</v>
      </c>
      <c r="J883" s="1" t="s">
        <v>884</v>
      </c>
      <c r="K883" s="8">
        <f t="shared" si="125"/>
        <v>1041.7</v>
      </c>
      <c r="O883" s="2"/>
      <c r="R883" s="8"/>
      <c r="S883" s="8">
        <v>1</v>
      </c>
      <c r="T883" s="7" t="s">
        <v>884</v>
      </c>
      <c r="U883" s="1" t="s">
        <v>1215</v>
      </c>
      <c r="V883" s="8">
        <f t="shared" si="124"/>
        <v>1041.7</v>
      </c>
      <c r="W883" s="2" t="s">
        <v>884</v>
      </c>
      <c r="X883" s="8">
        <f t="shared" si="126"/>
        <v>1041.7</v>
      </c>
      <c r="AE883" s="51">
        <f t="shared" si="123"/>
        <v>0</v>
      </c>
      <c r="AG883" s="1"/>
    </row>
    <row r="884" spans="6:33" ht="24" customHeight="1">
      <c r="F884" s="8">
        <v>1</v>
      </c>
      <c r="G884" s="7" t="s">
        <v>884</v>
      </c>
      <c r="H884" s="1" t="s">
        <v>1216</v>
      </c>
      <c r="I884" s="8">
        <f>C12</f>
        <v>679.8</v>
      </c>
      <c r="J884" s="1" t="s">
        <v>884</v>
      </c>
      <c r="K884" s="8">
        <f t="shared" si="125"/>
        <v>679.8</v>
      </c>
      <c r="R884" s="5"/>
      <c r="S884" s="8">
        <v>1</v>
      </c>
      <c r="T884" s="7" t="s">
        <v>884</v>
      </c>
      <c r="U884" s="1" t="s">
        <v>1216</v>
      </c>
      <c r="V884" s="8">
        <f t="shared" si="124"/>
        <v>679.8</v>
      </c>
      <c r="W884" s="2" t="s">
        <v>884</v>
      </c>
      <c r="X884" s="8">
        <f t="shared" si="126"/>
        <v>679.8</v>
      </c>
      <c r="AE884" s="51" t="str">
        <f t="shared" si="123"/>
        <v>|</v>
      </c>
      <c r="AG884" s="1" t="s">
        <v>2298</v>
      </c>
    </row>
    <row r="885" spans="6:33" ht="24" customHeight="1">
      <c r="F885" s="8">
        <v>1</v>
      </c>
      <c r="G885" s="7" t="s">
        <v>884</v>
      </c>
      <c r="H885" s="1" t="s">
        <v>1217</v>
      </c>
      <c r="I885" s="487">
        <v>25</v>
      </c>
      <c r="J885" s="1" t="s">
        <v>884</v>
      </c>
      <c r="K885" s="8">
        <f t="shared" si="125"/>
        <v>25</v>
      </c>
      <c r="S885" s="8">
        <v>1</v>
      </c>
      <c r="T885" s="7" t="s">
        <v>884</v>
      </c>
      <c r="U885" s="1" t="s">
        <v>1217</v>
      </c>
      <c r="V885" s="8">
        <f t="shared" si="124"/>
        <v>25</v>
      </c>
      <c r="W885" s="2" t="s">
        <v>884</v>
      </c>
      <c r="X885" s="8">
        <f t="shared" si="126"/>
        <v>25</v>
      </c>
      <c r="AE885" s="51" t="str">
        <f t="shared" si="123"/>
        <v>|</v>
      </c>
      <c r="AG885" s="1" t="s">
        <v>2298</v>
      </c>
    </row>
    <row r="886" spans="6:33" ht="24" customHeight="1">
      <c r="F886" s="8">
        <v>0.5</v>
      </c>
      <c r="G886" s="7" t="s">
        <v>884</v>
      </c>
      <c r="H886" s="1" t="s">
        <v>1218</v>
      </c>
      <c r="I886" s="8">
        <f>C13</f>
        <v>557.70000000000005</v>
      </c>
      <c r="J886" s="1" t="s">
        <v>884</v>
      </c>
      <c r="K886" s="8">
        <f t="shared" si="125"/>
        <v>278.85000000000002</v>
      </c>
      <c r="M886" s="2" t="s">
        <v>1126</v>
      </c>
      <c r="N886" s="1" t="s">
        <v>2290</v>
      </c>
      <c r="O886" s="1" t="s">
        <v>1127</v>
      </c>
      <c r="S886" s="8">
        <v>0.5</v>
      </c>
      <c r="T886" s="7" t="s">
        <v>884</v>
      </c>
      <c r="U886" s="1" t="s">
        <v>1218</v>
      </c>
      <c r="V886" s="8">
        <f t="shared" si="124"/>
        <v>557.70000000000005</v>
      </c>
      <c r="W886" s="2" t="s">
        <v>884</v>
      </c>
      <c r="X886" s="8">
        <f t="shared" si="126"/>
        <v>278.85000000000002</v>
      </c>
      <c r="AE886" s="51" t="str">
        <f t="shared" si="123"/>
        <v>|</v>
      </c>
      <c r="AG886" s="1" t="s">
        <v>2298</v>
      </c>
    </row>
    <row r="887" spans="6:33" ht="24" customHeight="1">
      <c r="G887" s="7" t="s">
        <v>455</v>
      </c>
      <c r="H887" s="1" t="s">
        <v>2177</v>
      </c>
      <c r="J887" s="1" t="s">
        <v>455</v>
      </c>
      <c r="K887" s="8">
        <v>1.98</v>
      </c>
      <c r="O887" s="1" t="s">
        <v>590</v>
      </c>
      <c r="S887"/>
      <c r="T887" s="7" t="s">
        <v>455</v>
      </c>
      <c r="U887" s="1" t="s">
        <v>2177</v>
      </c>
      <c r="W887" s="2" t="s">
        <v>455</v>
      </c>
      <c r="X887" s="8">
        <v>0.27</v>
      </c>
      <c r="AE887" s="51" t="str">
        <f t="shared" si="123"/>
        <v>|</v>
      </c>
      <c r="AG887" s="1" t="s">
        <v>2298</v>
      </c>
    </row>
    <row r="888" spans="6:33" ht="24" customHeight="1">
      <c r="K888" s="5" t="s">
        <v>1615</v>
      </c>
      <c r="O888" s="5" t="s">
        <v>1615</v>
      </c>
      <c r="P888" s="5" t="s">
        <v>1615</v>
      </c>
      <c r="S888"/>
      <c r="T888" s="3"/>
      <c r="W888" s="4"/>
      <c r="X888" s="5" t="s">
        <v>1615</v>
      </c>
      <c r="AE888" s="51" t="str">
        <f t="shared" si="123"/>
        <v>|</v>
      </c>
      <c r="AG888" s="1" t="s">
        <v>2298</v>
      </c>
    </row>
    <row r="889" spans="6:33" ht="24" customHeight="1">
      <c r="H889" s="58" t="s">
        <v>287</v>
      </c>
      <c r="K889" s="38">
        <f>SUM(K877:K887)</f>
        <v>2883.15</v>
      </c>
      <c r="L889">
        <f>K889-1729</f>
        <v>1154.1500000000001</v>
      </c>
      <c r="O889" s="1" t="s">
        <v>591</v>
      </c>
      <c r="S889"/>
      <c r="T889" s="3"/>
      <c r="U889" s="58" t="s">
        <v>287</v>
      </c>
      <c r="W889" s="4"/>
      <c r="X889" s="38">
        <f>SUM(X877:X887)</f>
        <v>3149.42</v>
      </c>
      <c r="AE889" s="51" t="str">
        <f t="shared" si="123"/>
        <v>|</v>
      </c>
      <c r="AG889" s="1" t="s">
        <v>2298</v>
      </c>
    </row>
    <row r="890" spans="6:33" ht="24" customHeight="1">
      <c r="K890" s="5" t="s">
        <v>1615</v>
      </c>
      <c r="M890" s="8">
        <v>0.5</v>
      </c>
      <c r="N890" s="2" t="s">
        <v>785</v>
      </c>
      <c r="O890" s="1" t="s">
        <v>76</v>
      </c>
      <c r="P890" s="8">
        <f>C16</f>
        <v>1018.6</v>
      </c>
      <c r="Q890" s="2" t="s">
        <v>1748</v>
      </c>
      <c r="R890" s="8">
        <f>(M890*P890)</f>
        <v>509.3</v>
      </c>
      <c r="W890" s="4"/>
      <c r="AE890" s="51" t="str">
        <f t="shared" si="123"/>
        <v>|</v>
      </c>
      <c r="AG890" s="1" t="s">
        <v>2298</v>
      </c>
    </row>
    <row r="891" spans="6:33" ht="24" customHeight="1">
      <c r="F891" s="2"/>
      <c r="G891" s="7" t="s">
        <v>527</v>
      </c>
      <c r="H891" s="2" t="s">
        <v>573</v>
      </c>
      <c r="K891">
        <f>K889-1800.2</f>
        <v>1082.95</v>
      </c>
      <c r="M891" s="8">
        <v>0.25</v>
      </c>
      <c r="N891" s="2" t="s">
        <v>785</v>
      </c>
      <c r="O891" s="1" t="s">
        <v>894</v>
      </c>
      <c r="P891" s="8">
        <f>C12</f>
        <v>679.8</v>
      </c>
      <c r="Q891" s="2" t="s">
        <v>1748</v>
      </c>
      <c r="R891" s="8">
        <f>(M891*P891)</f>
        <v>169.95</v>
      </c>
      <c r="S891"/>
      <c r="T891" s="7" t="s">
        <v>321</v>
      </c>
      <c r="U891" s="2" t="s">
        <v>3840</v>
      </c>
      <c r="W891" s="4"/>
      <c r="AE891" s="51" t="str">
        <f t="shared" si="123"/>
        <v>|</v>
      </c>
      <c r="AG891" s="1" t="s">
        <v>2298</v>
      </c>
    </row>
    <row r="892" spans="6:33" ht="24" customHeight="1">
      <c r="H892" s="2" t="s">
        <v>1815</v>
      </c>
      <c r="R892" s="5" t="s">
        <v>1615</v>
      </c>
      <c r="S892"/>
      <c r="T892" s="3"/>
      <c r="U892" s="2" t="s">
        <v>1815</v>
      </c>
      <c r="W892" s="4"/>
      <c r="AE892" s="51" t="str">
        <f t="shared" si="123"/>
        <v>|</v>
      </c>
      <c r="AG892" s="1" t="s">
        <v>2298</v>
      </c>
    </row>
    <row r="893" spans="6:33" ht="24" customHeight="1">
      <c r="F893" s="14">
        <v>3.5299999999999998E-2</v>
      </c>
      <c r="G893" s="7" t="s">
        <v>885</v>
      </c>
      <c r="H893" s="1" t="s">
        <v>2110</v>
      </c>
      <c r="I893" s="8">
        <f t="shared" ref="I893:I898" si="127">I877</f>
        <v>8472.39</v>
      </c>
      <c r="J893" s="1" t="s">
        <v>885</v>
      </c>
      <c r="K893" s="8">
        <f>F893*I893</f>
        <v>299.08</v>
      </c>
      <c r="O893" s="2" t="s">
        <v>1184</v>
      </c>
      <c r="R893" s="8">
        <f>SUM(R890:R891)</f>
        <v>679.25</v>
      </c>
      <c r="S893" s="14">
        <v>5.91E-2</v>
      </c>
      <c r="T893" s="7" t="s">
        <v>885</v>
      </c>
      <c r="U893" s="1" t="s">
        <v>2110</v>
      </c>
      <c r="V893" s="8">
        <f>V877</f>
        <v>8472.39</v>
      </c>
      <c r="W893" s="2" t="s">
        <v>885</v>
      </c>
      <c r="X893" s="8">
        <f>S893*V893</f>
        <v>500.72</v>
      </c>
      <c r="AE893" s="51" t="str">
        <f t="shared" si="123"/>
        <v>|</v>
      </c>
      <c r="AG893" s="1" t="s">
        <v>2298</v>
      </c>
    </row>
    <row r="894" spans="6:33" ht="24" customHeight="1">
      <c r="F894" s="8">
        <v>4.59</v>
      </c>
      <c r="G894" s="7" t="s">
        <v>1676</v>
      </c>
      <c r="H894" s="1" t="s">
        <v>2111</v>
      </c>
      <c r="I894" s="8">
        <f t="shared" si="127"/>
        <v>90172</v>
      </c>
      <c r="J894" s="1" t="s">
        <v>877</v>
      </c>
      <c r="K894" s="8">
        <f>F894*I894/1000</f>
        <v>413.89</v>
      </c>
      <c r="R894" s="5" t="s">
        <v>1615</v>
      </c>
      <c r="S894" s="215">
        <v>6.58</v>
      </c>
      <c r="T894" s="7" t="s">
        <v>1676</v>
      </c>
      <c r="U894" s="1" t="s">
        <v>2111</v>
      </c>
      <c r="V894" s="8">
        <f t="shared" ref="V894:V902" si="128">V878</f>
        <v>90172</v>
      </c>
      <c r="W894" s="2" t="s">
        <v>877</v>
      </c>
      <c r="X894" s="8">
        <f>S894*V894/1000</f>
        <v>593.33000000000004</v>
      </c>
      <c r="AE894" s="51" t="str">
        <f t="shared" si="123"/>
        <v>|</v>
      </c>
      <c r="AG894" s="1" t="s">
        <v>2298</v>
      </c>
    </row>
    <row r="895" spans="6:33" ht="24" customHeight="1">
      <c r="F895" s="8">
        <v>3</v>
      </c>
      <c r="G895" s="7" t="s">
        <v>884</v>
      </c>
      <c r="H895" s="1" t="s">
        <v>1208</v>
      </c>
      <c r="I895" s="484">
        <f t="shared" si="127"/>
        <v>14.8</v>
      </c>
      <c r="J895" s="1" t="s">
        <v>884</v>
      </c>
      <c r="K895" s="8">
        <f t="shared" ref="K895:K902" si="129">F895*I895</f>
        <v>44.4</v>
      </c>
      <c r="O895" s="2" t="s">
        <v>1185</v>
      </c>
      <c r="R895" s="8">
        <f>R893/0.0283</f>
        <v>24001.77</v>
      </c>
      <c r="S895" s="8">
        <v>3</v>
      </c>
      <c r="T895" s="7" t="s">
        <v>884</v>
      </c>
      <c r="U895" s="1" t="s">
        <v>1208</v>
      </c>
      <c r="V895" s="8">
        <f t="shared" si="128"/>
        <v>14.8</v>
      </c>
      <c r="W895" s="2" t="s">
        <v>884</v>
      </c>
      <c r="X895" s="8">
        <f t="shared" ref="X895:X902" si="130">S895*V895</f>
        <v>44.4</v>
      </c>
      <c r="AE895" s="51" t="str">
        <f t="shared" si="123"/>
        <v>|</v>
      </c>
      <c r="AG895" s="1" t="s">
        <v>2298</v>
      </c>
    </row>
    <row r="896" spans="6:33" ht="24" customHeight="1">
      <c r="F896" s="8">
        <v>12</v>
      </c>
      <c r="G896" s="7" t="s">
        <v>884</v>
      </c>
      <c r="H896" s="1" t="s">
        <v>1209</v>
      </c>
      <c r="I896" s="484">
        <f t="shared" si="127"/>
        <v>2</v>
      </c>
      <c r="J896" s="1" t="s">
        <v>884</v>
      </c>
      <c r="K896" s="8">
        <f t="shared" si="129"/>
        <v>24</v>
      </c>
      <c r="R896" s="5" t="s">
        <v>1615</v>
      </c>
      <c r="S896" s="8">
        <v>12</v>
      </c>
      <c r="T896" s="7" t="s">
        <v>884</v>
      </c>
      <c r="U896" s="1" t="s">
        <v>1209</v>
      </c>
      <c r="V896" s="8">
        <f t="shared" si="128"/>
        <v>2</v>
      </c>
      <c r="W896" s="2" t="s">
        <v>884</v>
      </c>
      <c r="X896" s="8">
        <f t="shared" si="130"/>
        <v>24</v>
      </c>
      <c r="AE896" s="51" t="str">
        <f t="shared" si="123"/>
        <v>|</v>
      </c>
      <c r="AG896" s="1" t="s">
        <v>2298</v>
      </c>
    </row>
    <row r="897" spans="6:33" ht="24" customHeight="1">
      <c r="F897" s="8">
        <v>2</v>
      </c>
      <c r="G897" s="7" t="s">
        <v>884</v>
      </c>
      <c r="H897" s="8" t="str">
        <f>H881</f>
        <v>TOWER BOLT RECEIVER</v>
      </c>
      <c r="I897" s="484">
        <f t="shared" si="127"/>
        <v>4.9000000000000004</v>
      </c>
      <c r="J897" s="1" t="s">
        <v>884</v>
      </c>
      <c r="K897" s="8">
        <f t="shared" si="129"/>
        <v>9.8000000000000007</v>
      </c>
      <c r="S897" s="8">
        <v>2</v>
      </c>
      <c r="T897" s="7" t="s">
        <v>884</v>
      </c>
      <c r="U897" s="1" t="s">
        <v>1210</v>
      </c>
      <c r="V897" s="8">
        <f t="shared" si="128"/>
        <v>4.9000000000000004</v>
      </c>
      <c r="W897" s="2" t="s">
        <v>884</v>
      </c>
      <c r="X897" s="8">
        <f t="shared" si="130"/>
        <v>9.8000000000000007</v>
      </c>
      <c r="AE897" s="51" t="str">
        <f t="shared" si="123"/>
        <v>|</v>
      </c>
      <c r="AG897" s="1" t="s">
        <v>2298</v>
      </c>
    </row>
    <row r="898" spans="6:33" ht="24" customHeight="1">
      <c r="F898" s="8">
        <v>6</v>
      </c>
      <c r="G898" s="7" t="s">
        <v>884</v>
      </c>
      <c r="H898" s="1" t="s">
        <v>2259</v>
      </c>
      <c r="I898" s="484">
        <f t="shared" si="127"/>
        <v>4.45</v>
      </c>
      <c r="J898" s="1" t="s">
        <v>884</v>
      </c>
      <c r="K898" s="8">
        <f t="shared" si="129"/>
        <v>26.7</v>
      </c>
      <c r="S898" s="8">
        <v>6</v>
      </c>
      <c r="T898" s="7" t="s">
        <v>884</v>
      </c>
      <c r="U898" s="1" t="s">
        <v>2259</v>
      </c>
      <c r="V898" s="8">
        <f t="shared" si="128"/>
        <v>4.45</v>
      </c>
      <c r="W898" s="2" t="s">
        <v>884</v>
      </c>
      <c r="X898" s="8">
        <f t="shared" si="130"/>
        <v>26.7</v>
      </c>
      <c r="AE898" s="51" t="str">
        <f t="shared" si="123"/>
        <v>|</v>
      </c>
      <c r="AG898" s="1" t="s">
        <v>2298</v>
      </c>
    </row>
    <row r="899" spans="6:33" ht="24" customHeight="1">
      <c r="F899" s="8">
        <v>1</v>
      </c>
      <c r="G899" s="7" t="s">
        <v>884</v>
      </c>
      <c r="H899" s="1" t="s">
        <v>1215</v>
      </c>
      <c r="I899" s="8">
        <f>C10</f>
        <v>1041.7</v>
      </c>
      <c r="J899" s="1" t="s">
        <v>884</v>
      </c>
      <c r="K899" s="8">
        <f t="shared" si="129"/>
        <v>1041.7</v>
      </c>
      <c r="S899" s="8">
        <v>1</v>
      </c>
      <c r="T899" s="7" t="s">
        <v>884</v>
      </c>
      <c r="U899" s="1" t="s">
        <v>1215</v>
      </c>
      <c r="V899" s="8">
        <f t="shared" si="128"/>
        <v>1041.7</v>
      </c>
      <c r="W899" s="2" t="s">
        <v>884</v>
      </c>
      <c r="X899" s="8">
        <f t="shared" si="130"/>
        <v>1041.7</v>
      </c>
      <c r="AE899" s="51" t="str">
        <f t="shared" si="123"/>
        <v>|</v>
      </c>
      <c r="AG899" s="1" t="s">
        <v>2298</v>
      </c>
    </row>
    <row r="900" spans="6:33" ht="24" customHeight="1">
      <c r="F900" s="8">
        <v>1</v>
      </c>
      <c r="G900" s="7" t="s">
        <v>884</v>
      </c>
      <c r="H900" s="1" t="s">
        <v>1216</v>
      </c>
      <c r="I900" s="8">
        <f>C12</f>
        <v>679.8</v>
      </c>
      <c r="J900" s="1" t="s">
        <v>884</v>
      </c>
      <c r="K900" s="8">
        <f t="shared" si="129"/>
        <v>679.8</v>
      </c>
      <c r="S900" s="8">
        <v>1</v>
      </c>
      <c r="T900" s="7" t="s">
        <v>884</v>
      </c>
      <c r="U900" s="1" t="s">
        <v>1216</v>
      </c>
      <c r="V900" s="8">
        <f t="shared" si="128"/>
        <v>679.8</v>
      </c>
      <c r="W900" s="2" t="s">
        <v>884</v>
      </c>
      <c r="X900" s="8">
        <f t="shared" si="130"/>
        <v>679.8</v>
      </c>
      <c r="AE900" s="51" t="str">
        <f t="shared" si="123"/>
        <v>|</v>
      </c>
      <c r="AG900" s="1" t="s">
        <v>2298</v>
      </c>
    </row>
    <row r="901" spans="6:33" ht="101.25" customHeight="1">
      <c r="F901" s="8">
        <v>1</v>
      </c>
      <c r="G901" s="7" t="s">
        <v>884</v>
      </c>
      <c r="H901" s="8" t="str">
        <f>H885</f>
        <v>MOULDING CHARGES</v>
      </c>
      <c r="I901" s="485">
        <v>25</v>
      </c>
      <c r="J901" s="1" t="s">
        <v>884</v>
      </c>
      <c r="K901" s="8">
        <f t="shared" si="129"/>
        <v>25</v>
      </c>
      <c r="S901" s="8">
        <v>1</v>
      </c>
      <c r="T901" s="7" t="s">
        <v>884</v>
      </c>
      <c r="U901" s="1" t="s">
        <v>1217</v>
      </c>
      <c r="V901" s="8">
        <f t="shared" si="128"/>
        <v>25</v>
      </c>
      <c r="W901" s="2" t="s">
        <v>884</v>
      </c>
      <c r="X901" s="8">
        <f t="shared" si="130"/>
        <v>25</v>
      </c>
      <c r="AE901" s="51">
        <f t="shared" si="123"/>
        <v>0</v>
      </c>
    </row>
    <row r="902" spans="6:33" ht="44.25" customHeight="1">
      <c r="F902" s="8">
        <v>0.5</v>
      </c>
      <c r="G902" s="7" t="s">
        <v>884</v>
      </c>
      <c r="H902" s="1" t="s">
        <v>1218</v>
      </c>
      <c r="I902" s="8">
        <f>C13</f>
        <v>557.70000000000005</v>
      </c>
      <c r="J902" s="1" t="s">
        <v>884</v>
      </c>
      <c r="K902" s="8">
        <f t="shared" si="129"/>
        <v>278.85000000000002</v>
      </c>
      <c r="M902" s="8"/>
      <c r="N902" s="1"/>
      <c r="O902" s="1"/>
      <c r="P902" s="8"/>
      <c r="R902" s="8"/>
      <c r="S902" s="8">
        <v>0.5</v>
      </c>
      <c r="T902" s="7" t="s">
        <v>884</v>
      </c>
      <c r="U902" s="1" t="s">
        <v>1218</v>
      </c>
      <c r="V902" s="8">
        <f t="shared" si="128"/>
        <v>557.70000000000005</v>
      </c>
      <c r="W902" s="2" t="s">
        <v>884</v>
      </c>
      <c r="X902" s="8">
        <f t="shared" si="130"/>
        <v>278.85000000000002</v>
      </c>
      <c r="AE902" s="51">
        <f t="shared" si="123"/>
        <v>0</v>
      </c>
    </row>
    <row r="903" spans="6:33" ht="39.75" customHeight="1">
      <c r="G903" s="7" t="s">
        <v>455</v>
      </c>
      <c r="H903" s="1" t="s">
        <v>2177</v>
      </c>
      <c r="J903" s="1" t="s">
        <v>455</v>
      </c>
      <c r="K903" s="8">
        <v>1.39</v>
      </c>
      <c r="M903" s="15"/>
      <c r="N903" s="1"/>
      <c r="O903" s="1"/>
      <c r="P903" s="8"/>
      <c r="R903" s="8"/>
      <c r="S903"/>
      <c r="T903" s="7" t="s">
        <v>455</v>
      </c>
      <c r="U903" s="1" t="s">
        <v>2177</v>
      </c>
      <c r="W903" s="2" t="s">
        <v>455</v>
      </c>
      <c r="X903" s="8">
        <v>0.21</v>
      </c>
      <c r="AE903" s="51">
        <f t="shared" si="123"/>
        <v>0</v>
      </c>
    </row>
    <row r="904" spans="6:33" ht="24" customHeight="1">
      <c r="K904" s="5" t="s">
        <v>1615</v>
      </c>
      <c r="M904" s="8"/>
      <c r="N904" s="1"/>
      <c r="O904" s="1"/>
      <c r="P904" s="8"/>
      <c r="R904" s="8"/>
      <c r="S904"/>
      <c r="T904" s="3"/>
      <c r="W904" s="4"/>
      <c r="X904" s="5" t="s">
        <v>1615</v>
      </c>
      <c r="AE904" s="51">
        <f t="shared" si="123"/>
        <v>0</v>
      </c>
    </row>
    <row r="905" spans="6:33" ht="24" customHeight="1">
      <c r="H905" s="58" t="s">
        <v>287</v>
      </c>
      <c r="K905" s="10"/>
      <c r="R905" s="8"/>
      <c r="S905"/>
      <c r="T905" s="3"/>
      <c r="U905" s="58" t="s">
        <v>287</v>
      </c>
      <c r="W905" s="4"/>
      <c r="X905" s="38">
        <f>SUM(X893:X903)</f>
        <v>3224.51</v>
      </c>
      <c r="AE905" s="51">
        <f t="shared" si="123"/>
        <v>0</v>
      </c>
    </row>
    <row r="906" spans="6:33" ht="24" customHeight="1">
      <c r="K906" s="5" t="s">
        <v>1615</v>
      </c>
      <c r="W906" s="4"/>
      <c r="AE906" s="51">
        <f t="shared" si="123"/>
        <v>0</v>
      </c>
    </row>
    <row r="907" spans="6:33" ht="24" customHeight="1">
      <c r="R907" s="5"/>
      <c r="W907" s="4"/>
      <c r="AE907" s="51">
        <f t="shared" si="123"/>
        <v>0</v>
      </c>
    </row>
    <row r="908" spans="6:33" ht="55.5" customHeight="1">
      <c r="F908" s="34">
        <v>21.3</v>
      </c>
      <c r="G908" s="7" t="s">
        <v>2290</v>
      </c>
      <c r="H908" s="35" t="s">
        <v>1759</v>
      </c>
      <c r="O908" s="2"/>
      <c r="R908" s="8"/>
      <c r="W908" s="4"/>
      <c r="AE908" s="51">
        <f t="shared" si="123"/>
        <v>0</v>
      </c>
    </row>
    <row r="909" spans="6:33" ht="24" customHeight="1">
      <c r="H909" s="1" t="s">
        <v>2299</v>
      </c>
      <c r="W909" s="4"/>
      <c r="AE909" s="51">
        <f t="shared" si="123"/>
        <v>0</v>
      </c>
    </row>
    <row r="910" spans="6:33" ht="24" customHeight="1">
      <c r="H910" s="5" t="s">
        <v>1615</v>
      </c>
      <c r="J910" s="10" t="s">
        <v>1328</v>
      </c>
      <c r="W910" s="4"/>
      <c r="AE910" s="51">
        <f t="shared" si="123"/>
        <v>0</v>
      </c>
    </row>
    <row r="911" spans="6:33" ht="24" customHeight="1">
      <c r="W911" s="4"/>
      <c r="AE911" s="51">
        <f t="shared" si="123"/>
        <v>0</v>
      </c>
    </row>
    <row r="912" spans="6:33" ht="24" customHeight="1">
      <c r="H912" s="504" t="s">
        <v>5116</v>
      </c>
      <c r="J912" s="1" t="s">
        <v>621</v>
      </c>
      <c r="K912" s="436">
        <v>2135</v>
      </c>
      <c r="W912" s="4"/>
      <c r="AE912" s="51">
        <f t="shared" si="123"/>
        <v>0</v>
      </c>
    </row>
    <row r="913" spans="6:33" ht="24" customHeight="1">
      <c r="F913" s="1" t="s">
        <v>992</v>
      </c>
      <c r="W913" s="4"/>
      <c r="AE913" s="51">
        <f t="shared" si="123"/>
        <v>0</v>
      </c>
    </row>
    <row r="914" spans="6:33" ht="24" customHeight="1">
      <c r="H914" s="2" t="s">
        <v>2300</v>
      </c>
      <c r="K914" s="5" t="s">
        <v>2091</v>
      </c>
      <c r="W914" s="4"/>
      <c r="AE914" s="51">
        <f t="shared" si="123"/>
        <v>0</v>
      </c>
    </row>
    <row r="915" spans="6:33" ht="24" customHeight="1">
      <c r="H915" s="2" t="s">
        <v>1392</v>
      </c>
      <c r="W915" s="4"/>
      <c r="AE915" s="51">
        <f t="shared" si="123"/>
        <v>0</v>
      </c>
    </row>
    <row r="916" spans="6:33" ht="24" customHeight="1">
      <c r="F916" s="30">
        <v>21.2</v>
      </c>
      <c r="H916" s="36" t="s">
        <v>1760</v>
      </c>
      <c r="W916" s="4"/>
      <c r="AE916" s="51">
        <f t="shared" si="123"/>
        <v>0</v>
      </c>
    </row>
    <row r="917" spans="6:33" ht="24" customHeight="1">
      <c r="F917" s="30"/>
      <c r="H917" s="5" t="s">
        <v>1615</v>
      </c>
      <c r="W917" s="4"/>
      <c r="AE917" s="51" t="str">
        <f t="shared" si="123"/>
        <v>|</v>
      </c>
      <c r="AG917" s="1" t="s">
        <v>2298</v>
      </c>
    </row>
    <row r="918" spans="6:33" ht="24" customHeight="1">
      <c r="G918" s="7" t="s">
        <v>156</v>
      </c>
      <c r="H918" s="1" t="s">
        <v>1393</v>
      </c>
      <c r="K918" s="1" t="s">
        <v>992</v>
      </c>
      <c r="W918" s="4"/>
      <c r="AE918" s="51" t="str">
        <f t="shared" si="123"/>
        <v>|</v>
      </c>
      <c r="AG918" s="1" t="s">
        <v>2298</v>
      </c>
    </row>
    <row r="919" spans="6:33" ht="24" customHeight="1">
      <c r="H919" s="5" t="s">
        <v>1615</v>
      </c>
      <c r="K919" s="1" t="s">
        <v>992</v>
      </c>
      <c r="W919" s="4"/>
      <c r="AE919" s="51" t="str">
        <f t="shared" si="123"/>
        <v>|</v>
      </c>
      <c r="AG919" s="1" t="s">
        <v>2298</v>
      </c>
    </row>
    <row r="920" spans="6:33" ht="24" customHeight="1">
      <c r="F920" s="8">
        <v>1</v>
      </c>
      <c r="G920" s="7" t="s">
        <v>885</v>
      </c>
      <c r="H920" s="1" t="s">
        <v>1597</v>
      </c>
      <c r="I920" s="8">
        <f>C30</f>
        <v>14278</v>
      </c>
      <c r="J920" s="1" t="s">
        <v>885</v>
      </c>
      <c r="K920" s="8">
        <f>(F920*I920)</f>
        <v>14278</v>
      </c>
      <c r="W920" s="4"/>
      <c r="AE920" s="51" t="str">
        <f t="shared" si="123"/>
        <v>|</v>
      </c>
      <c r="AG920" s="1" t="s">
        <v>2298</v>
      </c>
    </row>
    <row r="921" spans="6:33" ht="24" customHeight="1">
      <c r="F921" s="8">
        <v>1</v>
      </c>
      <c r="G921" s="7" t="s">
        <v>885</v>
      </c>
      <c r="H921" s="1" t="s">
        <v>1393</v>
      </c>
      <c r="I921" s="8">
        <f>C88</f>
        <v>111600</v>
      </c>
      <c r="J921" s="1" t="s">
        <v>885</v>
      </c>
      <c r="K921" s="8">
        <f>(F921*I921)</f>
        <v>111600</v>
      </c>
      <c r="W921" s="4"/>
      <c r="AE921" s="51" t="str">
        <f t="shared" si="123"/>
        <v>|</v>
      </c>
      <c r="AG921" s="1" t="s">
        <v>2298</v>
      </c>
    </row>
    <row r="922" spans="6:33" ht="24" customHeight="1">
      <c r="K922" s="5" t="s">
        <v>2091</v>
      </c>
      <c r="W922" s="4"/>
      <c r="AE922" s="51">
        <f t="shared" si="123"/>
        <v>0</v>
      </c>
    </row>
    <row r="923" spans="6:33" ht="24" customHeight="1">
      <c r="H923" s="1" t="s">
        <v>1598</v>
      </c>
      <c r="K923" s="38">
        <f>SUM(K920:K921)</f>
        <v>125878</v>
      </c>
      <c r="W923" s="4"/>
      <c r="AE923" s="51" t="str">
        <f t="shared" si="123"/>
        <v>|</v>
      </c>
      <c r="AG923" s="1" t="s">
        <v>2298</v>
      </c>
    </row>
    <row r="924" spans="6:33" ht="24" customHeight="1">
      <c r="K924" s="5" t="s">
        <v>2091</v>
      </c>
      <c r="W924" s="4"/>
      <c r="AE924" s="51" t="str">
        <f t="shared" si="123"/>
        <v>|</v>
      </c>
      <c r="AG924" s="1" t="s">
        <v>2298</v>
      </c>
    </row>
    <row r="925" spans="6:33" ht="24" customHeight="1">
      <c r="G925" s="7" t="s">
        <v>1583</v>
      </c>
      <c r="H925" s="1" t="s">
        <v>1599</v>
      </c>
      <c r="K925" s="1" t="s">
        <v>992</v>
      </c>
      <c r="W925" s="4"/>
      <c r="AE925" s="51" t="str">
        <f t="shared" si="123"/>
        <v>|</v>
      </c>
      <c r="AG925" s="1" t="s">
        <v>2298</v>
      </c>
    </row>
    <row r="926" spans="6:33" ht="24" customHeight="1">
      <c r="H926" s="5" t="s">
        <v>1615</v>
      </c>
      <c r="M926" s="2" t="s">
        <v>574</v>
      </c>
      <c r="N926" s="7" t="s">
        <v>2290</v>
      </c>
      <c r="O926" s="1" t="s">
        <v>334</v>
      </c>
      <c r="Q926" s="10"/>
      <c r="W926" s="4"/>
      <c r="AE926" s="51">
        <f t="shared" si="123"/>
        <v>0</v>
      </c>
      <c r="AG926" s="1"/>
    </row>
    <row r="927" spans="6:33" ht="24" customHeight="1">
      <c r="F927" s="8">
        <v>1</v>
      </c>
      <c r="G927" s="7" t="s">
        <v>885</v>
      </c>
      <c r="H927" s="1" t="s">
        <v>1597</v>
      </c>
      <c r="I927" s="8">
        <f>C30</f>
        <v>14278</v>
      </c>
      <c r="J927" s="1" t="s">
        <v>885</v>
      </c>
      <c r="K927" s="8">
        <f>(F927*I927)</f>
        <v>14278</v>
      </c>
      <c r="N927" s="3"/>
      <c r="O927" s="1" t="s">
        <v>259</v>
      </c>
      <c r="Q927" s="10"/>
      <c r="W927" s="4"/>
      <c r="AE927" s="51" t="str">
        <f t="shared" si="123"/>
        <v>|</v>
      </c>
      <c r="AG927" s="1" t="s">
        <v>2298</v>
      </c>
    </row>
    <row r="928" spans="6:33" ht="24" customHeight="1">
      <c r="F928" s="8">
        <v>1</v>
      </c>
      <c r="G928" s="7" t="s">
        <v>885</v>
      </c>
      <c r="H928" s="1" t="s">
        <v>1393</v>
      </c>
      <c r="I928" s="8">
        <f>C89</f>
        <v>99400</v>
      </c>
      <c r="J928" s="1" t="s">
        <v>885</v>
      </c>
      <c r="K928" s="8">
        <f>(F928*I928)</f>
        <v>99400</v>
      </c>
      <c r="N928" s="3"/>
      <c r="O928" s="1" t="s">
        <v>1496</v>
      </c>
      <c r="Q928" s="10"/>
      <c r="W928" s="4"/>
      <c r="AE928" s="51" t="str">
        <f t="shared" si="123"/>
        <v>|</v>
      </c>
      <c r="AG928" s="1" t="s">
        <v>2298</v>
      </c>
    </row>
    <row r="929" spans="6:33" ht="24" customHeight="1">
      <c r="K929" s="5" t="s">
        <v>2091</v>
      </c>
      <c r="N929" s="3"/>
      <c r="O929" s="5" t="s">
        <v>1615</v>
      </c>
      <c r="Q929" s="10"/>
      <c r="W929" s="4"/>
      <c r="AE929" s="51" t="str">
        <f t="shared" si="123"/>
        <v>|</v>
      </c>
      <c r="AG929" s="1" t="s">
        <v>2298</v>
      </c>
    </row>
    <row r="930" spans="6:33" ht="24" customHeight="1">
      <c r="H930" s="1" t="s">
        <v>1600</v>
      </c>
      <c r="K930" s="38">
        <f>SUM(K927:K928)</f>
        <v>113678</v>
      </c>
      <c r="N930" s="3"/>
      <c r="O930" s="1" t="s">
        <v>91</v>
      </c>
      <c r="Q930" s="10"/>
      <c r="W930" s="4"/>
      <c r="AE930" s="51" t="str">
        <f t="shared" si="123"/>
        <v>|</v>
      </c>
      <c r="AG930" s="1" t="s">
        <v>2298</v>
      </c>
    </row>
    <row r="931" spans="6:33" ht="24" customHeight="1">
      <c r="K931" s="5" t="s">
        <v>2091</v>
      </c>
      <c r="N931" s="3"/>
      <c r="O931" s="1" t="s">
        <v>92</v>
      </c>
      <c r="Q931" s="10"/>
      <c r="W931" s="4"/>
      <c r="AE931" s="51" t="str">
        <f t="shared" si="123"/>
        <v>|</v>
      </c>
      <c r="AG931" s="1" t="s">
        <v>2298</v>
      </c>
    </row>
    <row r="932" spans="6:33" ht="24" customHeight="1">
      <c r="N932" s="3"/>
      <c r="Q932" s="1" t="s">
        <v>1615</v>
      </c>
      <c r="W932" s="4"/>
      <c r="AE932" s="51" t="str">
        <f t="shared" si="123"/>
        <v>|</v>
      </c>
      <c r="AG932" s="1" t="s">
        <v>2298</v>
      </c>
    </row>
    <row r="933" spans="6:33" ht="24" customHeight="1">
      <c r="F933" s="2" t="s">
        <v>574</v>
      </c>
      <c r="G933" s="7" t="s">
        <v>2290</v>
      </c>
      <c r="H933" s="1" t="s">
        <v>258</v>
      </c>
      <c r="N933" s="3"/>
      <c r="O933" s="1" t="s">
        <v>1194</v>
      </c>
      <c r="Q933" s="10"/>
      <c r="W933" s="4"/>
      <c r="AE933" s="51" t="str">
        <f t="shared" si="123"/>
        <v>|</v>
      </c>
      <c r="AG933" s="1" t="s">
        <v>2298</v>
      </c>
    </row>
    <row r="934" spans="6:33" ht="24" customHeight="1">
      <c r="H934" s="1" t="s">
        <v>259</v>
      </c>
      <c r="N934" s="3"/>
      <c r="O934" s="1" t="s">
        <v>2042</v>
      </c>
      <c r="Q934" s="10"/>
      <c r="R934" s="14">
        <v>2.4299999999999999E-2</v>
      </c>
      <c r="W934" s="4"/>
      <c r="AE934" s="51" t="str">
        <f t="shared" si="123"/>
        <v>|</v>
      </c>
      <c r="AG934" s="1" t="s">
        <v>2298</v>
      </c>
    </row>
    <row r="935" spans="6:33" ht="24" customHeight="1">
      <c r="H935" s="1" t="s">
        <v>1496</v>
      </c>
      <c r="N935" s="3"/>
      <c r="Q935" s="1" t="s">
        <v>992</v>
      </c>
      <c r="R935" s="5" t="s">
        <v>1615</v>
      </c>
      <c r="W935" s="4"/>
      <c r="AE935" s="51" t="str">
        <f t="shared" si="123"/>
        <v>|</v>
      </c>
      <c r="AG935" s="1" t="s">
        <v>2298</v>
      </c>
    </row>
    <row r="936" spans="6:33" ht="24" customHeight="1">
      <c r="H936" s="5" t="s">
        <v>1615</v>
      </c>
      <c r="N936" s="3"/>
      <c r="O936" s="1" t="s">
        <v>2043</v>
      </c>
      <c r="Q936" s="17" t="s">
        <v>992</v>
      </c>
      <c r="R936" s="14">
        <v>1.47E-2</v>
      </c>
      <c r="W936" s="4"/>
      <c r="AE936" s="51" t="str">
        <f t="shared" si="123"/>
        <v>|</v>
      </c>
      <c r="AG936" s="1" t="s">
        <v>2298</v>
      </c>
    </row>
    <row r="937" spans="6:33" ht="24" customHeight="1">
      <c r="H937" s="1" t="s">
        <v>91</v>
      </c>
      <c r="N937" s="3"/>
      <c r="O937" s="1" t="s">
        <v>1800</v>
      </c>
      <c r="Q937" s="1" t="s">
        <v>992</v>
      </c>
      <c r="R937" s="14">
        <v>4.5999999999999999E-3</v>
      </c>
      <c r="W937" s="4"/>
      <c r="AE937" s="51" t="str">
        <f t="shared" si="123"/>
        <v>|</v>
      </c>
      <c r="AG937" s="1" t="s">
        <v>2298</v>
      </c>
    </row>
    <row r="938" spans="6:33" ht="24" customHeight="1">
      <c r="H938" s="1" t="s">
        <v>92</v>
      </c>
      <c r="N938" s="3"/>
      <c r="Q938" s="10"/>
      <c r="R938" s="5" t="s">
        <v>1615</v>
      </c>
      <c r="W938" s="4"/>
      <c r="AE938" s="51" t="str">
        <f t="shared" si="123"/>
        <v>|</v>
      </c>
      <c r="AG938" s="1" t="s">
        <v>2298</v>
      </c>
    </row>
    <row r="939" spans="6:33" ht="24" customHeight="1">
      <c r="J939" s="1" t="s">
        <v>1615</v>
      </c>
      <c r="N939" s="3"/>
      <c r="Q939" s="10"/>
      <c r="R939" s="14">
        <v>1.9300000000000001E-2</v>
      </c>
      <c r="W939" s="4"/>
      <c r="AE939" s="51" t="str">
        <f t="shared" si="123"/>
        <v>|</v>
      </c>
      <c r="AG939" s="1" t="s">
        <v>2298</v>
      </c>
    </row>
    <row r="940" spans="6:33" ht="24" customHeight="1">
      <c r="H940" s="1" t="s">
        <v>1194</v>
      </c>
      <c r="N940" s="3"/>
      <c r="Q940" s="10"/>
      <c r="R940" s="5" t="s">
        <v>1615</v>
      </c>
      <c r="W940" s="4"/>
      <c r="AE940" s="51" t="str">
        <f t="shared" si="123"/>
        <v>|</v>
      </c>
      <c r="AG940" s="1" t="s">
        <v>2298</v>
      </c>
    </row>
    <row r="941" spans="6:33" ht="24" customHeight="1">
      <c r="H941" s="1" t="s">
        <v>2042</v>
      </c>
      <c r="K941" s="14">
        <v>2.4299999999999999E-2</v>
      </c>
      <c r="N941" s="3"/>
      <c r="Q941" s="10"/>
      <c r="W941" s="4"/>
      <c r="AE941" s="51" t="str">
        <f t="shared" si="123"/>
        <v>|</v>
      </c>
      <c r="AG941" s="1" t="s">
        <v>2298</v>
      </c>
    </row>
    <row r="942" spans="6:33" ht="24" customHeight="1">
      <c r="J942" s="1" t="s">
        <v>992</v>
      </c>
      <c r="K942" s="5" t="s">
        <v>1615</v>
      </c>
      <c r="N942" s="3"/>
      <c r="Q942" s="10"/>
      <c r="W942" s="4"/>
      <c r="AE942" s="51" t="str">
        <f t="shared" si="123"/>
        <v>|</v>
      </c>
      <c r="AG942" s="1" t="s">
        <v>2298</v>
      </c>
    </row>
    <row r="943" spans="6:33" ht="24" customHeight="1">
      <c r="H943" s="1" t="s">
        <v>2043</v>
      </c>
      <c r="J943" s="17" t="s">
        <v>992</v>
      </c>
      <c r="K943" s="14">
        <v>1.47E-2</v>
      </c>
      <c r="M943" s="14">
        <v>1.14E-2</v>
      </c>
      <c r="N943" s="7" t="s">
        <v>885</v>
      </c>
      <c r="O943" s="1" t="s">
        <v>3991</v>
      </c>
      <c r="P943" s="8">
        <f>C86</f>
        <v>34300</v>
      </c>
      <c r="Q943" s="1" t="s">
        <v>885</v>
      </c>
      <c r="R943" s="8">
        <f>(M943*P943)</f>
        <v>391.02</v>
      </c>
      <c r="W943" s="4"/>
      <c r="AE943" s="51" t="str">
        <f t="shared" si="123"/>
        <v>|</v>
      </c>
      <c r="AG943" s="1" t="s">
        <v>2298</v>
      </c>
    </row>
    <row r="944" spans="6:33" ht="24" customHeight="1">
      <c r="H944" s="1" t="s">
        <v>1800</v>
      </c>
      <c r="J944" s="1" t="s">
        <v>992</v>
      </c>
      <c r="K944" s="14">
        <v>4.5999999999999999E-3</v>
      </c>
      <c r="M944" s="14">
        <v>2.4299999999999999E-2</v>
      </c>
      <c r="N944" s="7" t="s">
        <v>885</v>
      </c>
      <c r="O944" s="1" t="s">
        <v>3992</v>
      </c>
      <c r="P944" s="8">
        <f>P943</f>
        <v>34300</v>
      </c>
      <c r="Q944" s="1" t="s">
        <v>885</v>
      </c>
      <c r="R944" s="8">
        <f>(M944*P944)</f>
        <v>833.49</v>
      </c>
      <c r="W944" s="4"/>
      <c r="AE944" s="51" t="str">
        <f t="shared" si="123"/>
        <v>|</v>
      </c>
      <c r="AG944" s="1" t="s">
        <v>2298</v>
      </c>
    </row>
    <row r="945" spans="6:33" ht="24" customHeight="1">
      <c r="K945" s="5" t="s">
        <v>1615</v>
      </c>
      <c r="M945" s="14">
        <v>1.9300000000000001E-2</v>
      </c>
      <c r="N945" s="7" t="s">
        <v>885</v>
      </c>
      <c r="O945" s="1" t="s">
        <v>3993</v>
      </c>
      <c r="P945" s="8">
        <f>C87</f>
        <v>39400</v>
      </c>
      <c r="Q945" s="1" t="s">
        <v>885</v>
      </c>
      <c r="R945" s="8">
        <f>(M945*P945)</f>
        <v>760.42</v>
      </c>
      <c r="W945" s="4"/>
      <c r="AE945" s="51" t="str">
        <f t="shared" si="123"/>
        <v>|</v>
      </c>
      <c r="AG945" s="1" t="s">
        <v>2298</v>
      </c>
    </row>
    <row r="946" spans="6:33" ht="24" customHeight="1">
      <c r="K946" s="14">
        <v>1.9300000000000001E-2</v>
      </c>
      <c r="M946" s="15"/>
      <c r="N946" s="3"/>
      <c r="O946" s="1"/>
      <c r="P946" s="1" t="s">
        <v>992</v>
      </c>
      <c r="Q946" s="10"/>
      <c r="R946" s="1" t="s">
        <v>992</v>
      </c>
      <c r="W946" s="4"/>
      <c r="AE946" s="51">
        <f t="shared" si="123"/>
        <v>0</v>
      </c>
    </row>
    <row r="947" spans="6:33" ht="24" customHeight="1">
      <c r="K947" s="5" t="s">
        <v>1615</v>
      </c>
      <c r="M947" s="15">
        <v>1.823</v>
      </c>
      <c r="N947" s="7" t="s">
        <v>621</v>
      </c>
      <c r="O947" s="1" t="s">
        <v>453</v>
      </c>
      <c r="P947" s="8">
        <f>I954</f>
        <v>1602.7</v>
      </c>
      <c r="Q947" s="1" t="s">
        <v>621</v>
      </c>
      <c r="R947" s="8">
        <f t="shared" ref="R947:R953" si="131">(M947*P947)</f>
        <v>2921.72</v>
      </c>
      <c r="W947" s="4"/>
      <c r="AE947" s="51">
        <f t="shared" si="123"/>
        <v>0</v>
      </c>
    </row>
    <row r="948" spans="6:33" ht="24" customHeight="1">
      <c r="M948" s="8">
        <v>1</v>
      </c>
      <c r="N948" s="7" t="s">
        <v>785</v>
      </c>
      <c r="O948" s="1" t="s">
        <v>1489</v>
      </c>
      <c r="P948" s="8">
        <f t="shared" ref="P948:P953" si="132">I955</f>
        <v>57.65</v>
      </c>
      <c r="Q948" s="1" t="s">
        <v>884</v>
      </c>
      <c r="R948" s="8">
        <f t="shared" si="131"/>
        <v>57.65</v>
      </c>
      <c r="W948" s="4"/>
      <c r="AE948" s="51">
        <f t="shared" si="123"/>
        <v>0</v>
      </c>
    </row>
    <row r="949" spans="6:33" ht="24" customHeight="1">
      <c r="M949" s="8">
        <v>3</v>
      </c>
      <c r="N949" s="7" t="s">
        <v>884</v>
      </c>
      <c r="O949" s="1" t="s">
        <v>1490</v>
      </c>
      <c r="P949" s="8">
        <f t="shared" si="132"/>
        <v>89.6</v>
      </c>
      <c r="Q949" s="1" t="s">
        <v>884</v>
      </c>
      <c r="R949" s="8">
        <f t="shared" si="131"/>
        <v>268.8</v>
      </c>
      <c r="W949" s="4"/>
      <c r="AE949" s="51">
        <f t="shared" si="123"/>
        <v>0</v>
      </c>
    </row>
    <row r="950" spans="6:33" ht="24" customHeight="1">
      <c r="F950" s="14">
        <v>1.14E-2</v>
      </c>
      <c r="G950" s="7" t="s">
        <v>885</v>
      </c>
      <c r="H950" s="1" t="s">
        <v>313</v>
      </c>
      <c r="I950" s="8">
        <f>C88</f>
        <v>111600</v>
      </c>
      <c r="J950" s="1" t="s">
        <v>885</v>
      </c>
      <c r="K950" s="8">
        <f>(F950*I950)</f>
        <v>1272.24</v>
      </c>
      <c r="M950" s="8">
        <v>2</v>
      </c>
      <c r="N950" s="7" t="s">
        <v>884</v>
      </c>
      <c r="O950" s="1" t="s">
        <v>1491</v>
      </c>
      <c r="P950" s="8">
        <f t="shared" si="132"/>
        <v>64.8</v>
      </c>
      <c r="Q950" s="1" t="s">
        <v>884</v>
      </c>
      <c r="R950" s="8">
        <f t="shared" si="131"/>
        <v>129.6</v>
      </c>
      <c r="W950" s="4"/>
      <c r="AE950" s="51">
        <f t="shared" ref="AE950:AE1013" si="133">AG950</f>
        <v>0</v>
      </c>
    </row>
    <row r="951" spans="6:33" ht="24" customHeight="1">
      <c r="F951" s="14">
        <v>2.4299999999999999E-2</v>
      </c>
      <c r="G951" s="7" t="s">
        <v>885</v>
      </c>
      <c r="H951" s="1" t="s">
        <v>314</v>
      </c>
      <c r="I951" s="8">
        <f>C89</f>
        <v>99400</v>
      </c>
      <c r="J951" s="1" t="s">
        <v>885</v>
      </c>
      <c r="K951" s="8">
        <f>(F951*I951)</f>
        <v>2415.42</v>
      </c>
      <c r="M951" s="8">
        <v>1</v>
      </c>
      <c r="N951" s="7" t="s">
        <v>884</v>
      </c>
      <c r="O951" s="1" t="s">
        <v>1492</v>
      </c>
      <c r="P951" s="8">
        <f t="shared" si="132"/>
        <v>181</v>
      </c>
      <c r="Q951" s="1" t="s">
        <v>884</v>
      </c>
      <c r="R951" s="8">
        <f t="shared" si="131"/>
        <v>181</v>
      </c>
      <c r="W951" s="4"/>
      <c r="AE951" s="51">
        <f t="shared" si="133"/>
        <v>0</v>
      </c>
    </row>
    <row r="952" spans="6:33" ht="24" customHeight="1">
      <c r="F952" s="14">
        <v>1.9300000000000001E-2</v>
      </c>
      <c r="G952" s="7" t="s">
        <v>885</v>
      </c>
      <c r="H952" s="1" t="s">
        <v>315</v>
      </c>
      <c r="I952" s="8">
        <f>C90</f>
        <v>95000</v>
      </c>
      <c r="J952" s="1" t="s">
        <v>885</v>
      </c>
      <c r="K952" s="8">
        <f>(F952*I952)</f>
        <v>1833.5</v>
      </c>
      <c r="M952" s="8">
        <v>1</v>
      </c>
      <c r="N952" s="7" t="s">
        <v>884</v>
      </c>
      <c r="O952" s="1" t="s">
        <v>1493</v>
      </c>
      <c r="P952" s="8">
        <f t="shared" si="132"/>
        <v>7.3</v>
      </c>
      <c r="Q952" s="1" t="s">
        <v>884</v>
      </c>
      <c r="R952" s="8">
        <f t="shared" si="131"/>
        <v>7.3</v>
      </c>
      <c r="W952" s="4"/>
      <c r="AE952" s="51">
        <f t="shared" si="133"/>
        <v>0</v>
      </c>
    </row>
    <row r="953" spans="6:33" ht="24" customHeight="1">
      <c r="F953" s="15"/>
      <c r="H953" s="1" t="s">
        <v>452</v>
      </c>
      <c r="I953" s="1" t="s">
        <v>992</v>
      </c>
      <c r="K953" s="1" t="s">
        <v>992</v>
      </c>
      <c r="M953" s="8">
        <v>1</v>
      </c>
      <c r="N953" s="7" t="s">
        <v>884</v>
      </c>
      <c r="O953" s="1" t="s">
        <v>2018</v>
      </c>
      <c r="P953" s="8">
        <f t="shared" si="132"/>
        <v>49.55</v>
      </c>
      <c r="Q953" s="1" t="s">
        <v>884</v>
      </c>
      <c r="R953" s="8">
        <f t="shared" si="131"/>
        <v>49.55</v>
      </c>
      <c r="W953" s="4"/>
      <c r="AE953" s="51">
        <f t="shared" si="133"/>
        <v>0</v>
      </c>
    </row>
    <row r="954" spans="6:33" ht="24" customHeight="1">
      <c r="F954" s="15">
        <v>1.823</v>
      </c>
      <c r="G954" s="7" t="s">
        <v>621</v>
      </c>
      <c r="H954" s="1" t="s">
        <v>453</v>
      </c>
      <c r="I954" s="8">
        <f>C31</f>
        <v>1602.7</v>
      </c>
      <c r="J954" s="1" t="s">
        <v>621</v>
      </c>
      <c r="K954" s="8">
        <f t="shared" ref="K954:K961" si="134">(F954*I954)</f>
        <v>2921.72</v>
      </c>
      <c r="N954" s="3"/>
      <c r="Q954" s="10"/>
      <c r="R954" s="5" t="s">
        <v>1615</v>
      </c>
      <c r="W954" s="4"/>
      <c r="AE954" s="51">
        <f t="shared" si="133"/>
        <v>0</v>
      </c>
    </row>
    <row r="955" spans="6:33" ht="24" customHeight="1">
      <c r="F955" s="8">
        <v>1</v>
      </c>
      <c r="G955" s="7" t="s">
        <v>785</v>
      </c>
      <c r="H955" s="1" t="s">
        <v>5863</v>
      </c>
      <c r="I955" s="8">
        <f>C598</f>
        <v>57.65</v>
      </c>
      <c r="J955" s="1" t="s">
        <v>884</v>
      </c>
      <c r="K955" s="8">
        <f t="shared" si="134"/>
        <v>57.65</v>
      </c>
      <c r="N955" s="3"/>
      <c r="O955" s="1" t="s">
        <v>1494</v>
      </c>
      <c r="Q955" s="10"/>
      <c r="R955" s="8">
        <f>SUM(R943:R953)</f>
        <v>5600.55</v>
      </c>
      <c r="W955" s="4"/>
      <c r="AE955" s="51">
        <f t="shared" si="133"/>
        <v>0</v>
      </c>
    </row>
    <row r="956" spans="6:33" ht="24" customHeight="1">
      <c r="F956" s="8">
        <v>3</v>
      </c>
      <c r="G956" s="7" t="s">
        <v>884</v>
      </c>
      <c r="H956" s="1" t="s">
        <v>5864</v>
      </c>
      <c r="I956" s="8">
        <f>C279</f>
        <v>89.6</v>
      </c>
      <c r="J956" s="1" t="s">
        <v>884</v>
      </c>
      <c r="K956" s="8">
        <f t="shared" si="134"/>
        <v>268.8</v>
      </c>
      <c r="N956" s="3"/>
      <c r="Q956" s="10"/>
      <c r="R956" s="5" t="s">
        <v>1615</v>
      </c>
      <c r="W956" s="4"/>
      <c r="AE956" s="51">
        <f t="shared" si="133"/>
        <v>0</v>
      </c>
    </row>
    <row r="957" spans="6:33" ht="24" customHeight="1">
      <c r="F957" s="8">
        <v>2</v>
      </c>
      <c r="G957" s="7" t="s">
        <v>884</v>
      </c>
      <c r="H957" s="1" t="s">
        <v>5865</v>
      </c>
      <c r="I957" s="8">
        <f>C284</f>
        <v>64.8</v>
      </c>
      <c r="J957" s="1" t="s">
        <v>884</v>
      </c>
      <c r="K957" s="8">
        <f t="shared" si="134"/>
        <v>129.6</v>
      </c>
      <c r="N957" s="3"/>
      <c r="O957" s="58" t="s">
        <v>562</v>
      </c>
      <c r="Q957" s="10"/>
      <c r="R957" s="38">
        <f>R955/M947</f>
        <v>3072.16</v>
      </c>
      <c r="W957" s="4"/>
      <c r="AE957" s="51">
        <f t="shared" si="133"/>
        <v>0</v>
      </c>
    </row>
    <row r="958" spans="6:33" ht="24" customHeight="1">
      <c r="F958" s="8">
        <v>1</v>
      </c>
      <c r="G958" s="7" t="s">
        <v>884</v>
      </c>
      <c r="H958" s="1" t="s">
        <v>5866</v>
      </c>
      <c r="I958" s="8">
        <f>C286</f>
        <v>181</v>
      </c>
      <c r="J958" s="1" t="s">
        <v>884</v>
      </c>
      <c r="K958" s="8">
        <f t="shared" si="134"/>
        <v>181</v>
      </c>
      <c r="M958" s="1" t="s">
        <v>992</v>
      </c>
      <c r="N958" s="3"/>
      <c r="Q958" s="10"/>
      <c r="W958" s="4"/>
      <c r="AE958" s="51">
        <f t="shared" si="133"/>
        <v>0</v>
      </c>
    </row>
    <row r="959" spans="6:33" ht="24" customHeight="1">
      <c r="F959" s="8">
        <v>1</v>
      </c>
      <c r="G959" s="7" t="s">
        <v>884</v>
      </c>
      <c r="H959" s="1" t="s">
        <v>1493</v>
      </c>
      <c r="I959" s="8">
        <f>C288</f>
        <v>7.3</v>
      </c>
      <c r="J959" s="1" t="s">
        <v>884</v>
      </c>
      <c r="K959" s="8">
        <f t="shared" si="134"/>
        <v>7.3</v>
      </c>
      <c r="N959" s="3"/>
      <c r="Q959" s="10"/>
      <c r="R959" s="5" t="s">
        <v>2091</v>
      </c>
      <c r="W959" s="4"/>
      <c r="AE959" s="51" t="str">
        <f t="shared" si="133"/>
        <v>|</v>
      </c>
      <c r="AG959" s="1" t="s">
        <v>2298</v>
      </c>
    </row>
    <row r="960" spans="6:33" ht="24" customHeight="1">
      <c r="F960" s="8">
        <v>1</v>
      </c>
      <c r="G960" s="7" t="s">
        <v>884</v>
      </c>
      <c r="H960" s="1" t="s">
        <v>5867</v>
      </c>
      <c r="I960" s="8">
        <f>D598</f>
        <v>49.55</v>
      </c>
      <c r="J960" s="1" t="s">
        <v>884</v>
      </c>
      <c r="K960" s="8">
        <f t="shared" si="134"/>
        <v>49.55</v>
      </c>
      <c r="W960" s="4"/>
      <c r="AE960" s="51" t="str">
        <f t="shared" si="133"/>
        <v>|</v>
      </c>
      <c r="AG960" s="1" t="s">
        <v>2298</v>
      </c>
    </row>
    <row r="961" spans="6:33" ht="24" customHeight="1">
      <c r="F961" s="8">
        <v>64</v>
      </c>
      <c r="G961" s="7" t="s">
        <v>1051</v>
      </c>
      <c r="H961" s="504" t="s">
        <v>5697</v>
      </c>
      <c r="I961" s="431">
        <v>2.41</v>
      </c>
      <c r="J961" s="10" t="s">
        <v>160</v>
      </c>
      <c r="K961" s="8">
        <f t="shared" si="134"/>
        <v>154.24</v>
      </c>
      <c r="W961" s="4"/>
      <c r="AE961" s="51" t="str">
        <f t="shared" si="133"/>
        <v>|</v>
      </c>
      <c r="AG961" s="1" t="s">
        <v>2298</v>
      </c>
    </row>
    <row r="962" spans="6:33" ht="24" customHeight="1">
      <c r="H962" s="1" t="s">
        <v>1494</v>
      </c>
      <c r="K962" s="8">
        <f>SUM(K950:K961)</f>
        <v>9291.02</v>
      </c>
      <c r="W962" s="4"/>
      <c r="AE962" s="51" t="str">
        <f t="shared" si="133"/>
        <v>|</v>
      </c>
      <c r="AG962" s="1" t="s">
        <v>2298</v>
      </c>
    </row>
    <row r="963" spans="6:33" ht="24" customHeight="1">
      <c r="K963" s="5" t="s">
        <v>1615</v>
      </c>
      <c r="W963" s="4"/>
      <c r="AE963" s="51" t="str">
        <f t="shared" si="133"/>
        <v>|</v>
      </c>
      <c r="AG963" s="1" t="s">
        <v>2298</v>
      </c>
    </row>
    <row r="964" spans="6:33" ht="24" customHeight="1">
      <c r="H964" s="58" t="s">
        <v>562</v>
      </c>
      <c r="K964" s="38">
        <f>K962/F954</f>
        <v>5096.5600000000004</v>
      </c>
      <c r="W964" s="4"/>
      <c r="AE964" s="51" t="str">
        <f t="shared" si="133"/>
        <v>|</v>
      </c>
      <c r="AG964" s="1" t="s">
        <v>2298</v>
      </c>
    </row>
    <row r="965" spans="6:33" ht="24" customHeight="1">
      <c r="F965" s="1" t="s">
        <v>992</v>
      </c>
      <c r="W965" s="4"/>
      <c r="AE965" s="51" t="str">
        <f t="shared" si="133"/>
        <v>|</v>
      </c>
      <c r="AG965" s="1" t="s">
        <v>2298</v>
      </c>
    </row>
    <row r="966" spans="6:33" ht="24" customHeight="1">
      <c r="K966" s="5" t="s">
        <v>2091</v>
      </c>
      <c r="W966" s="4"/>
      <c r="AE966" s="51" t="str">
        <f t="shared" si="133"/>
        <v>|</v>
      </c>
      <c r="AG966" s="1" t="s">
        <v>2298</v>
      </c>
    </row>
    <row r="967" spans="6:33" ht="24" customHeight="1">
      <c r="W967" s="4"/>
      <c r="AE967" s="51" t="str">
        <f t="shared" si="133"/>
        <v>|</v>
      </c>
      <c r="AG967" s="1" t="s">
        <v>2298</v>
      </c>
    </row>
    <row r="968" spans="6:33" ht="24" customHeight="1">
      <c r="W968" s="4"/>
      <c r="AE968" s="51" t="str">
        <f t="shared" si="133"/>
        <v>|</v>
      </c>
      <c r="AG968" s="1" t="s">
        <v>2298</v>
      </c>
    </row>
    <row r="969" spans="6:33" ht="24" customHeight="1">
      <c r="F969" s="2" t="s">
        <v>1362</v>
      </c>
      <c r="G969" s="7" t="s">
        <v>2290</v>
      </c>
      <c r="H969" s="1" t="s">
        <v>258</v>
      </c>
      <c r="W969" s="4"/>
      <c r="AE969" s="51" t="str">
        <f t="shared" si="133"/>
        <v>|</v>
      </c>
      <c r="AG969" s="1" t="s">
        <v>2298</v>
      </c>
    </row>
    <row r="970" spans="6:33" ht="24" customHeight="1">
      <c r="H970" s="1" t="s">
        <v>259</v>
      </c>
      <c r="W970" s="4"/>
      <c r="AE970" s="51" t="str">
        <f t="shared" si="133"/>
        <v>|</v>
      </c>
      <c r="AG970" s="1" t="s">
        <v>2298</v>
      </c>
    </row>
    <row r="971" spans="6:33" ht="24" customHeight="1">
      <c r="H971" s="1" t="s">
        <v>1497</v>
      </c>
      <c r="W971" s="4"/>
      <c r="AE971" s="51" t="str">
        <f t="shared" si="133"/>
        <v>|</v>
      </c>
      <c r="AG971" s="1" t="s">
        <v>2298</v>
      </c>
    </row>
    <row r="972" spans="6:33" ht="24" customHeight="1">
      <c r="H972" s="5" t="s">
        <v>1615</v>
      </c>
      <c r="W972" s="4"/>
      <c r="AE972" s="51" t="str">
        <f t="shared" si="133"/>
        <v>|</v>
      </c>
      <c r="AG972" s="1" t="s">
        <v>2298</v>
      </c>
    </row>
    <row r="973" spans="6:33" ht="24" customHeight="1">
      <c r="W973" s="4"/>
      <c r="AE973" s="51" t="str">
        <f t="shared" si="133"/>
        <v>|</v>
      </c>
      <c r="AG973" s="1" t="s">
        <v>2298</v>
      </c>
    </row>
    <row r="974" spans="6:33" ht="24" customHeight="1">
      <c r="H974" s="1" t="s">
        <v>656</v>
      </c>
      <c r="W974" s="4"/>
      <c r="AE974" s="51">
        <f t="shared" si="133"/>
        <v>0</v>
      </c>
    </row>
    <row r="975" spans="6:33" ht="24" customHeight="1">
      <c r="H975" s="1" t="s">
        <v>657</v>
      </c>
      <c r="W975" s="4"/>
      <c r="AE975" s="51" t="str">
        <f t="shared" si="133"/>
        <v>|</v>
      </c>
      <c r="AG975" s="1" t="s">
        <v>2298</v>
      </c>
    </row>
    <row r="976" spans="6:33" ht="24" customHeight="1">
      <c r="J976" s="1" t="s">
        <v>1615</v>
      </c>
      <c r="W976" s="4"/>
      <c r="AE976" s="51">
        <f t="shared" si="133"/>
        <v>0</v>
      </c>
    </row>
    <row r="977" spans="6:33" ht="24" customHeight="1">
      <c r="H977" s="1" t="s">
        <v>658</v>
      </c>
      <c r="W977" s="4"/>
      <c r="AE977" s="51">
        <f t="shared" si="133"/>
        <v>0</v>
      </c>
    </row>
    <row r="978" spans="6:33" ht="24" customHeight="1">
      <c r="H978" s="1" t="s">
        <v>659</v>
      </c>
      <c r="K978" s="14">
        <v>2.1999999999999999E-2</v>
      </c>
      <c r="W978" s="4"/>
      <c r="AE978" s="51" t="str">
        <f t="shared" si="133"/>
        <v>|</v>
      </c>
      <c r="AG978" s="1" t="s">
        <v>2298</v>
      </c>
    </row>
    <row r="979" spans="6:33" ht="24" customHeight="1">
      <c r="J979" s="1" t="s">
        <v>992</v>
      </c>
      <c r="K979" s="5" t="s">
        <v>1615</v>
      </c>
      <c r="W979" s="4"/>
      <c r="AE979" s="51" t="str">
        <f t="shared" si="133"/>
        <v>|</v>
      </c>
      <c r="AG979" s="1" t="s">
        <v>2298</v>
      </c>
    </row>
    <row r="980" spans="6:33" ht="24" customHeight="1">
      <c r="H980" s="1" t="s">
        <v>875</v>
      </c>
      <c r="J980" s="17" t="s">
        <v>992</v>
      </c>
      <c r="K980" s="14">
        <v>1.3100000000000001E-2</v>
      </c>
      <c r="W980" s="4"/>
      <c r="AE980" s="51" t="str">
        <f t="shared" si="133"/>
        <v>|</v>
      </c>
      <c r="AG980" s="1" t="s">
        <v>2298</v>
      </c>
    </row>
    <row r="981" spans="6:33" ht="24" customHeight="1">
      <c r="H981" s="1" t="s">
        <v>2191</v>
      </c>
      <c r="J981" s="1" t="s">
        <v>992</v>
      </c>
      <c r="K981" s="14">
        <v>3.3999999999999998E-3</v>
      </c>
      <c r="W981" s="4"/>
      <c r="AE981" s="51" t="str">
        <f t="shared" si="133"/>
        <v>|</v>
      </c>
      <c r="AG981" s="1" t="s">
        <v>2298</v>
      </c>
    </row>
    <row r="982" spans="6:33" ht="24" customHeight="1">
      <c r="K982" s="5" t="s">
        <v>1615</v>
      </c>
      <c r="W982" s="4"/>
      <c r="AE982" s="51">
        <f t="shared" si="133"/>
        <v>0</v>
      </c>
    </row>
    <row r="983" spans="6:33" ht="24" customHeight="1">
      <c r="K983" s="14">
        <v>1.6500000000000001E-2</v>
      </c>
      <c r="W983" s="4"/>
      <c r="AE983" s="51">
        <f t="shared" si="133"/>
        <v>0</v>
      </c>
    </row>
    <row r="984" spans="6:33" ht="24" customHeight="1">
      <c r="K984" s="5" t="s">
        <v>1615</v>
      </c>
      <c r="O984" t="s">
        <v>4576</v>
      </c>
      <c r="W984" s="4"/>
      <c r="AE984" s="51">
        <f t="shared" si="133"/>
        <v>0</v>
      </c>
    </row>
    <row r="985" spans="6:33" ht="24" customHeight="1">
      <c r="F985" s="14">
        <v>1.15E-2</v>
      </c>
      <c r="G985" s="7" t="s">
        <v>885</v>
      </c>
      <c r="H985" s="1" t="s">
        <v>313</v>
      </c>
      <c r="I985" s="8">
        <f>C88</f>
        <v>111600</v>
      </c>
      <c r="J985" s="1" t="s">
        <v>885</v>
      </c>
      <c r="K985" s="8">
        <f>(F985*I985)</f>
        <v>1283.4000000000001</v>
      </c>
      <c r="M985" s="2" t="s">
        <v>1499</v>
      </c>
      <c r="N985" s="7"/>
      <c r="O985" s="1" t="s">
        <v>3810</v>
      </c>
      <c r="Q985" s="10"/>
      <c r="R985" s="1" t="s">
        <v>992</v>
      </c>
      <c r="W985" s="4"/>
      <c r="AE985" s="51">
        <f t="shared" si="133"/>
        <v>0</v>
      </c>
    </row>
    <row r="986" spans="6:33" ht="24" customHeight="1">
      <c r="F986" s="14">
        <v>2.1999999999999999E-2</v>
      </c>
      <c r="G986" s="7" t="s">
        <v>885</v>
      </c>
      <c r="H986" s="1" t="s">
        <v>314</v>
      </c>
      <c r="I986" s="8">
        <f>C89</f>
        <v>99400</v>
      </c>
      <c r="J986" s="1" t="s">
        <v>885</v>
      </c>
      <c r="K986" s="8">
        <f>(F986*I986)</f>
        <v>2186.8000000000002</v>
      </c>
      <c r="N986" s="3"/>
      <c r="O986" s="5" t="s">
        <v>1615</v>
      </c>
      <c r="Q986" s="10"/>
      <c r="W986" s="4"/>
      <c r="AE986" s="51">
        <f t="shared" si="133"/>
        <v>0</v>
      </c>
    </row>
    <row r="987" spans="6:33" ht="24" customHeight="1">
      <c r="F987" s="14">
        <v>1.6500000000000001E-2</v>
      </c>
      <c r="G987" s="7" t="s">
        <v>885</v>
      </c>
      <c r="H987" s="1" t="s">
        <v>315</v>
      </c>
      <c r="I987" s="8">
        <f>C90</f>
        <v>95000</v>
      </c>
      <c r="J987" s="1" t="s">
        <v>885</v>
      </c>
      <c r="K987" s="8">
        <f>(F987*I987)</f>
        <v>1567.5</v>
      </c>
      <c r="L987" t="s">
        <v>5285</v>
      </c>
      <c r="M987" s="228">
        <v>1.153E-2</v>
      </c>
      <c r="N987" s="229" t="s">
        <v>885</v>
      </c>
      <c r="O987" s="230" t="s">
        <v>705</v>
      </c>
      <c r="P987" s="231">
        <f t="shared" ref="P987:P997" si="135">I1053</f>
        <v>111600</v>
      </c>
      <c r="Q987" s="230" t="s">
        <v>885</v>
      </c>
      <c r="R987" s="231">
        <f t="shared" ref="R987:R997" si="136">(M987*P987)</f>
        <v>1286.75</v>
      </c>
      <c r="W987" s="4"/>
      <c r="AE987" s="51">
        <f t="shared" si="133"/>
        <v>0</v>
      </c>
    </row>
    <row r="988" spans="6:33" ht="24" customHeight="1">
      <c r="F988" s="14"/>
      <c r="H988" s="1" t="s">
        <v>452</v>
      </c>
      <c r="I988" s="1" t="s">
        <v>992</v>
      </c>
      <c r="K988" s="1" t="s">
        <v>992</v>
      </c>
      <c r="M988" s="18">
        <v>1.013E-2</v>
      </c>
      <c r="N988" s="7" t="s">
        <v>885</v>
      </c>
      <c r="O988" s="1" t="s">
        <v>706</v>
      </c>
      <c r="P988" s="231">
        <f t="shared" si="135"/>
        <v>99400</v>
      </c>
      <c r="Q988" s="1" t="s">
        <v>885</v>
      </c>
      <c r="R988" s="8">
        <f t="shared" si="136"/>
        <v>1006.92</v>
      </c>
      <c r="W988" s="4"/>
      <c r="AE988" s="51">
        <f t="shared" si="133"/>
        <v>0</v>
      </c>
    </row>
    <row r="989" spans="6:33" ht="24" customHeight="1">
      <c r="F989" s="14">
        <v>1.64</v>
      </c>
      <c r="G989" s="7" t="s">
        <v>621</v>
      </c>
      <c r="H989" s="1" t="s">
        <v>453</v>
      </c>
      <c r="I989" s="8">
        <f>C31</f>
        <v>1602.7</v>
      </c>
      <c r="J989" s="1" t="s">
        <v>621</v>
      </c>
      <c r="K989" s="8">
        <f t="shared" ref="K989:K996" si="137">(F989*I989)</f>
        <v>2628.43</v>
      </c>
      <c r="M989" s="18">
        <v>0.77780000000000005</v>
      </c>
      <c r="N989" s="7" t="s">
        <v>621</v>
      </c>
      <c r="O989" s="1" t="s">
        <v>2128</v>
      </c>
      <c r="P989" s="231">
        <f t="shared" si="135"/>
        <v>387.4</v>
      </c>
      <c r="Q989" s="1" t="s">
        <v>621</v>
      </c>
      <c r="R989" s="8">
        <f t="shared" si="136"/>
        <v>301.32</v>
      </c>
      <c r="W989" s="4"/>
      <c r="AE989" s="51">
        <f t="shared" si="133"/>
        <v>0</v>
      </c>
    </row>
    <row r="990" spans="6:33" ht="24" customHeight="1">
      <c r="F990" s="8">
        <v>1</v>
      </c>
      <c r="G990" s="7" t="s">
        <v>785</v>
      </c>
      <c r="H990" s="1" t="s">
        <v>1157</v>
      </c>
      <c r="I990" s="8">
        <f>C598</f>
        <v>57.65</v>
      </c>
      <c r="J990" s="1" t="s">
        <v>884</v>
      </c>
      <c r="K990" s="8">
        <f t="shared" si="137"/>
        <v>57.65</v>
      </c>
      <c r="M990" s="18">
        <v>1.23</v>
      </c>
      <c r="N990" s="7" t="s">
        <v>621</v>
      </c>
      <c r="O990" s="1" t="s">
        <v>2129</v>
      </c>
      <c r="P990" s="231">
        <f t="shared" si="135"/>
        <v>1336.5</v>
      </c>
      <c r="Q990" s="1" t="s">
        <v>621</v>
      </c>
      <c r="R990" s="8">
        <f t="shared" si="136"/>
        <v>1643.9</v>
      </c>
      <c r="W990" s="4"/>
      <c r="AE990" s="51">
        <f t="shared" si="133"/>
        <v>0</v>
      </c>
    </row>
    <row r="991" spans="6:33" ht="24" customHeight="1">
      <c r="F991" s="8">
        <v>3</v>
      </c>
      <c r="G991" s="7" t="s">
        <v>884</v>
      </c>
      <c r="H991" s="1" t="str">
        <f>H956</f>
        <v xml:space="preserve">  5"BUTT HINGS (p-40)</v>
      </c>
      <c r="I991" s="8">
        <f>C279</f>
        <v>89.6</v>
      </c>
      <c r="J991" s="1" t="s">
        <v>884</v>
      </c>
      <c r="K991" s="8">
        <f t="shared" si="137"/>
        <v>268.8</v>
      </c>
      <c r="M991" s="8">
        <v>2</v>
      </c>
      <c r="N991" s="7" t="s">
        <v>884</v>
      </c>
      <c r="O991" s="1" t="s">
        <v>2130</v>
      </c>
      <c r="P991" s="231">
        <f t="shared" si="135"/>
        <v>64.8</v>
      </c>
      <c r="Q991" s="1" t="s">
        <v>884</v>
      </c>
      <c r="R991" s="8">
        <f t="shared" si="136"/>
        <v>129.6</v>
      </c>
      <c r="W991" s="4"/>
      <c r="AE991" s="51">
        <f t="shared" si="133"/>
        <v>0</v>
      </c>
    </row>
    <row r="992" spans="6:33" ht="24" customHeight="1">
      <c r="F992" s="8">
        <v>2</v>
      </c>
      <c r="G992" s="7" t="s">
        <v>884</v>
      </c>
      <c r="H992" s="1" t="str">
        <f t="shared" ref="H992:H996" si="138">H957</f>
        <v xml:space="preserve"> 6"X1/2"TOWER BOLT (p-40)</v>
      </c>
      <c r="I992" s="8">
        <f>C284</f>
        <v>64.8</v>
      </c>
      <c r="J992" s="1" t="s">
        <v>884</v>
      </c>
      <c r="K992" s="8">
        <f t="shared" si="137"/>
        <v>129.6</v>
      </c>
      <c r="M992" s="8">
        <v>3</v>
      </c>
      <c r="N992" s="7" t="s">
        <v>884</v>
      </c>
      <c r="O992" s="1" t="s">
        <v>1543</v>
      </c>
      <c r="P992" s="231">
        <f t="shared" si="135"/>
        <v>89.6</v>
      </c>
      <c r="Q992" s="1" t="s">
        <v>884</v>
      </c>
      <c r="R992" s="8">
        <f t="shared" si="136"/>
        <v>268.8</v>
      </c>
      <c r="W992" s="4"/>
      <c r="AE992" s="51">
        <f t="shared" si="133"/>
        <v>0</v>
      </c>
    </row>
    <row r="993" spans="6:33" ht="24" customHeight="1">
      <c r="F993" s="8">
        <v>1</v>
      </c>
      <c r="G993" s="7" t="s">
        <v>884</v>
      </c>
      <c r="H993" s="1" t="str">
        <f t="shared" si="138"/>
        <v>10"X5/8"ALDROP (p-41)</v>
      </c>
      <c r="I993" s="8">
        <f>C286</f>
        <v>181</v>
      </c>
      <c r="J993" s="1" t="s">
        <v>884</v>
      </c>
      <c r="K993" s="8">
        <f t="shared" si="137"/>
        <v>181</v>
      </c>
      <c r="M993" s="8">
        <v>1</v>
      </c>
      <c r="N993" s="7" t="s">
        <v>884</v>
      </c>
      <c r="O993" s="1" t="s">
        <v>2015</v>
      </c>
      <c r="P993" s="231">
        <f t="shared" si="135"/>
        <v>181</v>
      </c>
      <c r="Q993" s="1" t="s">
        <v>884</v>
      </c>
      <c r="R993" s="8">
        <f t="shared" si="136"/>
        <v>181</v>
      </c>
      <c r="W993" s="4"/>
      <c r="AE993" s="51">
        <f t="shared" si="133"/>
        <v>0</v>
      </c>
    </row>
    <row r="994" spans="6:33" ht="24" customHeight="1">
      <c r="F994" s="8">
        <v>1</v>
      </c>
      <c r="G994" s="7" t="s">
        <v>884</v>
      </c>
      <c r="H994" s="1" t="str">
        <f t="shared" si="138"/>
        <v>NYLONBUSH</v>
      </c>
      <c r="I994" s="8">
        <f>C288</f>
        <v>7.3</v>
      </c>
      <c r="J994" s="1" t="s">
        <v>884</v>
      </c>
      <c r="K994" s="8">
        <f t="shared" si="137"/>
        <v>7.3</v>
      </c>
      <c r="M994" s="8">
        <v>1</v>
      </c>
      <c r="N994" s="7" t="s">
        <v>884</v>
      </c>
      <c r="O994" s="1" t="s">
        <v>2016</v>
      </c>
      <c r="P994" s="231">
        <f t="shared" si="135"/>
        <v>7.3</v>
      </c>
      <c r="Q994" s="1" t="s">
        <v>884</v>
      </c>
      <c r="R994" s="8">
        <f t="shared" si="136"/>
        <v>7.3</v>
      </c>
      <c r="W994" s="4"/>
      <c r="AE994" s="51" t="str">
        <f t="shared" si="133"/>
        <v>|</v>
      </c>
      <c r="AG994" s="1" t="s">
        <v>2298</v>
      </c>
    </row>
    <row r="995" spans="6:33" ht="24" customHeight="1">
      <c r="F995" s="8">
        <v>1</v>
      </c>
      <c r="G995" s="7" t="s">
        <v>884</v>
      </c>
      <c r="H995" s="1" t="str">
        <f t="shared" si="138"/>
        <v>DOOR STOPPER (p-41)</v>
      </c>
      <c r="I995" s="8">
        <f>D598</f>
        <v>49.55</v>
      </c>
      <c r="J995" s="1" t="s">
        <v>884</v>
      </c>
      <c r="K995" s="8">
        <f t="shared" si="137"/>
        <v>49.55</v>
      </c>
      <c r="M995" s="8">
        <v>1</v>
      </c>
      <c r="N995" s="7" t="s">
        <v>884</v>
      </c>
      <c r="O995" s="1" t="s">
        <v>1158</v>
      </c>
      <c r="P995" s="231">
        <f t="shared" si="135"/>
        <v>57.65</v>
      </c>
      <c r="Q995" s="1" t="s">
        <v>884</v>
      </c>
      <c r="R995" s="8">
        <f t="shared" si="136"/>
        <v>57.65</v>
      </c>
      <c r="W995" s="4"/>
      <c r="AE995" s="51" t="str">
        <f t="shared" si="133"/>
        <v>|</v>
      </c>
      <c r="AG995" s="1" t="s">
        <v>2298</v>
      </c>
    </row>
    <row r="996" spans="6:33" ht="24" customHeight="1">
      <c r="F996" s="8">
        <v>10</v>
      </c>
      <c r="G996" s="7" t="s">
        <v>1051</v>
      </c>
      <c r="H996" s="1" t="str">
        <f t="shared" si="138"/>
        <v>Brass screw p-55 it-232</v>
      </c>
      <c r="I996" s="8">
        <f>I961</f>
        <v>2.41</v>
      </c>
      <c r="J996" s="1" t="s">
        <v>884</v>
      </c>
      <c r="K996" s="8">
        <f t="shared" si="137"/>
        <v>24.1</v>
      </c>
      <c r="M996" s="8">
        <v>1</v>
      </c>
      <c r="N996" s="7" t="s">
        <v>884</v>
      </c>
      <c r="O996" s="1" t="s">
        <v>2018</v>
      </c>
      <c r="P996" s="231">
        <f t="shared" si="135"/>
        <v>49.55</v>
      </c>
      <c r="Q996" s="1" t="s">
        <v>884</v>
      </c>
      <c r="R996" s="8">
        <f t="shared" si="136"/>
        <v>49.55</v>
      </c>
      <c r="W996" s="4"/>
      <c r="AE996" s="51" t="str">
        <f t="shared" si="133"/>
        <v>|</v>
      </c>
      <c r="AG996" s="1" t="s">
        <v>2298</v>
      </c>
    </row>
    <row r="997" spans="6:33" ht="24" customHeight="1">
      <c r="K997" s="5" t="s">
        <v>1615</v>
      </c>
      <c r="M997" s="8">
        <v>58</v>
      </c>
      <c r="N997" s="3"/>
      <c r="O997" s="1" t="s">
        <v>1776</v>
      </c>
      <c r="P997" s="231">
        <f t="shared" si="135"/>
        <v>2.41</v>
      </c>
      <c r="Q997" s="10"/>
      <c r="R997" s="8">
        <f t="shared" si="136"/>
        <v>139.78</v>
      </c>
      <c r="W997" s="4"/>
      <c r="AE997" s="51" t="str">
        <f t="shared" si="133"/>
        <v>|</v>
      </c>
      <c r="AG997" s="1" t="s">
        <v>2298</v>
      </c>
    </row>
    <row r="998" spans="6:33" ht="24" customHeight="1">
      <c r="H998" s="1" t="s">
        <v>2192</v>
      </c>
      <c r="K998" s="8">
        <f>SUM(K985:K996)</f>
        <v>8384.1299999999992</v>
      </c>
      <c r="N998" s="3"/>
      <c r="O998" s="2" t="s">
        <v>2019</v>
      </c>
      <c r="Q998" s="10"/>
      <c r="R998" s="8">
        <f>SUM(R987:R997)</f>
        <v>5072.57</v>
      </c>
      <c r="W998" s="4"/>
      <c r="AE998" s="51" t="str">
        <f t="shared" si="133"/>
        <v>|</v>
      </c>
      <c r="AG998" s="1" t="s">
        <v>2298</v>
      </c>
    </row>
    <row r="999" spans="6:33" ht="24" customHeight="1">
      <c r="K999" s="5" t="s">
        <v>1615</v>
      </c>
      <c r="N999" s="7" t="s">
        <v>992</v>
      </c>
      <c r="Q999" s="10"/>
      <c r="R999" s="5" t="s">
        <v>1615</v>
      </c>
      <c r="W999" s="4"/>
      <c r="AE999" s="51" t="str">
        <f t="shared" si="133"/>
        <v>|</v>
      </c>
      <c r="AG999" s="1" t="s">
        <v>2298</v>
      </c>
    </row>
    <row r="1000" spans="6:33" ht="24" customHeight="1">
      <c r="H1000" s="58" t="s">
        <v>5284</v>
      </c>
      <c r="K1000" s="38">
        <f>K998/F989</f>
        <v>5112.2700000000004</v>
      </c>
      <c r="N1000" s="3"/>
      <c r="O1000" s="58" t="s">
        <v>562</v>
      </c>
      <c r="Q1000" s="10"/>
      <c r="R1000" s="38">
        <f>R998/M990</f>
        <v>4124.04</v>
      </c>
      <c r="W1000" s="4"/>
      <c r="AE1000" s="51" t="str">
        <f t="shared" si="133"/>
        <v>|</v>
      </c>
      <c r="AG1000" s="1" t="s">
        <v>2298</v>
      </c>
    </row>
    <row r="1001" spans="6:33" ht="24" customHeight="1">
      <c r="K1001" s="5" t="s">
        <v>2091</v>
      </c>
      <c r="N1001" s="3"/>
      <c r="Q1001" s="10"/>
      <c r="R1001" s="5" t="s">
        <v>2091</v>
      </c>
      <c r="W1001" s="4"/>
      <c r="AE1001" s="51" t="str">
        <f t="shared" si="133"/>
        <v>|::</v>
      </c>
      <c r="AG1001" s="1" t="s">
        <v>326</v>
      </c>
    </row>
    <row r="1002" spans="6:33" ht="24" customHeight="1">
      <c r="F1002" s="2" t="s">
        <v>1361</v>
      </c>
      <c r="G1002" s="7" t="s">
        <v>2290</v>
      </c>
      <c r="H1002" s="1" t="s">
        <v>258</v>
      </c>
      <c r="W1002" s="4"/>
      <c r="AE1002" s="51">
        <f t="shared" si="133"/>
        <v>0</v>
      </c>
    </row>
    <row r="1003" spans="6:33" ht="24" customHeight="1">
      <c r="H1003" s="1" t="s">
        <v>259</v>
      </c>
      <c r="W1003" s="4"/>
      <c r="AE1003" s="51">
        <f t="shared" si="133"/>
        <v>0</v>
      </c>
    </row>
    <row r="1004" spans="6:33" ht="24" customHeight="1">
      <c r="H1004" s="1" t="s">
        <v>1498</v>
      </c>
      <c r="W1004" s="4"/>
      <c r="AE1004" s="51" t="str">
        <f t="shared" si="133"/>
        <v>|</v>
      </c>
      <c r="AG1004" s="1" t="s">
        <v>2298</v>
      </c>
    </row>
    <row r="1005" spans="6:33" ht="24" customHeight="1">
      <c r="H1005" s="5" t="s">
        <v>1615</v>
      </c>
      <c r="W1005" s="4"/>
      <c r="AE1005" s="51"/>
      <c r="AG1005" s="1"/>
    </row>
    <row r="1006" spans="6:33" ht="24" customHeight="1">
      <c r="H1006" s="1" t="s">
        <v>2193</v>
      </c>
      <c r="W1006" s="4"/>
      <c r="AE1006" s="51" t="str">
        <f t="shared" si="133"/>
        <v>|</v>
      </c>
      <c r="AG1006" s="1" t="s">
        <v>2298</v>
      </c>
    </row>
    <row r="1007" spans="6:33" ht="24" customHeight="1">
      <c r="H1007" s="1" t="s">
        <v>92</v>
      </c>
      <c r="W1007" s="4"/>
      <c r="AE1007" s="51" t="str">
        <f t="shared" si="133"/>
        <v>|</v>
      </c>
      <c r="AG1007" s="1" t="s">
        <v>2298</v>
      </c>
    </row>
    <row r="1008" spans="6:33" ht="24" customHeight="1">
      <c r="J1008" s="1" t="s">
        <v>1615</v>
      </c>
      <c r="W1008" s="4"/>
      <c r="AE1008" s="51" t="str">
        <f t="shared" si="133"/>
        <v>|</v>
      </c>
      <c r="AG1008" s="1" t="s">
        <v>2298</v>
      </c>
    </row>
    <row r="1009" spans="6:33" ht="24" customHeight="1">
      <c r="H1009" s="1" t="s">
        <v>2194</v>
      </c>
      <c r="W1009" s="4"/>
      <c r="AE1009" s="51" t="str">
        <f t="shared" si="133"/>
        <v>|</v>
      </c>
      <c r="AG1009" s="1" t="s">
        <v>2298</v>
      </c>
    </row>
    <row r="1010" spans="6:33" ht="24" customHeight="1">
      <c r="H1010" s="1" t="s">
        <v>465</v>
      </c>
      <c r="K1010" s="14">
        <v>1.1900000000000001E-2</v>
      </c>
      <c r="W1010" s="4"/>
      <c r="AE1010" s="51" t="str">
        <f t="shared" si="133"/>
        <v>|</v>
      </c>
      <c r="AG1010" s="1" t="s">
        <v>2298</v>
      </c>
    </row>
    <row r="1011" spans="6:33" ht="24" customHeight="1">
      <c r="J1011" s="1" t="s">
        <v>992</v>
      </c>
      <c r="K1011" s="5" t="s">
        <v>1615</v>
      </c>
      <c r="W1011" s="4"/>
      <c r="AE1011" s="51">
        <f t="shared" si="133"/>
        <v>0</v>
      </c>
    </row>
    <row r="1012" spans="6:33" ht="24" customHeight="1">
      <c r="H1012" s="1" t="s">
        <v>466</v>
      </c>
      <c r="J1012" s="17" t="s">
        <v>992</v>
      </c>
      <c r="K1012" s="14">
        <v>1.18E-2</v>
      </c>
      <c r="W1012" s="4"/>
      <c r="AE1012" s="51">
        <f t="shared" si="133"/>
        <v>0</v>
      </c>
    </row>
    <row r="1013" spans="6:33" ht="24" customHeight="1">
      <c r="H1013" s="1" t="s">
        <v>252</v>
      </c>
      <c r="J1013" s="1" t="s">
        <v>992</v>
      </c>
      <c r="K1013" s="16" t="s">
        <v>1615</v>
      </c>
      <c r="W1013" s="4"/>
      <c r="AE1013" s="51">
        <f t="shared" si="133"/>
        <v>0</v>
      </c>
    </row>
    <row r="1014" spans="6:33" ht="24" customHeight="1">
      <c r="W1014" s="4"/>
      <c r="AE1014" s="51">
        <f t="shared" ref="AE1014:AE1034" si="139">AG1014</f>
        <v>0</v>
      </c>
    </row>
    <row r="1015" spans="6:33" ht="24" customHeight="1">
      <c r="F1015" s="14">
        <v>1.14E-2</v>
      </c>
      <c r="G1015" s="7" t="s">
        <v>885</v>
      </c>
      <c r="H1015" s="1" t="s">
        <v>313</v>
      </c>
      <c r="I1015" s="8">
        <f>C88</f>
        <v>111600</v>
      </c>
      <c r="J1015" s="1" t="s">
        <v>885</v>
      </c>
      <c r="K1015" s="8">
        <f>(F1015*I1015)</f>
        <v>1272.24</v>
      </c>
      <c r="W1015" s="4"/>
      <c r="AE1015" s="51">
        <f t="shared" si="139"/>
        <v>0</v>
      </c>
    </row>
    <row r="1016" spans="6:33" ht="24" customHeight="1">
      <c r="F1016" s="14">
        <v>1.1900000000000001E-2</v>
      </c>
      <c r="G1016" s="7" t="s">
        <v>885</v>
      </c>
      <c r="H1016" s="1" t="s">
        <v>314</v>
      </c>
      <c r="I1016" s="8">
        <f>C89</f>
        <v>99400</v>
      </c>
      <c r="J1016" s="1" t="s">
        <v>885</v>
      </c>
      <c r="K1016" s="8">
        <f>(F1016*I1016)</f>
        <v>1182.8599999999999</v>
      </c>
      <c r="W1016" s="4"/>
      <c r="AE1016" s="51">
        <f t="shared" si="139"/>
        <v>0</v>
      </c>
    </row>
    <row r="1017" spans="6:33" ht="24" customHeight="1">
      <c r="F1017" s="14">
        <v>1.18E-2</v>
      </c>
      <c r="G1017" s="7" t="s">
        <v>885</v>
      </c>
      <c r="H1017" s="1" t="s">
        <v>315</v>
      </c>
      <c r="I1017" s="8">
        <f>C90</f>
        <v>95000</v>
      </c>
      <c r="J1017" s="1" t="s">
        <v>885</v>
      </c>
      <c r="K1017" s="8">
        <f>(F1017*I1017)</f>
        <v>1121</v>
      </c>
      <c r="W1017" s="4"/>
      <c r="AE1017" s="51">
        <f t="shared" si="139"/>
        <v>0</v>
      </c>
    </row>
    <row r="1018" spans="6:33" ht="24" customHeight="1">
      <c r="F1018" s="14"/>
      <c r="H1018" s="1" t="s">
        <v>452</v>
      </c>
      <c r="I1018" s="1" t="s">
        <v>992</v>
      </c>
      <c r="K1018" s="1" t="s">
        <v>992</v>
      </c>
      <c r="W1018" s="4"/>
      <c r="AE1018" s="51">
        <f t="shared" si="139"/>
        <v>0</v>
      </c>
    </row>
    <row r="1019" spans="6:33" ht="24" customHeight="1">
      <c r="F1019" s="14">
        <v>1.2150000000000001</v>
      </c>
      <c r="G1019" s="7" t="s">
        <v>621</v>
      </c>
      <c r="H1019" s="1" t="s">
        <v>453</v>
      </c>
      <c r="I1019" s="8">
        <f>C31</f>
        <v>1602.7</v>
      </c>
      <c r="J1019" s="1" t="s">
        <v>621</v>
      </c>
      <c r="K1019" s="8">
        <f t="shared" ref="K1019:K1026" si="140">(F1019*I1019)</f>
        <v>1947.28</v>
      </c>
      <c r="W1019" s="4"/>
      <c r="AE1019" s="51">
        <f t="shared" si="139"/>
        <v>0</v>
      </c>
    </row>
    <row r="1020" spans="6:33" ht="24" customHeight="1">
      <c r="F1020" s="8">
        <v>1</v>
      </c>
      <c r="G1020" s="7" t="s">
        <v>785</v>
      </c>
      <c r="H1020" s="1" t="s">
        <v>1157</v>
      </c>
      <c r="I1020" s="8">
        <f>C598</f>
        <v>57.65</v>
      </c>
      <c r="J1020" s="1" t="s">
        <v>884</v>
      </c>
      <c r="K1020" s="8">
        <f t="shared" si="140"/>
        <v>57.65</v>
      </c>
      <c r="W1020" s="4"/>
      <c r="AE1020" s="51">
        <f t="shared" si="139"/>
        <v>0</v>
      </c>
    </row>
    <row r="1021" spans="6:33" ht="24" customHeight="1">
      <c r="F1021" s="8">
        <v>3</v>
      </c>
      <c r="G1021" s="7" t="s">
        <v>884</v>
      </c>
      <c r="H1021" s="1" t="str">
        <f>H991</f>
        <v xml:space="preserve">  5"BUTT HINGS (p-40)</v>
      </c>
      <c r="I1021" s="8">
        <f>C279</f>
        <v>89.6</v>
      </c>
      <c r="J1021" s="1" t="s">
        <v>884</v>
      </c>
      <c r="K1021" s="8">
        <f t="shared" si="140"/>
        <v>268.8</v>
      </c>
      <c r="W1021" s="4"/>
      <c r="AE1021" s="51">
        <f t="shared" si="139"/>
        <v>0</v>
      </c>
    </row>
    <row r="1022" spans="6:33" ht="24" customHeight="1">
      <c r="F1022" s="8">
        <v>2</v>
      </c>
      <c r="G1022" s="7" t="s">
        <v>884</v>
      </c>
      <c r="H1022" s="1" t="str">
        <f t="shared" ref="H1022:H1026" si="141">H992</f>
        <v xml:space="preserve"> 6"X1/2"TOWER BOLT (p-40)</v>
      </c>
      <c r="I1022" s="8">
        <f>C284</f>
        <v>64.8</v>
      </c>
      <c r="J1022" s="1" t="s">
        <v>884</v>
      </c>
      <c r="K1022" s="8">
        <f t="shared" si="140"/>
        <v>129.6</v>
      </c>
      <c r="W1022" s="4"/>
      <c r="AE1022" s="51">
        <f t="shared" si="139"/>
        <v>0</v>
      </c>
    </row>
    <row r="1023" spans="6:33" ht="24" customHeight="1">
      <c r="F1023" s="8">
        <v>1</v>
      </c>
      <c r="G1023" s="7" t="s">
        <v>884</v>
      </c>
      <c r="H1023" s="1" t="str">
        <f t="shared" si="141"/>
        <v>10"X5/8"ALDROP (p-41)</v>
      </c>
      <c r="I1023" s="8">
        <f>C286</f>
        <v>181</v>
      </c>
      <c r="J1023" s="1" t="s">
        <v>884</v>
      </c>
      <c r="K1023" s="8">
        <f t="shared" si="140"/>
        <v>181</v>
      </c>
      <c r="W1023" s="4"/>
      <c r="AE1023" s="51">
        <f t="shared" si="139"/>
        <v>0</v>
      </c>
    </row>
    <row r="1024" spans="6:33" ht="24" customHeight="1">
      <c r="F1024" s="8">
        <v>1</v>
      </c>
      <c r="G1024" s="7" t="s">
        <v>884</v>
      </c>
      <c r="H1024" s="1" t="str">
        <f t="shared" si="141"/>
        <v>NYLONBUSH</v>
      </c>
      <c r="I1024" s="8">
        <f>C288</f>
        <v>7.3</v>
      </c>
      <c r="J1024" s="1" t="s">
        <v>884</v>
      </c>
      <c r="K1024" s="8">
        <f t="shared" si="140"/>
        <v>7.3</v>
      </c>
      <c r="W1024" s="4"/>
      <c r="AE1024" s="51">
        <f t="shared" si="139"/>
        <v>0</v>
      </c>
    </row>
    <row r="1025" spans="6:31" ht="24" customHeight="1">
      <c r="F1025" s="8">
        <v>1</v>
      </c>
      <c r="G1025" s="7" t="s">
        <v>884</v>
      </c>
      <c r="H1025" s="1" t="str">
        <f t="shared" si="141"/>
        <v>DOOR STOPPER (p-41)</v>
      </c>
      <c r="I1025" s="8">
        <f>D598</f>
        <v>49.55</v>
      </c>
      <c r="J1025" s="1" t="s">
        <v>884</v>
      </c>
      <c r="K1025" s="8">
        <f t="shared" si="140"/>
        <v>49.55</v>
      </c>
      <c r="W1025" s="4"/>
      <c r="AE1025" s="51">
        <f t="shared" si="139"/>
        <v>0</v>
      </c>
    </row>
    <row r="1026" spans="6:31" ht="24" customHeight="1">
      <c r="F1026" s="8">
        <v>10</v>
      </c>
      <c r="G1026" s="7" t="s">
        <v>1051</v>
      </c>
      <c r="H1026" s="1" t="str">
        <f t="shared" si="141"/>
        <v>Brass screw p-55 it-232</v>
      </c>
      <c r="I1026" s="8">
        <f>I996</f>
        <v>2.41</v>
      </c>
      <c r="J1026" s="1" t="s">
        <v>884</v>
      </c>
      <c r="K1026" s="8">
        <f t="shared" si="140"/>
        <v>24.1</v>
      </c>
      <c r="M1026" s="2" t="s">
        <v>468</v>
      </c>
      <c r="N1026" s="7" t="s">
        <v>2290</v>
      </c>
      <c r="O1026" s="1" t="s">
        <v>2216</v>
      </c>
      <c r="Q1026" s="10"/>
      <c r="W1026" s="4"/>
      <c r="AE1026" s="51">
        <f t="shared" si="139"/>
        <v>0</v>
      </c>
    </row>
    <row r="1027" spans="6:31" ht="24" customHeight="1">
      <c r="K1027" s="5" t="s">
        <v>1615</v>
      </c>
      <c r="N1027" s="3"/>
      <c r="O1027" s="1" t="s">
        <v>2218</v>
      </c>
      <c r="Q1027" s="10"/>
      <c r="W1027" s="4"/>
      <c r="AE1027" s="51">
        <f t="shared" si="139"/>
        <v>0</v>
      </c>
    </row>
    <row r="1028" spans="6:31" ht="24" customHeight="1">
      <c r="H1028" s="1" t="s">
        <v>467</v>
      </c>
      <c r="K1028" s="8">
        <f>SUM(K1015:K1026)</f>
        <v>6241.38</v>
      </c>
      <c r="N1028" s="3"/>
      <c r="O1028" s="1" t="s">
        <v>2219</v>
      </c>
      <c r="Q1028" s="10"/>
      <c r="W1028" s="4"/>
      <c r="AE1028" s="51">
        <f t="shared" si="139"/>
        <v>0</v>
      </c>
    </row>
    <row r="1029" spans="6:31" ht="24" customHeight="1">
      <c r="K1029" s="5" t="s">
        <v>1615</v>
      </c>
      <c r="N1029" s="3"/>
      <c r="O1029" s="1" t="s">
        <v>2220</v>
      </c>
      <c r="Q1029" s="10"/>
      <c r="W1029" s="4"/>
      <c r="AE1029" s="51">
        <f t="shared" si="139"/>
        <v>0</v>
      </c>
    </row>
    <row r="1030" spans="6:31" ht="24" customHeight="1">
      <c r="H1030" s="58" t="s">
        <v>562</v>
      </c>
      <c r="K1030" s="38">
        <f>K1028/F1019</f>
        <v>5136.9399999999996</v>
      </c>
      <c r="N1030" s="3"/>
      <c r="O1030" s="1" t="s">
        <v>2221</v>
      </c>
      <c r="Q1030" s="10"/>
      <c r="W1030" s="4"/>
      <c r="AE1030" s="51">
        <f t="shared" si="139"/>
        <v>0</v>
      </c>
    </row>
    <row r="1031" spans="6:31" ht="24" customHeight="1">
      <c r="K1031" s="5" t="s">
        <v>2091</v>
      </c>
      <c r="N1031" s="3"/>
      <c r="O1031" s="1" t="s">
        <v>2222</v>
      </c>
      <c r="Q1031" s="10"/>
      <c r="W1031" s="4"/>
      <c r="AE1031" s="51">
        <f t="shared" si="139"/>
        <v>0</v>
      </c>
    </row>
    <row r="1032" spans="6:31" ht="24" customHeight="1">
      <c r="H1032" s="432" t="s">
        <v>3585</v>
      </c>
      <c r="I1032" s="433"/>
      <c r="J1032" s="434"/>
      <c r="K1032" s="432">
        <f>K912</f>
        <v>2135</v>
      </c>
      <c r="N1032" s="3"/>
      <c r="O1032" s="5" t="s">
        <v>1615</v>
      </c>
      <c r="Q1032" s="10"/>
      <c r="W1032" s="4"/>
      <c r="AE1032" s="51">
        <f t="shared" si="139"/>
        <v>0</v>
      </c>
    </row>
    <row r="1033" spans="6:31" ht="24" customHeight="1">
      <c r="F1033" s="2" t="s">
        <v>468</v>
      </c>
      <c r="G1033" s="7" t="s">
        <v>2290</v>
      </c>
      <c r="H1033" s="1" t="s">
        <v>2216</v>
      </c>
      <c r="N1033" s="3"/>
      <c r="O1033" s="1" t="s">
        <v>656</v>
      </c>
      <c r="Q1033" s="10"/>
      <c r="W1033" s="4"/>
      <c r="AE1033" s="51">
        <f t="shared" si="139"/>
        <v>0</v>
      </c>
    </row>
    <row r="1034" spans="6:31" ht="24" customHeight="1">
      <c r="H1034" s="1" t="s">
        <v>2218</v>
      </c>
      <c r="N1034" s="3"/>
      <c r="O1034" s="1" t="s">
        <v>2223</v>
      </c>
      <c r="Q1034" s="10"/>
      <c r="W1034" s="4"/>
      <c r="AE1034" s="51">
        <f t="shared" si="139"/>
        <v>0</v>
      </c>
    </row>
    <row r="1035" spans="6:31" ht="24" customHeight="1">
      <c r="H1035" s="1" t="s">
        <v>2219</v>
      </c>
      <c r="N1035" s="3"/>
      <c r="Q1035" s="1" t="s">
        <v>1615</v>
      </c>
      <c r="W1035" s="4"/>
      <c r="AE1035" s="51"/>
    </row>
    <row r="1036" spans="6:31" ht="24" customHeight="1">
      <c r="H1036" s="1" t="s">
        <v>2220</v>
      </c>
      <c r="N1036" s="3"/>
      <c r="O1036" s="1" t="s">
        <v>2224</v>
      </c>
      <c r="Q1036" s="10"/>
      <c r="W1036" s="4"/>
      <c r="AE1036" s="51">
        <f t="shared" ref="AE1036:AE1041" si="142">AG1036</f>
        <v>0</v>
      </c>
    </row>
    <row r="1037" spans="6:31" ht="24" customHeight="1">
      <c r="H1037" s="1" t="s">
        <v>2221</v>
      </c>
      <c r="N1037" s="3"/>
      <c r="O1037" s="1" t="s">
        <v>992</v>
      </c>
      <c r="P1037" s="1" t="s">
        <v>992</v>
      </c>
      <c r="Q1037" s="10"/>
      <c r="R1037" s="17" t="s">
        <v>992</v>
      </c>
      <c r="W1037" s="4"/>
      <c r="AE1037" s="51">
        <f t="shared" si="142"/>
        <v>0</v>
      </c>
    </row>
    <row r="1038" spans="6:31" ht="24" customHeight="1">
      <c r="H1038" s="1" t="s">
        <v>2222</v>
      </c>
      <c r="N1038" s="3"/>
      <c r="Q1038" s="1" t="s">
        <v>992</v>
      </c>
      <c r="R1038" s="1" t="s">
        <v>992</v>
      </c>
      <c r="W1038" s="4"/>
      <c r="AE1038" s="51">
        <f t="shared" si="142"/>
        <v>0</v>
      </c>
    </row>
    <row r="1039" spans="6:31" ht="24" customHeight="1">
      <c r="H1039" s="5" t="s">
        <v>1615</v>
      </c>
      <c r="N1039" s="3"/>
      <c r="O1039" s="1" t="s">
        <v>2148</v>
      </c>
      <c r="Q1039" s="17" t="s">
        <v>992</v>
      </c>
      <c r="R1039" s="17" t="s">
        <v>992</v>
      </c>
      <c r="W1039" s="4"/>
      <c r="AE1039" s="51">
        <f t="shared" si="142"/>
        <v>0</v>
      </c>
    </row>
    <row r="1040" spans="6:31" ht="24" customHeight="1">
      <c r="H1040" s="1" t="s">
        <v>656</v>
      </c>
      <c r="N1040" s="3"/>
      <c r="O1040" s="1" t="s">
        <v>113</v>
      </c>
      <c r="Q1040" s="10"/>
      <c r="R1040" s="17" t="s">
        <v>1774</v>
      </c>
      <c r="W1040" s="4"/>
      <c r="AE1040" s="51">
        <f t="shared" si="142"/>
        <v>0</v>
      </c>
    </row>
    <row r="1041" spans="6:33" ht="24" customHeight="1">
      <c r="H1041" s="1" t="s">
        <v>2223</v>
      </c>
      <c r="N1041" s="3"/>
      <c r="Q1041" s="10"/>
      <c r="R1041" s="1" t="s">
        <v>992</v>
      </c>
      <c r="W1041" s="4"/>
      <c r="AE1041" s="51">
        <f t="shared" si="142"/>
        <v>0</v>
      </c>
    </row>
    <row r="1042" spans="6:33" ht="24" customHeight="1">
      <c r="J1042" s="1" t="s">
        <v>1615</v>
      </c>
      <c r="N1042" s="3"/>
      <c r="Q1042" s="10"/>
      <c r="R1042" s="17" t="s">
        <v>992</v>
      </c>
      <c r="W1042" s="4"/>
      <c r="AB1042" s="2" t="s">
        <v>468</v>
      </c>
      <c r="AC1042" s="7" t="s">
        <v>2290</v>
      </c>
      <c r="AD1042" s="1" t="s">
        <v>1763</v>
      </c>
      <c r="AF1042" s="10"/>
    </row>
    <row r="1043" spans="6:33" ht="24" customHeight="1">
      <c r="H1043" s="1" t="s">
        <v>2224</v>
      </c>
      <c r="N1043" s="3"/>
      <c r="Q1043" s="10"/>
      <c r="R1043" s="1" t="s">
        <v>992</v>
      </c>
      <c r="W1043" s="4"/>
      <c r="AC1043" s="3"/>
      <c r="AD1043" s="1" t="s">
        <v>2218</v>
      </c>
      <c r="AF1043" s="10"/>
    </row>
    <row r="1044" spans="6:33" ht="24" customHeight="1">
      <c r="H1044" s="1" t="s">
        <v>992</v>
      </c>
      <c r="I1044" s="1" t="s">
        <v>992</v>
      </c>
      <c r="K1044" s="17" t="s">
        <v>992</v>
      </c>
      <c r="M1044" s="2" t="s">
        <v>1499</v>
      </c>
      <c r="N1044" s="7"/>
      <c r="O1044" s="1" t="s">
        <v>733</v>
      </c>
      <c r="Q1044" s="10"/>
      <c r="R1044" s="1" t="s">
        <v>992</v>
      </c>
      <c r="W1044" s="4"/>
      <c r="AC1044" s="3"/>
      <c r="AD1044" s="1" t="s">
        <v>2219</v>
      </c>
      <c r="AF1044" s="10"/>
    </row>
    <row r="1045" spans="6:33" ht="24" customHeight="1">
      <c r="J1045" s="1" t="s">
        <v>992</v>
      </c>
      <c r="K1045" s="1" t="s">
        <v>992</v>
      </c>
      <c r="N1045" s="3"/>
      <c r="O1045" s="5" t="s">
        <v>1615</v>
      </c>
      <c r="Q1045" s="10"/>
      <c r="W1045" s="4"/>
      <c r="AC1045" s="3"/>
      <c r="AD1045" s="1" t="s">
        <v>2220</v>
      </c>
      <c r="AF1045" s="10"/>
    </row>
    <row r="1046" spans="6:33" s="232" customFormat="1" ht="24" customHeight="1">
      <c r="F1046"/>
      <c r="G1046" s="3"/>
      <c r="H1046" s="1" t="s">
        <v>2148</v>
      </c>
      <c r="I1046"/>
      <c r="J1046" s="17" t="s">
        <v>992</v>
      </c>
      <c r="K1046" s="17" t="s">
        <v>992</v>
      </c>
      <c r="M1046" s="228">
        <v>1.153E-2</v>
      </c>
      <c r="N1046" s="229" t="s">
        <v>885</v>
      </c>
      <c r="O1046" s="230" t="s">
        <v>1795</v>
      </c>
      <c r="P1046" s="231">
        <f>C86</f>
        <v>34300</v>
      </c>
      <c r="Q1046" s="230" t="s">
        <v>885</v>
      </c>
      <c r="R1046" s="231">
        <f t="shared" ref="R1046:R1055" si="143">(M1046*P1046)</f>
        <v>395.48</v>
      </c>
      <c r="S1046" s="412"/>
      <c r="W1046" s="1013"/>
      <c r="AB1046"/>
      <c r="AC1046" s="3"/>
      <c r="AD1046" s="1" t="s">
        <v>2221</v>
      </c>
      <c r="AE1046"/>
      <c r="AF1046" s="10"/>
      <c r="AG1046"/>
    </row>
    <row r="1047" spans="6:33" ht="24" customHeight="1">
      <c r="H1047" s="1" t="s">
        <v>113</v>
      </c>
      <c r="K1047" s="17" t="s">
        <v>1774</v>
      </c>
      <c r="M1047" s="18">
        <v>1.35E-2</v>
      </c>
      <c r="N1047" s="7" t="s">
        <v>885</v>
      </c>
      <c r="O1047" s="1" t="s">
        <v>1795</v>
      </c>
      <c r="P1047" s="8">
        <f>P1046</f>
        <v>34300</v>
      </c>
      <c r="Q1047" s="1" t="s">
        <v>885</v>
      </c>
      <c r="R1047" s="8">
        <f t="shared" si="143"/>
        <v>463.05</v>
      </c>
      <c r="S1047" s="12"/>
      <c r="W1047" s="4"/>
      <c r="AC1047" s="3"/>
      <c r="AD1047" s="1" t="s">
        <v>1764</v>
      </c>
      <c r="AF1047" s="10"/>
    </row>
    <row r="1048" spans="6:33" ht="24" customHeight="1">
      <c r="K1048" s="1" t="s">
        <v>992</v>
      </c>
      <c r="M1048" s="18">
        <v>1.016</v>
      </c>
      <c r="N1048" s="7" t="s">
        <v>621</v>
      </c>
      <c r="O1048" s="1" t="s">
        <v>2128</v>
      </c>
      <c r="P1048" s="8">
        <f>I1055</f>
        <v>387.4</v>
      </c>
      <c r="Q1048" s="1" t="s">
        <v>621</v>
      </c>
      <c r="R1048" s="8">
        <f t="shared" si="143"/>
        <v>393.6</v>
      </c>
      <c r="S1048" s="12"/>
      <c r="W1048" s="4"/>
      <c r="AC1048" s="3"/>
      <c r="AD1048" s="5" t="s">
        <v>1615</v>
      </c>
      <c r="AF1048" s="10"/>
    </row>
    <row r="1049" spans="6:33" ht="24" customHeight="1">
      <c r="K1049" s="17" t="s">
        <v>992</v>
      </c>
      <c r="M1049" s="18">
        <v>1.64</v>
      </c>
      <c r="N1049" s="7" t="s">
        <v>621</v>
      </c>
      <c r="O1049" s="1" t="s">
        <v>2129</v>
      </c>
      <c r="P1049" s="8">
        <f t="shared" ref="P1049:P1054" si="144">I1056</f>
        <v>1336.5</v>
      </c>
      <c r="Q1049" s="1" t="s">
        <v>621</v>
      </c>
      <c r="R1049" s="8">
        <f t="shared" si="143"/>
        <v>2191.86</v>
      </c>
      <c r="S1049" s="12"/>
      <c r="W1049" s="4"/>
      <c r="AC1049" s="3"/>
      <c r="AD1049" s="1" t="s">
        <v>1765</v>
      </c>
      <c r="AF1049" s="10"/>
    </row>
    <row r="1050" spans="6:33" ht="24" customHeight="1">
      <c r="K1050" s="1" t="s">
        <v>992</v>
      </c>
      <c r="M1050" s="8">
        <v>2</v>
      </c>
      <c r="N1050" s="7" t="s">
        <v>884</v>
      </c>
      <c r="O1050" s="1" t="s">
        <v>2130</v>
      </c>
      <c r="P1050" s="8">
        <f t="shared" si="144"/>
        <v>64.8</v>
      </c>
      <c r="Q1050" s="1" t="s">
        <v>884</v>
      </c>
      <c r="R1050" s="8">
        <f t="shared" si="143"/>
        <v>129.6</v>
      </c>
      <c r="S1050" s="12"/>
      <c r="W1050" s="4"/>
      <c r="AC1050" s="3"/>
      <c r="AD1050" s="1" t="s">
        <v>1766</v>
      </c>
      <c r="AF1050" s="10"/>
    </row>
    <row r="1051" spans="6:33" ht="24" customHeight="1">
      <c r="F1051" s="2" t="s">
        <v>1499</v>
      </c>
      <c r="G1051" s="7"/>
      <c r="H1051" s="1" t="s">
        <v>733</v>
      </c>
      <c r="K1051" s="1" t="s">
        <v>992</v>
      </c>
      <c r="M1051" s="8">
        <v>3</v>
      </c>
      <c r="N1051" s="7" t="s">
        <v>884</v>
      </c>
      <c r="O1051" s="1" t="s">
        <v>1543</v>
      </c>
      <c r="P1051" s="8">
        <f t="shared" si="144"/>
        <v>89.6</v>
      </c>
      <c r="Q1051" s="1" t="s">
        <v>884</v>
      </c>
      <c r="R1051" s="8">
        <f t="shared" si="143"/>
        <v>268.8</v>
      </c>
      <c r="S1051" s="12"/>
      <c r="W1051" s="4"/>
      <c r="AC1051" s="3"/>
      <c r="AF1051" s="1" t="s">
        <v>1615</v>
      </c>
    </row>
    <row r="1052" spans="6:33" ht="24" customHeight="1">
      <c r="H1052" s="5" t="s">
        <v>1615</v>
      </c>
      <c r="M1052" s="8">
        <v>1</v>
      </c>
      <c r="N1052" s="7" t="s">
        <v>884</v>
      </c>
      <c r="O1052" s="1" t="s">
        <v>2015</v>
      </c>
      <c r="P1052" s="8">
        <f t="shared" si="144"/>
        <v>181</v>
      </c>
      <c r="Q1052" s="1" t="s">
        <v>884</v>
      </c>
      <c r="R1052" s="8">
        <f t="shared" si="143"/>
        <v>181</v>
      </c>
      <c r="S1052" s="12"/>
      <c r="W1052" s="4"/>
      <c r="AC1052" s="3"/>
      <c r="AD1052" s="1" t="s">
        <v>1767</v>
      </c>
      <c r="AF1052" s="10"/>
    </row>
    <row r="1053" spans="6:33" ht="24" customHeight="1">
      <c r="F1053" s="228">
        <v>1.153E-2</v>
      </c>
      <c r="G1053" s="229" t="s">
        <v>885</v>
      </c>
      <c r="H1053" s="230" t="s">
        <v>705</v>
      </c>
      <c r="I1053" s="231">
        <f>C88</f>
        <v>111600</v>
      </c>
      <c r="J1053" s="230" t="s">
        <v>885</v>
      </c>
      <c r="K1053" s="231">
        <f t="shared" ref="K1053:K1063" si="145">(F1053*I1053)</f>
        <v>1286.75</v>
      </c>
      <c r="M1053" s="8">
        <v>1</v>
      </c>
      <c r="N1053" s="7" t="s">
        <v>884</v>
      </c>
      <c r="O1053" s="1" t="s">
        <v>2016</v>
      </c>
      <c r="P1053" s="8">
        <f t="shared" si="144"/>
        <v>7.3</v>
      </c>
      <c r="Q1053" s="1" t="s">
        <v>884</v>
      </c>
      <c r="R1053" s="8">
        <f t="shared" si="143"/>
        <v>7.3</v>
      </c>
      <c r="S1053" s="12"/>
      <c r="W1053" s="4"/>
      <c r="AC1053" s="3"/>
      <c r="AD1053" s="1" t="s">
        <v>992</v>
      </c>
      <c r="AE1053" s="1" t="s">
        <v>992</v>
      </c>
      <c r="AF1053" s="10"/>
      <c r="AG1053" s="17" t="s">
        <v>992</v>
      </c>
    </row>
    <row r="1054" spans="6:33" ht="24" customHeight="1">
      <c r="F1054" s="18">
        <v>1.35E-2</v>
      </c>
      <c r="G1054" s="7" t="s">
        <v>885</v>
      </c>
      <c r="H1054" s="1" t="s">
        <v>706</v>
      </c>
      <c r="I1054" s="8">
        <f>C89</f>
        <v>99400</v>
      </c>
      <c r="J1054" s="1" t="s">
        <v>885</v>
      </c>
      <c r="K1054" s="8">
        <f t="shared" si="145"/>
        <v>1341.9</v>
      </c>
      <c r="M1054" s="8">
        <v>1</v>
      </c>
      <c r="N1054" s="7" t="s">
        <v>884</v>
      </c>
      <c r="O1054" s="1" t="s">
        <v>2017</v>
      </c>
      <c r="P1054" s="8">
        <f t="shared" si="144"/>
        <v>57.65</v>
      </c>
      <c r="Q1054" s="1" t="s">
        <v>884</v>
      </c>
      <c r="R1054" s="8">
        <f t="shared" si="143"/>
        <v>57.65</v>
      </c>
      <c r="S1054" s="12"/>
      <c r="W1054" s="4"/>
      <c r="AC1054" s="3"/>
      <c r="AF1054" s="1" t="s">
        <v>992</v>
      </c>
      <c r="AG1054" s="1" t="s">
        <v>992</v>
      </c>
    </row>
    <row r="1055" spans="6:33" ht="24" customHeight="1">
      <c r="F1055" s="18">
        <v>1.016</v>
      </c>
      <c r="G1055" s="7" t="s">
        <v>621</v>
      </c>
      <c r="H1055" s="1" t="s">
        <v>2128</v>
      </c>
      <c r="I1055" s="8">
        <f>C783</f>
        <v>387.4</v>
      </c>
      <c r="J1055" s="1" t="s">
        <v>621</v>
      </c>
      <c r="K1055" s="8">
        <f t="shared" si="145"/>
        <v>393.6</v>
      </c>
      <c r="M1055" s="8">
        <v>1</v>
      </c>
      <c r="N1055" s="7" t="s">
        <v>884</v>
      </c>
      <c r="O1055" s="1" t="s">
        <v>2018</v>
      </c>
      <c r="P1055" s="8">
        <f>P953</f>
        <v>49.55</v>
      </c>
      <c r="Q1055" s="1" t="s">
        <v>884</v>
      </c>
      <c r="R1055" s="8">
        <f t="shared" si="143"/>
        <v>49.55</v>
      </c>
      <c r="S1055" s="12"/>
      <c r="W1055" s="4"/>
      <c r="AC1055" s="3"/>
      <c r="AD1055" s="1" t="s">
        <v>1768</v>
      </c>
      <c r="AF1055" s="17" t="s">
        <v>992</v>
      </c>
      <c r="AG1055" s="17" t="s">
        <v>992</v>
      </c>
    </row>
    <row r="1056" spans="6:33" ht="24" customHeight="1">
      <c r="F1056" s="18">
        <v>1.64</v>
      </c>
      <c r="G1056" s="7" t="s">
        <v>621</v>
      </c>
      <c r="H1056" s="1" t="s">
        <v>2129</v>
      </c>
      <c r="I1056" s="8">
        <f>D30</f>
        <v>1336.5</v>
      </c>
      <c r="J1056" s="1" t="s">
        <v>621</v>
      </c>
      <c r="K1056" s="8">
        <f t="shared" si="145"/>
        <v>2191.86</v>
      </c>
      <c r="N1056" s="3"/>
      <c r="Q1056" s="10"/>
      <c r="R1056" s="5" t="s">
        <v>1615</v>
      </c>
      <c r="S1056" s="413"/>
      <c r="W1056" s="4"/>
      <c r="AC1056" s="3"/>
      <c r="AD1056" s="1" t="s">
        <v>1769</v>
      </c>
      <c r="AF1056" s="10"/>
      <c r="AG1056" s="17" t="s">
        <v>1770</v>
      </c>
    </row>
    <row r="1057" spans="6:33" ht="24" customHeight="1">
      <c r="F1057" s="8">
        <v>2</v>
      </c>
      <c r="G1057" s="7" t="s">
        <v>884</v>
      </c>
      <c r="H1057" s="1" t="str">
        <f>H1022</f>
        <v xml:space="preserve"> 6"X1/2"TOWER BOLT (p-40)</v>
      </c>
      <c r="I1057" s="8">
        <f>C284</f>
        <v>64.8</v>
      </c>
      <c r="J1057" s="1" t="s">
        <v>884</v>
      </c>
      <c r="K1057" s="8">
        <f t="shared" si="145"/>
        <v>129.6</v>
      </c>
      <c r="N1057" s="3"/>
      <c r="O1057" s="2" t="s">
        <v>1544</v>
      </c>
      <c r="Q1057" s="10"/>
      <c r="R1057" s="8">
        <f>SUM(R1046:R1055)</f>
        <v>4137.8900000000003</v>
      </c>
      <c r="S1057" s="12"/>
      <c r="W1057" s="4"/>
      <c r="AC1057" s="3"/>
      <c r="AF1057" s="10"/>
      <c r="AG1057" s="1" t="s">
        <v>992</v>
      </c>
    </row>
    <row r="1058" spans="6:33" ht="24" customHeight="1">
      <c r="F1058" s="8">
        <v>3</v>
      </c>
      <c r="G1058" s="7" t="s">
        <v>884</v>
      </c>
      <c r="H1058" s="1" t="s">
        <v>1543</v>
      </c>
      <c r="I1058" s="8">
        <f>C279</f>
        <v>89.6</v>
      </c>
      <c r="J1058" s="1" t="s">
        <v>884</v>
      </c>
      <c r="K1058" s="8">
        <f t="shared" si="145"/>
        <v>268.8</v>
      </c>
      <c r="N1058" s="7" t="s">
        <v>992</v>
      </c>
      <c r="Q1058" s="10"/>
      <c r="R1058" s="5" t="s">
        <v>1615</v>
      </c>
      <c r="S1058" s="413"/>
      <c r="W1058" s="4"/>
      <c r="AC1058" s="3"/>
      <c r="AF1058" s="10"/>
      <c r="AG1058" s="17" t="s">
        <v>992</v>
      </c>
    </row>
    <row r="1059" spans="6:33" ht="24" customHeight="1">
      <c r="F1059" s="8">
        <v>1</v>
      </c>
      <c r="G1059" s="7" t="s">
        <v>884</v>
      </c>
      <c r="H1059" s="1" t="s">
        <v>2015</v>
      </c>
      <c r="I1059" s="8">
        <f>C286</f>
        <v>181</v>
      </c>
      <c r="J1059" s="1" t="s">
        <v>884</v>
      </c>
      <c r="K1059" s="8">
        <f t="shared" si="145"/>
        <v>181</v>
      </c>
      <c r="N1059" s="3"/>
      <c r="O1059" s="58" t="s">
        <v>562</v>
      </c>
      <c r="Q1059" s="10"/>
      <c r="R1059" s="38">
        <f>R1057/M1049</f>
        <v>2523.1</v>
      </c>
      <c r="S1059" s="12"/>
      <c r="W1059" s="4"/>
      <c r="AC1059" s="3"/>
      <c r="AF1059" s="10"/>
      <c r="AG1059" s="1" t="s">
        <v>992</v>
      </c>
    </row>
    <row r="1060" spans="6:33" ht="24" customHeight="1">
      <c r="F1060" s="8">
        <v>1</v>
      </c>
      <c r="G1060" s="7" t="s">
        <v>884</v>
      </c>
      <c r="H1060" s="1" t="s">
        <v>2016</v>
      </c>
      <c r="I1060" s="8">
        <f>C288</f>
        <v>7.3</v>
      </c>
      <c r="J1060" s="1" t="s">
        <v>884</v>
      </c>
      <c r="K1060" s="8">
        <f t="shared" si="145"/>
        <v>7.3</v>
      </c>
      <c r="N1060" s="3"/>
      <c r="Q1060" s="10"/>
      <c r="R1060" s="5" t="s">
        <v>2091</v>
      </c>
      <c r="S1060" s="413" t="s">
        <v>2091</v>
      </c>
      <c r="W1060" s="4"/>
      <c r="AB1060" s="2" t="s">
        <v>1499</v>
      </c>
      <c r="AC1060" s="7"/>
      <c r="AD1060" s="1" t="s">
        <v>1772</v>
      </c>
      <c r="AF1060" s="10"/>
      <c r="AG1060" s="1" t="s">
        <v>992</v>
      </c>
    </row>
    <row r="1061" spans="6:33" ht="24" customHeight="1">
      <c r="F1061" s="8">
        <v>1</v>
      </c>
      <c r="G1061" s="7" t="s">
        <v>884</v>
      </c>
      <c r="H1061" s="1" t="s">
        <v>1158</v>
      </c>
      <c r="I1061" s="8">
        <f>C598</f>
        <v>57.65</v>
      </c>
      <c r="J1061" s="1" t="s">
        <v>884</v>
      </c>
      <c r="K1061" s="8">
        <f t="shared" si="145"/>
        <v>57.65</v>
      </c>
      <c r="M1061" s="2"/>
      <c r="N1061" s="7"/>
      <c r="O1061" s="1"/>
      <c r="Q1061" s="10"/>
      <c r="R1061" s="1" t="s">
        <v>992</v>
      </c>
      <c r="W1061" s="4"/>
      <c r="AC1061" s="3"/>
      <c r="AD1061" s="5" t="s">
        <v>1615</v>
      </c>
      <c r="AF1061" s="10"/>
    </row>
    <row r="1062" spans="6:33" ht="24" customHeight="1">
      <c r="F1062" s="8">
        <v>1</v>
      </c>
      <c r="G1062" s="7" t="s">
        <v>884</v>
      </c>
      <c r="H1062" s="1" t="s">
        <v>2018</v>
      </c>
      <c r="I1062" s="8">
        <f>D598</f>
        <v>49.55</v>
      </c>
      <c r="J1062" s="1" t="s">
        <v>884</v>
      </c>
      <c r="K1062" s="8">
        <f t="shared" si="145"/>
        <v>49.55</v>
      </c>
      <c r="M1062" s="2" t="s">
        <v>1499</v>
      </c>
      <c r="N1062" s="7"/>
      <c r="O1062" s="1" t="s">
        <v>1848</v>
      </c>
      <c r="Q1062" s="10"/>
      <c r="R1062" s="1" t="s">
        <v>992</v>
      </c>
      <c r="W1062" s="4"/>
      <c r="AB1062" s="228">
        <v>2.3060000000000001E-2</v>
      </c>
      <c r="AC1062" s="229" t="s">
        <v>885</v>
      </c>
      <c r="AD1062" s="230" t="s">
        <v>705</v>
      </c>
      <c r="AE1062" s="231">
        <f>I1053</f>
        <v>111600</v>
      </c>
      <c r="AF1062" s="230" t="s">
        <v>885</v>
      </c>
      <c r="AG1062" s="231">
        <f t="shared" ref="AG1062:AG1072" si="146">(AB1062*AE1062)</f>
        <v>2573.5</v>
      </c>
    </row>
    <row r="1063" spans="6:33" ht="24" customHeight="1">
      <c r="F1063" s="8">
        <v>58</v>
      </c>
      <c r="G1063" s="7" t="s">
        <v>1051</v>
      </c>
      <c r="H1063" s="1" t="s">
        <v>1163</v>
      </c>
      <c r="I1063">
        <f>I1026</f>
        <v>2.41</v>
      </c>
      <c r="J1063" s="1" t="s">
        <v>884</v>
      </c>
      <c r="K1063" s="8">
        <f t="shared" si="145"/>
        <v>139.78</v>
      </c>
      <c r="N1063" s="3"/>
      <c r="O1063" s="5" t="s">
        <v>1615</v>
      </c>
      <c r="Q1063" s="10"/>
      <c r="W1063" s="4"/>
      <c r="AB1063" s="18">
        <v>1.856E-2</v>
      </c>
      <c r="AC1063" s="7" t="s">
        <v>885</v>
      </c>
      <c r="AD1063" s="1" t="s">
        <v>706</v>
      </c>
      <c r="AE1063" s="231">
        <f t="shared" ref="AE1063:AE1071" si="147">I1054</f>
        <v>99400</v>
      </c>
      <c r="AF1063" s="1" t="s">
        <v>885</v>
      </c>
      <c r="AG1063" s="8">
        <f t="shared" si="146"/>
        <v>1844.86</v>
      </c>
    </row>
    <row r="1064" spans="6:33" ht="24" customHeight="1">
      <c r="H1064" s="2" t="s">
        <v>1544</v>
      </c>
      <c r="K1064" s="8">
        <f>SUM(K1053:K1063)</f>
        <v>6047.79</v>
      </c>
      <c r="M1064" s="228">
        <v>1.153E-2</v>
      </c>
      <c r="N1064" s="229" t="s">
        <v>885</v>
      </c>
      <c r="O1064" s="230" t="s">
        <v>705</v>
      </c>
      <c r="P1064" s="231">
        <f>I1053</f>
        <v>111600</v>
      </c>
      <c r="Q1064" s="230" t="s">
        <v>885</v>
      </c>
      <c r="R1064" s="231">
        <f t="shared" ref="R1064:R1074" si="148">(M1064*P1064)</f>
        <v>1286.75</v>
      </c>
      <c r="W1064" s="4"/>
      <c r="AB1064" s="18">
        <v>1.4</v>
      </c>
      <c r="AC1064" s="7" t="s">
        <v>621</v>
      </c>
      <c r="AD1064" s="1" t="s">
        <v>2128</v>
      </c>
      <c r="AE1064" s="231">
        <f t="shared" si="147"/>
        <v>387.4</v>
      </c>
      <c r="AF1064" s="1" t="s">
        <v>621</v>
      </c>
      <c r="AG1064" s="8">
        <f t="shared" si="146"/>
        <v>542.36</v>
      </c>
    </row>
    <row r="1065" spans="6:33" ht="24" customHeight="1">
      <c r="G1065" s="7" t="s">
        <v>992</v>
      </c>
      <c r="K1065" s="5" t="s">
        <v>1615</v>
      </c>
      <c r="M1065" s="18">
        <v>1.52E-2</v>
      </c>
      <c r="N1065" s="7" t="s">
        <v>885</v>
      </c>
      <c r="O1065" s="1" t="s">
        <v>706</v>
      </c>
      <c r="P1065" s="231">
        <f t="shared" ref="P1065:P1073" si="149">I1054</f>
        <v>99400</v>
      </c>
      <c r="Q1065" s="1" t="s">
        <v>885</v>
      </c>
      <c r="R1065" s="8">
        <f t="shared" si="148"/>
        <v>1510.88</v>
      </c>
      <c r="W1065" s="4"/>
      <c r="AB1065" s="18">
        <v>2.2549999999999999</v>
      </c>
      <c r="AC1065" s="7" t="s">
        <v>621</v>
      </c>
      <c r="AD1065" s="1" t="s">
        <v>2129</v>
      </c>
      <c r="AE1065" s="231">
        <f t="shared" si="147"/>
        <v>1336.5</v>
      </c>
      <c r="AF1065" s="1" t="s">
        <v>621</v>
      </c>
      <c r="AG1065" s="8">
        <f t="shared" si="146"/>
        <v>3013.81</v>
      </c>
    </row>
    <row r="1066" spans="6:33" ht="24" customHeight="1">
      <c r="H1066" s="58" t="s">
        <v>562</v>
      </c>
      <c r="K1066" s="38">
        <f>K1064/F1056</f>
        <v>3687.68</v>
      </c>
      <c r="M1066" s="18">
        <v>1.26</v>
      </c>
      <c r="N1066" s="7" t="s">
        <v>621</v>
      </c>
      <c r="O1066" s="1" t="s">
        <v>2128</v>
      </c>
      <c r="P1066" s="231">
        <f t="shared" si="149"/>
        <v>387.4</v>
      </c>
      <c r="Q1066" s="1" t="s">
        <v>621</v>
      </c>
      <c r="R1066" s="8">
        <f t="shared" si="148"/>
        <v>488.12</v>
      </c>
      <c r="W1066" s="4"/>
      <c r="AB1066" s="8">
        <v>4</v>
      </c>
      <c r="AC1066" s="7" t="s">
        <v>884</v>
      </c>
      <c r="AD1066" s="1" t="s">
        <v>2130</v>
      </c>
      <c r="AE1066" s="231">
        <f t="shared" si="147"/>
        <v>64.8</v>
      </c>
      <c r="AF1066" s="1" t="s">
        <v>884</v>
      </c>
      <c r="AG1066" s="8">
        <f t="shared" si="146"/>
        <v>259.2</v>
      </c>
    </row>
    <row r="1067" spans="6:33" ht="24" customHeight="1">
      <c r="K1067" s="5" t="s">
        <v>2091</v>
      </c>
      <c r="M1067" s="18">
        <v>1.845</v>
      </c>
      <c r="N1067" s="7" t="s">
        <v>621</v>
      </c>
      <c r="O1067" s="1" t="s">
        <v>2129</v>
      </c>
      <c r="P1067" s="231">
        <f t="shared" si="149"/>
        <v>1336.5</v>
      </c>
      <c r="Q1067" s="1" t="s">
        <v>621</v>
      </c>
      <c r="R1067" s="8">
        <f t="shared" si="148"/>
        <v>2465.84</v>
      </c>
      <c r="W1067" s="4"/>
      <c r="AB1067" s="8">
        <v>6</v>
      </c>
      <c r="AC1067" s="7" t="s">
        <v>884</v>
      </c>
      <c r="AD1067" s="1" t="s">
        <v>1543</v>
      </c>
      <c r="AE1067" s="231">
        <f t="shared" si="147"/>
        <v>89.6</v>
      </c>
      <c r="AF1067" s="1" t="s">
        <v>884</v>
      </c>
      <c r="AG1067" s="8">
        <f t="shared" si="146"/>
        <v>537.6</v>
      </c>
    </row>
    <row r="1068" spans="6:33" ht="24" customHeight="1">
      <c r="F1068" s="2" t="s">
        <v>1601</v>
      </c>
      <c r="H1068" s="1" t="s">
        <v>1363</v>
      </c>
      <c r="M1068" s="8">
        <v>2</v>
      </c>
      <c r="N1068" s="7" t="s">
        <v>884</v>
      </c>
      <c r="O1068" s="1" t="s">
        <v>2130</v>
      </c>
      <c r="P1068" s="231">
        <f t="shared" si="149"/>
        <v>64.8</v>
      </c>
      <c r="Q1068" s="1" t="s">
        <v>884</v>
      </c>
      <c r="R1068" s="8">
        <f t="shared" si="148"/>
        <v>129.6</v>
      </c>
      <c r="W1068" s="4"/>
      <c r="AB1068" s="8">
        <v>1</v>
      </c>
      <c r="AC1068" s="7" t="s">
        <v>884</v>
      </c>
      <c r="AD1068" s="1" t="s">
        <v>2015</v>
      </c>
      <c r="AE1068" s="231">
        <f t="shared" si="147"/>
        <v>181</v>
      </c>
      <c r="AF1068" s="1" t="s">
        <v>884</v>
      </c>
      <c r="AG1068" s="8">
        <f t="shared" si="146"/>
        <v>181</v>
      </c>
    </row>
    <row r="1069" spans="6:33" ht="24" customHeight="1">
      <c r="H1069" s="1" t="s">
        <v>1364</v>
      </c>
      <c r="M1069" s="8">
        <v>3</v>
      </c>
      <c r="N1069" s="7" t="s">
        <v>884</v>
      </c>
      <c r="O1069" s="1" t="s">
        <v>1543</v>
      </c>
      <c r="P1069" s="231">
        <f t="shared" si="149"/>
        <v>89.6</v>
      </c>
      <c r="Q1069" s="1" t="s">
        <v>884</v>
      </c>
      <c r="R1069" s="8">
        <f t="shared" si="148"/>
        <v>268.8</v>
      </c>
      <c r="W1069" s="4"/>
      <c r="AB1069" s="8">
        <v>2</v>
      </c>
      <c r="AC1069" s="7" t="s">
        <v>884</v>
      </c>
      <c r="AD1069" s="1" t="s">
        <v>2016</v>
      </c>
      <c r="AE1069" s="231">
        <f t="shared" si="147"/>
        <v>7.3</v>
      </c>
      <c r="AF1069" s="1" t="s">
        <v>884</v>
      </c>
      <c r="AG1069" s="8">
        <f t="shared" si="146"/>
        <v>14.6</v>
      </c>
    </row>
    <row r="1070" spans="6:33" ht="24" customHeight="1">
      <c r="H1070" s="5" t="s">
        <v>1615</v>
      </c>
      <c r="M1070" s="8">
        <v>1</v>
      </c>
      <c r="N1070" s="7" t="s">
        <v>884</v>
      </c>
      <c r="O1070" s="1" t="s">
        <v>2015</v>
      </c>
      <c r="P1070" s="231">
        <f t="shared" si="149"/>
        <v>181</v>
      </c>
      <c r="Q1070" s="1" t="s">
        <v>884</v>
      </c>
      <c r="R1070" s="8">
        <f t="shared" si="148"/>
        <v>181</v>
      </c>
      <c r="W1070" s="4"/>
      <c r="AB1070" s="8">
        <v>2</v>
      </c>
      <c r="AC1070" s="7" t="s">
        <v>884</v>
      </c>
      <c r="AD1070" s="1" t="s">
        <v>1158</v>
      </c>
      <c r="AE1070" s="231">
        <f t="shared" si="147"/>
        <v>57.65</v>
      </c>
      <c r="AF1070" s="1" t="s">
        <v>884</v>
      </c>
      <c r="AG1070" s="8">
        <f t="shared" si="146"/>
        <v>115.3</v>
      </c>
    </row>
    <row r="1071" spans="6:33" ht="24" customHeight="1">
      <c r="F1071" s="18">
        <v>6.6499999999999997E-3</v>
      </c>
      <c r="G1071" s="7" t="s">
        <v>1365</v>
      </c>
      <c r="H1071" s="1" t="s">
        <v>1366</v>
      </c>
      <c r="I1071" s="8">
        <f>C89</f>
        <v>99400</v>
      </c>
      <c r="J1071" s="1" t="s">
        <v>885</v>
      </c>
      <c r="K1071" s="8">
        <f t="shared" ref="K1071:K1078" si="150">(F1071*I1071)</f>
        <v>661.01</v>
      </c>
      <c r="M1071" s="8">
        <v>1</v>
      </c>
      <c r="N1071" s="7" t="s">
        <v>884</v>
      </c>
      <c r="O1071" s="1" t="s">
        <v>2016</v>
      </c>
      <c r="P1071" s="231">
        <f t="shared" si="149"/>
        <v>7.3</v>
      </c>
      <c r="Q1071" s="1" t="s">
        <v>884</v>
      </c>
      <c r="R1071" s="8">
        <f t="shared" si="148"/>
        <v>7.3</v>
      </c>
      <c r="W1071" s="4"/>
      <c r="AB1071" s="8">
        <v>2</v>
      </c>
      <c r="AC1071" s="7" t="s">
        <v>884</v>
      </c>
      <c r="AD1071" s="1" t="s">
        <v>2018</v>
      </c>
      <c r="AE1071" s="231">
        <f t="shared" si="147"/>
        <v>49.55</v>
      </c>
      <c r="AF1071" s="1" t="s">
        <v>884</v>
      </c>
      <c r="AG1071" s="8">
        <f t="shared" si="146"/>
        <v>99.1</v>
      </c>
    </row>
    <row r="1072" spans="6:33" ht="24" customHeight="1">
      <c r="F1072" s="18">
        <v>0.32346000000000003</v>
      </c>
      <c r="G1072" s="7" t="s">
        <v>621</v>
      </c>
      <c r="H1072" s="1" t="s">
        <v>1638</v>
      </c>
      <c r="I1072" s="169">
        <v>208.8</v>
      </c>
      <c r="J1072" s="1" t="s">
        <v>885</v>
      </c>
      <c r="K1072" s="8">
        <f t="shared" si="150"/>
        <v>67.540000000000006</v>
      </c>
      <c r="M1072" s="8">
        <v>1</v>
      </c>
      <c r="N1072" s="7" t="s">
        <v>884</v>
      </c>
      <c r="O1072" s="1" t="s">
        <v>1158</v>
      </c>
      <c r="P1072" s="231">
        <f t="shared" si="149"/>
        <v>57.65</v>
      </c>
      <c r="Q1072" s="1" t="s">
        <v>884</v>
      </c>
      <c r="R1072" s="8">
        <f t="shared" si="148"/>
        <v>57.65</v>
      </c>
      <c r="W1072" s="4"/>
      <c r="AB1072" s="8">
        <v>118</v>
      </c>
      <c r="AC1072" s="7" t="s">
        <v>884</v>
      </c>
      <c r="AD1072" s="1" t="s">
        <v>1163</v>
      </c>
      <c r="AE1072" s="231">
        <f>I1063</f>
        <v>2.41</v>
      </c>
      <c r="AF1072" s="10"/>
      <c r="AG1072" s="8">
        <f t="shared" si="146"/>
        <v>284.38</v>
      </c>
    </row>
    <row r="1073" spans="6:33" ht="24" customHeight="1">
      <c r="F1073" s="18">
        <v>0.47660000000000002</v>
      </c>
      <c r="G1073" s="7" t="s">
        <v>621</v>
      </c>
      <c r="H1073" s="1" t="s">
        <v>2129</v>
      </c>
      <c r="I1073" s="8">
        <f>D31</f>
        <v>1498.2</v>
      </c>
      <c r="J1073" s="1" t="s">
        <v>621</v>
      </c>
      <c r="K1073" s="8">
        <f t="shared" si="150"/>
        <v>714.04</v>
      </c>
      <c r="M1073" s="8">
        <v>1</v>
      </c>
      <c r="N1073" s="7" t="s">
        <v>884</v>
      </c>
      <c r="O1073" s="1" t="s">
        <v>2018</v>
      </c>
      <c r="P1073" s="231">
        <f t="shared" si="149"/>
        <v>49.55</v>
      </c>
      <c r="Q1073" s="1" t="s">
        <v>884</v>
      </c>
      <c r="R1073" s="8">
        <f t="shared" si="148"/>
        <v>49.55</v>
      </c>
      <c r="W1073" s="4"/>
      <c r="AC1073" s="3"/>
      <c r="AD1073" s="2" t="s">
        <v>1771</v>
      </c>
      <c r="AF1073" s="10"/>
      <c r="AG1073" s="8">
        <f>SUM(AG1062:AG1072)</f>
        <v>9465.7099999999991</v>
      </c>
    </row>
    <row r="1074" spans="6:33" ht="24" customHeight="1">
      <c r="F1074" s="8">
        <v>3</v>
      </c>
      <c r="G1074" s="7" t="s">
        <v>884</v>
      </c>
      <c r="H1074" s="1" t="s">
        <v>1367</v>
      </c>
      <c r="I1074" s="8">
        <f>C282</f>
        <v>49.35</v>
      </c>
      <c r="J1074" s="1" t="s">
        <v>884</v>
      </c>
      <c r="K1074" s="8">
        <f t="shared" si="150"/>
        <v>148.05000000000001</v>
      </c>
      <c r="M1074" s="8">
        <v>58</v>
      </c>
      <c r="N1074" s="3"/>
      <c r="O1074" s="1" t="s">
        <v>1776</v>
      </c>
      <c r="P1074" s="231">
        <f>I1078</f>
        <v>2.41</v>
      </c>
      <c r="Q1074" s="10"/>
      <c r="R1074" s="8">
        <f t="shared" si="148"/>
        <v>139.78</v>
      </c>
      <c r="W1074" s="4"/>
      <c r="AC1074" s="7" t="s">
        <v>992</v>
      </c>
      <c r="AF1074" s="10"/>
      <c r="AG1074" s="5" t="s">
        <v>1615</v>
      </c>
    </row>
    <row r="1075" spans="6:33" ht="24" customHeight="1">
      <c r="F1075" s="8">
        <v>2</v>
      </c>
      <c r="G1075" s="7" t="s">
        <v>884</v>
      </c>
      <c r="H1075" s="1" t="s">
        <v>2144</v>
      </c>
      <c r="I1075" s="8">
        <f>C285</f>
        <v>39.700000000000003</v>
      </c>
      <c r="J1075" s="1" t="s">
        <v>884</v>
      </c>
      <c r="K1075" s="8">
        <f t="shared" si="150"/>
        <v>79.400000000000006</v>
      </c>
      <c r="N1075" s="3"/>
      <c r="O1075" s="2" t="s">
        <v>4577</v>
      </c>
      <c r="Q1075" s="10"/>
      <c r="R1075" s="8">
        <f>SUM(R1064:R1074)</f>
        <v>6585.27</v>
      </c>
      <c r="W1075" s="4"/>
      <c r="AC1075" s="3"/>
      <c r="AD1075" s="58" t="s">
        <v>562</v>
      </c>
      <c r="AF1075" s="10"/>
      <c r="AG1075" s="38">
        <f>AG1073/AB1065</f>
        <v>4197.6499999999996</v>
      </c>
    </row>
    <row r="1076" spans="6:33" ht="24" customHeight="1">
      <c r="F1076" s="8">
        <v>1</v>
      </c>
      <c r="G1076" s="7" t="s">
        <v>884</v>
      </c>
      <c r="H1076" s="1" t="s">
        <v>2145</v>
      </c>
      <c r="I1076" s="484">
        <f>I1060</f>
        <v>7.3</v>
      </c>
      <c r="J1076" s="1" t="s">
        <v>884</v>
      </c>
      <c r="K1076" s="8">
        <f t="shared" si="150"/>
        <v>7.3</v>
      </c>
      <c r="N1076" s="7" t="s">
        <v>992</v>
      </c>
      <c r="Q1076" s="10"/>
      <c r="R1076" s="5" t="s">
        <v>1615</v>
      </c>
      <c r="W1076" s="4"/>
      <c r="AC1076" s="3"/>
      <c r="AF1076" s="10"/>
      <c r="AG1076" s="5" t="s">
        <v>2091</v>
      </c>
    </row>
    <row r="1077" spans="6:33" ht="24" customHeight="1">
      <c r="F1077" s="8">
        <v>1</v>
      </c>
      <c r="G1077" s="7" t="s">
        <v>884</v>
      </c>
      <c r="H1077" s="1" t="s">
        <v>2146</v>
      </c>
      <c r="I1077" s="8">
        <f>C292</f>
        <v>8.9</v>
      </c>
      <c r="J1077" s="1" t="s">
        <v>884</v>
      </c>
      <c r="K1077" s="8">
        <f t="shared" si="150"/>
        <v>8.9</v>
      </c>
      <c r="N1077" s="3"/>
      <c r="O1077" s="58" t="s">
        <v>562</v>
      </c>
      <c r="Q1077" s="10"/>
      <c r="R1077" s="38">
        <f>R1075/M1067</f>
        <v>3569.25</v>
      </c>
      <c r="W1077" s="4"/>
      <c r="AE1077" s="51"/>
    </row>
    <row r="1078" spans="6:33" ht="24" customHeight="1">
      <c r="F1078" s="8">
        <v>24</v>
      </c>
      <c r="H1078" s="1" t="s">
        <v>1163</v>
      </c>
      <c r="I1078">
        <f>I1063</f>
        <v>2.41</v>
      </c>
      <c r="J1078" s="1" t="s">
        <v>884</v>
      </c>
      <c r="K1078" s="8">
        <f t="shared" si="150"/>
        <v>57.84</v>
      </c>
      <c r="N1078" s="3"/>
      <c r="Q1078" s="10"/>
      <c r="R1078" s="5" t="s">
        <v>2091</v>
      </c>
      <c r="W1078" s="4"/>
      <c r="AE1078" s="51"/>
    </row>
    <row r="1079" spans="6:33" ht="24" customHeight="1">
      <c r="H1079" s="2" t="s">
        <v>2147</v>
      </c>
      <c r="K1079" s="8">
        <f>SUM(K1071:K1078)</f>
        <v>1744.08</v>
      </c>
      <c r="W1079" s="4"/>
      <c r="AE1079" s="51"/>
    </row>
    <row r="1080" spans="6:33" ht="24" customHeight="1">
      <c r="K1080" s="5" t="s">
        <v>1615</v>
      </c>
      <c r="W1080" s="4"/>
      <c r="AE1080" s="51"/>
    </row>
    <row r="1081" spans="6:33" ht="24" customHeight="1">
      <c r="H1081" s="58" t="s">
        <v>562</v>
      </c>
      <c r="I1081" s="1" t="s">
        <v>992</v>
      </c>
      <c r="K1081" s="38">
        <f>K1079/F1073</f>
        <v>3659.42</v>
      </c>
      <c r="W1081" s="4"/>
      <c r="AE1081" s="51"/>
    </row>
    <row r="1082" spans="6:33" ht="24" customHeight="1">
      <c r="K1082" s="5" t="s">
        <v>2091</v>
      </c>
      <c r="W1082" s="4"/>
      <c r="AE1082" s="51"/>
    </row>
    <row r="1083" spans="6:33" ht="24" customHeight="1">
      <c r="F1083" s="2" t="s">
        <v>1645</v>
      </c>
      <c r="G1083" s="7" t="s">
        <v>2290</v>
      </c>
      <c r="H1083" s="1" t="s">
        <v>1363</v>
      </c>
      <c r="W1083" s="4"/>
      <c r="AE1083" s="51"/>
    </row>
    <row r="1084" spans="6:33" ht="24" customHeight="1">
      <c r="H1084" s="1" t="s">
        <v>722</v>
      </c>
      <c r="N1084" s="1" t="s">
        <v>258</v>
      </c>
      <c r="W1084" s="4"/>
      <c r="AE1084" s="51"/>
    </row>
    <row r="1085" spans="6:33" ht="24" customHeight="1">
      <c r="H1085" s="5" t="s">
        <v>1615</v>
      </c>
      <c r="N1085" s="1" t="s">
        <v>259</v>
      </c>
      <c r="W1085" s="4"/>
      <c r="AE1085" s="51"/>
    </row>
    <row r="1086" spans="6:33" ht="24" customHeight="1">
      <c r="F1086" s="18">
        <v>5.4000000000000003E-3</v>
      </c>
      <c r="G1086" s="7" t="s">
        <v>1365</v>
      </c>
      <c r="H1086" s="1" t="s">
        <v>1366</v>
      </c>
      <c r="I1086" s="8">
        <f>C89</f>
        <v>99400</v>
      </c>
      <c r="J1086" s="1" t="s">
        <v>885</v>
      </c>
      <c r="K1086" s="8">
        <f t="shared" ref="K1086:K1093" si="151">(F1086*I1086)</f>
        <v>536.76</v>
      </c>
      <c r="N1086" s="1" t="s">
        <v>1773</v>
      </c>
      <c r="W1086" s="4"/>
      <c r="AE1086" s="51"/>
    </row>
    <row r="1087" spans="6:33" ht="24" customHeight="1">
      <c r="F1087" s="18">
        <v>0.23871000000000001</v>
      </c>
      <c r="G1087" s="7" t="s">
        <v>621</v>
      </c>
      <c r="H1087" s="504" t="str">
        <f>H1072</f>
        <v>frosted glass 4mmthick</v>
      </c>
      <c r="I1087" s="484">
        <f>I1072</f>
        <v>208.8</v>
      </c>
      <c r="J1087" s="1" t="s">
        <v>885</v>
      </c>
      <c r="K1087" s="8">
        <f t="shared" si="151"/>
        <v>49.84</v>
      </c>
      <c r="W1087" s="4"/>
      <c r="AE1087" s="51"/>
    </row>
    <row r="1088" spans="6:33" ht="24" customHeight="1">
      <c r="F1088" s="18">
        <v>0.36199999999999999</v>
      </c>
      <c r="G1088" s="7" t="s">
        <v>621</v>
      </c>
      <c r="H1088" s="1" t="s">
        <v>2129</v>
      </c>
      <c r="I1088" s="8">
        <f>D31</f>
        <v>1498.2</v>
      </c>
      <c r="J1088" s="1" t="s">
        <v>621</v>
      </c>
      <c r="K1088" s="8">
        <f t="shared" si="151"/>
        <v>542.35</v>
      </c>
      <c r="W1088" s="4"/>
      <c r="AE1088" s="51"/>
    </row>
    <row r="1089" spans="6:31" ht="24" customHeight="1">
      <c r="F1089" s="8">
        <v>3</v>
      </c>
      <c r="G1089" s="7" t="s">
        <v>884</v>
      </c>
      <c r="H1089" s="1" t="s">
        <v>1367</v>
      </c>
      <c r="I1089" s="8">
        <f>C282</f>
        <v>49.35</v>
      </c>
      <c r="J1089" s="1" t="s">
        <v>884</v>
      </c>
      <c r="K1089" s="8">
        <f t="shared" si="151"/>
        <v>148.05000000000001</v>
      </c>
      <c r="M1089" s="14">
        <v>2.2800000000000001E-2</v>
      </c>
      <c r="N1089" s="7" t="s">
        <v>885</v>
      </c>
      <c r="O1089" s="1" t="s">
        <v>313</v>
      </c>
      <c r="P1089" s="8">
        <f>I1053</f>
        <v>111600</v>
      </c>
      <c r="Q1089" s="1" t="s">
        <v>885</v>
      </c>
      <c r="R1089" s="8">
        <f>P1089*M1089</f>
        <v>2544.48</v>
      </c>
      <c r="W1089" s="4"/>
      <c r="AE1089" s="51"/>
    </row>
    <row r="1090" spans="6:31" ht="24" customHeight="1">
      <c r="F1090" s="8">
        <v>2</v>
      </c>
      <c r="G1090" s="7" t="s">
        <v>884</v>
      </c>
      <c r="H1090" s="1" t="s">
        <v>2144</v>
      </c>
      <c r="I1090" s="8">
        <f>C285</f>
        <v>39.700000000000003</v>
      </c>
      <c r="J1090" s="1" t="s">
        <v>884</v>
      </c>
      <c r="K1090" s="8">
        <f t="shared" si="151"/>
        <v>79.400000000000006</v>
      </c>
      <c r="M1090" s="14">
        <v>4.2999999999999997E-2</v>
      </c>
      <c r="N1090" s="7" t="s">
        <v>885</v>
      </c>
      <c r="O1090" s="1" t="s">
        <v>314</v>
      </c>
      <c r="P1090" s="8">
        <f>I1054</f>
        <v>99400</v>
      </c>
      <c r="Q1090" s="1" t="s">
        <v>885</v>
      </c>
      <c r="R1090" s="8">
        <f t="shared" ref="R1090:R1100" si="152">P1090*M1090</f>
        <v>4274.2</v>
      </c>
      <c r="W1090" s="4"/>
      <c r="AE1090" s="51"/>
    </row>
    <row r="1091" spans="6:31" ht="24" customHeight="1">
      <c r="F1091" s="8">
        <v>1</v>
      </c>
      <c r="G1091" s="7" t="s">
        <v>884</v>
      </c>
      <c r="H1091" s="1" t="s">
        <v>2145</v>
      </c>
      <c r="I1091" s="484">
        <f>I1076</f>
        <v>7.3</v>
      </c>
      <c r="J1091" s="1" t="s">
        <v>884</v>
      </c>
      <c r="K1091" s="8">
        <f t="shared" si="151"/>
        <v>7.3</v>
      </c>
      <c r="M1091" s="14">
        <v>4.0800000000000003E-2</v>
      </c>
      <c r="N1091" s="7" t="s">
        <v>885</v>
      </c>
      <c r="O1091" s="1" t="s">
        <v>315</v>
      </c>
      <c r="P1091" s="8">
        <f>I1017</f>
        <v>95000</v>
      </c>
      <c r="Q1091" s="1" t="s">
        <v>885</v>
      </c>
      <c r="R1091" s="8">
        <f t="shared" si="152"/>
        <v>3876</v>
      </c>
      <c r="W1091" s="4"/>
      <c r="AE1091" s="51"/>
    </row>
    <row r="1092" spans="6:31" ht="24" customHeight="1">
      <c r="F1092" s="8">
        <v>1</v>
      </c>
      <c r="G1092" s="7" t="s">
        <v>884</v>
      </c>
      <c r="H1092" s="1" t="s">
        <v>2146</v>
      </c>
      <c r="I1092" s="8">
        <f>C292</f>
        <v>8.9</v>
      </c>
      <c r="J1092" s="1" t="s">
        <v>884</v>
      </c>
      <c r="K1092" s="8">
        <f t="shared" si="151"/>
        <v>8.9</v>
      </c>
      <c r="M1092" s="14"/>
      <c r="N1092" s="3"/>
      <c r="O1092" s="1" t="s">
        <v>961</v>
      </c>
      <c r="P1092" s="8"/>
      <c r="Q1092" s="10"/>
      <c r="R1092" s="8">
        <f t="shared" si="152"/>
        <v>0</v>
      </c>
      <c r="W1092" s="4"/>
      <c r="AE1092" s="51"/>
    </row>
    <row r="1093" spans="6:31" ht="24" customHeight="1">
      <c r="F1093" s="8">
        <v>10</v>
      </c>
      <c r="H1093" s="1" t="s">
        <v>1163</v>
      </c>
      <c r="I1093" s="8">
        <f>I1078</f>
        <v>2.41</v>
      </c>
      <c r="J1093" s="1" t="s">
        <v>884</v>
      </c>
      <c r="K1093" s="8">
        <f t="shared" si="151"/>
        <v>24.1</v>
      </c>
      <c r="M1093" s="14">
        <v>3.4424999999999999</v>
      </c>
      <c r="N1093" s="7" t="s">
        <v>621</v>
      </c>
      <c r="O1093" s="1" t="s">
        <v>453</v>
      </c>
      <c r="P1093" s="8">
        <f>I1019</f>
        <v>1602.7</v>
      </c>
      <c r="Q1093" s="1" t="s">
        <v>621</v>
      </c>
      <c r="R1093" s="8">
        <f t="shared" si="152"/>
        <v>5517.29</v>
      </c>
      <c r="W1093" s="4"/>
      <c r="AE1093" s="51"/>
    </row>
    <row r="1094" spans="6:31" ht="24" customHeight="1">
      <c r="K1094" s="5" t="s">
        <v>1615</v>
      </c>
      <c r="M1094" s="8">
        <v>2</v>
      </c>
      <c r="N1094" s="7" t="s">
        <v>785</v>
      </c>
      <c r="O1094" s="1" t="s">
        <v>1157</v>
      </c>
      <c r="P1094" s="8">
        <f t="shared" ref="P1094:P1099" si="153">I1020</f>
        <v>57.65</v>
      </c>
      <c r="Q1094" s="1" t="s">
        <v>884</v>
      </c>
      <c r="R1094" s="8">
        <f t="shared" si="152"/>
        <v>115.3</v>
      </c>
      <c r="W1094" s="4"/>
      <c r="AE1094" s="51"/>
    </row>
    <row r="1095" spans="6:31" ht="24" customHeight="1">
      <c r="H1095" s="2" t="s">
        <v>905</v>
      </c>
      <c r="K1095" s="8">
        <f>SUM(K1082:K1093)</f>
        <v>1396.7</v>
      </c>
      <c r="M1095" s="8">
        <v>6</v>
      </c>
      <c r="N1095" s="7" t="s">
        <v>884</v>
      </c>
      <c r="O1095" s="1" t="s">
        <v>1490</v>
      </c>
      <c r="P1095" s="8">
        <f t="shared" si="153"/>
        <v>89.6</v>
      </c>
      <c r="Q1095" s="1" t="s">
        <v>884</v>
      </c>
      <c r="R1095" s="8">
        <f t="shared" si="152"/>
        <v>537.6</v>
      </c>
      <c r="W1095" s="4"/>
      <c r="AE1095" s="51"/>
    </row>
    <row r="1096" spans="6:31" ht="24" customHeight="1">
      <c r="K1096" s="5" t="s">
        <v>1615</v>
      </c>
      <c r="M1096" s="8">
        <v>4</v>
      </c>
      <c r="N1096" s="7" t="s">
        <v>884</v>
      </c>
      <c r="O1096" s="1" t="s">
        <v>1491</v>
      </c>
      <c r="P1096" s="8">
        <f t="shared" si="153"/>
        <v>64.8</v>
      </c>
      <c r="Q1096" s="1" t="s">
        <v>884</v>
      </c>
      <c r="R1096" s="8">
        <f t="shared" si="152"/>
        <v>259.2</v>
      </c>
      <c r="W1096" s="4"/>
      <c r="AE1096" s="51"/>
    </row>
    <row r="1097" spans="6:31" ht="24" customHeight="1">
      <c r="H1097" s="58" t="s">
        <v>562</v>
      </c>
      <c r="I1097" s="1" t="s">
        <v>992</v>
      </c>
      <c r="K1097" s="38">
        <f>K1095/F1088</f>
        <v>3858.29</v>
      </c>
      <c r="M1097" s="8">
        <v>1</v>
      </c>
      <c r="N1097" s="7" t="s">
        <v>884</v>
      </c>
      <c r="O1097" s="1" t="s">
        <v>1492</v>
      </c>
      <c r="P1097" s="8">
        <f t="shared" si="153"/>
        <v>181</v>
      </c>
      <c r="Q1097" s="1" t="s">
        <v>884</v>
      </c>
      <c r="R1097" s="8">
        <f t="shared" si="152"/>
        <v>181</v>
      </c>
      <c r="W1097" s="4"/>
      <c r="AE1097" s="51"/>
    </row>
    <row r="1098" spans="6:31" ht="24" customHeight="1">
      <c r="K1098" s="5" t="s">
        <v>2091</v>
      </c>
      <c r="M1098" s="8">
        <v>2</v>
      </c>
      <c r="N1098" s="7" t="s">
        <v>884</v>
      </c>
      <c r="O1098" s="1" t="s">
        <v>1493</v>
      </c>
      <c r="P1098" s="8">
        <f t="shared" si="153"/>
        <v>7.3</v>
      </c>
      <c r="Q1098" s="1" t="s">
        <v>884</v>
      </c>
      <c r="R1098" s="8">
        <f t="shared" si="152"/>
        <v>14.6</v>
      </c>
      <c r="W1098" s="4"/>
      <c r="AE1098" s="51"/>
    </row>
    <row r="1099" spans="6:31" ht="24" customHeight="1">
      <c r="F1099" s="2" t="s">
        <v>1646</v>
      </c>
      <c r="G1099" s="7" t="s">
        <v>2290</v>
      </c>
      <c r="H1099" s="1" t="s">
        <v>906</v>
      </c>
      <c r="M1099" s="8">
        <v>2</v>
      </c>
      <c r="N1099" s="7" t="s">
        <v>884</v>
      </c>
      <c r="O1099" s="1" t="s">
        <v>2018</v>
      </c>
      <c r="P1099" s="8">
        <f t="shared" si="153"/>
        <v>49.55</v>
      </c>
      <c r="Q1099" s="1" t="s">
        <v>884</v>
      </c>
      <c r="R1099" s="8">
        <f t="shared" si="152"/>
        <v>99.1</v>
      </c>
      <c r="W1099" s="4"/>
      <c r="AE1099" s="51"/>
    </row>
    <row r="1100" spans="6:31" ht="24" customHeight="1">
      <c r="H1100" s="1" t="s">
        <v>2030</v>
      </c>
      <c r="M1100" s="8">
        <v>10</v>
      </c>
      <c r="N1100" s="3"/>
      <c r="O1100" s="1" t="s">
        <v>1776</v>
      </c>
      <c r="P1100" s="8">
        <f>P1074</f>
        <v>2.41</v>
      </c>
      <c r="Q1100" s="10"/>
      <c r="R1100" s="8">
        <f t="shared" si="152"/>
        <v>24.1</v>
      </c>
      <c r="W1100" s="4"/>
      <c r="AE1100" s="51"/>
    </row>
    <row r="1101" spans="6:31" ht="24" customHeight="1">
      <c r="H1101" s="5" t="s">
        <v>1615</v>
      </c>
      <c r="N1101" s="3"/>
      <c r="O1101" s="1" t="s">
        <v>2192</v>
      </c>
      <c r="Q1101" s="10"/>
      <c r="R1101" s="8">
        <f>SUM(R1089:R1100)+0.31</f>
        <v>17443.18</v>
      </c>
      <c r="W1101" s="4"/>
      <c r="AE1101" s="51"/>
    </row>
    <row r="1102" spans="6:31" ht="24" customHeight="1">
      <c r="F1102" s="18">
        <v>5.3E-3</v>
      </c>
      <c r="G1102" s="7" t="s">
        <v>1365</v>
      </c>
      <c r="H1102" s="1" t="s">
        <v>1366</v>
      </c>
      <c r="I1102" s="8">
        <f>C89</f>
        <v>99400</v>
      </c>
      <c r="J1102" s="1" t="s">
        <v>885</v>
      </c>
      <c r="K1102" s="8">
        <f t="shared" ref="K1102:K1108" si="154">(F1102*I1102)</f>
        <v>526.82000000000005</v>
      </c>
      <c r="N1102" s="3"/>
      <c r="Q1102" s="10"/>
      <c r="R1102" s="5" t="s">
        <v>1615</v>
      </c>
      <c r="W1102" s="4"/>
      <c r="AE1102" s="51"/>
    </row>
    <row r="1103" spans="6:31" ht="24" customHeight="1">
      <c r="F1103" s="18">
        <v>0.27450000000000002</v>
      </c>
      <c r="G1103" s="7" t="s">
        <v>621</v>
      </c>
      <c r="H1103" s="1" t="str">
        <f>H1087</f>
        <v>frosted glass 4mmthick</v>
      </c>
      <c r="I1103" s="536">
        <f>I1072</f>
        <v>208.8</v>
      </c>
      <c r="J1103" s="1" t="s">
        <v>885</v>
      </c>
      <c r="K1103" s="8">
        <f t="shared" si="154"/>
        <v>57.32</v>
      </c>
      <c r="N1103" s="3"/>
      <c r="O1103" s="58" t="s">
        <v>562</v>
      </c>
      <c r="Q1103" s="10"/>
      <c r="R1103" s="38">
        <f>R1101/M1093</f>
        <v>5067.01</v>
      </c>
      <c r="W1103" s="4"/>
      <c r="AE1103" s="51"/>
    </row>
    <row r="1104" spans="6:31" ht="24" customHeight="1">
      <c r="F1104" s="18">
        <v>0.4</v>
      </c>
      <c r="G1104" s="7" t="s">
        <v>621</v>
      </c>
      <c r="H1104" s="1" t="s">
        <v>2129</v>
      </c>
      <c r="I1104" s="8">
        <f>D32</f>
        <v>1248.5</v>
      </c>
      <c r="J1104" s="1" t="s">
        <v>621</v>
      </c>
      <c r="K1104" s="8">
        <f t="shared" si="154"/>
        <v>499.4</v>
      </c>
      <c r="N1104" s="3"/>
      <c r="Q1104" s="10"/>
      <c r="R1104" s="5" t="s">
        <v>2091</v>
      </c>
      <c r="W1104" s="4"/>
      <c r="AE1104" s="51"/>
    </row>
    <row r="1105" spans="6:31" ht="24" customHeight="1">
      <c r="F1105" s="8">
        <v>2</v>
      </c>
      <c r="G1105" s="7" t="s">
        <v>2031</v>
      </c>
      <c r="H1105" s="1" t="s">
        <v>2032</v>
      </c>
      <c r="I1105" s="8">
        <f>C305</f>
        <v>8.5</v>
      </c>
      <c r="J1105" s="1" t="s">
        <v>2031</v>
      </c>
      <c r="K1105" s="8">
        <f t="shared" si="154"/>
        <v>17</v>
      </c>
      <c r="W1105" s="4"/>
      <c r="AE1105" s="51"/>
    </row>
    <row r="1106" spans="6:31" ht="24" customHeight="1">
      <c r="F1106" s="8">
        <v>1</v>
      </c>
      <c r="G1106" s="7" t="s">
        <v>884</v>
      </c>
      <c r="H1106" s="1" t="s">
        <v>2033</v>
      </c>
      <c r="I1106" s="8">
        <f>C293</f>
        <v>6.1</v>
      </c>
      <c r="J1106" s="1" t="s">
        <v>884</v>
      </c>
      <c r="K1106" s="8">
        <f t="shared" si="154"/>
        <v>6.1</v>
      </c>
      <c r="W1106" s="4"/>
      <c r="AE1106" s="51"/>
    </row>
    <row r="1107" spans="6:31" ht="24" customHeight="1">
      <c r="F1107" s="8">
        <v>1</v>
      </c>
      <c r="G1107" s="7" t="s">
        <v>884</v>
      </c>
      <c r="H1107" s="1" t="s">
        <v>2034</v>
      </c>
      <c r="I1107" s="536">
        <f>C291</f>
        <v>11.8</v>
      </c>
      <c r="J1107" s="1" t="s">
        <v>884</v>
      </c>
      <c r="K1107" s="8">
        <f t="shared" si="154"/>
        <v>11.8</v>
      </c>
      <c r="O1107" s="1" t="s">
        <v>1775</v>
      </c>
      <c r="W1107" s="4"/>
      <c r="AE1107" s="51"/>
    </row>
    <row r="1108" spans="6:31" ht="24" customHeight="1">
      <c r="F1108" s="8">
        <v>10</v>
      </c>
      <c r="H1108" s="1" t="s">
        <v>1163</v>
      </c>
      <c r="I1108" s="8">
        <f>I1093</f>
        <v>2.41</v>
      </c>
      <c r="J1108" s="1" t="s">
        <v>884</v>
      </c>
      <c r="K1108" s="8">
        <f t="shared" si="154"/>
        <v>24.1</v>
      </c>
      <c r="W1108" s="4"/>
      <c r="AE1108" s="51"/>
    </row>
    <row r="1109" spans="6:31" ht="24" customHeight="1">
      <c r="K1109" s="5" t="s">
        <v>1615</v>
      </c>
      <c r="W1109" s="4"/>
      <c r="AE1109" s="51"/>
    </row>
    <row r="1110" spans="6:31" ht="24" customHeight="1">
      <c r="H1110" s="2" t="s">
        <v>36</v>
      </c>
      <c r="K1110" s="8">
        <f>SUM(K1098:K1108)</f>
        <v>1142.54</v>
      </c>
      <c r="W1110" s="4"/>
      <c r="AE1110" s="51"/>
    </row>
    <row r="1111" spans="6:31" ht="24" customHeight="1">
      <c r="K1111" s="5" t="s">
        <v>1615</v>
      </c>
      <c r="M1111" s="75">
        <v>2.2800000000000001E-2</v>
      </c>
      <c r="N1111" s="53" t="s">
        <v>885</v>
      </c>
      <c r="O1111" s="54" t="s">
        <v>3197</v>
      </c>
      <c r="P1111" s="54">
        <f>P1089</f>
        <v>111600</v>
      </c>
      <c r="Q1111" s="71" t="s">
        <v>885</v>
      </c>
      <c r="R1111" s="54">
        <f>P1111*M1111</f>
        <v>2544.48</v>
      </c>
      <c r="W1111" s="4"/>
      <c r="AE1111" s="51"/>
    </row>
    <row r="1112" spans="6:31" ht="24" customHeight="1">
      <c r="H1112" s="58" t="s">
        <v>562</v>
      </c>
      <c r="I1112" s="1" t="s">
        <v>992</v>
      </c>
      <c r="K1112" s="38">
        <f>K1110/F1104</f>
        <v>2856.35</v>
      </c>
      <c r="M1112" s="75">
        <v>3.5400000000000001E-2</v>
      </c>
      <c r="N1112" s="53" t="s">
        <v>885</v>
      </c>
      <c r="O1112" s="54" t="s">
        <v>2536</v>
      </c>
      <c r="P1112" s="54">
        <f>P1090</f>
        <v>99400</v>
      </c>
      <c r="Q1112" s="71" t="s">
        <v>885</v>
      </c>
      <c r="R1112" s="54">
        <f t="shared" ref="R1112:R1121" si="155">P1112*M1112</f>
        <v>3518.76</v>
      </c>
      <c r="W1112" s="4"/>
      <c r="AE1112" s="51"/>
    </row>
    <row r="1113" spans="6:31" ht="24" customHeight="1">
      <c r="F1113" s="1" t="s">
        <v>992</v>
      </c>
      <c r="M1113" s="76">
        <v>3.2300000000000002E-2</v>
      </c>
      <c r="N1113" s="53" t="s">
        <v>885</v>
      </c>
      <c r="O1113" s="54" t="s">
        <v>953</v>
      </c>
      <c r="P1113" s="54">
        <f>P1091</f>
        <v>95000</v>
      </c>
      <c r="Q1113" s="71" t="s">
        <v>885</v>
      </c>
      <c r="R1113" s="54">
        <f t="shared" si="155"/>
        <v>3068.5</v>
      </c>
      <c r="W1113" s="4"/>
      <c r="AE1113" s="51"/>
    </row>
    <row r="1114" spans="6:31" ht="24" customHeight="1">
      <c r="K1114" s="5" t="s">
        <v>2091</v>
      </c>
      <c r="M1114" s="73">
        <v>2.835</v>
      </c>
      <c r="N1114" s="53" t="s">
        <v>621</v>
      </c>
      <c r="O1114" s="54" t="s">
        <v>899</v>
      </c>
      <c r="P1114" s="54">
        <f t="shared" ref="P1114:P1120" si="156">P1093</f>
        <v>1602.7</v>
      </c>
      <c r="Q1114" s="71" t="s">
        <v>621</v>
      </c>
      <c r="R1114" s="54">
        <f t="shared" si="155"/>
        <v>4543.6499999999996</v>
      </c>
      <c r="W1114" s="4"/>
      <c r="AE1114" s="51"/>
    </row>
    <row r="1115" spans="6:31" ht="24" customHeight="1">
      <c r="F1115" s="24">
        <v>22.3</v>
      </c>
      <c r="H1115" s="1" t="s">
        <v>2035</v>
      </c>
      <c r="L1115" s="1" t="s">
        <v>992</v>
      </c>
      <c r="M1115" s="54">
        <v>2</v>
      </c>
      <c r="N1115" s="53" t="s">
        <v>1907</v>
      </c>
      <c r="O1115" s="54" t="s">
        <v>2161</v>
      </c>
      <c r="P1115" s="54">
        <f t="shared" si="156"/>
        <v>57.65</v>
      </c>
      <c r="Q1115" s="71" t="s">
        <v>1423</v>
      </c>
      <c r="R1115" s="54">
        <f t="shared" si="155"/>
        <v>115.3</v>
      </c>
      <c r="W1115" s="4"/>
      <c r="AE1115" s="51"/>
    </row>
    <row r="1116" spans="6:31" ht="24" customHeight="1">
      <c r="H1116" s="5" t="s">
        <v>1615</v>
      </c>
      <c r="I1116" s="5" t="s">
        <v>1615</v>
      </c>
      <c r="J1116" s="1" t="s">
        <v>1615</v>
      </c>
      <c r="M1116" s="54">
        <v>6</v>
      </c>
      <c r="N1116" s="53" t="s">
        <v>1907</v>
      </c>
      <c r="O1116" s="54" t="s">
        <v>1119</v>
      </c>
      <c r="P1116" s="54">
        <f t="shared" si="156"/>
        <v>89.6</v>
      </c>
      <c r="Q1116" s="71" t="s">
        <v>1423</v>
      </c>
      <c r="R1116" s="54">
        <f t="shared" si="155"/>
        <v>537.6</v>
      </c>
      <c r="W1116" s="4"/>
      <c r="AE1116" s="51"/>
    </row>
    <row r="1117" spans="6:31" ht="24" customHeight="1">
      <c r="M1117" s="54">
        <v>4</v>
      </c>
      <c r="N1117" s="53" t="s">
        <v>1907</v>
      </c>
      <c r="O1117" s="54" t="s">
        <v>1372</v>
      </c>
      <c r="P1117" s="54">
        <f t="shared" si="156"/>
        <v>64.8</v>
      </c>
      <c r="Q1117" s="71" t="s">
        <v>1423</v>
      </c>
      <c r="R1117" s="54">
        <f t="shared" si="155"/>
        <v>259.2</v>
      </c>
      <c r="W1117" s="4"/>
      <c r="AE1117" s="51"/>
    </row>
    <row r="1118" spans="6:31" ht="24" customHeight="1">
      <c r="H1118" s="1" t="s">
        <v>2036</v>
      </c>
      <c r="M1118" s="54">
        <v>1</v>
      </c>
      <c r="N1118" s="53" t="s">
        <v>1907</v>
      </c>
      <c r="O1118" s="54" t="s">
        <v>1373</v>
      </c>
      <c r="P1118" s="54">
        <f t="shared" si="156"/>
        <v>181</v>
      </c>
      <c r="Q1118" s="71" t="s">
        <v>1423</v>
      </c>
      <c r="R1118" s="54">
        <f t="shared" si="155"/>
        <v>181</v>
      </c>
      <c r="W1118" s="4"/>
      <c r="AE1118" s="51"/>
    </row>
    <row r="1119" spans="6:31" ht="24" customHeight="1">
      <c r="H1119" s="1" t="s">
        <v>2037</v>
      </c>
      <c r="M1119" s="54">
        <v>2</v>
      </c>
      <c r="N1119" s="53" t="s">
        <v>1907</v>
      </c>
      <c r="O1119" s="54" t="s">
        <v>2016</v>
      </c>
      <c r="P1119" s="54">
        <f t="shared" si="156"/>
        <v>7.3</v>
      </c>
      <c r="Q1119" s="71" t="s">
        <v>1423</v>
      </c>
      <c r="R1119" s="54">
        <f t="shared" si="155"/>
        <v>14.6</v>
      </c>
      <c r="W1119" s="4"/>
      <c r="AE1119" s="51"/>
    </row>
    <row r="1120" spans="6:31" ht="24" customHeight="1">
      <c r="H1120" s="1" t="s">
        <v>460</v>
      </c>
      <c r="M1120" s="54">
        <v>2</v>
      </c>
      <c r="N1120" s="53" t="s">
        <v>1907</v>
      </c>
      <c r="O1120" s="54" t="s">
        <v>2018</v>
      </c>
      <c r="P1120" s="54">
        <f t="shared" si="156"/>
        <v>49.55</v>
      </c>
      <c r="Q1120" s="71" t="s">
        <v>1423</v>
      </c>
      <c r="R1120" s="54">
        <f t="shared" si="155"/>
        <v>99.1</v>
      </c>
      <c r="W1120" s="4"/>
      <c r="AE1120" s="51"/>
    </row>
    <row r="1121" spans="6:62" ht="24" customHeight="1">
      <c r="H1121" s="1" t="s">
        <v>461</v>
      </c>
      <c r="M1121" s="8">
        <v>118</v>
      </c>
      <c r="N1121" s="3"/>
      <c r="O1121" s="1" t="s">
        <v>1776</v>
      </c>
      <c r="P1121" s="8">
        <f>P1100</f>
        <v>2.41</v>
      </c>
      <c r="Q1121" s="10"/>
      <c r="R1121" s="8">
        <f t="shared" si="155"/>
        <v>284.38</v>
      </c>
      <c r="W1121" s="4"/>
      <c r="AE1121" s="51"/>
    </row>
    <row r="1122" spans="6:62" ht="24" customHeight="1">
      <c r="H1122" s="1" t="s">
        <v>462</v>
      </c>
      <c r="M1122" s="54"/>
      <c r="N1122" s="72"/>
      <c r="O1122" s="36" t="s">
        <v>562</v>
      </c>
      <c r="P1122" s="54"/>
      <c r="Q1122" s="71"/>
      <c r="R1122" s="36">
        <f>SUM(R1111:R1121)</f>
        <v>15166.57</v>
      </c>
      <c r="W1122" s="4"/>
      <c r="AE1122" s="51"/>
    </row>
    <row r="1123" spans="6:62" ht="24" customHeight="1">
      <c r="J1123" s="1" t="s">
        <v>992</v>
      </c>
      <c r="K1123" s="14">
        <v>3.32E-2</v>
      </c>
      <c r="M1123" s="54"/>
      <c r="N1123" s="72"/>
      <c r="O1123" s="36"/>
      <c r="P1123" s="54"/>
      <c r="Q1123" s="71"/>
      <c r="R1123" s="56" t="s">
        <v>148</v>
      </c>
      <c r="W1123" s="4"/>
      <c r="AE1123" s="51"/>
      <c r="BJ1123" t="s">
        <v>2066</v>
      </c>
    </row>
    <row r="1124" spans="6:62" ht="24" customHeight="1">
      <c r="H1124" s="1" t="s">
        <v>2195</v>
      </c>
      <c r="J1124" s="17" t="s">
        <v>992</v>
      </c>
      <c r="K1124" s="17" t="s">
        <v>992</v>
      </c>
      <c r="M1124" s="54"/>
      <c r="N1124" s="72"/>
      <c r="O1124" s="36" t="s">
        <v>2119</v>
      </c>
      <c r="P1124" s="54"/>
      <c r="Q1124" s="71"/>
      <c r="R1124" s="36">
        <f>R1122/2.835</f>
        <v>5349.76</v>
      </c>
      <c r="W1124" s="4"/>
      <c r="AE1124" s="51"/>
    </row>
    <row r="1125" spans="6:62" ht="24" customHeight="1">
      <c r="H1125" s="1" t="s">
        <v>1864</v>
      </c>
      <c r="K1125" s="17" t="s">
        <v>992</v>
      </c>
      <c r="M1125" s="54"/>
      <c r="N1125" s="72"/>
      <c r="Q1125" s="10"/>
      <c r="R1125" s="55" t="s">
        <v>148</v>
      </c>
      <c r="W1125" s="4"/>
      <c r="AE1125" s="51"/>
    </row>
    <row r="1126" spans="6:62" ht="24" customHeight="1">
      <c r="W1126" s="4"/>
      <c r="AE1126" s="51"/>
    </row>
    <row r="1127" spans="6:62" ht="24" customHeight="1">
      <c r="F1127" s="18">
        <v>1.18E-2</v>
      </c>
      <c r="G1127" s="7" t="s">
        <v>885</v>
      </c>
      <c r="H1127" s="1" t="s">
        <v>705</v>
      </c>
      <c r="I1127" s="8">
        <f>C88</f>
        <v>111600</v>
      </c>
      <c r="J1127" s="1" t="s">
        <v>885</v>
      </c>
      <c r="K1127" s="8">
        <f t="shared" ref="K1127:K1136" si="157">(F1127*I1127)</f>
        <v>1316.88</v>
      </c>
      <c r="W1127" s="4"/>
      <c r="AE1127" s="51"/>
    </row>
    <row r="1128" spans="6:62" ht="24" customHeight="1">
      <c r="F1128" s="18">
        <v>3.32E-2</v>
      </c>
      <c r="G1128" s="7" t="s">
        <v>885</v>
      </c>
      <c r="H1128" s="1" t="s">
        <v>706</v>
      </c>
      <c r="I1128" s="8">
        <f>C89</f>
        <v>99400</v>
      </c>
      <c r="J1128" s="1" t="s">
        <v>885</v>
      </c>
      <c r="K1128" s="8">
        <f t="shared" si="157"/>
        <v>3300.08</v>
      </c>
      <c r="W1128" s="4"/>
      <c r="AE1128" s="51"/>
    </row>
    <row r="1129" spans="6:62" ht="24" customHeight="1">
      <c r="F1129" s="18">
        <v>1.8550000000000001E-2</v>
      </c>
      <c r="G1129" s="7" t="s">
        <v>885</v>
      </c>
      <c r="H1129" s="1" t="s">
        <v>902</v>
      </c>
      <c r="I1129" s="8">
        <f>C30</f>
        <v>14278</v>
      </c>
      <c r="J1129" s="1" t="s">
        <v>885</v>
      </c>
      <c r="K1129" s="8">
        <f t="shared" si="157"/>
        <v>264.86</v>
      </c>
      <c r="W1129" s="4"/>
      <c r="AE1129" s="51"/>
    </row>
    <row r="1130" spans="6:62" ht="24" customHeight="1">
      <c r="F1130" s="18">
        <v>1.46</v>
      </c>
      <c r="G1130" s="7" t="s">
        <v>621</v>
      </c>
      <c r="H1130" s="1" t="s">
        <v>903</v>
      </c>
      <c r="I1130" s="488">
        <v>269.10000000000002</v>
      </c>
      <c r="J1130" s="1" t="s">
        <v>621</v>
      </c>
      <c r="K1130" s="8">
        <f t="shared" si="157"/>
        <v>392.89</v>
      </c>
      <c r="W1130" s="4"/>
      <c r="AE1130" s="51"/>
    </row>
    <row r="1131" spans="6:62" ht="24" customHeight="1">
      <c r="F1131" s="18">
        <v>2.0499999999999998</v>
      </c>
      <c r="G1131" s="7" t="s">
        <v>621</v>
      </c>
      <c r="H1131" s="1" t="s">
        <v>1532</v>
      </c>
      <c r="I1131" s="8">
        <f>D30</f>
        <v>1336.5</v>
      </c>
      <c r="J1131" s="1" t="s">
        <v>621</v>
      </c>
      <c r="K1131" s="8">
        <f t="shared" si="157"/>
        <v>2739.83</v>
      </c>
      <c r="W1131" s="4"/>
      <c r="AE1131" s="51"/>
    </row>
    <row r="1132" spans="6:62" ht="24" customHeight="1">
      <c r="F1132" s="8">
        <v>2</v>
      </c>
      <c r="G1132" s="7" t="s">
        <v>884</v>
      </c>
      <c r="H1132" s="1" t="s">
        <v>1533</v>
      </c>
      <c r="I1132" s="63">
        <f>C285</f>
        <v>39.700000000000003</v>
      </c>
      <c r="J1132" s="1" t="s">
        <v>884</v>
      </c>
      <c r="K1132" s="8">
        <f t="shared" si="157"/>
        <v>79.400000000000006</v>
      </c>
      <c r="W1132" s="4"/>
      <c r="AE1132" s="51"/>
    </row>
    <row r="1133" spans="6:62" ht="24" customHeight="1">
      <c r="F1133" s="8">
        <v>6</v>
      </c>
      <c r="G1133" s="7" t="s">
        <v>884</v>
      </c>
      <c r="H1133" s="1" t="s">
        <v>1367</v>
      </c>
      <c r="I1133" s="8">
        <f>C282</f>
        <v>49.35</v>
      </c>
      <c r="J1133" s="1" t="s">
        <v>884</v>
      </c>
      <c r="K1133" s="8">
        <f t="shared" si="157"/>
        <v>296.10000000000002</v>
      </c>
      <c r="W1133" s="4"/>
      <c r="AE1133" s="51"/>
    </row>
    <row r="1134" spans="6:62" ht="24" customHeight="1">
      <c r="F1134" s="8">
        <v>2</v>
      </c>
      <c r="G1134" s="7" t="s">
        <v>884</v>
      </c>
      <c r="H1134" s="1" t="s">
        <v>5117</v>
      </c>
      <c r="I1134" s="419">
        <v>60.9</v>
      </c>
      <c r="J1134" s="1" t="s">
        <v>884</v>
      </c>
      <c r="K1134" s="8">
        <f t="shared" si="157"/>
        <v>121.8</v>
      </c>
      <c r="W1134" s="4"/>
      <c r="AE1134" s="51"/>
    </row>
    <row r="1135" spans="6:62" ht="24" customHeight="1">
      <c r="F1135" s="8">
        <v>1</v>
      </c>
      <c r="G1135" s="7" t="s">
        <v>884</v>
      </c>
      <c r="H1135" s="480" t="s">
        <v>4413</v>
      </c>
      <c r="I1135" s="480">
        <v>63.2</v>
      </c>
      <c r="J1135" s="1" t="s">
        <v>884</v>
      </c>
      <c r="K1135" s="8">
        <f t="shared" si="157"/>
        <v>63.2</v>
      </c>
      <c r="W1135" s="4"/>
      <c r="AE1135" s="51"/>
    </row>
    <row r="1136" spans="6:62" ht="24" customHeight="1">
      <c r="F1136" s="8">
        <v>2.52</v>
      </c>
      <c r="G1136" s="7" t="s">
        <v>621</v>
      </c>
      <c r="H1136" s="1" t="s">
        <v>1745</v>
      </c>
      <c r="I1136" s="8">
        <f>K1167</f>
        <v>201.2</v>
      </c>
      <c r="J1136" s="1" t="s">
        <v>621</v>
      </c>
      <c r="K1136" s="8">
        <f t="shared" si="157"/>
        <v>507.02</v>
      </c>
      <c r="W1136" s="4"/>
      <c r="AE1136" s="51"/>
    </row>
    <row r="1137" spans="6:31" ht="24" customHeight="1">
      <c r="H1137" s="1" t="s">
        <v>1439</v>
      </c>
      <c r="I1137" s="2" t="s">
        <v>455</v>
      </c>
      <c r="K1137" s="8">
        <v>0.21</v>
      </c>
      <c r="W1137" s="4"/>
      <c r="AE1137" s="51"/>
    </row>
    <row r="1138" spans="6:31" ht="24" customHeight="1">
      <c r="K1138" s="5" t="s">
        <v>1615</v>
      </c>
      <c r="W1138" s="4"/>
      <c r="AE1138" s="51"/>
    </row>
    <row r="1139" spans="6:31" ht="24" customHeight="1">
      <c r="H1139" s="2" t="s">
        <v>1440</v>
      </c>
      <c r="K1139" s="8">
        <f>SUM(K1127:K1137)</f>
        <v>9082.27</v>
      </c>
      <c r="M1139" s="404" t="s">
        <v>3659</v>
      </c>
      <c r="N1139" s="404"/>
      <c r="O1139" s="404"/>
      <c r="P1139" s="404"/>
      <c r="Q1139" s="404"/>
      <c r="R1139" s="404"/>
      <c r="S1139" s="404"/>
      <c r="W1139" s="4"/>
      <c r="AE1139" s="51"/>
    </row>
    <row r="1140" spans="6:31" ht="24" customHeight="1">
      <c r="G1140" s="7" t="s">
        <v>992</v>
      </c>
      <c r="K1140" s="5" t="s">
        <v>1615</v>
      </c>
      <c r="O1140" s="5" t="s">
        <v>1615</v>
      </c>
      <c r="Q1140" s="10"/>
      <c r="W1140" s="4"/>
      <c r="AE1140" s="51"/>
    </row>
    <row r="1141" spans="6:31" ht="24" customHeight="1">
      <c r="H1141" s="58" t="s">
        <v>562</v>
      </c>
      <c r="K1141" s="38">
        <f>K1139/2.52</f>
        <v>3604.08</v>
      </c>
      <c r="N1141" s="50">
        <v>0.45300000000000001</v>
      </c>
      <c r="O1141" s="1" t="s">
        <v>1436</v>
      </c>
      <c r="P1141" s="8">
        <f>C73</f>
        <v>1704.69</v>
      </c>
      <c r="Q1141" s="1" t="s">
        <v>885</v>
      </c>
      <c r="R1141" s="8">
        <f>P1141*N1141</f>
        <v>772.22</v>
      </c>
      <c r="W1141" s="4"/>
      <c r="AE1141" s="51"/>
    </row>
    <row r="1142" spans="6:31" ht="24" customHeight="1">
      <c r="K1142" s="5" t="s">
        <v>2091</v>
      </c>
      <c r="N1142" s="50">
        <v>0.30199999999999999</v>
      </c>
      <c r="O1142" s="1" t="s">
        <v>3660</v>
      </c>
      <c r="P1142" s="8">
        <f>C71</f>
        <v>1238.69</v>
      </c>
      <c r="Q1142" s="1" t="str">
        <f>Q1141</f>
        <v>CUM</v>
      </c>
      <c r="R1142" s="8">
        <f t="shared" ref="R1142:R1147" si="158">P1142*N1142</f>
        <v>374.08</v>
      </c>
      <c r="W1142" s="4"/>
      <c r="AE1142" s="51"/>
    </row>
    <row r="1143" spans="6:31" ht="24" customHeight="1">
      <c r="G1143" s="7" t="s">
        <v>2290</v>
      </c>
      <c r="H1143" s="1" t="s">
        <v>184</v>
      </c>
      <c r="N1143">
        <v>0.44</v>
      </c>
      <c r="O1143" s="1" t="s">
        <v>886</v>
      </c>
      <c r="P1143" s="8">
        <f>C78</f>
        <v>1608.7</v>
      </c>
      <c r="Q1143" s="1" t="s">
        <v>885</v>
      </c>
      <c r="R1143" s="8">
        <f t="shared" si="158"/>
        <v>707.83</v>
      </c>
      <c r="W1143" s="4"/>
      <c r="AE1143" s="51"/>
    </row>
    <row r="1144" spans="6:31" ht="24" customHeight="1">
      <c r="H1144" s="5" t="s">
        <v>1615</v>
      </c>
      <c r="I1144" s="5" t="s">
        <v>1615</v>
      </c>
      <c r="N1144">
        <v>0.37</v>
      </c>
      <c r="O1144" s="1" t="s">
        <v>395</v>
      </c>
      <c r="P1144" s="8">
        <f>I808</f>
        <v>6040</v>
      </c>
      <c r="Q1144" s="1" t="s">
        <v>535</v>
      </c>
      <c r="R1144" s="8">
        <f t="shared" si="158"/>
        <v>2234.8000000000002</v>
      </c>
      <c r="W1144" s="4"/>
      <c r="AE1144" s="51"/>
    </row>
    <row r="1145" spans="6:31" ht="24" customHeight="1">
      <c r="F1145" s="8">
        <v>0.77</v>
      </c>
      <c r="G1145" s="7" t="s">
        <v>185</v>
      </c>
      <c r="H1145" s="1" t="s">
        <v>186</v>
      </c>
      <c r="I1145" s="8">
        <f>C194</f>
        <v>271.2</v>
      </c>
      <c r="J1145" s="1" t="s">
        <v>185</v>
      </c>
      <c r="K1145" s="8">
        <f>(F1145*I1145)</f>
        <v>208.82</v>
      </c>
      <c r="N1145">
        <v>0.35</v>
      </c>
      <c r="O1145" s="1" t="s">
        <v>471</v>
      </c>
      <c r="P1145" s="8">
        <f>C11</f>
        <v>972.4</v>
      </c>
      <c r="Q1145" s="1" t="s">
        <v>884</v>
      </c>
      <c r="R1145" s="8">
        <f t="shared" si="158"/>
        <v>340.34</v>
      </c>
      <c r="W1145" s="4"/>
      <c r="AE1145" s="51"/>
    </row>
    <row r="1146" spans="6:31" ht="24" customHeight="1">
      <c r="F1146" s="8">
        <v>0.61</v>
      </c>
      <c r="G1146" s="7" t="s">
        <v>185</v>
      </c>
      <c r="H1146" s="1" t="s">
        <v>187</v>
      </c>
      <c r="I1146" s="8">
        <f>C193</f>
        <v>25</v>
      </c>
      <c r="J1146" s="1" t="s">
        <v>185</v>
      </c>
      <c r="K1146" s="8">
        <f>(F1146*I1146)</f>
        <v>15.25</v>
      </c>
      <c r="N1146">
        <v>2.12</v>
      </c>
      <c r="O1146" s="1" t="s">
        <v>353</v>
      </c>
      <c r="P1146" s="8">
        <f>C12</f>
        <v>679.8</v>
      </c>
      <c r="Q1146" s="1" t="s">
        <v>884</v>
      </c>
      <c r="R1146" s="8">
        <f t="shared" si="158"/>
        <v>1441.18</v>
      </c>
      <c r="W1146" s="4"/>
      <c r="AE1146" s="51"/>
    </row>
    <row r="1147" spans="6:31" ht="24" customHeight="1">
      <c r="F1147" s="8">
        <v>0.7</v>
      </c>
      <c r="G1147" s="7" t="s">
        <v>570</v>
      </c>
      <c r="H1147" s="1" t="s">
        <v>1540</v>
      </c>
      <c r="I1147" s="8">
        <f>C14</f>
        <v>831.6</v>
      </c>
      <c r="J1147" s="1" t="s">
        <v>1748</v>
      </c>
      <c r="K1147" s="8">
        <f>(F1147*I1147)</f>
        <v>582.12</v>
      </c>
      <c r="N1147">
        <v>3.53</v>
      </c>
      <c r="O1147" s="1" t="s">
        <v>1247</v>
      </c>
      <c r="P1147" s="8">
        <f>C13</f>
        <v>557.70000000000005</v>
      </c>
      <c r="Q1147" s="1" t="s">
        <v>884</v>
      </c>
      <c r="R1147" s="8">
        <f t="shared" si="158"/>
        <v>1968.68</v>
      </c>
      <c r="W1147" s="4"/>
      <c r="AE1147" s="51"/>
    </row>
    <row r="1148" spans="6:31" ht="24" customHeight="1">
      <c r="F1148" s="8"/>
      <c r="G1148" s="7"/>
      <c r="H1148" s="1"/>
      <c r="I1148" s="8"/>
      <c r="J1148" s="1"/>
      <c r="K1148" s="8"/>
      <c r="O1148" s="1" t="s">
        <v>46</v>
      </c>
      <c r="P1148" s="8"/>
      <c r="Q1148" s="10"/>
      <c r="R1148" s="6">
        <f>K819</f>
        <v>98.34</v>
      </c>
      <c r="W1148" s="4"/>
      <c r="AE1148" s="51"/>
    </row>
    <row r="1149" spans="6:31" ht="24" customHeight="1">
      <c r="F1149" s="8">
        <v>0.7</v>
      </c>
      <c r="G1149" s="7" t="s">
        <v>570</v>
      </c>
      <c r="H1149" s="1" t="s">
        <v>894</v>
      </c>
      <c r="I1149" s="8">
        <f>C12</f>
        <v>679.8</v>
      </c>
      <c r="J1149" s="1" t="s">
        <v>1748</v>
      </c>
      <c r="K1149" s="8">
        <f>(F1149*I1149)</f>
        <v>475.86</v>
      </c>
      <c r="M1149" s="416" t="s">
        <v>669</v>
      </c>
      <c r="O1149" t="s">
        <v>3542</v>
      </c>
      <c r="P1149" s="32">
        <f>V1134</f>
        <v>0</v>
      </c>
      <c r="R1149">
        <v>270</v>
      </c>
      <c r="W1149" s="4"/>
      <c r="AE1149" s="51"/>
    </row>
    <row r="1150" spans="6:31" ht="43.5" customHeight="1">
      <c r="G1150" s="7" t="s">
        <v>455</v>
      </c>
      <c r="H1150" s="1" t="s">
        <v>1203</v>
      </c>
      <c r="J1150" s="1" t="s">
        <v>455</v>
      </c>
      <c r="K1150" s="8">
        <v>1.5</v>
      </c>
      <c r="M1150" s="416" t="s">
        <v>669</v>
      </c>
      <c r="O1150" t="s">
        <v>3543</v>
      </c>
      <c r="P1150" s="32">
        <f>V1135</f>
        <v>0</v>
      </c>
      <c r="R1150">
        <v>150</v>
      </c>
      <c r="W1150" s="4"/>
      <c r="AE1150" s="51"/>
    </row>
    <row r="1151" spans="6:31" ht="24" customHeight="1">
      <c r="K1151" s="5" t="s">
        <v>1615</v>
      </c>
      <c r="M1151" s="416" t="s">
        <v>669</v>
      </c>
      <c r="O1151" t="s">
        <v>2310</v>
      </c>
      <c r="P1151" s="32">
        <f>V1136</f>
        <v>0</v>
      </c>
      <c r="R1151">
        <v>0.35</v>
      </c>
      <c r="W1151" s="4"/>
      <c r="AE1151" s="51"/>
    </row>
    <row r="1152" spans="6:31" ht="24" customHeight="1">
      <c r="H1152" s="2" t="s">
        <v>1465</v>
      </c>
      <c r="K1152" s="8">
        <f>SUM(K1145:K1150)</f>
        <v>1283.55</v>
      </c>
      <c r="Q1152" s="10"/>
      <c r="R1152">
        <f>SUM(R1141:R1151)</f>
        <v>8357.82</v>
      </c>
      <c r="W1152" s="4"/>
      <c r="AE1152" s="51"/>
    </row>
    <row r="1153" spans="6:31" ht="24" customHeight="1">
      <c r="K1153" s="5" t="s">
        <v>1615</v>
      </c>
      <c r="W1153" s="4"/>
      <c r="X1153" s="36">
        <f>SUM(X1141:X1152)</f>
        <v>0</v>
      </c>
      <c r="AE1153" s="51"/>
    </row>
    <row r="1154" spans="6:31" ht="24" customHeight="1">
      <c r="H1154" s="58" t="s">
        <v>562</v>
      </c>
      <c r="K1154" s="38">
        <f>(K1152/10)</f>
        <v>128.36000000000001</v>
      </c>
      <c r="W1154" s="4"/>
      <c r="AE1154" s="51"/>
    </row>
    <row r="1155" spans="6:31" ht="24" customHeight="1">
      <c r="K1155" s="5" t="s">
        <v>2091</v>
      </c>
      <c r="Q1155" s="10"/>
      <c r="R1155" s="6"/>
      <c r="W1155" s="4"/>
      <c r="AE1155" s="51"/>
    </row>
    <row r="1156" spans="6:31" ht="24" customHeight="1">
      <c r="O1156" t="s">
        <v>3661</v>
      </c>
      <c r="Q1156" s="10"/>
      <c r="R1156" s="8">
        <f>SUM(R1152:R1155)</f>
        <v>8357.82</v>
      </c>
      <c r="W1156" s="4"/>
      <c r="AE1156" s="51"/>
    </row>
    <row r="1157" spans="6:31" ht="24" customHeight="1">
      <c r="F1157" s="1" t="s">
        <v>992</v>
      </c>
      <c r="G1157" s="7" t="s">
        <v>2290</v>
      </c>
      <c r="H1157" s="1" t="s">
        <v>1466</v>
      </c>
      <c r="Q1157" s="10"/>
      <c r="R1157" s="5" t="s">
        <v>1615</v>
      </c>
      <c r="W1157" s="4"/>
      <c r="AE1157" s="51"/>
    </row>
    <row r="1158" spans="6:31" ht="24" customHeight="1">
      <c r="H1158" s="5" t="s">
        <v>1615</v>
      </c>
      <c r="I1158" s="5" t="s">
        <v>1615</v>
      </c>
      <c r="O1158" s="1" t="s">
        <v>391</v>
      </c>
      <c r="Q1158" s="10"/>
      <c r="R1158" s="38">
        <f>R1156+C22</f>
        <v>8482.7800000000007</v>
      </c>
      <c r="S1158" s="50">
        <f>C22</f>
        <v>124.96</v>
      </c>
      <c r="T1158" s="50">
        <f>C23</f>
        <v>246.18</v>
      </c>
      <c r="W1158" s="4"/>
      <c r="AE1158" s="51"/>
    </row>
    <row r="1159" spans="6:31" ht="24" customHeight="1">
      <c r="F1159" s="8">
        <v>1.2</v>
      </c>
      <c r="G1159" s="7" t="s">
        <v>185</v>
      </c>
      <c r="H1159" s="1" t="s">
        <v>5118</v>
      </c>
      <c r="I1159" s="8">
        <f>C194</f>
        <v>271.2</v>
      </c>
      <c r="J1159" s="1" t="s">
        <v>185</v>
      </c>
      <c r="K1159" s="8">
        <f>(F1159*I1159)</f>
        <v>325.44</v>
      </c>
      <c r="O1159" s="1" t="s">
        <v>393</v>
      </c>
      <c r="Q1159" s="10"/>
      <c r="R1159" s="38">
        <f>R1158+C23</f>
        <v>8728.9599999999991</v>
      </c>
      <c r="S1159" s="50">
        <f>R1156-5363.9</f>
        <v>2993.92</v>
      </c>
      <c r="W1159" s="4"/>
      <c r="AE1159" s="51"/>
    </row>
    <row r="1160" spans="6:31" ht="24" customHeight="1">
      <c r="F1160" s="8">
        <v>0.9</v>
      </c>
      <c r="G1160" s="7" t="s">
        <v>185</v>
      </c>
      <c r="H1160" s="1" t="s">
        <v>187</v>
      </c>
      <c r="I1160" s="8">
        <f>C193</f>
        <v>25</v>
      </c>
      <c r="J1160" s="1" t="s">
        <v>185</v>
      </c>
      <c r="K1160" s="8">
        <f>(F1160*I1160)</f>
        <v>22.5</v>
      </c>
      <c r="O1160" s="1" t="s">
        <v>2271</v>
      </c>
      <c r="Q1160" s="10"/>
      <c r="R1160" s="38">
        <f>R1159+C23</f>
        <v>8975.14</v>
      </c>
      <c r="W1160" s="4"/>
      <c r="AE1160" s="51"/>
    </row>
    <row r="1161" spans="6:31" ht="24" customHeight="1">
      <c r="F1161" s="8">
        <v>1.1000000000000001</v>
      </c>
      <c r="G1161" s="7" t="s">
        <v>570</v>
      </c>
      <c r="H1161" s="1" t="s">
        <v>1540</v>
      </c>
      <c r="I1161" s="8">
        <f>C14</f>
        <v>831.6</v>
      </c>
      <c r="J1161" s="1" t="s">
        <v>1748</v>
      </c>
      <c r="K1161" s="8">
        <f>(F1161*I1161)</f>
        <v>914.76</v>
      </c>
      <c r="O1161" s="1" t="s">
        <v>385</v>
      </c>
      <c r="Q1161" s="10"/>
      <c r="R1161" s="38">
        <f>R1160+C23</f>
        <v>9221.32</v>
      </c>
      <c r="W1161" s="4"/>
      <c r="AE1161" s="51"/>
    </row>
    <row r="1162" spans="6:31" ht="24" customHeight="1">
      <c r="F1162" s="8">
        <v>1.1000000000000001</v>
      </c>
      <c r="G1162" s="7" t="s">
        <v>570</v>
      </c>
      <c r="H1162" s="1" t="s">
        <v>894</v>
      </c>
      <c r="I1162" s="8">
        <f>C12</f>
        <v>679.8</v>
      </c>
      <c r="J1162" s="1" t="s">
        <v>1748</v>
      </c>
      <c r="K1162" s="8">
        <f>(F1162*I1162)</f>
        <v>747.78</v>
      </c>
      <c r="O1162" s="1" t="s">
        <v>1560</v>
      </c>
      <c r="Q1162" s="10"/>
      <c r="R1162" s="38">
        <f>R1161+C23</f>
        <v>9467.5</v>
      </c>
      <c r="W1162" s="4"/>
      <c r="AE1162" s="51"/>
    </row>
    <row r="1163" spans="6:31" ht="24" customHeight="1">
      <c r="G1163" s="7" t="s">
        <v>455</v>
      </c>
      <c r="H1163" s="1" t="s">
        <v>1203</v>
      </c>
      <c r="J1163" s="1" t="s">
        <v>455</v>
      </c>
      <c r="K1163" s="8">
        <v>1.5</v>
      </c>
      <c r="O1163" s="1" t="s">
        <v>3641</v>
      </c>
      <c r="R1163" s="38">
        <f>R1162+C23</f>
        <v>9713.68</v>
      </c>
      <c r="W1163" s="4"/>
      <c r="AE1163" s="51"/>
    </row>
    <row r="1164" spans="6:31" ht="24" customHeight="1">
      <c r="K1164" s="5" t="s">
        <v>1615</v>
      </c>
      <c r="O1164" s="1" t="s">
        <v>3642</v>
      </c>
      <c r="R1164" s="38">
        <f>R1163+C23</f>
        <v>9959.86</v>
      </c>
      <c r="W1164" s="4"/>
      <c r="AE1164" s="51"/>
    </row>
    <row r="1165" spans="6:31" ht="24" customHeight="1">
      <c r="H1165" s="2" t="s">
        <v>1465</v>
      </c>
      <c r="K1165" s="8">
        <f>SUM(K1159:K1163)</f>
        <v>2011.98</v>
      </c>
      <c r="O1165" s="1" t="s">
        <v>3643</v>
      </c>
      <c r="R1165" s="38">
        <f>R1164+C23</f>
        <v>10206.040000000001</v>
      </c>
      <c r="W1165" s="4"/>
      <c r="AE1165" s="51"/>
    </row>
    <row r="1166" spans="6:31" ht="24" customHeight="1">
      <c r="K1166" s="5" t="s">
        <v>1615</v>
      </c>
      <c r="O1166" s="1" t="s">
        <v>3644</v>
      </c>
      <c r="R1166" s="38">
        <f>R1165+C23</f>
        <v>10452.219999999999</v>
      </c>
      <c r="W1166" s="4"/>
      <c r="AE1166" s="51"/>
    </row>
    <row r="1167" spans="6:31" ht="24" customHeight="1">
      <c r="H1167" s="58" t="s">
        <v>562</v>
      </c>
      <c r="K1167" s="38">
        <f>(K1165/10)</f>
        <v>201.2</v>
      </c>
      <c r="O1167" s="1" t="s">
        <v>3662</v>
      </c>
      <c r="R1167" s="38">
        <f>R1166+C23</f>
        <v>10698.4</v>
      </c>
      <c r="W1167" s="4"/>
      <c r="AE1167" s="51"/>
    </row>
    <row r="1168" spans="6:31" ht="24" customHeight="1">
      <c r="K1168" s="5" t="s">
        <v>2091</v>
      </c>
      <c r="O1168" t="s">
        <v>3663</v>
      </c>
      <c r="R1168" s="38">
        <f>R1167+C23</f>
        <v>10944.58</v>
      </c>
      <c r="W1168" s="4"/>
      <c r="AE1168" s="51"/>
    </row>
    <row r="1169" spans="6:33" ht="24" customHeight="1">
      <c r="R1169" s="38">
        <f>R1168+C23</f>
        <v>11190.76</v>
      </c>
      <c r="W1169" s="4"/>
      <c r="AE1169" s="51"/>
    </row>
    <row r="1170" spans="6:33" ht="24" customHeight="1">
      <c r="F1170" s="30">
        <v>23.3</v>
      </c>
      <c r="H1170" s="607" t="s">
        <v>2326</v>
      </c>
      <c r="I1170" s="607" t="s">
        <v>4400</v>
      </c>
      <c r="K1170" s="691">
        <v>52</v>
      </c>
      <c r="R1170" s="38">
        <f>R1169+C23</f>
        <v>11436.94</v>
      </c>
      <c r="S1170"/>
      <c r="W1170" s="4"/>
      <c r="AE1170" s="51"/>
    </row>
    <row r="1171" spans="6:33" ht="24" customHeight="1">
      <c r="M1171" s="50"/>
      <c r="O1171" s="36" t="s">
        <v>3544</v>
      </c>
      <c r="R1171" s="38">
        <f>R1170+C23</f>
        <v>11683.12</v>
      </c>
      <c r="S1171"/>
      <c r="W1171" s="4"/>
      <c r="AE1171" s="51"/>
    </row>
    <row r="1172" spans="6:33" ht="24" customHeight="1">
      <c r="M1172" s="50">
        <v>0.443</v>
      </c>
      <c r="N1172" t="s">
        <v>1365</v>
      </c>
      <c r="O1172" t="s">
        <v>3537</v>
      </c>
      <c r="P1172">
        <f t="shared" ref="P1172:P1178" si="159">P1141</f>
        <v>1704.69</v>
      </c>
      <c r="R1172">
        <f>P1172*M1172</f>
        <v>755.18</v>
      </c>
      <c r="S1172"/>
      <c r="W1172" s="4"/>
      <c r="AE1172" s="51"/>
    </row>
    <row r="1173" spans="6:33" ht="24" customHeight="1">
      <c r="F1173" s="2" t="s">
        <v>1467</v>
      </c>
      <c r="G1173" s="7" t="s">
        <v>2290</v>
      </c>
      <c r="H1173" s="1" t="s">
        <v>5119</v>
      </c>
      <c r="M1173" s="50">
        <v>0.29499999999999998</v>
      </c>
      <c r="N1173" t="s">
        <v>1365</v>
      </c>
      <c r="O1173" t="s">
        <v>3538</v>
      </c>
      <c r="P1173">
        <f t="shared" si="159"/>
        <v>1238.69</v>
      </c>
      <c r="R1173">
        <f t="shared" ref="R1173:R1179" si="160">P1173*M1173</f>
        <v>365.41</v>
      </c>
      <c r="S1173"/>
      <c r="W1173" s="4"/>
      <c r="AE1173" s="51"/>
    </row>
    <row r="1174" spans="6:33" ht="24" customHeight="1">
      <c r="H1174" s="1" t="s">
        <v>1468</v>
      </c>
      <c r="M1174" s="50">
        <v>0.43</v>
      </c>
      <c r="N1174" t="s">
        <v>1365</v>
      </c>
      <c r="O1174" t="s">
        <v>1086</v>
      </c>
      <c r="P1174">
        <f t="shared" si="159"/>
        <v>1608.7</v>
      </c>
      <c r="R1174">
        <f t="shared" si="160"/>
        <v>691.74</v>
      </c>
      <c r="S1174"/>
      <c r="W1174" s="4"/>
      <c r="AE1174" s="51"/>
    </row>
    <row r="1175" spans="6:33" ht="24" customHeight="1">
      <c r="H1175" s="5" t="s">
        <v>1615</v>
      </c>
      <c r="I1175" s="5" t="s">
        <v>1615</v>
      </c>
      <c r="M1175" s="50">
        <v>0.39</v>
      </c>
      <c r="N1175" t="s">
        <v>535</v>
      </c>
      <c r="O1175" t="s">
        <v>395</v>
      </c>
      <c r="P1175">
        <f t="shared" si="159"/>
        <v>6040</v>
      </c>
      <c r="R1175">
        <f t="shared" si="160"/>
        <v>2355.6</v>
      </c>
      <c r="S1175"/>
      <c r="W1175" s="4"/>
      <c r="AE1175" s="51"/>
    </row>
    <row r="1176" spans="6:33" ht="24" customHeight="1">
      <c r="F1176" s="15">
        <v>0.53339999999999999</v>
      </c>
      <c r="G1176" s="7" t="s">
        <v>2322</v>
      </c>
      <c r="H1176" s="504" t="s">
        <v>5881</v>
      </c>
      <c r="I1176" s="419">
        <v>306.89999999999998</v>
      </c>
      <c r="J1176" s="1" t="s">
        <v>2322</v>
      </c>
      <c r="K1176" s="8">
        <f>(F1176*I1176)</f>
        <v>163.69999999999999</v>
      </c>
      <c r="M1176" s="50">
        <v>0.35</v>
      </c>
      <c r="N1176" t="s">
        <v>1457</v>
      </c>
      <c r="O1176" t="s">
        <v>471</v>
      </c>
      <c r="P1176">
        <f t="shared" si="159"/>
        <v>972.4</v>
      </c>
      <c r="Q1176">
        <f>D1174</f>
        <v>0</v>
      </c>
      <c r="R1176">
        <f t="shared" si="160"/>
        <v>340.34</v>
      </c>
      <c r="S1176"/>
      <c r="W1176" s="4"/>
      <c r="AE1176" s="51"/>
    </row>
    <row r="1177" spans="6:33" ht="24" customHeight="1">
      <c r="F1177" s="8">
        <v>4.24</v>
      </c>
      <c r="G1177" s="7" t="s">
        <v>842</v>
      </c>
      <c r="H1177" s="692" t="s">
        <v>4401</v>
      </c>
      <c r="I1177" s="536">
        <v>35.61</v>
      </c>
      <c r="J1177" s="1" t="s">
        <v>842</v>
      </c>
      <c r="K1177" s="8">
        <f>(F1177*I1177)</f>
        <v>150.99</v>
      </c>
      <c r="M1177" s="50">
        <v>2.12</v>
      </c>
      <c r="N1177" t="s">
        <v>1457</v>
      </c>
      <c r="O1177" t="s">
        <v>3539</v>
      </c>
      <c r="P1177">
        <f t="shared" si="159"/>
        <v>679.8</v>
      </c>
      <c r="R1177">
        <f t="shared" si="160"/>
        <v>1441.18</v>
      </c>
      <c r="S1177"/>
      <c r="W1177" s="4"/>
      <c r="AE1177" s="51"/>
    </row>
    <row r="1178" spans="6:33" ht="24" customHeight="1">
      <c r="F1178" s="8">
        <v>16</v>
      </c>
      <c r="G1178" s="7" t="s">
        <v>570</v>
      </c>
      <c r="H1178" s="692" t="s">
        <v>4402</v>
      </c>
      <c r="I1178" s="536">
        <v>1</v>
      </c>
      <c r="J1178" s="1" t="s">
        <v>1423</v>
      </c>
      <c r="K1178" s="8">
        <f>(F1178*I1178)</f>
        <v>16</v>
      </c>
      <c r="M1178" s="50">
        <v>3.53</v>
      </c>
      <c r="N1178" t="s">
        <v>1457</v>
      </c>
      <c r="O1178" t="s">
        <v>3540</v>
      </c>
      <c r="P1178">
        <f t="shared" si="159"/>
        <v>557.70000000000005</v>
      </c>
      <c r="R1178">
        <f t="shared" si="160"/>
        <v>1968.68</v>
      </c>
      <c r="S1178"/>
      <c r="W1178" s="4"/>
      <c r="AE1178" s="51"/>
    </row>
    <row r="1179" spans="6:33" ht="24" customHeight="1">
      <c r="F1179" s="15">
        <v>0.53339999999999999</v>
      </c>
      <c r="G1179" s="7" t="s">
        <v>2322</v>
      </c>
      <c r="H1179" s="1" t="s">
        <v>720</v>
      </c>
      <c r="I1179" s="8">
        <f>0.25/1.08*D16</f>
        <v>225.09</v>
      </c>
      <c r="J1179" s="1" t="s">
        <v>2322</v>
      </c>
      <c r="K1179" s="8">
        <f>(F1179*I1179)</f>
        <v>120.06</v>
      </c>
      <c r="M1179" s="50">
        <v>1</v>
      </c>
      <c r="N1179" t="s">
        <v>1365</v>
      </c>
      <c r="O1179" t="s">
        <v>3541</v>
      </c>
      <c r="P1179">
        <f>R1148</f>
        <v>98.34</v>
      </c>
      <c r="R1179">
        <f t="shared" si="160"/>
        <v>98.34</v>
      </c>
      <c r="S1179"/>
      <c r="W1179" s="4"/>
      <c r="AE1179" s="51"/>
    </row>
    <row r="1180" spans="6:33" ht="24" customHeight="1">
      <c r="G1180" s="7" t="s">
        <v>455</v>
      </c>
      <c r="H1180" s="1" t="s">
        <v>2310</v>
      </c>
      <c r="J1180" s="1" t="s">
        <v>455</v>
      </c>
      <c r="K1180" s="8"/>
      <c r="M1180" s="416" t="s">
        <v>669</v>
      </c>
      <c r="O1180" t="s">
        <v>3542</v>
      </c>
      <c r="P1180" s="416" t="s">
        <v>669</v>
      </c>
      <c r="R1180">
        <v>270</v>
      </c>
      <c r="S1180"/>
      <c r="W1180" s="4"/>
      <c r="AE1180" s="51"/>
    </row>
    <row r="1181" spans="6:33" ht="24" customHeight="1">
      <c r="H1181" s="1" t="s">
        <v>2311</v>
      </c>
      <c r="M1181" s="416" t="s">
        <v>669</v>
      </c>
      <c r="O1181" t="s">
        <v>3543</v>
      </c>
      <c r="P1181" s="416" t="s">
        <v>669</v>
      </c>
      <c r="R1181">
        <v>150</v>
      </c>
      <c r="S1181"/>
      <c r="W1181" s="4"/>
      <c r="AE1181" s="51"/>
    </row>
    <row r="1182" spans="6:33" ht="24" customHeight="1">
      <c r="K1182" s="5" t="s">
        <v>1615</v>
      </c>
      <c r="M1182" s="416" t="s">
        <v>669</v>
      </c>
      <c r="O1182" t="s">
        <v>2310</v>
      </c>
      <c r="P1182" s="416" t="s">
        <v>669</v>
      </c>
      <c r="R1182">
        <v>0.45</v>
      </c>
      <c r="S1182">
        <f>C22</f>
        <v>124.96</v>
      </c>
      <c r="T1182">
        <f>C23</f>
        <v>246.18</v>
      </c>
      <c r="W1182" s="4"/>
      <c r="AE1182" s="51"/>
      <c r="AG1182" s="1" t="s">
        <v>2298</v>
      </c>
    </row>
    <row r="1183" spans="6:33" ht="24" customHeight="1">
      <c r="H1183" s="2" t="s">
        <v>1726</v>
      </c>
      <c r="K1183" s="8">
        <f>SUM(K1176:K1180)</f>
        <v>450.75</v>
      </c>
      <c r="M1183" s="50"/>
      <c r="O1183" t="s">
        <v>3667</v>
      </c>
      <c r="R1183" s="36">
        <f>SUM(R1172:R1182)</f>
        <v>8436.92</v>
      </c>
      <c r="S1183"/>
      <c r="W1183" s="4"/>
      <c r="AE1183" s="51"/>
      <c r="AG1183" s="1" t="s">
        <v>2298</v>
      </c>
    </row>
    <row r="1184" spans="6:33" ht="24" customHeight="1">
      <c r="K1184" s="5" t="s">
        <v>1615</v>
      </c>
      <c r="M1184" s="50"/>
      <c r="O1184" t="s">
        <v>391</v>
      </c>
      <c r="R1184">
        <f>R1183+C22</f>
        <v>8561.8799999999992</v>
      </c>
      <c r="W1184" s="4"/>
      <c r="AE1184" s="51"/>
      <c r="AG1184" s="1" t="s">
        <v>2298</v>
      </c>
    </row>
    <row r="1185" spans="6:37" ht="24" customHeight="1">
      <c r="H1185" s="2" t="s">
        <v>1727</v>
      </c>
      <c r="K1185" s="38">
        <f>ROUND(K1183/0.5334,1)</f>
        <v>845.1</v>
      </c>
      <c r="R1185">
        <f>R1184+C23</f>
        <v>8808.06</v>
      </c>
      <c r="W1185" s="4"/>
      <c r="AE1185" s="51"/>
      <c r="AG1185" s="1" t="s">
        <v>2298</v>
      </c>
    </row>
    <row r="1186" spans="6:37" ht="24" customHeight="1">
      <c r="F1186" s="1" t="s">
        <v>992</v>
      </c>
      <c r="K1186" s="5" t="s">
        <v>2091</v>
      </c>
      <c r="R1186">
        <f>R1185+C23</f>
        <v>9054.24</v>
      </c>
      <c r="W1186" s="4"/>
      <c r="Y1186" s="30">
        <v>15.1</v>
      </c>
      <c r="Z1186" s="7" t="s">
        <v>1791</v>
      </c>
      <c r="AA1186" s="33" t="s">
        <v>4423</v>
      </c>
      <c r="AC1186" s="4"/>
      <c r="AE1186" s="51"/>
      <c r="AF1186" s="30">
        <v>15.1</v>
      </c>
      <c r="AG1186" s="7" t="s">
        <v>1791</v>
      </c>
      <c r="AH1186" s="698" t="s">
        <v>4422</v>
      </c>
      <c r="AJ1186" s="4"/>
    </row>
    <row r="1187" spans="6:37" ht="24" customHeight="1">
      <c r="F1187" s="1" t="s">
        <v>992</v>
      </c>
      <c r="G1187" s="7" t="s">
        <v>992</v>
      </c>
      <c r="H1187" s="1" t="s">
        <v>992</v>
      </c>
      <c r="W1187" s="4"/>
      <c r="Z1187" s="3"/>
      <c r="AA1187" s="1" t="s">
        <v>2320</v>
      </c>
      <c r="AC1187" s="4"/>
      <c r="AE1187" s="51"/>
      <c r="AG1187" s="3"/>
      <c r="AH1187" s="1" t="s">
        <v>2320</v>
      </c>
      <c r="AJ1187" s="4"/>
    </row>
    <row r="1188" spans="6:37" ht="53.25" customHeight="1">
      <c r="F1188" s="2" t="s">
        <v>1832</v>
      </c>
      <c r="G1188" s="7" t="s">
        <v>2290</v>
      </c>
      <c r="H1188" s="1" t="s">
        <v>1518</v>
      </c>
      <c r="M1188" s="1099" t="s">
        <v>1467</v>
      </c>
      <c r="N1188" s="7" t="s">
        <v>2290</v>
      </c>
      <c r="O1188" s="1" t="s">
        <v>5882</v>
      </c>
      <c r="Q1188" s="10"/>
      <c r="W1188" s="4"/>
      <c r="Y1188" s="8">
        <v>10</v>
      </c>
      <c r="Z1188" s="7" t="s">
        <v>2322</v>
      </c>
      <c r="AA1188" s="22" t="s">
        <v>5120</v>
      </c>
      <c r="AB1188" s="419">
        <v>1737</v>
      </c>
      <c r="AC1188" s="2" t="s">
        <v>2322</v>
      </c>
      <c r="AD1188" s="8">
        <f>(Y1188*AB1188)</f>
        <v>17370</v>
      </c>
      <c r="AE1188" s="51" t="str">
        <f>AG1188</f>
        <v>Sqm</v>
      </c>
      <c r="AF1188" s="8">
        <v>10</v>
      </c>
      <c r="AG1188" s="7" t="s">
        <v>2322</v>
      </c>
      <c r="AH1188" s="22" t="s">
        <v>5121</v>
      </c>
      <c r="AI1188" s="419">
        <v>1737</v>
      </c>
      <c r="AJ1188" s="2" t="s">
        <v>2322</v>
      </c>
      <c r="AK1188" s="8">
        <f>(AF1188*AI1188)</f>
        <v>17370</v>
      </c>
    </row>
    <row r="1189" spans="6:37" ht="24" customHeight="1">
      <c r="H1189" s="1" t="s">
        <v>161</v>
      </c>
      <c r="N1189" s="3"/>
      <c r="O1189" s="1" t="s">
        <v>1468</v>
      </c>
      <c r="Q1189" s="10"/>
      <c r="W1189" s="4"/>
      <c r="Y1189" s="8">
        <v>0.12</v>
      </c>
      <c r="Z1189" s="7" t="s">
        <v>885</v>
      </c>
      <c r="AA1189" s="1" t="s">
        <v>800</v>
      </c>
      <c r="AB1189" s="715">
        <f>P1333</f>
        <v>4628.8999999999996</v>
      </c>
      <c r="AC1189" s="2" t="s">
        <v>885</v>
      </c>
      <c r="AD1189" s="8">
        <f>(Y1189*AB1189)</f>
        <v>555.47</v>
      </c>
      <c r="AE1189" s="51" t="str">
        <f>AG1189</f>
        <v>CUM</v>
      </c>
      <c r="AF1189" s="8">
        <v>0.12</v>
      </c>
      <c r="AG1189" s="7" t="s">
        <v>885</v>
      </c>
      <c r="AH1189" s="1" t="s">
        <v>800</v>
      </c>
      <c r="AI1189" s="419">
        <f>AB1189</f>
        <v>4628.8999999999996</v>
      </c>
      <c r="AJ1189" s="2" t="s">
        <v>885</v>
      </c>
      <c r="AK1189" s="8">
        <f>(AF1189*AI1189)</f>
        <v>555.47</v>
      </c>
    </row>
    <row r="1190" spans="6:37" ht="24" customHeight="1">
      <c r="H1190" s="5" t="s">
        <v>1615</v>
      </c>
      <c r="N1190" s="3"/>
      <c r="O1190" s="5" t="s">
        <v>1615</v>
      </c>
      <c r="P1190" s="5" t="s">
        <v>1615</v>
      </c>
      <c r="Q1190" s="10"/>
      <c r="W1190" s="4"/>
      <c r="Y1190" s="8">
        <v>1</v>
      </c>
      <c r="Z1190" s="7" t="s">
        <v>570</v>
      </c>
      <c r="AA1190" s="1" t="s">
        <v>571</v>
      </c>
      <c r="AB1190" s="715">
        <f>P1334</f>
        <v>1041.7</v>
      </c>
      <c r="AC1190" s="2" t="s">
        <v>1423</v>
      </c>
      <c r="AD1190" s="8">
        <f>(Y1190*AB1190)</f>
        <v>1041.7</v>
      </c>
      <c r="AE1190" s="51" t="str">
        <f>AG1190</f>
        <v>No.</v>
      </c>
      <c r="AF1190" s="8">
        <v>1</v>
      </c>
      <c r="AG1190" s="7" t="s">
        <v>570</v>
      </c>
      <c r="AH1190" s="1" t="s">
        <v>571</v>
      </c>
      <c r="AI1190" s="419">
        <f>AB1190</f>
        <v>1041.7</v>
      </c>
      <c r="AJ1190" s="2" t="s">
        <v>1423</v>
      </c>
      <c r="AK1190" s="8">
        <f>(AF1190*AI1190)</f>
        <v>1041.7</v>
      </c>
    </row>
    <row r="1191" spans="6:37" ht="24" customHeight="1">
      <c r="F1191" s="8">
        <v>1</v>
      </c>
      <c r="G1191" s="7" t="s">
        <v>1676</v>
      </c>
      <c r="H1191" s="1" t="s">
        <v>5122</v>
      </c>
      <c r="I1191" s="554">
        <f>D660</f>
        <v>69.599999999999994</v>
      </c>
      <c r="J1191" s="1" t="s">
        <v>1676</v>
      </c>
      <c r="K1191" s="38">
        <f>(F1191*I1191)</f>
        <v>69.599999999999994</v>
      </c>
      <c r="M1191" s="15">
        <v>0.53339999999999999</v>
      </c>
      <c r="N1191" s="7" t="s">
        <v>2322</v>
      </c>
      <c r="O1191" s="504" t="s">
        <v>5843</v>
      </c>
      <c r="P1191" s="419">
        <v>362.5</v>
      </c>
      <c r="Q1191" s="1" t="s">
        <v>2322</v>
      </c>
      <c r="R1191" s="8">
        <f>(M1191*P1191)</f>
        <v>193.36</v>
      </c>
      <c r="W1191" s="4"/>
      <c r="Y1191" s="8">
        <v>1</v>
      </c>
      <c r="Z1191" s="7" t="s">
        <v>570</v>
      </c>
      <c r="AA1191" s="1" t="s">
        <v>4843</v>
      </c>
      <c r="AB1191" s="715">
        <f>P1335</f>
        <v>679.8</v>
      </c>
      <c r="AC1191" s="2" t="s">
        <v>1423</v>
      </c>
      <c r="AD1191" s="8">
        <f>(Y1191*AB1191)</f>
        <v>679.8</v>
      </c>
      <c r="AE1191" s="51" t="str">
        <f>AG1191</f>
        <v>No.</v>
      </c>
      <c r="AF1191" s="8">
        <v>1</v>
      </c>
      <c r="AG1191" s="7" t="s">
        <v>570</v>
      </c>
      <c r="AH1191" s="1" t="s">
        <v>4844</v>
      </c>
      <c r="AI1191" s="419">
        <f>AB1191</f>
        <v>679.8</v>
      </c>
      <c r="AJ1191" s="2" t="s">
        <v>1423</v>
      </c>
      <c r="AK1191" s="8">
        <f>(AF1191*AI1191)</f>
        <v>679.8</v>
      </c>
    </row>
    <row r="1192" spans="6:37" ht="24" customHeight="1">
      <c r="K1192" s="5" t="s">
        <v>2091</v>
      </c>
      <c r="M1192" s="8">
        <v>4.24</v>
      </c>
      <c r="N1192" s="7" t="s">
        <v>842</v>
      </c>
      <c r="O1192" s="692" t="s">
        <v>4401</v>
      </c>
      <c r="P1192" s="536">
        <f>I1177</f>
        <v>35.61</v>
      </c>
      <c r="Q1192" s="1" t="s">
        <v>842</v>
      </c>
      <c r="R1192" s="8">
        <f>(M1192*P1192)</f>
        <v>150.99</v>
      </c>
      <c r="W1192" s="4"/>
      <c r="Y1192" s="8"/>
      <c r="Z1192" s="7" t="s">
        <v>455</v>
      </c>
      <c r="AA1192" s="1" t="s">
        <v>61</v>
      </c>
      <c r="AC1192" s="2" t="s">
        <v>455</v>
      </c>
      <c r="AD1192" s="8">
        <v>0.33</v>
      </c>
      <c r="AF1192" s="8"/>
      <c r="AG1192" s="7" t="s">
        <v>455</v>
      </c>
      <c r="AH1192" s="1" t="s">
        <v>61</v>
      </c>
      <c r="AJ1192" s="2" t="s">
        <v>455</v>
      </c>
      <c r="AK1192" s="8">
        <v>0.33</v>
      </c>
    </row>
    <row r="1193" spans="6:37" ht="24" customHeight="1">
      <c r="F1193" s="2">
        <v>39</v>
      </c>
      <c r="H1193" s="504" t="s">
        <v>5123</v>
      </c>
      <c r="I1193" s="554">
        <f>C660</f>
        <v>70.150000000000006</v>
      </c>
      <c r="J1193" s="1" t="s">
        <v>1676</v>
      </c>
      <c r="K1193" s="164">
        <f>I1193</f>
        <v>70.150000000000006</v>
      </c>
      <c r="M1193" s="8">
        <v>16</v>
      </c>
      <c r="N1193" s="7" t="s">
        <v>570</v>
      </c>
      <c r="O1193" s="692" t="s">
        <v>4402</v>
      </c>
      <c r="P1193" s="536">
        <f t="shared" ref="P1193:P1194" si="161">I1178</f>
        <v>1</v>
      </c>
      <c r="Q1193" s="1" t="s">
        <v>1423</v>
      </c>
      <c r="R1193" s="8">
        <f>(M1193*P1193)</f>
        <v>16</v>
      </c>
      <c r="W1193" s="4"/>
      <c r="Y1193" s="8"/>
      <c r="Z1193" s="3"/>
      <c r="AA1193" s="1" t="s">
        <v>947</v>
      </c>
      <c r="AD1193" s="4"/>
      <c r="AE1193" s="5" t="s">
        <v>1615</v>
      </c>
      <c r="AF1193" s="8"/>
      <c r="AG1193" s="3"/>
      <c r="AH1193" s="1" t="s">
        <v>947</v>
      </c>
      <c r="AK1193" s="4"/>
    </row>
    <row r="1194" spans="6:37" ht="24" customHeight="1">
      <c r="F1194" s="2" t="s">
        <v>451</v>
      </c>
      <c r="G1194" s="7" t="s">
        <v>2290</v>
      </c>
      <c r="H1194" s="1" t="s">
        <v>4403</v>
      </c>
      <c r="I1194" s="1" t="s">
        <v>992</v>
      </c>
      <c r="J1194" s="1" t="s">
        <v>1748</v>
      </c>
      <c r="K1194" s="693">
        <v>9.6</v>
      </c>
      <c r="M1194" s="15">
        <v>0.53339999999999999</v>
      </c>
      <c r="N1194" s="7" t="s">
        <v>2322</v>
      </c>
      <c r="O1194" s="1" t="s">
        <v>720</v>
      </c>
      <c r="P1194" s="536">
        <f t="shared" si="161"/>
        <v>225.09</v>
      </c>
      <c r="Q1194" s="1" t="s">
        <v>2322</v>
      </c>
      <c r="R1194" s="8">
        <f>(M1194*P1194)</f>
        <v>120.06</v>
      </c>
      <c r="W1194" s="4"/>
      <c r="Y1194" s="8"/>
      <c r="Z1194" s="3"/>
      <c r="AA1194" s="2" t="s">
        <v>412</v>
      </c>
      <c r="AC1194" s="4"/>
      <c r="AD1194" s="8">
        <f>SUM(AD1188:AD1193)</f>
        <v>19647.3</v>
      </c>
      <c r="AE1194" s="8">
        <f>SUM(AE1188:AE1192)</f>
        <v>0</v>
      </c>
      <c r="AF1194" s="8"/>
      <c r="AG1194" s="3"/>
      <c r="AH1194" s="2" t="s">
        <v>412</v>
      </c>
      <c r="AJ1194" s="4"/>
      <c r="AK1194" s="8">
        <f>SUM(AK1188:AK1193)</f>
        <v>19647.3</v>
      </c>
    </row>
    <row r="1195" spans="6:37" ht="24" customHeight="1">
      <c r="H1195" s="1" t="s">
        <v>266</v>
      </c>
      <c r="K1195" s="5" t="s">
        <v>2091</v>
      </c>
      <c r="N1195" s="7" t="s">
        <v>455</v>
      </c>
      <c r="O1195" s="1" t="s">
        <v>2310</v>
      </c>
      <c r="Q1195" s="1" t="s">
        <v>455</v>
      </c>
      <c r="R1195" s="8"/>
      <c r="W1195" s="4"/>
      <c r="Z1195" s="3"/>
      <c r="AC1195" s="4"/>
      <c r="AD1195" s="5" t="s">
        <v>1615</v>
      </c>
      <c r="AE1195" s="5" t="s">
        <v>1615</v>
      </c>
      <c r="AG1195" s="3"/>
      <c r="AJ1195" s="4"/>
      <c r="AK1195" s="5" t="s">
        <v>1615</v>
      </c>
    </row>
    <row r="1196" spans="6:37" ht="24" customHeight="1">
      <c r="N1196" s="3"/>
      <c r="O1196" s="1" t="s">
        <v>2311</v>
      </c>
      <c r="Q1196" s="10"/>
      <c r="W1196" s="4"/>
      <c r="Z1196" s="3"/>
      <c r="AA1196" s="2" t="s">
        <v>416</v>
      </c>
      <c r="AD1196" s="38">
        <f>AD1194/10</f>
        <v>1964.73</v>
      </c>
      <c r="AG1196" s="3"/>
      <c r="AH1196" s="2" t="s">
        <v>416</v>
      </c>
      <c r="AK1196" s="38">
        <f>AK1194/10</f>
        <v>1964.73</v>
      </c>
    </row>
    <row r="1197" spans="6:37" ht="24" customHeight="1">
      <c r="F1197" s="2" t="s">
        <v>228</v>
      </c>
      <c r="G1197" s="7" t="s">
        <v>2290</v>
      </c>
      <c r="H1197" s="1" t="s">
        <v>1958</v>
      </c>
      <c r="N1197" s="3"/>
      <c r="Q1197" s="10"/>
      <c r="R1197" s="5" t="s">
        <v>1615</v>
      </c>
      <c r="W1197" s="4"/>
      <c r="Z1197" s="3"/>
      <c r="AA1197" s="1" t="s">
        <v>391</v>
      </c>
      <c r="AC1197" s="4">
        <f>C22*0.02</f>
        <v>2.5</v>
      </c>
      <c r="AD1197" s="8">
        <f>AD1196+AC1197</f>
        <v>1967.23</v>
      </c>
      <c r="AG1197" s="3"/>
      <c r="AH1197" s="1" t="s">
        <v>391</v>
      </c>
      <c r="AJ1197" s="4">
        <f>C22*0.01</f>
        <v>1.25</v>
      </c>
      <c r="AK1197" s="8">
        <f>AK1196+AJ1197</f>
        <v>1965.98</v>
      </c>
    </row>
    <row r="1198" spans="6:37" ht="24" customHeight="1">
      <c r="H1198" s="1" t="s">
        <v>949</v>
      </c>
      <c r="N1198" s="3"/>
      <c r="O1198" s="1099" t="s">
        <v>1726</v>
      </c>
      <c r="Q1198" s="10"/>
      <c r="R1198" s="8">
        <f>SUM(R1191:R1195)</f>
        <v>480.41</v>
      </c>
      <c r="W1198" s="4"/>
      <c r="Z1198" s="3"/>
      <c r="AA1198" s="1" t="s">
        <v>393</v>
      </c>
      <c r="AC1198" s="4">
        <f>C23*0.02</f>
        <v>4.92</v>
      </c>
      <c r="AD1198" s="8">
        <f>AD1197+AC1198</f>
        <v>1972.15</v>
      </c>
      <c r="AG1198" s="3"/>
      <c r="AH1198" s="1" t="s">
        <v>393</v>
      </c>
      <c r="AJ1198" s="4">
        <f>C23*0.01</f>
        <v>2.46</v>
      </c>
      <c r="AK1198" s="8">
        <f>AK1197+AJ1198</f>
        <v>1968.44</v>
      </c>
    </row>
    <row r="1199" spans="6:37" ht="24" customHeight="1">
      <c r="H1199" s="5" t="s">
        <v>1615</v>
      </c>
      <c r="N1199" s="3"/>
      <c r="Q1199" s="10"/>
      <c r="R1199" s="5" t="s">
        <v>1615</v>
      </c>
      <c r="W1199" s="4"/>
      <c r="Z1199" s="3"/>
      <c r="AA1199" s="1" t="s">
        <v>2271</v>
      </c>
      <c r="AC1199" s="4">
        <f t="shared" ref="AC1199:AC1208" si="162">AC1198</f>
        <v>4.92</v>
      </c>
      <c r="AD1199" s="8">
        <f t="shared" ref="AD1199:AD1208" si="163">+AD1198+AC1199</f>
        <v>1977.07</v>
      </c>
      <c r="AG1199" s="3"/>
      <c r="AH1199" s="1" t="s">
        <v>2271</v>
      </c>
      <c r="AJ1199" s="4">
        <f>C24*0.01</f>
        <v>2.46</v>
      </c>
      <c r="AK1199" s="8">
        <f t="shared" ref="AK1199:AK1206" si="164">+AK1198+AJ1199</f>
        <v>1970.9</v>
      </c>
    </row>
    <row r="1200" spans="6:37" ht="24" customHeight="1">
      <c r="F1200" s="8">
        <v>0.22</v>
      </c>
      <c r="G1200" s="7" t="s">
        <v>885</v>
      </c>
      <c r="H1200" s="1" t="s">
        <v>1331</v>
      </c>
      <c r="I1200" s="8">
        <f>K40</f>
        <v>3904.1</v>
      </c>
      <c r="J1200" s="1" t="s">
        <v>885</v>
      </c>
      <c r="K1200" s="8">
        <f>(F1200*I1200)</f>
        <v>858.9</v>
      </c>
      <c r="N1200" s="3"/>
      <c r="O1200" s="1099" t="s">
        <v>1727</v>
      </c>
      <c r="Q1200" s="10"/>
      <c r="R1200" s="38">
        <f>ROUND(R1198/0.5334,1)</f>
        <v>900.7</v>
      </c>
      <c r="W1200" s="4"/>
      <c r="Z1200" s="3"/>
      <c r="AA1200" s="1" t="s">
        <v>385</v>
      </c>
      <c r="AC1200" s="4">
        <f t="shared" si="162"/>
        <v>4.92</v>
      </c>
      <c r="AD1200" s="8">
        <f t="shared" si="163"/>
        <v>1981.99</v>
      </c>
      <c r="AG1200" s="3"/>
      <c r="AH1200" s="1" t="s">
        <v>385</v>
      </c>
      <c r="AJ1200" s="4">
        <v>1.95</v>
      </c>
      <c r="AK1200" s="8">
        <f t="shared" si="164"/>
        <v>1972.85</v>
      </c>
    </row>
    <row r="1201" spans="6:37" ht="24" customHeight="1">
      <c r="F1201" s="8">
        <v>2.2000000000000002</v>
      </c>
      <c r="G1201" s="7" t="s">
        <v>785</v>
      </c>
      <c r="H1201" s="1" t="s">
        <v>2045</v>
      </c>
      <c r="I1201" s="8">
        <f>(C10)</f>
        <v>1041.7</v>
      </c>
      <c r="J1201" s="1" t="s">
        <v>785</v>
      </c>
      <c r="K1201" s="8">
        <f>(F1201*I1201)</f>
        <v>2291.7399999999998</v>
      </c>
      <c r="M1201" s="1" t="s">
        <v>992</v>
      </c>
      <c r="N1201" s="3"/>
      <c r="Q1201" s="10"/>
      <c r="R1201" s="5" t="s">
        <v>2091</v>
      </c>
      <c r="W1201" s="4"/>
      <c r="Z1201" s="3"/>
      <c r="AA1201" s="1" t="s">
        <v>1388</v>
      </c>
      <c r="AC1201" s="4">
        <f t="shared" si="162"/>
        <v>4.92</v>
      </c>
      <c r="AD1201" s="8">
        <f t="shared" si="163"/>
        <v>1986.91</v>
      </c>
      <c r="AG1201" s="3"/>
      <c r="AH1201" s="1" t="s">
        <v>1388</v>
      </c>
      <c r="AJ1201" s="4">
        <v>1.95</v>
      </c>
      <c r="AK1201" s="8">
        <f t="shared" si="164"/>
        <v>1974.8</v>
      </c>
    </row>
    <row r="1202" spans="6:37" ht="24" customHeight="1">
      <c r="F1202" s="8">
        <v>0.5</v>
      </c>
      <c r="G1202" s="7" t="s">
        <v>785</v>
      </c>
      <c r="H1202" s="1" t="s">
        <v>950</v>
      </c>
      <c r="I1202" s="8">
        <f>(C12)</f>
        <v>679.8</v>
      </c>
      <c r="J1202" s="1" t="s">
        <v>785</v>
      </c>
      <c r="K1202" s="8">
        <f>(F1202*I1202)</f>
        <v>339.9</v>
      </c>
      <c r="W1202" s="4"/>
      <c r="Z1202" s="3"/>
      <c r="AA1202">
        <v>5</v>
      </c>
      <c r="AC1202" s="4">
        <f t="shared" si="162"/>
        <v>4.92</v>
      </c>
      <c r="AD1202" s="8">
        <f t="shared" si="163"/>
        <v>1991.83</v>
      </c>
      <c r="AE1202" s="51">
        <f>AG1202</f>
        <v>0</v>
      </c>
      <c r="AG1202" s="3"/>
      <c r="AH1202">
        <v>5</v>
      </c>
      <c r="AJ1202" s="4">
        <f>AC1202</f>
        <v>4.92</v>
      </c>
      <c r="AK1202" s="8">
        <f t="shared" si="164"/>
        <v>1979.72</v>
      </c>
    </row>
    <row r="1203" spans="6:37" ht="24" customHeight="1">
      <c r="F1203" s="8">
        <v>3.2</v>
      </c>
      <c r="G1203" s="7" t="s">
        <v>785</v>
      </c>
      <c r="H1203" s="1" t="s">
        <v>325</v>
      </c>
      <c r="I1203" s="8">
        <f>(C13)</f>
        <v>557.70000000000005</v>
      </c>
      <c r="J1203" s="1" t="s">
        <v>785</v>
      </c>
      <c r="K1203" s="8">
        <f>(F1203*I1203)</f>
        <v>1784.64</v>
      </c>
      <c r="W1203" s="4"/>
      <c r="AA1203">
        <v>6</v>
      </c>
      <c r="AC1203" s="4">
        <f t="shared" si="162"/>
        <v>4.92</v>
      </c>
      <c r="AD1203" s="8">
        <f t="shared" si="163"/>
        <v>1996.75</v>
      </c>
      <c r="AE1203" s="51">
        <f>AG1203</f>
        <v>0</v>
      </c>
      <c r="AH1203">
        <v>6</v>
      </c>
      <c r="AJ1203" s="4">
        <f>AC1203</f>
        <v>4.92</v>
      </c>
      <c r="AK1203" s="8">
        <f t="shared" si="164"/>
        <v>1984.64</v>
      </c>
    </row>
    <row r="1204" spans="6:37" ht="24" customHeight="1">
      <c r="F1204" s="8"/>
      <c r="G1204" s="7"/>
      <c r="H1204" s="1"/>
      <c r="I1204" s="8"/>
      <c r="J1204" s="1"/>
      <c r="K1204" s="8"/>
      <c r="W1204" s="4"/>
      <c r="AA1204">
        <v>7</v>
      </c>
      <c r="AC1204" s="4">
        <f t="shared" si="162"/>
        <v>4.92</v>
      </c>
      <c r="AD1204" s="8">
        <f t="shared" si="163"/>
        <v>2001.67</v>
      </c>
      <c r="AE1204" s="51"/>
      <c r="AH1204">
        <v>7</v>
      </c>
      <c r="AJ1204" s="4">
        <f>AC1204</f>
        <v>4.92</v>
      </c>
      <c r="AK1204" s="8">
        <f t="shared" si="164"/>
        <v>1989.56</v>
      </c>
    </row>
    <row r="1205" spans="6:37" ht="24" customHeight="1">
      <c r="F1205" s="8"/>
      <c r="G1205" s="7"/>
      <c r="H1205" s="1"/>
      <c r="I1205" s="8"/>
      <c r="J1205" s="1"/>
      <c r="K1205" s="8"/>
      <c r="W1205" s="4"/>
      <c r="AA1205">
        <v>8</v>
      </c>
      <c r="AC1205" s="4">
        <f t="shared" si="162"/>
        <v>4.92</v>
      </c>
      <c r="AD1205" s="8">
        <f t="shared" si="163"/>
        <v>2006.59</v>
      </c>
      <c r="AE1205" s="51"/>
      <c r="AH1205">
        <v>8</v>
      </c>
      <c r="AJ1205" s="4">
        <f>AC1205</f>
        <v>4.92</v>
      </c>
      <c r="AK1205" s="8">
        <f t="shared" si="164"/>
        <v>1994.48</v>
      </c>
    </row>
    <row r="1206" spans="6:37" ht="24" customHeight="1">
      <c r="F1206" s="8"/>
      <c r="G1206" s="7"/>
      <c r="H1206" s="1"/>
      <c r="I1206" s="8"/>
      <c r="J1206" s="1"/>
      <c r="K1206" s="8"/>
      <c r="W1206" s="4"/>
      <c r="AA1206">
        <v>9</v>
      </c>
      <c r="AC1206" s="4">
        <f t="shared" si="162"/>
        <v>4.92</v>
      </c>
      <c r="AD1206" s="8">
        <f t="shared" si="163"/>
        <v>2011.51</v>
      </c>
      <c r="AE1206" s="51"/>
      <c r="AF1206" t="s">
        <v>4826</v>
      </c>
      <c r="AH1206">
        <v>9</v>
      </c>
      <c r="AJ1206" s="4">
        <f>AC1206</f>
        <v>4.92</v>
      </c>
      <c r="AK1206" s="8">
        <f t="shared" si="164"/>
        <v>1999.4</v>
      </c>
    </row>
    <row r="1207" spans="6:37" ht="24" customHeight="1">
      <c r="F1207" s="8"/>
      <c r="G1207" s="7"/>
      <c r="H1207" s="1"/>
      <c r="I1207" s="8"/>
      <c r="J1207" s="1"/>
      <c r="K1207" s="8"/>
      <c r="W1207" s="4"/>
      <c r="AA1207">
        <v>10</v>
      </c>
      <c r="AC1207" s="4">
        <f t="shared" si="162"/>
        <v>4.92</v>
      </c>
      <c r="AD1207" s="8">
        <f t="shared" si="163"/>
        <v>2016.43</v>
      </c>
      <c r="AE1207" s="51"/>
      <c r="AG1207" s="1"/>
    </row>
    <row r="1208" spans="6:37" ht="24" customHeight="1">
      <c r="F1208" s="8"/>
      <c r="G1208" s="7"/>
      <c r="H1208" s="1"/>
      <c r="I1208" s="8"/>
      <c r="J1208" s="1"/>
      <c r="K1208" s="8"/>
      <c r="W1208" s="4"/>
      <c r="AA1208">
        <v>11</v>
      </c>
      <c r="AC1208" s="4">
        <f t="shared" si="162"/>
        <v>4.92</v>
      </c>
      <c r="AD1208" s="8">
        <f t="shared" si="163"/>
        <v>2021.35</v>
      </c>
      <c r="AE1208" s="51"/>
      <c r="AG1208" s="1"/>
    </row>
    <row r="1209" spans="6:37" ht="24" customHeight="1">
      <c r="G1209" s="7" t="s">
        <v>455</v>
      </c>
      <c r="H1209" s="1" t="s">
        <v>456</v>
      </c>
      <c r="I1209" s="1" t="s">
        <v>992</v>
      </c>
      <c r="J1209" s="1" t="s">
        <v>455</v>
      </c>
      <c r="K1209" s="8">
        <v>5</v>
      </c>
      <c r="N1209" s="3"/>
      <c r="Q1209" s="4"/>
      <c r="W1209" s="4"/>
      <c r="Y1209" s="24">
        <v>29.5</v>
      </c>
      <c r="Z1209" s="7" t="s">
        <v>2290</v>
      </c>
      <c r="AA1209" s="33" t="s">
        <v>5873</v>
      </c>
      <c r="AE1209" s="51" t="str">
        <f t="shared" ref="AE1209:AE1277" si="165">AG1209</f>
        <v>|</v>
      </c>
      <c r="AG1209" s="1" t="s">
        <v>2298</v>
      </c>
    </row>
    <row r="1210" spans="6:37" ht="24" customHeight="1">
      <c r="K1210" s="5" t="s">
        <v>1615</v>
      </c>
      <c r="N1210" s="3"/>
      <c r="Q1210" s="4"/>
      <c r="W1210" s="4"/>
      <c r="Z1210" s="3"/>
      <c r="AA1210" s="33" t="s">
        <v>3900</v>
      </c>
      <c r="AE1210" s="51" t="str">
        <f t="shared" si="165"/>
        <v>|</v>
      </c>
      <c r="AG1210" s="1" t="s">
        <v>2298</v>
      </c>
    </row>
    <row r="1211" spans="6:37" ht="24" customHeight="1">
      <c r="H1211" s="1" t="s">
        <v>447</v>
      </c>
      <c r="K1211" s="8">
        <f>SUM(K1200:K1209)</f>
        <v>5280.18</v>
      </c>
      <c r="N1211" s="3"/>
      <c r="Q1211" s="4"/>
      <c r="W1211" s="4"/>
      <c r="Z1211" s="3"/>
      <c r="AA1211" s="1"/>
      <c r="AE1211" s="51" t="str">
        <f t="shared" si="165"/>
        <v>|</v>
      </c>
      <c r="AG1211" s="1" t="s">
        <v>2298</v>
      </c>
    </row>
    <row r="1212" spans="6:37" ht="36.75" customHeight="1">
      <c r="F1212" t="s">
        <v>992</v>
      </c>
      <c r="K1212" s="5" t="s">
        <v>1615</v>
      </c>
      <c r="N1212" s="3"/>
      <c r="O1212" s="216" t="s">
        <v>1555</v>
      </c>
      <c r="Q1212" s="4"/>
      <c r="W1212" s="4"/>
      <c r="Z1212" s="3"/>
      <c r="AA1212" s="5" t="s">
        <v>1615</v>
      </c>
      <c r="AB1212" s="5" t="s">
        <v>1615</v>
      </c>
      <c r="AC1212" s="10">
        <f>54.96*10.764</f>
        <v>591.59</v>
      </c>
      <c r="AE1212" s="51" t="str">
        <f t="shared" si="165"/>
        <v>|</v>
      </c>
      <c r="AG1212" s="1" t="s">
        <v>2298</v>
      </c>
    </row>
    <row r="1213" spans="6:37" ht="30" customHeight="1">
      <c r="H1213" s="58" t="s">
        <v>562</v>
      </c>
      <c r="K1213" s="38">
        <f>(K1211/10)</f>
        <v>528.02</v>
      </c>
      <c r="N1213" s="3"/>
      <c r="Q1213" s="4"/>
      <c r="W1213" s="4"/>
      <c r="Y1213" s="8">
        <v>10</v>
      </c>
      <c r="Z1213" s="7" t="s">
        <v>621</v>
      </c>
      <c r="AA1213" s="26" t="s">
        <v>5874</v>
      </c>
      <c r="AB1213" s="419">
        <v>1626</v>
      </c>
      <c r="AC1213" s="1" t="s">
        <v>621</v>
      </c>
      <c r="AD1213" s="8">
        <f>(Y1213*AB1213)</f>
        <v>16260</v>
      </c>
      <c r="AE1213" s="51" t="str">
        <f t="shared" si="165"/>
        <v>|</v>
      </c>
      <c r="AG1213" s="1" t="s">
        <v>2298</v>
      </c>
    </row>
    <row r="1214" spans="6:37" ht="24" customHeight="1">
      <c r="K1214" s="5" t="s">
        <v>2091</v>
      </c>
      <c r="N1214" s="3"/>
      <c r="Q1214" s="4"/>
      <c r="S1214" s="417" t="s">
        <v>3546</v>
      </c>
      <c r="W1214" s="4"/>
      <c r="Y1214" s="8">
        <v>0.21</v>
      </c>
      <c r="Z1214" s="7" t="s">
        <v>885</v>
      </c>
      <c r="AA1214" s="1" t="s">
        <v>1910</v>
      </c>
      <c r="AB1214" s="439">
        <f t="shared" ref="AB1214:AB1226" si="166">AB1242</f>
        <v>4628.8999999999996</v>
      </c>
      <c r="AC1214" s="1" t="s">
        <v>885</v>
      </c>
      <c r="AD1214" s="8">
        <f>(Y1214*AB1214)</f>
        <v>972.07</v>
      </c>
      <c r="AE1214" s="51" t="str">
        <f t="shared" si="165"/>
        <v>|</v>
      </c>
      <c r="AG1214" s="1" t="s">
        <v>2298</v>
      </c>
    </row>
    <row r="1215" spans="6:37" ht="24" customHeight="1">
      <c r="F1215" s="2" t="s">
        <v>951</v>
      </c>
      <c r="G1215" s="7" t="s">
        <v>2290</v>
      </c>
      <c r="H1215" s="1" t="s">
        <v>1878</v>
      </c>
      <c r="M1215" s="8">
        <v>10</v>
      </c>
      <c r="N1215" s="7" t="s">
        <v>621</v>
      </c>
      <c r="O1215" s="504" t="s">
        <v>5124</v>
      </c>
      <c r="P1215" s="227">
        <v>653</v>
      </c>
      <c r="Q1215" s="2" t="s">
        <v>621</v>
      </c>
      <c r="R1215" s="8">
        <f>M1215*P1215</f>
        <v>6530</v>
      </c>
      <c r="S1215" s="50">
        <v>694.02</v>
      </c>
      <c r="T1215">
        <f>S1215*M1215</f>
        <v>6940.2</v>
      </c>
      <c r="W1215" s="4"/>
      <c r="Z1215" s="3"/>
      <c r="AA1215" s="1" t="s">
        <v>1911</v>
      </c>
      <c r="AB1215" s="439" t="str">
        <f t="shared" si="166"/>
        <v/>
      </c>
      <c r="AC1215" s="10"/>
      <c r="AD1215" s="1" t="s">
        <v>992</v>
      </c>
      <c r="AE1215" s="51" t="str">
        <f t="shared" si="165"/>
        <v>|</v>
      </c>
      <c r="AG1215" s="1" t="s">
        <v>2298</v>
      </c>
    </row>
    <row r="1216" spans="6:37" ht="24" customHeight="1">
      <c r="H1216" s="1" t="s">
        <v>1906</v>
      </c>
      <c r="M1216" s="8">
        <v>0.21</v>
      </c>
      <c r="N1216" s="7" t="s">
        <v>885</v>
      </c>
      <c r="O1216" s="1" t="s">
        <v>1910</v>
      </c>
      <c r="P1216" s="8">
        <f>I1220</f>
        <v>4628.8999999999996</v>
      </c>
      <c r="Q1216" s="2" t="s">
        <v>885</v>
      </c>
      <c r="R1216" s="8">
        <f t="shared" ref="R1216:R1225" si="167">(M1216*P1216)</f>
        <v>972.07</v>
      </c>
      <c r="T1216">
        <f>R1216</f>
        <v>972.07</v>
      </c>
      <c r="W1216" s="4"/>
      <c r="Y1216" s="8">
        <v>1.1000000000000001</v>
      </c>
      <c r="Z1216" s="7" t="s">
        <v>785</v>
      </c>
      <c r="AA1216" s="1" t="s">
        <v>2045</v>
      </c>
      <c r="AB1216" s="439">
        <f t="shared" si="166"/>
        <v>1041.7</v>
      </c>
      <c r="AC1216" s="1" t="s">
        <v>785</v>
      </c>
      <c r="AD1216" s="8">
        <f>(Y1216*AB1216)</f>
        <v>1145.8699999999999</v>
      </c>
      <c r="AE1216" s="51" t="str">
        <f t="shared" si="165"/>
        <v>|</v>
      </c>
      <c r="AG1216" s="1" t="s">
        <v>2298</v>
      </c>
    </row>
    <row r="1217" spans="6:33" ht="24" customHeight="1">
      <c r="H1217" s="5" t="s">
        <v>1615</v>
      </c>
      <c r="M1217" s="8">
        <v>1.1000000000000001</v>
      </c>
      <c r="N1217" s="7" t="s">
        <v>785</v>
      </c>
      <c r="O1217" s="1" t="s">
        <v>2045</v>
      </c>
      <c r="P1217" s="8">
        <f>I1222</f>
        <v>1041.7</v>
      </c>
      <c r="Q1217" s="2" t="s">
        <v>785</v>
      </c>
      <c r="R1217" s="8">
        <f t="shared" si="167"/>
        <v>1145.8699999999999</v>
      </c>
      <c r="T1217">
        <f t="shared" ref="T1217:T1225" si="168">R1217</f>
        <v>1145.8699999999999</v>
      </c>
      <c r="W1217" s="4"/>
      <c r="Y1217" s="8">
        <v>1.1000000000000001</v>
      </c>
      <c r="Z1217" s="7" t="s">
        <v>785</v>
      </c>
      <c r="AA1217" s="1" t="s">
        <v>1744</v>
      </c>
      <c r="AB1217" s="439">
        <f t="shared" si="166"/>
        <v>972.4</v>
      </c>
      <c r="AC1217" s="1" t="s">
        <v>785</v>
      </c>
      <c r="AD1217" s="8">
        <f>(Y1217*AB1217)</f>
        <v>1069.6400000000001</v>
      </c>
      <c r="AE1217" s="51" t="str">
        <f t="shared" si="165"/>
        <v>|</v>
      </c>
      <c r="AG1217" s="1" t="s">
        <v>2298</v>
      </c>
    </row>
    <row r="1218" spans="6:33" ht="24" customHeight="1">
      <c r="F1218" s="8">
        <v>160</v>
      </c>
      <c r="G1218" s="7" t="s">
        <v>1907</v>
      </c>
      <c r="H1218" s="1" t="s">
        <v>1908</v>
      </c>
      <c r="I1218" s="8">
        <f>(C137)</f>
        <v>11907</v>
      </c>
      <c r="J1218" s="1" t="s">
        <v>1507</v>
      </c>
      <c r="K1218" s="8">
        <f>(F1218*I1218)/1000</f>
        <v>1905.12</v>
      </c>
      <c r="M1218" s="8">
        <v>1.1000000000000001</v>
      </c>
      <c r="N1218" s="7" t="s">
        <v>785</v>
      </c>
      <c r="O1218" s="1" t="s">
        <v>1744</v>
      </c>
      <c r="P1218" s="8">
        <f>I1223</f>
        <v>972.4</v>
      </c>
      <c r="Q1218" s="2" t="s">
        <v>785</v>
      </c>
      <c r="R1218" s="8">
        <f t="shared" si="167"/>
        <v>1069.6400000000001</v>
      </c>
      <c r="T1218">
        <f t="shared" si="168"/>
        <v>1069.6400000000001</v>
      </c>
      <c r="W1218" s="4"/>
      <c r="Y1218" s="8">
        <v>2.2000000000000002</v>
      </c>
      <c r="Z1218" s="7" t="s">
        <v>785</v>
      </c>
      <c r="AA1218" s="1" t="s">
        <v>1937</v>
      </c>
      <c r="AB1218" s="439">
        <f t="shared" si="166"/>
        <v>679.8</v>
      </c>
      <c r="AC1218" s="1" t="s">
        <v>785</v>
      </c>
      <c r="AD1218" s="8">
        <f>(Y1218*AB1218)</f>
        <v>1495.56</v>
      </c>
      <c r="AE1218" s="51" t="str">
        <f t="shared" si="165"/>
        <v>|</v>
      </c>
      <c r="AG1218" s="1" t="s">
        <v>2298</v>
      </c>
    </row>
    <row r="1219" spans="6:33" ht="24" customHeight="1">
      <c r="H1219" s="1" t="s">
        <v>1909</v>
      </c>
      <c r="I1219" s="1" t="s">
        <v>992</v>
      </c>
      <c r="K1219" s="1" t="s">
        <v>992</v>
      </c>
      <c r="M1219" s="8">
        <v>2.2000000000000002</v>
      </c>
      <c r="N1219" s="7" t="s">
        <v>785</v>
      </c>
      <c r="O1219" s="1" t="s">
        <v>1937</v>
      </c>
      <c r="P1219" s="8">
        <f>I1224</f>
        <v>679.8</v>
      </c>
      <c r="Q1219" s="2" t="s">
        <v>785</v>
      </c>
      <c r="R1219" s="8">
        <f t="shared" si="167"/>
        <v>1495.56</v>
      </c>
      <c r="T1219">
        <f t="shared" si="168"/>
        <v>1495.56</v>
      </c>
      <c r="W1219" s="4"/>
      <c r="Y1219" s="8">
        <v>2.2000000000000002</v>
      </c>
      <c r="Z1219" s="7" t="s">
        <v>785</v>
      </c>
      <c r="AA1219" s="1" t="s">
        <v>325</v>
      </c>
      <c r="AB1219" s="439">
        <f t="shared" si="166"/>
        <v>557.70000000000005</v>
      </c>
      <c r="AC1219" s="1" t="s">
        <v>785</v>
      </c>
      <c r="AD1219" s="8">
        <f>(Y1219*AB1219)</f>
        <v>1226.94</v>
      </c>
      <c r="AE1219" s="51" t="str">
        <f t="shared" si="165"/>
        <v>|</v>
      </c>
      <c r="AG1219" s="1" t="s">
        <v>2298</v>
      </c>
    </row>
    <row r="1220" spans="6:33" ht="24" customHeight="1">
      <c r="F1220" s="8">
        <v>0.21</v>
      </c>
      <c r="G1220" s="7" t="s">
        <v>885</v>
      </c>
      <c r="H1220" s="1" t="s">
        <v>1910</v>
      </c>
      <c r="I1220" s="8">
        <f>(K32)</f>
        <v>4628.8999999999996</v>
      </c>
      <c r="J1220" s="1" t="s">
        <v>885</v>
      </c>
      <c r="K1220" s="8">
        <f>(F1220*I1220)</f>
        <v>972.07</v>
      </c>
      <c r="M1220" s="8">
        <v>2.2000000000000002</v>
      </c>
      <c r="N1220" s="7" t="s">
        <v>785</v>
      </c>
      <c r="O1220" s="1" t="s">
        <v>325</v>
      </c>
      <c r="P1220" s="8">
        <f>I1225</f>
        <v>557.70000000000005</v>
      </c>
      <c r="Q1220" s="2" t="s">
        <v>785</v>
      </c>
      <c r="R1220" s="8">
        <f t="shared" si="167"/>
        <v>1226.94</v>
      </c>
      <c r="T1220">
        <f t="shared" si="168"/>
        <v>1226.94</v>
      </c>
      <c r="W1220" s="4"/>
      <c r="Y1220" s="12">
        <v>20</v>
      </c>
      <c r="Z1220" s="7" t="s">
        <v>1676</v>
      </c>
      <c r="AA1220" s="1" t="s">
        <v>878</v>
      </c>
      <c r="AB1220" s="439">
        <f t="shared" si="166"/>
        <v>6040</v>
      </c>
      <c r="AC1220" s="1" t="s">
        <v>877</v>
      </c>
      <c r="AD1220" s="8">
        <f>(Y1220*AB1220)/1000</f>
        <v>120.8</v>
      </c>
      <c r="AE1220" s="51" t="str">
        <f t="shared" si="165"/>
        <v>|</v>
      </c>
      <c r="AG1220" s="1" t="s">
        <v>2298</v>
      </c>
    </row>
    <row r="1221" spans="6:33" ht="24" customHeight="1">
      <c r="H1221" s="1" t="s">
        <v>1911</v>
      </c>
      <c r="I1221" s="1" t="s">
        <v>992</v>
      </c>
      <c r="K1221" s="1" t="s">
        <v>992</v>
      </c>
      <c r="M1221" s="12">
        <v>20</v>
      </c>
      <c r="N1221" s="7" t="s">
        <v>1676</v>
      </c>
      <c r="O1221" s="1" t="s">
        <v>878</v>
      </c>
      <c r="P1221" s="8">
        <f>I1226</f>
        <v>6040</v>
      </c>
      <c r="Q1221" s="2" t="s">
        <v>877</v>
      </c>
      <c r="R1221" s="8">
        <f>(M1221*P1221)/1000</f>
        <v>120.8</v>
      </c>
      <c r="T1221">
        <f t="shared" si="168"/>
        <v>120.8</v>
      </c>
      <c r="W1221" s="4"/>
      <c r="Y1221" s="12">
        <v>2</v>
      </c>
      <c r="Z1221" s="7" t="s">
        <v>1676</v>
      </c>
      <c r="AA1221" s="1" t="s">
        <v>2118</v>
      </c>
      <c r="AB1221" s="439">
        <f t="shared" si="166"/>
        <v>36.1</v>
      </c>
      <c r="AC1221" s="1" t="s">
        <v>1676</v>
      </c>
      <c r="AD1221" s="8">
        <f>(Y1221*AB1221)</f>
        <v>72.2</v>
      </c>
      <c r="AE1221" s="51" t="str">
        <f t="shared" si="165"/>
        <v>|</v>
      </c>
      <c r="AG1221" s="1" t="s">
        <v>2298</v>
      </c>
    </row>
    <row r="1222" spans="6:33" ht="24" customHeight="1">
      <c r="F1222" s="8">
        <v>1.1000000000000001</v>
      </c>
      <c r="G1222" s="7" t="s">
        <v>785</v>
      </c>
      <c r="H1222" s="1" t="s">
        <v>2045</v>
      </c>
      <c r="I1222" s="8">
        <f>(C10)</f>
        <v>1041.7</v>
      </c>
      <c r="J1222" s="1" t="s">
        <v>785</v>
      </c>
      <c r="K1222" s="8">
        <f>(F1222*I1222)</f>
        <v>1145.8699999999999</v>
      </c>
      <c r="M1222" s="12">
        <v>2</v>
      </c>
      <c r="N1222" s="7" t="s">
        <v>1676</v>
      </c>
      <c r="O1222" s="504" t="s">
        <v>1117</v>
      </c>
      <c r="P1222" s="439">
        <f>C608</f>
        <v>24.93</v>
      </c>
      <c r="Q1222" s="2" t="s">
        <v>1676</v>
      </c>
      <c r="R1222" s="8">
        <f t="shared" si="167"/>
        <v>49.86</v>
      </c>
      <c r="T1222">
        <f t="shared" si="168"/>
        <v>49.86</v>
      </c>
      <c r="W1222" s="4"/>
      <c r="Y1222" s="8">
        <v>1.6</v>
      </c>
      <c r="Z1222" s="7" t="s">
        <v>785</v>
      </c>
      <c r="AA1222" s="1" t="s">
        <v>1744</v>
      </c>
      <c r="AB1222" s="439">
        <f t="shared" si="166"/>
        <v>972.4</v>
      </c>
      <c r="AC1222" s="1" t="s">
        <v>785</v>
      </c>
      <c r="AD1222" s="8">
        <f>(Y1222*AB1222)</f>
        <v>1555.84</v>
      </c>
      <c r="AE1222" s="51" t="str">
        <f t="shared" si="165"/>
        <v>|</v>
      </c>
      <c r="AG1222" s="1" t="s">
        <v>2298</v>
      </c>
    </row>
    <row r="1223" spans="6:33" ht="24" customHeight="1">
      <c r="F1223" s="8">
        <v>1.1000000000000001</v>
      </c>
      <c r="G1223" s="7" t="s">
        <v>785</v>
      </c>
      <c r="H1223" s="1" t="s">
        <v>1744</v>
      </c>
      <c r="I1223" s="8">
        <f>(C11)</f>
        <v>972.4</v>
      </c>
      <c r="J1223" s="1" t="s">
        <v>785</v>
      </c>
      <c r="K1223" s="8">
        <f>(F1223*I1223)</f>
        <v>1069.6400000000001</v>
      </c>
      <c r="M1223" s="8">
        <v>1.6</v>
      </c>
      <c r="N1223" s="7" t="s">
        <v>785</v>
      </c>
      <c r="O1223" s="1" t="s">
        <v>1744</v>
      </c>
      <c r="P1223" s="439">
        <f>P1218</f>
        <v>972.4</v>
      </c>
      <c r="Q1223" s="2" t="s">
        <v>785</v>
      </c>
      <c r="R1223" s="8">
        <f t="shared" si="167"/>
        <v>1555.84</v>
      </c>
      <c r="T1223">
        <f t="shared" si="168"/>
        <v>1555.84</v>
      </c>
      <c r="W1223" s="4"/>
      <c r="Y1223" s="8">
        <v>0.5</v>
      </c>
      <c r="Z1223" s="7" t="s">
        <v>785</v>
      </c>
      <c r="AA1223" s="1" t="s">
        <v>1937</v>
      </c>
      <c r="AB1223" s="439">
        <f t="shared" si="166"/>
        <v>679.8</v>
      </c>
      <c r="AC1223" s="1" t="s">
        <v>785</v>
      </c>
      <c r="AD1223" s="8">
        <f>(Y1223*AB1223)</f>
        <v>339.9</v>
      </c>
      <c r="AE1223" s="51" t="str">
        <f t="shared" si="165"/>
        <v>|</v>
      </c>
      <c r="AG1223" s="1" t="s">
        <v>2298</v>
      </c>
    </row>
    <row r="1224" spans="6:33" ht="24" customHeight="1">
      <c r="F1224" s="8">
        <v>2.2000000000000002</v>
      </c>
      <c r="G1224" s="7" t="s">
        <v>785</v>
      </c>
      <c r="H1224" s="1" t="s">
        <v>1937</v>
      </c>
      <c r="I1224" s="8">
        <f>(C12)</f>
        <v>679.8</v>
      </c>
      <c r="J1224" s="1" t="s">
        <v>785</v>
      </c>
      <c r="K1224" s="8">
        <f>(F1224*I1224)</f>
        <v>1495.56</v>
      </c>
      <c r="M1224" s="8">
        <v>0.5</v>
      </c>
      <c r="N1224" s="7" t="s">
        <v>785</v>
      </c>
      <c r="O1224" s="1" t="s">
        <v>1937</v>
      </c>
      <c r="P1224" s="8">
        <f>P1219</f>
        <v>679.8</v>
      </c>
      <c r="Q1224" s="2" t="s">
        <v>785</v>
      </c>
      <c r="R1224" s="8">
        <f t="shared" si="167"/>
        <v>339.9</v>
      </c>
      <c r="T1224">
        <f t="shared" si="168"/>
        <v>339.9</v>
      </c>
      <c r="W1224" s="4"/>
      <c r="Y1224" s="8">
        <v>1.1000000000000001</v>
      </c>
      <c r="Z1224" s="7" t="s">
        <v>785</v>
      </c>
      <c r="AA1224" s="1" t="s">
        <v>325</v>
      </c>
      <c r="AB1224" s="439">
        <f t="shared" si="166"/>
        <v>557.70000000000005</v>
      </c>
      <c r="AC1224" s="1" t="s">
        <v>785</v>
      </c>
      <c r="AD1224" s="8">
        <f>(Y1224*AB1224)</f>
        <v>613.47</v>
      </c>
      <c r="AE1224" s="51" t="str">
        <f t="shared" si="165"/>
        <v>|</v>
      </c>
      <c r="AG1224" s="1" t="s">
        <v>2298</v>
      </c>
    </row>
    <row r="1225" spans="6:33" ht="24" customHeight="1">
      <c r="F1225" s="8">
        <v>2.2000000000000002</v>
      </c>
      <c r="G1225" s="7" t="s">
        <v>785</v>
      </c>
      <c r="H1225" s="1" t="s">
        <v>325</v>
      </c>
      <c r="I1225" s="8">
        <f>(C13)</f>
        <v>557.70000000000005</v>
      </c>
      <c r="J1225" s="1" t="s">
        <v>785</v>
      </c>
      <c r="K1225" s="8">
        <f>(F1225*I1225)</f>
        <v>1226.94</v>
      </c>
      <c r="M1225" s="8">
        <v>1.1000000000000001</v>
      </c>
      <c r="N1225" s="7" t="s">
        <v>785</v>
      </c>
      <c r="O1225" s="1" t="s">
        <v>325</v>
      </c>
      <c r="P1225" s="8">
        <f>P1220</f>
        <v>557.70000000000005</v>
      </c>
      <c r="Q1225" s="2" t="s">
        <v>785</v>
      </c>
      <c r="R1225" s="8">
        <f t="shared" si="167"/>
        <v>613.47</v>
      </c>
      <c r="T1225">
        <f t="shared" si="168"/>
        <v>613.47</v>
      </c>
      <c r="W1225" s="4"/>
      <c r="Z1225" s="7" t="s">
        <v>455</v>
      </c>
      <c r="AA1225" s="1" t="s">
        <v>456</v>
      </c>
      <c r="AB1225" s="439">
        <f t="shared" si="166"/>
        <v>0</v>
      </c>
      <c r="AC1225" s="1" t="s">
        <v>455</v>
      </c>
      <c r="AD1225" s="8">
        <v>0</v>
      </c>
      <c r="AE1225" s="51" t="str">
        <f t="shared" si="165"/>
        <v>|</v>
      </c>
      <c r="AG1225" s="1" t="s">
        <v>2298</v>
      </c>
    </row>
    <row r="1226" spans="6:33" ht="24" customHeight="1">
      <c r="F1226" s="12">
        <v>22</v>
      </c>
      <c r="G1226" s="7" t="s">
        <v>1676</v>
      </c>
      <c r="H1226" s="1" t="s">
        <v>878</v>
      </c>
      <c r="I1226" s="8">
        <f>(C67)</f>
        <v>6040</v>
      </c>
      <c r="J1226" s="1" t="s">
        <v>877</v>
      </c>
      <c r="K1226" s="8">
        <f>(F1226*I1226)/1000</f>
        <v>132.88</v>
      </c>
      <c r="N1226" s="7" t="s">
        <v>455</v>
      </c>
      <c r="O1226" s="1" t="s">
        <v>456</v>
      </c>
      <c r="Q1226" s="2" t="s">
        <v>455</v>
      </c>
      <c r="R1226" s="8">
        <v>4.5999999999999996</v>
      </c>
      <c r="S1226" s="50">
        <f>3.27-0.52</f>
        <v>2.75</v>
      </c>
      <c r="T1226">
        <v>2.74</v>
      </c>
      <c r="W1226" s="4"/>
      <c r="Z1226" s="3"/>
      <c r="AB1226" s="439">
        <f t="shared" si="166"/>
        <v>0</v>
      </c>
      <c r="AC1226" s="10"/>
      <c r="AD1226" s="5" t="s">
        <v>1615</v>
      </c>
      <c r="AE1226" s="51" t="str">
        <f t="shared" si="165"/>
        <v>|</v>
      </c>
      <c r="AG1226" s="1" t="s">
        <v>2298</v>
      </c>
    </row>
    <row r="1227" spans="6:33" ht="24" customHeight="1">
      <c r="F1227" s="8">
        <v>1.6</v>
      </c>
      <c r="G1227" s="7" t="s">
        <v>785</v>
      </c>
      <c r="H1227" s="1" t="s">
        <v>1744</v>
      </c>
      <c r="I1227" s="8">
        <f>(C11)</f>
        <v>972.4</v>
      </c>
      <c r="J1227" s="1" t="s">
        <v>785</v>
      </c>
      <c r="K1227" s="8">
        <f>(F1227*I1227)</f>
        <v>1555.84</v>
      </c>
      <c r="N1227" s="3"/>
      <c r="Q1227" s="4"/>
      <c r="R1227" s="5" t="s">
        <v>1615</v>
      </c>
      <c r="W1227" s="4"/>
      <c r="Z1227" s="3"/>
      <c r="AA1227" s="1" t="s">
        <v>447</v>
      </c>
      <c r="AC1227" s="10"/>
      <c r="AD1227" s="8">
        <f>SUM(AD1213:AD1225)</f>
        <v>24872.29</v>
      </c>
      <c r="AE1227" s="51" t="str">
        <f t="shared" si="165"/>
        <v>|::</v>
      </c>
      <c r="AG1227" s="1" t="s">
        <v>326</v>
      </c>
    </row>
    <row r="1228" spans="6:33" ht="24" customHeight="1">
      <c r="F1228" s="8">
        <v>0.5</v>
      </c>
      <c r="G1228" s="7" t="s">
        <v>785</v>
      </c>
      <c r="H1228" s="1" t="s">
        <v>1937</v>
      </c>
      <c r="I1228" s="8">
        <f>(C12)</f>
        <v>679.8</v>
      </c>
      <c r="J1228" s="1" t="s">
        <v>785</v>
      </c>
      <c r="K1228" s="8">
        <f>(F1228*I1228)</f>
        <v>339.9</v>
      </c>
      <c r="N1228" s="3"/>
      <c r="O1228" s="1" t="s">
        <v>447</v>
      </c>
      <c r="Q1228" s="4"/>
      <c r="R1228" s="8">
        <f>SUM(R1215:R1226)</f>
        <v>15124.55</v>
      </c>
      <c r="T1228" s="8">
        <f>SUM(T1215:T1227)</f>
        <v>15532.89</v>
      </c>
      <c r="W1228" s="4"/>
      <c r="Z1228" s="3"/>
      <c r="AC1228" s="10"/>
      <c r="AD1228" s="5" t="s">
        <v>1615</v>
      </c>
      <c r="AE1228" s="51">
        <f t="shared" si="165"/>
        <v>0</v>
      </c>
    </row>
    <row r="1229" spans="6:33" ht="24" customHeight="1">
      <c r="F1229" s="8">
        <v>1.1000000000000001</v>
      </c>
      <c r="G1229" s="7" t="s">
        <v>785</v>
      </c>
      <c r="H1229" s="1" t="s">
        <v>325</v>
      </c>
      <c r="I1229" s="8">
        <f>(C13)</f>
        <v>557.70000000000005</v>
      </c>
      <c r="J1229" s="1" t="s">
        <v>785</v>
      </c>
      <c r="K1229" s="8">
        <f>(F1229*I1229)</f>
        <v>613.47</v>
      </c>
      <c r="N1229" s="3"/>
      <c r="Q1229" s="4"/>
      <c r="R1229" s="5" t="s">
        <v>1615</v>
      </c>
      <c r="W1229" s="4"/>
      <c r="Z1229" s="3"/>
      <c r="AA1229" s="58" t="s">
        <v>562</v>
      </c>
      <c r="AC1229" s="10"/>
      <c r="AD1229" s="38">
        <f>(AD1227/10)</f>
        <v>2487.23</v>
      </c>
      <c r="AE1229" s="51">
        <f t="shared" si="165"/>
        <v>0</v>
      </c>
    </row>
    <row r="1230" spans="6:33" ht="24" customHeight="1">
      <c r="F1230" s="1" t="s">
        <v>252</v>
      </c>
      <c r="H1230" s="1" t="s">
        <v>1912</v>
      </c>
      <c r="I1230" s="1" t="s">
        <v>992</v>
      </c>
      <c r="K1230" s="1" t="s">
        <v>992</v>
      </c>
      <c r="N1230" s="3"/>
      <c r="O1230" s="33" t="s">
        <v>562</v>
      </c>
      <c r="Q1230" s="4"/>
      <c r="R1230" s="38">
        <f>(R1228/10)</f>
        <v>1512.46</v>
      </c>
      <c r="S1230" s="50">
        <f>R1230-975.62</f>
        <v>536.84</v>
      </c>
      <c r="T1230" s="38">
        <f>(T1228/10)</f>
        <v>1553.29</v>
      </c>
      <c r="W1230" s="4"/>
      <c r="Z1230" s="3"/>
      <c r="AC1230" s="10"/>
      <c r="AD1230" s="5" t="s">
        <v>2091</v>
      </c>
      <c r="AE1230" s="51" t="str">
        <f t="shared" si="165"/>
        <v>|</v>
      </c>
      <c r="AG1230" s="1" t="s">
        <v>2298</v>
      </c>
    </row>
    <row r="1231" spans="6:33" ht="24" customHeight="1">
      <c r="F1231" s="8">
        <v>1</v>
      </c>
      <c r="G1231" s="7" t="s">
        <v>455</v>
      </c>
      <c r="H1231" s="1" t="s">
        <v>1913</v>
      </c>
      <c r="I1231" s="8">
        <f>(C57)</f>
        <v>28.58</v>
      </c>
      <c r="J1231" s="1" t="s">
        <v>455</v>
      </c>
      <c r="K1231" s="8">
        <f>(F1231*I1231)</f>
        <v>28.58</v>
      </c>
      <c r="N1231" s="3"/>
      <c r="O1231" s="216" t="s">
        <v>3962</v>
      </c>
      <c r="P1231" s="36"/>
      <c r="Q1231" s="4"/>
      <c r="W1231" s="4"/>
      <c r="AE1231" s="51" t="str">
        <f t="shared" si="165"/>
        <v>|</v>
      </c>
      <c r="AG1231" s="1" t="s">
        <v>2298</v>
      </c>
    </row>
    <row r="1232" spans="6:33" ht="24" customHeight="1">
      <c r="F1232" s="8">
        <v>1</v>
      </c>
      <c r="G1232" s="7" t="s">
        <v>455</v>
      </c>
      <c r="H1232" s="1" t="s">
        <v>1914</v>
      </c>
      <c r="I1232" s="8">
        <f>(C58)</f>
        <v>11.9</v>
      </c>
      <c r="J1232" s="1" t="s">
        <v>455</v>
      </c>
      <c r="K1232" s="8">
        <f>(F1232*I1232)</f>
        <v>11.9</v>
      </c>
      <c r="N1232" s="3"/>
      <c r="Q1232" s="4"/>
      <c r="W1232" s="4"/>
      <c r="AE1232" s="51" t="str">
        <f t="shared" si="165"/>
        <v>|</v>
      </c>
      <c r="AG1232" s="1" t="s">
        <v>2298</v>
      </c>
    </row>
    <row r="1233" spans="6:33" ht="24" customHeight="1">
      <c r="F1233" s="8">
        <v>1</v>
      </c>
      <c r="G1233" s="7" t="s">
        <v>455</v>
      </c>
      <c r="H1233" s="1" t="s">
        <v>179</v>
      </c>
      <c r="I1233" s="8">
        <f>(C28)</f>
        <v>86.4</v>
      </c>
      <c r="J1233" s="1" t="s">
        <v>455</v>
      </c>
      <c r="K1233" s="8">
        <f>(F1233*I1233)</f>
        <v>86.4</v>
      </c>
      <c r="M1233" s="400"/>
      <c r="N1233" s="401"/>
      <c r="O1233" s="400"/>
      <c r="P1233" s="400"/>
      <c r="Q1233" s="4"/>
      <c r="W1233" s="4"/>
      <c r="AE1233" s="51" t="str">
        <f t="shared" si="165"/>
        <v>|</v>
      </c>
      <c r="AG1233" s="1" t="s">
        <v>2298</v>
      </c>
    </row>
    <row r="1234" spans="6:33" ht="24" customHeight="1">
      <c r="F1234" s="8">
        <v>1.1000000000000001</v>
      </c>
      <c r="G1234" s="7" t="s">
        <v>785</v>
      </c>
      <c r="H1234" s="1" t="s">
        <v>872</v>
      </c>
      <c r="I1234" s="8">
        <f>(C29)</f>
        <v>801.9</v>
      </c>
      <c r="J1234" s="1" t="s">
        <v>785</v>
      </c>
      <c r="K1234" s="8">
        <f>(F1234*I1234)</f>
        <v>882.09</v>
      </c>
      <c r="M1234" s="8">
        <v>10</v>
      </c>
      <c r="N1234" s="7" t="s">
        <v>621</v>
      </c>
      <c r="O1234" s="1" t="s">
        <v>5125</v>
      </c>
      <c r="P1234" s="419">
        <v>658</v>
      </c>
      <c r="Q1234" s="2" t="s">
        <v>621</v>
      </c>
      <c r="R1234" s="8">
        <f>M1234*P1234</f>
        <v>6580</v>
      </c>
      <c r="T1234" s="3"/>
      <c r="U1234" s="216" t="s">
        <v>3989</v>
      </c>
      <c r="W1234" s="4"/>
      <c r="AE1234" s="51" t="str">
        <f t="shared" si="165"/>
        <v>|</v>
      </c>
      <c r="AG1234" s="1" t="s">
        <v>2298</v>
      </c>
    </row>
    <row r="1235" spans="6:33" ht="24" customHeight="1">
      <c r="F1235" s="8">
        <v>2.2000000000000002</v>
      </c>
      <c r="G1235" s="7" t="s">
        <v>785</v>
      </c>
      <c r="H1235" s="1" t="s">
        <v>873</v>
      </c>
      <c r="I1235" s="8">
        <f>(C13)</f>
        <v>557.70000000000005</v>
      </c>
      <c r="J1235" s="1" t="s">
        <v>785</v>
      </c>
      <c r="K1235" s="8">
        <f>(F1235*I1235)</f>
        <v>1226.94</v>
      </c>
      <c r="M1235" s="8">
        <v>0.21</v>
      </c>
      <c r="N1235" s="7" t="s">
        <v>885</v>
      </c>
      <c r="O1235" s="1" t="s">
        <v>1910</v>
      </c>
      <c r="P1235" s="8">
        <f>P1258</f>
        <v>4628.8999999999996</v>
      </c>
      <c r="Q1235" s="2" t="s">
        <v>885</v>
      </c>
      <c r="R1235" s="8">
        <f>(M1235*P1235)</f>
        <v>972.07</v>
      </c>
      <c r="T1235" s="3"/>
      <c r="W1235" s="4"/>
      <c r="AE1235" s="51" t="str">
        <f t="shared" si="165"/>
        <v>|</v>
      </c>
      <c r="AG1235" s="1" t="s">
        <v>2298</v>
      </c>
    </row>
    <row r="1236" spans="6:33" ht="24" customHeight="1">
      <c r="G1236" s="7" t="s">
        <v>455</v>
      </c>
      <c r="H1236" s="1" t="s">
        <v>456</v>
      </c>
      <c r="J1236" s="1" t="s">
        <v>455</v>
      </c>
      <c r="K1236" s="8">
        <v>0</v>
      </c>
      <c r="M1236" s="8">
        <v>1.1000000000000001</v>
      </c>
      <c r="N1236" s="7" t="s">
        <v>785</v>
      </c>
      <c r="O1236" s="1" t="s">
        <v>2045</v>
      </c>
      <c r="P1236" s="8">
        <f t="shared" ref="P1236:P1244" si="169">P1259</f>
        <v>1041.7</v>
      </c>
      <c r="Q1236" s="2" t="s">
        <v>785</v>
      </c>
      <c r="R1236" s="8">
        <f>(M1236*P1236)</f>
        <v>1145.8699999999999</v>
      </c>
      <c r="T1236" s="3"/>
      <c r="W1236" s="4"/>
      <c r="AE1236" s="51" t="str">
        <f t="shared" si="165"/>
        <v>|</v>
      </c>
      <c r="AG1236" s="1" t="s">
        <v>2298</v>
      </c>
    </row>
    <row r="1237" spans="6:33" ht="24" customHeight="1">
      <c r="K1237" s="5" t="s">
        <v>1615</v>
      </c>
      <c r="M1237" s="8">
        <v>1.1000000000000001</v>
      </c>
      <c r="N1237" s="7" t="s">
        <v>785</v>
      </c>
      <c r="O1237" s="1" t="s">
        <v>1744</v>
      </c>
      <c r="P1237" s="8">
        <f t="shared" si="169"/>
        <v>972.4</v>
      </c>
      <c r="Q1237" s="2" t="s">
        <v>785</v>
      </c>
      <c r="R1237" s="8">
        <f>(M1237*P1237)</f>
        <v>1069.6400000000001</v>
      </c>
      <c r="S1237" s="12">
        <v>10</v>
      </c>
      <c r="T1237" s="7" t="s">
        <v>621</v>
      </c>
      <c r="U1237" s="1" t="s">
        <v>5870</v>
      </c>
      <c r="V1237" s="713">
        <v>658</v>
      </c>
      <c r="W1237" s="2" t="s">
        <v>621</v>
      </c>
      <c r="X1237" s="8">
        <f>S1237*V1237</f>
        <v>6580</v>
      </c>
      <c r="Y1237" s="24">
        <v>29.5</v>
      </c>
      <c r="Z1237" s="7" t="s">
        <v>2290</v>
      </c>
      <c r="AA1237" s="33" t="s">
        <v>3876</v>
      </c>
      <c r="AE1237" s="51" t="str">
        <f t="shared" si="165"/>
        <v>|</v>
      </c>
      <c r="AG1237" s="1" t="s">
        <v>2298</v>
      </c>
    </row>
    <row r="1238" spans="6:33" ht="24" customHeight="1">
      <c r="H1238" s="1" t="s">
        <v>447</v>
      </c>
      <c r="K1238" s="8">
        <f>SUM(K1218:K1236)</f>
        <v>12693.2</v>
      </c>
      <c r="M1238" s="8">
        <v>2.2000000000000002</v>
      </c>
      <c r="N1238" s="7" t="s">
        <v>785</v>
      </c>
      <c r="O1238" s="1" t="s">
        <v>1937</v>
      </c>
      <c r="P1238" s="8">
        <f t="shared" si="169"/>
        <v>679.8</v>
      </c>
      <c r="Q1238" s="2" t="s">
        <v>785</v>
      </c>
      <c r="R1238" s="8">
        <f>(M1238*P1238)</f>
        <v>1495.56</v>
      </c>
      <c r="S1238" s="12">
        <v>0.21</v>
      </c>
      <c r="T1238" s="7" t="s">
        <v>885</v>
      </c>
      <c r="U1238" s="1" t="s">
        <v>1910</v>
      </c>
      <c r="V1238" s="8">
        <f t="shared" ref="V1238:V1247" si="170">P1258</f>
        <v>4628.8999999999996</v>
      </c>
      <c r="W1238" s="2" t="s">
        <v>885</v>
      </c>
      <c r="X1238" s="8">
        <f>(S1238*V1238)</f>
        <v>972.07</v>
      </c>
      <c r="Z1238" s="3"/>
      <c r="AA1238" s="1"/>
      <c r="AE1238" s="51" t="str">
        <f t="shared" si="165"/>
        <v>|</v>
      </c>
      <c r="AG1238" s="1" t="s">
        <v>2298</v>
      </c>
    </row>
    <row r="1239" spans="6:33" ht="24" customHeight="1">
      <c r="K1239" s="5" t="s">
        <v>1615</v>
      </c>
      <c r="M1239" s="8">
        <v>2.2000000000000002</v>
      </c>
      <c r="N1239" s="7" t="s">
        <v>785</v>
      </c>
      <c r="O1239" s="1" t="s">
        <v>325</v>
      </c>
      <c r="P1239" s="8">
        <f t="shared" si="169"/>
        <v>557.70000000000005</v>
      </c>
      <c r="Q1239" s="2" t="s">
        <v>785</v>
      </c>
      <c r="R1239" s="8">
        <f>(M1239*P1239)</f>
        <v>1226.94</v>
      </c>
      <c r="S1239" s="12">
        <v>1.1000000000000001</v>
      </c>
      <c r="T1239" s="7" t="s">
        <v>785</v>
      </c>
      <c r="U1239" s="1" t="s">
        <v>2045</v>
      </c>
      <c r="V1239" s="8">
        <f t="shared" si="170"/>
        <v>1041.7</v>
      </c>
      <c r="W1239" s="2" t="s">
        <v>785</v>
      </c>
      <c r="X1239" s="8">
        <f>(S1239*V1239)</f>
        <v>1145.8699999999999</v>
      </c>
      <c r="Z1239" s="3"/>
      <c r="AA1239" s="1"/>
      <c r="AE1239" s="51" t="str">
        <f t="shared" si="165"/>
        <v>|</v>
      </c>
      <c r="AG1239" s="1" t="s">
        <v>2298</v>
      </c>
    </row>
    <row r="1240" spans="6:33" ht="24" customHeight="1">
      <c r="F1240" s="1" t="s">
        <v>992</v>
      </c>
      <c r="M1240" s="12">
        <v>20</v>
      </c>
      <c r="N1240" s="7" t="s">
        <v>1676</v>
      </c>
      <c r="O1240" s="1" t="s">
        <v>878</v>
      </c>
      <c r="P1240" s="8">
        <f t="shared" si="169"/>
        <v>6040</v>
      </c>
      <c r="Q1240" s="2" t="s">
        <v>877</v>
      </c>
      <c r="R1240" s="8">
        <f>(M1240*P1240)/1000</f>
        <v>120.8</v>
      </c>
      <c r="S1240" s="12">
        <v>1.1000000000000001</v>
      </c>
      <c r="T1240" s="7" t="s">
        <v>785</v>
      </c>
      <c r="U1240" s="1" t="s">
        <v>1744</v>
      </c>
      <c r="V1240" s="8">
        <f t="shared" si="170"/>
        <v>972.4</v>
      </c>
      <c r="W1240" s="2" t="s">
        <v>785</v>
      </c>
      <c r="X1240" s="8">
        <f>(S1240*V1240)</f>
        <v>1069.6400000000001</v>
      </c>
      <c r="Z1240" s="3"/>
      <c r="AA1240" s="5" t="s">
        <v>1615</v>
      </c>
      <c r="AB1240" s="5" t="s">
        <v>1615</v>
      </c>
      <c r="AC1240" s="10"/>
      <c r="AE1240" s="51" t="str">
        <f t="shared" si="165"/>
        <v>|</v>
      </c>
      <c r="AG1240" s="1" t="s">
        <v>2298</v>
      </c>
    </row>
    <row r="1241" spans="6:33" ht="45.75" customHeight="1">
      <c r="H1241" s="58" t="s">
        <v>562</v>
      </c>
      <c r="K1241" s="38">
        <f>(K1238/10)</f>
        <v>1269.32</v>
      </c>
      <c r="M1241" s="12">
        <v>2</v>
      </c>
      <c r="N1241" s="7" t="s">
        <v>1676</v>
      </c>
      <c r="O1241" s="1" t="s">
        <v>1556</v>
      </c>
      <c r="P1241" s="8">
        <f t="shared" si="169"/>
        <v>36.1</v>
      </c>
      <c r="Q1241" s="2" t="s">
        <v>1676</v>
      </c>
      <c r="R1241" s="8">
        <f>(M1241*P1241)</f>
        <v>72.2</v>
      </c>
      <c r="S1241" s="12">
        <v>2.2000000000000002</v>
      </c>
      <c r="T1241" s="7" t="s">
        <v>785</v>
      </c>
      <c r="U1241" s="1" t="s">
        <v>1937</v>
      </c>
      <c r="V1241" s="8">
        <f t="shared" si="170"/>
        <v>679.8</v>
      </c>
      <c r="W1241" s="2" t="s">
        <v>785</v>
      </c>
      <c r="X1241" s="8">
        <f>(S1241*V1241)</f>
        <v>1495.56</v>
      </c>
      <c r="Y1241" s="8">
        <v>10</v>
      </c>
      <c r="Z1241" s="7" t="s">
        <v>621</v>
      </c>
      <c r="AA1241" s="26" t="s">
        <v>5126</v>
      </c>
      <c r="AB1241" s="419">
        <v>793</v>
      </c>
      <c r="AC1241" s="1" t="s">
        <v>621</v>
      </c>
      <c r="AD1241" s="8">
        <f>(Y1241*AB1241)</f>
        <v>7930</v>
      </c>
      <c r="AE1241" s="51" t="str">
        <f t="shared" si="165"/>
        <v>|</v>
      </c>
      <c r="AG1241" s="1" t="s">
        <v>2298</v>
      </c>
    </row>
    <row r="1242" spans="6:33" ht="24" customHeight="1">
      <c r="F1242" s="1" t="s">
        <v>992</v>
      </c>
      <c r="M1242" s="8">
        <v>1.6</v>
      </c>
      <c r="N1242" s="7" t="s">
        <v>785</v>
      </c>
      <c r="O1242" s="1" t="s">
        <v>1744</v>
      </c>
      <c r="P1242" s="8">
        <f t="shared" si="169"/>
        <v>972.4</v>
      </c>
      <c r="Q1242" s="2" t="s">
        <v>785</v>
      </c>
      <c r="R1242" s="8">
        <f>(M1242*P1242)</f>
        <v>1555.84</v>
      </c>
      <c r="S1242" s="12">
        <v>2.2000000000000002</v>
      </c>
      <c r="T1242" s="7" t="s">
        <v>785</v>
      </c>
      <c r="U1242" s="1" t="s">
        <v>325</v>
      </c>
      <c r="V1242" s="8">
        <f t="shared" si="170"/>
        <v>557.70000000000005</v>
      </c>
      <c r="W1242" s="2" t="s">
        <v>785</v>
      </c>
      <c r="X1242" s="8">
        <f>(S1242*V1242)</f>
        <v>1226.94</v>
      </c>
      <c r="Y1242" s="8">
        <v>0.21</v>
      </c>
      <c r="Z1242" s="7" t="s">
        <v>885</v>
      </c>
      <c r="AA1242" s="1" t="s">
        <v>1910</v>
      </c>
      <c r="AB1242" s="8">
        <f>V1238</f>
        <v>4628.8999999999996</v>
      </c>
      <c r="AC1242" s="1" t="s">
        <v>885</v>
      </c>
      <c r="AD1242" s="8">
        <f>(Y1242*AB1242)</f>
        <v>972.07</v>
      </c>
      <c r="AE1242" s="51" t="str">
        <f t="shared" si="165"/>
        <v>|</v>
      </c>
      <c r="AG1242" s="1" t="s">
        <v>2298</v>
      </c>
    </row>
    <row r="1243" spans="6:33" ht="24" customHeight="1">
      <c r="K1243" s="5" t="s">
        <v>2091</v>
      </c>
      <c r="M1243" s="8">
        <v>0.5</v>
      </c>
      <c r="N1243" s="7" t="s">
        <v>785</v>
      </c>
      <c r="O1243" s="1" t="s">
        <v>1937</v>
      </c>
      <c r="P1243" s="8">
        <f t="shared" si="169"/>
        <v>679.8</v>
      </c>
      <c r="Q1243" s="2" t="s">
        <v>785</v>
      </c>
      <c r="R1243" s="8">
        <f>(M1243*P1243)</f>
        <v>339.9</v>
      </c>
      <c r="S1243" s="12">
        <v>20</v>
      </c>
      <c r="T1243" s="7" t="s">
        <v>1676</v>
      </c>
      <c r="U1243" s="1" t="s">
        <v>878</v>
      </c>
      <c r="V1243" s="8">
        <f t="shared" si="170"/>
        <v>6040</v>
      </c>
      <c r="W1243" s="2" t="s">
        <v>877</v>
      </c>
      <c r="X1243" s="8">
        <f>(S1243*V1243)/1000</f>
        <v>120.8</v>
      </c>
      <c r="Z1243" s="3"/>
      <c r="AA1243" s="1" t="s">
        <v>1911</v>
      </c>
      <c r="AB1243" s="1" t="s">
        <v>992</v>
      </c>
      <c r="AC1243" s="10"/>
      <c r="AD1243" s="1" t="s">
        <v>992</v>
      </c>
      <c r="AE1243" s="51" t="str">
        <f t="shared" si="165"/>
        <v>|</v>
      </c>
      <c r="AG1243" s="1" t="s">
        <v>2298</v>
      </c>
    </row>
    <row r="1244" spans="6:33" ht="24" customHeight="1">
      <c r="F1244" s="24">
        <v>29.5</v>
      </c>
      <c r="G1244" s="7" t="s">
        <v>2290</v>
      </c>
      <c r="H1244" s="1" t="s">
        <v>1847</v>
      </c>
      <c r="M1244" s="8">
        <v>1.1000000000000001</v>
      </c>
      <c r="N1244" s="7" t="s">
        <v>785</v>
      </c>
      <c r="O1244" s="1" t="s">
        <v>325</v>
      </c>
      <c r="P1244" s="8">
        <f t="shared" si="169"/>
        <v>557.70000000000005</v>
      </c>
      <c r="Q1244" s="2" t="s">
        <v>785</v>
      </c>
      <c r="R1244" s="8">
        <f>(M1244*P1244)</f>
        <v>613.47</v>
      </c>
      <c r="S1244" s="12">
        <v>2</v>
      </c>
      <c r="T1244" s="7" t="s">
        <v>1676</v>
      </c>
      <c r="U1244" s="1" t="s">
        <v>1556</v>
      </c>
      <c r="V1244" s="8">
        <f t="shared" si="170"/>
        <v>36.1</v>
      </c>
      <c r="W1244" s="2" t="s">
        <v>1676</v>
      </c>
      <c r="X1244" s="8">
        <f>(S1244*V1244)</f>
        <v>72.2</v>
      </c>
      <c r="Y1244" s="8">
        <v>1.1000000000000001</v>
      </c>
      <c r="Z1244" s="7" t="s">
        <v>785</v>
      </c>
      <c r="AA1244" s="1" t="s">
        <v>2045</v>
      </c>
      <c r="AB1244" s="8">
        <f>V1239</f>
        <v>1041.7</v>
      </c>
      <c r="AC1244" s="1" t="s">
        <v>785</v>
      </c>
      <c r="AD1244" s="8">
        <f>(Y1244*AB1244)</f>
        <v>1145.8699999999999</v>
      </c>
      <c r="AE1244" s="51" t="str">
        <f t="shared" si="165"/>
        <v>|</v>
      </c>
      <c r="AG1244" s="1" t="s">
        <v>2298</v>
      </c>
    </row>
    <row r="1245" spans="6:33" ht="24" customHeight="1">
      <c r="H1245" s="1" t="s">
        <v>874</v>
      </c>
      <c r="N1245" s="7" t="s">
        <v>455</v>
      </c>
      <c r="O1245" s="1" t="s">
        <v>456</v>
      </c>
      <c r="Q1245" s="2" t="s">
        <v>455</v>
      </c>
      <c r="R1245" s="8">
        <v>0</v>
      </c>
      <c r="S1245" s="12">
        <v>1.6</v>
      </c>
      <c r="T1245" s="7" t="s">
        <v>785</v>
      </c>
      <c r="U1245" s="1" t="s">
        <v>1744</v>
      </c>
      <c r="V1245" s="8">
        <f t="shared" si="170"/>
        <v>972.4</v>
      </c>
      <c r="W1245" s="2" t="s">
        <v>785</v>
      </c>
      <c r="X1245" s="8">
        <f>(S1245*V1245)</f>
        <v>1555.84</v>
      </c>
      <c r="Y1245" s="8">
        <v>1.1000000000000001</v>
      </c>
      <c r="Z1245" s="7" t="s">
        <v>785</v>
      </c>
      <c r="AA1245" s="1" t="s">
        <v>1744</v>
      </c>
      <c r="AB1245" s="8">
        <f>V1240</f>
        <v>972.4</v>
      </c>
      <c r="AC1245" s="1" t="s">
        <v>785</v>
      </c>
      <c r="AD1245" s="8">
        <f>(Y1245*AB1245)</f>
        <v>1069.6400000000001</v>
      </c>
      <c r="AE1245" s="51" t="str">
        <f t="shared" si="165"/>
        <v>|</v>
      </c>
      <c r="AG1245" s="1" t="s">
        <v>2298</v>
      </c>
    </row>
    <row r="1246" spans="6:33" ht="24" customHeight="1">
      <c r="H1246" s="1" t="s">
        <v>1972</v>
      </c>
      <c r="N1246" s="3"/>
      <c r="Q1246" s="4"/>
      <c r="R1246" s="5"/>
      <c r="S1246" s="12">
        <v>0.5</v>
      </c>
      <c r="T1246" s="7" t="s">
        <v>785</v>
      </c>
      <c r="U1246" s="1" t="s">
        <v>1937</v>
      </c>
      <c r="V1246" s="8">
        <f t="shared" si="170"/>
        <v>679.8</v>
      </c>
      <c r="W1246" s="2" t="s">
        <v>785</v>
      </c>
      <c r="X1246" s="8">
        <f>(S1246*V1246)</f>
        <v>339.9</v>
      </c>
      <c r="Y1246" s="8">
        <v>2.2000000000000002</v>
      </c>
      <c r="Z1246" s="7" t="s">
        <v>785</v>
      </c>
      <c r="AA1246" s="1" t="s">
        <v>1937</v>
      </c>
      <c r="AB1246" s="8">
        <f>V1241</f>
        <v>679.8</v>
      </c>
      <c r="AC1246" s="1" t="s">
        <v>785</v>
      </c>
      <c r="AD1246" s="8">
        <f>(Y1246*AB1246)</f>
        <v>1495.56</v>
      </c>
      <c r="AE1246" s="51" t="str">
        <f t="shared" si="165"/>
        <v>|</v>
      </c>
      <c r="AG1246" s="1" t="s">
        <v>2298</v>
      </c>
    </row>
    <row r="1247" spans="6:33" ht="24" customHeight="1">
      <c r="H1247" s="5" t="s">
        <v>1615</v>
      </c>
      <c r="I1247" s="5" t="s">
        <v>1615</v>
      </c>
      <c r="N1247" s="3"/>
      <c r="O1247" s="1" t="s">
        <v>447</v>
      </c>
      <c r="Q1247" s="4"/>
      <c r="R1247" s="8">
        <f>SUM(R1234:R1245)</f>
        <v>15192.29</v>
      </c>
      <c r="S1247" s="12">
        <v>1.1000000000000001</v>
      </c>
      <c r="T1247" s="7" t="s">
        <v>785</v>
      </c>
      <c r="U1247" s="1" t="s">
        <v>325</v>
      </c>
      <c r="V1247" s="8">
        <f t="shared" si="170"/>
        <v>557.70000000000005</v>
      </c>
      <c r="W1247" s="2" t="s">
        <v>785</v>
      </c>
      <c r="X1247" s="8">
        <f>(S1247*V1247)</f>
        <v>613.47</v>
      </c>
      <c r="Y1247" s="8">
        <v>2.2000000000000002</v>
      </c>
      <c r="Z1247" s="7" t="s">
        <v>785</v>
      </c>
      <c r="AA1247" s="1" t="s">
        <v>325</v>
      </c>
      <c r="AB1247" s="8">
        <f>V1242</f>
        <v>557.70000000000005</v>
      </c>
      <c r="AC1247" s="1" t="s">
        <v>785</v>
      </c>
      <c r="AD1247" s="8">
        <f>(Y1247*AB1247)</f>
        <v>1226.94</v>
      </c>
      <c r="AE1247" s="51" t="str">
        <f t="shared" si="165"/>
        <v>|</v>
      </c>
      <c r="AG1247" s="1" t="s">
        <v>2298</v>
      </c>
    </row>
    <row r="1248" spans="6:33" ht="24" customHeight="1">
      <c r="F1248" s="8">
        <v>10</v>
      </c>
      <c r="G1248" s="7" t="s">
        <v>621</v>
      </c>
      <c r="H1248" s="1" t="s">
        <v>1973</v>
      </c>
      <c r="I1248" s="63">
        <f>C601</f>
        <v>377.86</v>
      </c>
      <c r="J1248" s="1" t="s">
        <v>621</v>
      </c>
      <c r="K1248" s="8">
        <f>(F1248*I1248)</f>
        <v>3778.6</v>
      </c>
      <c r="N1248" s="3"/>
      <c r="Q1248" s="4"/>
      <c r="R1248" s="5" t="s">
        <v>1615</v>
      </c>
      <c r="T1248" s="7" t="s">
        <v>455</v>
      </c>
      <c r="U1248" s="1" t="s">
        <v>456</v>
      </c>
      <c r="W1248" s="2" t="s">
        <v>455</v>
      </c>
      <c r="X1248" s="8">
        <v>0.18</v>
      </c>
      <c r="Y1248" s="12">
        <v>20</v>
      </c>
      <c r="Z1248" s="7" t="s">
        <v>1676</v>
      </c>
      <c r="AA1248" s="1" t="s">
        <v>878</v>
      </c>
      <c r="AB1248" s="8">
        <f>V1243</f>
        <v>6040</v>
      </c>
      <c r="AC1248" s="1" t="s">
        <v>877</v>
      </c>
      <c r="AD1248" s="8">
        <f>(Y1248*AB1248)/1000</f>
        <v>120.8</v>
      </c>
      <c r="AE1248" s="51" t="str">
        <f t="shared" si="165"/>
        <v>|</v>
      </c>
      <c r="AG1248" s="1" t="s">
        <v>2298</v>
      </c>
    </row>
    <row r="1249" spans="6:33" ht="24" customHeight="1">
      <c r="F1249" s="8">
        <v>0.21</v>
      </c>
      <c r="G1249" s="7" t="s">
        <v>885</v>
      </c>
      <c r="H1249" s="1" t="s">
        <v>1910</v>
      </c>
      <c r="I1249" s="8">
        <f>(K32)</f>
        <v>4628.8999999999996</v>
      </c>
      <c r="J1249" s="1" t="s">
        <v>885</v>
      </c>
      <c r="K1249" s="8">
        <f>(F1249*I1249)</f>
        <v>972.07</v>
      </c>
      <c r="N1249" s="3"/>
      <c r="O1249" s="33" t="s">
        <v>562</v>
      </c>
      <c r="Q1249" s="4"/>
      <c r="R1249" s="38">
        <f>(R1247/10)</f>
        <v>1519.23</v>
      </c>
      <c r="T1249" s="3"/>
      <c r="W1249" s="4"/>
      <c r="X1249" s="5" t="s">
        <v>1615</v>
      </c>
      <c r="Y1249" s="12">
        <v>2</v>
      </c>
      <c r="Z1249" s="7" t="s">
        <v>1676</v>
      </c>
      <c r="AA1249" s="1" t="s">
        <v>2118</v>
      </c>
      <c r="AB1249" s="536">
        <v>36.1</v>
      </c>
      <c r="AC1249" s="1" t="s">
        <v>1676</v>
      </c>
      <c r="AD1249" s="8">
        <f>(Y1249*AB1249)</f>
        <v>72.2</v>
      </c>
      <c r="AE1249" s="51">
        <f t="shared" si="165"/>
        <v>0</v>
      </c>
    </row>
    <row r="1250" spans="6:33" ht="24" customHeight="1">
      <c r="H1250" s="1" t="s">
        <v>1911</v>
      </c>
      <c r="I1250" s="1" t="s">
        <v>992</v>
      </c>
      <c r="K1250" s="1" t="s">
        <v>992</v>
      </c>
      <c r="N1250" s="3"/>
      <c r="Q1250" s="4"/>
      <c r="R1250" s="5"/>
      <c r="T1250" s="3"/>
      <c r="U1250" s="1" t="s">
        <v>447</v>
      </c>
      <c r="W1250" s="4"/>
      <c r="X1250" s="8">
        <f>SUM(X1237:X1248)</f>
        <v>15192.47</v>
      </c>
      <c r="Y1250" s="8">
        <v>1.6</v>
      </c>
      <c r="Z1250" s="7" t="s">
        <v>785</v>
      </c>
      <c r="AA1250" s="1" t="s">
        <v>1744</v>
      </c>
      <c r="AB1250" s="8">
        <f>V1245</f>
        <v>972.4</v>
      </c>
      <c r="AC1250" s="1" t="s">
        <v>785</v>
      </c>
      <c r="AD1250" s="8">
        <f>(Y1250*AB1250)</f>
        <v>1555.84</v>
      </c>
      <c r="AE1250" s="51" t="str">
        <f t="shared" si="165"/>
        <v>|</v>
      </c>
      <c r="AG1250" s="1" t="s">
        <v>2298</v>
      </c>
    </row>
    <row r="1251" spans="6:33" ht="24" customHeight="1">
      <c r="F1251" s="8">
        <v>1.1000000000000001</v>
      </c>
      <c r="G1251" s="7" t="s">
        <v>785</v>
      </c>
      <c r="H1251" s="1" t="s">
        <v>2045</v>
      </c>
      <c r="I1251" s="8">
        <f>(C10)</f>
        <v>1041.7</v>
      </c>
      <c r="J1251" s="1" t="s">
        <v>785</v>
      </c>
      <c r="K1251" s="8">
        <f>(F1251*I1251)</f>
        <v>1145.8699999999999</v>
      </c>
      <c r="N1251" s="3"/>
      <c r="Q1251" s="4"/>
      <c r="R1251" s="5"/>
      <c r="T1251" s="3"/>
      <c r="W1251" s="4"/>
      <c r="X1251" s="5" t="s">
        <v>1615</v>
      </c>
      <c r="Y1251" s="8">
        <v>0.5</v>
      </c>
      <c r="Z1251" s="7" t="s">
        <v>785</v>
      </c>
      <c r="AA1251" s="1" t="s">
        <v>1937</v>
      </c>
      <c r="AB1251" s="8">
        <f>V1246</f>
        <v>679.8</v>
      </c>
      <c r="AC1251" s="1" t="s">
        <v>785</v>
      </c>
      <c r="AD1251" s="8">
        <f>(Y1251*AB1251)</f>
        <v>339.9</v>
      </c>
      <c r="AE1251" s="51">
        <f t="shared" si="165"/>
        <v>0</v>
      </c>
    </row>
    <row r="1252" spans="6:33" ht="24" customHeight="1">
      <c r="F1252" s="8">
        <v>1.1000000000000001</v>
      </c>
      <c r="G1252" s="7" t="s">
        <v>785</v>
      </c>
      <c r="H1252" s="1" t="s">
        <v>1744</v>
      </c>
      <c r="I1252" s="8">
        <f>(C11)</f>
        <v>972.4</v>
      </c>
      <c r="J1252" s="1" t="s">
        <v>785</v>
      </c>
      <c r="K1252" s="8">
        <f>(F1252*I1252)</f>
        <v>1069.6400000000001</v>
      </c>
      <c r="N1252" s="3"/>
      <c r="Q1252" s="4"/>
      <c r="R1252" s="5"/>
      <c r="T1252" s="3"/>
      <c r="U1252" s="33" t="s">
        <v>562</v>
      </c>
      <c r="W1252" s="4"/>
      <c r="X1252" s="38">
        <f>(X1250/10)</f>
        <v>1519.25</v>
      </c>
      <c r="Y1252" s="8">
        <v>1.1000000000000001</v>
      </c>
      <c r="Z1252" s="7" t="s">
        <v>785</v>
      </c>
      <c r="AA1252" s="1" t="s">
        <v>325</v>
      </c>
      <c r="AB1252" s="8">
        <f>V1247</f>
        <v>557.70000000000005</v>
      </c>
      <c r="AC1252" s="1" t="s">
        <v>785</v>
      </c>
      <c r="AD1252" s="8">
        <f>(Y1252*AB1252)</f>
        <v>613.47</v>
      </c>
      <c r="AE1252" s="51" t="str">
        <f t="shared" si="165"/>
        <v>|</v>
      </c>
      <c r="AG1252" s="1" t="s">
        <v>2298</v>
      </c>
    </row>
    <row r="1253" spans="6:33" ht="24" customHeight="1">
      <c r="F1253" s="8">
        <v>2.2000000000000002</v>
      </c>
      <c r="G1253" s="7" t="s">
        <v>785</v>
      </c>
      <c r="H1253" s="1" t="s">
        <v>1937</v>
      </c>
      <c r="I1253" s="8">
        <f>(C12)</f>
        <v>679.8</v>
      </c>
      <c r="J1253" s="1" t="s">
        <v>785</v>
      </c>
      <c r="K1253" s="8">
        <f>(F1253*I1253)</f>
        <v>1495.56</v>
      </c>
      <c r="N1253" s="3"/>
      <c r="Q1253" s="4"/>
      <c r="R1253" s="5"/>
      <c r="W1253" s="4"/>
      <c r="Z1253" s="7" t="s">
        <v>455</v>
      </c>
      <c r="AA1253" s="1" t="s">
        <v>456</v>
      </c>
      <c r="AB1253" s="8">
        <f>V1248</f>
        <v>0</v>
      </c>
      <c r="AC1253" s="1" t="s">
        <v>455</v>
      </c>
      <c r="AD1253" s="8">
        <v>0</v>
      </c>
      <c r="AE1253" s="51" t="str">
        <f t="shared" si="165"/>
        <v>|</v>
      </c>
      <c r="AG1253" s="1" t="s">
        <v>2298</v>
      </c>
    </row>
    <row r="1254" spans="6:33" ht="24" customHeight="1">
      <c r="F1254" s="8">
        <v>2.2000000000000002</v>
      </c>
      <c r="G1254" s="7" t="s">
        <v>785</v>
      </c>
      <c r="H1254" s="1" t="s">
        <v>325</v>
      </c>
      <c r="I1254" s="8">
        <f>(C13)</f>
        <v>557.70000000000005</v>
      </c>
      <c r="J1254" s="1" t="s">
        <v>785</v>
      </c>
      <c r="K1254" s="8">
        <f>(F1254*I1254)</f>
        <v>1226.94</v>
      </c>
      <c r="M1254" s="723"/>
      <c r="N1254" s="724"/>
      <c r="O1254" s="725" t="s">
        <v>3693</v>
      </c>
      <c r="P1254" s="723"/>
      <c r="Q1254" s="726" t="s">
        <v>3943</v>
      </c>
      <c r="R1254" s="723"/>
      <c r="W1254" s="4"/>
      <c r="Z1254" s="3"/>
      <c r="AC1254" s="10"/>
      <c r="AD1254" s="5" t="s">
        <v>1615</v>
      </c>
      <c r="AE1254" s="51" t="str">
        <f t="shared" si="165"/>
        <v>|</v>
      </c>
      <c r="AG1254" s="1" t="s">
        <v>2298</v>
      </c>
    </row>
    <row r="1255" spans="6:33" ht="24" customHeight="1">
      <c r="F1255" s="12">
        <v>20</v>
      </c>
      <c r="G1255" s="7" t="s">
        <v>1676</v>
      </c>
      <c r="H1255" s="1" t="s">
        <v>878</v>
      </c>
      <c r="I1255" s="8">
        <f>(C67)</f>
        <v>6040</v>
      </c>
      <c r="J1255" s="1" t="s">
        <v>877</v>
      </c>
      <c r="K1255" s="8">
        <f>(F1255*I1255)/1000</f>
        <v>120.8</v>
      </c>
      <c r="M1255" s="723"/>
      <c r="N1255" s="724"/>
      <c r="O1255" s="723"/>
      <c r="P1255" s="723"/>
      <c r="Q1255" s="726"/>
      <c r="R1255" s="723"/>
      <c r="W1255" s="4"/>
      <c r="Z1255" s="3"/>
      <c r="AA1255" s="1" t="s">
        <v>447</v>
      </c>
      <c r="AC1255" s="10"/>
      <c r="AD1255" s="8">
        <f>SUM(AD1241:AD1253)</f>
        <v>16542.29</v>
      </c>
      <c r="AE1255" s="51" t="str">
        <f t="shared" si="165"/>
        <v>|</v>
      </c>
      <c r="AG1255" s="1" t="s">
        <v>2298</v>
      </c>
    </row>
    <row r="1256" spans="6:33" ht="24" customHeight="1">
      <c r="F1256" s="12">
        <v>2</v>
      </c>
      <c r="G1256" s="7" t="s">
        <v>1676</v>
      </c>
      <c r="H1256" s="605" t="s">
        <v>4404</v>
      </c>
      <c r="I1256" s="480">
        <v>36.1</v>
      </c>
      <c r="J1256" s="1" t="s">
        <v>1676</v>
      </c>
      <c r="K1256" s="8">
        <f>(F1256*I1256)</f>
        <v>72.2</v>
      </c>
      <c r="M1256" s="727"/>
      <c r="N1256" s="736"/>
      <c r="O1256" s="727"/>
      <c r="P1256" s="727"/>
      <c r="Q1256" s="726"/>
      <c r="R1256" s="723"/>
      <c r="W1256" s="4"/>
      <c r="Z1256" s="3"/>
      <c r="AC1256" s="10"/>
      <c r="AD1256" s="5" t="s">
        <v>1615</v>
      </c>
      <c r="AE1256" s="51" t="str">
        <f t="shared" si="165"/>
        <v>|</v>
      </c>
      <c r="AG1256" s="1" t="s">
        <v>2298</v>
      </c>
    </row>
    <row r="1257" spans="6:33" ht="24" customHeight="1">
      <c r="F1257" s="8">
        <v>1.6</v>
      </c>
      <c r="G1257" s="7" t="s">
        <v>785</v>
      </c>
      <c r="H1257" s="1" t="s">
        <v>1744</v>
      </c>
      <c r="I1257" s="8">
        <f>(C11)</f>
        <v>972.4</v>
      </c>
      <c r="J1257" s="1" t="s">
        <v>785</v>
      </c>
      <c r="K1257" s="8">
        <f>(F1257*I1257)</f>
        <v>1555.84</v>
      </c>
      <c r="M1257" s="737">
        <v>10</v>
      </c>
      <c r="N1257" s="738" t="s">
        <v>621</v>
      </c>
      <c r="O1257" s="742" t="s">
        <v>4527</v>
      </c>
      <c r="P1257" s="741">
        <v>421.3</v>
      </c>
      <c r="Q1257" s="728" t="s">
        <v>621</v>
      </c>
      <c r="R1257" s="729">
        <f>M1257*P1257</f>
        <v>4213</v>
      </c>
      <c r="W1257" s="4"/>
      <c r="Z1257" s="3"/>
      <c r="AA1257" s="58" t="s">
        <v>562</v>
      </c>
      <c r="AC1257" s="10"/>
      <c r="AD1257" s="38">
        <f>(AD1255/10)</f>
        <v>1654.23</v>
      </c>
      <c r="AE1257" s="418" t="s">
        <v>3579</v>
      </c>
      <c r="AG1257" s="1" t="s">
        <v>2298</v>
      </c>
    </row>
    <row r="1258" spans="6:33" ht="24" customHeight="1">
      <c r="F1258" s="8">
        <v>0.5</v>
      </c>
      <c r="G1258" s="7" t="s">
        <v>785</v>
      </c>
      <c r="H1258" s="1" t="s">
        <v>1937</v>
      </c>
      <c r="I1258" s="8">
        <f>(C12)</f>
        <v>679.8</v>
      </c>
      <c r="J1258" s="1" t="s">
        <v>785</v>
      </c>
      <c r="K1258" s="8">
        <f>(F1258*I1258)</f>
        <v>339.9</v>
      </c>
      <c r="M1258" s="729">
        <v>0.21</v>
      </c>
      <c r="N1258" s="730" t="s">
        <v>885</v>
      </c>
      <c r="O1258" s="731" t="s">
        <v>1910</v>
      </c>
      <c r="P1258" s="729">
        <f t="shared" ref="P1258:P1263" si="171">P1216</f>
        <v>4628.8999999999996</v>
      </c>
      <c r="Q1258" s="728" t="s">
        <v>885</v>
      </c>
      <c r="R1258" s="729">
        <f t="shared" ref="R1258:R1267" si="172">(M1258*P1258)</f>
        <v>972.07</v>
      </c>
      <c r="W1258" s="4"/>
      <c r="Z1258" s="3"/>
      <c r="AC1258" s="10"/>
      <c r="AD1258" s="5" t="s">
        <v>2091</v>
      </c>
      <c r="AE1258" s="51" t="str">
        <f t="shared" si="165"/>
        <v>|</v>
      </c>
      <c r="AG1258" s="1" t="s">
        <v>2298</v>
      </c>
    </row>
    <row r="1259" spans="6:33" ht="24" customHeight="1">
      <c r="F1259" s="8">
        <v>1.1000000000000001</v>
      </c>
      <c r="G1259" s="7" t="s">
        <v>785</v>
      </c>
      <c r="H1259" s="1" t="s">
        <v>325</v>
      </c>
      <c r="I1259" s="8">
        <f>(C13)</f>
        <v>557.70000000000005</v>
      </c>
      <c r="J1259" s="1" t="s">
        <v>785</v>
      </c>
      <c r="K1259" s="8">
        <f>(F1259*I1259)</f>
        <v>613.47</v>
      </c>
      <c r="M1259" s="729">
        <v>1.1000000000000001</v>
      </c>
      <c r="N1259" s="730" t="s">
        <v>785</v>
      </c>
      <c r="O1259" s="731" t="s">
        <v>2045</v>
      </c>
      <c r="P1259" s="729">
        <f t="shared" si="171"/>
        <v>1041.7</v>
      </c>
      <c r="Q1259" s="728" t="s">
        <v>785</v>
      </c>
      <c r="R1259" s="729">
        <f t="shared" si="172"/>
        <v>1145.8699999999999</v>
      </c>
      <c r="W1259" s="4"/>
      <c r="Y1259" s="24">
        <v>29.4</v>
      </c>
      <c r="Z1259" s="7" t="s">
        <v>2290</v>
      </c>
      <c r="AA1259" s="1" t="s">
        <v>3581</v>
      </c>
      <c r="AE1259" s="51" t="str">
        <f t="shared" si="165"/>
        <v>|</v>
      </c>
      <c r="AG1259" s="1" t="s">
        <v>2298</v>
      </c>
    </row>
    <row r="1260" spans="6:33" ht="24" customHeight="1">
      <c r="G1260" s="7" t="s">
        <v>455</v>
      </c>
      <c r="H1260" s="1" t="s">
        <v>456</v>
      </c>
      <c r="J1260" s="1" t="s">
        <v>455</v>
      </c>
      <c r="K1260" s="8">
        <v>0</v>
      </c>
      <c r="M1260" s="729">
        <v>1.1000000000000001</v>
      </c>
      <c r="N1260" s="730" t="s">
        <v>785</v>
      </c>
      <c r="O1260" s="731" t="s">
        <v>1744</v>
      </c>
      <c r="P1260" s="729">
        <f t="shared" si="171"/>
        <v>972.4</v>
      </c>
      <c r="Q1260" s="728" t="s">
        <v>785</v>
      </c>
      <c r="R1260" s="729">
        <f t="shared" si="172"/>
        <v>1069.6400000000001</v>
      </c>
      <c r="W1260" s="4"/>
      <c r="Z1260" s="3"/>
      <c r="AA1260" s="1" t="s">
        <v>3582</v>
      </c>
      <c r="AE1260" s="51" t="str">
        <f t="shared" si="165"/>
        <v>|</v>
      </c>
      <c r="AG1260" s="1" t="s">
        <v>2298</v>
      </c>
    </row>
    <row r="1261" spans="6:33" ht="24" customHeight="1">
      <c r="K1261" s="5" t="s">
        <v>1615</v>
      </c>
      <c r="M1261" s="729">
        <v>2.2000000000000002</v>
      </c>
      <c r="N1261" s="730" t="s">
        <v>785</v>
      </c>
      <c r="O1261" s="731" t="s">
        <v>1937</v>
      </c>
      <c r="P1261" s="729">
        <f t="shared" si="171"/>
        <v>679.8</v>
      </c>
      <c r="Q1261" s="728" t="s">
        <v>785</v>
      </c>
      <c r="R1261" s="729">
        <f t="shared" si="172"/>
        <v>1495.56</v>
      </c>
      <c r="W1261" s="4"/>
      <c r="Z1261" s="3"/>
      <c r="AA1261" s="5" t="s">
        <v>1615</v>
      </c>
      <c r="AE1261" s="51" t="str">
        <f t="shared" si="165"/>
        <v>|</v>
      </c>
      <c r="AG1261" s="1" t="s">
        <v>2298</v>
      </c>
    </row>
    <row r="1262" spans="6:33" ht="24" customHeight="1">
      <c r="H1262" s="1" t="s">
        <v>447</v>
      </c>
      <c r="K1262" s="8">
        <f>SUM(K1248:K1260)</f>
        <v>12390.89</v>
      </c>
      <c r="M1262" s="729">
        <v>2.2000000000000002</v>
      </c>
      <c r="N1262" s="730" t="s">
        <v>785</v>
      </c>
      <c r="O1262" s="731" t="s">
        <v>325</v>
      </c>
      <c r="P1262" s="729">
        <f t="shared" si="171"/>
        <v>557.70000000000005</v>
      </c>
      <c r="Q1262" s="728" t="s">
        <v>785</v>
      </c>
      <c r="R1262" s="729">
        <f t="shared" si="172"/>
        <v>1226.94</v>
      </c>
      <c r="W1262" s="4"/>
      <c r="Y1262" s="8">
        <v>1.86</v>
      </c>
      <c r="Z1262" s="7" t="s">
        <v>621</v>
      </c>
      <c r="AA1262" s="1" t="s">
        <v>3583</v>
      </c>
      <c r="AB1262" s="63">
        <v>749</v>
      </c>
      <c r="AC1262" s="1" t="str">
        <f>J1269</f>
        <v>SQM</v>
      </c>
      <c r="AD1262" s="8">
        <f t="shared" ref="AD1262:AD1267" si="173">(Y1262*AB1262)</f>
        <v>1393.14</v>
      </c>
      <c r="AE1262" s="51" t="str">
        <f t="shared" si="165"/>
        <v>|</v>
      </c>
      <c r="AG1262" s="1" t="s">
        <v>2298</v>
      </c>
    </row>
    <row r="1263" spans="6:33" ht="24" customHeight="1">
      <c r="K1263" s="5" t="s">
        <v>1615</v>
      </c>
      <c r="M1263" s="732">
        <v>20</v>
      </c>
      <c r="N1263" s="730" t="s">
        <v>1676</v>
      </c>
      <c r="O1263" s="731" t="s">
        <v>878</v>
      </c>
      <c r="P1263" s="729">
        <f t="shared" si="171"/>
        <v>6040</v>
      </c>
      <c r="Q1263" s="728" t="s">
        <v>877</v>
      </c>
      <c r="R1263" s="729">
        <f>(M1263*P1263)/1000</f>
        <v>120.8</v>
      </c>
      <c r="W1263" s="4"/>
      <c r="Y1263" s="8">
        <v>0.4</v>
      </c>
      <c r="Z1263" s="7" t="s">
        <v>1676</v>
      </c>
      <c r="AA1263" s="1" t="s">
        <v>2118</v>
      </c>
      <c r="AB1263" s="169">
        <f>AB1249</f>
        <v>36.1</v>
      </c>
      <c r="AC1263" s="1" t="str">
        <f>J1270</f>
        <v>Kg</v>
      </c>
      <c r="AD1263" s="8">
        <f t="shared" si="173"/>
        <v>14.44</v>
      </c>
      <c r="AE1263" s="51">
        <f t="shared" si="165"/>
        <v>0</v>
      </c>
    </row>
    <row r="1264" spans="6:33" ht="24" customHeight="1">
      <c r="H1264" s="58" t="s">
        <v>562</v>
      </c>
      <c r="K1264" s="38">
        <f>(K1262/10)</f>
        <v>1239.0899999999999</v>
      </c>
      <c r="M1264" s="732">
        <v>2</v>
      </c>
      <c r="N1264" s="730" t="s">
        <v>1676</v>
      </c>
      <c r="O1264" s="731" t="s">
        <v>1556</v>
      </c>
      <c r="P1264" s="729">
        <f>I1256</f>
        <v>36.1</v>
      </c>
      <c r="Q1264" s="728" t="s">
        <v>1676</v>
      </c>
      <c r="R1264" s="729">
        <f t="shared" si="172"/>
        <v>72.2</v>
      </c>
      <c r="W1264" s="4"/>
      <c r="Y1264" s="8">
        <v>0.02</v>
      </c>
      <c r="Z1264" s="7" t="s">
        <v>885</v>
      </c>
      <c r="AA1264" s="1" t="s">
        <v>422</v>
      </c>
      <c r="AB1264" s="8">
        <f>I1271</f>
        <v>6078.5</v>
      </c>
      <c r="AC1264" s="1" t="str">
        <f>J1271</f>
        <v>CUM</v>
      </c>
      <c r="AD1264" s="8">
        <f t="shared" si="173"/>
        <v>121.57</v>
      </c>
      <c r="AE1264" s="51">
        <f t="shared" si="165"/>
        <v>0</v>
      </c>
    </row>
    <row r="1265" spans="6:33" ht="24" customHeight="1">
      <c r="K1265" s="5" t="s">
        <v>2091</v>
      </c>
      <c r="M1265" s="729">
        <v>1.6</v>
      </c>
      <c r="N1265" s="730" t="s">
        <v>785</v>
      </c>
      <c r="O1265" s="731" t="s">
        <v>1744</v>
      </c>
      <c r="P1265" s="729">
        <f>P1223</f>
        <v>972.4</v>
      </c>
      <c r="Q1265" s="728" t="s">
        <v>785</v>
      </c>
      <c r="R1265" s="729">
        <f t="shared" si="172"/>
        <v>1555.84</v>
      </c>
      <c r="W1265" s="4"/>
      <c r="Y1265" s="8">
        <v>1</v>
      </c>
      <c r="Z1265" s="7" t="s">
        <v>785</v>
      </c>
      <c r="AA1265" s="1" t="s">
        <v>2045</v>
      </c>
      <c r="AB1265" s="8">
        <f>I1272</f>
        <v>1041.7</v>
      </c>
      <c r="AC1265" s="1" t="str">
        <f>J1272</f>
        <v>NO</v>
      </c>
      <c r="AD1265" s="8">
        <f t="shared" si="173"/>
        <v>1041.7</v>
      </c>
      <c r="AE1265" s="51" t="str">
        <f t="shared" si="165"/>
        <v/>
      </c>
      <c r="AG1265" s="1" t="s">
        <v>992</v>
      </c>
    </row>
    <row r="1266" spans="6:33" ht="24" customHeight="1">
      <c r="F1266" s="24">
        <v>29.4</v>
      </c>
      <c r="G1266" s="7" t="s">
        <v>2290</v>
      </c>
      <c r="H1266" s="1" t="s">
        <v>1112</v>
      </c>
      <c r="M1266" s="729">
        <v>0.5</v>
      </c>
      <c r="N1266" s="730" t="s">
        <v>785</v>
      </c>
      <c r="O1266" s="731" t="s">
        <v>1937</v>
      </c>
      <c r="P1266" s="729">
        <f>P1224</f>
        <v>679.8</v>
      </c>
      <c r="Q1266" s="728" t="s">
        <v>785</v>
      </c>
      <c r="R1266" s="729">
        <f t="shared" si="172"/>
        <v>339.9</v>
      </c>
      <c r="W1266" s="4"/>
      <c r="Y1266" s="8">
        <v>1</v>
      </c>
      <c r="Z1266" s="7" t="s">
        <v>785</v>
      </c>
      <c r="AA1266" s="1" t="s">
        <v>1720</v>
      </c>
      <c r="AB1266" s="8">
        <f>I1273</f>
        <v>679.8</v>
      </c>
      <c r="AC1266" s="1" t="str">
        <f>J1273</f>
        <v>NO</v>
      </c>
      <c r="AD1266" s="8">
        <f t="shared" si="173"/>
        <v>679.8</v>
      </c>
      <c r="AE1266" s="51">
        <f t="shared" si="165"/>
        <v>0</v>
      </c>
    </row>
    <row r="1267" spans="6:33" ht="24" customHeight="1">
      <c r="H1267" s="1" t="s">
        <v>1113</v>
      </c>
      <c r="M1267" s="729">
        <v>1.1000000000000001</v>
      </c>
      <c r="N1267" s="730" t="s">
        <v>785</v>
      </c>
      <c r="O1267" s="731" t="s">
        <v>325</v>
      </c>
      <c r="P1267" s="729">
        <f>P1225</f>
        <v>557.70000000000005</v>
      </c>
      <c r="Q1267" s="728" t="s">
        <v>785</v>
      </c>
      <c r="R1267" s="729">
        <f t="shared" si="172"/>
        <v>613.47</v>
      </c>
      <c r="W1267" s="4"/>
      <c r="Z1267" s="7" t="s">
        <v>455</v>
      </c>
      <c r="AA1267" s="1" t="s">
        <v>456</v>
      </c>
      <c r="AC1267" s="1" t="s">
        <v>455</v>
      </c>
      <c r="AD1267" s="8">
        <f t="shared" si="173"/>
        <v>0</v>
      </c>
      <c r="AE1267" s="51">
        <f t="shared" si="165"/>
        <v>0</v>
      </c>
    </row>
    <row r="1268" spans="6:33" ht="24" customHeight="1">
      <c r="H1268" s="5" t="s">
        <v>1615</v>
      </c>
      <c r="M1268" s="723"/>
      <c r="N1268" s="730" t="s">
        <v>455</v>
      </c>
      <c r="O1268" s="731" t="s">
        <v>456</v>
      </c>
      <c r="P1268" s="723"/>
      <c r="Q1268" s="728" t="s">
        <v>455</v>
      </c>
      <c r="R1268" s="729">
        <v>0</v>
      </c>
      <c r="W1268" s="4"/>
      <c r="Z1268" s="3"/>
      <c r="AC1268" s="10"/>
      <c r="AD1268" s="5" t="s">
        <v>1615</v>
      </c>
      <c r="AE1268" s="51">
        <f t="shared" si="165"/>
        <v>0</v>
      </c>
    </row>
    <row r="1269" spans="6:33" ht="24" customHeight="1">
      <c r="F1269" s="8">
        <v>1.86</v>
      </c>
      <c r="G1269" s="7" t="s">
        <v>621</v>
      </c>
      <c r="H1269" s="1" t="s">
        <v>1114</v>
      </c>
      <c r="I1269" s="439">
        <f>C602</f>
        <v>415</v>
      </c>
      <c r="J1269" s="1" t="s">
        <v>621</v>
      </c>
      <c r="K1269" s="8">
        <f>(F1269*I1269)</f>
        <v>771.9</v>
      </c>
      <c r="M1269" s="723">
        <f>9.3/0.02</f>
        <v>465</v>
      </c>
      <c r="N1269" s="724"/>
      <c r="O1269" s="723"/>
      <c r="P1269" s="723"/>
      <c r="Q1269" s="726"/>
      <c r="R1269" s="733"/>
      <c r="W1269" s="4"/>
      <c r="Z1269" s="3"/>
      <c r="AA1269" s="1" t="s">
        <v>1721</v>
      </c>
      <c r="AC1269" s="10"/>
      <c r="AD1269" s="8">
        <f>SUM(AD1262:AD1267)</f>
        <v>3250.65</v>
      </c>
      <c r="AE1269" s="51">
        <f t="shared" si="165"/>
        <v>0</v>
      </c>
    </row>
    <row r="1270" spans="6:33" ht="24" customHeight="1">
      <c r="F1270" s="8">
        <v>0.4</v>
      </c>
      <c r="G1270" s="7" t="s">
        <v>1676</v>
      </c>
      <c r="H1270" s="1" t="s">
        <v>2118</v>
      </c>
      <c r="I1270" s="484">
        <f>I1256</f>
        <v>36.1</v>
      </c>
      <c r="J1270" s="1" t="s">
        <v>1676</v>
      </c>
      <c r="K1270" s="8">
        <f>(F1270*I1270)</f>
        <v>14.44</v>
      </c>
      <c r="M1270" s="723"/>
      <c r="N1270" s="724"/>
      <c r="O1270" s="731" t="s">
        <v>447</v>
      </c>
      <c r="P1270" s="723"/>
      <c r="Q1270" s="726"/>
      <c r="R1270" s="729">
        <f>SUM(R1257:R1268)</f>
        <v>12825.29</v>
      </c>
      <c r="W1270" s="4"/>
      <c r="Z1270" s="3"/>
      <c r="AC1270" s="10"/>
      <c r="AD1270" s="5" t="s">
        <v>1615</v>
      </c>
      <c r="AE1270" s="51">
        <f t="shared" si="165"/>
        <v>0</v>
      </c>
    </row>
    <row r="1271" spans="6:33" ht="24" customHeight="1">
      <c r="F1271" s="8">
        <v>0.02</v>
      </c>
      <c r="G1271" s="7" t="s">
        <v>885</v>
      </c>
      <c r="H1271" s="1" t="s">
        <v>422</v>
      </c>
      <c r="I1271" s="8">
        <f>K23</f>
        <v>6078.5</v>
      </c>
      <c r="J1271" s="1" t="s">
        <v>885</v>
      </c>
      <c r="K1271" s="8">
        <f>(F1271*I1271)</f>
        <v>121.57</v>
      </c>
      <c r="M1271" s="723"/>
      <c r="N1271" s="724"/>
      <c r="O1271" s="723"/>
      <c r="P1271" s="723"/>
      <c r="Q1271" s="726"/>
      <c r="R1271" s="733" t="s">
        <v>1615</v>
      </c>
      <c r="W1271" s="4"/>
      <c r="Z1271" s="3"/>
      <c r="AA1271" s="58" t="s">
        <v>562</v>
      </c>
      <c r="AC1271" s="10"/>
      <c r="AD1271" s="38">
        <f>(AD1269/1.86)</f>
        <v>1747.66</v>
      </c>
      <c r="AE1271" s="51">
        <f t="shared" si="165"/>
        <v>0</v>
      </c>
    </row>
    <row r="1272" spans="6:33" ht="24" customHeight="1">
      <c r="F1272" s="8">
        <v>1</v>
      </c>
      <c r="G1272" s="7" t="s">
        <v>785</v>
      </c>
      <c r="H1272" s="1" t="s">
        <v>2045</v>
      </c>
      <c r="I1272" s="8">
        <f>C10</f>
        <v>1041.7</v>
      </c>
      <c r="J1272" s="1" t="s">
        <v>785</v>
      </c>
      <c r="K1272" s="8">
        <f>(F1272*I1272)</f>
        <v>1041.7</v>
      </c>
      <c r="M1272" s="723"/>
      <c r="N1272" s="724"/>
      <c r="O1272" s="734" t="s">
        <v>562</v>
      </c>
      <c r="P1272" s="723"/>
      <c r="Q1272" s="726"/>
      <c r="R1272" s="735">
        <f>(R1270/10)</f>
        <v>1282.53</v>
      </c>
      <c r="W1272" s="4"/>
      <c r="Z1272" s="3"/>
      <c r="AC1272" s="10"/>
      <c r="AD1272" s="5" t="s">
        <v>2091</v>
      </c>
      <c r="AE1272" s="51">
        <f t="shared" si="165"/>
        <v>0</v>
      </c>
    </row>
    <row r="1273" spans="6:33" ht="24" customHeight="1">
      <c r="F1273" s="8">
        <v>1</v>
      </c>
      <c r="G1273" s="7" t="s">
        <v>785</v>
      </c>
      <c r="H1273" s="1" t="s">
        <v>1720</v>
      </c>
      <c r="I1273" s="8">
        <f>C12</f>
        <v>679.8</v>
      </c>
      <c r="J1273" s="1" t="s">
        <v>785</v>
      </c>
      <c r="K1273" s="8">
        <f>(F1273*I1273)</f>
        <v>679.8</v>
      </c>
      <c r="S1273" s="24">
        <v>29.5</v>
      </c>
      <c r="T1273" s="7" t="s">
        <v>2290</v>
      </c>
      <c r="U1273" s="1" t="s">
        <v>3674</v>
      </c>
      <c r="W1273" s="4"/>
      <c r="AE1273" s="51">
        <f t="shared" si="165"/>
        <v>0</v>
      </c>
    </row>
    <row r="1274" spans="6:33" ht="24" customHeight="1">
      <c r="G1274" s="7" t="s">
        <v>455</v>
      </c>
      <c r="H1274" s="1" t="s">
        <v>456</v>
      </c>
      <c r="J1274" s="1" t="s">
        <v>455</v>
      </c>
      <c r="K1274" s="8"/>
      <c r="S1274"/>
      <c r="T1274" s="3"/>
      <c r="U1274" s="1"/>
      <c r="W1274" s="4"/>
      <c r="AE1274" s="51">
        <f t="shared" si="165"/>
        <v>0</v>
      </c>
    </row>
    <row r="1275" spans="6:33" ht="24" customHeight="1">
      <c r="K1275" s="5" t="s">
        <v>1615</v>
      </c>
      <c r="N1275" s="3"/>
      <c r="O1275" s="216" t="s">
        <v>5934</v>
      </c>
      <c r="Q1275" s="1252"/>
      <c r="S1275"/>
      <c r="T1275" s="3"/>
      <c r="U1275" s="1"/>
      <c r="W1275" s="4"/>
      <c r="AC1275" s="10"/>
      <c r="AE1275" s="51">
        <f t="shared" si="165"/>
        <v>0</v>
      </c>
    </row>
    <row r="1276" spans="6:33" ht="24" customHeight="1">
      <c r="H1276" s="1" t="s">
        <v>1721</v>
      </c>
      <c r="K1276" s="8">
        <f>SUM(K1269:K1274)</f>
        <v>2629.41</v>
      </c>
      <c r="N1276" s="3"/>
      <c r="Q1276" s="1252"/>
      <c r="S1276"/>
      <c r="T1276" s="3"/>
      <c r="U1276" s="5" t="s">
        <v>1615</v>
      </c>
      <c r="V1276" s="5" t="s">
        <v>1615</v>
      </c>
      <c r="W1276" s="4"/>
      <c r="AC1276" s="10"/>
      <c r="AE1276" s="51">
        <f t="shared" si="165"/>
        <v>0</v>
      </c>
    </row>
    <row r="1277" spans="6:33" ht="40.5" customHeight="1">
      <c r="K1277" s="5" t="s">
        <v>1615</v>
      </c>
      <c r="N1277" s="3"/>
      <c r="Q1277" s="1252"/>
      <c r="S1277" s="8">
        <v>10</v>
      </c>
      <c r="T1277" s="7" t="s">
        <v>621</v>
      </c>
      <c r="U1277" s="26" t="s">
        <v>3682</v>
      </c>
      <c r="V1277" s="536">
        <v>538.21</v>
      </c>
      <c r="W1277" s="2" t="s">
        <v>621</v>
      </c>
      <c r="X1277" s="8">
        <f>(S1277*V1277)</f>
        <v>5382.1</v>
      </c>
      <c r="AC1277" s="10"/>
      <c r="AE1277" s="51">
        <f t="shared" si="165"/>
        <v>0</v>
      </c>
    </row>
    <row r="1278" spans="6:33" ht="24" customHeight="1">
      <c r="H1278" s="58" t="s">
        <v>562</v>
      </c>
      <c r="K1278" s="38">
        <f>(K1276/1.86)</f>
        <v>1413.66</v>
      </c>
      <c r="M1278" s="8">
        <v>10</v>
      </c>
      <c r="N1278" s="7" t="s">
        <v>621</v>
      </c>
      <c r="O1278" s="504" t="s">
        <v>5936</v>
      </c>
      <c r="P1278" s="227">
        <v>1737</v>
      </c>
      <c r="Q1278" s="1251" t="s">
        <v>621</v>
      </c>
      <c r="R1278" s="8">
        <f>M1278*P1278</f>
        <v>17370</v>
      </c>
      <c r="S1278" s="8">
        <v>0.21</v>
      </c>
      <c r="T1278" s="7" t="s">
        <v>885</v>
      </c>
      <c r="U1278" s="1" t="s">
        <v>1910</v>
      </c>
      <c r="V1278" s="63">
        <f t="shared" ref="V1278:V1288" si="174">I1249</f>
        <v>4628.8999999999996</v>
      </c>
      <c r="W1278" s="2" t="s">
        <v>885</v>
      </c>
      <c r="X1278" s="8">
        <f>(S1278*V1278)</f>
        <v>972.07</v>
      </c>
      <c r="AE1278" s="51">
        <f t="shared" ref="AE1278:AE1341" si="175">AG1278</f>
        <v>0</v>
      </c>
    </row>
    <row r="1279" spans="6:33" ht="24" customHeight="1">
      <c r="K1279" s="5" t="s">
        <v>2091</v>
      </c>
      <c r="M1279" s="8">
        <v>0.21</v>
      </c>
      <c r="N1279" s="7" t="s">
        <v>885</v>
      </c>
      <c r="O1279" s="1" t="s">
        <v>1910</v>
      </c>
      <c r="P1279" s="8">
        <f>P1216</f>
        <v>4628.8999999999996</v>
      </c>
      <c r="Q1279" s="1251" t="s">
        <v>885</v>
      </c>
      <c r="R1279" s="8">
        <f t="shared" ref="R1279:R1283" si="176">(M1279*P1279)</f>
        <v>972.07</v>
      </c>
      <c r="S1279"/>
      <c r="T1279" s="3"/>
      <c r="U1279" s="1" t="s">
        <v>1911</v>
      </c>
      <c r="V1279" s="63" t="str">
        <f t="shared" si="174"/>
        <v/>
      </c>
      <c r="W1279" s="4"/>
      <c r="X1279" s="1" t="s">
        <v>992</v>
      </c>
      <c r="AE1279" s="51">
        <f t="shared" si="175"/>
        <v>0</v>
      </c>
    </row>
    <row r="1280" spans="6:33" ht="24" customHeight="1">
      <c r="F1280" s="24"/>
      <c r="G1280" s="7" t="s">
        <v>2290</v>
      </c>
      <c r="H1280" s="1" t="s">
        <v>3675</v>
      </c>
      <c r="M1280" s="8">
        <v>1.1000000000000001</v>
      </c>
      <c r="N1280" s="7" t="s">
        <v>785</v>
      </c>
      <c r="O1280" s="1" t="s">
        <v>2045</v>
      </c>
      <c r="P1280" s="8">
        <f t="shared" ref="P1280:P1288" si="177">P1217</f>
        <v>1041.7</v>
      </c>
      <c r="Q1280" s="1251" t="s">
        <v>785</v>
      </c>
      <c r="R1280" s="8">
        <f t="shared" si="176"/>
        <v>1145.8699999999999</v>
      </c>
      <c r="S1280" s="8">
        <v>1.1000000000000001</v>
      </c>
      <c r="T1280" s="7" t="s">
        <v>785</v>
      </c>
      <c r="U1280" s="1" t="s">
        <v>2045</v>
      </c>
      <c r="V1280" s="63">
        <f t="shared" si="174"/>
        <v>1041.7</v>
      </c>
      <c r="W1280" s="2" t="s">
        <v>785</v>
      </c>
      <c r="X1280" s="8">
        <f>(S1280*V1280)</f>
        <v>1145.8699999999999</v>
      </c>
      <c r="AE1280" s="51">
        <f t="shared" si="175"/>
        <v>0</v>
      </c>
    </row>
    <row r="1281" spans="6:31" ht="24" customHeight="1">
      <c r="H1281" s="1"/>
      <c r="M1281" s="8">
        <v>1.1000000000000001</v>
      </c>
      <c r="N1281" s="7" t="s">
        <v>785</v>
      </c>
      <c r="O1281" s="1" t="s">
        <v>1744</v>
      </c>
      <c r="P1281" s="8">
        <f t="shared" si="177"/>
        <v>972.4</v>
      </c>
      <c r="Q1281" s="1251" t="s">
        <v>785</v>
      </c>
      <c r="R1281" s="8">
        <f t="shared" si="176"/>
        <v>1069.6400000000001</v>
      </c>
      <c r="S1281" s="8">
        <v>1.1000000000000001</v>
      </c>
      <c r="T1281" s="7" t="s">
        <v>785</v>
      </c>
      <c r="U1281" s="1" t="s">
        <v>1744</v>
      </c>
      <c r="V1281" s="63">
        <f t="shared" si="174"/>
        <v>972.4</v>
      </c>
      <c r="W1281" s="2" t="s">
        <v>785</v>
      </c>
      <c r="X1281" s="8">
        <f>(S1281*V1281)</f>
        <v>1069.6400000000001</v>
      </c>
      <c r="AE1281" s="51">
        <f t="shared" si="175"/>
        <v>0</v>
      </c>
    </row>
    <row r="1282" spans="6:31" ht="24" customHeight="1">
      <c r="H1282" s="5" t="s">
        <v>1615</v>
      </c>
      <c r="M1282" s="8">
        <v>2.2000000000000002</v>
      </c>
      <c r="N1282" s="7" t="s">
        <v>785</v>
      </c>
      <c r="O1282" s="1" t="s">
        <v>1937</v>
      </c>
      <c r="P1282" s="8">
        <f t="shared" si="177"/>
        <v>679.8</v>
      </c>
      <c r="Q1282" s="1251" t="s">
        <v>785</v>
      </c>
      <c r="R1282" s="8">
        <f t="shared" si="176"/>
        <v>1495.56</v>
      </c>
      <c r="S1282" s="8">
        <v>2.2000000000000002</v>
      </c>
      <c r="T1282" s="7" t="s">
        <v>785</v>
      </c>
      <c r="U1282" s="1" t="s">
        <v>1937</v>
      </c>
      <c r="V1282" s="63">
        <f t="shared" si="174"/>
        <v>679.8</v>
      </c>
      <c r="W1282" s="2" t="s">
        <v>785</v>
      </c>
      <c r="X1282" s="8">
        <f>(S1282*V1282)</f>
        <v>1495.56</v>
      </c>
      <c r="AE1282" s="51">
        <f t="shared" si="175"/>
        <v>0</v>
      </c>
    </row>
    <row r="1283" spans="6:31" ht="24" customHeight="1">
      <c r="F1283" s="8">
        <v>1.86</v>
      </c>
      <c r="G1283" s="7" t="s">
        <v>621</v>
      </c>
      <c r="H1283" s="1" t="s">
        <v>3683</v>
      </c>
      <c r="I1283" s="536">
        <v>699.4</v>
      </c>
      <c r="J1283" s="1" t="s">
        <v>621</v>
      </c>
      <c r="K1283" s="8">
        <f>(F1283*I1283)</f>
        <v>1300.8800000000001</v>
      </c>
      <c r="M1283" s="8">
        <v>2.2000000000000002</v>
      </c>
      <c r="N1283" s="7" t="s">
        <v>785</v>
      </c>
      <c r="O1283" s="1" t="s">
        <v>325</v>
      </c>
      <c r="P1283" s="8">
        <f t="shared" si="177"/>
        <v>557.70000000000005</v>
      </c>
      <c r="Q1283" s="1251" t="s">
        <v>785</v>
      </c>
      <c r="R1283" s="8">
        <f t="shared" si="176"/>
        <v>1226.94</v>
      </c>
      <c r="S1283" s="8">
        <v>2.2000000000000002</v>
      </c>
      <c r="T1283" s="7" t="s">
        <v>785</v>
      </c>
      <c r="U1283" s="1" t="s">
        <v>325</v>
      </c>
      <c r="V1283" s="63">
        <f t="shared" si="174"/>
        <v>557.70000000000005</v>
      </c>
      <c r="W1283" s="2" t="s">
        <v>785</v>
      </c>
      <c r="X1283" s="8">
        <f>(S1283*V1283)</f>
        <v>1226.94</v>
      </c>
      <c r="AE1283" s="51">
        <f t="shared" si="175"/>
        <v>0</v>
      </c>
    </row>
    <row r="1284" spans="6:31" ht="24" customHeight="1">
      <c r="F1284" s="8">
        <v>0.4</v>
      </c>
      <c r="G1284" s="7" t="s">
        <v>1676</v>
      </c>
      <c r="H1284" s="1" t="s">
        <v>395</v>
      </c>
      <c r="I1284" s="529">
        <f>C67</f>
        <v>6040</v>
      </c>
      <c r="J1284" s="1" t="s">
        <v>1676</v>
      </c>
      <c r="K1284" s="8">
        <f>(F1284*I1284)</f>
        <v>2416</v>
      </c>
      <c r="M1284" s="12">
        <v>20</v>
      </c>
      <c r="N1284" s="7" t="s">
        <v>1676</v>
      </c>
      <c r="O1284" s="1" t="s">
        <v>878</v>
      </c>
      <c r="P1284" s="8">
        <f t="shared" si="177"/>
        <v>6040</v>
      </c>
      <c r="Q1284" s="1251" t="s">
        <v>877</v>
      </c>
      <c r="R1284" s="8">
        <f>(M1284*P1284)/1000</f>
        <v>120.8</v>
      </c>
      <c r="S1284" s="12">
        <v>20</v>
      </c>
      <c r="T1284" s="7" t="s">
        <v>1676</v>
      </c>
      <c r="U1284" s="1" t="s">
        <v>878</v>
      </c>
      <c r="V1284" s="63">
        <f t="shared" si="174"/>
        <v>6040</v>
      </c>
      <c r="W1284" s="2" t="s">
        <v>877</v>
      </c>
      <c r="X1284" s="8">
        <f>(S1284*V1284)/1000</f>
        <v>120.8</v>
      </c>
      <c r="AE1284" s="51">
        <f t="shared" si="175"/>
        <v>0</v>
      </c>
    </row>
    <row r="1285" spans="6:31" ht="24" customHeight="1">
      <c r="F1285" s="8">
        <v>0.02</v>
      </c>
      <c r="G1285" s="7" t="s">
        <v>885</v>
      </c>
      <c r="H1285" s="1" t="s">
        <v>422</v>
      </c>
      <c r="I1285" s="8">
        <f>I1271</f>
        <v>6078.5</v>
      </c>
      <c r="J1285" s="1" t="s">
        <v>885</v>
      </c>
      <c r="K1285" s="8">
        <f>(F1285*I1285)</f>
        <v>121.57</v>
      </c>
      <c r="M1285" s="12">
        <v>2</v>
      </c>
      <c r="N1285" s="7" t="s">
        <v>1676</v>
      </c>
      <c r="O1285" s="504" t="s">
        <v>1117</v>
      </c>
      <c r="P1285" s="8">
        <f t="shared" si="177"/>
        <v>24.93</v>
      </c>
      <c r="Q1285" s="1251" t="s">
        <v>1676</v>
      </c>
      <c r="R1285" s="8">
        <f t="shared" ref="R1285:R1288" si="178">(M1285*P1285)</f>
        <v>49.86</v>
      </c>
      <c r="S1285" s="12">
        <v>2</v>
      </c>
      <c r="T1285" s="7" t="s">
        <v>1676</v>
      </c>
      <c r="U1285" s="1" t="s">
        <v>2118</v>
      </c>
      <c r="V1285" s="63">
        <f t="shared" si="174"/>
        <v>36.1</v>
      </c>
      <c r="W1285" s="2" t="s">
        <v>1676</v>
      </c>
      <c r="X1285" s="8">
        <f>(S1285*V1285)</f>
        <v>72.2</v>
      </c>
      <c r="AE1285" s="51">
        <f t="shared" si="175"/>
        <v>0</v>
      </c>
    </row>
    <row r="1286" spans="6:31" ht="24" customHeight="1">
      <c r="F1286" s="8">
        <v>1</v>
      </c>
      <c r="G1286" s="7" t="s">
        <v>785</v>
      </c>
      <c r="H1286" s="1" t="s">
        <v>2045</v>
      </c>
      <c r="I1286" s="8">
        <f>I1272</f>
        <v>1041.7</v>
      </c>
      <c r="J1286" s="1" t="s">
        <v>785</v>
      </c>
      <c r="K1286" s="8">
        <f>(F1286*I1286)</f>
        <v>1041.7</v>
      </c>
      <c r="M1286" s="8">
        <v>1.6</v>
      </c>
      <c r="N1286" s="7" t="s">
        <v>785</v>
      </c>
      <c r="O1286" s="1" t="s">
        <v>1744</v>
      </c>
      <c r="P1286" s="8">
        <f t="shared" si="177"/>
        <v>972.4</v>
      </c>
      <c r="Q1286" s="1251" t="s">
        <v>785</v>
      </c>
      <c r="R1286" s="8">
        <f t="shared" si="178"/>
        <v>1555.84</v>
      </c>
      <c r="S1286" s="8">
        <v>1.6</v>
      </c>
      <c r="T1286" s="7" t="s">
        <v>785</v>
      </c>
      <c r="U1286" s="1" t="s">
        <v>1744</v>
      </c>
      <c r="V1286" s="63">
        <f t="shared" si="174"/>
        <v>972.4</v>
      </c>
      <c r="W1286" s="2" t="s">
        <v>785</v>
      </c>
      <c r="X1286" s="8">
        <f>(S1286*V1286)</f>
        <v>1555.84</v>
      </c>
      <c r="AE1286" s="51">
        <f t="shared" si="175"/>
        <v>0</v>
      </c>
    </row>
    <row r="1287" spans="6:31" ht="24" customHeight="1">
      <c r="F1287" s="8">
        <v>1</v>
      </c>
      <c r="G1287" s="7" t="s">
        <v>785</v>
      </c>
      <c r="H1287" s="1" t="s">
        <v>1720</v>
      </c>
      <c r="I1287" s="8">
        <f>I1273</f>
        <v>679.8</v>
      </c>
      <c r="J1287" s="1" t="s">
        <v>785</v>
      </c>
      <c r="K1287" s="8">
        <f>(F1287*I1287)</f>
        <v>679.8</v>
      </c>
      <c r="M1287" s="8">
        <v>0.5</v>
      </c>
      <c r="N1287" s="7" t="s">
        <v>785</v>
      </c>
      <c r="O1287" s="1" t="s">
        <v>1937</v>
      </c>
      <c r="P1287" s="8">
        <f t="shared" si="177"/>
        <v>679.8</v>
      </c>
      <c r="Q1287" s="1251" t="s">
        <v>785</v>
      </c>
      <c r="R1287" s="8">
        <f t="shared" si="178"/>
        <v>339.9</v>
      </c>
      <c r="S1287" s="8">
        <v>0.5</v>
      </c>
      <c r="T1287" s="7" t="s">
        <v>785</v>
      </c>
      <c r="U1287" s="1" t="s">
        <v>1937</v>
      </c>
      <c r="V1287" s="63">
        <f t="shared" si="174"/>
        <v>679.8</v>
      </c>
      <c r="W1287" s="2" t="s">
        <v>785</v>
      </c>
      <c r="X1287" s="8">
        <f>(S1287*V1287)</f>
        <v>339.9</v>
      </c>
      <c r="AE1287" s="51">
        <f t="shared" si="175"/>
        <v>0</v>
      </c>
    </row>
    <row r="1288" spans="6:31" ht="24" customHeight="1">
      <c r="G1288" s="7" t="s">
        <v>455</v>
      </c>
      <c r="H1288" s="1" t="s">
        <v>456</v>
      </c>
      <c r="J1288" s="1" t="s">
        <v>455</v>
      </c>
      <c r="K1288" s="8"/>
      <c r="M1288" s="8">
        <v>1.1000000000000001</v>
      </c>
      <c r="N1288" s="7" t="s">
        <v>785</v>
      </c>
      <c r="O1288" s="1" t="s">
        <v>325</v>
      </c>
      <c r="P1288" s="8">
        <f t="shared" si="177"/>
        <v>557.70000000000005</v>
      </c>
      <c r="Q1288" s="1251" t="s">
        <v>785</v>
      </c>
      <c r="R1288" s="8">
        <f t="shared" si="178"/>
        <v>613.47</v>
      </c>
      <c r="S1288" s="8">
        <v>1.1000000000000001</v>
      </c>
      <c r="T1288" s="7" t="s">
        <v>785</v>
      </c>
      <c r="U1288" s="1" t="s">
        <v>325</v>
      </c>
      <c r="V1288" s="63">
        <f t="shared" si="174"/>
        <v>557.70000000000005</v>
      </c>
      <c r="W1288" s="2" t="s">
        <v>785</v>
      </c>
      <c r="X1288" s="8">
        <f>(S1288*V1288)</f>
        <v>613.47</v>
      </c>
      <c r="AE1288" s="51">
        <f t="shared" si="175"/>
        <v>0</v>
      </c>
    </row>
    <row r="1289" spans="6:31" ht="24" customHeight="1">
      <c r="K1289" s="5" t="s">
        <v>1615</v>
      </c>
      <c r="N1289" s="7" t="s">
        <v>455</v>
      </c>
      <c r="O1289" s="1" t="s">
        <v>456</v>
      </c>
      <c r="Q1289" s="1251" t="s">
        <v>455</v>
      </c>
      <c r="R1289" s="8">
        <v>4.5999999999999996</v>
      </c>
      <c r="S1289"/>
      <c r="T1289" s="7" t="s">
        <v>455</v>
      </c>
      <c r="U1289" s="1" t="s">
        <v>456</v>
      </c>
      <c r="W1289" s="2" t="s">
        <v>455</v>
      </c>
      <c r="X1289" s="8">
        <v>0</v>
      </c>
      <c r="AE1289" s="51">
        <f t="shared" si="175"/>
        <v>0</v>
      </c>
    </row>
    <row r="1290" spans="6:31" ht="24" customHeight="1">
      <c r="H1290" s="1" t="s">
        <v>1721</v>
      </c>
      <c r="K1290" s="8">
        <f>SUM(K1283:K1288)</f>
        <v>5559.95</v>
      </c>
      <c r="N1290" s="3"/>
      <c r="Q1290" s="1252"/>
      <c r="R1290" s="5" t="s">
        <v>1615</v>
      </c>
      <c r="S1290"/>
      <c r="T1290" s="3"/>
      <c r="W1290" s="4"/>
      <c r="X1290" s="5" t="s">
        <v>1615</v>
      </c>
      <c r="AE1290" s="51">
        <f t="shared" si="175"/>
        <v>0</v>
      </c>
    </row>
    <row r="1291" spans="6:31" ht="24" customHeight="1">
      <c r="K1291" s="5" t="s">
        <v>1615</v>
      </c>
      <c r="N1291" s="3"/>
      <c r="O1291" s="1" t="s">
        <v>447</v>
      </c>
      <c r="Q1291" s="1252"/>
      <c r="R1291" s="8">
        <f>SUM(R1278:R1289)</f>
        <v>25964.55</v>
      </c>
      <c r="S1291"/>
      <c r="T1291" s="3"/>
      <c r="U1291" s="1" t="s">
        <v>447</v>
      </c>
      <c r="W1291" s="4"/>
      <c r="X1291" s="8">
        <f>SUM(X1277:X1289)</f>
        <v>13994.39</v>
      </c>
      <c r="AE1291" s="51">
        <f t="shared" si="175"/>
        <v>0</v>
      </c>
    </row>
    <row r="1292" spans="6:31" ht="24" customHeight="1">
      <c r="H1292" s="58" t="s">
        <v>562</v>
      </c>
      <c r="K1292" s="38">
        <f>(K1290/1.86)</f>
        <v>2989.22</v>
      </c>
      <c r="N1292" s="3"/>
      <c r="Q1292" s="1252"/>
      <c r="R1292" s="5" t="s">
        <v>1615</v>
      </c>
      <c r="S1292"/>
      <c r="T1292" s="3"/>
      <c r="W1292" s="4"/>
      <c r="X1292" s="5" t="s">
        <v>1615</v>
      </c>
      <c r="AE1292" s="51">
        <f t="shared" si="175"/>
        <v>0</v>
      </c>
    </row>
    <row r="1293" spans="6:31" ht="24" customHeight="1">
      <c r="K1293" s="5" t="s">
        <v>2091</v>
      </c>
      <c r="N1293" s="3"/>
      <c r="O1293" s="33" t="s">
        <v>562</v>
      </c>
      <c r="Q1293" s="1252"/>
      <c r="R1293" s="38">
        <f>(R1291/10)</f>
        <v>2596.46</v>
      </c>
      <c r="U1293" s="58" t="s">
        <v>562</v>
      </c>
      <c r="W1293" s="4"/>
      <c r="X1293" s="38">
        <f>(X1291/10)</f>
        <v>1399.44</v>
      </c>
      <c r="AE1293" s="51">
        <f t="shared" si="175"/>
        <v>0</v>
      </c>
    </row>
    <row r="1294" spans="6:31" ht="24" customHeight="1">
      <c r="K1294" s="5"/>
      <c r="W1294" s="4"/>
      <c r="X1294" s="5" t="s">
        <v>2091</v>
      </c>
      <c r="AE1294" s="51">
        <f t="shared" si="175"/>
        <v>0</v>
      </c>
    </row>
    <row r="1295" spans="6:31" ht="24" customHeight="1">
      <c r="K1295" s="5"/>
      <c r="W1295" s="4"/>
      <c r="AE1295" s="51">
        <f t="shared" si="175"/>
        <v>0</v>
      </c>
    </row>
    <row r="1296" spans="6:31" ht="24" customHeight="1">
      <c r="K1296" s="5"/>
      <c r="M1296" s="2"/>
      <c r="N1296" s="7" t="s">
        <v>2290</v>
      </c>
      <c r="O1296" s="1" t="s">
        <v>1550</v>
      </c>
      <c r="Q1296" s="4"/>
      <c r="S1296" s="30">
        <v>15.1</v>
      </c>
      <c r="T1296" s="7" t="s">
        <v>1791</v>
      </c>
      <c r="U1296" s="1" t="s">
        <v>3688</v>
      </c>
      <c r="W1296" s="4"/>
      <c r="AE1296" s="51">
        <f t="shared" si="175"/>
        <v>0</v>
      </c>
    </row>
    <row r="1297" spans="6:31" ht="24" customHeight="1">
      <c r="K1297" s="5"/>
      <c r="N1297" s="3"/>
      <c r="O1297" s="1" t="s">
        <v>1551</v>
      </c>
      <c r="Q1297" s="4"/>
      <c r="S1297"/>
      <c r="T1297" s="3"/>
      <c r="U1297" s="1" t="s">
        <v>2320</v>
      </c>
      <c r="W1297" s="4"/>
      <c r="AE1297" s="51">
        <f t="shared" si="175"/>
        <v>0</v>
      </c>
    </row>
    <row r="1298" spans="6:31" ht="24" customHeight="1">
      <c r="F1298" s="2" t="s">
        <v>209</v>
      </c>
      <c r="G1298" s="7" t="s">
        <v>2290</v>
      </c>
      <c r="H1298" s="1" t="s">
        <v>1958</v>
      </c>
      <c r="N1298" s="3"/>
      <c r="O1298" s="33" t="s">
        <v>1552</v>
      </c>
      <c r="Q1298" s="4"/>
      <c r="S1298" s="8">
        <v>10</v>
      </c>
      <c r="T1298" s="7" t="s">
        <v>2322</v>
      </c>
      <c r="U1298" s="1" t="s">
        <v>5127</v>
      </c>
      <c r="V1298" s="419">
        <v>1626</v>
      </c>
      <c r="W1298" s="2" t="s">
        <v>2322</v>
      </c>
      <c r="X1298" s="8">
        <f t="shared" ref="X1298:X1304" si="179">(S1298*V1298)</f>
        <v>16260</v>
      </c>
      <c r="AE1298" s="51">
        <f t="shared" si="175"/>
        <v>0</v>
      </c>
    </row>
    <row r="1299" spans="6:31" ht="24" customHeight="1">
      <c r="H1299" s="1" t="s">
        <v>2272</v>
      </c>
      <c r="N1299" s="3"/>
      <c r="O1299" s="5" t="s">
        <v>1615</v>
      </c>
      <c r="Q1299" s="4"/>
      <c r="S1299" s="8">
        <v>0.21</v>
      </c>
      <c r="T1299" s="7" t="s">
        <v>885</v>
      </c>
      <c r="U1299" s="1" t="s">
        <v>800</v>
      </c>
      <c r="V1299" s="6">
        <f>P1333</f>
        <v>4628.8999999999996</v>
      </c>
      <c r="W1299" s="2" t="s">
        <v>885</v>
      </c>
      <c r="X1299" s="8">
        <f t="shared" si="179"/>
        <v>972.07</v>
      </c>
      <c r="AE1299" s="51">
        <f t="shared" si="175"/>
        <v>0</v>
      </c>
    </row>
    <row r="1300" spans="6:31" ht="24" customHeight="1">
      <c r="H1300" s="1" t="s">
        <v>1722</v>
      </c>
      <c r="M1300" s="8">
        <v>3.2</v>
      </c>
      <c r="N1300" s="7" t="s">
        <v>1676</v>
      </c>
      <c r="O1300" s="504" t="s">
        <v>1220</v>
      </c>
      <c r="P1300" s="536">
        <v>225</v>
      </c>
      <c r="Q1300" s="2" t="s">
        <v>1676</v>
      </c>
      <c r="R1300" s="8">
        <f>(M1300*P1300)</f>
        <v>720</v>
      </c>
      <c r="S1300" s="8">
        <v>1.1000000000000001</v>
      </c>
      <c r="T1300" s="7" t="s">
        <v>570</v>
      </c>
      <c r="U1300" s="1" t="s">
        <v>571</v>
      </c>
      <c r="V1300" s="6">
        <f>P1334</f>
        <v>1041.7</v>
      </c>
      <c r="W1300" s="2" t="s">
        <v>1423</v>
      </c>
      <c r="X1300" s="8">
        <f t="shared" si="179"/>
        <v>1145.8699999999999</v>
      </c>
      <c r="AE1300" s="51">
        <f t="shared" si="175"/>
        <v>0</v>
      </c>
    </row>
    <row r="1301" spans="6:31" ht="24" customHeight="1">
      <c r="H1301" s="1" t="s">
        <v>734</v>
      </c>
      <c r="M1301" s="8">
        <v>0.98</v>
      </c>
      <c r="N1301" s="7" t="s">
        <v>1262</v>
      </c>
      <c r="O1301" s="1" t="s">
        <v>3964</v>
      </c>
      <c r="P1301" s="8">
        <f>P1320</f>
        <v>147.5</v>
      </c>
      <c r="Q1301" s="2" t="s">
        <v>1262</v>
      </c>
      <c r="R1301" s="8">
        <f t="shared" ref="R1301:R1306" si="180">(M1301*P1301)</f>
        <v>144.55000000000001</v>
      </c>
      <c r="S1301" s="8">
        <v>1.1000000000000001</v>
      </c>
      <c r="T1301" s="7" t="s">
        <v>570</v>
      </c>
      <c r="U1301" s="1" t="s">
        <v>3689</v>
      </c>
      <c r="V1301" s="6">
        <f>P1260</f>
        <v>972.4</v>
      </c>
      <c r="W1301" s="2" t="s">
        <v>1423</v>
      </c>
      <c r="X1301" s="8">
        <f t="shared" si="179"/>
        <v>1069.6400000000001</v>
      </c>
      <c r="AE1301" s="51">
        <f t="shared" si="175"/>
        <v>0</v>
      </c>
    </row>
    <row r="1302" spans="6:31" ht="24" customHeight="1">
      <c r="H1302" s="5" t="s">
        <v>1615</v>
      </c>
      <c r="M1302" s="8">
        <v>0.5</v>
      </c>
      <c r="N1302" s="7" t="s">
        <v>785</v>
      </c>
      <c r="O1302" s="1" t="s">
        <v>1201</v>
      </c>
      <c r="P1302" s="8">
        <f>AE13</f>
        <v>831.6</v>
      </c>
      <c r="Q1302" s="7" t="s">
        <v>785</v>
      </c>
      <c r="R1302" s="8">
        <f t="shared" si="180"/>
        <v>415.8</v>
      </c>
      <c r="S1302" s="8">
        <v>2.2000000000000002</v>
      </c>
      <c r="T1302" s="7" t="s">
        <v>570</v>
      </c>
      <c r="U1302" s="1" t="s">
        <v>839</v>
      </c>
      <c r="V1302" s="6">
        <f>P1335</f>
        <v>679.8</v>
      </c>
      <c r="W1302" s="2" t="s">
        <v>1423</v>
      </c>
      <c r="X1302" s="8">
        <f t="shared" si="179"/>
        <v>1495.56</v>
      </c>
      <c r="AE1302" s="51">
        <f t="shared" si="175"/>
        <v>0</v>
      </c>
    </row>
    <row r="1303" spans="6:31" ht="24" customHeight="1">
      <c r="F1303" s="8">
        <v>0.24</v>
      </c>
      <c r="G1303" s="7" t="s">
        <v>885</v>
      </c>
      <c r="H1303" s="1" t="s">
        <v>1723</v>
      </c>
      <c r="I1303" s="8">
        <f>(C70)</f>
        <v>1000.02</v>
      </c>
      <c r="J1303" s="1" t="s">
        <v>885</v>
      </c>
      <c r="K1303" s="8">
        <f>(F1303*I1303)</f>
        <v>240</v>
      </c>
      <c r="M1303" s="8">
        <v>0.7</v>
      </c>
      <c r="N1303" s="7" t="s">
        <v>785</v>
      </c>
      <c r="O1303" s="1" t="s">
        <v>1221</v>
      </c>
      <c r="P1303" s="8">
        <f>AE14</f>
        <v>805.2</v>
      </c>
      <c r="Q1303" s="7" t="s">
        <v>785</v>
      </c>
      <c r="R1303" s="8">
        <f t="shared" si="180"/>
        <v>563.64</v>
      </c>
      <c r="S1303" s="8">
        <v>2.2000000000000002</v>
      </c>
      <c r="T1303" s="7" t="s">
        <v>570</v>
      </c>
      <c r="U1303" s="1" t="s">
        <v>3686</v>
      </c>
      <c r="V1303" s="6">
        <f>P1305</f>
        <v>557.70000000000005</v>
      </c>
      <c r="W1303" s="2" t="s">
        <v>1423</v>
      </c>
      <c r="X1303" s="8">
        <f t="shared" si="179"/>
        <v>1226.94</v>
      </c>
      <c r="AE1303" s="51">
        <f t="shared" si="175"/>
        <v>0</v>
      </c>
    </row>
    <row r="1304" spans="6:31" ht="24" customHeight="1">
      <c r="F1304" s="12">
        <v>0.11700000000000001</v>
      </c>
      <c r="G1304" s="7" t="s">
        <v>877</v>
      </c>
      <c r="H1304" s="1" t="s">
        <v>878</v>
      </c>
      <c r="I1304" s="8">
        <f>(C67)</f>
        <v>6040</v>
      </c>
      <c r="J1304" s="1" t="s">
        <v>877</v>
      </c>
      <c r="K1304" s="8">
        <f>(F1304*I1304)</f>
        <v>706.68</v>
      </c>
      <c r="M1304" s="8">
        <v>0.5</v>
      </c>
      <c r="N1304" s="7" t="s">
        <v>785</v>
      </c>
      <c r="O1304" s="1" t="s">
        <v>1937</v>
      </c>
      <c r="P1304" s="8">
        <f>I1306</f>
        <v>679.8</v>
      </c>
      <c r="Q1304" s="7" t="s">
        <v>785</v>
      </c>
      <c r="R1304" s="8">
        <f t="shared" si="180"/>
        <v>339.9</v>
      </c>
      <c r="S1304" s="8">
        <v>10</v>
      </c>
      <c r="T1304" s="7" t="s">
        <v>455</v>
      </c>
      <c r="U1304" s="1" t="s">
        <v>3687</v>
      </c>
      <c r="V1304" s="6">
        <v>153.47</v>
      </c>
      <c r="W1304" s="2" t="s">
        <v>455</v>
      </c>
      <c r="X1304" s="8">
        <f t="shared" si="179"/>
        <v>1534.7</v>
      </c>
      <c r="AE1304" s="51">
        <f t="shared" si="175"/>
        <v>0</v>
      </c>
    </row>
    <row r="1305" spans="6:31" ht="24" customHeight="1">
      <c r="F1305" s="8">
        <v>0.5</v>
      </c>
      <c r="G1305" s="7" t="s">
        <v>785</v>
      </c>
      <c r="H1305" s="1" t="s">
        <v>2045</v>
      </c>
      <c r="I1305" s="8">
        <f>(C10)</f>
        <v>1041.7</v>
      </c>
      <c r="J1305" s="1" t="s">
        <v>785</v>
      </c>
      <c r="K1305" s="8">
        <f>(F1305*I1305)</f>
        <v>520.85</v>
      </c>
      <c r="M1305" s="8">
        <v>0.8</v>
      </c>
      <c r="N1305" s="7" t="s">
        <v>785</v>
      </c>
      <c r="O1305" s="1" t="s">
        <v>325</v>
      </c>
      <c r="P1305" s="8">
        <f>I1307</f>
        <v>557.70000000000005</v>
      </c>
      <c r="Q1305" s="7" t="s">
        <v>785</v>
      </c>
      <c r="R1305" s="8">
        <f t="shared" si="180"/>
        <v>446.16</v>
      </c>
      <c r="S1305"/>
      <c r="T1305" s="3"/>
      <c r="U1305" s="1"/>
      <c r="V1305" s="6">
        <f>P1337</f>
        <v>0</v>
      </c>
      <c r="W1305" s="4"/>
      <c r="X1305" s="5" t="s">
        <v>1615</v>
      </c>
      <c r="AE1305" s="51">
        <f t="shared" si="175"/>
        <v>0</v>
      </c>
    </row>
    <row r="1306" spans="6:31" ht="24" customHeight="1">
      <c r="F1306" s="8">
        <v>1.1000000000000001</v>
      </c>
      <c r="G1306" s="7" t="s">
        <v>785</v>
      </c>
      <c r="H1306" s="1" t="s">
        <v>950</v>
      </c>
      <c r="I1306" s="8">
        <f>(C12)</f>
        <v>679.8</v>
      </c>
      <c r="J1306" s="1" t="s">
        <v>785</v>
      </c>
      <c r="K1306" s="8">
        <f>(F1306*I1306)</f>
        <v>747.78</v>
      </c>
      <c r="M1306" s="8">
        <v>10</v>
      </c>
      <c r="N1306" s="7" t="s">
        <v>2322</v>
      </c>
      <c r="O1306" s="1" t="s">
        <v>3952</v>
      </c>
      <c r="P1306" s="439">
        <f>C460</f>
        <v>4.4000000000000004</v>
      </c>
      <c r="Q1306" s="7" t="s">
        <v>2322</v>
      </c>
      <c r="R1306" s="8">
        <f t="shared" si="180"/>
        <v>44</v>
      </c>
      <c r="S1306"/>
      <c r="T1306" s="3"/>
      <c r="U1306" s="2" t="s">
        <v>412</v>
      </c>
      <c r="V1306" s="6"/>
      <c r="W1306" s="4"/>
      <c r="X1306" s="8">
        <f>SUM(X1298:X1304)</f>
        <v>23704.78</v>
      </c>
      <c r="AE1306" s="51">
        <f t="shared" si="175"/>
        <v>0</v>
      </c>
    </row>
    <row r="1307" spans="6:31" ht="24" customHeight="1">
      <c r="F1307" s="8">
        <v>4.3</v>
      </c>
      <c r="G1307" s="7" t="s">
        <v>785</v>
      </c>
      <c r="H1307" s="1" t="s">
        <v>325</v>
      </c>
      <c r="I1307" s="8">
        <f>(C13)</f>
        <v>557.70000000000005</v>
      </c>
      <c r="J1307" s="1" t="s">
        <v>785</v>
      </c>
      <c r="K1307" s="8">
        <f>(F1307*I1307)</f>
        <v>2398.11</v>
      </c>
      <c r="N1307" s="7" t="s">
        <v>455</v>
      </c>
      <c r="O1307" s="1" t="s">
        <v>1203</v>
      </c>
      <c r="P1307" s="1" t="s">
        <v>992</v>
      </c>
      <c r="Q1307" s="2" t="s">
        <v>455</v>
      </c>
      <c r="R1307" s="8">
        <v>0</v>
      </c>
      <c r="S1307"/>
      <c r="T1307" s="3"/>
      <c r="W1307" s="4"/>
      <c r="X1307" s="5" t="s">
        <v>1615</v>
      </c>
      <c r="AE1307" s="51">
        <f t="shared" si="175"/>
        <v>0</v>
      </c>
    </row>
    <row r="1308" spans="6:31" ht="24" customHeight="1">
      <c r="G1308" s="7" t="s">
        <v>455</v>
      </c>
      <c r="H1308" s="1" t="s">
        <v>456</v>
      </c>
      <c r="J1308" s="1" t="s">
        <v>455</v>
      </c>
      <c r="K1308" s="8">
        <v>0</v>
      </c>
      <c r="N1308" s="3"/>
      <c r="Q1308" s="4"/>
      <c r="R1308" s="5" t="s">
        <v>1615</v>
      </c>
      <c r="S1308"/>
      <c r="T1308" s="3"/>
      <c r="U1308" s="2" t="s">
        <v>416</v>
      </c>
      <c r="W1308" s="4"/>
      <c r="X1308" s="38">
        <f>X1306/10</f>
        <v>2370.48</v>
      </c>
      <c r="AE1308" s="51">
        <f t="shared" si="175"/>
        <v>0</v>
      </c>
    </row>
    <row r="1309" spans="6:31" ht="24" customHeight="1">
      <c r="K1309" s="5" t="s">
        <v>1615</v>
      </c>
      <c r="N1309" s="3"/>
      <c r="O1309" s="1" t="s">
        <v>447</v>
      </c>
      <c r="Q1309" s="4"/>
      <c r="R1309" s="8">
        <f>SUM(R1300:R1307)</f>
        <v>2674.05</v>
      </c>
      <c r="S1309"/>
      <c r="T1309" s="3"/>
      <c r="U1309" s="1" t="s">
        <v>391</v>
      </c>
      <c r="W1309" s="4">
        <f>X1313+Y1308</f>
        <v>2372.6999999999998</v>
      </c>
      <c r="X1309" s="8">
        <f>X1308+Y1306</f>
        <v>2370.48</v>
      </c>
      <c r="AE1309" s="51">
        <f t="shared" si="175"/>
        <v>0</v>
      </c>
    </row>
    <row r="1310" spans="6:31" ht="24" customHeight="1">
      <c r="H1310" s="1" t="s">
        <v>447</v>
      </c>
      <c r="K1310" s="8">
        <f>SUM(K1303:K1308)</f>
        <v>4613.42</v>
      </c>
      <c r="N1310" s="3"/>
      <c r="Q1310" s="4"/>
      <c r="R1310" s="5" t="s">
        <v>1615</v>
      </c>
      <c r="S1310"/>
      <c r="T1310" s="3"/>
      <c r="U1310" s="1" t="s">
        <v>393</v>
      </c>
      <c r="W1310" s="4">
        <f>W1309+Y1308</f>
        <v>2372.6999999999998</v>
      </c>
      <c r="X1310" s="8">
        <f>X1309+1.11</f>
        <v>2371.59</v>
      </c>
      <c r="AE1310" s="51">
        <f t="shared" si="175"/>
        <v>0</v>
      </c>
    </row>
    <row r="1311" spans="6:31" ht="24" customHeight="1">
      <c r="K1311" s="5" t="s">
        <v>1615</v>
      </c>
      <c r="N1311" s="3"/>
      <c r="O1311" s="33" t="s">
        <v>562</v>
      </c>
      <c r="Q1311" s="4"/>
      <c r="R1311" s="38">
        <f>(R1309/10)</f>
        <v>267.41000000000003</v>
      </c>
      <c r="S1311"/>
      <c r="T1311" s="3"/>
      <c r="U1311" s="1" t="s">
        <v>2271</v>
      </c>
      <c r="W1311" s="4"/>
      <c r="X1311" s="8">
        <f>X1310+1.11</f>
        <v>2372.6999999999998</v>
      </c>
      <c r="AE1311" s="51">
        <f t="shared" si="175"/>
        <v>0</v>
      </c>
    </row>
    <row r="1312" spans="6:31" ht="24" customHeight="1">
      <c r="H1312" s="58" t="s">
        <v>562</v>
      </c>
      <c r="K1312" s="38">
        <f>(K1310/10)</f>
        <v>461.34</v>
      </c>
      <c r="M1312" s="1" t="s">
        <v>992</v>
      </c>
      <c r="N1312" s="3"/>
      <c r="Q1312" s="4"/>
      <c r="S1312"/>
      <c r="T1312" s="3"/>
      <c r="U1312" s="1" t="s">
        <v>385</v>
      </c>
      <c r="W1312" s="4"/>
      <c r="X1312" s="8">
        <f>X1311+Y1308</f>
        <v>2372.6999999999998</v>
      </c>
      <c r="AE1312" s="51">
        <f t="shared" si="175"/>
        <v>0</v>
      </c>
    </row>
    <row r="1313" spans="6:31" ht="24" customHeight="1">
      <c r="F1313" s="1" t="s">
        <v>992</v>
      </c>
      <c r="N1313" s="3"/>
      <c r="Q1313" s="4"/>
      <c r="R1313" s="5" t="s">
        <v>2091</v>
      </c>
      <c r="S1313"/>
      <c r="T1313" s="3"/>
      <c r="U1313" s="1" t="s">
        <v>1388</v>
      </c>
      <c r="W1313" s="4"/>
      <c r="X1313" s="8">
        <f>X1312+Y1308</f>
        <v>2372.6999999999998</v>
      </c>
      <c r="AE1313" s="51">
        <f t="shared" si="175"/>
        <v>0</v>
      </c>
    </row>
    <row r="1314" spans="6:31" ht="24" customHeight="1">
      <c r="K1314" s="5" t="s">
        <v>2091</v>
      </c>
      <c r="N1314" s="3"/>
      <c r="Q1314" s="4"/>
      <c r="S1314"/>
      <c r="T1314" s="3"/>
      <c r="W1314" s="4"/>
      <c r="AE1314" s="51">
        <f t="shared" si="175"/>
        <v>0</v>
      </c>
    </row>
    <row r="1315" spans="6:31" ht="24" customHeight="1">
      <c r="F1315" s="2" t="s">
        <v>1974</v>
      </c>
      <c r="G1315" s="7" t="s">
        <v>2290</v>
      </c>
      <c r="H1315" s="33" t="s">
        <v>735</v>
      </c>
      <c r="M1315" s="2" t="s">
        <v>1398</v>
      </c>
      <c r="N1315" s="7" t="s">
        <v>2290</v>
      </c>
      <c r="O1315" s="1" t="s">
        <v>1222</v>
      </c>
      <c r="Q1315" s="4"/>
      <c r="W1315" s="4"/>
      <c r="Y1315" s="1251" t="s">
        <v>1398</v>
      </c>
      <c r="Z1315" s="7" t="s">
        <v>2290</v>
      </c>
      <c r="AA1315" s="1" t="s">
        <v>1222</v>
      </c>
      <c r="AC1315" s="1252"/>
      <c r="AE1315" s="51">
        <f t="shared" si="175"/>
        <v>0</v>
      </c>
    </row>
    <row r="1316" spans="6:31" ht="24" customHeight="1">
      <c r="H1316" s="1" t="s">
        <v>1975</v>
      </c>
      <c r="N1316" s="3"/>
      <c r="O1316" s="1" t="s">
        <v>1551</v>
      </c>
      <c r="Q1316" s="4"/>
      <c r="S1316" s="30">
        <v>15.1</v>
      </c>
      <c r="T1316" s="7" t="s">
        <v>1791</v>
      </c>
      <c r="U1316" s="1" t="s">
        <v>1224</v>
      </c>
      <c r="W1316" s="4"/>
      <c r="Z1316" s="3"/>
      <c r="AA1316" s="1" t="s">
        <v>1551</v>
      </c>
      <c r="AC1316" s="1252"/>
      <c r="AE1316" s="51">
        <f t="shared" si="175"/>
        <v>0</v>
      </c>
    </row>
    <row r="1317" spans="6:31" ht="24" customHeight="1">
      <c r="H1317" s="1" t="s">
        <v>1976</v>
      </c>
      <c r="N1317" s="3"/>
      <c r="O1317" s="33" t="s">
        <v>1223</v>
      </c>
      <c r="Q1317" s="4"/>
      <c r="S1317"/>
      <c r="T1317" s="3"/>
      <c r="U1317" s="1" t="s">
        <v>2320</v>
      </c>
      <c r="W1317" s="4"/>
      <c r="Z1317" s="3"/>
      <c r="AA1317" s="33" t="s">
        <v>5948</v>
      </c>
      <c r="AC1317" s="1252"/>
      <c r="AE1317" s="51">
        <f t="shared" si="175"/>
        <v>0</v>
      </c>
    </row>
    <row r="1318" spans="6:31" ht="24" customHeight="1">
      <c r="H1318" s="1" t="s">
        <v>772</v>
      </c>
      <c r="N1318" s="3"/>
      <c r="O1318" s="5" t="s">
        <v>1615</v>
      </c>
      <c r="Q1318" s="4"/>
      <c r="S1318" s="8">
        <v>10</v>
      </c>
      <c r="T1318" s="7" t="s">
        <v>2322</v>
      </c>
      <c r="U1318" s="1" t="s">
        <v>5128</v>
      </c>
      <c r="V1318" s="419">
        <f>AB1188</f>
        <v>1737</v>
      </c>
      <c r="W1318" s="2" t="s">
        <v>2322</v>
      </c>
      <c r="X1318" s="8">
        <f>(S1318*V1318)</f>
        <v>17370</v>
      </c>
      <c r="Z1318" s="3"/>
      <c r="AA1318" s="5" t="s">
        <v>1615</v>
      </c>
      <c r="AC1318" s="1252"/>
      <c r="AE1318" s="51">
        <f t="shared" si="175"/>
        <v>0</v>
      </c>
    </row>
    <row r="1319" spans="6:31" ht="24" customHeight="1">
      <c r="H1319" s="1" t="s">
        <v>764</v>
      </c>
      <c r="M1319" s="8">
        <v>1.4</v>
      </c>
      <c r="N1319" s="7" t="s">
        <v>1262</v>
      </c>
      <c r="O1319" s="511" t="s">
        <v>5129</v>
      </c>
      <c r="P1319" s="227">
        <v>295.60000000000002</v>
      </c>
      <c r="Q1319" s="2" t="s">
        <v>1262</v>
      </c>
      <c r="R1319" s="8">
        <f>P1319*M1319</f>
        <v>413.84</v>
      </c>
      <c r="S1319" s="8">
        <v>0.21</v>
      </c>
      <c r="T1319" s="7" t="s">
        <v>885</v>
      </c>
      <c r="U1319" s="1" t="s">
        <v>800</v>
      </c>
      <c r="V1319" s="6">
        <f>V1299</f>
        <v>4628.8999999999996</v>
      </c>
      <c r="W1319" s="2" t="s">
        <v>885</v>
      </c>
      <c r="X1319" s="8">
        <f t="shared" ref="X1319:X1324" si="181">(S1319*V1319)</f>
        <v>972.07</v>
      </c>
      <c r="Y1319" s="8">
        <v>1.4</v>
      </c>
      <c r="Z1319" s="7" t="s">
        <v>1262</v>
      </c>
      <c r="AA1319" s="511" t="s">
        <v>5129</v>
      </c>
      <c r="AB1319" s="227">
        <v>303.8</v>
      </c>
      <c r="AC1319" s="1251" t="s">
        <v>1262</v>
      </c>
      <c r="AD1319" s="8">
        <f>AB1319*Y1319</f>
        <v>425.32</v>
      </c>
      <c r="AE1319" s="51">
        <f t="shared" si="175"/>
        <v>0</v>
      </c>
    </row>
    <row r="1320" spans="6:31" ht="24" customHeight="1">
      <c r="H1320" s="5" t="s">
        <v>1615</v>
      </c>
      <c r="M1320" s="8">
        <v>0.98</v>
      </c>
      <c r="N1320" s="7" t="s">
        <v>1262</v>
      </c>
      <c r="O1320" s="504" t="s">
        <v>5130</v>
      </c>
      <c r="P1320" s="439">
        <f>C196</f>
        <v>147.5</v>
      </c>
      <c r="Q1320" s="2" t="s">
        <v>1262</v>
      </c>
      <c r="R1320" s="8">
        <f>(M1320*P1320)</f>
        <v>144.55000000000001</v>
      </c>
      <c r="S1320" s="8">
        <v>1.1000000000000001</v>
      </c>
      <c r="T1320" s="7" t="s">
        <v>570</v>
      </c>
      <c r="U1320" s="1" t="s">
        <v>571</v>
      </c>
      <c r="V1320" s="419">
        <f t="shared" ref="V1320:V1325" si="182">V1300</f>
        <v>1041.7</v>
      </c>
      <c r="W1320" s="2" t="s">
        <v>1423</v>
      </c>
      <c r="X1320" s="8">
        <f t="shared" si="181"/>
        <v>1145.8699999999999</v>
      </c>
      <c r="Y1320" s="8">
        <v>0.98</v>
      </c>
      <c r="Z1320" s="7" t="s">
        <v>1262</v>
      </c>
      <c r="AA1320" s="504" t="s">
        <v>5130</v>
      </c>
      <c r="AB1320" s="439">
        <v>151.30000000000001</v>
      </c>
      <c r="AC1320" s="1251" t="s">
        <v>1262</v>
      </c>
      <c r="AD1320" s="8">
        <f>(Y1320*AB1320)</f>
        <v>148.27000000000001</v>
      </c>
      <c r="AE1320" s="51">
        <f t="shared" si="175"/>
        <v>0</v>
      </c>
    </row>
    <row r="1321" spans="6:31" ht="24" customHeight="1">
      <c r="F1321" s="8">
        <v>12.8</v>
      </c>
      <c r="G1321" s="7" t="s">
        <v>885</v>
      </c>
      <c r="H1321" s="1" t="s">
        <v>765</v>
      </c>
      <c r="I1321" s="8">
        <f>(C82)</f>
        <v>943.5</v>
      </c>
      <c r="J1321" s="1" t="s">
        <v>885</v>
      </c>
      <c r="K1321" s="8">
        <f>(F1321*I1321)</f>
        <v>12076.8</v>
      </c>
      <c r="M1321" s="8">
        <v>2.2000000000000002</v>
      </c>
      <c r="N1321" s="7" t="s">
        <v>785</v>
      </c>
      <c r="O1321" s="1" t="s">
        <v>1201</v>
      </c>
      <c r="P1321" s="8">
        <f>P1302</f>
        <v>831.6</v>
      </c>
      <c r="Q1321" s="2" t="s">
        <v>785</v>
      </c>
      <c r="R1321" s="8">
        <f>(M1321*P1321)</f>
        <v>1829.52</v>
      </c>
      <c r="S1321" s="8">
        <v>1.1000000000000001</v>
      </c>
      <c r="T1321" s="7" t="s">
        <v>570</v>
      </c>
      <c r="U1321" s="1" t="s">
        <v>3689</v>
      </c>
      <c r="V1321" s="419">
        <f t="shared" si="182"/>
        <v>972.4</v>
      </c>
      <c r="W1321" s="2" t="s">
        <v>1423</v>
      </c>
      <c r="X1321" s="8">
        <f t="shared" si="181"/>
        <v>1069.6400000000001</v>
      </c>
      <c r="Y1321" s="8">
        <v>2.2000000000000002</v>
      </c>
      <c r="Z1321" s="7" t="s">
        <v>785</v>
      </c>
      <c r="AA1321" s="1" t="s">
        <v>1201</v>
      </c>
      <c r="AB1321" s="8">
        <f>P1321</f>
        <v>831.6</v>
      </c>
      <c r="AC1321" s="1251" t="s">
        <v>785</v>
      </c>
      <c r="AD1321" s="8">
        <f>(Y1321*AB1321)</f>
        <v>1829.52</v>
      </c>
      <c r="AE1321" s="51">
        <f t="shared" si="175"/>
        <v>0</v>
      </c>
    </row>
    <row r="1322" spans="6:31" ht="24" customHeight="1">
      <c r="F1322" s="8">
        <v>5</v>
      </c>
      <c r="G1322" s="7" t="s">
        <v>885</v>
      </c>
      <c r="H1322" s="1" t="s">
        <v>766</v>
      </c>
      <c r="I1322" s="8">
        <f>(C85)</f>
        <v>1098.52</v>
      </c>
      <c r="J1322" s="1" t="s">
        <v>885</v>
      </c>
      <c r="K1322" s="8">
        <f>(F1322*I1322)</f>
        <v>5492.6</v>
      </c>
      <c r="N1322" s="7" t="s">
        <v>455</v>
      </c>
      <c r="O1322" s="1" t="s">
        <v>1203</v>
      </c>
      <c r="P1322" s="1" t="s">
        <v>992</v>
      </c>
      <c r="Q1322" s="2" t="s">
        <v>455</v>
      </c>
      <c r="R1322" s="8">
        <v>2.5499999999999998</v>
      </c>
      <c r="S1322" s="8">
        <v>2.2000000000000002</v>
      </c>
      <c r="T1322" s="7" t="s">
        <v>570</v>
      </c>
      <c r="U1322" s="1" t="s">
        <v>839</v>
      </c>
      <c r="V1322" s="419">
        <f t="shared" si="182"/>
        <v>679.8</v>
      </c>
      <c r="W1322" s="2" t="s">
        <v>1423</v>
      </c>
      <c r="X1322" s="8">
        <f t="shared" si="181"/>
        <v>1495.56</v>
      </c>
      <c r="Z1322" s="7" t="s">
        <v>455</v>
      </c>
      <c r="AA1322" s="1" t="s">
        <v>1203</v>
      </c>
      <c r="AB1322" s="1" t="s">
        <v>992</v>
      </c>
      <c r="AC1322" s="1251" t="s">
        <v>455</v>
      </c>
      <c r="AD1322" s="8">
        <v>2.85</v>
      </c>
      <c r="AE1322" s="51">
        <f t="shared" si="175"/>
        <v>0</v>
      </c>
    </row>
    <row r="1323" spans="6:31" ht="24" customHeight="1">
      <c r="F1323" s="8">
        <v>1.8</v>
      </c>
      <c r="G1323" s="7" t="s">
        <v>785</v>
      </c>
      <c r="H1323" s="1" t="s">
        <v>2045</v>
      </c>
      <c r="I1323" s="8">
        <f>(C10)</f>
        <v>1041.7</v>
      </c>
      <c r="J1323" s="1" t="s">
        <v>785</v>
      </c>
      <c r="K1323" s="8">
        <f>(F1323*I1323)</f>
        <v>1875.06</v>
      </c>
      <c r="N1323" s="3"/>
      <c r="Q1323" s="4"/>
      <c r="R1323" s="5"/>
      <c r="S1323" s="8">
        <v>2.2000000000000002</v>
      </c>
      <c r="T1323" s="7" t="s">
        <v>570</v>
      </c>
      <c r="U1323" s="1" t="s">
        <v>3686</v>
      </c>
      <c r="V1323" s="419">
        <f t="shared" si="182"/>
        <v>557.70000000000005</v>
      </c>
      <c r="W1323" s="2" t="s">
        <v>1423</v>
      </c>
      <c r="X1323" s="8">
        <f t="shared" si="181"/>
        <v>1226.94</v>
      </c>
      <c r="Z1323" s="3"/>
      <c r="AC1323" s="1252"/>
      <c r="AD1323" s="5"/>
      <c r="AE1323" s="51">
        <f t="shared" si="175"/>
        <v>0</v>
      </c>
    </row>
    <row r="1324" spans="6:31" ht="24" customHeight="1">
      <c r="F1324" s="8">
        <v>17.7</v>
      </c>
      <c r="G1324" s="7" t="s">
        <v>785</v>
      </c>
      <c r="H1324" s="1" t="s">
        <v>950</v>
      </c>
      <c r="I1324" s="8">
        <f>(C12)</f>
        <v>679.8</v>
      </c>
      <c r="J1324" s="1" t="s">
        <v>785</v>
      </c>
      <c r="K1324" s="8">
        <f>(F1324*I1324)</f>
        <v>12032.46</v>
      </c>
      <c r="N1324" s="3"/>
      <c r="O1324" s="1" t="s">
        <v>447</v>
      </c>
      <c r="Q1324" s="4"/>
      <c r="R1324" s="8">
        <f>SUM(R1319:R1322)</f>
        <v>2390.46</v>
      </c>
      <c r="S1324" s="8">
        <v>10</v>
      </c>
      <c r="T1324" s="7" t="s">
        <v>455</v>
      </c>
      <c r="U1324" s="1" t="s">
        <v>3687</v>
      </c>
      <c r="V1324" s="419">
        <f t="shared" si="182"/>
        <v>153.47</v>
      </c>
      <c r="W1324" s="2" t="s">
        <v>455</v>
      </c>
      <c r="X1324" s="8">
        <f t="shared" si="181"/>
        <v>1534.7</v>
      </c>
      <c r="Z1324" s="3"/>
      <c r="AA1324" s="1" t="s">
        <v>447</v>
      </c>
      <c r="AC1324" s="1252"/>
      <c r="AD1324" s="8">
        <f>SUM(AD1319:AD1322)</f>
        <v>2405.96</v>
      </c>
      <c r="AE1324" s="51">
        <f t="shared" si="175"/>
        <v>0</v>
      </c>
    </row>
    <row r="1325" spans="6:31" ht="24" customHeight="1">
      <c r="F1325" s="8">
        <v>14.1</v>
      </c>
      <c r="G1325" s="7" t="s">
        <v>785</v>
      </c>
      <c r="H1325" s="1" t="s">
        <v>325</v>
      </c>
      <c r="I1325" s="8">
        <f>(C13)</f>
        <v>557.70000000000005</v>
      </c>
      <c r="J1325" s="1" t="s">
        <v>785</v>
      </c>
      <c r="K1325" s="8">
        <f>(F1325*I1325)</f>
        <v>7863.57</v>
      </c>
      <c r="N1325" s="3"/>
      <c r="Q1325" s="4"/>
      <c r="R1325" s="5" t="s">
        <v>1615</v>
      </c>
      <c r="S1325"/>
      <c r="T1325" s="3"/>
      <c r="U1325" s="1"/>
      <c r="V1325" s="419">
        <f t="shared" si="182"/>
        <v>0</v>
      </c>
      <c r="W1325" s="4"/>
      <c r="X1325" s="5" t="s">
        <v>1615</v>
      </c>
      <c r="Z1325" s="3"/>
      <c r="AC1325" s="1252"/>
      <c r="AD1325" s="5" t="s">
        <v>1615</v>
      </c>
      <c r="AE1325" s="51">
        <f t="shared" si="175"/>
        <v>0</v>
      </c>
    </row>
    <row r="1326" spans="6:31" ht="24" customHeight="1">
      <c r="G1326" s="7" t="s">
        <v>455</v>
      </c>
      <c r="H1326" s="1" t="s">
        <v>456</v>
      </c>
      <c r="J1326" s="1" t="s">
        <v>455</v>
      </c>
      <c r="K1326" s="8">
        <v>0</v>
      </c>
      <c r="N1326" s="3"/>
      <c r="O1326" s="1" t="s">
        <v>562</v>
      </c>
      <c r="Q1326" s="4"/>
      <c r="R1326" s="38">
        <f>(R1324/10)</f>
        <v>239.05</v>
      </c>
      <c r="S1326">
        <f>R1326-157</f>
        <v>82.05</v>
      </c>
      <c r="T1326" s="3"/>
      <c r="U1326" s="2" t="s">
        <v>412</v>
      </c>
      <c r="W1326" s="4"/>
      <c r="X1326" s="8">
        <f>SUM(X1318:X1324)</f>
        <v>24814.78</v>
      </c>
      <c r="Z1326" s="3"/>
      <c r="AA1326" s="1" t="s">
        <v>562</v>
      </c>
      <c r="AC1326" s="1252"/>
      <c r="AD1326" s="38">
        <f>(AD1324/10)</f>
        <v>240.6</v>
      </c>
      <c r="AE1326" s="51">
        <f t="shared" si="175"/>
        <v>0</v>
      </c>
    </row>
    <row r="1327" spans="6:31" ht="24" customHeight="1">
      <c r="K1327" s="5" t="s">
        <v>1615</v>
      </c>
      <c r="M1327" s="1" t="s">
        <v>992</v>
      </c>
      <c r="N1327" s="3"/>
      <c r="Q1327" s="4"/>
      <c r="S1327"/>
      <c r="T1327" s="3"/>
      <c r="W1327" s="4"/>
      <c r="X1327" s="5" t="s">
        <v>1615</v>
      </c>
      <c r="Y1327" s="1" t="s">
        <v>992</v>
      </c>
      <c r="Z1327" s="3"/>
      <c r="AC1327" s="1252"/>
      <c r="AE1327" s="51">
        <f t="shared" si="175"/>
        <v>0</v>
      </c>
    </row>
    <row r="1328" spans="6:31" ht="24" customHeight="1">
      <c r="H1328" s="1" t="s">
        <v>626</v>
      </c>
      <c r="K1328" s="8">
        <f>SUM(K1321:K1327)</f>
        <v>39340.49</v>
      </c>
      <c r="N1328" s="3"/>
      <c r="Q1328" s="4"/>
      <c r="R1328" s="5" t="s">
        <v>2091</v>
      </c>
      <c r="S1328"/>
      <c r="T1328" s="3"/>
      <c r="U1328" s="2" t="s">
        <v>416</v>
      </c>
      <c r="W1328" s="4"/>
      <c r="X1328" s="38">
        <f>X1326/10</f>
        <v>2481.48</v>
      </c>
      <c r="Z1328" s="3"/>
      <c r="AC1328" s="1252"/>
      <c r="AD1328" s="5" t="s">
        <v>2091</v>
      </c>
      <c r="AE1328" s="51">
        <f t="shared" si="175"/>
        <v>0</v>
      </c>
    </row>
    <row r="1329" spans="6:31" ht="24" customHeight="1">
      <c r="K1329" s="5" t="s">
        <v>1615</v>
      </c>
      <c r="N1329" s="3"/>
      <c r="Q1329" s="4"/>
      <c r="W1329" s="4"/>
      <c r="AE1329" s="51">
        <f t="shared" si="175"/>
        <v>0</v>
      </c>
    </row>
    <row r="1330" spans="6:31" ht="24" customHeight="1">
      <c r="H1330" s="58" t="s">
        <v>789</v>
      </c>
      <c r="K1330" s="38">
        <f>(K1328/10)</f>
        <v>3934.05</v>
      </c>
      <c r="M1330" s="30">
        <v>15.1</v>
      </c>
      <c r="N1330" s="7" t="s">
        <v>1791</v>
      </c>
      <c r="O1330" s="1" t="s">
        <v>1224</v>
      </c>
      <c r="Q1330" s="4"/>
      <c r="T1330" s="33" t="s">
        <v>3922</v>
      </c>
      <c r="W1330" s="4"/>
      <c r="AE1330" s="51">
        <f t="shared" si="175"/>
        <v>0</v>
      </c>
    </row>
    <row r="1331" spans="6:31" ht="24" customHeight="1">
      <c r="K1331" s="5" t="s">
        <v>2091</v>
      </c>
      <c r="N1331" s="3"/>
      <c r="O1331" s="1" t="s">
        <v>2320</v>
      </c>
      <c r="Q1331" s="4"/>
      <c r="S1331" s="8">
        <v>10</v>
      </c>
      <c r="T1331" s="7" t="s">
        <v>621</v>
      </c>
      <c r="U1331" s="1" t="s">
        <v>5131</v>
      </c>
      <c r="V1331" s="419">
        <v>506</v>
      </c>
      <c r="W1331" s="2" t="s">
        <v>621</v>
      </c>
      <c r="X1331" s="8">
        <f>(S1331*V1331)</f>
        <v>5060</v>
      </c>
      <c r="Z1331">
        <v>9</v>
      </c>
      <c r="AA1331" t="s">
        <v>3729</v>
      </c>
      <c r="AB1331">
        <f>AC44</f>
        <v>1076.69</v>
      </c>
      <c r="AC1331">
        <f>AB1331*Z1331</f>
        <v>9690.2099999999991</v>
      </c>
      <c r="AE1331" s="51">
        <f t="shared" si="175"/>
        <v>0</v>
      </c>
    </row>
    <row r="1332" spans="6:31" ht="38.25" customHeight="1">
      <c r="M1332" s="8">
        <v>10</v>
      </c>
      <c r="N1332" s="7" t="s">
        <v>2322</v>
      </c>
      <c r="O1332" s="712" t="s">
        <v>5132</v>
      </c>
      <c r="P1332" s="419">
        <v>1626</v>
      </c>
      <c r="Q1332" s="2" t="s">
        <v>2322</v>
      </c>
      <c r="R1332" s="8">
        <f>(M1332*P1332)</f>
        <v>16260</v>
      </c>
      <c r="S1332" s="8">
        <v>0.21</v>
      </c>
      <c r="T1332" s="7" t="s">
        <v>885</v>
      </c>
      <c r="U1332" s="1" t="s">
        <v>1910</v>
      </c>
      <c r="V1332" s="8">
        <f>P1333</f>
        <v>4628.8999999999996</v>
      </c>
      <c r="W1332" s="2" t="s">
        <v>885</v>
      </c>
      <c r="X1332" s="8">
        <f>(S1332*V1332)</f>
        <v>972.07</v>
      </c>
      <c r="Z1332">
        <v>4.5</v>
      </c>
      <c r="AA1332" s="1" t="s">
        <v>422</v>
      </c>
      <c r="AB1332">
        <f>K23</f>
        <v>6078.5</v>
      </c>
      <c r="AC1332">
        <f>AB1332*Z1332</f>
        <v>27353.25</v>
      </c>
      <c r="AE1332" s="51">
        <f t="shared" si="175"/>
        <v>0</v>
      </c>
    </row>
    <row r="1333" spans="6:31" ht="24" customHeight="1">
      <c r="G1333" s="7" t="s">
        <v>687</v>
      </c>
      <c r="H1333" s="1" t="s">
        <v>767</v>
      </c>
      <c r="M1333" s="8">
        <v>0.12</v>
      </c>
      <c r="N1333" s="7" t="s">
        <v>885</v>
      </c>
      <c r="O1333" s="1" t="s">
        <v>800</v>
      </c>
      <c r="P1333" s="8">
        <f>K32</f>
        <v>4628.8999999999996</v>
      </c>
      <c r="Q1333" s="2" t="s">
        <v>885</v>
      </c>
      <c r="R1333" s="8">
        <f>(M1333*P1333)</f>
        <v>555.47</v>
      </c>
      <c r="S1333">
        <v>10</v>
      </c>
      <c r="T1333" s="3"/>
      <c r="U1333" s="1" t="s">
        <v>3923</v>
      </c>
      <c r="V1333" s="6">
        <f>K1344</f>
        <v>327.78</v>
      </c>
      <c r="W1333" s="4"/>
      <c r="X1333" s="8">
        <f>(S1333*V1333)</f>
        <v>3277.8</v>
      </c>
      <c r="Z1333">
        <v>1.8</v>
      </c>
      <c r="AA1333" s="1" t="s">
        <v>1744</v>
      </c>
      <c r="AB1333">
        <f>V1335</f>
        <v>972.4</v>
      </c>
      <c r="AC1333">
        <f>AB1333*Z1333</f>
        <v>1750.32</v>
      </c>
      <c r="AE1333" s="51">
        <f t="shared" si="175"/>
        <v>0</v>
      </c>
    </row>
    <row r="1334" spans="6:31" ht="31.5" customHeight="1">
      <c r="H1334" s="1" t="s">
        <v>768</v>
      </c>
      <c r="M1334" s="8">
        <v>1</v>
      </c>
      <c r="N1334" s="7" t="s">
        <v>570</v>
      </c>
      <c r="O1334" s="1" t="s">
        <v>571</v>
      </c>
      <c r="P1334" s="8">
        <f>I1305</f>
        <v>1041.7</v>
      </c>
      <c r="Q1334" s="2" t="s">
        <v>1423</v>
      </c>
      <c r="R1334" s="8">
        <f>(M1334*P1334)</f>
        <v>1041.7</v>
      </c>
      <c r="S1334" s="8">
        <v>1.1000000000000001</v>
      </c>
      <c r="T1334" s="453" t="s">
        <v>785</v>
      </c>
      <c r="U1334" s="1" t="s">
        <v>2045</v>
      </c>
      <c r="V1334" s="8">
        <f>AE9</f>
        <v>1041.7</v>
      </c>
      <c r="W1334" s="2" t="s">
        <v>785</v>
      </c>
      <c r="X1334" s="8">
        <f t="shared" ref="X1334:X1341" si="183">S1334*V1334</f>
        <v>1145.8699999999999</v>
      </c>
      <c r="Z1334">
        <v>17.7</v>
      </c>
      <c r="AA1334" s="1" t="s">
        <v>1937</v>
      </c>
      <c r="AB1334">
        <f>V1336</f>
        <v>679.8</v>
      </c>
      <c r="AC1334">
        <f>AB1334*Z1334</f>
        <v>12032.46</v>
      </c>
      <c r="AE1334" s="51">
        <f t="shared" si="175"/>
        <v>0</v>
      </c>
    </row>
    <row r="1335" spans="6:31" ht="38.25" customHeight="1">
      <c r="H1335" s="5" t="s">
        <v>1615</v>
      </c>
      <c r="L1335">
        <f>SUM(K1355:K1360)</f>
        <v>8640.5</v>
      </c>
      <c r="M1335" s="8">
        <v>1</v>
      </c>
      <c r="N1335" s="7" t="s">
        <v>570</v>
      </c>
      <c r="O1335" s="1" t="s">
        <v>839</v>
      </c>
      <c r="P1335" s="8">
        <f>I1306</f>
        <v>679.8</v>
      </c>
      <c r="Q1335" s="2" t="s">
        <v>1423</v>
      </c>
      <c r="R1335" s="8">
        <f>(M1335*P1335)</f>
        <v>679.8</v>
      </c>
      <c r="S1335" s="8">
        <v>2.1</v>
      </c>
      <c r="T1335" s="453" t="s">
        <v>785</v>
      </c>
      <c r="U1335" s="1" t="s">
        <v>1744</v>
      </c>
      <c r="V1335" s="8">
        <f>AE10</f>
        <v>972.4</v>
      </c>
      <c r="W1335" s="2" t="s">
        <v>785</v>
      </c>
      <c r="X1335" s="8">
        <f t="shared" si="183"/>
        <v>2042.04</v>
      </c>
      <c r="Z1335">
        <v>14.1</v>
      </c>
      <c r="AA1335" s="1" t="s">
        <v>325</v>
      </c>
      <c r="AB1335">
        <f>V1337</f>
        <v>557.70000000000005</v>
      </c>
      <c r="AC1335">
        <f>AB1335*Z1335</f>
        <v>7863.57</v>
      </c>
      <c r="AE1335" s="51">
        <f t="shared" si="175"/>
        <v>0</v>
      </c>
    </row>
    <row r="1336" spans="6:31" ht="24" customHeight="1">
      <c r="F1336" s="8">
        <v>0.04</v>
      </c>
      <c r="G1336" s="7" t="s">
        <v>885</v>
      </c>
      <c r="H1336" s="1" t="s">
        <v>769</v>
      </c>
      <c r="I1336" s="8">
        <f>(K32)</f>
        <v>4628.8999999999996</v>
      </c>
      <c r="J1336" s="1" t="s">
        <v>885</v>
      </c>
      <c r="K1336" s="8">
        <f>(F1336*I1336)</f>
        <v>185.16</v>
      </c>
      <c r="N1336" s="7" t="s">
        <v>455</v>
      </c>
      <c r="O1336" s="1" t="s">
        <v>61</v>
      </c>
      <c r="Q1336" s="2" t="s">
        <v>455</v>
      </c>
      <c r="R1336" s="8">
        <v>0.33</v>
      </c>
      <c r="S1336" s="8">
        <v>2.2000000000000002</v>
      </c>
      <c r="T1336" s="453" t="s">
        <v>785</v>
      </c>
      <c r="U1336" s="1" t="s">
        <v>1937</v>
      </c>
      <c r="V1336" s="8">
        <f>AE11</f>
        <v>679.8</v>
      </c>
      <c r="W1336" s="2" t="s">
        <v>785</v>
      </c>
      <c r="X1336" s="8">
        <f t="shared" si="183"/>
        <v>1495.56</v>
      </c>
      <c r="AC1336">
        <f>SUM(AC1331:AC1335)</f>
        <v>58689.81</v>
      </c>
      <c r="AE1336" s="51">
        <f t="shared" si="175"/>
        <v>0</v>
      </c>
    </row>
    <row r="1337" spans="6:31" ht="24" customHeight="1">
      <c r="F1337" s="8">
        <v>2.2000000000000002</v>
      </c>
      <c r="G1337" s="7" t="s">
        <v>785</v>
      </c>
      <c r="H1337" s="1" t="s">
        <v>1744</v>
      </c>
      <c r="I1337" s="8">
        <f>(C11)</f>
        <v>972.4</v>
      </c>
      <c r="J1337" s="1" t="s">
        <v>785</v>
      </c>
      <c r="K1337" s="8">
        <f>(F1337*I1337)</f>
        <v>2139.2800000000002</v>
      </c>
      <c r="L1337">
        <f>SUM(K1355:K1360)</f>
        <v>8640.5</v>
      </c>
      <c r="N1337" s="3"/>
      <c r="O1337" s="1" t="s">
        <v>947</v>
      </c>
      <c r="Q1337" s="4"/>
      <c r="R1337" s="5" t="s">
        <v>1615</v>
      </c>
      <c r="S1337" s="8">
        <v>1.1000000000000001</v>
      </c>
      <c r="T1337" s="453" t="s">
        <v>785</v>
      </c>
      <c r="U1337" s="1" t="s">
        <v>325</v>
      </c>
      <c r="V1337" s="8">
        <f>AE12</f>
        <v>557.70000000000005</v>
      </c>
      <c r="W1337" s="2" t="s">
        <v>785</v>
      </c>
      <c r="X1337" s="8">
        <f t="shared" si="183"/>
        <v>613.47</v>
      </c>
      <c r="AC1337">
        <f>AC1336/10</f>
        <v>5868.98</v>
      </c>
      <c r="AE1337" s="51">
        <f t="shared" si="175"/>
        <v>0</v>
      </c>
    </row>
    <row r="1338" spans="6:31" ht="24" customHeight="1">
      <c r="F1338" s="8">
        <v>0.5</v>
      </c>
      <c r="G1338" s="7" t="s">
        <v>785</v>
      </c>
      <c r="H1338" s="1" t="s">
        <v>1937</v>
      </c>
      <c r="I1338" s="8">
        <f>(C12)</f>
        <v>679.8</v>
      </c>
      <c r="J1338" s="1" t="s">
        <v>785</v>
      </c>
      <c r="K1338" s="8">
        <f>(F1338*I1338)</f>
        <v>339.9</v>
      </c>
      <c r="N1338" s="3"/>
      <c r="O1338" s="2" t="s">
        <v>412</v>
      </c>
      <c r="Q1338" s="4"/>
      <c r="R1338" s="8">
        <f>SUM(R1332:R1336)</f>
        <v>18537.3</v>
      </c>
      <c r="S1338" s="12">
        <v>6.5</v>
      </c>
      <c r="T1338" s="453" t="s">
        <v>1676</v>
      </c>
      <c r="U1338" s="1" t="s">
        <v>3730</v>
      </c>
      <c r="V1338" s="536">
        <v>17.18</v>
      </c>
      <c r="W1338" s="2" t="s">
        <v>877</v>
      </c>
      <c r="X1338" s="8">
        <f t="shared" si="183"/>
        <v>111.67</v>
      </c>
      <c r="AE1338" s="51">
        <f t="shared" si="175"/>
        <v>0</v>
      </c>
    </row>
    <row r="1339" spans="6:31" ht="24" customHeight="1">
      <c r="F1339" s="8">
        <v>1.1000000000000001</v>
      </c>
      <c r="G1339" s="7" t="s">
        <v>785</v>
      </c>
      <c r="H1339" s="1" t="s">
        <v>325</v>
      </c>
      <c r="I1339" s="8">
        <f>(C13)</f>
        <v>557.70000000000005</v>
      </c>
      <c r="J1339" s="1" t="s">
        <v>785</v>
      </c>
      <c r="K1339" s="8">
        <f>(F1339*I1339)</f>
        <v>613.47</v>
      </c>
      <c r="N1339" s="3"/>
      <c r="Q1339" s="4"/>
      <c r="R1339" s="5" t="s">
        <v>1615</v>
      </c>
      <c r="S1339" s="12">
        <v>3</v>
      </c>
      <c r="T1339" s="453" t="s">
        <v>1676</v>
      </c>
      <c r="U1339" s="1" t="s">
        <v>3813</v>
      </c>
      <c r="V1339" s="419">
        <f>C610</f>
        <v>27.25</v>
      </c>
      <c r="W1339" s="2" t="s">
        <v>1676</v>
      </c>
      <c r="X1339" s="8">
        <f t="shared" si="183"/>
        <v>81.75</v>
      </c>
      <c r="AE1339" s="51">
        <f t="shared" si="175"/>
        <v>0</v>
      </c>
    </row>
    <row r="1340" spans="6:31" ht="24" customHeight="1">
      <c r="G1340" s="7" t="s">
        <v>455</v>
      </c>
      <c r="H1340" s="1" t="s">
        <v>456</v>
      </c>
      <c r="J1340" s="1" t="s">
        <v>455</v>
      </c>
      <c r="K1340" s="8">
        <v>0</v>
      </c>
      <c r="N1340" s="3"/>
      <c r="O1340" s="2" t="s">
        <v>416</v>
      </c>
      <c r="Q1340" s="4"/>
      <c r="R1340" s="38">
        <f>R1338/10</f>
        <v>1853.73</v>
      </c>
      <c r="S1340" s="8">
        <v>2.15</v>
      </c>
      <c r="T1340" s="453" t="s">
        <v>785</v>
      </c>
      <c r="U1340" s="1" t="s">
        <v>3731</v>
      </c>
      <c r="V1340" s="536">
        <v>45.8</v>
      </c>
      <c r="W1340" s="2" t="s">
        <v>785</v>
      </c>
      <c r="X1340" s="8">
        <f t="shared" si="183"/>
        <v>98.47</v>
      </c>
      <c r="AE1340" s="51">
        <f t="shared" si="175"/>
        <v>0</v>
      </c>
    </row>
    <row r="1341" spans="6:31" ht="24" customHeight="1">
      <c r="K1341" s="5" t="s">
        <v>1615</v>
      </c>
      <c r="N1341" s="3"/>
      <c r="O1341" s="1" t="s">
        <v>391</v>
      </c>
      <c r="Q1341" s="4">
        <f>R1345+S1302</f>
        <v>1862.76</v>
      </c>
      <c r="R1341" s="8">
        <f>R1340+S1299</f>
        <v>1853.94</v>
      </c>
      <c r="S1341" s="121">
        <v>0.4</v>
      </c>
      <c r="T1341" s="519" t="s">
        <v>785</v>
      </c>
      <c r="U1341" s="119" t="s">
        <v>3822</v>
      </c>
      <c r="V1341" s="121">
        <f>AC1337</f>
        <v>5868.98</v>
      </c>
      <c r="W1341" s="117" t="s">
        <v>785</v>
      </c>
      <c r="X1341" s="8">
        <f t="shared" si="183"/>
        <v>2347.59</v>
      </c>
      <c r="AE1341" s="51">
        <f t="shared" si="175"/>
        <v>0</v>
      </c>
    </row>
    <row r="1342" spans="6:31" ht="24" customHeight="1">
      <c r="H1342" s="1" t="s">
        <v>447</v>
      </c>
      <c r="K1342" s="8">
        <f>SUM(K1336:K1340)</f>
        <v>3277.81</v>
      </c>
      <c r="N1342" s="3"/>
      <c r="O1342" s="1" t="s">
        <v>393</v>
      </c>
      <c r="Q1342" s="4">
        <f>Q1341+S1302</f>
        <v>1864.96</v>
      </c>
      <c r="R1342" s="8">
        <f>R1341+1.11</f>
        <v>1855.05</v>
      </c>
      <c r="S1342" s="8"/>
      <c r="T1342" s="453"/>
      <c r="U1342" s="1"/>
      <c r="V1342" s="8"/>
      <c r="W1342" s="2" t="s">
        <v>785</v>
      </c>
      <c r="X1342" s="8">
        <f>(S1342*V1342)</f>
        <v>0</v>
      </c>
      <c r="AE1342" s="51">
        <f t="shared" ref="AE1342:AE1405" si="184">AG1342</f>
        <v>0</v>
      </c>
    </row>
    <row r="1343" spans="6:31" ht="24" customHeight="1">
      <c r="K1343" s="5" t="s">
        <v>1615</v>
      </c>
      <c r="N1343" s="3"/>
      <c r="O1343" s="1" t="s">
        <v>2271</v>
      </c>
      <c r="Q1343" s="4"/>
      <c r="R1343" s="8">
        <f>R1342+1.11</f>
        <v>1856.16</v>
      </c>
      <c r="S1343"/>
      <c r="T1343" s="453" t="s">
        <v>455</v>
      </c>
      <c r="U1343" s="1" t="s">
        <v>456</v>
      </c>
      <c r="V1343" s="8"/>
      <c r="W1343" s="2" t="s">
        <v>455</v>
      </c>
      <c r="X1343" s="8">
        <v>0.8</v>
      </c>
      <c r="AE1343" s="51">
        <f t="shared" si="184"/>
        <v>0</v>
      </c>
    </row>
    <row r="1344" spans="6:31" ht="24" customHeight="1">
      <c r="H1344" s="58" t="s">
        <v>562</v>
      </c>
      <c r="K1344" s="38">
        <f>(K1342/10)</f>
        <v>327.78</v>
      </c>
      <c r="N1344" s="3"/>
      <c r="O1344" s="1" t="s">
        <v>385</v>
      </c>
      <c r="Q1344" s="4"/>
      <c r="R1344" s="8">
        <f>R1343+S1302</f>
        <v>1858.36</v>
      </c>
      <c r="S1344"/>
      <c r="T1344" s="454"/>
      <c r="W1344" s="4"/>
      <c r="X1344" s="5" t="s">
        <v>1615</v>
      </c>
      <c r="AE1344" s="51">
        <f t="shared" si="184"/>
        <v>0</v>
      </c>
    </row>
    <row r="1345" spans="6:31" ht="24" customHeight="1">
      <c r="K1345" s="5" t="s">
        <v>2091</v>
      </c>
      <c r="N1345" s="3"/>
      <c r="O1345" s="1" t="s">
        <v>1388</v>
      </c>
      <c r="Q1345" s="4"/>
      <c r="R1345" s="8">
        <f>R1344+S1302</f>
        <v>1860.56</v>
      </c>
      <c r="S1345"/>
      <c r="T1345" s="454"/>
      <c r="U1345" s="1" t="s">
        <v>447</v>
      </c>
      <c r="W1345" s="4"/>
      <c r="X1345" s="8">
        <f>SUM(X1331:X1344)</f>
        <v>17247.09</v>
      </c>
      <c r="AE1345" s="51">
        <f t="shared" si="184"/>
        <v>0</v>
      </c>
    </row>
    <row r="1346" spans="6:31" ht="24" customHeight="1">
      <c r="N1346" s="3"/>
      <c r="Q1346" s="4"/>
      <c r="S1346"/>
      <c r="T1346" s="454"/>
      <c r="W1346" s="4"/>
      <c r="X1346" s="5" t="s">
        <v>1615</v>
      </c>
      <c r="AE1346" s="51">
        <f t="shared" si="184"/>
        <v>0</v>
      </c>
    </row>
    <row r="1347" spans="6:31" ht="24" customHeight="1">
      <c r="F1347" s="24">
        <v>32.1</v>
      </c>
      <c r="G1347" s="7" t="s">
        <v>2290</v>
      </c>
      <c r="H1347" s="1" t="s">
        <v>770</v>
      </c>
      <c r="N1347" s="3"/>
      <c r="Q1347" s="10"/>
      <c r="S1347"/>
      <c r="T1347" s="454"/>
      <c r="U1347" s="1" t="s">
        <v>562</v>
      </c>
      <c r="W1347" s="4"/>
      <c r="X1347" s="38">
        <f>(X1345/10)</f>
        <v>1724.71</v>
      </c>
      <c r="Y1347">
        <f>0.8-0.77</f>
        <v>0.03</v>
      </c>
      <c r="AE1347" s="51">
        <f t="shared" si="184"/>
        <v>0</v>
      </c>
    </row>
    <row r="1348" spans="6:31" ht="24" customHeight="1">
      <c r="H1348" s="1" t="s">
        <v>1509</v>
      </c>
      <c r="N1348" s="3"/>
      <c r="Q1348" s="10"/>
      <c r="S1348"/>
      <c r="T1348" s="454"/>
      <c r="W1348" s="4"/>
      <c r="X1348" s="5" t="s">
        <v>2091</v>
      </c>
      <c r="AE1348" s="51">
        <f t="shared" si="184"/>
        <v>0</v>
      </c>
    </row>
    <row r="1349" spans="6:31" ht="24" customHeight="1">
      <c r="H1349" s="1" t="s">
        <v>696</v>
      </c>
      <c r="N1349" s="3"/>
      <c r="Q1349" s="10"/>
      <c r="W1349" s="4"/>
      <c r="AE1349" s="51">
        <f t="shared" si="184"/>
        <v>0</v>
      </c>
    </row>
    <row r="1350" spans="6:31" ht="24" customHeight="1">
      <c r="H1350" s="1" t="s">
        <v>2003</v>
      </c>
      <c r="N1350" s="3"/>
      <c r="Q1350" s="10"/>
      <c r="W1350" s="4"/>
      <c r="Y1350" s="15">
        <v>3.02</v>
      </c>
      <c r="Z1350" s="7" t="s">
        <v>929</v>
      </c>
      <c r="AA1350" s="1" t="s">
        <v>1888</v>
      </c>
      <c r="AB1350" s="8">
        <f t="shared" ref="AB1350:AB1361" si="185">V1352</f>
        <v>325</v>
      </c>
      <c r="AC1350" s="7" t="s">
        <v>929</v>
      </c>
      <c r="AD1350" s="8">
        <f t="shared" ref="AD1350:AD1361" si="186">AB1350*Y1350</f>
        <v>981.5</v>
      </c>
      <c r="AE1350" s="51">
        <f t="shared" si="184"/>
        <v>0</v>
      </c>
    </row>
    <row r="1351" spans="6:31" ht="24" customHeight="1">
      <c r="H1351" s="1" t="s">
        <v>1317</v>
      </c>
      <c r="N1351" s="3"/>
      <c r="O1351" t="s">
        <v>1225</v>
      </c>
      <c r="Q1351" s="4"/>
      <c r="T1351" s="3"/>
      <c r="U1351" s="216" t="s">
        <v>3556</v>
      </c>
      <c r="W1351" s="4"/>
      <c r="Y1351" s="15">
        <v>2.19</v>
      </c>
      <c r="Z1351" s="7" t="s">
        <v>929</v>
      </c>
      <c r="AA1351" s="1" t="s">
        <v>1888</v>
      </c>
      <c r="AB1351" s="8">
        <f t="shared" si="185"/>
        <v>325</v>
      </c>
      <c r="AC1351" s="7" t="s">
        <v>929</v>
      </c>
      <c r="AD1351" s="8">
        <f t="shared" si="186"/>
        <v>711.75</v>
      </c>
      <c r="AE1351" s="51">
        <f t="shared" si="184"/>
        <v>0</v>
      </c>
    </row>
    <row r="1352" spans="6:31" ht="24" customHeight="1">
      <c r="H1352" s="5" t="s">
        <v>1615</v>
      </c>
      <c r="N1352" s="3"/>
      <c r="Q1352" s="4"/>
      <c r="S1352" s="12">
        <v>3.72</v>
      </c>
      <c r="T1352" s="7" t="s">
        <v>929</v>
      </c>
      <c r="U1352" s="1" t="s">
        <v>1888</v>
      </c>
      <c r="V1352" s="8">
        <f>P1391</f>
        <v>325</v>
      </c>
      <c r="W1352" s="2" t="s">
        <v>929</v>
      </c>
      <c r="X1352" s="8">
        <f>V1352*S1352</f>
        <v>1209</v>
      </c>
      <c r="Y1352" s="15">
        <v>4.96</v>
      </c>
      <c r="Z1352" s="7" t="s">
        <v>929</v>
      </c>
      <c r="AA1352" s="1" t="s">
        <v>1888</v>
      </c>
      <c r="AB1352" s="8">
        <f t="shared" si="185"/>
        <v>325</v>
      </c>
      <c r="AC1352" s="7" t="s">
        <v>929</v>
      </c>
      <c r="AD1352" s="8">
        <f t="shared" si="186"/>
        <v>1612</v>
      </c>
      <c r="AE1352" s="51">
        <f t="shared" si="184"/>
        <v>0</v>
      </c>
    </row>
    <row r="1353" spans="6:31" ht="24" customHeight="1">
      <c r="F1353" s="8">
        <v>190</v>
      </c>
      <c r="G1353" s="7" t="s">
        <v>1907</v>
      </c>
      <c r="H1353" s="1" t="s">
        <v>3967</v>
      </c>
      <c r="I1353" s="8">
        <f>(C83)</f>
        <v>16106</v>
      </c>
      <c r="J1353" s="1" t="s">
        <v>1507</v>
      </c>
      <c r="K1353" s="8">
        <f>(F1353*I1353)/1000</f>
        <v>3060.14</v>
      </c>
      <c r="M1353">
        <v>70</v>
      </c>
      <c r="N1353" s="3" t="s">
        <v>842</v>
      </c>
      <c r="O1353" s="512" t="s">
        <v>5133</v>
      </c>
      <c r="P1353" s="431">
        <v>33</v>
      </c>
      <c r="Q1353" s="4" t="s">
        <v>842</v>
      </c>
      <c r="R1353">
        <f>P1353*M1353</f>
        <v>2310</v>
      </c>
      <c r="S1353" s="12">
        <v>3.87</v>
      </c>
      <c r="T1353" s="7" t="s">
        <v>929</v>
      </c>
      <c r="U1353" s="1" t="s">
        <v>1888</v>
      </c>
      <c r="V1353" s="8">
        <f t="shared" ref="V1353:V1363" si="187">P1392</f>
        <v>325</v>
      </c>
      <c r="W1353" s="2" t="s">
        <v>929</v>
      </c>
      <c r="X1353" s="8">
        <f t="shared" ref="X1353:X1363" si="188">V1353*S1353</f>
        <v>1257.75</v>
      </c>
      <c r="Y1353" s="15">
        <v>0.85</v>
      </c>
      <c r="Z1353" s="7" t="s">
        <v>929</v>
      </c>
      <c r="AA1353" s="1" t="s">
        <v>1888</v>
      </c>
      <c r="AB1353" s="8">
        <f t="shared" si="185"/>
        <v>325</v>
      </c>
      <c r="AC1353" s="7" t="s">
        <v>929</v>
      </c>
      <c r="AD1353" s="8">
        <f t="shared" si="186"/>
        <v>276.25</v>
      </c>
      <c r="AE1353" s="51">
        <f t="shared" si="184"/>
        <v>0</v>
      </c>
    </row>
    <row r="1354" spans="6:31" ht="24" customHeight="1">
      <c r="F1354" s="8">
        <v>0.12</v>
      </c>
      <c r="G1354" s="7" t="s">
        <v>885</v>
      </c>
      <c r="H1354" s="1" t="s">
        <v>1910</v>
      </c>
      <c r="I1354" s="8">
        <f>(K32)</f>
        <v>4628.8999999999996</v>
      </c>
      <c r="J1354" s="1" t="s">
        <v>885</v>
      </c>
      <c r="K1354" s="7">
        <f t="shared" ref="K1354:K1360" si="189">(F1354*I1354)</f>
        <v>555.47</v>
      </c>
      <c r="N1354" s="3"/>
      <c r="Q1354" s="4"/>
      <c r="S1354" s="12">
        <v>7.46</v>
      </c>
      <c r="T1354" s="7" t="s">
        <v>929</v>
      </c>
      <c r="U1354" s="1" t="s">
        <v>1888</v>
      </c>
      <c r="V1354" s="8">
        <f t="shared" si="187"/>
        <v>325</v>
      </c>
      <c r="W1354" s="2" t="s">
        <v>929</v>
      </c>
      <c r="X1354" s="8">
        <f t="shared" si="188"/>
        <v>2424.5</v>
      </c>
      <c r="Y1354" s="15">
        <v>0.73199999999999998</v>
      </c>
      <c r="Z1354" s="7" t="s">
        <v>236</v>
      </c>
      <c r="AA1354" s="1" t="s">
        <v>1889</v>
      </c>
      <c r="AB1354" s="8">
        <f>V1356</f>
        <v>306.89999999999998</v>
      </c>
      <c r="AC1354" s="7" t="s">
        <v>236</v>
      </c>
      <c r="AD1354" s="8">
        <f t="shared" si="186"/>
        <v>224.65</v>
      </c>
      <c r="AE1354" s="51">
        <f t="shared" si="184"/>
        <v>0</v>
      </c>
    </row>
    <row r="1355" spans="6:31" ht="24" customHeight="1">
      <c r="F1355" s="8">
        <v>10</v>
      </c>
      <c r="G1355" s="7" t="s">
        <v>621</v>
      </c>
      <c r="H1355" s="1" t="s">
        <v>1319</v>
      </c>
      <c r="I1355" s="8">
        <f>(K1344)</f>
        <v>327.78</v>
      </c>
      <c r="J1355" s="1" t="s">
        <v>621</v>
      </c>
      <c r="K1355" s="7">
        <f t="shared" si="189"/>
        <v>3277.8</v>
      </c>
      <c r="M1355">
        <v>0.3</v>
      </c>
      <c r="N1355" s="3" t="s">
        <v>2190</v>
      </c>
      <c r="O1355" s="512" t="s">
        <v>5134</v>
      </c>
      <c r="P1355" s="431">
        <v>17600</v>
      </c>
      <c r="Q1355" s="4" t="s">
        <v>2190</v>
      </c>
      <c r="R1355">
        <f>P1355*M1355</f>
        <v>5280</v>
      </c>
      <c r="S1355" s="12">
        <v>1.28</v>
      </c>
      <c r="T1355" s="7" t="s">
        <v>929</v>
      </c>
      <c r="U1355" s="1" t="s">
        <v>1888</v>
      </c>
      <c r="V1355" s="8">
        <f t="shared" si="187"/>
        <v>325</v>
      </c>
      <c r="W1355" s="2" t="s">
        <v>929</v>
      </c>
      <c r="X1355" s="8">
        <f t="shared" si="188"/>
        <v>416</v>
      </c>
      <c r="Y1355" s="15">
        <v>6.8719999999999999</v>
      </c>
      <c r="Z1355" s="7" t="s">
        <v>842</v>
      </c>
      <c r="AA1355" s="1" t="s">
        <v>1890</v>
      </c>
      <c r="AB1355" s="8">
        <f t="shared" si="185"/>
        <v>29.05</v>
      </c>
      <c r="AC1355" s="7" t="s">
        <v>842</v>
      </c>
      <c r="AD1355" s="8">
        <f t="shared" si="186"/>
        <v>199.63</v>
      </c>
      <c r="AE1355" s="51">
        <f t="shared" si="184"/>
        <v>0</v>
      </c>
    </row>
    <row r="1356" spans="6:31" ht="24" customHeight="1">
      <c r="F1356" s="12">
        <v>1.54</v>
      </c>
      <c r="G1356" s="7" t="s">
        <v>1676</v>
      </c>
      <c r="H1356" s="1" t="s">
        <v>981</v>
      </c>
      <c r="I1356" s="63">
        <f>C653</f>
        <v>42.7</v>
      </c>
      <c r="J1356" s="1" t="s">
        <v>1676</v>
      </c>
      <c r="K1356" s="8">
        <f t="shared" si="189"/>
        <v>65.760000000000005</v>
      </c>
      <c r="N1356" s="3"/>
      <c r="Q1356" s="4"/>
      <c r="S1356" s="12">
        <v>1.107</v>
      </c>
      <c r="T1356" s="7" t="s">
        <v>236</v>
      </c>
      <c r="U1356" s="1" t="s">
        <v>1889</v>
      </c>
      <c r="V1356" s="8">
        <f t="shared" si="187"/>
        <v>306.89999999999998</v>
      </c>
      <c r="W1356" s="2" t="s">
        <v>236</v>
      </c>
      <c r="X1356" s="8">
        <f t="shared" si="188"/>
        <v>339.74</v>
      </c>
      <c r="Y1356" s="15">
        <v>8</v>
      </c>
      <c r="Z1356" s="7" t="s">
        <v>785</v>
      </c>
      <c r="AA1356" s="1" t="s">
        <v>1891</v>
      </c>
      <c r="AB1356" s="8">
        <f t="shared" si="185"/>
        <v>71.900000000000006</v>
      </c>
      <c r="AC1356" s="7" t="s">
        <v>785</v>
      </c>
      <c r="AD1356" s="8">
        <f t="shared" si="186"/>
        <v>575.20000000000005</v>
      </c>
      <c r="AE1356" s="51">
        <f t="shared" si="184"/>
        <v>0</v>
      </c>
    </row>
    <row r="1357" spans="6:31" ht="24" customHeight="1">
      <c r="F1357" s="8">
        <v>1.1000000000000001</v>
      </c>
      <c r="G1357" s="7" t="s">
        <v>785</v>
      </c>
      <c r="H1357" s="1" t="s">
        <v>2045</v>
      </c>
      <c r="I1357" s="8">
        <f>(C10)</f>
        <v>1041.7</v>
      </c>
      <c r="J1357" s="1" t="s">
        <v>785</v>
      </c>
      <c r="K1357" s="8">
        <f t="shared" si="189"/>
        <v>1145.8699999999999</v>
      </c>
      <c r="N1357" s="3"/>
      <c r="O1357" t="s">
        <v>1226</v>
      </c>
      <c r="Q1357" s="4"/>
      <c r="R1357">
        <f>SUM(R1353:R1355)</f>
        <v>7590</v>
      </c>
      <c r="S1357" s="12">
        <v>10.343999999999999</v>
      </c>
      <c r="T1357" s="7" t="s">
        <v>842</v>
      </c>
      <c r="U1357" s="1" t="s">
        <v>1890</v>
      </c>
      <c r="V1357" s="8">
        <f t="shared" si="187"/>
        <v>29.05</v>
      </c>
      <c r="W1357" s="2" t="s">
        <v>842</v>
      </c>
      <c r="X1357" s="8">
        <f t="shared" si="188"/>
        <v>300.49</v>
      </c>
      <c r="Y1357" s="15">
        <v>4</v>
      </c>
      <c r="Z1357" s="7" t="s">
        <v>785</v>
      </c>
      <c r="AA1357" s="1" t="s">
        <v>1892</v>
      </c>
      <c r="AB1357" s="8">
        <f t="shared" si="185"/>
        <v>57.65</v>
      </c>
      <c r="AC1357" s="7" t="s">
        <v>785</v>
      </c>
      <c r="AD1357" s="8">
        <f t="shared" si="186"/>
        <v>230.6</v>
      </c>
      <c r="AE1357" s="51">
        <f t="shared" si="184"/>
        <v>0</v>
      </c>
    </row>
    <row r="1358" spans="6:31" ht="24" customHeight="1">
      <c r="F1358" s="8">
        <v>2.1</v>
      </c>
      <c r="G1358" s="7" t="s">
        <v>785</v>
      </c>
      <c r="H1358" s="1" t="s">
        <v>1744</v>
      </c>
      <c r="I1358" s="8">
        <f>(C11)</f>
        <v>972.4</v>
      </c>
      <c r="J1358" s="1" t="s">
        <v>785</v>
      </c>
      <c r="K1358" s="8">
        <f t="shared" si="189"/>
        <v>2042.04</v>
      </c>
      <c r="N1358" s="3"/>
      <c r="O1358" s="91" t="s">
        <v>1227</v>
      </c>
      <c r="Q1358" s="4"/>
      <c r="R1358" s="36">
        <f>R1357/10</f>
        <v>759</v>
      </c>
      <c r="S1358" s="12">
        <v>12</v>
      </c>
      <c r="T1358" s="7" t="s">
        <v>785</v>
      </c>
      <c r="U1358" s="1" t="s">
        <v>4206</v>
      </c>
      <c r="V1358" s="8">
        <f t="shared" si="187"/>
        <v>71.900000000000006</v>
      </c>
      <c r="W1358" s="2" t="s">
        <v>785</v>
      </c>
      <c r="X1358" s="8">
        <f t="shared" si="188"/>
        <v>862.8</v>
      </c>
      <c r="Y1358" s="15">
        <v>4</v>
      </c>
      <c r="Z1358" s="7" t="s">
        <v>785</v>
      </c>
      <c r="AA1358" s="1" t="s">
        <v>1893</v>
      </c>
      <c r="AB1358" s="8">
        <f t="shared" si="185"/>
        <v>30</v>
      </c>
      <c r="AC1358" s="7" t="s">
        <v>785</v>
      </c>
      <c r="AD1358" s="8">
        <f t="shared" si="186"/>
        <v>120</v>
      </c>
      <c r="AE1358" s="51">
        <f t="shared" si="184"/>
        <v>0</v>
      </c>
    </row>
    <row r="1359" spans="6:31" ht="24" customHeight="1">
      <c r="F1359" s="8">
        <v>2.2000000000000002</v>
      </c>
      <c r="G1359" s="7" t="s">
        <v>785</v>
      </c>
      <c r="H1359" s="1" t="s">
        <v>1937</v>
      </c>
      <c r="I1359" s="8">
        <f>(C12)</f>
        <v>679.8</v>
      </c>
      <c r="J1359" s="1" t="s">
        <v>785</v>
      </c>
      <c r="K1359" s="8">
        <f t="shared" si="189"/>
        <v>1495.56</v>
      </c>
      <c r="N1359" s="3"/>
      <c r="Q1359" s="4"/>
      <c r="S1359" s="12">
        <v>6</v>
      </c>
      <c r="T1359" s="7" t="s">
        <v>785</v>
      </c>
      <c r="U1359" s="1" t="s">
        <v>1892</v>
      </c>
      <c r="V1359" s="8">
        <f t="shared" si="187"/>
        <v>57.65</v>
      </c>
      <c r="W1359" s="2" t="s">
        <v>785</v>
      </c>
      <c r="X1359" s="8">
        <f t="shared" si="188"/>
        <v>345.9</v>
      </c>
      <c r="Y1359" s="15">
        <v>4</v>
      </c>
      <c r="Z1359" s="7" t="s">
        <v>785</v>
      </c>
      <c r="AA1359" s="1" t="s">
        <v>1894</v>
      </c>
      <c r="AB1359" s="8">
        <f t="shared" si="185"/>
        <v>20</v>
      </c>
      <c r="AC1359" s="7" t="s">
        <v>785</v>
      </c>
      <c r="AD1359" s="8">
        <f t="shared" si="186"/>
        <v>80</v>
      </c>
      <c r="AE1359" s="51">
        <f t="shared" si="184"/>
        <v>0</v>
      </c>
    </row>
    <row r="1360" spans="6:31" ht="24" customHeight="1">
      <c r="F1360" s="8">
        <v>1.1000000000000001</v>
      </c>
      <c r="G1360" s="7" t="s">
        <v>785</v>
      </c>
      <c r="H1360" s="1" t="s">
        <v>325</v>
      </c>
      <c r="I1360" s="8">
        <f>(C13)</f>
        <v>557.70000000000005</v>
      </c>
      <c r="J1360" s="1" t="s">
        <v>785</v>
      </c>
      <c r="K1360" s="8">
        <f t="shared" si="189"/>
        <v>613.47</v>
      </c>
      <c r="M1360">
        <v>2</v>
      </c>
      <c r="N1360" s="3" t="s">
        <v>1457</v>
      </c>
      <c r="O1360" t="s">
        <v>353</v>
      </c>
      <c r="P1360">
        <f>C12</f>
        <v>679.8</v>
      </c>
      <c r="Q1360" s="4" t="s">
        <v>1746</v>
      </c>
      <c r="R1360">
        <f>P1360*M1360</f>
        <v>1359.6</v>
      </c>
      <c r="S1360" s="12">
        <v>6</v>
      </c>
      <c r="T1360" s="7" t="s">
        <v>785</v>
      </c>
      <c r="U1360" s="1" t="s">
        <v>1893</v>
      </c>
      <c r="V1360" s="8">
        <f t="shared" si="187"/>
        <v>30</v>
      </c>
      <c r="W1360" s="2" t="s">
        <v>785</v>
      </c>
      <c r="X1360" s="8">
        <f t="shared" si="188"/>
        <v>180</v>
      </c>
      <c r="Y1360" s="15">
        <v>4</v>
      </c>
      <c r="Z1360" s="7" t="s">
        <v>785</v>
      </c>
      <c r="AA1360" s="1" t="s">
        <v>1895</v>
      </c>
      <c r="AB1360" s="8">
        <f t="shared" si="185"/>
        <v>15</v>
      </c>
      <c r="AC1360" s="7" t="s">
        <v>785</v>
      </c>
      <c r="AD1360" s="8">
        <f t="shared" si="186"/>
        <v>60</v>
      </c>
      <c r="AE1360" s="51">
        <f t="shared" si="184"/>
        <v>0</v>
      </c>
    </row>
    <row r="1361" spans="6:31" ht="24" customHeight="1">
      <c r="G1361" s="7" t="s">
        <v>455</v>
      </c>
      <c r="H1361" s="1" t="s">
        <v>456</v>
      </c>
      <c r="J1361" s="1" t="s">
        <v>455</v>
      </c>
      <c r="K1361" s="8">
        <v>0</v>
      </c>
      <c r="N1361" s="3"/>
      <c r="Q1361" s="4"/>
      <c r="S1361" s="12">
        <v>6</v>
      </c>
      <c r="T1361" s="7" t="s">
        <v>785</v>
      </c>
      <c r="U1361" s="1" t="s">
        <v>1894</v>
      </c>
      <c r="V1361" s="8">
        <f t="shared" si="187"/>
        <v>20</v>
      </c>
      <c r="W1361" s="2" t="s">
        <v>785</v>
      </c>
      <c r="X1361" s="8">
        <f t="shared" si="188"/>
        <v>120</v>
      </c>
      <c r="Y1361" s="15">
        <v>0.94499999999999995</v>
      </c>
      <c r="Z1361" s="7" t="s">
        <v>2322</v>
      </c>
      <c r="AA1361" s="1" t="s">
        <v>1896</v>
      </c>
      <c r="AB1361" s="8">
        <f t="shared" si="185"/>
        <v>2085.6</v>
      </c>
      <c r="AC1361" s="7" t="s">
        <v>2322</v>
      </c>
      <c r="AD1361" s="8">
        <f t="shared" si="186"/>
        <v>1970.89</v>
      </c>
      <c r="AE1361" s="51">
        <f t="shared" si="184"/>
        <v>0</v>
      </c>
    </row>
    <row r="1362" spans="6:31" ht="24" customHeight="1">
      <c r="K1362" s="5" t="s">
        <v>1615</v>
      </c>
      <c r="N1362" s="3"/>
      <c r="O1362" t="s">
        <v>1228</v>
      </c>
      <c r="P1362" t="s">
        <v>669</v>
      </c>
      <c r="Q1362" s="4"/>
      <c r="R1362">
        <v>11.5</v>
      </c>
      <c r="S1362" s="12">
        <v>4</v>
      </c>
      <c r="T1362" s="7" t="s">
        <v>785</v>
      </c>
      <c r="U1362" s="1" t="s">
        <v>1895</v>
      </c>
      <c r="V1362" s="8">
        <f t="shared" si="187"/>
        <v>15</v>
      </c>
      <c r="W1362" s="2" t="s">
        <v>785</v>
      </c>
      <c r="X1362" s="8">
        <f t="shared" si="188"/>
        <v>60</v>
      </c>
      <c r="Z1362" s="3"/>
      <c r="AA1362" s="1" t="s">
        <v>1897</v>
      </c>
      <c r="AC1362" s="4"/>
      <c r="AD1362" s="8">
        <v>0.81</v>
      </c>
      <c r="AE1362" s="51">
        <f t="shared" si="184"/>
        <v>0</v>
      </c>
    </row>
    <row r="1363" spans="6:31" ht="24" customHeight="1">
      <c r="H1363" s="1" t="s">
        <v>447</v>
      </c>
      <c r="K1363" s="8">
        <f>SUM(K1353:K1361)</f>
        <v>12256.11</v>
      </c>
      <c r="N1363" s="3"/>
      <c r="O1363" s="91" t="s">
        <v>1229</v>
      </c>
      <c r="Q1363" s="4"/>
      <c r="R1363">
        <f>SUM(R1358:R1362)</f>
        <v>2130.1</v>
      </c>
      <c r="S1363" s="12">
        <v>1.4179999999999999</v>
      </c>
      <c r="T1363" s="7" t="s">
        <v>2322</v>
      </c>
      <c r="U1363" s="1" t="s">
        <v>1896</v>
      </c>
      <c r="V1363" s="8">
        <f t="shared" si="187"/>
        <v>2085.6</v>
      </c>
      <c r="W1363" s="2" t="s">
        <v>2322</v>
      </c>
      <c r="X1363" s="8">
        <f t="shared" si="188"/>
        <v>2957.38</v>
      </c>
      <c r="AA1363" s="41" t="s">
        <v>3615</v>
      </c>
      <c r="AD1363" s="38">
        <f>SUM(AD1350:AD1362)</f>
        <v>7043.28</v>
      </c>
      <c r="AE1363" s="51">
        <f t="shared" si="184"/>
        <v>0</v>
      </c>
    </row>
    <row r="1364" spans="6:31" ht="24" customHeight="1">
      <c r="K1364" s="5" t="s">
        <v>1615</v>
      </c>
      <c r="N1364" s="3"/>
      <c r="Q1364" s="4"/>
      <c r="T1364" s="3"/>
      <c r="U1364" s="1" t="s">
        <v>1897</v>
      </c>
      <c r="W1364" s="4"/>
      <c r="X1364" s="8"/>
      <c r="AE1364" s="51">
        <f t="shared" si="184"/>
        <v>0</v>
      </c>
    </row>
    <row r="1365" spans="6:31" ht="24" customHeight="1">
      <c r="H1365" s="58" t="s">
        <v>562</v>
      </c>
      <c r="K1365" s="38">
        <f>(K1363/10)</f>
        <v>1225.6099999999999</v>
      </c>
      <c r="N1365" s="3"/>
      <c r="O1365" s="91" t="s">
        <v>1230</v>
      </c>
      <c r="Q1365" s="4"/>
      <c r="R1365" s="36">
        <f>R1363/6</f>
        <v>355.02</v>
      </c>
      <c r="U1365" s="41" t="s">
        <v>3615</v>
      </c>
      <c r="W1365" s="4"/>
      <c r="X1365" s="38">
        <f>SUM(X1352:X1364)</f>
        <v>10473.56</v>
      </c>
      <c r="AE1365" s="51">
        <f t="shared" si="184"/>
        <v>0</v>
      </c>
    </row>
    <row r="1366" spans="6:31" ht="24" customHeight="1">
      <c r="K1366" s="5" t="s">
        <v>2091</v>
      </c>
      <c r="N1366" s="3"/>
      <c r="Q1366" s="4"/>
      <c r="W1366" s="4"/>
      <c r="Z1366" s="3"/>
      <c r="AA1366" s="216" t="s">
        <v>3552</v>
      </c>
      <c r="AC1366" s="10"/>
      <c r="AE1366" s="51">
        <f t="shared" si="184"/>
        <v>0</v>
      </c>
    </row>
    <row r="1367" spans="6:31" ht="24" customHeight="1">
      <c r="K1367" s="5"/>
      <c r="N1367" s="3"/>
      <c r="Q1367" s="10"/>
      <c r="W1367" s="4"/>
      <c r="Y1367" s="15">
        <v>3.72</v>
      </c>
      <c r="Z1367" s="7" t="s">
        <v>929</v>
      </c>
      <c r="AA1367" s="1" t="s">
        <v>1888</v>
      </c>
      <c r="AB1367" s="8">
        <f>AB1350</f>
        <v>325</v>
      </c>
      <c r="AC1367" s="7" t="s">
        <v>929</v>
      </c>
      <c r="AD1367" s="8">
        <f t="shared" ref="AD1367:AD1378" si="190">AB1367*Y1367</f>
        <v>1209</v>
      </c>
      <c r="AE1367" s="51">
        <f t="shared" si="184"/>
        <v>0</v>
      </c>
    </row>
    <row r="1368" spans="6:31" ht="24" customHeight="1">
      <c r="K1368" s="5"/>
      <c r="M1368" s="24">
        <v>29.5</v>
      </c>
      <c r="N1368" s="7" t="s">
        <v>2290</v>
      </c>
      <c r="O1368" s="1" t="s">
        <v>1231</v>
      </c>
      <c r="Q1368" s="4"/>
      <c r="T1368" s="3"/>
      <c r="U1368" s="216" t="s">
        <v>3551</v>
      </c>
      <c r="W1368" s="4"/>
      <c r="Y1368" s="15">
        <v>2.69</v>
      </c>
      <c r="Z1368" s="7" t="s">
        <v>929</v>
      </c>
      <c r="AA1368" s="1" t="s">
        <v>1888</v>
      </c>
      <c r="AB1368" s="8">
        <f t="shared" ref="AB1368:AB1378" si="191">AB1351</f>
        <v>325</v>
      </c>
      <c r="AC1368" s="7" t="s">
        <v>929</v>
      </c>
      <c r="AD1368" s="8">
        <f t="shared" si="190"/>
        <v>874.25</v>
      </c>
      <c r="AE1368" s="51">
        <f t="shared" si="184"/>
        <v>0</v>
      </c>
    </row>
    <row r="1369" spans="6:31" ht="24" customHeight="1">
      <c r="F1369" s="24">
        <v>32.200000000000003</v>
      </c>
      <c r="G1369" s="7" t="s">
        <v>2290</v>
      </c>
      <c r="H1369" s="1" t="s">
        <v>770</v>
      </c>
      <c r="K1369" s="5"/>
      <c r="N1369" s="3"/>
      <c r="O1369" s="1" t="s">
        <v>874</v>
      </c>
      <c r="Q1369" s="4"/>
      <c r="S1369" s="12">
        <v>3.49</v>
      </c>
      <c r="T1369" s="7" t="s">
        <v>929</v>
      </c>
      <c r="U1369" s="1" t="s">
        <v>1888</v>
      </c>
      <c r="V1369" s="8">
        <f>P1408</f>
        <v>325</v>
      </c>
      <c r="W1369" s="2" t="s">
        <v>929</v>
      </c>
      <c r="X1369" s="8">
        <f>V1369*S1369</f>
        <v>1134.25</v>
      </c>
      <c r="Y1369" s="15">
        <v>6.15</v>
      </c>
      <c r="Z1369" s="7" t="s">
        <v>929</v>
      </c>
      <c r="AA1369" s="1" t="s">
        <v>1888</v>
      </c>
      <c r="AB1369" s="8">
        <f t="shared" si="191"/>
        <v>325</v>
      </c>
      <c r="AC1369" s="7" t="s">
        <v>929</v>
      </c>
      <c r="AD1369" s="8">
        <f t="shared" si="190"/>
        <v>1998.75</v>
      </c>
      <c r="AE1369" s="51">
        <f t="shared" si="184"/>
        <v>0</v>
      </c>
    </row>
    <row r="1370" spans="6:31" ht="24" customHeight="1">
      <c r="H1370" s="1" t="s">
        <v>1509</v>
      </c>
      <c r="K1370" s="5"/>
      <c r="N1370" s="3"/>
      <c r="O1370" s="1" t="s">
        <v>1972</v>
      </c>
      <c r="Q1370" s="4"/>
      <c r="S1370" s="12">
        <v>2.5299999999999998</v>
      </c>
      <c r="T1370" s="7" t="s">
        <v>929</v>
      </c>
      <c r="U1370" s="1" t="s">
        <v>1888</v>
      </c>
      <c r="V1370" s="8">
        <f t="shared" ref="V1370:V1380" si="192">P1409</f>
        <v>325</v>
      </c>
      <c r="W1370" s="2" t="s">
        <v>929</v>
      </c>
      <c r="X1370" s="8">
        <f t="shared" ref="X1370:X1380" si="193">V1370*S1370</f>
        <v>822.25</v>
      </c>
      <c r="Y1370" s="15">
        <v>1.07</v>
      </c>
      <c r="Z1370" s="7" t="s">
        <v>929</v>
      </c>
      <c r="AA1370" s="1" t="s">
        <v>1888</v>
      </c>
      <c r="AB1370" s="8">
        <f t="shared" si="191"/>
        <v>325</v>
      </c>
      <c r="AC1370" s="7" t="s">
        <v>929</v>
      </c>
      <c r="AD1370" s="8">
        <f t="shared" si="190"/>
        <v>347.75</v>
      </c>
      <c r="AE1370" s="51">
        <f t="shared" si="184"/>
        <v>0</v>
      </c>
    </row>
    <row r="1371" spans="6:31" ht="24" customHeight="1">
      <c r="H1371" s="1" t="s">
        <v>696</v>
      </c>
      <c r="K1371" s="5"/>
      <c r="N1371" s="3"/>
      <c r="O1371" s="5" t="s">
        <v>1615</v>
      </c>
      <c r="P1371" s="5" t="s">
        <v>1615</v>
      </c>
      <c r="Q1371" s="4"/>
      <c r="R1371" s="8"/>
      <c r="S1371" s="12">
        <v>5.75</v>
      </c>
      <c r="T1371" s="7" t="s">
        <v>929</v>
      </c>
      <c r="U1371" s="1" t="s">
        <v>1888</v>
      </c>
      <c r="V1371" s="8">
        <f t="shared" si="192"/>
        <v>325</v>
      </c>
      <c r="W1371" s="2" t="s">
        <v>929</v>
      </c>
      <c r="X1371" s="8">
        <f t="shared" si="193"/>
        <v>1868.75</v>
      </c>
      <c r="Y1371" s="15">
        <v>1.153</v>
      </c>
      <c r="Z1371" s="7" t="s">
        <v>236</v>
      </c>
      <c r="AA1371" s="1" t="s">
        <v>1889</v>
      </c>
      <c r="AB1371" s="8">
        <f t="shared" si="191"/>
        <v>306.89999999999998</v>
      </c>
      <c r="AC1371" s="7" t="s">
        <v>236</v>
      </c>
      <c r="AD1371" s="8">
        <f t="shared" si="190"/>
        <v>353.86</v>
      </c>
      <c r="AE1371" s="51">
        <f t="shared" si="184"/>
        <v>0</v>
      </c>
    </row>
    <row r="1372" spans="6:31" ht="24" customHeight="1">
      <c r="H1372" s="1" t="s">
        <v>2003</v>
      </c>
      <c r="K1372" s="5"/>
      <c r="M1372" s="8">
        <v>10</v>
      </c>
      <c r="N1372" s="7" t="s">
        <v>621</v>
      </c>
      <c r="O1372" s="1" t="s">
        <v>1232</v>
      </c>
      <c r="P1372" s="6">
        <v>793</v>
      </c>
      <c r="Q1372" s="2" t="s">
        <v>621</v>
      </c>
      <c r="R1372" s="8">
        <f>M1372*P1372</f>
        <v>7930</v>
      </c>
      <c r="S1372" s="12">
        <v>1</v>
      </c>
      <c r="T1372" s="7" t="s">
        <v>929</v>
      </c>
      <c r="U1372" s="1" t="s">
        <v>1888</v>
      </c>
      <c r="V1372" s="8">
        <f t="shared" si="192"/>
        <v>325</v>
      </c>
      <c r="W1372" s="2" t="s">
        <v>929</v>
      </c>
      <c r="X1372" s="8">
        <f t="shared" si="193"/>
        <v>325</v>
      </c>
      <c r="Y1372" s="15">
        <v>8.6720000000000006</v>
      </c>
      <c r="Z1372" s="7" t="s">
        <v>842</v>
      </c>
      <c r="AA1372" s="1" t="s">
        <v>1890</v>
      </c>
      <c r="AB1372" s="8">
        <f t="shared" si="191"/>
        <v>29.05</v>
      </c>
      <c r="AC1372" s="7" t="s">
        <v>842</v>
      </c>
      <c r="AD1372" s="8">
        <f t="shared" si="190"/>
        <v>251.92</v>
      </c>
      <c r="AE1372" s="51">
        <f t="shared" si="184"/>
        <v>0</v>
      </c>
    </row>
    <row r="1373" spans="6:31" ht="24" customHeight="1">
      <c r="H1373" s="1" t="s">
        <v>1317</v>
      </c>
      <c r="K1373" s="5"/>
      <c r="M1373" s="8">
        <v>0.21</v>
      </c>
      <c r="N1373" s="7" t="s">
        <v>885</v>
      </c>
      <c r="O1373" s="1" t="s">
        <v>1910</v>
      </c>
      <c r="P1373" s="8">
        <f>P1333</f>
        <v>4628.8999999999996</v>
      </c>
      <c r="Q1373" s="2" t="s">
        <v>885</v>
      </c>
      <c r="R1373" s="8">
        <f>(M1373*P1373)</f>
        <v>972.07</v>
      </c>
      <c r="S1373" s="12">
        <v>0.96699999999999997</v>
      </c>
      <c r="T1373" s="7" t="s">
        <v>236</v>
      </c>
      <c r="U1373" s="1" t="s">
        <v>1889</v>
      </c>
      <c r="V1373" s="8">
        <f t="shared" si="192"/>
        <v>306.89999999999998</v>
      </c>
      <c r="W1373" s="2" t="s">
        <v>236</v>
      </c>
      <c r="X1373" s="8">
        <f t="shared" si="193"/>
        <v>296.77</v>
      </c>
      <c r="Y1373" s="15">
        <v>8</v>
      </c>
      <c r="Z1373" s="7" t="s">
        <v>785</v>
      </c>
      <c r="AA1373" s="1" t="s">
        <v>1891</v>
      </c>
      <c r="AB1373" s="8">
        <f t="shared" si="191"/>
        <v>71.900000000000006</v>
      </c>
      <c r="AC1373" s="7" t="s">
        <v>785</v>
      </c>
      <c r="AD1373" s="8">
        <f t="shared" si="190"/>
        <v>575.20000000000005</v>
      </c>
      <c r="AE1373" s="51">
        <f t="shared" si="184"/>
        <v>0</v>
      </c>
    </row>
    <row r="1374" spans="6:31" ht="24" customHeight="1">
      <c r="H1374" s="5" t="s">
        <v>1615</v>
      </c>
      <c r="K1374" s="5"/>
      <c r="N1374" s="3"/>
      <c r="O1374" s="1" t="s">
        <v>1911</v>
      </c>
      <c r="P1374" s="1" t="s">
        <v>992</v>
      </c>
      <c r="Q1374" s="4"/>
      <c r="R1374" s="1" t="s">
        <v>992</v>
      </c>
      <c r="S1374" s="12">
        <v>8.0719999999999992</v>
      </c>
      <c r="T1374" s="7" t="s">
        <v>842</v>
      </c>
      <c r="U1374" s="1" t="s">
        <v>1890</v>
      </c>
      <c r="V1374" s="8">
        <f t="shared" si="192"/>
        <v>29.05</v>
      </c>
      <c r="W1374" s="2" t="s">
        <v>842</v>
      </c>
      <c r="X1374" s="8">
        <f t="shared" si="193"/>
        <v>234.49</v>
      </c>
      <c r="Y1374" s="15">
        <v>4</v>
      </c>
      <c r="Z1374" s="7" t="s">
        <v>785</v>
      </c>
      <c r="AA1374" s="1" t="s">
        <v>1892</v>
      </c>
      <c r="AB1374" s="8">
        <f t="shared" si="191"/>
        <v>57.65</v>
      </c>
      <c r="AC1374" s="7" t="s">
        <v>785</v>
      </c>
      <c r="AD1374" s="8">
        <f t="shared" si="190"/>
        <v>230.6</v>
      </c>
      <c r="AE1374" s="51">
        <f t="shared" si="184"/>
        <v>0</v>
      </c>
    </row>
    <row r="1375" spans="6:31" ht="24" customHeight="1">
      <c r="F1375" s="8">
        <v>190</v>
      </c>
      <c r="G1375" s="7" t="s">
        <v>1907</v>
      </c>
      <c r="H1375" s="1" t="s">
        <v>1596</v>
      </c>
      <c r="I1375" s="438">
        <f>C83</f>
        <v>16106</v>
      </c>
      <c r="J1375" s="1" t="s">
        <v>1507</v>
      </c>
      <c r="K1375" s="8">
        <f>(F1375*I1375)/1000</f>
        <v>3060.14</v>
      </c>
      <c r="M1375" s="8">
        <v>1.1000000000000001</v>
      </c>
      <c r="N1375" s="7" t="s">
        <v>785</v>
      </c>
      <c r="O1375" s="1" t="s">
        <v>2045</v>
      </c>
      <c r="P1375" s="8">
        <f>AE9</f>
        <v>1041.7</v>
      </c>
      <c r="Q1375" s="2" t="s">
        <v>785</v>
      </c>
      <c r="R1375" s="8">
        <f>(M1375*P1375)</f>
        <v>1145.8699999999999</v>
      </c>
      <c r="S1375" s="12">
        <v>8</v>
      </c>
      <c r="T1375" s="7" t="s">
        <v>785</v>
      </c>
      <c r="U1375" s="1" t="s">
        <v>1891</v>
      </c>
      <c r="V1375" s="8">
        <f t="shared" si="192"/>
        <v>71.900000000000006</v>
      </c>
      <c r="W1375" s="2" t="s">
        <v>785</v>
      </c>
      <c r="X1375" s="8">
        <f t="shared" si="193"/>
        <v>575.20000000000005</v>
      </c>
      <c r="Y1375" s="15">
        <v>4</v>
      </c>
      <c r="Z1375" s="7" t="s">
        <v>785</v>
      </c>
      <c r="AA1375" s="1" t="s">
        <v>1893</v>
      </c>
      <c r="AB1375" s="8">
        <f t="shared" si="191"/>
        <v>30</v>
      </c>
      <c r="AC1375" s="7" t="s">
        <v>785</v>
      </c>
      <c r="AD1375" s="8">
        <f t="shared" si="190"/>
        <v>120</v>
      </c>
      <c r="AE1375" s="51">
        <f t="shared" si="184"/>
        <v>0</v>
      </c>
    </row>
    <row r="1376" spans="6:31" ht="24" customHeight="1">
      <c r="F1376" s="8">
        <v>0.12</v>
      </c>
      <c r="G1376" s="7" t="s">
        <v>885</v>
      </c>
      <c r="H1376" s="1" t="s">
        <v>1910</v>
      </c>
      <c r="I1376">
        <f>K32</f>
        <v>4628.8999999999996</v>
      </c>
      <c r="J1376" s="1" t="s">
        <v>885</v>
      </c>
      <c r="K1376" s="8">
        <f t="shared" ref="K1376:K1382" si="194">(F1376*I1376)</f>
        <v>555.47</v>
      </c>
      <c r="M1376" s="8">
        <v>1.1000000000000001</v>
      </c>
      <c r="N1376" s="7" t="s">
        <v>785</v>
      </c>
      <c r="O1376" s="1" t="s">
        <v>1744</v>
      </c>
      <c r="P1376" s="8">
        <f>AE10</f>
        <v>972.4</v>
      </c>
      <c r="Q1376" s="2" t="s">
        <v>785</v>
      </c>
      <c r="R1376" s="8">
        <f>(M1376*P1376)</f>
        <v>1069.6400000000001</v>
      </c>
      <c r="S1376" s="12">
        <v>4</v>
      </c>
      <c r="T1376" s="7" t="s">
        <v>785</v>
      </c>
      <c r="U1376" s="1" t="s">
        <v>1892</v>
      </c>
      <c r="V1376" s="8">
        <f t="shared" si="192"/>
        <v>57.65</v>
      </c>
      <c r="W1376" s="2" t="s">
        <v>785</v>
      </c>
      <c r="X1376" s="8">
        <f t="shared" si="193"/>
        <v>230.6</v>
      </c>
      <c r="Y1376" s="15">
        <v>4</v>
      </c>
      <c r="Z1376" s="7" t="s">
        <v>785</v>
      </c>
      <c r="AA1376" s="1" t="s">
        <v>1894</v>
      </c>
      <c r="AB1376" s="8">
        <f t="shared" si="191"/>
        <v>20</v>
      </c>
      <c r="AC1376" s="7" t="s">
        <v>785</v>
      </c>
      <c r="AD1376" s="8">
        <f t="shared" si="190"/>
        <v>80</v>
      </c>
      <c r="AE1376" s="51">
        <f t="shared" si="184"/>
        <v>0</v>
      </c>
    </row>
    <row r="1377" spans="6:31" ht="24" customHeight="1">
      <c r="F1377" s="8">
        <v>10</v>
      </c>
      <c r="G1377" s="7" t="s">
        <v>621</v>
      </c>
      <c r="H1377" s="1" t="s">
        <v>1319</v>
      </c>
      <c r="I1377">
        <f>K1344</f>
        <v>327.78</v>
      </c>
      <c r="J1377" s="1" t="s">
        <v>621</v>
      </c>
      <c r="K1377" s="8">
        <f t="shared" si="194"/>
        <v>3277.8</v>
      </c>
      <c r="M1377" s="8">
        <v>2.2000000000000002</v>
      </c>
      <c r="N1377" s="7" t="s">
        <v>785</v>
      </c>
      <c r="O1377" s="1" t="s">
        <v>1937</v>
      </c>
      <c r="P1377" s="8">
        <f>AE11</f>
        <v>679.8</v>
      </c>
      <c r="Q1377" s="2" t="s">
        <v>785</v>
      </c>
      <c r="R1377" s="8">
        <f>(M1377*P1377)</f>
        <v>1495.56</v>
      </c>
      <c r="S1377" s="12">
        <v>4</v>
      </c>
      <c r="T1377" s="7" t="s">
        <v>785</v>
      </c>
      <c r="U1377" s="1" t="s">
        <v>1893</v>
      </c>
      <c r="V1377" s="8">
        <f t="shared" si="192"/>
        <v>30</v>
      </c>
      <c r="W1377" s="2" t="s">
        <v>785</v>
      </c>
      <c r="X1377" s="8">
        <f t="shared" si="193"/>
        <v>120</v>
      </c>
      <c r="Y1377" s="15">
        <v>4</v>
      </c>
      <c r="Z1377" s="7" t="s">
        <v>785</v>
      </c>
      <c r="AA1377" s="1" t="s">
        <v>1895</v>
      </c>
      <c r="AB1377" s="8">
        <f t="shared" si="191"/>
        <v>15</v>
      </c>
      <c r="AC1377" s="7" t="s">
        <v>785</v>
      </c>
      <c r="AD1377" s="8">
        <f t="shared" si="190"/>
        <v>60</v>
      </c>
      <c r="AE1377" s="51">
        <f t="shared" si="184"/>
        <v>0</v>
      </c>
    </row>
    <row r="1378" spans="6:31" ht="24" customHeight="1">
      <c r="F1378" s="8">
        <v>5.8</v>
      </c>
      <c r="G1378" s="7" t="s">
        <v>1676</v>
      </c>
      <c r="H1378" s="1" t="s">
        <v>981</v>
      </c>
      <c r="I1378">
        <f>C653</f>
        <v>42.7</v>
      </c>
      <c r="J1378" s="1" t="s">
        <v>1676</v>
      </c>
      <c r="K1378" s="8">
        <f t="shared" si="194"/>
        <v>247.66</v>
      </c>
      <c r="M1378" s="8">
        <v>2.2000000000000002</v>
      </c>
      <c r="N1378" s="7" t="s">
        <v>785</v>
      </c>
      <c r="O1378" s="1" t="s">
        <v>325</v>
      </c>
      <c r="P1378" s="8">
        <f>AE12</f>
        <v>557.70000000000005</v>
      </c>
      <c r="Q1378" s="2" t="s">
        <v>785</v>
      </c>
      <c r="R1378" s="8">
        <f>(M1378*P1378)</f>
        <v>1226.94</v>
      </c>
      <c r="S1378" s="12">
        <v>4</v>
      </c>
      <c r="T1378" s="7" t="s">
        <v>785</v>
      </c>
      <c r="U1378" s="1" t="s">
        <v>1894</v>
      </c>
      <c r="V1378" s="8">
        <f t="shared" si="192"/>
        <v>20</v>
      </c>
      <c r="W1378" s="2" t="s">
        <v>785</v>
      </c>
      <c r="X1378" s="8">
        <f t="shared" si="193"/>
        <v>80</v>
      </c>
      <c r="Y1378" s="15">
        <v>1.42</v>
      </c>
      <c r="Z1378" s="7" t="s">
        <v>2322</v>
      </c>
      <c r="AA1378" s="1" t="s">
        <v>1896</v>
      </c>
      <c r="AB1378" s="8">
        <f t="shared" si="191"/>
        <v>2085.6</v>
      </c>
      <c r="AC1378" s="7" t="s">
        <v>2322</v>
      </c>
      <c r="AD1378" s="8">
        <f t="shared" si="190"/>
        <v>2961.55</v>
      </c>
      <c r="AE1378" s="51">
        <f t="shared" si="184"/>
        <v>0</v>
      </c>
    </row>
    <row r="1379" spans="6:31" ht="24" customHeight="1">
      <c r="F1379" s="8">
        <v>1.1000000000000001</v>
      </c>
      <c r="G1379" s="7" t="s">
        <v>785</v>
      </c>
      <c r="H1379" s="1" t="s">
        <v>2045</v>
      </c>
      <c r="I1379">
        <f>C10</f>
        <v>1041.7</v>
      </c>
      <c r="J1379" s="1" t="s">
        <v>785</v>
      </c>
      <c r="K1379" s="8">
        <f t="shared" si="194"/>
        <v>1145.8699999999999</v>
      </c>
      <c r="M1379" s="12">
        <v>20</v>
      </c>
      <c r="N1379" s="7" t="s">
        <v>1676</v>
      </c>
      <c r="O1379" s="1" t="s">
        <v>878</v>
      </c>
      <c r="P1379" s="8">
        <f>AC31</f>
        <v>6040</v>
      </c>
      <c r="Q1379" s="2" t="s">
        <v>877</v>
      </c>
      <c r="R1379" s="8">
        <f>(M1379*P1379)/1000</f>
        <v>120.8</v>
      </c>
      <c r="S1379" s="12">
        <v>4</v>
      </c>
      <c r="T1379" s="7" t="s">
        <v>785</v>
      </c>
      <c r="U1379" s="1" t="s">
        <v>1895</v>
      </c>
      <c r="V1379" s="8">
        <f t="shared" si="192"/>
        <v>15</v>
      </c>
      <c r="W1379" s="2" t="s">
        <v>785</v>
      </c>
      <c r="X1379" s="8">
        <f t="shared" si="193"/>
        <v>60</v>
      </c>
      <c r="Z1379" s="3"/>
      <c r="AA1379" s="1" t="s">
        <v>1897</v>
      </c>
      <c r="AC1379" s="4"/>
      <c r="AD1379" s="8">
        <v>0.85</v>
      </c>
      <c r="AE1379" s="51">
        <f t="shared" si="184"/>
        <v>0</v>
      </c>
    </row>
    <row r="1380" spans="6:31" ht="24" customHeight="1">
      <c r="F1380" s="8">
        <v>2.1</v>
      </c>
      <c r="G1380" s="7" t="s">
        <v>785</v>
      </c>
      <c r="H1380" s="1" t="s">
        <v>1744</v>
      </c>
      <c r="I1380">
        <f>C11</f>
        <v>972.4</v>
      </c>
      <c r="J1380" s="1" t="s">
        <v>785</v>
      </c>
      <c r="K1380" s="8">
        <f t="shared" si="194"/>
        <v>2042.04</v>
      </c>
      <c r="M1380" s="12">
        <v>2</v>
      </c>
      <c r="N1380" s="7" t="s">
        <v>1676</v>
      </c>
      <c r="O1380" s="1" t="s">
        <v>2118</v>
      </c>
      <c r="P1380" s="707">
        <f>P1264</f>
        <v>36.1</v>
      </c>
      <c r="Q1380" s="2" t="s">
        <v>1676</v>
      </c>
      <c r="R1380" s="8">
        <f>(M1380*P1380)</f>
        <v>72.2</v>
      </c>
      <c r="S1380" s="12">
        <v>1.2150000000000001</v>
      </c>
      <c r="T1380" s="7" t="s">
        <v>2322</v>
      </c>
      <c r="U1380" s="1" t="s">
        <v>1896</v>
      </c>
      <c r="V1380" s="8">
        <f t="shared" si="192"/>
        <v>2085.6</v>
      </c>
      <c r="W1380" s="2" t="s">
        <v>2322</v>
      </c>
      <c r="X1380" s="8">
        <f t="shared" si="193"/>
        <v>2534</v>
      </c>
      <c r="AA1380" s="41" t="s">
        <v>3615</v>
      </c>
      <c r="AD1380" s="38">
        <f>SUM(AD1367:AD1379)</f>
        <v>9063.73</v>
      </c>
      <c r="AE1380" s="51">
        <f t="shared" si="184"/>
        <v>0</v>
      </c>
    </row>
    <row r="1381" spans="6:31" ht="24" customHeight="1">
      <c r="F1381" s="8">
        <v>2.2000000000000002</v>
      </c>
      <c r="G1381" s="7" t="s">
        <v>785</v>
      </c>
      <c r="H1381" s="1" t="s">
        <v>1937</v>
      </c>
      <c r="I1381">
        <f>C12</f>
        <v>679.8</v>
      </c>
      <c r="J1381" s="1" t="s">
        <v>785</v>
      </c>
      <c r="K1381" s="8">
        <f t="shared" si="194"/>
        <v>1495.56</v>
      </c>
      <c r="M1381" s="8">
        <v>1.6</v>
      </c>
      <c r="N1381" s="7" t="s">
        <v>785</v>
      </c>
      <c r="O1381" s="1" t="s">
        <v>1744</v>
      </c>
      <c r="P1381" s="8">
        <f>P1265</f>
        <v>972.4</v>
      </c>
      <c r="Q1381" s="2" t="s">
        <v>785</v>
      </c>
      <c r="R1381" s="8">
        <f>(M1381*P1381)</f>
        <v>1555.84</v>
      </c>
      <c r="T1381" s="3"/>
      <c r="U1381" s="1" t="s">
        <v>1897</v>
      </c>
      <c r="W1381" s="4"/>
      <c r="X1381" s="8">
        <v>0.23</v>
      </c>
      <c r="AE1381" s="51">
        <f t="shared" si="184"/>
        <v>0</v>
      </c>
    </row>
    <row r="1382" spans="6:31" ht="24" customHeight="1">
      <c r="F1382" s="8">
        <v>1.1000000000000001</v>
      </c>
      <c r="G1382" s="7" t="s">
        <v>785</v>
      </c>
      <c r="H1382" s="1" t="s">
        <v>325</v>
      </c>
      <c r="I1382">
        <f>C13</f>
        <v>557.70000000000005</v>
      </c>
      <c r="J1382" s="1" t="s">
        <v>785</v>
      </c>
      <c r="K1382" s="8">
        <f t="shared" si="194"/>
        <v>613.47</v>
      </c>
      <c r="M1382" s="8">
        <v>0.5</v>
      </c>
      <c r="N1382" s="7" t="s">
        <v>785</v>
      </c>
      <c r="O1382" s="1" t="s">
        <v>1937</v>
      </c>
      <c r="P1382" s="8">
        <f>P1266</f>
        <v>679.8</v>
      </c>
      <c r="Q1382" s="2" t="s">
        <v>785</v>
      </c>
      <c r="R1382" s="8">
        <f>(M1382*P1382)</f>
        <v>339.9</v>
      </c>
      <c r="U1382" s="41" t="s">
        <v>3615</v>
      </c>
      <c r="W1382" s="4"/>
      <c r="X1382" s="38">
        <f>SUM(X1369:X1381)</f>
        <v>8281.5400000000009</v>
      </c>
      <c r="AE1382" s="51">
        <f t="shared" si="184"/>
        <v>0</v>
      </c>
    </row>
    <row r="1383" spans="6:31" ht="24" customHeight="1">
      <c r="G1383" s="7" t="s">
        <v>455</v>
      </c>
      <c r="H1383" s="1" t="s">
        <v>456</v>
      </c>
      <c r="J1383" s="1" t="s">
        <v>455</v>
      </c>
      <c r="K1383" s="8">
        <v>0</v>
      </c>
      <c r="M1383" s="8">
        <v>1.1000000000000001</v>
      </c>
      <c r="N1383" s="7" t="s">
        <v>785</v>
      </c>
      <c r="O1383" s="1" t="s">
        <v>325</v>
      </c>
      <c r="P1383" s="8">
        <f>P1267</f>
        <v>557.70000000000005</v>
      </c>
      <c r="Q1383" s="2" t="s">
        <v>785</v>
      </c>
      <c r="R1383" s="8">
        <f>(M1383*P1383)</f>
        <v>613.47</v>
      </c>
      <c r="W1383" s="4"/>
      <c r="Z1383" s="3"/>
      <c r="AA1383" s="216" t="s">
        <v>3553</v>
      </c>
      <c r="AC1383" s="10"/>
      <c r="AE1383" s="51">
        <f t="shared" si="184"/>
        <v>0</v>
      </c>
    </row>
    <row r="1384" spans="6:31" ht="24" customHeight="1">
      <c r="K1384" s="5" t="s">
        <v>1615</v>
      </c>
      <c r="N1384" s="7" t="s">
        <v>455</v>
      </c>
      <c r="O1384" s="1" t="s">
        <v>456</v>
      </c>
      <c r="P1384" s="8"/>
      <c r="Q1384" s="2" t="s">
        <v>455</v>
      </c>
      <c r="R1384" s="8">
        <v>0.28000000000000003</v>
      </c>
      <c r="W1384" s="4"/>
      <c r="Y1384" s="15">
        <v>2.87</v>
      </c>
      <c r="Z1384" s="7" t="s">
        <v>929</v>
      </c>
      <c r="AA1384" s="1" t="s">
        <v>1888</v>
      </c>
      <c r="AB1384" s="8">
        <f>AB1367</f>
        <v>325</v>
      </c>
      <c r="AC1384" s="7" t="s">
        <v>929</v>
      </c>
      <c r="AD1384" s="8">
        <f t="shared" ref="AD1384:AD1395" si="195">AB1384*Y1384</f>
        <v>932.75</v>
      </c>
      <c r="AE1384" s="51">
        <f t="shared" si="184"/>
        <v>0</v>
      </c>
    </row>
    <row r="1385" spans="6:31" ht="24" customHeight="1">
      <c r="H1385" s="1" t="s">
        <v>447</v>
      </c>
      <c r="K1385" s="8">
        <f>SUM(K1375:K1383)</f>
        <v>12438.01</v>
      </c>
      <c r="N1385" s="3"/>
      <c r="Q1385" s="4"/>
      <c r="R1385" s="5" t="s">
        <v>1615</v>
      </c>
      <c r="T1385" s="3"/>
      <c r="U1385" s="216" t="s">
        <v>3560</v>
      </c>
      <c r="W1385" s="4"/>
      <c r="Y1385" s="15">
        <v>0.56000000000000005</v>
      </c>
      <c r="Z1385" s="7" t="s">
        <v>929</v>
      </c>
      <c r="AA1385" s="1" t="s">
        <v>1888</v>
      </c>
      <c r="AB1385" s="8">
        <f t="shared" ref="AB1385:AB1395" si="196">AB1368</f>
        <v>325</v>
      </c>
      <c r="AC1385" s="7" t="s">
        <v>929</v>
      </c>
      <c r="AD1385" s="8">
        <f t="shared" si="195"/>
        <v>182</v>
      </c>
      <c r="AE1385" s="51">
        <f t="shared" si="184"/>
        <v>0</v>
      </c>
    </row>
    <row r="1386" spans="6:31" ht="24" customHeight="1">
      <c r="K1386" s="5" t="s">
        <v>1615</v>
      </c>
      <c r="N1386" s="3"/>
      <c r="O1386" s="1" t="s">
        <v>447</v>
      </c>
      <c r="Q1386" s="4"/>
      <c r="R1386" s="8">
        <f>SUM(R1372:R1384)</f>
        <v>16542.57</v>
      </c>
      <c r="S1386" s="12">
        <v>4.88</v>
      </c>
      <c r="T1386" s="7" t="s">
        <v>929</v>
      </c>
      <c r="U1386" s="1" t="s">
        <v>1888</v>
      </c>
      <c r="V1386" s="8">
        <f>V1369</f>
        <v>325</v>
      </c>
      <c r="W1386" s="2" t="s">
        <v>929</v>
      </c>
      <c r="X1386" s="8">
        <f>V1386*S1386</f>
        <v>1586</v>
      </c>
      <c r="Y1386" s="15">
        <v>2.98</v>
      </c>
      <c r="Z1386" s="7" t="s">
        <v>929</v>
      </c>
      <c r="AA1386" s="1" t="s">
        <v>1888</v>
      </c>
      <c r="AB1386" s="8">
        <f t="shared" si="196"/>
        <v>325</v>
      </c>
      <c r="AC1386" s="7" t="s">
        <v>929</v>
      </c>
      <c r="AD1386" s="8">
        <f t="shared" si="195"/>
        <v>968.5</v>
      </c>
      <c r="AE1386" s="51">
        <f t="shared" si="184"/>
        <v>0</v>
      </c>
    </row>
    <row r="1387" spans="6:31" ht="24" customHeight="1">
      <c r="H1387" s="58" t="s">
        <v>562</v>
      </c>
      <c r="K1387" s="38">
        <f>(K1385/10)</f>
        <v>1243.8</v>
      </c>
      <c r="N1387" s="3"/>
      <c r="Q1387" s="4"/>
      <c r="R1387" s="5" t="s">
        <v>1615</v>
      </c>
      <c r="S1387" s="12">
        <v>6.57</v>
      </c>
      <c r="T1387" s="7" t="s">
        <v>929</v>
      </c>
      <c r="U1387" s="1" t="s">
        <v>1888</v>
      </c>
      <c r="V1387" s="8">
        <f t="shared" ref="V1387:V1397" si="197">V1370</f>
        <v>325</v>
      </c>
      <c r="W1387" s="2" t="s">
        <v>929</v>
      </c>
      <c r="X1387" s="8">
        <f t="shared" ref="X1387:X1397" si="198">V1387*S1387</f>
        <v>2135.25</v>
      </c>
      <c r="Y1387" s="15">
        <v>0.52</v>
      </c>
      <c r="Z1387" s="7" t="s">
        <v>929</v>
      </c>
      <c r="AA1387" s="1" t="s">
        <v>1888</v>
      </c>
      <c r="AB1387" s="8">
        <f t="shared" si="196"/>
        <v>325</v>
      </c>
      <c r="AC1387" s="7" t="s">
        <v>929</v>
      </c>
      <c r="AD1387" s="8">
        <f t="shared" si="195"/>
        <v>169</v>
      </c>
      <c r="AE1387" s="51">
        <f t="shared" si="184"/>
        <v>0</v>
      </c>
    </row>
    <row r="1388" spans="6:31" ht="24" customHeight="1">
      <c r="K1388" s="5" t="s">
        <v>2091</v>
      </c>
      <c r="N1388" s="3"/>
      <c r="O1388" s="1" t="s">
        <v>562</v>
      </c>
      <c r="Q1388" s="4"/>
      <c r="R1388" s="8">
        <f>(R1386/10)</f>
        <v>1654.26</v>
      </c>
      <c r="S1388" s="12">
        <v>11.56</v>
      </c>
      <c r="T1388" s="7" t="s">
        <v>929</v>
      </c>
      <c r="U1388" s="1" t="s">
        <v>1888</v>
      </c>
      <c r="V1388" s="8">
        <f t="shared" si="197"/>
        <v>325</v>
      </c>
      <c r="W1388" s="2" t="s">
        <v>929</v>
      </c>
      <c r="X1388" s="8">
        <f t="shared" si="198"/>
        <v>3757</v>
      </c>
      <c r="Y1388" s="15">
        <v>0.53300000000000003</v>
      </c>
      <c r="Z1388" s="7" t="s">
        <v>236</v>
      </c>
      <c r="AA1388" s="1" t="s">
        <v>1889</v>
      </c>
      <c r="AB1388" s="8">
        <f t="shared" si="196"/>
        <v>306.89999999999998</v>
      </c>
      <c r="AC1388" s="7" t="s">
        <v>236</v>
      </c>
      <c r="AD1388" s="8">
        <f t="shared" si="195"/>
        <v>163.58000000000001</v>
      </c>
      <c r="AE1388" s="51">
        <f t="shared" si="184"/>
        <v>0</v>
      </c>
    </row>
    <row r="1389" spans="6:31" ht="24" customHeight="1">
      <c r="K1389" s="5"/>
      <c r="N1389" s="3"/>
      <c r="Q1389" s="4"/>
      <c r="R1389" s="5" t="s">
        <v>2091</v>
      </c>
      <c r="S1389" s="12">
        <v>2.0099999999999998</v>
      </c>
      <c r="T1389" s="7" t="s">
        <v>929</v>
      </c>
      <c r="U1389" s="1" t="s">
        <v>1888</v>
      </c>
      <c r="V1389" s="8">
        <f t="shared" si="197"/>
        <v>325</v>
      </c>
      <c r="W1389" s="2" t="s">
        <v>929</v>
      </c>
      <c r="X1389" s="8">
        <f t="shared" si="198"/>
        <v>653.25</v>
      </c>
      <c r="Y1389" s="15">
        <v>4.1959999999999997</v>
      </c>
      <c r="Z1389" s="7" t="s">
        <v>842</v>
      </c>
      <c r="AA1389" s="1" t="s">
        <v>1890</v>
      </c>
      <c r="AB1389" s="8">
        <f t="shared" si="196"/>
        <v>29.05</v>
      </c>
      <c r="AC1389" s="7" t="s">
        <v>842</v>
      </c>
      <c r="AD1389" s="8">
        <f t="shared" si="195"/>
        <v>121.89</v>
      </c>
      <c r="AE1389" s="51">
        <f t="shared" si="184"/>
        <v>0</v>
      </c>
    </row>
    <row r="1390" spans="6:31" ht="24" customHeight="1">
      <c r="F1390" s="2" t="s">
        <v>1320</v>
      </c>
      <c r="G1390" s="7" t="s">
        <v>2290</v>
      </c>
      <c r="H1390" s="1" t="s">
        <v>6</v>
      </c>
      <c r="N1390" s="3"/>
      <c r="O1390" s="216" t="s">
        <v>3555</v>
      </c>
      <c r="Q1390" s="10"/>
      <c r="S1390" s="12">
        <v>1.96</v>
      </c>
      <c r="T1390" s="7" t="s">
        <v>236</v>
      </c>
      <c r="U1390" s="1" t="s">
        <v>1889</v>
      </c>
      <c r="V1390" s="8">
        <f t="shared" si="197"/>
        <v>306.89999999999998</v>
      </c>
      <c r="W1390" s="2" t="s">
        <v>236</v>
      </c>
      <c r="X1390" s="8">
        <f t="shared" si="198"/>
        <v>601.52</v>
      </c>
      <c r="Y1390" s="15">
        <v>4</v>
      </c>
      <c r="Z1390" s="7" t="s">
        <v>785</v>
      </c>
      <c r="AA1390" s="1" t="s">
        <v>1891</v>
      </c>
      <c r="AB1390" s="8">
        <f t="shared" si="196"/>
        <v>71.900000000000006</v>
      </c>
      <c r="AC1390" s="7" t="s">
        <v>785</v>
      </c>
      <c r="AD1390" s="8">
        <f t="shared" si="195"/>
        <v>287.60000000000002</v>
      </c>
      <c r="AE1390" s="51">
        <f t="shared" si="184"/>
        <v>0</v>
      </c>
    </row>
    <row r="1391" spans="6:31" ht="24" customHeight="1">
      <c r="H1391" s="5" t="s">
        <v>1615</v>
      </c>
      <c r="M1391" s="15">
        <v>4.1849999999999996</v>
      </c>
      <c r="N1391" s="7" t="s">
        <v>929</v>
      </c>
      <c r="O1391" s="504" t="s">
        <v>5135</v>
      </c>
      <c r="P1391" s="419">
        <v>325</v>
      </c>
      <c r="Q1391" s="7" t="s">
        <v>929</v>
      </c>
      <c r="R1391" s="8">
        <f>P1391*M1391</f>
        <v>1360.13</v>
      </c>
      <c r="S1391" s="12">
        <v>16.224</v>
      </c>
      <c r="T1391" s="7" t="s">
        <v>842</v>
      </c>
      <c r="U1391" s="1" t="s">
        <v>1890</v>
      </c>
      <c r="V1391" s="8">
        <f t="shared" si="197"/>
        <v>29.05</v>
      </c>
      <c r="W1391" s="2" t="s">
        <v>842</v>
      </c>
      <c r="X1391" s="8">
        <f t="shared" si="198"/>
        <v>471.31</v>
      </c>
      <c r="Y1391" s="15">
        <v>2</v>
      </c>
      <c r="Z1391" s="7" t="s">
        <v>785</v>
      </c>
      <c r="AA1391" s="1" t="s">
        <v>1892</v>
      </c>
      <c r="AB1391" s="8">
        <f t="shared" si="196"/>
        <v>57.65</v>
      </c>
      <c r="AC1391" s="7" t="s">
        <v>785</v>
      </c>
      <c r="AD1391" s="8">
        <f t="shared" si="195"/>
        <v>115.3</v>
      </c>
      <c r="AE1391" s="51">
        <f t="shared" si="184"/>
        <v>0</v>
      </c>
    </row>
    <row r="1392" spans="6:31" ht="24" customHeight="1">
      <c r="F1392" s="8">
        <v>0.14000000000000001</v>
      </c>
      <c r="G1392" s="7" t="s">
        <v>885</v>
      </c>
      <c r="H1392" s="1" t="s">
        <v>1656</v>
      </c>
      <c r="I1392" s="8">
        <f>(K49)</f>
        <v>3469.22</v>
      </c>
      <c r="J1392" s="1" t="s">
        <v>885</v>
      </c>
      <c r="K1392" s="8">
        <f>(F1392*I1392)</f>
        <v>485.69</v>
      </c>
      <c r="M1392" s="15">
        <v>4.55</v>
      </c>
      <c r="N1392" s="7" t="s">
        <v>929</v>
      </c>
      <c r="O1392" s="1" t="s">
        <v>1888</v>
      </c>
      <c r="P1392" s="8">
        <f>P1391</f>
        <v>325</v>
      </c>
      <c r="Q1392" s="7" t="s">
        <v>929</v>
      </c>
      <c r="R1392" s="8">
        <f t="shared" ref="R1392:R1402" si="199">P1392*M1392</f>
        <v>1478.75</v>
      </c>
      <c r="S1392" s="12">
        <v>16</v>
      </c>
      <c r="T1392" s="7" t="s">
        <v>785</v>
      </c>
      <c r="U1392" s="1" t="s">
        <v>1891</v>
      </c>
      <c r="V1392" s="8">
        <f t="shared" si="197"/>
        <v>71.900000000000006</v>
      </c>
      <c r="W1392" s="2" t="s">
        <v>785</v>
      </c>
      <c r="X1392" s="8">
        <f t="shared" si="198"/>
        <v>1150.4000000000001</v>
      </c>
      <c r="Y1392" s="15">
        <v>2</v>
      </c>
      <c r="Z1392" s="7" t="s">
        <v>785</v>
      </c>
      <c r="AA1392" s="1" t="s">
        <v>1893</v>
      </c>
      <c r="AB1392" s="8">
        <f t="shared" si="196"/>
        <v>30</v>
      </c>
      <c r="AC1392" s="7" t="s">
        <v>785</v>
      </c>
      <c r="AD1392" s="8">
        <f t="shared" si="195"/>
        <v>60</v>
      </c>
      <c r="AE1392" s="51">
        <f t="shared" si="184"/>
        <v>0</v>
      </c>
    </row>
    <row r="1393" spans="6:31" ht="24" customHeight="1">
      <c r="F1393" s="8">
        <v>1.1000000000000001</v>
      </c>
      <c r="G1393" s="7" t="s">
        <v>884</v>
      </c>
      <c r="H1393" s="1" t="s">
        <v>2045</v>
      </c>
      <c r="I1393" s="8">
        <f>(C10)</f>
        <v>1041.7</v>
      </c>
      <c r="J1393" s="1" t="s">
        <v>884</v>
      </c>
      <c r="K1393" s="8">
        <f>(F1393*I1393)</f>
        <v>1145.8699999999999</v>
      </c>
      <c r="M1393" s="15">
        <v>8.66</v>
      </c>
      <c r="N1393" s="7" t="s">
        <v>929</v>
      </c>
      <c r="O1393" s="1" t="s">
        <v>1888</v>
      </c>
      <c r="P1393" s="8">
        <f>P1391</f>
        <v>325</v>
      </c>
      <c r="Q1393" s="7" t="s">
        <v>929</v>
      </c>
      <c r="R1393" s="8">
        <f t="shared" si="199"/>
        <v>2814.5</v>
      </c>
      <c r="S1393" s="12">
        <v>8</v>
      </c>
      <c r="T1393" s="7" t="s">
        <v>785</v>
      </c>
      <c r="U1393" s="1" t="s">
        <v>1892</v>
      </c>
      <c r="V1393" s="8">
        <f t="shared" si="197"/>
        <v>57.65</v>
      </c>
      <c r="W1393" s="2" t="s">
        <v>785</v>
      </c>
      <c r="X1393" s="8">
        <f t="shared" si="198"/>
        <v>461.2</v>
      </c>
      <c r="Y1393" s="15">
        <v>2</v>
      </c>
      <c r="Z1393" s="7" t="s">
        <v>785</v>
      </c>
      <c r="AA1393" s="1" t="s">
        <v>1894</v>
      </c>
      <c r="AB1393" s="8">
        <f t="shared" si="196"/>
        <v>20</v>
      </c>
      <c r="AC1393" s="7" t="s">
        <v>785</v>
      </c>
      <c r="AD1393" s="8">
        <f t="shared" si="195"/>
        <v>40</v>
      </c>
      <c r="AE1393" s="51">
        <f t="shared" si="184"/>
        <v>0</v>
      </c>
    </row>
    <row r="1394" spans="6:31" ht="24" customHeight="1">
      <c r="F1394" s="8">
        <v>0.5</v>
      </c>
      <c r="G1394" s="7" t="s">
        <v>884</v>
      </c>
      <c r="H1394" s="1" t="s">
        <v>1937</v>
      </c>
      <c r="I1394" s="8">
        <f>(C12)</f>
        <v>679.8</v>
      </c>
      <c r="J1394" s="1" t="s">
        <v>884</v>
      </c>
      <c r="K1394" s="8">
        <f>(F1394*I1394)</f>
        <v>339.9</v>
      </c>
      <c r="M1394" s="15">
        <v>1.51</v>
      </c>
      <c r="N1394" s="7" t="s">
        <v>929</v>
      </c>
      <c r="O1394" s="1" t="s">
        <v>1888</v>
      </c>
      <c r="P1394" s="8">
        <f>P1391</f>
        <v>325</v>
      </c>
      <c r="Q1394" s="7" t="s">
        <v>929</v>
      </c>
      <c r="R1394" s="8">
        <f t="shared" si="199"/>
        <v>490.75</v>
      </c>
      <c r="S1394" s="12">
        <v>8</v>
      </c>
      <c r="T1394" s="7" t="s">
        <v>785</v>
      </c>
      <c r="U1394" s="1" t="s">
        <v>1893</v>
      </c>
      <c r="V1394" s="8">
        <f t="shared" si="197"/>
        <v>30</v>
      </c>
      <c r="W1394" s="2" t="s">
        <v>785</v>
      </c>
      <c r="X1394" s="8">
        <f t="shared" si="198"/>
        <v>240</v>
      </c>
      <c r="Y1394" s="15">
        <v>4</v>
      </c>
      <c r="Z1394" s="7" t="s">
        <v>785</v>
      </c>
      <c r="AA1394" s="1" t="s">
        <v>1895</v>
      </c>
      <c r="AB1394" s="8">
        <f t="shared" si="196"/>
        <v>15</v>
      </c>
      <c r="AC1394" s="7" t="s">
        <v>785</v>
      </c>
      <c r="AD1394" s="8">
        <f t="shared" si="195"/>
        <v>60</v>
      </c>
      <c r="AE1394" s="51">
        <f t="shared" si="184"/>
        <v>0</v>
      </c>
    </row>
    <row r="1395" spans="6:31" ht="24" customHeight="1">
      <c r="F1395" s="8">
        <v>1.1000000000000001</v>
      </c>
      <c r="G1395" s="7" t="s">
        <v>884</v>
      </c>
      <c r="H1395" s="1" t="s">
        <v>325</v>
      </c>
      <c r="I1395" s="8">
        <f>(C13)</f>
        <v>557.70000000000005</v>
      </c>
      <c r="J1395" s="1" t="s">
        <v>884</v>
      </c>
      <c r="K1395" s="8">
        <f>(F1395*I1395)</f>
        <v>613.47</v>
      </c>
      <c r="M1395" s="15">
        <v>1.462</v>
      </c>
      <c r="N1395" s="7" t="s">
        <v>236</v>
      </c>
      <c r="O1395" s="504" t="s">
        <v>1889</v>
      </c>
      <c r="P1395" s="419">
        <v>306.89999999999998</v>
      </c>
      <c r="Q1395" s="7" t="s">
        <v>236</v>
      </c>
      <c r="R1395" s="8">
        <f t="shared" si="199"/>
        <v>448.69</v>
      </c>
      <c r="S1395" s="12">
        <v>8</v>
      </c>
      <c r="T1395" s="7" t="s">
        <v>785</v>
      </c>
      <c r="U1395" s="1" t="s">
        <v>1894</v>
      </c>
      <c r="V1395" s="8">
        <f t="shared" si="197"/>
        <v>20</v>
      </c>
      <c r="W1395" s="2" t="s">
        <v>785</v>
      </c>
      <c r="X1395" s="8">
        <f t="shared" si="198"/>
        <v>160</v>
      </c>
      <c r="Y1395" s="15">
        <v>0.67500000000000004</v>
      </c>
      <c r="Z1395" s="7" t="s">
        <v>2322</v>
      </c>
      <c r="AA1395" s="1" t="s">
        <v>1896</v>
      </c>
      <c r="AB1395" s="8">
        <f t="shared" si="196"/>
        <v>2085.6</v>
      </c>
      <c r="AC1395" s="7" t="s">
        <v>2322</v>
      </c>
      <c r="AD1395" s="8">
        <f t="shared" si="195"/>
        <v>1407.78</v>
      </c>
      <c r="AE1395" s="51">
        <f t="shared" si="184"/>
        <v>0</v>
      </c>
    </row>
    <row r="1396" spans="6:31" ht="24" customHeight="1">
      <c r="G1396" s="7" t="s">
        <v>455</v>
      </c>
      <c r="H1396" s="1" t="s">
        <v>456</v>
      </c>
      <c r="I1396" s="1" t="s">
        <v>992</v>
      </c>
      <c r="J1396" s="1" t="s">
        <v>455</v>
      </c>
      <c r="K1396" s="8">
        <v>5</v>
      </c>
      <c r="M1396" s="15">
        <v>12.144</v>
      </c>
      <c r="N1396" s="7" t="s">
        <v>842</v>
      </c>
      <c r="O1396" s="504" t="s">
        <v>4805</v>
      </c>
      <c r="P1396" s="419">
        <v>29.05</v>
      </c>
      <c r="Q1396" s="7" t="s">
        <v>842</v>
      </c>
      <c r="R1396" s="8">
        <f t="shared" si="199"/>
        <v>352.78</v>
      </c>
      <c r="S1396" s="12">
        <v>4</v>
      </c>
      <c r="T1396" s="7" t="s">
        <v>785</v>
      </c>
      <c r="U1396" s="1" t="s">
        <v>1895</v>
      </c>
      <c r="V1396" s="8">
        <f t="shared" si="197"/>
        <v>15</v>
      </c>
      <c r="W1396" s="2" t="s">
        <v>785</v>
      </c>
      <c r="X1396" s="8">
        <f t="shared" si="198"/>
        <v>60</v>
      </c>
      <c r="Z1396" s="3"/>
      <c r="AA1396" s="1" t="s">
        <v>1897</v>
      </c>
      <c r="AC1396" s="4"/>
      <c r="AD1396" s="8">
        <v>0.39</v>
      </c>
      <c r="AE1396" s="51">
        <f t="shared" si="184"/>
        <v>0</v>
      </c>
    </row>
    <row r="1397" spans="6:31" ht="24" customHeight="1">
      <c r="K1397" s="5" t="s">
        <v>1615</v>
      </c>
      <c r="M1397" s="15">
        <v>12</v>
      </c>
      <c r="N1397" s="7" t="s">
        <v>785</v>
      </c>
      <c r="O1397" s="504" t="s">
        <v>4806</v>
      </c>
      <c r="P1397" s="419">
        <v>71.900000000000006</v>
      </c>
      <c r="Q1397" s="7" t="s">
        <v>785</v>
      </c>
      <c r="R1397" s="8">
        <f t="shared" si="199"/>
        <v>862.8</v>
      </c>
      <c r="S1397" s="12">
        <v>2.4300000000000002</v>
      </c>
      <c r="T1397" s="7" t="s">
        <v>2322</v>
      </c>
      <c r="U1397" s="1" t="s">
        <v>1896</v>
      </c>
      <c r="V1397" s="8">
        <f t="shared" si="197"/>
        <v>2085.6</v>
      </c>
      <c r="W1397" s="2" t="s">
        <v>2322</v>
      </c>
      <c r="X1397" s="8">
        <f t="shared" si="198"/>
        <v>5068.01</v>
      </c>
      <c r="AA1397" s="41" t="s">
        <v>3615</v>
      </c>
      <c r="AD1397" s="38">
        <f>SUM(AD1384:AD1396)</f>
        <v>4508.79</v>
      </c>
      <c r="AE1397" s="51">
        <f t="shared" si="184"/>
        <v>0</v>
      </c>
    </row>
    <row r="1398" spans="6:31" ht="24" customHeight="1">
      <c r="H1398" s="1" t="s">
        <v>447</v>
      </c>
      <c r="K1398" s="8">
        <f>SUM(K1392:K1397)</f>
        <v>2589.9299999999998</v>
      </c>
      <c r="M1398" s="15">
        <v>6</v>
      </c>
      <c r="N1398" s="7" t="s">
        <v>785</v>
      </c>
      <c r="O1398" s="504" t="s">
        <v>4446</v>
      </c>
      <c r="P1398" s="439">
        <f>P1094</f>
        <v>57.65</v>
      </c>
      <c r="Q1398" s="7" t="s">
        <v>785</v>
      </c>
      <c r="R1398" s="8">
        <f t="shared" si="199"/>
        <v>345.9</v>
      </c>
      <c r="T1398" s="3"/>
      <c r="U1398" s="1" t="s">
        <v>1897</v>
      </c>
      <c r="W1398" s="4"/>
      <c r="X1398" s="8"/>
      <c r="AE1398" s="51">
        <f t="shared" si="184"/>
        <v>0</v>
      </c>
    </row>
    <row r="1399" spans="6:31" ht="24" customHeight="1">
      <c r="K1399" s="5" t="s">
        <v>1615</v>
      </c>
      <c r="M1399" s="15">
        <v>6</v>
      </c>
      <c r="N1399" s="7" t="s">
        <v>785</v>
      </c>
      <c r="O1399" s="1" t="s">
        <v>3613</v>
      </c>
      <c r="P1399" s="707">
        <v>30</v>
      </c>
      <c r="Q1399" s="7" t="s">
        <v>785</v>
      </c>
      <c r="R1399" s="8">
        <f t="shared" si="199"/>
        <v>180</v>
      </c>
      <c r="U1399" s="41" t="s">
        <v>3615</v>
      </c>
      <c r="W1399" s="4"/>
      <c r="X1399" s="38">
        <f>SUM(X1386:X1398)</f>
        <v>16343.94</v>
      </c>
      <c r="Z1399" s="3"/>
      <c r="AA1399" s="216" t="s">
        <v>3558</v>
      </c>
      <c r="AC1399" s="10"/>
      <c r="AE1399" s="51">
        <f t="shared" si="184"/>
        <v>0</v>
      </c>
    </row>
    <row r="1400" spans="6:31" ht="24" customHeight="1">
      <c r="H1400" s="58" t="s">
        <v>562</v>
      </c>
      <c r="K1400" s="38">
        <f>(K1398/10)</f>
        <v>258.99</v>
      </c>
      <c r="M1400" s="15">
        <v>6</v>
      </c>
      <c r="N1400" s="7" t="s">
        <v>785</v>
      </c>
      <c r="O1400" s="1" t="s">
        <v>1894</v>
      </c>
      <c r="P1400" s="536">
        <v>20</v>
      </c>
      <c r="Q1400" s="7" t="s">
        <v>785</v>
      </c>
      <c r="R1400" s="8">
        <f t="shared" si="199"/>
        <v>120</v>
      </c>
      <c r="W1400" s="4"/>
      <c r="Y1400" s="15">
        <v>2.33</v>
      </c>
      <c r="Z1400" s="7" t="s">
        <v>929</v>
      </c>
      <c r="AA1400" s="1" t="s">
        <v>1888</v>
      </c>
      <c r="AB1400" s="8">
        <f t="shared" ref="AB1400:AB1411" si="200">V1402</f>
        <v>325</v>
      </c>
      <c r="AC1400" s="7" t="s">
        <v>929</v>
      </c>
      <c r="AD1400" s="8">
        <f t="shared" ref="AD1400:AD1411" si="201">AB1400*Y1400</f>
        <v>757.25</v>
      </c>
      <c r="AE1400" s="51">
        <f t="shared" si="184"/>
        <v>0</v>
      </c>
    </row>
    <row r="1401" spans="6:31" ht="24" customHeight="1">
      <c r="F1401" s="1" t="s">
        <v>992</v>
      </c>
      <c r="M1401" s="15">
        <v>4</v>
      </c>
      <c r="N1401" s="7" t="s">
        <v>785</v>
      </c>
      <c r="O1401" s="1" t="s">
        <v>1895</v>
      </c>
      <c r="P1401" s="536">
        <v>15</v>
      </c>
      <c r="Q1401" s="7" t="s">
        <v>785</v>
      </c>
      <c r="R1401" s="8">
        <f t="shared" si="199"/>
        <v>60</v>
      </c>
      <c r="T1401" s="3"/>
      <c r="U1401" s="216" t="s">
        <v>3559</v>
      </c>
      <c r="W1401" s="4"/>
      <c r="Y1401" s="15">
        <v>0.67</v>
      </c>
      <c r="Z1401" s="7" t="s">
        <v>929</v>
      </c>
      <c r="AA1401" s="1" t="s">
        <v>1888</v>
      </c>
      <c r="AB1401" s="8">
        <f t="shared" si="200"/>
        <v>325</v>
      </c>
      <c r="AC1401" s="7" t="s">
        <v>929</v>
      </c>
      <c r="AD1401" s="8">
        <f t="shared" si="201"/>
        <v>217.75</v>
      </c>
      <c r="AE1401" s="51">
        <f t="shared" si="184"/>
        <v>0</v>
      </c>
    </row>
    <row r="1402" spans="6:31" ht="24" customHeight="1">
      <c r="K1402" s="5" t="s">
        <v>2091</v>
      </c>
      <c r="M1402" s="15">
        <v>1.823</v>
      </c>
      <c r="N1402" s="7" t="s">
        <v>2322</v>
      </c>
      <c r="O1402" s="1" t="s">
        <v>1896</v>
      </c>
      <c r="P1402">
        <f>ROUND(AE17+AE11+(AE20*0.5),2)</f>
        <v>2085.6</v>
      </c>
      <c r="Q1402" s="7" t="s">
        <v>2322</v>
      </c>
      <c r="R1402" s="8">
        <f t="shared" si="199"/>
        <v>3802.05</v>
      </c>
      <c r="S1402" s="12">
        <f>8*0.775</f>
        <v>6.2</v>
      </c>
      <c r="T1402" s="7" t="s">
        <v>929</v>
      </c>
      <c r="U1402" s="1" t="s">
        <v>1888</v>
      </c>
      <c r="V1402" s="8">
        <f>V1386</f>
        <v>325</v>
      </c>
      <c r="W1402" s="2" t="s">
        <v>929</v>
      </c>
      <c r="X1402" s="8">
        <f>V1402*S1402</f>
        <v>2015</v>
      </c>
      <c r="Y1402" s="15">
        <v>2.65</v>
      </c>
      <c r="Z1402" s="7" t="s">
        <v>929</v>
      </c>
      <c r="AA1402" s="1" t="s">
        <v>1888</v>
      </c>
      <c r="AB1402" s="8">
        <f t="shared" si="200"/>
        <v>325</v>
      </c>
      <c r="AC1402" s="7" t="s">
        <v>929</v>
      </c>
      <c r="AD1402" s="8">
        <f t="shared" si="201"/>
        <v>861.25</v>
      </c>
      <c r="AE1402" s="51">
        <f t="shared" si="184"/>
        <v>0</v>
      </c>
    </row>
    <row r="1403" spans="6:31" ht="24" customHeight="1">
      <c r="F1403" s="2" t="s">
        <v>7</v>
      </c>
      <c r="G1403" s="7" t="s">
        <v>2290</v>
      </c>
      <c r="H1403" s="1" t="s">
        <v>8</v>
      </c>
      <c r="N1403" s="3"/>
      <c r="O1403" s="1" t="s">
        <v>1897</v>
      </c>
      <c r="Q1403" s="4"/>
      <c r="R1403" s="8">
        <v>0.51</v>
      </c>
      <c r="S1403" s="12">
        <f>8.4*1.123</f>
        <v>9.4329999999999998</v>
      </c>
      <c r="T1403" s="7" t="s">
        <v>929</v>
      </c>
      <c r="U1403" s="1" t="s">
        <v>1888</v>
      </c>
      <c r="V1403" s="8">
        <f t="shared" ref="V1403:V1413" si="202">V1387</f>
        <v>325</v>
      </c>
      <c r="W1403" s="2" t="s">
        <v>929</v>
      </c>
      <c r="X1403" s="8">
        <f t="shared" ref="X1403:X1413" si="203">V1403*S1403</f>
        <v>3065.73</v>
      </c>
      <c r="Y1403" s="15">
        <v>0.46</v>
      </c>
      <c r="Z1403" s="7" t="s">
        <v>929</v>
      </c>
      <c r="AA1403" s="1" t="s">
        <v>1888</v>
      </c>
      <c r="AB1403" s="8">
        <f t="shared" si="200"/>
        <v>325</v>
      </c>
      <c r="AC1403" s="7" t="s">
        <v>929</v>
      </c>
      <c r="AD1403" s="8">
        <f t="shared" si="201"/>
        <v>149.5</v>
      </c>
      <c r="AE1403" s="51">
        <f t="shared" si="184"/>
        <v>0</v>
      </c>
    </row>
    <row r="1404" spans="6:31" ht="24" customHeight="1">
      <c r="H1404" s="5" t="s">
        <v>1615</v>
      </c>
      <c r="L1404">
        <f>5.85*1.123</f>
        <v>6.57</v>
      </c>
      <c r="R1404" s="38">
        <f>SUM(R1391:R1403)</f>
        <v>12316.86</v>
      </c>
      <c r="S1404" s="12">
        <f>24.24*0.663</f>
        <v>16.071000000000002</v>
      </c>
      <c r="T1404" s="7" t="s">
        <v>929</v>
      </c>
      <c r="U1404" s="1" t="s">
        <v>1888</v>
      </c>
      <c r="V1404" s="8">
        <f t="shared" si="202"/>
        <v>325</v>
      </c>
      <c r="W1404" s="2" t="s">
        <v>929</v>
      </c>
      <c r="X1404" s="8">
        <f t="shared" si="203"/>
        <v>5223.08</v>
      </c>
      <c r="Y1404" s="15">
        <v>0.41699999999999998</v>
      </c>
      <c r="Z1404" s="7" t="s">
        <v>236</v>
      </c>
      <c r="AA1404" s="1" t="s">
        <v>1889</v>
      </c>
      <c r="AB1404" s="8">
        <f t="shared" si="200"/>
        <v>306.89999999999998</v>
      </c>
      <c r="AC1404" s="7" t="s">
        <v>236</v>
      </c>
      <c r="AD1404" s="8">
        <f t="shared" si="201"/>
        <v>127.98</v>
      </c>
      <c r="AE1404" s="51">
        <f t="shared" si="184"/>
        <v>0</v>
      </c>
    </row>
    <row r="1405" spans="6:31" ht="24" customHeight="1">
      <c r="F1405" s="8">
        <v>0.14000000000000001</v>
      </c>
      <c r="G1405" s="7" t="s">
        <v>885</v>
      </c>
      <c r="H1405" s="1" t="s">
        <v>1331</v>
      </c>
      <c r="I1405" s="8">
        <f>(K40)</f>
        <v>3904.1</v>
      </c>
      <c r="J1405" s="1" t="s">
        <v>885</v>
      </c>
      <c r="K1405" s="8">
        <f>(F1405*I1405)</f>
        <v>546.57000000000005</v>
      </c>
      <c r="O1405" s="703"/>
      <c r="S1405" s="12">
        <f>23.02*0.124</f>
        <v>2.8540000000000001</v>
      </c>
      <c r="T1405" s="7" t="s">
        <v>929</v>
      </c>
      <c r="U1405" s="1" t="s">
        <v>1888</v>
      </c>
      <c r="V1405" s="8">
        <f t="shared" si="202"/>
        <v>325</v>
      </c>
      <c r="W1405" s="2" t="s">
        <v>929</v>
      </c>
      <c r="X1405" s="8">
        <f t="shared" si="203"/>
        <v>927.55</v>
      </c>
      <c r="Y1405" s="15">
        <v>3.6960000000000002</v>
      </c>
      <c r="Z1405" s="7" t="s">
        <v>842</v>
      </c>
      <c r="AA1405" s="1" t="s">
        <v>1890</v>
      </c>
      <c r="AB1405" s="8">
        <f t="shared" si="200"/>
        <v>29.05</v>
      </c>
      <c r="AC1405" s="7" t="s">
        <v>842</v>
      </c>
      <c r="AD1405" s="8">
        <f t="shared" si="201"/>
        <v>107.37</v>
      </c>
      <c r="AE1405" s="51">
        <f t="shared" si="184"/>
        <v>0</v>
      </c>
    </row>
    <row r="1406" spans="6:31" ht="24" customHeight="1">
      <c r="F1406" s="8">
        <v>1.1000000000000001</v>
      </c>
      <c r="G1406" s="7" t="s">
        <v>884</v>
      </c>
      <c r="H1406" s="1" t="s">
        <v>2045</v>
      </c>
      <c r="I1406" s="8">
        <f>(C10)</f>
        <v>1041.7</v>
      </c>
      <c r="J1406" s="1" t="s">
        <v>884</v>
      </c>
      <c r="K1406" s="8">
        <f>(F1406*I1406)</f>
        <v>1145.8699999999999</v>
      </c>
      <c r="S1406" s="12">
        <f>3.31</f>
        <v>3.31</v>
      </c>
      <c r="T1406" s="7" t="s">
        <v>236</v>
      </c>
      <c r="U1406" s="1" t="s">
        <v>1889</v>
      </c>
      <c r="V1406" s="8">
        <f t="shared" si="202"/>
        <v>306.89999999999998</v>
      </c>
      <c r="W1406" s="2" t="s">
        <v>236</v>
      </c>
      <c r="X1406" s="8">
        <f t="shared" si="203"/>
        <v>1015.84</v>
      </c>
      <c r="Y1406" s="15">
        <v>4</v>
      </c>
      <c r="Z1406" s="7" t="s">
        <v>785</v>
      </c>
      <c r="AA1406" s="1" t="s">
        <v>1891</v>
      </c>
      <c r="AB1406" s="8">
        <f t="shared" si="200"/>
        <v>71.900000000000006</v>
      </c>
      <c r="AC1406" s="7" t="s">
        <v>785</v>
      </c>
      <c r="AD1406" s="8">
        <f t="shared" si="201"/>
        <v>287.60000000000002</v>
      </c>
      <c r="AE1406" s="51">
        <f t="shared" ref="AE1406:AE1469" si="204">AG1406</f>
        <v>0</v>
      </c>
    </row>
    <row r="1407" spans="6:31" ht="24" customHeight="1">
      <c r="F1407" s="8">
        <v>0.5</v>
      </c>
      <c r="G1407" s="7" t="s">
        <v>884</v>
      </c>
      <c r="H1407" s="1" t="s">
        <v>1937</v>
      </c>
      <c r="I1407" s="8">
        <f>(C12)</f>
        <v>679.8</v>
      </c>
      <c r="J1407" s="1" t="s">
        <v>884</v>
      </c>
      <c r="K1407" s="8">
        <f>(F1407*I1407)</f>
        <v>339.9</v>
      </c>
      <c r="N1407" s="3"/>
      <c r="O1407" s="216" t="s">
        <v>3550</v>
      </c>
      <c r="Q1407" s="10"/>
      <c r="S1407" s="12">
        <v>23.02</v>
      </c>
      <c r="T1407" s="7" t="s">
        <v>842</v>
      </c>
      <c r="U1407" s="1" t="s">
        <v>1890</v>
      </c>
      <c r="V1407" s="8">
        <f t="shared" si="202"/>
        <v>29.05</v>
      </c>
      <c r="W1407" s="2" t="s">
        <v>842</v>
      </c>
      <c r="X1407" s="8">
        <f t="shared" si="203"/>
        <v>668.73</v>
      </c>
      <c r="Y1407" s="15">
        <v>2</v>
      </c>
      <c r="Z1407" s="7" t="s">
        <v>785</v>
      </c>
      <c r="AA1407" s="1" t="s">
        <v>1892</v>
      </c>
      <c r="AB1407" s="8">
        <f t="shared" si="200"/>
        <v>57.65</v>
      </c>
      <c r="AC1407" s="7" t="s">
        <v>785</v>
      </c>
      <c r="AD1407" s="8">
        <f t="shared" si="201"/>
        <v>115.3</v>
      </c>
      <c r="AE1407" s="51">
        <f t="shared" si="204"/>
        <v>0</v>
      </c>
    </row>
    <row r="1408" spans="6:31" ht="24" customHeight="1">
      <c r="F1408" s="8">
        <v>1.1000000000000001</v>
      </c>
      <c r="G1408" s="7" t="s">
        <v>884</v>
      </c>
      <c r="H1408" s="1" t="s">
        <v>325</v>
      </c>
      <c r="I1408" s="8">
        <f>(C13)</f>
        <v>557.70000000000005</v>
      </c>
      <c r="J1408" s="1" t="s">
        <v>884</v>
      </c>
      <c r="K1408" s="8">
        <f>(F1408*I1408)</f>
        <v>613.47</v>
      </c>
      <c r="M1408" s="15">
        <v>3.95</v>
      </c>
      <c r="N1408" s="7" t="s">
        <v>929</v>
      </c>
      <c r="O1408" s="504" t="s">
        <v>4444</v>
      </c>
      <c r="P1408" s="8">
        <f>P1391</f>
        <v>325</v>
      </c>
      <c r="Q1408" s="7" t="s">
        <v>929</v>
      </c>
      <c r="R1408" s="8">
        <f>P1408*M1408</f>
        <v>1283.75</v>
      </c>
      <c r="S1408" s="12">
        <v>16</v>
      </c>
      <c r="T1408" s="7" t="s">
        <v>785</v>
      </c>
      <c r="U1408" s="1" t="s">
        <v>1891</v>
      </c>
      <c r="V1408" s="8">
        <f t="shared" si="202"/>
        <v>71.900000000000006</v>
      </c>
      <c r="W1408" s="2" t="s">
        <v>785</v>
      </c>
      <c r="X1408" s="8">
        <f t="shared" si="203"/>
        <v>1150.4000000000001</v>
      </c>
      <c r="Y1408" s="15">
        <v>2</v>
      </c>
      <c r="Z1408" s="7" t="s">
        <v>785</v>
      </c>
      <c r="AA1408" s="1" t="s">
        <v>1893</v>
      </c>
      <c r="AB1408" s="8">
        <f t="shared" si="200"/>
        <v>30</v>
      </c>
      <c r="AC1408" s="7" t="s">
        <v>785</v>
      </c>
      <c r="AD1408" s="8">
        <f t="shared" si="201"/>
        <v>60</v>
      </c>
      <c r="AE1408" s="51">
        <f t="shared" si="204"/>
        <v>0</v>
      </c>
    </row>
    <row r="1409" spans="6:31" ht="24" customHeight="1">
      <c r="G1409" s="7" t="s">
        <v>455</v>
      </c>
      <c r="H1409" s="1" t="s">
        <v>456</v>
      </c>
      <c r="I1409" s="1" t="s">
        <v>992</v>
      </c>
      <c r="J1409" s="1" t="s">
        <v>455</v>
      </c>
      <c r="K1409" s="8">
        <v>5</v>
      </c>
      <c r="M1409" s="15">
        <v>2.86</v>
      </c>
      <c r="N1409" s="7" t="s">
        <v>929</v>
      </c>
      <c r="O1409" s="1" t="s">
        <v>1888</v>
      </c>
      <c r="P1409" s="8">
        <f t="shared" ref="P1409:P1419" si="205">P1392</f>
        <v>325</v>
      </c>
      <c r="Q1409" s="7" t="s">
        <v>929</v>
      </c>
      <c r="R1409" s="8">
        <f t="shared" ref="R1409:R1419" si="206">P1409*M1409</f>
        <v>929.5</v>
      </c>
      <c r="S1409" s="12">
        <v>8</v>
      </c>
      <c r="T1409" s="7" t="s">
        <v>785</v>
      </c>
      <c r="U1409" s="1" t="s">
        <v>1892</v>
      </c>
      <c r="V1409" s="8">
        <f t="shared" si="202"/>
        <v>57.65</v>
      </c>
      <c r="W1409" s="2" t="s">
        <v>785</v>
      </c>
      <c r="X1409" s="8">
        <f t="shared" si="203"/>
        <v>461.2</v>
      </c>
      <c r="Y1409" s="15">
        <v>2</v>
      </c>
      <c r="Z1409" s="7" t="s">
        <v>785</v>
      </c>
      <c r="AA1409" s="1" t="s">
        <v>1894</v>
      </c>
      <c r="AB1409" s="8">
        <f t="shared" si="200"/>
        <v>20</v>
      </c>
      <c r="AC1409" s="7" t="s">
        <v>785</v>
      </c>
      <c r="AD1409" s="8">
        <f t="shared" si="201"/>
        <v>40</v>
      </c>
      <c r="AE1409" s="51">
        <f t="shared" si="204"/>
        <v>0</v>
      </c>
    </row>
    <row r="1410" spans="6:31" ht="24" customHeight="1">
      <c r="G1410" s="7"/>
      <c r="H1410" s="1"/>
      <c r="I1410" s="1"/>
      <c r="J1410" s="1"/>
      <c r="K1410" s="8"/>
      <c r="M1410" s="15">
        <v>6.55</v>
      </c>
      <c r="N1410" s="7" t="s">
        <v>929</v>
      </c>
      <c r="O1410" s="1" t="s">
        <v>1888</v>
      </c>
      <c r="P1410" s="8">
        <f t="shared" si="205"/>
        <v>325</v>
      </c>
      <c r="Q1410" s="7" t="s">
        <v>929</v>
      </c>
      <c r="R1410" s="8">
        <f t="shared" si="206"/>
        <v>2128.75</v>
      </c>
      <c r="S1410" s="12">
        <v>8</v>
      </c>
      <c r="T1410" s="7" t="s">
        <v>785</v>
      </c>
      <c r="U1410" s="1" t="s">
        <v>1893</v>
      </c>
      <c r="V1410" s="8">
        <f t="shared" si="202"/>
        <v>30</v>
      </c>
      <c r="W1410" s="2" t="s">
        <v>785</v>
      </c>
      <c r="X1410" s="8">
        <f t="shared" si="203"/>
        <v>240</v>
      </c>
      <c r="Y1410" s="15">
        <v>2</v>
      </c>
      <c r="Z1410" s="7" t="s">
        <v>785</v>
      </c>
      <c r="AA1410" s="1" t="s">
        <v>1895</v>
      </c>
      <c r="AB1410" s="8">
        <f t="shared" si="200"/>
        <v>15</v>
      </c>
      <c r="AC1410" s="7" t="s">
        <v>785</v>
      </c>
      <c r="AD1410" s="8">
        <f t="shared" si="201"/>
        <v>30</v>
      </c>
      <c r="AE1410" s="51">
        <f t="shared" si="204"/>
        <v>0</v>
      </c>
    </row>
    <row r="1411" spans="6:31" ht="24" customHeight="1">
      <c r="K1411" s="5" t="s">
        <v>1615</v>
      </c>
      <c r="M1411" s="15">
        <v>1.1499999999999999</v>
      </c>
      <c r="N1411" s="7" t="s">
        <v>929</v>
      </c>
      <c r="O1411" s="1" t="s">
        <v>1888</v>
      </c>
      <c r="P1411" s="8">
        <f t="shared" si="205"/>
        <v>325</v>
      </c>
      <c r="Q1411" s="7" t="s">
        <v>929</v>
      </c>
      <c r="R1411" s="8">
        <f t="shared" si="206"/>
        <v>373.75</v>
      </c>
      <c r="S1411" s="12">
        <v>8</v>
      </c>
      <c r="T1411" s="7" t="s">
        <v>785</v>
      </c>
      <c r="U1411" s="1" t="s">
        <v>1894</v>
      </c>
      <c r="V1411" s="8">
        <f t="shared" si="202"/>
        <v>20</v>
      </c>
      <c r="W1411" s="2" t="s">
        <v>785</v>
      </c>
      <c r="X1411" s="8">
        <f t="shared" si="203"/>
        <v>160</v>
      </c>
      <c r="Y1411" s="15">
        <v>0.54</v>
      </c>
      <c r="Z1411" s="7" t="s">
        <v>2322</v>
      </c>
      <c r="AA1411" s="1" t="s">
        <v>1896</v>
      </c>
      <c r="AB1411" s="8">
        <f t="shared" si="200"/>
        <v>2085.6</v>
      </c>
      <c r="AC1411" s="7" t="s">
        <v>2322</v>
      </c>
      <c r="AD1411" s="8">
        <f t="shared" si="201"/>
        <v>1126.22</v>
      </c>
      <c r="AE1411" s="51">
        <f t="shared" si="204"/>
        <v>0</v>
      </c>
    </row>
    <row r="1412" spans="6:31" ht="24" customHeight="1">
      <c r="H1412" s="1" t="s">
        <v>447</v>
      </c>
      <c r="K1412" s="8">
        <f>SUM(K1405:K1409)</f>
        <v>2650.81</v>
      </c>
      <c r="L1412">
        <f>SUM(K1433:K1436)</f>
        <v>2747.29</v>
      </c>
      <c r="M1412" s="15">
        <v>1.3380000000000001</v>
      </c>
      <c r="N1412" s="7" t="s">
        <v>236</v>
      </c>
      <c r="O1412" s="1" t="s">
        <v>1889</v>
      </c>
      <c r="P1412" s="8">
        <f t="shared" si="205"/>
        <v>306.89999999999998</v>
      </c>
      <c r="Q1412" s="7" t="s">
        <v>236</v>
      </c>
      <c r="R1412" s="8">
        <f t="shared" si="206"/>
        <v>410.63</v>
      </c>
      <c r="S1412" s="12">
        <v>4</v>
      </c>
      <c r="T1412" s="7" t="s">
        <v>785</v>
      </c>
      <c r="U1412" s="1" t="s">
        <v>1895</v>
      </c>
      <c r="V1412" s="8">
        <f t="shared" si="202"/>
        <v>15</v>
      </c>
      <c r="W1412" s="2" t="s">
        <v>785</v>
      </c>
      <c r="X1412" s="8">
        <f t="shared" si="203"/>
        <v>60</v>
      </c>
      <c r="Z1412" s="3"/>
      <c r="AA1412" s="1" t="s">
        <v>1897</v>
      </c>
      <c r="AC1412" s="4"/>
      <c r="AD1412" s="8">
        <v>0.7</v>
      </c>
      <c r="AE1412" s="51">
        <f t="shared" si="204"/>
        <v>0</v>
      </c>
    </row>
    <row r="1413" spans="6:31" ht="24" customHeight="1">
      <c r="K1413" s="5" t="s">
        <v>1615</v>
      </c>
      <c r="M1413" s="15">
        <v>9.2720000000000002</v>
      </c>
      <c r="N1413" s="7" t="s">
        <v>842</v>
      </c>
      <c r="O1413" s="504" t="s">
        <v>4447</v>
      </c>
      <c r="P1413" s="8">
        <f t="shared" si="205"/>
        <v>29.05</v>
      </c>
      <c r="Q1413" s="7" t="s">
        <v>842</v>
      </c>
      <c r="R1413" s="8">
        <f t="shared" si="206"/>
        <v>269.35000000000002</v>
      </c>
      <c r="S1413" s="12">
        <v>3.96</v>
      </c>
      <c r="T1413" s="7" t="s">
        <v>2322</v>
      </c>
      <c r="U1413" s="1" t="s">
        <v>1896</v>
      </c>
      <c r="V1413" s="8">
        <f t="shared" si="202"/>
        <v>2085.6</v>
      </c>
      <c r="W1413" s="2" t="s">
        <v>2322</v>
      </c>
      <c r="X1413" s="8">
        <f t="shared" si="203"/>
        <v>8258.98</v>
      </c>
      <c r="AA1413" s="41" t="s">
        <v>3615</v>
      </c>
      <c r="AD1413" s="38">
        <f>SUM(AD1400:AD1412)</f>
        <v>3880.92</v>
      </c>
      <c r="AE1413" s="51">
        <f t="shared" si="204"/>
        <v>0</v>
      </c>
    </row>
    <row r="1414" spans="6:31" ht="24" customHeight="1">
      <c r="H1414" s="58" t="s">
        <v>562</v>
      </c>
      <c r="K1414" s="38">
        <f>(K1412/10)</f>
        <v>265.08</v>
      </c>
      <c r="M1414" s="15">
        <v>8</v>
      </c>
      <c r="N1414" s="7" t="s">
        <v>785</v>
      </c>
      <c r="O1414" s="504" t="s">
        <v>4445</v>
      </c>
      <c r="P1414" s="8">
        <f t="shared" si="205"/>
        <v>71.900000000000006</v>
      </c>
      <c r="Q1414" s="7" t="s">
        <v>785</v>
      </c>
      <c r="R1414" s="8">
        <f t="shared" si="206"/>
        <v>575.20000000000005</v>
      </c>
      <c r="T1414" s="3"/>
      <c r="U1414" s="1" t="s">
        <v>1897</v>
      </c>
      <c r="W1414" s="4"/>
      <c r="X1414" s="8">
        <v>0.09</v>
      </c>
      <c r="AE1414" s="51">
        <f t="shared" si="204"/>
        <v>0</v>
      </c>
    </row>
    <row r="1415" spans="6:31" ht="24" customHeight="1">
      <c r="K1415" s="5" t="s">
        <v>2091</v>
      </c>
      <c r="M1415" s="15">
        <v>4</v>
      </c>
      <c r="N1415" s="7" t="s">
        <v>785</v>
      </c>
      <c r="O1415" s="504" t="s">
        <v>4446</v>
      </c>
      <c r="P1415" s="8">
        <f t="shared" si="205"/>
        <v>57.65</v>
      </c>
      <c r="Q1415" s="7" t="s">
        <v>785</v>
      </c>
      <c r="R1415" s="8">
        <f t="shared" si="206"/>
        <v>230.6</v>
      </c>
      <c r="U1415" s="41" t="s">
        <v>3615</v>
      </c>
      <c r="W1415" s="4"/>
      <c r="X1415" s="38">
        <f>SUM(X1402:X1414)</f>
        <v>23246.6</v>
      </c>
      <c r="AE1415" s="51">
        <f t="shared" si="204"/>
        <v>0</v>
      </c>
    </row>
    <row r="1416" spans="6:31" ht="24" customHeight="1">
      <c r="F1416" s="2" t="s">
        <v>9</v>
      </c>
      <c r="G1416" s="7" t="s">
        <v>2290</v>
      </c>
      <c r="H1416" s="1" t="s">
        <v>10</v>
      </c>
      <c r="M1416" s="15">
        <v>4</v>
      </c>
      <c r="N1416" s="7" t="s">
        <v>785</v>
      </c>
      <c r="O1416" s="1" t="s">
        <v>1893</v>
      </c>
      <c r="P1416" s="8">
        <f t="shared" si="205"/>
        <v>30</v>
      </c>
      <c r="Q1416" s="7" t="s">
        <v>785</v>
      </c>
      <c r="R1416" s="8">
        <f t="shared" si="206"/>
        <v>120</v>
      </c>
      <c r="W1416" s="4"/>
      <c r="Z1416" s="3"/>
      <c r="AA1416" s="216" t="s">
        <v>3549</v>
      </c>
      <c r="AC1416" s="10"/>
      <c r="AE1416" s="51">
        <f t="shared" si="204"/>
        <v>0</v>
      </c>
    </row>
    <row r="1417" spans="6:31" ht="24" customHeight="1">
      <c r="H1417" s="5" t="s">
        <v>1615</v>
      </c>
      <c r="M1417" s="15">
        <v>4</v>
      </c>
      <c r="N1417" s="7" t="s">
        <v>785</v>
      </c>
      <c r="O1417" s="1" t="s">
        <v>1894</v>
      </c>
      <c r="P1417" s="8">
        <f t="shared" si="205"/>
        <v>20</v>
      </c>
      <c r="Q1417" s="7" t="s">
        <v>785</v>
      </c>
      <c r="R1417" s="8">
        <f t="shared" si="206"/>
        <v>80</v>
      </c>
      <c r="W1417" s="4"/>
      <c r="Y1417" s="15">
        <f>4.2*0.775</f>
        <v>3.2549999999999999</v>
      </c>
      <c r="Z1417" s="7" t="s">
        <v>929</v>
      </c>
      <c r="AA1417" s="1" t="s">
        <v>1888</v>
      </c>
      <c r="AB1417" s="8">
        <f>AB1400</f>
        <v>325</v>
      </c>
      <c r="AC1417" s="7" t="s">
        <v>929</v>
      </c>
      <c r="AD1417" s="8">
        <f t="shared" ref="AD1417:AD1428" si="207">AB1417*Y1417</f>
        <v>1057.8800000000001</v>
      </c>
      <c r="AE1417" s="51">
        <f t="shared" si="204"/>
        <v>0</v>
      </c>
    </row>
    <row r="1418" spans="6:31" ht="24" customHeight="1">
      <c r="F1418" s="8">
        <v>0.1</v>
      </c>
      <c r="G1418" s="7" t="s">
        <v>885</v>
      </c>
      <c r="H1418" s="1" t="s">
        <v>1377</v>
      </c>
      <c r="I1418" s="8">
        <f>(K32)</f>
        <v>4628.8999999999996</v>
      </c>
      <c r="J1418" s="1" t="s">
        <v>885</v>
      </c>
      <c r="K1418" s="8">
        <f>(F1418*I1418)</f>
        <v>462.89</v>
      </c>
      <c r="M1418" s="15">
        <v>4</v>
      </c>
      <c r="N1418" s="7" t="s">
        <v>785</v>
      </c>
      <c r="O1418" s="1" t="s">
        <v>1895</v>
      </c>
      <c r="P1418" s="8">
        <f t="shared" si="205"/>
        <v>15</v>
      </c>
      <c r="Q1418" s="7" t="s">
        <v>785</v>
      </c>
      <c r="R1418" s="8">
        <f t="shared" si="206"/>
        <v>60</v>
      </c>
      <c r="U1418" s="36" t="s">
        <v>3616</v>
      </c>
      <c r="W1418" s="4"/>
      <c r="Y1418" s="15">
        <v>2.3580000000000001</v>
      </c>
      <c r="Z1418" s="7" t="s">
        <v>929</v>
      </c>
      <c r="AA1418" s="1" t="s">
        <v>1888</v>
      </c>
      <c r="AB1418" s="8">
        <f t="shared" ref="AB1418:AB1428" si="208">AB1401</f>
        <v>325</v>
      </c>
      <c r="AC1418" s="7" t="s">
        <v>929</v>
      </c>
      <c r="AD1418" s="8">
        <f t="shared" si="207"/>
        <v>766.35</v>
      </c>
      <c r="AE1418" s="51">
        <f t="shared" si="204"/>
        <v>0</v>
      </c>
    </row>
    <row r="1419" spans="6:31" ht="24" customHeight="1">
      <c r="F1419" s="8">
        <v>1.1000000000000001</v>
      </c>
      <c r="G1419" s="7" t="s">
        <v>884</v>
      </c>
      <c r="H1419" s="1" t="s">
        <v>2045</v>
      </c>
      <c r="I1419" s="8">
        <f>(C10)</f>
        <v>1041.7</v>
      </c>
      <c r="J1419" s="1" t="s">
        <v>884</v>
      </c>
      <c r="K1419" s="8">
        <f>(F1419*I1419)</f>
        <v>1145.8699999999999</v>
      </c>
      <c r="L1419">
        <f>M1458+M1459+M1460</f>
        <v>11.74</v>
      </c>
      <c r="M1419" s="15">
        <v>1.62</v>
      </c>
      <c r="N1419" s="7" t="s">
        <v>2322</v>
      </c>
      <c r="O1419" s="1" t="s">
        <v>1896</v>
      </c>
      <c r="P1419" s="8">
        <f t="shared" si="205"/>
        <v>2085.6</v>
      </c>
      <c r="Q1419" s="7" t="s">
        <v>2322</v>
      </c>
      <c r="R1419" s="8">
        <f t="shared" si="206"/>
        <v>3378.67</v>
      </c>
      <c r="S1419" s="12">
        <v>4.42</v>
      </c>
      <c r="T1419" s="7" t="s">
        <v>929</v>
      </c>
      <c r="U1419" s="1" t="s">
        <v>1888</v>
      </c>
      <c r="V1419" s="8">
        <f>P1458</f>
        <v>325</v>
      </c>
      <c r="W1419" s="2" t="s">
        <v>929</v>
      </c>
      <c r="X1419" s="51">
        <f>V1419*S1419</f>
        <v>1436.5</v>
      </c>
      <c r="Y1419" s="15">
        <f>8.08*0.663</f>
        <v>5.3570000000000002</v>
      </c>
      <c r="Z1419" s="7" t="s">
        <v>929</v>
      </c>
      <c r="AA1419" s="1" t="s">
        <v>1888</v>
      </c>
      <c r="AB1419" s="8">
        <f t="shared" si="208"/>
        <v>325</v>
      </c>
      <c r="AC1419" s="7" t="s">
        <v>929</v>
      </c>
      <c r="AD1419" s="8">
        <f t="shared" si="207"/>
        <v>1741.03</v>
      </c>
      <c r="AE1419" s="51">
        <f t="shared" si="204"/>
        <v>0</v>
      </c>
    </row>
    <row r="1420" spans="6:31" ht="24" customHeight="1">
      <c r="F1420" s="8">
        <v>1.1000000000000001</v>
      </c>
      <c r="G1420" s="7" t="s">
        <v>884</v>
      </c>
      <c r="H1420" s="1" t="s">
        <v>1937</v>
      </c>
      <c r="I1420" s="8">
        <f>(C12)</f>
        <v>679.8</v>
      </c>
      <c r="J1420" s="1" t="s">
        <v>884</v>
      </c>
      <c r="K1420" s="8">
        <f>(F1420*I1420)</f>
        <v>747.78</v>
      </c>
      <c r="N1420" s="3"/>
      <c r="O1420" s="1" t="s">
        <v>1897</v>
      </c>
      <c r="Q1420" s="4"/>
      <c r="R1420" s="8">
        <v>0.25</v>
      </c>
      <c r="S1420" s="12">
        <v>4.72</v>
      </c>
      <c r="T1420" s="7" t="s">
        <v>929</v>
      </c>
      <c r="U1420" s="1" t="s">
        <v>1888</v>
      </c>
      <c r="V1420" s="8">
        <f>P1459</f>
        <v>325</v>
      </c>
      <c r="W1420" s="2" t="s">
        <v>929</v>
      </c>
      <c r="X1420" s="51">
        <f t="shared" ref="X1420:X1430" si="209">V1420*S1420</f>
        <v>1534</v>
      </c>
      <c r="Y1420" s="15">
        <v>0.92600000000000005</v>
      </c>
      <c r="Z1420" s="7" t="s">
        <v>929</v>
      </c>
      <c r="AA1420" s="1" t="s">
        <v>1888</v>
      </c>
      <c r="AB1420" s="8">
        <f t="shared" si="208"/>
        <v>325</v>
      </c>
      <c r="AC1420" s="7" t="s">
        <v>929</v>
      </c>
      <c r="AD1420" s="8">
        <f t="shared" si="207"/>
        <v>300.95</v>
      </c>
      <c r="AE1420" s="51">
        <f t="shared" si="204"/>
        <v>0</v>
      </c>
    </row>
    <row r="1421" spans="6:31" ht="24" customHeight="1">
      <c r="F1421" s="8">
        <v>1.1000000000000001</v>
      </c>
      <c r="G1421" s="7" t="s">
        <v>884</v>
      </c>
      <c r="H1421" s="1" t="s">
        <v>325</v>
      </c>
      <c r="I1421" s="8">
        <f>(C13)</f>
        <v>557.70000000000005</v>
      </c>
      <c r="J1421" s="1" t="s">
        <v>884</v>
      </c>
      <c r="K1421" s="8">
        <f>(F1421*I1421)</f>
        <v>613.47</v>
      </c>
      <c r="R1421" s="38">
        <f>SUM(R1408:R1420)</f>
        <v>9840.4500000000007</v>
      </c>
      <c r="S1421" s="12">
        <v>9.06</v>
      </c>
      <c r="T1421" s="7" t="s">
        <v>929</v>
      </c>
      <c r="U1421" s="1" t="s">
        <v>1888</v>
      </c>
      <c r="V1421" s="8">
        <f>P1460</f>
        <v>325</v>
      </c>
      <c r="W1421" s="2" t="s">
        <v>929</v>
      </c>
      <c r="X1421" s="51">
        <f t="shared" si="209"/>
        <v>2944.5</v>
      </c>
      <c r="Y1421" s="15">
        <v>0.85</v>
      </c>
      <c r="Z1421" s="7" t="s">
        <v>236</v>
      </c>
      <c r="AA1421" s="1" t="s">
        <v>1889</v>
      </c>
      <c r="AB1421" s="8">
        <f t="shared" si="208"/>
        <v>306.89999999999998</v>
      </c>
      <c r="AC1421" s="7" t="s">
        <v>236</v>
      </c>
      <c r="AD1421" s="8">
        <f t="shared" si="207"/>
        <v>260.87</v>
      </c>
      <c r="AE1421" s="51">
        <f t="shared" si="204"/>
        <v>0</v>
      </c>
    </row>
    <row r="1422" spans="6:31" ht="24" customHeight="1">
      <c r="G1422" s="7" t="s">
        <v>455</v>
      </c>
      <c r="H1422" s="1" t="s">
        <v>456</v>
      </c>
      <c r="I1422" s="1" t="s">
        <v>992</v>
      </c>
      <c r="J1422" s="1" t="s">
        <v>455</v>
      </c>
      <c r="K1422" s="8">
        <v>5</v>
      </c>
      <c r="M1422" s="8"/>
      <c r="N1422" s="7"/>
      <c r="O1422" s="1"/>
      <c r="P1422" s="8"/>
      <c r="Q1422" s="2"/>
      <c r="R1422" s="8"/>
      <c r="S1422" s="12">
        <v>1.58</v>
      </c>
      <c r="T1422" s="7" t="s">
        <v>929</v>
      </c>
      <c r="U1422" s="1" t="s">
        <v>1888</v>
      </c>
      <c r="V1422" s="8">
        <f>P1461</f>
        <v>325</v>
      </c>
      <c r="W1422" s="2" t="s">
        <v>929</v>
      </c>
      <c r="X1422" s="51">
        <f t="shared" si="209"/>
        <v>513.5</v>
      </c>
      <c r="Y1422" s="15">
        <v>7.4720000000000004</v>
      </c>
      <c r="Z1422" s="7" t="s">
        <v>842</v>
      </c>
      <c r="AA1422" s="1" t="s">
        <v>1890</v>
      </c>
      <c r="AB1422" s="8">
        <f t="shared" si="208"/>
        <v>29.05</v>
      </c>
      <c r="AC1422" s="7" t="s">
        <v>842</v>
      </c>
      <c r="AD1422" s="8">
        <f t="shared" si="207"/>
        <v>217.06</v>
      </c>
      <c r="AE1422" s="51">
        <f t="shared" si="204"/>
        <v>0</v>
      </c>
    </row>
    <row r="1423" spans="6:31" ht="24" customHeight="1">
      <c r="K1423" s="5" t="s">
        <v>1615</v>
      </c>
      <c r="M1423" s="8"/>
      <c r="N1423" s="7"/>
      <c r="O1423" s="1"/>
      <c r="P1423" s="8"/>
      <c r="Q1423" s="2"/>
      <c r="R1423" s="8"/>
      <c r="S1423" s="12">
        <v>1.65</v>
      </c>
      <c r="T1423" s="7" t="s">
        <v>236</v>
      </c>
      <c r="U1423" s="1" t="s">
        <v>1889</v>
      </c>
      <c r="V1423" s="8">
        <f>P1429</f>
        <v>306.89999999999998</v>
      </c>
      <c r="W1423" s="2" t="s">
        <v>236</v>
      </c>
      <c r="X1423" s="51">
        <f t="shared" si="209"/>
        <v>506.39</v>
      </c>
      <c r="Y1423" s="15">
        <v>8</v>
      </c>
      <c r="Z1423" s="7" t="s">
        <v>785</v>
      </c>
      <c r="AA1423" s="1" t="s">
        <v>1891</v>
      </c>
      <c r="AB1423" s="8">
        <f t="shared" si="208"/>
        <v>71.900000000000006</v>
      </c>
      <c r="AC1423" s="7" t="s">
        <v>785</v>
      </c>
      <c r="AD1423" s="8">
        <f t="shared" si="207"/>
        <v>575.20000000000005</v>
      </c>
      <c r="AE1423" s="51">
        <f t="shared" si="204"/>
        <v>0</v>
      </c>
    </row>
    <row r="1424" spans="6:31" ht="24" customHeight="1">
      <c r="H1424" s="1" t="s">
        <v>447</v>
      </c>
      <c r="K1424" s="8">
        <f>SUM(K1418:K1422)</f>
        <v>2975.01</v>
      </c>
      <c r="N1424" s="3"/>
      <c r="O1424" s="216" t="s">
        <v>3554</v>
      </c>
      <c r="Q1424" s="10"/>
      <c r="S1424" s="12">
        <v>12.74</v>
      </c>
      <c r="T1424" s="7" t="s">
        <v>842</v>
      </c>
      <c r="U1424" s="1" t="s">
        <v>1890</v>
      </c>
      <c r="V1424" s="8">
        <f>P1463</f>
        <v>29.05</v>
      </c>
      <c r="W1424" s="2" t="s">
        <v>842</v>
      </c>
      <c r="X1424" s="51">
        <f t="shared" si="209"/>
        <v>370.1</v>
      </c>
      <c r="Y1424" s="15">
        <v>4</v>
      </c>
      <c r="Z1424" s="7" t="s">
        <v>785</v>
      </c>
      <c r="AA1424" s="1" t="s">
        <v>1892</v>
      </c>
      <c r="AB1424" s="8">
        <f t="shared" si="208"/>
        <v>57.65</v>
      </c>
      <c r="AC1424" s="7" t="s">
        <v>785</v>
      </c>
      <c r="AD1424" s="8">
        <f t="shared" si="207"/>
        <v>230.6</v>
      </c>
      <c r="AE1424" s="51">
        <f t="shared" si="204"/>
        <v>0</v>
      </c>
    </row>
    <row r="1425" spans="6:31" ht="24" customHeight="1">
      <c r="H1425" s="4"/>
      <c r="K1425" s="5" t="s">
        <v>1615</v>
      </c>
      <c r="M1425" s="15">
        <v>2.79</v>
      </c>
      <c r="N1425" s="7" t="s">
        <v>929</v>
      </c>
      <c r="O1425" s="504" t="s">
        <v>4444</v>
      </c>
      <c r="P1425" s="8">
        <f>P1408</f>
        <v>325</v>
      </c>
      <c r="Q1425" s="7" t="s">
        <v>929</v>
      </c>
      <c r="R1425" s="8">
        <f>P1425*M1425</f>
        <v>906.75</v>
      </c>
      <c r="S1425" s="12">
        <v>12</v>
      </c>
      <c r="T1425" s="7" t="s">
        <v>785</v>
      </c>
      <c r="U1425" s="1" t="s">
        <v>1891</v>
      </c>
      <c r="V1425" s="8">
        <f>P1464</f>
        <v>71.900000000000006</v>
      </c>
      <c r="W1425" s="2" t="s">
        <v>785</v>
      </c>
      <c r="X1425" s="51">
        <f t="shared" si="209"/>
        <v>862.8</v>
      </c>
      <c r="Y1425" s="15">
        <v>4</v>
      </c>
      <c r="Z1425" s="7" t="s">
        <v>785</v>
      </c>
      <c r="AA1425" s="1" t="s">
        <v>1893</v>
      </c>
      <c r="AB1425" s="8">
        <f t="shared" si="208"/>
        <v>30</v>
      </c>
      <c r="AC1425" s="7" t="s">
        <v>785</v>
      </c>
      <c r="AD1425" s="8">
        <f t="shared" si="207"/>
        <v>120</v>
      </c>
      <c r="AE1425" s="51">
        <f t="shared" si="204"/>
        <v>0</v>
      </c>
    </row>
    <row r="1426" spans="6:31" ht="24" customHeight="1">
      <c r="H1426" s="58" t="s">
        <v>562</v>
      </c>
      <c r="I1426" s="36"/>
      <c r="J1426" s="98"/>
      <c r="K1426" s="38">
        <f>(K1424/10)</f>
        <v>297.5</v>
      </c>
      <c r="M1426" s="15">
        <v>0.5</v>
      </c>
      <c r="N1426" s="7" t="s">
        <v>929</v>
      </c>
      <c r="O1426" s="1" t="s">
        <v>1888</v>
      </c>
      <c r="P1426" s="8">
        <f t="shared" ref="P1426:P1436" si="210">P1409</f>
        <v>325</v>
      </c>
      <c r="Q1426" s="7" t="s">
        <v>929</v>
      </c>
      <c r="R1426" s="8">
        <f t="shared" ref="R1426:R1436" si="211">P1426*M1426</f>
        <v>162.5</v>
      </c>
      <c r="S1426" s="12">
        <v>6</v>
      </c>
      <c r="T1426" s="7" t="s">
        <v>785</v>
      </c>
      <c r="U1426" s="1" t="s">
        <v>1892</v>
      </c>
      <c r="V1426" s="8">
        <f>P1465</f>
        <v>57.65</v>
      </c>
      <c r="W1426" s="2" t="s">
        <v>785</v>
      </c>
      <c r="X1426" s="51">
        <f t="shared" si="209"/>
        <v>345.9</v>
      </c>
      <c r="Y1426" s="15">
        <v>4</v>
      </c>
      <c r="Z1426" s="7" t="s">
        <v>785</v>
      </c>
      <c r="AA1426" s="1" t="s">
        <v>1894</v>
      </c>
      <c r="AB1426" s="8">
        <f t="shared" si="208"/>
        <v>20</v>
      </c>
      <c r="AC1426" s="7" t="s">
        <v>785</v>
      </c>
      <c r="AD1426" s="8">
        <f t="shared" si="207"/>
        <v>80</v>
      </c>
      <c r="AE1426" s="51">
        <f t="shared" si="204"/>
        <v>0</v>
      </c>
    </row>
    <row r="1427" spans="6:31" ht="24" customHeight="1">
      <c r="K1427" s="5" t="s">
        <v>2091</v>
      </c>
      <c r="M1427" s="15">
        <v>2.85</v>
      </c>
      <c r="N1427" s="7" t="s">
        <v>929</v>
      </c>
      <c r="O1427" s="1" t="s">
        <v>1888</v>
      </c>
      <c r="P1427" s="8">
        <f t="shared" si="210"/>
        <v>325</v>
      </c>
      <c r="Q1427" s="7" t="s">
        <v>929</v>
      </c>
      <c r="R1427" s="8">
        <f t="shared" si="211"/>
        <v>926.25</v>
      </c>
      <c r="S1427" s="12">
        <v>6</v>
      </c>
      <c r="T1427" s="7" t="s">
        <v>785</v>
      </c>
      <c r="U1427" s="1" t="s">
        <v>1893</v>
      </c>
      <c r="V1427" s="536">
        <v>30</v>
      </c>
      <c r="W1427" s="2" t="s">
        <v>785</v>
      </c>
      <c r="X1427" s="51">
        <f t="shared" si="209"/>
        <v>180</v>
      </c>
      <c r="Y1427" s="15">
        <v>4</v>
      </c>
      <c r="Z1427" s="7" t="s">
        <v>785</v>
      </c>
      <c r="AA1427" s="1" t="s">
        <v>1895</v>
      </c>
      <c r="AB1427" s="8">
        <f t="shared" si="208"/>
        <v>15</v>
      </c>
      <c r="AC1427" s="7" t="s">
        <v>785</v>
      </c>
      <c r="AD1427" s="8">
        <f t="shared" si="207"/>
        <v>60</v>
      </c>
      <c r="AE1427" s="51">
        <f t="shared" si="204"/>
        <v>0</v>
      </c>
    </row>
    <row r="1428" spans="6:31" ht="24" customHeight="1">
      <c r="M1428" s="15">
        <v>0.5</v>
      </c>
      <c r="N1428" s="7" t="s">
        <v>929</v>
      </c>
      <c r="O1428" s="1" t="s">
        <v>1888</v>
      </c>
      <c r="P1428" s="8">
        <f t="shared" si="210"/>
        <v>325</v>
      </c>
      <c r="Q1428" s="7" t="s">
        <v>929</v>
      </c>
      <c r="R1428" s="8">
        <f t="shared" si="211"/>
        <v>162.5</v>
      </c>
      <c r="S1428" s="12">
        <v>6</v>
      </c>
      <c r="T1428" s="7" t="s">
        <v>785</v>
      </c>
      <c r="U1428" s="1" t="s">
        <v>1894</v>
      </c>
      <c r="V1428" s="536">
        <v>20</v>
      </c>
      <c r="W1428" s="2" t="s">
        <v>785</v>
      </c>
      <c r="X1428" s="51">
        <f t="shared" si="209"/>
        <v>120</v>
      </c>
      <c r="Y1428" s="15">
        <v>1.08</v>
      </c>
      <c r="Z1428" s="7" t="s">
        <v>2322</v>
      </c>
      <c r="AA1428" s="1" t="s">
        <v>1896</v>
      </c>
      <c r="AB1428" s="8">
        <f t="shared" si="208"/>
        <v>2085.6</v>
      </c>
      <c r="AC1428" s="7" t="s">
        <v>2322</v>
      </c>
      <c r="AD1428" s="8">
        <f t="shared" si="207"/>
        <v>2252.4499999999998</v>
      </c>
      <c r="AE1428" s="51">
        <f t="shared" si="204"/>
        <v>0</v>
      </c>
    </row>
    <row r="1429" spans="6:31" ht="24" customHeight="1">
      <c r="G1429" s="7" t="s">
        <v>2290</v>
      </c>
      <c r="H1429" s="1" t="s">
        <v>858</v>
      </c>
      <c r="M1429" s="15">
        <v>0.47099999999999997</v>
      </c>
      <c r="N1429" s="7" t="s">
        <v>236</v>
      </c>
      <c r="O1429" s="1" t="s">
        <v>1889</v>
      </c>
      <c r="P1429" s="536">
        <f t="shared" si="210"/>
        <v>306.89999999999998</v>
      </c>
      <c r="Q1429" s="7" t="s">
        <v>236</v>
      </c>
      <c r="R1429" s="8">
        <f t="shared" si="211"/>
        <v>144.55000000000001</v>
      </c>
      <c r="S1429" s="12">
        <v>4</v>
      </c>
      <c r="T1429" s="7" t="s">
        <v>785</v>
      </c>
      <c r="U1429" s="1" t="s">
        <v>1895</v>
      </c>
      <c r="V1429" s="536">
        <v>15</v>
      </c>
      <c r="W1429" s="2" t="s">
        <v>785</v>
      </c>
      <c r="X1429" s="51">
        <f t="shared" si="209"/>
        <v>60</v>
      </c>
      <c r="Z1429" s="3"/>
      <c r="AA1429" s="1" t="s">
        <v>1897</v>
      </c>
      <c r="AC1429" s="4"/>
      <c r="AD1429" s="8">
        <v>0.96</v>
      </c>
      <c r="AE1429" s="51">
        <f t="shared" si="204"/>
        <v>0</v>
      </c>
    </row>
    <row r="1430" spans="6:31" ht="24" customHeight="1">
      <c r="H1430" s="1" t="s">
        <v>859</v>
      </c>
      <c r="M1430" s="15">
        <v>3.996</v>
      </c>
      <c r="N1430" s="7" t="s">
        <v>842</v>
      </c>
      <c r="O1430" s="504" t="s">
        <v>4447</v>
      </c>
      <c r="P1430" s="8">
        <f t="shared" si="210"/>
        <v>29.05</v>
      </c>
      <c r="Q1430" s="7" t="s">
        <v>842</v>
      </c>
      <c r="R1430" s="8">
        <f t="shared" si="211"/>
        <v>116.08</v>
      </c>
      <c r="S1430" s="12">
        <f>1.5*1.35</f>
        <v>2.0249999999999999</v>
      </c>
      <c r="T1430" s="7" t="s">
        <v>2322</v>
      </c>
      <c r="U1430" s="1" t="s">
        <v>1896</v>
      </c>
      <c r="V1430" s="8">
        <f>P1469</f>
        <v>2085.6</v>
      </c>
      <c r="W1430" s="2" t="s">
        <v>2322</v>
      </c>
      <c r="X1430" s="8">
        <f t="shared" si="209"/>
        <v>4223.34</v>
      </c>
      <c r="AA1430" s="41" t="s">
        <v>3615</v>
      </c>
      <c r="AD1430" s="38">
        <f>SUM(AD1417:AD1429)</f>
        <v>7663.35</v>
      </c>
      <c r="AE1430" s="51">
        <f t="shared" si="204"/>
        <v>0</v>
      </c>
    </row>
    <row r="1431" spans="6:31" ht="24" customHeight="1">
      <c r="H1431" s="1" t="s">
        <v>860</v>
      </c>
      <c r="M1431" s="15">
        <v>4</v>
      </c>
      <c r="N1431" s="7" t="s">
        <v>785</v>
      </c>
      <c r="O1431" s="504" t="s">
        <v>4445</v>
      </c>
      <c r="P1431" s="8">
        <f t="shared" si="210"/>
        <v>71.900000000000006</v>
      </c>
      <c r="Q1431" s="7" t="s">
        <v>785</v>
      </c>
      <c r="R1431" s="8">
        <f t="shared" si="211"/>
        <v>287.60000000000002</v>
      </c>
      <c r="T1431" s="3"/>
      <c r="U1431" s="1" t="s">
        <v>1897</v>
      </c>
      <c r="W1431" s="4"/>
      <c r="X1431" s="8">
        <v>0.31</v>
      </c>
      <c r="AE1431" s="51">
        <f t="shared" si="204"/>
        <v>0</v>
      </c>
    </row>
    <row r="1432" spans="6:31" ht="24" customHeight="1">
      <c r="H1432" s="5" t="s">
        <v>1615</v>
      </c>
      <c r="M1432" s="15">
        <v>2</v>
      </c>
      <c r="N1432" s="7" t="s">
        <v>785</v>
      </c>
      <c r="O1432" s="504" t="s">
        <v>4446</v>
      </c>
      <c r="P1432" s="8">
        <f t="shared" si="210"/>
        <v>57.65</v>
      </c>
      <c r="Q1432" s="7" t="s">
        <v>785</v>
      </c>
      <c r="R1432" s="8">
        <f t="shared" si="211"/>
        <v>115.3</v>
      </c>
      <c r="U1432" s="41" t="s">
        <v>3615</v>
      </c>
      <c r="W1432" s="4"/>
      <c r="X1432" s="38">
        <f>SUM(X1419:X1431)</f>
        <v>13097.34</v>
      </c>
      <c r="AE1432" s="51">
        <f t="shared" si="204"/>
        <v>0</v>
      </c>
    </row>
    <row r="1433" spans="6:31" ht="24" customHeight="1">
      <c r="F1433" s="8">
        <v>0.14000000000000001</v>
      </c>
      <c r="G1433" s="7" t="s">
        <v>885</v>
      </c>
      <c r="H1433" s="1" t="s">
        <v>1377</v>
      </c>
      <c r="I1433" s="8">
        <f>(K32)</f>
        <v>4628.8999999999996</v>
      </c>
      <c r="J1433" s="1" t="s">
        <v>885</v>
      </c>
      <c r="K1433" s="8">
        <f>(F1433*I1433)</f>
        <v>648.04999999999995</v>
      </c>
      <c r="M1433" s="15">
        <v>2</v>
      </c>
      <c r="N1433" s="7" t="s">
        <v>785</v>
      </c>
      <c r="O1433" s="1" t="s">
        <v>1893</v>
      </c>
      <c r="P1433" s="8">
        <f t="shared" si="210"/>
        <v>30</v>
      </c>
      <c r="Q1433" s="7" t="s">
        <v>785</v>
      </c>
      <c r="R1433" s="8">
        <f t="shared" si="211"/>
        <v>60</v>
      </c>
      <c r="U1433">
        <f>2.025</f>
        <v>2.0299999999999998</v>
      </c>
      <c r="W1433" s="4"/>
      <c r="Y1433" s="50"/>
      <c r="Z1433" s="3"/>
      <c r="AA1433" s="216" t="s">
        <v>3580</v>
      </c>
      <c r="AB1433" s="72" t="s">
        <v>2398</v>
      </c>
      <c r="AC1433" s="72"/>
      <c r="AD1433" s="72"/>
      <c r="AE1433" s="51">
        <f t="shared" si="204"/>
        <v>0</v>
      </c>
    </row>
    <row r="1434" spans="6:31" ht="24" customHeight="1">
      <c r="F1434" s="8">
        <v>1.1000000000000001</v>
      </c>
      <c r="G1434" s="7" t="s">
        <v>884</v>
      </c>
      <c r="H1434" s="1" t="s">
        <v>2045</v>
      </c>
      <c r="I1434" s="8">
        <f>(C10)</f>
        <v>1041.7</v>
      </c>
      <c r="J1434" s="1" t="s">
        <v>884</v>
      </c>
      <c r="K1434" s="8">
        <f>(F1434*I1434)</f>
        <v>1145.8699999999999</v>
      </c>
      <c r="M1434" s="15">
        <v>2</v>
      </c>
      <c r="N1434" s="7" t="s">
        <v>785</v>
      </c>
      <c r="O1434" s="1" t="s">
        <v>1894</v>
      </c>
      <c r="P1434" s="8">
        <f t="shared" si="210"/>
        <v>20</v>
      </c>
      <c r="Q1434" s="7" t="s">
        <v>785</v>
      </c>
      <c r="R1434" s="8">
        <f t="shared" si="211"/>
        <v>40</v>
      </c>
      <c r="W1434" s="4"/>
      <c r="Y1434" s="12">
        <v>4.21</v>
      </c>
      <c r="Z1434" s="7" t="s">
        <v>929</v>
      </c>
      <c r="AA1434" s="1" t="s">
        <v>1888</v>
      </c>
      <c r="AB1434" s="8">
        <f>V1436</f>
        <v>325</v>
      </c>
      <c r="AC1434" s="7" t="s">
        <v>929</v>
      </c>
      <c r="AD1434" s="8">
        <f>AB1434*Y1434</f>
        <v>1368.25</v>
      </c>
      <c r="AE1434" s="51">
        <f t="shared" si="204"/>
        <v>0</v>
      </c>
    </row>
    <row r="1435" spans="6:31" ht="24" customHeight="1">
      <c r="F1435" s="8">
        <v>0.5</v>
      </c>
      <c r="G1435" s="7" t="s">
        <v>884</v>
      </c>
      <c r="H1435" s="1" t="s">
        <v>1937</v>
      </c>
      <c r="I1435" s="8">
        <f>(C12)</f>
        <v>679.8</v>
      </c>
      <c r="J1435" s="1" t="s">
        <v>884</v>
      </c>
      <c r="K1435" s="8">
        <f>(F1435*I1435)</f>
        <v>339.9</v>
      </c>
      <c r="M1435" s="15">
        <v>4</v>
      </c>
      <c r="N1435" s="7" t="s">
        <v>785</v>
      </c>
      <c r="O1435" s="1" t="s">
        <v>1895</v>
      </c>
      <c r="P1435" s="8">
        <f t="shared" si="210"/>
        <v>15</v>
      </c>
      <c r="Q1435" s="7" t="s">
        <v>785</v>
      </c>
      <c r="R1435" s="8">
        <f t="shared" si="211"/>
        <v>60</v>
      </c>
      <c r="T1435" s="3"/>
      <c r="U1435" s="216" t="s">
        <v>3814</v>
      </c>
      <c r="V1435" s="72" t="s">
        <v>2398</v>
      </c>
      <c r="W1435" s="39"/>
      <c r="X1435" s="72"/>
      <c r="Y1435" s="12">
        <v>0.40500000000000003</v>
      </c>
      <c r="Z1435" s="7" t="s">
        <v>236</v>
      </c>
      <c r="AA1435" s="1" t="s">
        <v>1889</v>
      </c>
      <c r="AB1435" s="8">
        <f>V1437</f>
        <v>306.89999999999998</v>
      </c>
      <c r="AC1435" s="7" t="s">
        <v>929</v>
      </c>
      <c r="AD1435" s="8">
        <f>AB1435*Y1435</f>
        <v>124.29</v>
      </c>
      <c r="AE1435" s="51">
        <f t="shared" si="204"/>
        <v>0</v>
      </c>
    </row>
    <row r="1436" spans="6:31" ht="24" customHeight="1">
      <c r="F1436" s="8">
        <v>1.1000000000000001</v>
      </c>
      <c r="G1436" s="7" t="s">
        <v>884</v>
      </c>
      <c r="H1436" s="1" t="s">
        <v>325</v>
      </c>
      <c r="I1436" s="8">
        <f>(C13)</f>
        <v>557.70000000000005</v>
      </c>
      <c r="J1436" s="1" t="s">
        <v>884</v>
      </c>
      <c r="K1436" s="8">
        <f>(F1436*I1436)</f>
        <v>613.47</v>
      </c>
      <c r="M1436" s="15">
        <v>0.60799999999999998</v>
      </c>
      <c r="N1436" s="7" t="s">
        <v>2322</v>
      </c>
      <c r="O1436" s="1" t="s">
        <v>1896</v>
      </c>
      <c r="P1436" s="8">
        <f t="shared" si="210"/>
        <v>2085.6</v>
      </c>
      <c r="Q1436" s="7" t="s">
        <v>2322</v>
      </c>
      <c r="R1436" s="8">
        <f t="shared" si="211"/>
        <v>1268.04</v>
      </c>
      <c r="S1436" s="12">
        <v>3.7389999999999999</v>
      </c>
      <c r="T1436" s="7" t="s">
        <v>929</v>
      </c>
      <c r="U1436" s="1" t="s">
        <v>1888</v>
      </c>
      <c r="V1436" s="8">
        <f>P1475</f>
        <v>325</v>
      </c>
      <c r="W1436" s="2" t="s">
        <v>929</v>
      </c>
      <c r="X1436" s="8">
        <f>V1436*S1436</f>
        <v>1215.18</v>
      </c>
      <c r="Y1436" s="12">
        <v>0.40500000000000003</v>
      </c>
      <c r="Z1436" s="7" t="s">
        <v>236</v>
      </c>
      <c r="AA1436" s="1" t="s">
        <v>1896</v>
      </c>
      <c r="AB1436" s="8">
        <f>V1438</f>
        <v>2085.6</v>
      </c>
      <c r="AC1436" s="7" t="s">
        <v>929</v>
      </c>
      <c r="AD1436" s="8">
        <f>AB1436*Y1436</f>
        <v>844.67</v>
      </c>
      <c r="AE1436" s="51">
        <f t="shared" si="204"/>
        <v>0</v>
      </c>
    </row>
    <row r="1437" spans="6:31" ht="24" customHeight="1">
      <c r="F1437" s="8">
        <v>2</v>
      </c>
      <c r="G1437" s="7" t="s">
        <v>1676</v>
      </c>
      <c r="H1437" s="1" t="s">
        <v>861</v>
      </c>
      <c r="I1437" s="8">
        <f>(C653)</f>
        <v>42.7</v>
      </c>
      <c r="J1437" s="1" t="s">
        <v>1676</v>
      </c>
      <c r="K1437" s="8">
        <f>(F1437*I1437)</f>
        <v>85.4</v>
      </c>
      <c r="N1437" s="3"/>
      <c r="O1437" s="1" t="s">
        <v>1897</v>
      </c>
      <c r="Q1437" s="4"/>
      <c r="R1437" s="8">
        <v>0.57999999999999996</v>
      </c>
      <c r="S1437" s="12">
        <v>0.36</v>
      </c>
      <c r="T1437" s="7" t="s">
        <v>236</v>
      </c>
      <c r="U1437" s="1" t="s">
        <v>1889</v>
      </c>
      <c r="V1437" s="8">
        <f>P1476</f>
        <v>306.89999999999998</v>
      </c>
      <c r="W1437" s="2" t="s">
        <v>929</v>
      </c>
      <c r="X1437" s="8">
        <f>V1437*S1437</f>
        <v>110.48</v>
      </c>
      <c r="Y1437" s="12"/>
      <c r="Z1437" s="7"/>
      <c r="AA1437" s="1"/>
      <c r="AB1437" s="8"/>
      <c r="AC1437" s="7"/>
      <c r="AD1437" s="8">
        <f>SUM(AD1434:AD1436)</f>
        <v>2337.21</v>
      </c>
      <c r="AE1437" s="51">
        <f t="shared" si="204"/>
        <v>0</v>
      </c>
    </row>
    <row r="1438" spans="6:31" ht="24" customHeight="1">
      <c r="G1438" s="7" t="s">
        <v>455</v>
      </c>
      <c r="H1438" s="1" t="s">
        <v>456</v>
      </c>
      <c r="I1438" s="1" t="s">
        <v>992</v>
      </c>
      <c r="J1438" s="1" t="s">
        <v>455</v>
      </c>
      <c r="K1438" s="8">
        <v>5</v>
      </c>
      <c r="R1438" s="38">
        <f>SUM(R1425:R1437)</f>
        <v>4250.1499999999996</v>
      </c>
      <c r="S1438" s="12">
        <v>0.36</v>
      </c>
      <c r="T1438" s="7" t="s">
        <v>236</v>
      </c>
      <c r="U1438" s="1" t="s">
        <v>1896</v>
      </c>
      <c r="V1438" s="8">
        <f>P1477</f>
        <v>2085.6</v>
      </c>
      <c r="W1438" s="2" t="s">
        <v>929</v>
      </c>
      <c r="X1438" s="8">
        <f>V1438*S1438</f>
        <v>750.82</v>
      </c>
      <c r="Y1438" s="12"/>
      <c r="Z1438" s="7"/>
      <c r="AA1438" s="41" t="s">
        <v>3614</v>
      </c>
      <c r="AB1438" s="8"/>
      <c r="AC1438" s="7"/>
      <c r="AD1438" s="38">
        <f>AD1437/Y1436</f>
        <v>5770.89</v>
      </c>
      <c r="AE1438" s="51">
        <f t="shared" si="204"/>
        <v>0</v>
      </c>
    </row>
    <row r="1439" spans="6:31" ht="24" customHeight="1">
      <c r="K1439" s="5" t="s">
        <v>1615</v>
      </c>
      <c r="M1439" s="8"/>
      <c r="N1439" s="7"/>
      <c r="O1439" s="1"/>
      <c r="P1439" s="8"/>
      <c r="Q1439" s="2"/>
      <c r="R1439" s="8"/>
      <c r="S1439" s="12"/>
      <c r="T1439" s="7"/>
      <c r="U1439" s="1"/>
      <c r="V1439" s="8"/>
      <c r="W1439" s="2"/>
      <c r="X1439" s="8">
        <f>SUM(X1436:X1438)</f>
        <v>2076.48</v>
      </c>
      <c r="AE1439" s="51">
        <f t="shared" si="204"/>
        <v>0</v>
      </c>
    </row>
    <row r="1440" spans="6:31" ht="24" customHeight="1">
      <c r="F1440" s="1" t="s">
        <v>992</v>
      </c>
      <c r="H1440" s="1" t="s">
        <v>447</v>
      </c>
      <c r="K1440" s="8">
        <f>SUM(K1433:K1438)</f>
        <v>2837.69</v>
      </c>
      <c r="N1440" s="3"/>
      <c r="O1440" s="216" t="s">
        <v>3561</v>
      </c>
      <c r="Q1440" s="10"/>
      <c r="S1440" s="12"/>
      <c r="T1440" s="7"/>
      <c r="U1440" s="41" t="s">
        <v>3614</v>
      </c>
      <c r="V1440" s="8"/>
      <c r="W1440" s="2"/>
      <c r="X1440" s="38">
        <f>X1439/S1438</f>
        <v>5768</v>
      </c>
      <c r="AE1440" s="51">
        <f t="shared" si="204"/>
        <v>0</v>
      </c>
    </row>
    <row r="1441" spans="6:31" ht="24" customHeight="1">
      <c r="H1441" s="36"/>
      <c r="I1441" s="36"/>
      <c r="J1441" s="98"/>
      <c r="K1441" s="40" t="s">
        <v>1615</v>
      </c>
      <c r="M1441" s="15">
        <v>5.35</v>
      </c>
      <c r="N1441" s="7" t="s">
        <v>929</v>
      </c>
      <c r="O1441" s="504" t="s">
        <v>4444</v>
      </c>
      <c r="P1441" s="8">
        <f>P1425</f>
        <v>325</v>
      </c>
      <c r="Q1441" s="7" t="s">
        <v>929</v>
      </c>
      <c r="R1441" s="8">
        <f>P1441*M1441</f>
        <v>1738.75</v>
      </c>
      <c r="W1441" s="4"/>
      <c r="AE1441" s="51">
        <f t="shared" si="204"/>
        <v>0</v>
      </c>
    </row>
    <row r="1442" spans="6:31" ht="24" customHeight="1">
      <c r="H1442" s="58" t="s">
        <v>562</v>
      </c>
      <c r="I1442" s="36"/>
      <c r="J1442" s="98"/>
      <c r="K1442" s="38">
        <f>(K1440/10)</f>
        <v>283.77</v>
      </c>
      <c r="M1442" s="15">
        <v>7.58</v>
      </c>
      <c r="N1442" s="7" t="s">
        <v>929</v>
      </c>
      <c r="O1442" s="1" t="s">
        <v>1888</v>
      </c>
      <c r="P1442" s="8">
        <f t="shared" ref="P1442:P1452" si="212">P1426</f>
        <v>325</v>
      </c>
      <c r="Q1442" s="7" t="s">
        <v>929</v>
      </c>
      <c r="R1442" s="8">
        <f t="shared" ref="R1442:R1452" si="213">P1442*M1442</f>
        <v>2463.5</v>
      </c>
      <c r="T1442" s="3"/>
      <c r="U1442" s="216" t="s">
        <v>3815</v>
      </c>
      <c r="V1442" s="72" t="s">
        <v>2398</v>
      </c>
      <c r="W1442" s="4"/>
      <c r="AE1442" s="51">
        <f t="shared" si="204"/>
        <v>0</v>
      </c>
    </row>
    <row r="1443" spans="6:31" ht="24" customHeight="1">
      <c r="K1443" s="5" t="s">
        <v>2091</v>
      </c>
      <c r="M1443" s="15">
        <v>13.15</v>
      </c>
      <c r="N1443" s="7" t="s">
        <v>929</v>
      </c>
      <c r="O1443" s="1" t="s">
        <v>1888</v>
      </c>
      <c r="P1443" s="8">
        <f t="shared" si="212"/>
        <v>325</v>
      </c>
      <c r="Q1443" s="7" t="s">
        <v>929</v>
      </c>
      <c r="R1443" s="8">
        <f t="shared" si="213"/>
        <v>4273.75</v>
      </c>
      <c r="S1443" s="12">
        <v>4.21</v>
      </c>
      <c r="T1443" s="7" t="s">
        <v>929</v>
      </c>
      <c r="U1443" s="1" t="s">
        <v>1888</v>
      </c>
      <c r="V1443" s="8">
        <f>P1482</f>
        <v>325</v>
      </c>
      <c r="W1443" s="2" t="s">
        <v>929</v>
      </c>
      <c r="X1443" s="8">
        <f>V1443*S1443</f>
        <v>1368.25</v>
      </c>
      <c r="AE1443" s="51">
        <f t="shared" si="204"/>
        <v>0</v>
      </c>
    </row>
    <row r="1444" spans="6:31" ht="24" customHeight="1">
      <c r="H1444" s="1" t="s">
        <v>992</v>
      </c>
      <c r="M1444" s="15">
        <v>2.31</v>
      </c>
      <c r="N1444" s="7" t="s">
        <v>929</v>
      </c>
      <c r="O1444" s="1" t="s">
        <v>1888</v>
      </c>
      <c r="P1444" s="8">
        <f t="shared" si="212"/>
        <v>325</v>
      </c>
      <c r="Q1444" s="7" t="s">
        <v>929</v>
      </c>
      <c r="R1444" s="8">
        <f t="shared" si="213"/>
        <v>750.75</v>
      </c>
      <c r="S1444" s="12">
        <v>0.45</v>
      </c>
      <c r="T1444" s="7" t="s">
        <v>236</v>
      </c>
      <c r="U1444" s="1" t="s">
        <v>1889</v>
      </c>
      <c r="V1444" s="8">
        <f>P1483</f>
        <v>306.89999999999998</v>
      </c>
      <c r="W1444" s="2" t="s">
        <v>929</v>
      </c>
      <c r="X1444" s="8">
        <f>V1444*S1444</f>
        <v>138.11000000000001</v>
      </c>
      <c r="AE1444" s="51">
        <f t="shared" si="204"/>
        <v>0</v>
      </c>
    </row>
    <row r="1445" spans="6:31" ht="24" customHeight="1">
      <c r="M1445" s="15">
        <v>2.44</v>
      </c>
      <c r="N1445" s="7" t="s">
        <v>236</v>
      </c>
      <c r="O1445" s="1" t="s">
        <v>1889</v>
      </c>
      <c r="P1445" s="536">
        <f t="shared" si="212"/>
        <v>306.89999999999998</v>
      </c>
      <c r="Q1445" s="7" t="s">
        <v>236</v>
      </c>
      <c r="R1445" s="8">
        <f t="shared" si="213"/>
        <v>748.84</v>
      </c>
      <c r="S1445" s="12">
        <v>0.45</v>
      </c>
      <c r="T1445" s="7" t="s">
        <v>236</v>
      </c>
      <c r="U1445" s="1" t="s">
        <v>1896</v>
      </c>
      <c r="V1445" s="8">
        <f>P1484</f>
        <v>2085.6</v>
      </c>
      <c r="W1445" s="2" t="s">
        <v>929</v>
      </c>
      <c r="X1445" s="8">
        <f>V1445*S1445</f>
        <v>938.52</v>
      </c>
      <c r="AE1445" s="51">
        <f t="shared" si="204"/>
        <v>0</v>
      </c>
    </row>
    <row r="1446" spans="6:31" ht="24" customHeight="1">
      <c r="F1446" s="2" t="s">
        <v>862</v>
      </c>
      <c r="G1446" s="7" t="s">
        <v>2290</v>
      </c>
      <c r="H1446" s="1" t="s">
        <v>863</v>
      </c>
      <c r="M1446" s="15">
        <v>18.62</v>
      </c>
      <c r="N1446" s="7" t="s">
        <v>842</v>
      </c>
      <c r="O1446" s="504" t="s">
        <v>4447</v>
      </c>
      <c r="P1446" s="8">
        <f t="shared" si="212"/>
        <v>29.05</v>
      </c>
      <c r="Q1446" s="7" t="s">
        <v>842</v>
      </c>
      <c r="R1446" s="8">
        <f t="shared" si="213"/>
        <v>540.91</v>
      </c>
      <c r="S1446" s="12">
        <f>R1485-2967</f>
        <v>1249.8599999999999</v>
      </c>
      <c r="T1446" s="7"/>
      <c r="U1446" s="1"/>
      <c r="V1446" s="8"/>
      <c r="W1446" s="2"/>
      <c r="X1446" s="8">
        <f>SUM(X1443:X1445)</f>
        <v>2444.88</v>
      </c>
      <c r="AE1446" s="51">
        <f t="shared" si="204"/>
        <v>0</v>
      </c>
    </row>
    <row r="1447" spans="6:31" ht="24" customHeight="1">
      <c r="H1447" s="1" t="s">
        <v>1384</v>
      </c>
      <c r="M1447" s="15">
        <v>16</v>
      </c>
      <c r="N1447" s="7" t="s">
        <v>785</v>
      </c>
      <c r="O1447" s="504" t="s">
        <v>4445</v>
      </c>
      <c r="P1447" s="8">
        <f t="shared" si="212"/>
        <v>71.900000000000006</v>
      </c>
      <c r="Q1447" s="7" t="s">
        <v>785</v>
      </c>
      <c r="R1447" s="8">
        <f t="shared" si="213"/>
        <v>1150.4000000000001</v>
      </c>
      <c r="S1447" s="12"/>
      <c r="T1447" s="7"/>
      <c r="U1447" s="41" t="s">
        <v>3614</v>
      </c>
      <c r="V1447" s="8"/>
      <c r="W1447" s="2"/>
      <c r="X1447" s="38">
        <f>X1446/S1445</f>
        <v>5433.07</v>
      </c>
      <c r="Y1447" s="50"/>
      <c r="Z1447" s="3"/>
      <c r="AA1447" s="216" t="s">
        <v>3548</v>
      </c>
      <c r="AC1447" s="10"/>
      <c r="AE1447" s="51">
        <f t="shared" si="204"/>
        <v>0</v>
      </c>
    </row>
    <row r="1448" spans="6:31" ht="24" customHeight="1">
      <c r="H1448" s="1" t="s">
        <v>1385</v>
      </c>
      <c r="M1448" s="15">
        <v>8</v>
      </c>
      <c r="N1448" s="7" t="s">
        <v>785</v>
      </c>
      <c r="O1448" s="504" t="s">
        <v>4446</v>
      </c>
      <c r="P1448" s="8">
        <f t="shared" si="212"/>
        <v>57.65</v>
      </c>
      <c r="Q1448" s="7" t="s">
        <v>785</v>
      </c>
      <c r="R1448" s="8">
        <f t="shared" si="213"/>
        <v>461.2</v>
      </c>
      <c r="W1448" s="4"/>
      <c r="Y1448" s="12">
        <v>3.26</v>
      </c>
      <c r="Z1448" s="7" t="s">
        <v>929</v>
      </c>
      <c r="AA1448" s="1" t="s">
        <v>1888</v>
      </c>
      <c r="AB1448" s="8">
        <f t="shared" ref="AB1448:AB1459" si="214">V1450</f>
        <v>325</v>
      </c>
      <c r="AC1448" s="7" t="s">
        <v>929</v>
      </c>
      <c r="AD1448" s="8">
        <f t="shared" ref="AD1448:AD1459" si="215">AB1448*Y1448</f>
        <v>1059.5</v>
      </c>
      <c r="AE1448" s="51">
        <f t="shared" si="204"/>
        <v>0</v>
      </c>
    </row>
    <row r="1449" spans="6:31" ht="24" customHeight="1">
      <c r="H1449" s="1" t="s">
        <v>711</v>
      </c>
      <c r="M1449" s="15">
        <v>8</v>
      </c>
      <c r="N1449" s="7" t="s">
        <v>785</v>
      </c>
      <c r="O1449" s="1" t="s">
        <v>1893</v>
      </c>
      <c r="P1449" s="8">
        <f t="shared" si="212"/>
        <v>30</v>
      </c>
      <c r="Q1449" s="7" t="s">
        <v>785</v>
      </c>
      <c r="R1449" s="8">
        <f t="shared" si="213"/>
        <v>240</v>
      </c>
      <c r="T1449" s="3"/>
      <c r="U1449" s="216" t="s">
        <v>3547</v>
      </c>
      <c r="W1449" s="4"/>
      <c r="Y1449" s="12">
        <v>0.84</v>
      </c>
      <c r="Z1449" s="7" t="s">
        <v>929</v>
      </c>
      <c r="AA1449" s="1" t="s">
        <v>1888</v>
      </c>
      <c r="AB1449" s="8">
        <f t="shared" si="214"/>
        <v>325</v>
      </c>
      <c r="AC1449" s="7" t="s">
        <v>929</v>
      </c>
      <c r="AD1449" s="8">
        <f t="shared" si="215"/>
        <v>273</v>
      </c>
      <c r="AE1449" s="51">
        <f t="shared" si="204"/>
        <v>0</v>
      </c>
    </row>
    <row r="1450" spans="6:31" ht="24" customHeight="1">
      <c r="H1450" s="5" t="s">
        <v>1615</v>
      </c>
      <c r="I1450" s="5" t="s">
        <v>1615</v>
      </c>
      <c r="M1450" s="15">
        <v>8</v>
      </c>
      <c r="N1450" s="7" t="s">
        <v>785</v>
      </c>
      <c r="O1450" s="1" t="s">
        <v>1894</v>
      </c>
      <c r="P1450" s="8">
        <f t="shared" si="212"/>
        <v>20</v>
      </c>
      <c r="Q1450" s="7" t="s">
        <v>785</v>
      </c>
      <c r="R1450" s="8">
        <f t="shared" si="213"/>
        <v>160</v>
      </c>
      <c r="S1450" s="12">
        <v>3.49</v>
      </c>
      <c r="T1450" s="7" t="s">
        <v>929</v>
      </c>
      <c r="U1450" s="1" t="s">
        <v>1888</v>
      </c>
      <c r="V1450" s="8">
        <f>P1489</f>
        <v>325</v>
      </c>
      <c r="W1450" s="2" t="s">
        <v>929</v>
      </c>
      <c r="X1450" s="8">
        <f>V1450*S1450</f>
        <v>1134.25</v>
      </c>
      <c r="Y1450" s="12">
        <v>3.65</v>
      </c>
      <c r="Z1450" s="7" t="s">
        <v>929</v>
      </c>
      <c r="AA1450" s="1" t="s">
        <v>1888</v>
      </c>
      <c r="AB1450" s="8">
        <f t="shared" si="214"/>
        <v>325</v>
      </c>
      <c r="AC1450" s="7" t="s">
        <v>929</v>
      </c>
      <c r="AD1450" s="8">
        <f t="shared" si="215"/>
        <v>1186.25</v>
      </c>
      <c r="AE1450" s="51">
        <f t="shared" si="204"/>
        <v>0</v>
      </c>
    </row>
    <row r="1451" spans="6:31" ht="24" customHeight="1">
      <c r="G1451" s="7" t="s">
        <v>1942</v>
      </c>
      <c r="H1451" s="1" t="s">
        <v>712</v>
      </c>
      <c r="M1451" s="15">
        <v>4</v>
      </c>
      <c r="N1451" s="7" t="s">
        <v>785</v>
      </c>
      <c r="O1451" s="1" t="s">
        <v>1895</v>
      </c>
      <c r="P1451" s="8">
        <f t="shared" si="212"/>
        <v>15</v>
      </c>
      <c r="Q1451" s="7" t="s">
        <v>785</v>
      </c>
      <c r="R1451" s="8">
        <f t="shared" si="213"/>
        <v>60</v>
      </c>
      <c r="S1451" s="12">
        <v>2.5299999999999998</v>
      </c>
      <c r="T1451" s="7" t="s">
        <v>929</v>
      </c>
      <c r="U1451" s="1" t="s">
        <v>1888</v>
      </c>
      <c r="V1451" s="8">
        <f t="shared" ref="V1451:V1461" si="216">P1490</f>
        <v>325</v>
      </c>
      <c r="W1451" s="2" t="s">
        <v>929</v>
      </c>
      <c r="X1451" s="8">
        <f t="shared" ref="X1451:X1461" si="217">V1451*S1451</f>
        <v>822.25</v>
      </c>
      <c r="Y1451" s="12">
        <v>0.64</v>
      </c>
      <c r="Z1451" s="7" t="s">
        <v>929</v>
      </c>
      <c r="AA1451" s="1" t="s">
        <v>1888</v>
      </c>
      <c r="AB1451" s="8">
        <f t="shared" si="214"/>
        <v>325</v>
      </c>
      <c r="AC1451" s="7" t="s">
        <v>929</v>
      </c>
      <c r="AD1451" s="8">
        <f t="shared" si="215"/>
        <v>208</v>
      </c>
      <c r="AE1451" s="51">
        <f t="shared" si="204"/>
        <v>0</v>
      </c>
    </row>
    <row r="1452" spans="6:31" ht="24" customHeight="1">
      <c r="G1452" s="7" t="s">
        <v>1615</v>
      </c>
      <c r="H1452" s="5" t="s">
        <v>1615</v>
      </c>
      <c r="M1452" s="15">
        <f>1.8*1.65</f>
        <v>2.97</v>
      </c>
      <c r="N1452" s="7" t="s">
        <v>2322</v>
      </c>
      <c r="O1452" s="1" t="s">
        <v>1896</v>
      </c>
      <c r="P1452" s="8">
        <f t="shared" si="212"/>
        <v>2085.6</v>
      </c>
      <c r="Q1452" s="7" t="s">
        <v>2322</v>
      </c>
      <c r="R1452" s="8">
        <f t="shared" si="213"/>
        <v>6194.23</v>
      </c>
      <c r="S1452" s="12">
        <v>5.7549999999999999</v>
      </c>
      <c r="T1452" s="7" t="s">
        <v>929</v>
      </c>
      <c r="U1452" s="1" t="s">
        <v>1888</v>
      </c>
      <c r="V1452" s="8">
        <f t="shared" si="216"/>
        <v>325</v>
      </c>
      <c r="W1452" s="2" t="s">
        <v>929</v>
      </c>
      <c r="X1452" s="8">
        <f t="shared" si="217"/>
        <v>1870.38</v>
      </c>
      <c r="Y1452" s="12">
        <v>0.84099999999999997</v>
      </c>
      <c r="Z1452" s="7" t="s">
        <v>236</v>
      </c>
      <c r="AA1452" s="1" t="s">
        <v>1889</v>
      </c>
      <c r="AB1452" s="8">
        <f t="shared" si="214"/>
        <v>306.89999999999998</v>
      </c>
      <c r="AC1452" s="7" t="s">
        <v>236</v>
      </c>
      <c r="AD1452" s="8">
        <f t="shared" si="215"/>
        <v>258.10000000000002</v>
      </c>
      <c r="AE1452" s="51">
        <f t="shared" si="204"/>
        <v>0</v>
      </c>
    </row>
    <row r="1453" spans="6:31" ht="24" customHeight="1">
      <c r="F1453" s="15">
        <v>1.4E-2</v>
      </c>
      <c r="G1453" s="7" t="s">
        <v>2190</v>
      </c>
      <c r="H1453" s="1" t="s">
        <v>713</v>
      </c>
      <c r="I1453" s="8">
        <f>K49</f>
        <v>3469.22</v>
      </c>
      <c r="J1453" s="1" t="s">
        <v>2190</v>
      </c>
      <c r="K1453" s="8">
        <f>(F1453*I1453)</f>
        <v>48.57</v>
      </c>
      <c r="N1453" s="3"/>
      <c r="O1453" s="1" t="s">
        <v>1897</v>
      </c>
      <c r="Q1453" s="4"/>
      <c r="R1453" s="8">
        <v>0.78</v>
      </c>
      <c r="S1453" s="12">
        <v>1.0009999999999999</v>
      </c>
      <c r="T1453" s="7" t="s">
        <v>929</v>
      </c>
      <c r="U1453" s="1" t="s">
        <v>1888</v>
      </c>
      <c r="V1453" s="8">
        <f t="shared" si="216"/>
        <v>325</v>
      </c>
      <c r="W1453" s="2" t="s">
        <v>929</v>
      </c>
      <c r="X1453" s="8">
        <f t="shared" si="217"/>
        <v>325.33</v>
      </c>
      <c r="Y1453" s="12">
        <v>5.1959999999999997</v>
      </c>
      <c r="Z1453" s="7" t="s">
        <v>842</v>
      </c>
      <c r="AA1453" s="1" t="s">
        <v>1890</v>
      </c>
      <c r="AB1453" s="8">
        <f t="shared" si="214"/>
        <v>29.05</v>
      </c>
      <c r="AC1453" s="7" t="s">
        <v>842</v>
      </c>
      <c r="AD1453" s="8">
        <f t="shared" si="215"/>
        <v>150.94</v>
      </c>
      <c r="AE1453" s="51">
        <f t="shared" si="204"/>
        <v>0</v>
      </c>
    </row>
    <row r="1454" spans="6:31" ht="24" customHeight="1">
      <c r="F1454" s="8">
        <v>0.3</v>
      </c>
      <c r="G1454" s="7" t="s">
        <v>570</v>
      </c>
      <c r="H1454" s="1" t="s">
        <v>714</v>
      </c>
      <c r="I1454" s="8">
        <f>C10</f>
        <v>1041.7</v>
      </c>
      <c r="J1454" s="1" t="s">
        <v>570</v>
      </c>
      <c r="K1454" s="8">
        <f>(F1454*I1454)</f>
        <v>312.51</v>
      </c>
      <c r="R1454" s="38">
        <f>SUM(R1441:R1453)</f>
        <v>18783.11</v>
      </c>
      <c r="S1454" s="12">
        <f>1.012</f>
        <v>1.012</v>
      </c>
      <c r="T1454" s="7" t="s">
        <v>236</v>
      </c>
      <c r="U1454" s="1" t="s">
        <v>1889</v>
      </c>
      <c r="V1454" s="8">
        <f t="shared" si="216"/>
        <v>306.89999999999998</v>
      </c>
      <c r="W1454" s="2" t="s">
        <v>236</v>
      </c>
      <c r="X1454" s="8">
        <f t="shared" si="217"/>
        <v>310.58</v>
      </c>
      <c r="Y1454" s="12">
        <v>4</v>
      </c>
      <c r="Z1454" s="7" t="s">
        <v>785</v>
      </c>
      <c r="AA1454" s="1" t="s">
        <v>1891</v>
      </c>
      <c r="AB1454" s="8">
        <f t="shared" si="214"/>
        <v>71.900000000000006</v>
      </c>
      <c r="AC1454" s="7" t="s">
        <v>785</v>
      </c>
      <c r="AD1454" s="8">
        <f t="shared" si="215"/>
        <v>287.60000000000002</v>
      </c>
      <c r="AE1454" s="51">
        <f t="shared" si="204"/>
        <v>0</v>
      </c>
    </row>
    <row r="1455" spans="6:31" ht="24" customHeight="1">
      <c r="F1455" s="8">
        <v>0.3</v>
      </c>
      <c r="G1455" s="7" t="s">
        <v>570</v>
      </c>
      <c r="H1455" s="1" t="s">
        <v>839</v>
      </c>
      <c r="I1455" s="8">
        <f>C12</f>
        <v>679.8</v>
      </c>
      <c r="J1455" s="1" t="s">
        <v>570</v>
      </c>
      <c r="K1455" s="8">
        <f>(F1455*I1455)</f>
        <v>203.94</v>
      </c>
      <c r="R1455">
        <f>R1454/M1452</f>
        <v>6324.28</v>
      </c>
      <c r="S1455" s="12" t="s">
        <v>2322</v>
      </c>
      <c r="T1455" s="7" t="s">
        <v>842</v>
      </c>
      <c r="U1455" s="1" t="s">
        <v>1890</v>
      </c>
      <c r="V1455" s="8">
        <f t="shared" si="216"/>
        <v>29.05</v>
      </c>
      <c r="W1455" s="2" t="s">
        <v>842</v>
      </c>
      <c r="X1455" s="8">
        <f t="shared" si="217"/>
        <v>0</v>
      </c>
      <c r="Y1455" s="12">
        <v>2</v>
      </c>
      <c r="Z1455" s="7" t="s">
        <v>785</v>
      </c>
      <c r="AA1455" s="1" t="s">
        <v>1892</v>
      </c>
      <c r="AB1455" s="8">
        <f t="shared" si="214"/>
        <v>57.65</v>
      </c>
      <c r="AC1455" s="7" t="s">
        <v>785</v>
      </c>
      <c r="AD1455" s="8">
        <f t="shared" si="215"/>
        <v>115.3</v>
      </c>
      <c r="AE1455" s="51">
        <f t="shared" si="204"/>
        <v>0</v>
      </c>
    </row>
    <row r="1456" spans="6:31" ht="24" customHeight="1">
      <c r="G1456" s="7" t="s">
        <v>455</v>
      </c>
      <c r="H1456" s="1" t="s">
        <v>2310</v>
      </c>
      <c r="J1456" s="1" t="s">
        <v>455</v>
      </c>
      <c r="K1456">
        <v>0</v>
      </c>
      <c r="S1456" s="12">
        <v>8</v>
      </c>
      <c r="T1456" s="7" t="s">
        <v>785</v>
      </c>
      <c r="U1456" s="1" t="s">
        <v>1891</v>
      </c>
      <c r="V1456" s="8">
        <f t="shared" si="216"/>
        <v>71.900000000000006</v>
      </c>
      <c r="W1456" s="2" t="s">
        <v>785</v>
      </c>
      <c r="X1456" s="8">
        <f t="shared" si="217"/>
        <v>575.20000000000005</v>
      </c>
      <c r="Y1456" s="12">
        <v>2</v>
      </c>
      <c r="Z1456" s="7" t="s">
        <v>785</v>
      </c>
      <c r="AA1456" s="1" t="s">
        <v>1893</v>
      </c>
      <c r="AB1456" s="8">
        <f t="shared" si="214"/>
        <v>30</v>
      </c>
      <c r="AC1456" s="7" t="s">
        <v>785</v>
      </c>
      <c r="AD1456" s="8">
        <f t="shared" si="215"/>
        <v>60</v>
      </c>
      <c r="AE1456" s="51">
        <f t="shared" si="204"/>
        <v>0</v>
      </c>
    </row>
    <row r="1457" spans="6:31" ht="24" customHeight="1">
      <c r="K1457" s="5" t="s">
        <v>1615</v>
      </c>
      <c r="N1457" s="3"/>
      <c r="O1457" s="216" t="s">
        <v>2897</v>
      </c>
      <c r="Q1457" s="10"/>
      <c r="S1457" s="12">
        <v>4</v>
      </c>
      <c r="T1457" s="7" t="s">
        <v>785</v>
      </c>
      <c r="U1457" s="1" t="s">
        <v>1892</v>
      </c>
      <c r="V1457" s="8">
        <f t="shared" si="216"/>
        <v>57.65</v>
      </c>
      <c r="W1457" s="2" t="s">
        <v>785</v>
      </c>
      <c r="X1457" s="8">
        <f t="shared" si="217"/>
        <v>230.6</v>
      </c>
      <c r="Y1457" s="12">
        <v>2</v>
      </c>
      <c r="Z1457" s="7" t="s">
        <v>785</v>
      </c>
      <c r="AA1457" s="1" t="s">
        <v>1894</v>
      </c>
      <c r="AB1457" s="8">
        <f t="shared" si="214"/>
        <v>20</v>
      </c>
      <c r="AC1457" s="7" t="s">
        <v>785</v>
      </c>
      <c r="AD1457" s="8">
        <f t="shared" si="215"/>
        <v>40</v>
      </c>
      <c r="AE1457" s="51">
        <f t="shared" si="204"/>
        <v>0</v>
      </c>
    </row>
    <row r="1458" spans="6:31" ht="24" customHeight="1">
      <c r="H1458" s="2" t="s">
        <v>715</v>
      </c>
      <c r="K1458" s="8">
        <f>SUM(K1453:K1456)</f>
        <v>565.02</v>
      </c>
      <c r="M1458" s="15">
        <v>10.75</v>
      </c>
      <c r="N1458" s="7" t="s">
        <v>929</v>
      </c>
      <c r="O1458" s="504" t="s">
        <v>4444</v>
      </c>
      <c r="P1458" s="8">
        <f>P1441</f>
        <v>325</v>
      </c>
      <c r="Q1458" s="7" t="s">
        <v>929</v>
      </c>
      <c r="R1458" s="8">
        <f>P1458*M1458</f>
        <v>3493.75</v>
      </c>
      <c r="S1458" s="12">
        <v>4</v>
      </c>
      <c r="T1458" s="7" t="s">
        <v>785</v>
      </c>
      <c r="U1458" s="1" t="s">
        <v>1893</v>
      </c>
      <c r="V1458" s="8">
        <f t="shared" si="216"/>
        <v>30</v>
      </c>
      <c r="W1458" s="2" t="s">
        <v>785</v>
      </c>
      <c r="X1458" s="8">
        <f t="shared" si="217"/>
        <v>120</v>
      </c>
      <c r="Y1458" s="12">
        <v>4</v>
      </c>
      <c r="Z1458" s="7" t="s">
        <v>785</v>
      </c>
      <c r="AA1458" s="1" t="s">
        <v>1895</v>
      </c>
      <c r="AB1458" s="8">
        <f t="shared" si="214"/>
        <v>15</v>
      </c>
      <c r="AC1458" s="7" t="s">
        <v>785</v>
      </c>
      <c r="AD1458" s="8">
        <f t="shared" si="215"/>
        <v>60</v>
      </c>
      <c r="AE1458" s="51">
        <f t="shared" si="204"/>
        <v>0</v>
      </c>
    </row>
    <row r="1459" spans="6:31" ht="24" customHeight="1">
      <c r="K1459" s="5" t="s">
        <v>1615</v>
      </c>
      <c r="M1459" s="15">
        <v>0.99199999999999999</v>
      </c>
      <c r="N1459" s="7" t="s">
        <v>929</v>
      </c>
      <c r="O1459" s="1" t="s">
        <v>1888</v>
      </c>
      <c r="P1459" s="8">
        <f t="shared" ref="P1459:P1469" si="218">P1442</f>
        <v>325</v>
      </c>
      <c r="Q1459" s="7" t="s">
        <v>929</v>
      </c>
      <c r="R1459" s="8">
        <f t="shared" ref="R1459:R1469" si="219">P1459*M1459</f>
        <v>322.39999999999998</v>
      </c>
      <c r="S1459" s="12">
        <v>4</v>
      </c>
      <c r="T1459" s="7" t="s">
        <v>785</v>
      </c>
      <c r="U1459" s="1" t="s">
        <v>1894</v>
      </c>
      <c r="V1459" s="8">
        <f t="shared" si="216"/>
        <v>20</v>
      </c>
      <c r="W1459" s="2" t="s">
        <v>785</v>
      </c>
      <c r="X1459" s="8">
        <f t="shared" si="217"/>
        <v>80</v>
      </c>
      <c r="Y1459" s="12">
        <v>1.01</v>
      </c>
      <c r="Z1459" s="7" t="s">
        <v>2322</v>
      </c>
      <c r="AA1459" s="1" t="s">
        <v>1896</v>
      </c>
      <c r="AB1459" s="8">
        <f t="shared" si="214"/>
        <v>2085.6</v>
      </c>
      <c r="AC1459" s="7" t="s">
        <v>2322</v>
      </c>
      <c r="AD1459" s="8">
        <f t="shared" si="215"/>
        <v>2106.46</v>
      </c>
      <c r="AE1459" s="51">
        <f t="shared" si="204"/>
        <v>0</v>
      </c>
    </row>
    <row r="1460" spans="6:31" ht="24" customHeight="1">
      <c r="H1460" s="58" t="s">
        <v>716</v>
      </c>
      <c r="I1460" s="36"/>
      <c r="J1460" s="98"/>
      <c r="K1460" s="38">
        <f>K1458/6.77</f>
        <v>83.46</v>
      </c>
      <c r="M1460" s="15">
        <v>0</v>
      </c>
      <c r="N1460" s="7" t="s">
        <v>929</v>
      </c>
      <c r="O1460" s="1" t="s">
        <v>1888</v>
      </c>
      <c r="P1460" s="8">
        <f t="shared" si="218"/>
        <v>325</v>
      </c>
      <c r="Q1460" s="7" t="s">
        <v>929</v>
      </c>
      <c r="R1460" s="8">
        <f t="shared" si="219"/>
        <v>0</v>
      </c>
      <c r="S1460" s="12">
        <v>4</v>
      </c>
      <c r="T1460" s="7" t="s">
        <v>785</v>
      </c>
      <c r="U1460" s="1" t="s">
        <v>1895</v>
      </c>
      <c r="V1460" s="8">
        <f t="shared" si="216"/>
        <v>15</v>
      </c>
      <c r="W1460" s="2" t="s">
        <v>785</v>
      </c>
      <c r="X1460" s="8">
        <f t="shared" si="217"/>
        <v>60</v>
      </c>
      <c r="Y1460" s="50"/>
      <c r="Z1460" s="3"/>
      <c r="AA1460" s="1" t="s">
        <v>1897</v>
      </c>
      <c r="AC1460" s="4"/>
      <c r="AD1460" s="8">
        <v>0.84</v>
      </c>
      <c r="AE1460" s="51">
        <f t="shared" si="204"/>
        <v>0</v>
      </c>
    </row>
    <row r="1461" spans="6:31" ht="24" customHeight="1">
      <c r="F1461" s="1" t="s">
        <v>992</v>
      </c>
      <c r="M1461" s="15">
        <v>0</v>
      </c>
      <c r="N1461" s="7" t="s">
        <v>929</v>
      </c>
      <c r="O1461" s="1" t="s">
        <v>1888</v>
      </c>
      <c r="P1461" s="8">
        <f t="shared" si="218"/>
        <v>325</v>
      </c>
      <c r="Q1461" s="7" t="s">
        <v>929</v>
      </c>
      <c r="R1461" s="8">
        <f t="shared" si="219"/>
        <v>0</v>
      </c>
      <c r="S1461" s="12">
        <v>1.26</v>
      </c>
      <c r="T1461" s="7" t="s">
        <v>2322</v>
      </c>
      <c r="U1461" s="1" t="s">
        <v>1896</v>
      </c>
      <c r="V1461" s="8">
        <f t="shared" si="216"/>
        <v>2085.6</v>
      </c>
      <c r="W1461" s="2" t="s">
        <v>2322</v>
      </c>
      <c r="X1461" s="8">
        <f t="shared" si="217"/>
        <v>2627.86</v>
      </c>
      <c r="Y1461" s="50"/>
      <c r="AA1461" s="41" t="s">
        <v>3615</v>
      </c>
      <c r="AD1461" s="38">
        <f>SUM(AD1448:AD1460)</f>
        <v>5805.99</v>
      </c>
      <c r="AE1461" s="51">
        <f t="shared" si="204"/>
        <v>0</v>
      </c>
    </row>
    <row r="1462" spans="6:31" ht="24" customHeight="1">
      <c r="K1462" s="5" t="s">
        <v>2091</v>
      </c>
      <c r="M1462" s="15">
        <v>1.89</v>
      </c>
      <c r="N1462" s="7" t="s">
        <v>236</v>
      </c>
      <c r="O1462" s="1" t="s">
        <v>1889</v>
      </c>
      <c r="P1462" s="536">
        <f t="shared" si="218"/>
        <v>306.89999999999998</v>
      </c>
      <c r="Q1462" s="7" t="s">
        <v>236</v>
      </c>
      <c r="R1462" s="8">
        <f t="shared" si="219"/>
        <v>580.04</v>
      </c>
      <c r="T1462" s="3"/>
      <c r="U1462" s="1" t="s">
        <v>1897</v>
      </c>
      <c r="W1462" s="4"/>
      <c r="X1462" s="8">
        <v>0.14000000000000001</v>
      </c>
      <c r="AE1462" s="51">
        <f t="shared" si="204"/>
        <v>0</v>
      </c>
    </row>
    <row r="1463" spans="6:31" ht="24" customHeight="1">
      <c r="G1463" s="7" t="s">
        <v>527</v>
      </c>
      <c r="H1463" s="1" t="s">
        <v>717</v>
      </c>
      <c r="M1463" s="15">
        <v>8</v>
      </c>
      <c r="N1463" s="7" t="s">
        <v>842</v>
      </c>
      <c r="O1463" s="504" t="s">
        <v>4447</v>
      </c>
      <c r="P1463" s="8">
        <f t="shared" si="218"/>
        <v>29.05</v>
      </c>
      <c r="Q1463" s="7" t="s">
        <v>842</v>
      </c>
      <c r="R1463" s="8">
        <f t="shared" si="219"/>
        <v>232.4</v>
      </c>
      <c r="U1463" s="41" t="s">
        <v>3615</v>
      </c>
      <c r="W1463" s="4"/>
      <c r="X1463" s="38">
        <f>SUM(X1450:X1462)</f>
        <v>8156.59</v>
      </c>
      <c r="AE1463" s="51">
        <f t="shared" si="204"/>
        <v>0</v>
      </c>
    </row>
    <row r="1464" spans="6:31" ht="24" customHeight="1">
      <c r="G1464" s="7" t="s">
        <v>1615</v>
      </c>
      <c r="H1464" s="5" t="s">
        <v>1615</v>
      </c>
      <c r="M1464" s="15">
        <v>0</v>
      </c>
      <c r="N1464" s="7" t="s">
        <v>785</v>
      </c>
      <c r="O1464" s="504" t="s">
        <v>4445</v>
      </c>
      <c r="P1464" s="8">
        <f t="shared" si="218"/>
        <v>71.900000000000006</v>
      </c>
      <c r="Q1464" s="7" t="s">
        <v>785</v>
      </c>
      <c r="R1464" s="8">
        <f t="shared" si="219"/>
        <v>0</v>
      </c>
      <c r="W1464" s="4"/>
      <c r="AE1464" s="51">
        <f t="shared" si="204"/>
        <v>0</v>
      </c>
    </row>
    <row r="1465" spans="6:31" ht="24" customHeight="1">
      <c r="F1465" s="15">
        <v>7.0000000000000001E-3</v>
      </c>
      <c r="G1465" s="7" t="s">
        <v>2190</v>
      </c>
      <c r="H1465" s="1" t="s">
        <v>713</v>
      </c>
      <c r="I1465" s="8">
        <f>K49</f>
        <v>3469.22</v>
      </c>
      <c r="J1465" s="1" t="s">
        <v>2190</v>
      </c>
      <c r="K1465" s="8">
        <f>(F1465*I1465)</f>
        <v>24.28</v>
      </c>
      <c r="M1465" s="15">
        <v>0</v>
      </c>
      <c r="N1465" s="7" t="s">
        <v>785</v>
      </c>
      <c r="O1465" s="504" t="s">
        <v>4446</v>
      </c>
      <c r="P1465" s="8">
        <f t="shared" si="218"/>
        <v>57.65</v>
      </c>
      <c r="Q1465" s="7" t="s">
        <v>785</v>
      </c>
      <c r="R1465" s="8">
        <f t="shared" si="219"/>
        <v>0</v>
      </c>
      <c r="W1465" s="4"/>
      <c r="AE1465" s="51">
        <f t="shared" si="204"/>
        <v>0</v>
      </c>
    </row>
    <row r="1466" spans="6:31" ht="24" customHeight="1">
      <c r="F1466" s="8">
        <v>0.2</v>
      </c>
      <c r="G1466" s="7" t="s">
        <v>570</v>
      </c>
      <c r="H1466" s="1" t="s">
        <v>714</v>
      </c>
      <c r="I1466" s="8">
        <f>C10</f>
        <v>1041.7</v>
      </c>
      <c r="J1466" s="1" t="s">
        <v>570</v>
      </c>
      <c r="K1466" s="8">
        <f>(F1466*I1466)</f>
        <v>208.34</v>
      </c>
      <c r="M1466" s="15">
        <v>0</v>
      </c>
      <c r="N1466" s="7" t="s">
        <v>785</v>
      </c>
      <c r="O1466" s="1" t="s">
        <v>1893</v>
      </c>
      <c r="P1466" s="8">
        <f t="shared" si="218"/>
        <v>30</v>
      </c>
      <c r="Q1466" s="7" t="s">
        <v>785</v>
      </c>
      <c r="R1466" s="8">
        <f t="shared" si="219"/>
        <v>0</v>
      </c>
      <c r="T1466" s="3"/>
      <c r="U1466" s="216" t="s">
        <v>2397</v>
      </c>
      <c r="V1466" s="72" t="s">
        <v>2398</v>
      </c>
      <c r="W1466" s="4"/>
      <c r="AE1466" s="51">
        <f t="shared" si="204"/>
        <v>0</v>
      </c>
    </row>
    <row r="1467" spans="6:31" ht="24" customHeight="1">
      <c r="F1467" s="8">
        <v>0.2</v>
      </c>
      <c r="G1467" s="7" t="s">
        <v>570</v>
      </c>
      <c r="H1467" s="1" t="s">
        <v>839</v>
      </c>
      <c r="I1467" s="8">
        <f>C12</f>
        <v>679.8</v>
      </c>
      <c r="J1467" s="1" t="s">
        <v>570</v>
      </c>
      <c r="K1467" s="8">
        <f>(F1467*I1467)</f>
        <v>135.96</v>
      </c>
      <c r="M1467" s="15">
        <v>0</v>
      </c>
      <c r="N1467" s="7" t="s">
        <v>785</v>
      </c>
      <c r="O1467" s="1" t="s">
        <v>1894</v>
      </c>
      <c r="P1467" s="8">
        <f t="shared" si="218"/>
        <v>20</v>
      </c>
      <c r="Q1467" s="7" t="s">
        <v>785</v>
      </c>
      <c r="R1467" s="8">
        <f t="shared" si="219"/>
        <v>0</v>
      </c>
      <c r="S1467" s="12">
        <v>6.81</v>
      </c>
      <c r="T1467" s="7" t="s">
        <v>929</v>
      </c>
      <c r="U1467" s="1" t="s">
        <v>1888</v>
      </c>
      <c r="V1467" s="8">
        <f>V1443</f>
        <v>325</v>
      </c>
      <c r="W1467" s="2" t="s">
        <v>929</v>
      </c>
      <c r="X1467" s="8">
        <f>V1467*S1467</f>
        <v>2213.25</v>
      </c>
      <c r="AE1467" s="51">
        <f t="shared" si="204"/>
        <v>0</v>
      </c>
    </row>
    <row r="1468" spans="6:31" ht="24" customHeight="1">
      <c r="H1468" s="1" t="s">
        <v>2310</v>
      </c>
      <c r="K1468">
        <v>0</v>
      </c>
      <c r="M1468" s="15">
        <v>0</v>
      </c>
      <c r="N1468" s="7" t="s">
        <v>785</v>
      </c>
      <c r="O1468" s="1" t="s">
        <v>1895</v>
      </c>
      <c r="P1468" s="8">
        <f t="shared" si="218"/>
        <v>15</v>
      </c>
      <c r="Q1468" s="7" t="s">
        <v>785</v>
      </c>
      <c r="R1468" s="8">
        <f t="shared" si="219"/>
        <v>0</v>
      </c>
      <c r="S1468" s="12">
        <v>0.77100000000000002</v>
      </c>
      <c r="T1468" s="7" t="s">
        <v>236</v>
      </c>
      <c r="U1468" s="1" t="s">
        <v>1889</v>
      </c>
      <c r="V1468" s="8">
        <f>V1444</f>
        <v>306.89999999999998</v>
      </c>
      <c r="W1468" s="2" t="s">
        <v>929</v>
      </c>
      <c r="X1468" s="8">
        <f>V1468*S1468</f>
        <v>236.62</v>
      </c>
      <c r="AE1468" s="51">
        <f t="shared" si="204"/>
        <v>0</v>
      </c>
    </row>
    <row r="1469" spans="6:31" ht="24" customHeight="1">
      <c r="K1469" s="5" t="s">
        <v>1615</v>
      </c>
      <c r="M1469" s="15">
        <v>1.89</v>
      </c>
      <c r="N1469" s="7" t="s">
        <v>2322</v>
      </c>
      <c r="O1469" s="1" t="s">
        <v>1896</v>
      </c>
      <c r="P1469" s="8">
        <f t="shared" si="218"/>
        <v>2085.6</v>
      </c>
      <c r="Q1469" s="7" t="s">
        <v>2322</v>
      </c>
      <c r="R1469" s="8">
        <f t="shared" si="219"/>
        <v>3941.78</v>
      </c>
      <c r="S1469" s="12">
        <v>0.77100000000000002</v>
      </c>
      <c r="T1469" s="7" t="s">
        <v>236</v>
      </c>
      <c r="U1469" s="1" t="s">
        <v>1896</v>
      </c>
      <c r="V1469" s="8">
        <f>V1445</f>
        <v>2085.6</v>
      </c>
      <c r="W1469" s="2" t="s">
        <v>929</v>
      </c>
      <c r="X1469" s="8">
        <f>V1469*S1469</f>
        <v>1608</v>
      </c>
      <c r="AE1469" s="51">
        <f t="shared" si="204"/>
        <v>0</v>
      </c>
    </row>
    <row r="1470" spans="6:31" ht="24" customHeight="1">
      <c r="H1470" s="2" t="s">
        <v>715</v>
      </c>
      <c r="K1470" s="8">
        <f>SUM(K1465:K1468)</f>
        <v>368.58</v>
      </c>
      <c r="N1470" s="3"/>
      <c r="O1470" s="1" t="s">
        <v>1897</v>
      </c>
      <c r="Q1470" s="4"/>
      <c r="R1470" s="8">
        <v>0.28000000000000003</v>
      </c>
      <c r="S1470" s="12"/>
      <c r="T1470" s="7"/>
      <c r="U1470" s="1"/>
      <c r="V1470" s="8"/>
      <c r="W1470" s="2"/>
      <c r="X1470" s="8">
        <f>SUM(X1467:X1469)</f>
        <v>4057.87</v>
      </c>
      <c r="AE1470" s="51">
        <f t="shared" ref="AE1470:AE1533" si="220">AG1470</f>
        <v>0</v>
      </c>
    </row>
    <row r="1471" spans="6:31" ht="24" customHeight="1">
      <c r="K1471" s="5" t="s">
        <v>1615</v>
      </c>
      <c r="R1471" s="38">
        <f>SUM(R1458:R1470)</f>
        <v>8570.65</v>
      </c>
      <c r="S1471" s="12"/>
      <c r="T1471" s="7"/>
      <c r="U1471" s="41" t="s">
        <v>3614</v>
      </c>
      <c r="V1471" s="8"/>
      <c r="W1471" s="2"/>
      <c r="X1471" s="38">
        <f>X1470/S1469</f>
        <v>5263.13</v>
      </c>
      <c r="AE1471" s="51">
        <f t="shared" si="220"/>
        <v>0</v>
      </c>
    </row>
    <row r="1472" spans="6:31" ht="24" customHeight="1">
      <c r="H1472" s="58" t="s">
        <v>716</v>
      </c>
      <c r="I1472" s="36"/>
      <c r="J1472" s="98"/>
      <c r="K1472" s="38">
        <f>K1470/6.77</f>
        <v>54.44</v>
      </c>
      <c r="W1472" s="4"/>
      <c r="AE1472" s="51">
        <f t="shared" si="220"/>
        <v>0</v>
      </c>
    </row>
    <row r="1473" spans="6:31" ht="24" customHeight="1">
      <c r="K1473" s="5" t="s">
        <v>2091</v>
      </c>
      <c r="W1473" s="4"/>
      <c r="AE1473" s="51">
        <f t="shared" si="220"/>
        <v>0</v>
      </c>
    </row>
    <row r="1474" spans="6:31" ht="24" customHeight="1">
      <c r="K1474" s="5"/>
      <c r="N1474" s="3"/>
      <c r="O1474" s="216" t="s">
        <v>2898</v>
      </c>
      <c r="P1474" s="1567" t="s">
        <v>2398</v>
      </c>
      <c r="Q1474" s="1567"/>
      <c r="R1474" s="1567"/>
      <c r="S1474" s="1571"/>
      <c r="T1474" s="1571"/>
      <c r="U1474" s="1571"/>
      <c r="V1474" s="578"/>
      <c r="W1474" s="578"/>
      <c r="AE1474" s="51">
        <f t="shared" si="220"/>
        <v>0</v>
      </c>
    </row>
    <row r="1475" spans="6:31" ht="24" customHeight="1">
      <c r="K1475" s="5"/>
      <c r="M1475" s="15">
        <v>4.67</v>
      </c>
      <c r="N1475" s="7" t="s">
        <v>929</v>
      </c>
      <c r="O1475" s="504" t="s">
        <v>4444</v>
      </c>
      <c r="P1475" s="8">
        <f>P1458</f>
        <v>325</v>
      </c>
      <c r="Q1475" s="7" t="s">
        <v>929</v>
      </c>
      <c r="R1475" s="8">
        <f>P1475*M1475</f>
        <v>1517.75</v>
      </c>
      <c r="S1475" s="15"/>
      <c r="T1475" s="7"/>
      <c r="U1475" s="1"/>
      <c r="V1475" s="8"/>
      <c r="W1475" s="2"/>
      <c r="X1475" s="8"/>
      <c r="AE1475" s="51">
        <f t="shared" si="220"/>
        <v>0</v>
      </c>
    </row>
    <row r="1476" spans="6:31" ht="24" customHeight="1">
      <c r="G1476" s="7" t="s">
        <v>321</v>
      </c>
      <c r="H1476" s="1" t="s">
        <v>955</v>
      </c>
      <c r="K1476" s="5"/>
      <c r="M1476" s="15">
        <v>0.54</v>
      </c>
      <c r="N1476" s="7" t="s">
        <v>236</v>
      </c>
      <c r="O1476" s="1" t="s">
        <v>1889</v>
      </c>
      <c r="P1476" s="536">
        <f>P1462</f>
        <v>306.89999999999998</v>
      </c>
      <c r="Q1476" s="7" t="s">
        <v>929</v>
      </c>
      <c r="R1476" s="8">
        <f>P1476*M1476</f>
        <v>165.73</v>
      </c>
      <c r="S1476" s="15"/>
      <c r="T1476" s="7"/>
      <c r="U1476" s="1"/>
      <c r="V1476" s="8"/>
      <c r="W1476" s="2"/>
      <c r="X1476" s="8"/>
      <c r="AE1476" s="51">
        <f t="shared" si="220"/>
        <v>0</v>
      </c>
    </row>
    <row r="1477" spans="6:31" ht="24" customHeight="1">
      <c r="G1477" s="7" t="s">
        <v>1615</v>
      </c>
      <c r="H1477" s="5" t="s">
        <v>1615</v>
      </c>
      <c r="K1477" s="5"/>
      <c r="M1477" s="15">
        <v>0.54</v>
      </c>
      <c r="N1477" s="7" t="s">
        <v>236</v>
      </c>
      <c r="O1477" s="1" t="s">
        <v>1896</v>
      </c>
      <c r="P1477" s="8">
        <f>P1469</f>
        <v>2085.6</v>
      </c>
      <c r="Q1477" s="7" t="s">
        <v>929</v>
      </c>
      <c r="R1477" s="8">
        <f>P1477*M1477</f>
        <v>1126.22</v>
      </c>
      <c r="S1477" s="15"/>
      <c r="T1477" s="7"/>
      <c r="U1477" s="1"/>
      <c r="V1477" s="8"/>
      <c r="W1477" s="2"/>
      <c r="X1477" s="8"/>
      <c r="AE1477" s="51">
        <f t="shared" si="220"/>
        <v>0</v>
      </c>
    </row>
    <row r="1478" spans="6:31" ht="24" customHeight="1">
      <c r="F1478" s="15">
        <v>4.7000000000000002E-3</v>
      </c>
      <c r="G1478" s="7" t="s">
        <v>2190</v>
      </c>
      <c r="H1478" s="1" t="s">
        <v>713</v>
      </c>
      <c r="I1478">
        <f>K49</f>
        <v>3469.22</v>
      </c>
      <c r="J1478" s="1" t="s">
        <v>2190</v>
      </c>
      <c r="K1478" s="8">
        <f>(F1478*I1478)</f>
        <v>16.309999999999999</v>
      </c>
      <c r="M1478" s="15"/>
      <c r="N1478" s="7"/>
      <c r="O1478" s="1"/>
      <c r="P1478" s="8"/>
      <c r="Q1478" s="7"/>
      <c r="R1478" s="8">
        <f>SUM(R1475:R1477)</f>
        <v>2809.7</v>
      </c>
      <c r="S1478" s="15"/>
      <c r="T1478" s="7"/>
      <c r="U1478" s="1"/>
      <c r="V1478" s="579"/>
      <c r="W1478" s="580"/>
      <c r="X1478" s="8"/>
      <c r="AE1478" s="51">
        <f t="shared" si="220"/>
        <v>0</v>
      </c>
    </row>
    <row r="1479" spans="6:31" ht="24" customHeight="1">
      <c r="F1479" s="8">
        <v>0.15</v>
      </c>
      <c r="G1479" s="7" t="s">
        <v>570</v>
      </c>
      <c r="H1479" s="1" t="s">
        <v>714</v>
      </c>
      <c r="I1479">
        <f>C10</f>
        <v>1041.7</v>
      </c>
      <c r="J1479" s="1" t="s">
        <v>570</v>
      </c>
      <c r="K1479" s="8">
        <f>(F1479*I1479)</f>
        <v>156.26</v>
      </c>
      <c r="M1479" s="15"/>
      <c r="N1479" s="7"/>
      <c r="O1479" s="41" t="s">
        <v>3614</v>
      </c>
      <c r="P1479" s="8"/>
      <c r="Q1479" s="7"/>
      <c r="R1479" s="38">
        <f>R1478/M1477</f>
        <v>5203.1499999999996</v>
      </c>
      <c r="S1479" s="15"/>
      <c r="T1479" s="7"/>
      <c r="U1479" s="1"/>
      <c r="V1479" s="8"/>
      <c r="W1479" s="2"/>
      <c r="X1479" s="38"/>
      <c r="AE1479" s="51">
        <f t="shared" si="220"/>
        <v>0</v>
      </c>
    </row>
    <row r="1480" spans="6:31" ht="24" customHeight="1">
      <c r="F1480" s="8">
        <v>0.15</v>
      </c>
      <c r="G1480" s="7" t="s">
        <v>570</v>
      </c>
      <c r="H1480" s="1" t="s">
        <v>839</v>
      </c>
      <c r="I1480">
        <f>C12</f>
        <v>679.8</v>
      </c>
      <c r="J1480" s="1" t="s">
        <v>570</v>
      </c>
      <c r="K1480" s="8">
        <f>(F1480*I1480)</f>
        <v>101.97</v>
      </c>
      <c r="M1480" s="15"/>
      <c r="N1480" s="7"/>
      <c r="O1480" s="1"/>
      <c r="P1480" s="8"/>
      <c r="Q1480" s="7"/>
      <c r="R1480" s="8"/>
      <c r="W1480" s="4"/>
      <c r="AE1480" s="51">
        <f t="shared" si="220"/>
        <v>0</v>
      </c>
    </row>
    <row r="1481" spans="6:31" ht="24" customHeight="1">
      <c r="H1481" s="1" t="s">
        <v>2310</v>
      </c>
      <c r="K1481">
        <v>0</v>
      </c>
      <c r="N1481" s="3"/>
      <c r="O1481" s="216" t="s">
        <v>2899</v>
      </c>
      <c r="P1481" s="72" t="s">
        <v>2398</v>
      </c>
      <c r="Q1481" s="10"/>
      <c r="W1481" s="4"/>
      <c r="AE1481" s="51">
        <f t="shared" si="220"/>
        <v>0</v>
      </c>
    </row>
    <row r="1482" spans="6:31" ht="24" customHeight="1">
      <c r="K1482" s="5" t="s">
        <v>1615</v>
      </c>
      <c r="M1482" s="15">
        <v>7.01</v>
      </c>
      <c r="N1482" s="7" t="s">
        <v>929</v>
      </c>
      <c r="O1482" s="504" t="s">
        <v>4444</v>
      </c>
      <c r="P1482" s="8">
        <f>P1475</f>
        <v>325</v>
      </c>
      <c r="Q1482" s="7" t="s">
        <v>929</v>
      </c>
      <c r="R1482" s="8">
        <f>P1482*M1482</f>
        <v>2278.25</v>
      </c>
      <c r="S1482" s="50">
        <f>0.3028*0.3028</f>
        <v>9.1999999999999998E-2</v>
      </c>
      <c r="T1482">
        <f>60*S1482</f>
        <v>5.52</v>
      </c>
      <c r="U1482">
        <f>4.58/10</f>
        <v>0.46</v>
      </c>
      <c r="W1482" s="4"/>
      <c r="AE1482" s="51">
        <f t="shared" si="220"/>
        <v>0</v>
      </c>
    </row>
    <row r="1483" spans="6:31" ht="24" customHeight="1">
      <c r="H1483" s="2" t="s">
        <v>715</v>
      </c>
      <c r="K1483" s="8">
        <f>SUM(K1478:K1481)</f>
        <v>274.54000000000002</v>
      </c>
      <c r="M1483" s="15">
        <v>0.81</v>
      </c>
      <c r="N1483" s="7" t="s">
        <v>236</v>
      </c>
      <c r="O1483" s="1" t="s">
        <v>1889</v>
      </c>
      <c r="P1483" s="536">
        <f>P1476</f>
        <v>306.89999999999998</v>
      </c>
      <c r="Q1483" s="7" t="s">
        <v>929</v>
      </c>
      <c r="R1483" s="8">
        <f>P1483*M1483</f>
        <v>248.59</v>
      </c>
      <c r="W1483" s="4"/>
      <c r="AE1483" s="51">
        <f t="shared" si="220"/>
        <v>0</v>
      </c>
    </row>
    <row r="1484" spans="6:31" ht="24" customHeight="1">
      <c r="K1484" s="5" t="s">
        <v>1615</v>
      </c>
      <c r="M1484" s="15">
        <v>0.81</v>
      </c>
      <c r="N1484" s="7" t="s">
        <v>236</v>
      </c>
      <c r="O1484" s="1" t="s">
        <v>1896</v>
      </c>
      <c r="P1484" s="8">
        <f>P1477</f>
        <v>2085.6</v>
      </c>
      <c r="Q1484" s="7" t="s">
        <v>929</v>
      </c>
      <c r="R1484" s="8">
        <f>P1484*M1484</f>
        <v>1689.34</v>
      </c>
      <c r="W1484" s="4"/>
      <c r="AE1484" s="51">
        <f t="shared" si="220"/>
        <v>0</v>
      </c>
    </row>
    <row r="1485" spans="6:31" ht="24" customHeight="1">
      <c r="H1485" s="58" t="s">
        <v>716</v>
      </c>
      <c r="I1485" s="36"/>
      <c r="J1485" s="98"/>
      <c r="K1485" s="38">
        <f>K1483/6.77</f>
        <v>40.549999999999997</v>
      </c>
      <c r="M1485" s="15"/>
      <c r="N1485" s="7"/>
      <c r="O1485" s="1"/>
      <c r="P1485" s="8"/>
      <c r="Q1485" s="7"/>
      <c r="R1485" s="8">
        <f>SUM(R1482:R1484)+0.68</f>
        <v>4216.8599999999997</v>
      </c>
      <c r="W1485" s="4"/>
      <c r="AE1485" s="51">
        <f t="shared" si="220"/>
        <v>0</v>
      </c>
    </row>
    <row r="1486" spans="6:31" ht="24" customHeight="1">
      <c r="K1486" s="5" t="s">
        <v>2091</v>
      </c>
      <c r="M1486" s="15"/>
      <c r="N1486" s="7"/>
      <c r="O1486" s="41" t="s">
        <v>3614</v>
      </c>
      <c r="P1486" s="8"/>
      <c r="Q1486" s="7"/>
      <c r="R1486" s="38">
        <f>R1485/M1484</f>
        <v>5206</v>
      </c>
      <c r="W1486" s="4"/>
      <c r="AE1486" s="51">
        <f t="shared" si="220"/>
        <v>0</v>
      </c>
    </row>
    <row r="1487" spans="6:31" ht="24" customHeight="1">
      <c r="K1487" s="5"/>
      <c r="N1487" s="3"/>
      <c r="O1487" s="1"/>
      <c r="Q1487" s="4"/>
      <c r="R1487" s="8"/>
      <c r="W1487" s="4"/>
      <c r="AE1487" s="51">
        <f t="shared" si="220"/>
        <v>0</v>
      </c>
    </row>
    <row r="1488" spans="6:31" ht="24" customHeight="1">
      <c r="F1488" s="24">
        <v>37.1</v>
      </c>
      <c r="G1488" s="7" t="s">
        <v>2290</v>
      </c>
      <c r="H1488" s="1" t="s">
        <v>400</v>
      </c>
      <c r="N1488" s="3"/>
      <c r="O1488" s="216" t="s">
        <v>3557</v>
      </c>
      <c r="Q1488" s="10"/>
      <c r="W1488" s="4"/>
      <c r="AE1488" s="51">
        <f t="shared" si="220"/>
        <v>0</v>
      </c>
    </row>
    <row r="1489" spans="6:31" ht="24" customHeight="1">
      <c r="H1489" s="5" t="s">
        <v>1615</v>
      </c>
      <c r="M1489" s="15">
        <v>4.42</v>
      </c>
      <c r="N1489" s="7" t="s">
        <v>929</v>
      </c>
      <c r="O1489" s="504" t="s">
        <v>4444</v>
      </c>
      <c r="P1489" s="8">
        <f>P1458</f>
        <v>325</v>
      </c>
      <c r="Q1489" s="7" t="s">
        <v>929</v>
      </c>
      <c r="R1489" s="8">
        <f>P1489*M1489</f>
        <v>1436.5</v>
      </c>
      <c r="W1489" s="4"/>
      <c r="AE1489" s="51">
        <f t="shared" si="220"/>
        <v>0</v>
      </c>
    </row>
    <row r="1490" spans="6:31" ht="24" customHeight="1">
      <c r="F1490" s="8">
        <v>0.09</v>
      </c>
      <c r="G1490" s="7" t="s">
        <v>885</v>
      </c>
      <c r="H1490" s="1" t="s">
        <v>2040</v>
      </c>
      <c r="I1490" s="8">
        <f>(C84)</f>
        <v>1348</v>
      </c>
      <c r="J1490" s="1" t="s">
        <v>885</v>
      </c>
      <c r="K1490" s="8">
        <f>(F1490*I1490)</f>
        <v>121.32</v>
      </c>
      <c r="M1490" s="15">
        <v>4.72</v>
      </c>
      <c r="N1490" s="7" t="s">
        <v>929</v>
      </c>
      <c r="O1490" s="504" t="s">
        <v>4444</v>
      </c>
      <c r="P1490" s="8">
        <f t="shared" ref="P1490:P1500" si="221">P1459</f>
        <v>325</v>
      </c>
      <c r="Q1490" s="7" t="s">
        <v>929</v>
      </c>
      <c r="R1490" s="8">
        <f t="shared" ref="R1490:R1500" si="222">P1490*M1490</f>
        <v>1534</v>
      </c>
      <c r="W1490" s="4"/>
      <c r="AE1490" s="51">
        <f t="shared" si="220"/>
        <v>0</v>
      </c>
    </row>
    <row r="1491" spans="6:31" ht="24" customHeight="1">
      <c r="F1491" s="8">
        <v>2.2000000000000002</v>
      </c>
      <c r="G1491" s="7" t="s">
        <v>884</v>
      </c>
      <c r="H1491" s="1" t="s">
        <v>1744</v>
      </c>
      <c r="I1491" s="8">
        <f>(C11)</f>
        <v>972.4</v>
      </c>
      <c r="J1491" s="1" t="s">
        <v>884</v>
      </c>
      <c r="K1491" s="8">
        <f>(F1491*I1491)</f>
        <v>2139.2800000000002</v>
      </c>
      <c r="M1491" s="15">
        <v>9.06</v>
      </c>
      <c r="N1491" s="7" t="s">
        <v>929</v>
      </c>
      <c r="O1491" s="1" t="s">
        <v>1888</v>
      </c>
      <c r="P1491" s="8">
        <f t="shared" si="221"/>
        <v>325</v>
      </c>
      <c r="Q1491" s="7" t="s">
        <v>929</v>
      </c>
      <c r="R1491" s="8">
        <f t="shared" si="222"/>
        <v>2944.5</v>
      </c>
      <c r="W1491" s="4"/>
      <c r="AE1491" s="51">
        <f t="shared" si="220"/>
        <v>0</v>
      </c>
    </row>
    <row r="1492" spans="6:31" ht="24" customHeight="1">
      <c r="F1492" s="8">
        <v>0.5</v>
      </c>
      <c r="G1492" s="7" t="s">
        <v>884</v>
      </c>
      <c r="H1492" s="1" t="s">
        <v>1937</v>
      </c>
      <c r="I1492" s="8">
        <f>(C12)</f>
        <v>679.8</v>
      </c>
      <c r="J1492" s="1" t="s">
        <v>884</v>
      </c>
      <c r="K1492" s="8">
        <f>(F1492*I1492)</f>
        <v>339.9</v>
      </c>
      <c r="M1492" s="15">
        <v>1.58</v>
      </c>
      <c r="N1492" s="7" t="s">
        <v>929</v>
      </c>
      <c r="O1492" s="1" t="s">
        <v>1888</v>
      </c>
      <c r="P1492" s="8">
        <f t="shared" si="221"/>
        <v>325</v>
      </c>
      <c r="Q1492" s="7" t="s">
        <v>929</v>
      </c>
      <c r="R1492" s="8">
        <f t="shared" si="222"/>
        <v>513.5</v>
      </c>
      <c r="W1492" s="4"/>
      <c r="AE1492" s="51">
        <f t="shared" si="220"/>
        <v>0</v>
      </c>
    </row>
    <row r="1493" spans="6:31" ht="24" customHeight="1">
      <c r="F1493" s="8">
        <v>3.8</v>
      </c>
      <c r="G1493" s="7" t="s">
        <v>884</v>
      </c>
      <c r="H1493" s="1" t="s">
        <v>325</v>
      </c>
      <c r="I1493" s="8">
        <f>(C13)</f>
        <v>557.70000000000005</v>
      </c>
      <c r="J1493" s="1" t="s">
        <v>884</v>
      </c>
      <c r="K1493" s="8">
        <f>(F1493*I1493)</f>
        <v>2119.2600000000002</v>
      </c>
      <c r="M1493" s="15">
        <v>1.65</v>
      </c>
      <c r="N1493" s="7" t="s">
        <v>236</v>
      </c>
      <c r="O1493" s="1" t="s">
        <v>1889</v>
      </c>
      <c r="P1493" s="8">
        <f t="shared" si="221"/>
        <v>306.89999999999998</v>
      </c>
      <c r="Q1493" s="7" t="s">
        <v>236</v>
      </c>
      <c r="R1493" s="8">
        <f t="shared" si="222"/>
        <v>506.39</v>
      </c>
      <c r="W1493" s="4"/>
      <c r="AE1493" s="51">
        <f t="shared" si="220"/>
        <v>0</v>
      </c>
    </row>
    <row r="1494" spans="6:31" ht="24" customHeight="1">
      <c r="G1494" s="7" t="s">
        <v>455</v>
      </c>
      <c r="H1494" s="1" t="s">
        <v>511</v>
      </c>
      <c r="I1494" s="1" t="s">
        <v>992</v>
      </c>
      <c r="J1494" s="1" t="s">
        <v>455</v>
      </c>
      <c r="K1494" s="8">
        <v>1.5</v>
      </c>
      <c r="M1494" s="15">
        <v>12.74</v>
      </c>
      <c r="N1494" s="7" t="s">
        <v>842</v>
      </c>
      <c r="O1494" s="1" t="str">
        <f>O1463</f>
        <v>rubber beeding P-41/64</v>
      </c>
      <c r="P1494" s="8">
        <f t="shared" si="221"/>
        <v>29.05</v>
      </c>
      <c r="Q1494" s="7" t="s">
        <v>842</v>
      </c>
      <c r="R1494" s="8">
        <f t="shared" si="222"/>
        <v>370.1</v>
      </c>
      <c r="W1494" s="4"/>
      <c r="AE1494" s="51">
        <f t="shared" si="220"/>
        <v>0</v>
      </c>
    </row>
    <row r="1495" spans="6:31" ht="24" customHeight="1">
      <c r="K1495" s="5" t="s">
        <v>1615</v>
      </c>
      <c r="M1495" s="15">
        <v>12</v>
      </c>
      <c r="N1495" s="7" t="s">
        <v>785</v>
      </c>
      <c r="O1495" s="1" t="str">
        <f>O1464</f>
        <v>hinges 75mm x 30 mm P-41/77 b</v>
      </c>
      <c r="P1495" s="8">
        <f t="shared" si="221"/>
        <v>71.900000000000006</v>
      </c>
      <c r="Q1495" s="7" t="s">
        <v>785</v>
      </c>
      <c r="R1495" s="8">
        <f t="shared" si="222"/>
        <v>862.8</v>
      </c>
      <c r="W1495" s="4"/>
      <c r="AE1495" s="51">
        <f t="shared" si="220"/>
        <v>0</v>
      </c>
    </row>
    <row r="1496" spans="6:31" ht="24" customHeight="1">
      <c r="H1496" s="1" t="s">
        <v>1872</v>
      </c>
      <c r="K1496" s="8">
        <f>SUM(K1489:K1494)</f>
        <v>4721.26</v>
      </c>
      <c r="M1496" s="15">
        <v>6</v>
      </c>
      <c r="N1496" s="7" t="s">
        <v>785</v>
      </c>
      <c r="O1496" s="1" t="str">
        <f>O1465</f>
        <v>handle 150 mm long p-42 /80b</v>
      </c>
      <c r="P1496" s="8">
        <f t="shared" si="221"/>
        <v>57.65</v>
      </c>
      <c r="Q1496" s="7" t="s">
        <v>785</v>
      </c>
      <c r="R1496" s="8">
        <f t="shared" si="222"/>
        <v>345.9</v>
      </c>
      <c r="W1496" s="4"/>
      <c r="AE1496" s="51">
        <f t="shared" si="220"/>
        <v>0</v>
      </c>
    </row>
    <row r="1497" spans="6:31" ht="24" customHeight="1">
      <c r="K1497" s="5" t="s">
        <v>1615</v>
      </c>
      <c r="M1497" s="15">
        <v>6</v>
      </c>
      <c r="N1497" s="7" t="s">
        <v>785</v>
      </c>
      <c r="O1497" s="1" t="s">
        <v>1893</v>
      </c>
      <c r="P1497" s="8">
        <f t="shared" si="221"/>
        <v>30</v>
      </c>
      <c r="Q1497" s="7" t="s">
        <v>785</v>
      </c>
      <c r="R1497" s="8">
        <f t="shared" si="222"/>
        <v>180</v>
      </c>
      <c r="W1497" s="4"/>
      <c r="AE1497" s="51">
        <f t="shared" si="220"/>
        <v>0</v>
      </c>
    </row>
    <row r="1498" spans="6:31" ht="24" customHeight="1">
      <c r="H1498" s="58" t="s">
        <v>562</v>
      </c>
      <c r="I1498" s="36"/>
      <c r="J1498" s="98"/>
      <c r="K1498" s="38">
        <f>(K1496/100)</f>
        <v>47.21</v>
      </c>
      <c r="M1498" s="15">
        <v>6</v>
      </c>
      <c r="N1498" s="7" t="s">
        <v>785</v>
      </c>
      <c r="O1498" s="1" t="s">
        <v>1894</v>
      </c>
      <c r="P1498" s="8">
        <f t="shared" si="221"/>
        <v>20</v>
      </c>
      <c r="Q1498" s="7" t="s">
        <v>785</v>
      </c>
      <c r="R1498" s="8">
        <f t="shared" si="222"/>
        <v>120</v>
      </c>
      <c r="W1498" s="4"/>
      <c r="AE1498" s="51">
        <f t="shared" si="220"/>
        <v>0</v>
      </c>
    </row>
    <row r="1499" spans="6:31" ht="24" customHeight="1">
      <c r="K1499" s="5" t="s">
        <v>2091</v>
      </c>
      <c r="M1499" s="15">
        <v>4</v>
      </c>
      <c r="N1499" s="7" t="s">
        <v>785</v>
      </c>
      <c r="O1499" s="1" t="s">
        <v>1895</v>
      </c>
      <c r="P1499" s="8">
        <f t="shared" si="221"/>
        <v>15</v>
      </c>
      <c r="Q1499" s="7" t="s">
        <v>785</v>
      </c>
      <c r="R1499" s="8">
        <f t="shared" si="222"/>
        <v>60</v>
      </c>
      <c r="W1499" s="4"/>
      <c r="AE1499" s="51">
        <f t="shared" si="220"/>
        <v>0</v>
      </c>
    </row>
    <row r="1500" spans="6:31" ht="24" customHeight="1">
      <c r="F1500" s="2" t="s">
        <v>864</v>
      </c>
      <c r="G1500" s="7" t="s">
        <v>2290</v>
      </c>
      <c r="H1500" s="1" t="s">
        <v>1017</v>
      </c>
      <c r="M1500" s="15">
        <f>1.5*1.35</f>
        <v>2.0249999999999999</v>
      </c>
      <c r="N1500" s="7" t="s">
        <v>2322</v>
      </c>
      <c r="O1500" s="1" t="s">
        <v>1896</v>
      </c>
      <c r="P1500" s="8">
        <f t="shared" si="221"/>
        <v>2085.6</v>
      </c>
      <c r="Q1500" s="7" t="s">
        <v>2322</v>
      </c>
      <c r="R1500" s="8">
        <f t="shared" si="222"/>
        <v>4223.34</v>
      </c>
      <c r="W1500" s="4"/>
      <c r="AE1500" s="51">
        <f t="shared" si="220"/>
        <v>0</v>
      </c>
    </row>
    <row r="1501" spans="6:31" ht="24" customHeight="1">
      <c r="H1501" s="1" t="s">
        <v>1018</v>
      </c>
      <c r="N1501" s="3"/>
      <c r="O1501" s="1" t="s">
        <v>1897</v>
      </c>
      <c r="Q1501" s="4"/>
      <c r="R1501" s="8">
        <v>0.31</v>
      </c>
      <c r="W1501" s="4"/>
      <c r="AE1501" s="51">
        <f t="shared" si="220"/>
        <v>0</v>
      </c>
    </row>
    <row r="1502" spans="6:31" ht="24" customHeight="1">
      <c r="H1502" s="1" t="s">
        <v>1019</v>
      </c>
      <c r="R1502" s="38">
        <f>SUM(R1489:R1501)</f>
        <v>13097.34</v>
      </c>
      <c r="W1502" s="4"/>
      <c r="AE1502" s="51">
        <f t="shared" si="220"/>
        <v>0</v>
      </c>
    </row>
    <row r="1503" spans="6:31" ht="24" customHeight="1">
      <c r="H1503" s="1" t="s">
        <v>30</v>
      </c>
      <c r="W1503" s="4"/>
      <c r="AE1503" s="51">
        <f t="shared" si="220"/>
        <v>0</v>
      </c>
    </row>
    <row r="1504" spans="6:31" ht="24" customHeight="1">
      <c r="H1504" s="5" t="s">
        <v>1615</v>
      </c>
      <c r="W1504" s="4"/>
      <c r="AE1504" s="51">
        <f t="shared" si="220"/>
        <v>0</v>
      </c>
    </row>
    <row r="1505" spans="6:31" ht="24" customHeight="1">
      <c r="F1505" s="8">
        <v>4.8</v>
      </c>
      <c r="G1505" s="7" t="s">
        <v>1676</v>
      </c>
      <c r="H1505" s="1" t="s">
        <v>446</v>
      </c>
      <c r="I1505" s="8">
        <f>(C271)</f>
        <v>49.85</v>
      </c>
      <c r="J1505" s="1" t="s">
        <v>1676</v>
      </c>
      <c r="K1505" s="8">
        <f>(F1505*I1505)</f>
        <v>239.28</v>
      </c>
      <c r="W1505" s="4"/>
      <c r="AE1505" s="51">
        <f t="shared" si="220"/>
        <v>0</v>
      </c>
    </row>
    <row r="1506" spans="6:31" ht="24" customHeight="1">
      <c r="F1506" s="8">
        <v>0.75</v>
      </c>
      <c r="G1506" s="7" t="s">
        <v>884</v>
      </c>
      <c r="H1506" s="1" t="s">
        <v>31</v>
      </c>
      <c r="I1506" s="8">
        <f>(C14)</f>
        <v>831.6</v>
      </c>
      <c r="J1506" s="1" t="s">
        <v>884</v>
      </c>
      <c r="K1506" s="8">
        <f>(F1506*I1506)</f>
        <v>623.70000000000005</v>
      </c>
      <c r="W1506" s="4"/>
      <c r="AE1506" s="51">
        <f t="shared" si="220"/>
        <v>0</v>
      </c>
    </row>
    <row r="1507" spans="6:31" ht="24" customHeight="1">
      <c r="F1507" s="8">
        <v>0.75</v>
      </c>
      <c r="G1507" s="7" t="s">
        <v>884</v>
      </c>
      <c r="H1507" s="1" t="s">
        <v>950</v>
      </c>
      <c r="I1507" s="8">
        <f>(C12)</f>
        <v>679.8</v>
      </c>
      <c r="J1507" s="1" t="s">
        <v>884</v>
      </c>
      <c r="K1507" s="8">
        <f>(F1507*I1507)</f>
        <v>509.85</v>
      </c>
      <c r="W1507" s="4"/>
      <c r="AE1507" s="51">
        <f t="shared" si="220"/>
        <v>0</v>
      </c>
    </row>
    <row r="1508" spans="6:31" ht="24" customHeight="1">
      <c r="F1508" s="8">
        <v>1.2</v>
      </c>
      <c r="G1508" s="7" t="s">
        <v>884</v>
      </c>
      <c r="H1508" s="1" t="s">
        <v>325</v>
      </c>
      <c r="I1508" s="8">
        <f>(C13)</f>
        <v>557.70000000000005</v>
      </c>
      <c r="J1508" s="1" t="s">
        <v>884</v>
      </c>
      <c r="K1508" s="8">
        <f>(F1508*I1508)</f>
        <v>669.24</v>
      </c>
      <c r="W1508" s="4"/>
      <c r="AE1508" s="51">
        <f t="shared" si="220"/>
        <v>0</v>
      </c>
    </row>
    <row r="1509" spans="6:31" ht="24" customHeight="1">
      <c r="G1509" s="7" t="s">
        <v>455</v>
      </c>
      <c r="H1509" s="1" t="s">
        <v>1870</v>
      </c>
      <c r="I1509" s="1" t="s">
        <v>992</v>
      </c>
      <c r="J1509" s="1" t="s">
        <v>455</v>
      </c>
      <c r="K1509" s="8">
        <v>1.5</v>
      </c>
      <c r="W1509" s="4"/>
      <c r="AE1509" s="51">
        <f t="shared" si="220"/>
        <v>0</v>
      </c>
    </row>
    <row r="1510" spans="6:31" ht="24" customHeight="1">
      <c r="K1510" s="5" t="s">
        <v>1615</v>
      </c>
      <c r="W1510" s="4"/>
      <c r="AE1510" s="51">
        <f t="shared" si="220"/>
        <v>0</v>
      </c>
    </row>
    <row r="1511" spans="6:31" ht="24" customHeight="1">
      <c r="H1511" s="1" t="s">
        <v>447</v>
      </c>
      <c r="K1511" s="8">
        <f>SUM(K1505:K1509)</f>
        <v>2043.57</v>
      </c>
      <c r="W1511" s="4"/>
      <c r="AE1511" s="51">
        <f t="shared" si="220"/>
        <v>0</v>
      </c>
    </row>
    <row r="1512" spans="6:31" ht="24" customHeight="1">
      <c r="K1512" s="5" t="s">
        <v>1615</v>
      </c>
      <c r="W1512" s="4"/>
      <c r="AE1512" s="51">
        <f t="shared" si="220"/>
        <v>0</v>
      </c>
    </row>
    <row r="1513" spans="6:31" ht="24" customHeight="1">
      <c r="H1513" s="58" t="s">
        <v>562</v>
      </c>
      <c r="I1513" s="36"/>
      <c r="J1513" s="98"/>
      <c r="K1513" s="38">
        <f>(K1511/10)</f>
        <v>204.36</v>
      </c>
      <c r="W1513" s="4"/>
      <c r="AE1513" s="51">
        <f t="shared" si="220"/>
        <v>0</v>
      </c>
    </row>
    <row r="1514" spans="6:31" ht="24" customHeight="1">
      <c r="K1514" s="5" t="s">
        <v>2091</v>
      </c>
      <c r="W1514" s="4"/>
      <c r="AE1514" s="51">
        <f t="shared" si="220"/>
        <v>0</v>
      </c>
    </row>
    <row r="1515" spans="6:31" ht="24" customHeight="1">
      <c r="F1515" s="2" t="s">
        <v>32</v>
      </c>
      <c r="G1515" s="7" t="s">
        <v>2290</v>
      </c>
      <c r="H1515" s="2" t="s">
        <v>2004</v>
      </c>
      <c r="W1515" s="4"/>
      <c r="AE1515" s="51">
        <f t="shared" si="220"/>
        <v>0</v>
      </c>
    </row>
    <row r="1516" spans="6:31" ht="24" customHeight="1">
      <c r="H1516" s="2" t="s">
        <v>34</v>
      </c>
      <c r="M1516" s="2"/>
      <c r="N1516" s="7" t="s">
        <v>2290</v>
      </c>
      <c r="O1516" s="1" t="s">
        <v>2025</v>
      </c>
      <c r="Q1516" s="10"/>
      <c r="W1516" s="4"/>
      <c r="AE1516" s="51">
        <f t="shared" si="220"/>
        <v>0</v>
      </c>
    </row>
    <row r="1517" spans="6:31" ht="24" customHeight="1">
      <c r="F1517" s="8">
        <v>3.08</v>
      </c>
      <c r="G1517" s="7" t="s">
        <v>1394</v>
      </c>
      <c r="H1517" s="1" t="s">
        <v>33</v>
      </c>
      <c r="I1517" s="8">
        <f>E271</f>
        <v>158</v>
      </c>
      <c r="J1517" s="1" t="s">
        <v>1394</v>
      </c>
      <c r="K1517" s="8">
        <f>(F1517*I1517)</f>
        <v>486.64</v>
      </c>
      <c r="N1517" s="3"/>
      <c r="O1517" s="1" t="s">
        <v>1018</v>
      </c>
      <c r="Q1517" s="10"/>
      <c r="W1517" s="4"/>
      <c r="AE1517" s="51">
        <f t="shared" si="220"/>
        <v>0</v>
      </c>
    </row>
    <row r="1518" spans="6:31" ht="24" customHeight="1">
      <c r="F1518" s="8">
        <v>0.5</v>
      </c>
      <c r="G1518" s="7" t="s">
        <v>570</v>
      </c>
      <c r="H1518" s="1" t="s">
        <v>1395</v>
      </c>
      <c r="I1518" s="8">
        <f>C14</f>
        <v>831.6</v>
      </c>
      <c r="J1518" s="1" t="s">
        <v>570</v>
      </c>
      <c r="K1518" s="8">
        <f>(F1518*I1518)</f>
        <v>415.8</v>
      </c>
      <c r="N1518" s="3"/>
      <c r="O1518" s="1" t="s">
        <v>1019</v>
      </c>
      <c r="Q1518" s="10"/>
      <c r="W1518" s="4"/>
      <c r="AE1518" s="51">
        <f t="shared" si="220"/>
        <v>0</v>
      </c>
    </row>
    <row r="1519" spans="6:31" ht="24" customHeight="1">
      <c r="F1519" s="8">
        <v>0.5</v>
      </c>
      <c r="G1519" s="7" t="s">
        <v>570</v>
      </c>
      <c r="H1519" s="1" t="s">
        <v>839</v>
      </c>
      <c r="I1519" s="8">
        <f>C12</f>
        <v>679.8</v>
      </c>
      <c r="J1519" s="1" t="s">
        <v>570</v>
      </c>
      <c r="K1519" s="8">
        <f>(F1519*I1519)</f>
        <v>339.9</v>
      </c>
      <c r="N1519" s="3"/>
      <c r="O1519" s="1" t="s">
        <v>30</v>
      </c>
      <c r="Q1519" s="10"/>
      <c r="W1519" s="4"/>
      <c r="AE1519" s="51">
        <f t="shared" si="220"/>
        <v>0</v>
      </c>
    </row>
    <row r="1520" spans="6:31" ht="24" customHeight="1">
      <c r="F1520" s="8">
        <v>0.8</v>
      </c>
      <c r="G1520" s="7" t="s">
        <v>570</v>
      </c>
      <c r="H1520" s="1" t="s">
        <v>1396</v>
      </c>
      <c r="I1520" s="8">
        <f>C13</f>
        <v>557.70000000000005</v>
      </c>
      <c r="J1520" s="1" t="s">
        <v>570</v>
      </c>
      <c r="K1520" s="8">
        <f>(F1520*I1520)</f>
        <v>446.16</v>
      </c>
      <c r="N1520" s="3"/>
      <c r="O1520" s="5" t="s">
        <v>1615</v>
      </c>
      <c r="Q1520" s="10"/>
      <c r="W1520" s="4"/>
      <c r="AE1520" s="51">
        <f t="shared" si="220"/>
        <v>0</v>
      </c>
    </row>
    <row r="1521" spans="6:31" ht="24" customHeight="1">
      <c r="G1521" s="7" t="s">
        <v>455</v>
      </c>
      <c r="H1521" s="1" t="s">
        <v>1870</v>
      </c>
      <c r="J1521" s="1" t="s">
        <v>455</v>
      </c>
      <c r="K1521" s="8">
        <v>1.5</v>
      </c>
      <c r="M1521" s="8">
        <v>2.1800000000000002</v>
      </c>
      <c r="N1521" s="7" t="s">
        <v>1676</v>
      </c>
      <c r="O1521" s="1" t="s">
        <v>2026</v>
      </c>
      <c r="P1521" s="536">
        <v>70</v>
      </c>
      <c r="Q1521" s="1" t="s">
        <v>1676</v>
      </c>
      <c r="R1521" s="8">
        <f>M1521*P1521</f>
        <v>152.6</v>
      </c>
      <c r="W1521" s="4"/>
      <c r="AE1521" s="51">
        <f t="shared" si="220"/>
        <v>0</v>
      </c>
    </row>
    <row r="1522" spans="6:31" ht="24" customHeight="1">
      <c r="M1522" s="8">
        <v>0.75</v>
      </c>
      <c r="N1522" s="7" t="s">
        <v>884</v>
      </c>
      <c r="O1522" s="1" t="s">
        <v>31</v>
      </c>
      <c r="P1522" s="8">
        <f>C14</f>
        <v>831.6</v>
      </c>
      <c r="Q1522" s="1" t="s">
        <v>884</v>
      </c>
      <c r="R1522" s="8">
        <f>M1522*P1522</f>
        <v>623.70000000000005</v>
      </c>
      <c r="W1522" s="4"/>
      <c r="AE1522" s="51">
        <f t="shared" si="220"/>
        <v>0</v>
      </c>
    </row>
    <row r="1523" spans="6:31" ht="24" customHeight="1">
      <c r="K1523" s="5" t="s">
        <v>1615</v>
      </c>
      <c r="M1523" s="8">
        <v>0.75</v>
      </c>
      <c r="N1523" s="7" t="s">
        <v>884</v>
      </c>
      <c r="O1523" s="1" t="s">
        <v>950</v>
      </c>
      <c r="P1523" s="8">
        <f>C12</f>
        <v>679.8</v>
      </c>
      <c r="Q1523" s="1" t="s">
        <v>884</v>
      </c>
      <c r="R1523" s="8">
        <f>M1523*P1523</f>
        <v>509.85</v>
      </c>
      <c r="W1523" s="4"/>
      <c r="AE1523" s="51">
        <f t="shared" si="220"/>
        <v>0</v>
      </c>
    </row>
    <row r="1524" spans="6:31" ht="24" customHeight="1">
      <c r="H1524" s="2" t="s">
        <v>1397</v>
      </c>
      <c r="K1524" s="8">
        <f>SUM(K1517:K1521)</f>
        <v>1690</v>
      </c>
      <c r="M1524" s="8">
        <v>1.2</v>
      </c>
      <c r="N1524" s="7" t="s">
        <v>884</v>
      </c>
      <c r="O1524" s="1" t="s">
        <v>325</v>
      </c>
      <c r="P1524" s="8">
        <f>C13</f>
        <v>557.70000000000005</v>
      </c>
      <c r="Q1524" s="1" t="s">
        <v>884</v>
      </c>
      <c r="R1524" s="8">
        <f>M1524*P1524</f>
        <v>669.24</v>
      </c>
      <c r="W1524" s="4"/>
      <c r="AE1524" s="51">
        <f t="shared" si="220"/>
        <v>0</v>
      </c>
    </row>
    <row r="1525" spans="6:31" ht="24" customHeight="1">
      <c r="K1525" s="5" t="s">
        <v>1615</v>
      </c>
      <c r="N1525" s="7" t="s">
        <v>455</v>
      </c>
      <c r="O1525" s="1" t="s">
        <v>1870</v>
      </c>
      <c r="P1525" s="1" t="s">
        <v>992</v>
      </c>
      <c r="Q1525" s="1" t="s">
        <v>455</v>
      </c>
      <c r="R1525" s="8">
        <v>1.5</v>
      </c>
      <c r="W1525" s="4"/>
      <c r="AE1525" s="51">
        <f t="shared" si="220"/>
        <v>0</v>
      </c>
    </row>
    <row r="1526" spans="6:31" ht="24" customHeight="1">
      <c r="F1526" s="1" t="s">
        <v>992</v>
      </c>
      <c r="G1526" s="7" t="s">
        <v>992</v>
      </c>
      <c r="H1526" s="58" t="s">
        <v>1727</v>
      </c>
      <c r="I1526" s="33" t="s">
        <v>992</v>
      </c>
      <c r="J1526" s="33" t="s">
        <v>992</v>
      </c>
      <c r="K1526" s="38">
        <f>K1524/10</f>
        <v>169</v>
      </c>
      <c r="N1526" s="3"/>
      <c r="Q1526" s="10"/>
      <c r="R1526" s="5" t="s">
        <v>1615</v>
      </c>
      <c r="W1526" s="4"/>
      <c r="AE1526" s="51">
        <f t="shared" si="220"/>
        <v>0</v>
      </c>
    </row>
    <row r="1527" spans="6:31" ht="24" customHeight="1">
      <c r="K1527" s="5" t="s">
        <v>2091</v>
      </c>
      <c r="N1527" s="3"/>
      <c r="O1527" s="1" t="s">
        <v>447</v>
      </c>
      <c r="Q1527" s="10"/>
      <c r="R1527" s="8">
        <f>SUM(R1521:R1525)</f>
        <v>1956.89</v>
      </c>
      <c r="W1527" s="4"/>
      <c r="AE1527" s="51">
        <f t="shared" si="220"/>
        <v>0</v>
      </c>
    </row>
    <row r="1528" spans="6:31" ht="24" customHeight="1">
      <c r="F1528" s="2" t="s">
        <v>1398</v>
      </c>
      <c r="G1528" s="7" t="s">
        <v>2290</v>
      </c>
      <c r="H1528" s="1" t="s">
        <v>499</v>
      </c>
      <c r="N1528" s="3"/>
      <c r="Q1528" s="10"/>
      <c r="R1528" s="5" t="s">
        <v>1615</v>
      </c>
      <c r="W1528" s="4"/>
      <c r="AE1528" s="51">
        <f t="shared" si="220"/>
        <v>0</v>
      </c>
    </row>
    <row r="1529" spans="6:31" ht="24" customHeight="1">
      <c r="H1529" s="1" t="s">
        <v>1400</v>
      </c>
      <c r="N1529" s="3"/>
      <c r="O1529" s="1" t="s">
        <v>562</v>
      </c>
      <c r="Q1529" s="10"/>
      <c r="R1529" s="8">
        <f>(R1527/10)</f>
        <v>195.69</v>
      </c>
      <c r="W1529" s="4"/>
      <c r="AE1529" s="51">
        <f t="shared" si="220"/>
        <v>0</v>
      </c>
    </row>
    <row r="1530" spans="6:31" ht="24" customHeight="1">
      <c r="H1530" s="1" t="s">
        <v>2005</v>
      </c>
      <c r="N1530" s="3"/>
      <c r="Q1530" s="10"/>
      <c r="R1530" s="5" t="s">
        <v>2091</v>
      </c>
      <c r="W1530" s="4"/>
      <c r="AE1530" s="51">
        <f t="shared" si="220"/>
        <v>0</v>
      </c>
    </row>
    <row r="1531" spans="6:31" ht="24" customHeight="1">
      <c r="H1531" s="5" t="s">
        <v>1615</v>
      </c>
      <c r="L1531" s="176"/>
      <c r="M1531" s="562"/>
      <c r="N1531" s="1566" t="s">
        <v>4565</v>
      </c>
      <c r="O1531" s="1566"/>
      <c r="P1531" s="1566"/>
      <c r="Q1531" s="1566"/>
      <c r="R1531" s="1566"/>
      <c r="W1531" s="4"/>
      <c r="AE1531" s="51">
        <f t="shared" si="220"/>
        <v>0</v>
      </c>
    </row>
    <row r="1532" spans="6:31" ht="24" customHeight="1">
      <c r="F1532" s="8">
        <v>1.44</v>
      </c>
      <c r="G1532" s="7" t="s">
        <v>1262</v>
      </c>
      <c r="H1532" s="1" t="s">
        <v>1200</v>
      </c>
      <c r="I1532" s="8">
        <f>(C196)</f>
        <v>147.5</v>
      </c>
      <c r="J1532" s="1" t="s">
        <v>1262</v>
      </c>
      <c r="K1532" s="8">
        <f>(F1532*I1532)</f>
        <v>212.4</v>
      </c>
      <c r="L1532" s="182"/>
      <c r="M1532" s="566"/>
      <c r="N1532" s="567"/>
      <c r="O1532" s="574" t="s">
        <v>4566</v>
      </c>
      <c r="P1532" s="564"/>
      <c r="Q1532" s="567"/>
      <c r="R1532" s="564"/>
      <c r="W1532" s="4"/>
      <c r="AE1532" s="51">
        <f t="shared" si="220"/>
        <v>0</v>
      </c>
    </row>
    <row r="1533" spans="6:31" ht="24" customHeight="1">
      <c r="F1533" s="8">
        <v>0.7</v>
      </c>
      <c r="G1533" s="7" t="s">
        <v>785</v>
      </c>
      <c r="H1533" s="1" t="s">
        <v>1201</v>
      </c>
      <c r="I1533" s="8">
        <f>(C14)</f>
        <v>831.6</v>
      </c>
      <c r="J1533" s="1" t="s">
        <v>785</v>
      </c>
      <c r="K1533" s="8">
        <f>(F1533*I1533)</f>
        <v>582.12</v>
      </c>
      <c r="L1533" s="182"/>
      <c r="M1533" s="566"/>
      <c r="N1533" s="567"/>
      <c r="O1533" s="568"/>
      <c r="P1533" s="564"/>
      <c r="Q1533" s="567"/>
      <c r="R1533" s="564"/>
      <c r="W1533" s="4"/>
      <c r="AE1533" s="51">
        <f t="shared" si="220"/>
        <v>0</v>
      </c>
    </row>
    <row r="1534" spans="6:31" ht="24" customHeight="1">
      <c r="F1534" s="8">
        <v>2.5499999999999998</v>
      </c>
      <c r="G1534" s="7" t="s">
        <v>1262</v>
      </c>
      <c r="H1534" s="1" t="s">
        <v>1202</v>
      </c>
      <c r="I1534" s="8">
        <f>(C195)</f>
        <v>238.9</v>
      </c>
      <c r="J1534" s="1" t="s">
        <v>1262</v>
      </c>
      <c r="K1534" s="8">
        <f>(F1534*I1534)</f>
        <v>609.20000000000005</v>
      </c>
      <c r="L1534" s="182"/>
      <c r="M1534" s="566"/>
      <c r="N1534" s="567"/>
      <c r="O1534" s="568"/>
      <c r="P1534" s="564"/>
      <c r="Q1534" s="567"/>
      <c r="R1534" s="564"/>
      <c r="W1534" s="4"/>
      <c r="AE1534" s="51">
        <f t="shared" ref="AE1534:AE1597" si="223">AG1534</f>
        <v>0</v>
      </c>
    </row>
    <row r="1535" spans="6:31" ht="24" customHeight="1">
      <c r="F1535" s="8">
        <v>1.2</v>
      </c>
      <c r="G1535" s="7" t="s">
        <v>785</v>
      </c>
      <c r="H1535" s="1" t="s">
        <v>1201</v>
      </c>
      <c r="I1535" s="8">
        <f>(C14)</f>
        <v>831.6</v>
      </c>
      <c r="J1535" s="1" t="s">
        <v>785</v>
      </c>
      <c r="K1535" s="8">
        <f>(F1535*I1535)</f>
        <v>997.92</v>
      </c>
      <c r="L1535" s="182"/>
      <c r="M1535" s="566">
        <v>19.13</v>
      </c>
      <c r="N1535" s="567" t="s">
        <v>929</v>
      </c>
      <c r="O1535" s="568" t="s">
        <v>4019</v>
      </c>
      <c r="P1535" s="564">
        <f>P1489</f>
        <v>325</v>
      </c>
      <c r="Q1535" s="567" t="s">
        <v>929</v>
      </c>
      <c r="R1535" s="564">
        <f>P1535*M1535</f>
        <v>6217.25</v>
      </c>
      <c r="W1535" s="4"/>
      <c r="AE1535" s="51">
        <f t="shared" si="223"/>
        <v>0</v>
      </c>
    </row>
    <row r="1536" spans="6:31" ht="24" customHeight="1">
      <c r="G1536" s="7" t="s">
        <v>455</v>
      </c>
      <c r="H1536" s="1" t="s">
        <v>1203</v>
      </c>
      <c r="I1536" s="1" t="s">
        <v>992</v>
      </c>
      <c r="J1536" s="1" t="s">
        <v>455</v>
      </c>
      <c r="K1536" s="8">
        <v>1.5</v>
      </c>
      <c r="L1536" s="182"/>
      <c r="M1536" s="566">
        <v>2.97</v>
      </c>
      <c r="N1536" s="567" t="s">
        <v>236</v>
      </c>
      <c r="O1536" s="568" t="s">
        <v>4003</v>
      </c>
      <c r="P1536" s="564">
        <f>P1493</f>
        <v>306.89999999999998</v>
      </c>
      <c r="Q1536" s="567" t="s">
        <v>236</v>
      </c>
      <c r="R1536" s="564">
        <f t="shared" ref="R1536:R1541" si="224">P1536*M1536</f>
        <v>911.49</v>
      </c>
      <c r="W1536" s="4"/>
      <c r="AE1536" s="51">
        <f t="shared" si="223"/>
        <v>0</v>
      </c>
    </row>
    <row r="1537" spans="6:31" ht="24" customHeight="1">
      <c r="K1537" s="5" t="s">
        <v>1615</v>
      </c>
      <c r="L1537" s="182"/>
      <c r="M1537" s="566">
        <v>15.3</v>
      </c>
      <c r="N1537" s="567" t="s">
        <v>842</v>
      </c>
      <c r="O1537" s="568" t="s">
        <v>4002</v>
      </c>
      <c r="P1537" s="564">
        <f>P1494</f>
        <v>29.05</v>
      </c>
      <c r="Q1537" s="567" t="s">
        <v>842</v>
      </c>
      <c r="R1537" s="564">
        <f t="shared" si="224"/>
        <v>444.47</v>
      </c>
      <c r="W1537" s="4"/>
      <c r="AE1537" s="51">
        <f t="shared" si="223"/>
        <v>0</v>
      </c>
    </row>
    <row r="1538" spans="6:31" ht="24" customHeight="1">
      <c r="H1538" s="1" t="s">
        <v>447</v>
      </c>
      <c r="K1538" s="8">
        <f>SUM(K1532:K1536)</f>
        <v>2403.14</v>
      </c>
      <c r="L1538" s="182"/>
      <c r="M1538" s="566">
        <v>3</v>
      </c>
      <c r="N1538" s="567" t="s">
        <v>4011</v>
      </c>
      <c r="O1538" s="568" t="s">
        <v>4025</v>
      </c>
      <c r="P1538" s="564">
        <f>I4009</f>
        <v>350</v>
      </c>
      <c r="Q1538" s="567" t="s">
        <v>785</v>
      </c>
      <c r="R1538" s="564">
        <f t="shared" si="224"/>
        <v>1050</v>
      </c>
      <c r="W1538" s="4"/>
      <c r="AE1538" s="51">
        <f t="shared" si="223"/>
        <v>0</v>
      </c>
    </row>
    <row r="1539" spans="6:31" ht="24" customHeight="1">
      <c r="K1539" s="5" t="s">
        <v>1615</v>
      </c>
      <c r="L1539" s="182"/>
      <c r="M1539" s="566">
        <v>3</v>
      </c>
      <c r="N1539" s="567" t="s">
        <v>785</v>
      </c>
      <c r="O1539" s="568" t="s">
        <v>4004</v>
      </c>
      <c r="P1539" s="564">
        <f>I4010</f>
        <v>57.65</v>
      </c>
      <c r="Q1539" s="567" t="s">
        <v>785</v>
      </c>
      <c r="R1539" s="564">
        <f t="shared" si="224"/>
        <v>172.95</v>
      </c>
      <c r="W1539" s="4"/>
      <c r="AE1539" s="51">
        <f t="shared" si="223"/>
        <v>0</v>
      </c>
    </row>
    <row r="1540" spans="6:31" ht="24" customHeight="1">
      <c r="H1540" s="58" t="s">
        <v>562</v>
      </c>
      <c r="I1540" s="36"/>
      <c r="J1540" s="98"/>
      <c r="K1540" s="38">
        <f>(K1538/10)</f>
        <v>240.31</v>
      </c>
      <c r="L1540" s="182"/>
      <c r="M1540" s="566">
        <v>6</v>
      </c>
      <c r="N1540" s="567" t="s">
        <v>785</v>
      </c>
      <c r="O1540" s="568" t="s">
        <v>4006</v>
      </c>
      <c r="P1540" s="564">
        <f>I3995</f>
        <v>15</v>
      </c>
      <c r="Q1540" s="567" t="s">
        <v>785</v>
      </c>
      <c r="R1540" s="564">
        <f t="shared" si="224"/>
        <v>90</v>
      </c>
      <c r="W1540" s="4"/>
      <c r="AE1540" s="51">
        <f t="shared" si="223"/>
        <v>0</v>
      </c>
    </row>
    <row r="1541" spans="6:31" ht="24" customHeight="1">
      <c r="F1541" s="1" t="s">
        <v>992</v>
      </c>
      <c r="L1541" s="182"/>
      <c r="M1541" s="566">
        <v>2.97</v>
      </c>
      <c r="N1541" s="567" t="s">
        <v>2322</v>
      </c>
      <c r="O1541" s="568" t="s">
        <v>4007</v>
      </c>
      <c r="P1541" s="564">
        <f>R1552</f>
        <v>2085.6</v>
      </c>
      <c r="Q1541" s="567" t="s">
        <v>2322</v>
      </c>
      <c r="R1541" s="564">
        <f t="shared" si="224"/>
        <v>6194.23</v>
      </c>
      <c r="W1541" s="4"/>
      <c r="AE1541" s="51">
        <f t="shared" si="223"/>
        <v>0</v>
      </c>
    </row>
    <row r="1542" spans="6:31" ht="24" customHeight="1">
      <c r="K1542" s="5" t="s">
        <v>2091</v>
      </c>
      <c r="L1542" s="182"/>
      <c r="M1542" s="566"/>
      <c r="N1542" s="567"/>
      <c r="O1542" s="568" t="s">
        <v>2310</v>
      </c>
      <c r="P1542" s="562"/>
      <c r="Q1542" s="563"/>
      <c r="R1542" s="564">
        <v>3.5</v>
      </c>
      <c r="W1542" s="4"/>
      <c r="AE1542" s="51">
        <f t="shared" si="223"/>
        <v>0</v>
      </c>
    </row>
    <row r="1543" spans="6:31" ht="24" customHeight="1">
      <c r="F1543" s="11">
        <v>41</v>
      </c>
      <c r="G1543" s="7" t="s">
        <v>2290</v>
      </c>
      <c r="H1543" s="1" t="s">
        <v>1399</v>
      </c>
      <c r="L1543" s="182"/>
      <c r="M1543" s="562"/>
      <c r="N1543" s="569"/>
      <c r="O1543" s="1" t="s">
        <v>4567</v>
      </c>
      <c r="P1543" s="562"/>
      <c r="Q1543" s="562"/>
      <c r="R1543" s="571">
        <f>SUM(R1535:R1542)</f>
        <v>15083.89</v>
      </c>
      <c r="W1543" s="4"/>
      <c r="AE1543" s="51">
        <f t="shared" si="223"/>
        <v>0</v>
      </c>
    </row>
    <row r="1544" spans="6:31" ht="24" customHeight="1">
      <c r="H1544" s="1" t="s">
        <v>1066</v>
      </c>
      <c r="L1544" s="197"/>
      <c r="M1544" s="562"/>
      <c r="N1544" s="562"/>
      <c r="W1544" s="4"/>
      <c r="AE1544" s="51">
        <f t="shared" si="223"/>
        <v>0</v>
      </c>
    </row>
    <row r="1545" spans="6:31" ht="24" customHeight="1">
      <c r="H1545" s="1" t="s">
        <v>1261</v>
      </c>
      <c r="L1545" s="176"/>
      <c r="M1545" s="562"/>
      <c r="N1545" s="562"/>
      <c r="O1545" s="1" t="s">
        <v>562</v>
      </c>
      <c r="P1545" s="562"/>
      <c r="Q1545" s="562"/>
      <c r="R1545" s="572">
        <f>R1543/2.97</f>
        <v>5078.75</v>
      </c>
      <c r="S1545" s="50">
        <f>R1545-3740</f>
        <v>1338.75</v>
      </c>
      <c r="W1545" s="4"/>
      <c r="AE1545" s="51">
        <f t="shared" si="223"/>
        <v>0</v>
      </c>
    </row>
    <row r="1546" spans="6:31" ht="24" customHeight="1">
      <c r="H1546" s="5" t="s">
        <v>1615</v>
      </c>
      <c r="L1546" s="182"/>
      <c r="M1546" s="562"/>
      <c r="N1546" s="562"/>
      <c r="O1546" s="575"/>
      <c r="P1546" s="562"/>
      <c r="Q1546" s="562"/>
      <c r="R1546" s="562"/>
      <c r="W1546" s="4"/>
      <c r="AE1546" s="51">
        <f t="shared" si="223"/>
        <v>0</v>
      </c>
    </row>
    <row r="1547" spans="6:31" ht="24" customHeight="1">
      <c r="F1547" s="8">
        <v>2.2200000000000002</v>
      </c>
      <c r="G1547" s="7" t="s">
        <v>1262</v>
      </c>
      <c r="H1547" s="1" t="s">
        <v>1202</v>
      </c>
      <c r="I1547" s="8">
        <f>(C207)</f>
        <v>227.6</v>
      </c>
      <c r="J1547" s="1" t="s">
        <v>1262</v>
      </c>
      <c r="K1547" s="8">
        <f>(F1547*I1547)</f>
        <v>505.27</v>
      </c>
      <c r="L1547" s="182"/>
      <c r="M1547" s="564">
        <v>1</v>
      </c>
      <c r="N1547" s="567" t="s">
        <v>884</v>
      </c>
      <c r="O1547" s="568" t="s">
        <v>4013</v>
      </c>
      <c r="P1547" s="564">
        <f>AE17</f>
        <v>919.6</v>
      </c>
      <c r="Q1547" s="568" t="s">
        <v>884</v>
      </c>
      <c r="R1547" s="564">
        <f>P1547*M1547</f>
        <v>919.6</v>
      </c>
      <c r="W1547" s="4"/>
      <c r="AE1547" s="51">
        <f t="shared" si="223"/>
        <v>0</v>
      </c>
    </row>
    <row r="1548" spans="6:31" ht="24" customHeight="1">
      <c r="F1548" s="8">
        <v>1.1000000000000001</v>
      </c>
      <c r="G1548" s="7" t="s">
        <v>785</v>
      </c>
      <c r="H1548" s="1" t="s">
        <v>1201</v>
      </c>
      <c r="I1548" s="8">
        <f>(C14)</f>
        <v>831.6</v>
      </c>
      <c r="J1548" s="1" t="s">
        <v>785</v>
      </c>
      <c r="K1548" s="8">
        <f>(F1548*I1548)</f>
        <v>914.76</v>
      </c>
      <c r="L1548" s="182"/>
      <c r="M1548" s="564">
        <v>1</v>
      </c>
      <c r="N1548" s="567" t="s">
        <v>884</v>
      </c>
      <c r="O1548" s="568" t="s">
        <v>4014</v>
      </c>
      <c r="P1548" s="564">
        <f>AE11</f>
        <v>679.8</v>
      </c>
      <c r="Q1548" s="568" t="s">
        <v>884</v>
      </c>
      <c r="R1548" s="564">
        <f>P1548*M1548</f>
        <v>679.8</v>
      </c>
      <c r="W1548" s="4"/>
      <c r="AE1548" s="51">
        <f t="shared" si="223"/>
        <v>0</v>
      </c>
    </row>
    <row r="1549" spans="6:31" ht="24" customHeight="1">
      <c r="G1549" s="7" t="s">
        <v>455</v>
      </c>
      <c r="H1549" s="1" t="s">
        <v>1203</v>
      </c>
      <c r="I1549" s="1" t="s">
        <v>992</v>
      </c>
      <c r="J1549" s="1" t="s">
        <v>455</v>
      </c>
      <c r="K1549" s="8">
        <v>1.5</v>
      </c>
      <c r="L1549" s="182"/>
      <c r="M1549" s="564">
        <v>0.5</v>
      </c>
      <c r="N1549" s="567" t="s">
        <v>884</v>
      </c>
      <c r="O1549" s="568" t="s">
        <v>4015</v>
      </c>
      <c r="P1549" s="564">
        <f>AE20</f>
        <v>972.4</v>
      </c>
      <c r="Q1549" s="568" t="s">
        <v>884</v>
      </c>
      <c r="R1549" s="564">
        <f>P1549*M1549</f>
        <v>486.2</v>
      </c>
      <c r="W1549" s="4"/>
      <c r="AE1549" s="51">
        <f t="shared" si="223"/>
        <v>0</v>
      </c>
    </row>
    <row r="1550" spans="6:31" ht="24" customHeight="1">
      <c r="K1550" s="5" t="s">
        <v>1615</v>
      </c>
      <c r="L1550" s="182"/>
      <c r="M1550" s="562"/>
      <c r="N1550" s="569"/>
      <c r="O1550" s="562"/>
      <c r="P1550" s="562"/>
      <c r="Q1550" s="576"/>
      <c r="R1550" s="564"/>
      <c r="W1550" s="4"/>
      <c r="AE1550" s="51">
        <f t="shared" si="223"/>
        <v>0</v>
      </c>
    </row>
    <row r="1551" spans="6:31" ht="24" customHeight="1">
      <c r="H1551" s="1" t="s">
        <v>447</v>
      </c>
      <c r="K1551" s="8">
        <f>SUM(K1547:K1549)</f>
        <v>1421.53</v>
      </c>
      <c r="L1551" s="182"/>
      <c r="M1551" s="562"/>
      <c r="N1551" s="569"/>
      <c r="O1551" s="568" t="s">
        <v>4016</v>
      </c>
      <c r="P1551" s="562"/>
      <c r="Q1551" s="576"/>
      <c r="R1551" s="577" t="s">
        <v>1615</v>
      </c>
      <c r="W1551" s="4"/>
      <c r="AE1551" s="51">
        <f t="shared" si="223"/>
        <v>0</v>
      </c>
    </row>
    <row r="1552" spans="6:31" ht="24" customHeight="1">
      <c r="K1552" s="5" t="s">
        <v>1615</v>
      </c>
      <c r="L1552" s="182"/>
      <c r="M1552" s="562"/>
      <c r="N1552" s="569"/>
      <c r="O1552" s="562"/>
      <c r="P1552" s="562"/>
      <c r="Q1552" s="576"/>
      <c r="R1552" s="571">
        <f>SUM(R1547:R1551)</f>
        <v>2085.6</v>
      </c>
      <c r="W1552" s="4"/>
      <c r="AE1552" s="51">
        <f t="shared" si="223"/>
        <v>0</v>
      </c>
    </row>
    <row r="1553" spans="6:31" ht="24" customHeight="1">
      <c r="H1553" s="58" t="s">
        <v>562</v>
      </c>
      <c r="I1553" s="36"/>
      <c r="J1553" s="98"/>
      <c r="K1553" s="38">
        <f>(K1551/10)</f>
        <v>142.15</v>
      </c>
      <c r="L1553" s="182"/>
      <c r="W1553" s="4"/>
      <c r="AE1553" s="51">
        <f t="shared" si="223"/>
        <v>0</v>
      </c>
    </row>
    <row r="1554" spans="6:31" ht="24" customHeight="1">
      <c r="H1554" s="1"/>
      <c r="K1554" s="8"/>
      <c r="L1554" s="182"/>
      <c r="W1554" s="4"/>
      <c r="AE1554" s="51">
        <f t="shared" si="223"/>
        <v>0</v>
      </c>
    </row>
    <row r="1555" spans="6:31" ht="24" customHeight="1">
      <c r="H1555" s="1"/>
      <c r="K1555" s="8"/>
      <c r="L1555" s="182"/>
      <c r="W1555" s="4"/>
      <c r="AE1555" s="51">
        <f t="shared" si="223"/>
        <v>0</v>
      </c>
    </row>
    <row r="1556" spans="6:31" ht="24" customHeight="1">
      <c r="F1556" s="171">
        <v>238</v>
      </c>
      <c r="G1556" s="172" t="s">
        <v>2290</v>
      </c>
      <c r="H1556" s="173" t="s">
        <v>596</v>
      </c>
      <c r="I1556" s="174"/>
      <c r="J1556" s="175"/>
      <c r="K1556" s="174"/>
      <c r="L1556" s="182"/>
      <c r="W1556" s="4"/>
      <c r="AE1556" s="51">
        <f t="shared" si="223"/>
        <v>0</v>
      </c>
    </row>
    <row r="1557" spans="6:31" ht="24" customHeight="1">
      <c r="F1557" s="177"/>
      <c r="G1557" s="178"/>
      <c r="H1557" s="179" t="s">
        <v>2006</v>
      </c>
      <c r="I1557" s="180"/>
      <c r="J1557" s="181"/>
      <c r="K1557" s="180"/>
      <c r="L1557" s="197"/>
      <c r="W1557" s="4"/>
      <c r="AE1557" s="51">
        <f t="shared" si="223"/>
        <v>0</v>
      </c>
    </row>
    <row r="1558" spans="6:31" ht="24" customHeight="1">
      <c r="F1558" s="177"/>
      <c r="G1558" s="178"/>
      <c r="H1558" s="183" t="s">
        <v>1615</v>
      </c>
      <c r="I1558" s="180"/>
      <c r="J1558" s="181"/>
      <c r="K1558" s="180"/>
      <c r="W1558" s="4"/>
      <c r="AE1558" s="51">
        <f t="shared" si="223"/>
        <v>0</v>
      </c>
    </row>
    <row r="1559" spans="6:31" ht="24" customHeight="1">
      <c r="F1559" s="184">
        <v>20</v>
      </c>
      <c r="G1559" s="185" t="s">
        <v>1262</v>
      </c>
      <c r="H1559" s="179" t="s">
        <v>4405</v>
      </c>
      <c r="I1559" s="694">
        <f>D40</f>
        <v>116.2</v>
      </c>
      <c r="J1559" s="179" t="s">
        <v>1262</v>
      </c>
      <c r="K1559" s="186">
        <f>(F1559*I1559)</f>
        <v>2324</v>
      </c>
      <c r="W1559" s="4"/>
      <c r="AE1559" s="51">
        <f t="shared" si="223"/>
        <v>0</v>
      </c>
    </row>
    <row r="1560" spans="6:31" ht="24" customHeight="1">
      <c r="F1560" s="177"/>
      <c r="G1560" s="178"/>
      <c r="H1560" s="179" t="s">
        <v>598</v>
      </c>
      <c r="I1560" s="180"/>
      <c r="J1560" s="181"/>
      <c r="K1560" s="179" t="s">
        <v>992</v>
      </c>
      <c r="W1560" s="4"/>
      <c r="AE1560" s="51">
        <f t="shared" si="223"/>
        <v>0</v>
      </c>
    </row>
    <row r="1561" spans="6:31" ht="24" customHeight="1">
      <c r="F1561" s="184">
        <v>50</v>
      </c>
      <c r="G1561" s="185" t="s">
        <v>1676</v>
      </c>
      <c r="H1561" s="179" t="s">
        <v>878</v>
      </c>
      <c r="I1561" s="186">
        <f>C67/1000</f>
        <v>6.04</v>
      </c>
      <c r="J1561" s="179" t="s">
        <v>1676</v>
      </c>
      <c r="K1561" s="186">
        <f>(F1561*I1561)</f>
        <v>302</v>
      </c>
      <c r="W1561" s="4"/>
      <c r="AE1561" s="51">
        <f t="shared" si="223"/>
        <v>0</v>
      </c>
    </row>
    <row r="1562" spans="6:31" ht="24" customHeight="1">
      <c r="F1562" s="184">
        <v>1</v>
      </c>
      <c r="G1562" s="185" t="s">
        <v>455</v>
      </c>
      <c r="H1562" s="179" t="s">
        <v>599</v>
      </c>
      <c r="I1562" s="505">
        <v>75</v>
      </c>
      <c r="J1562" s="179" t="s">
        <v>455</v>
      </c>
      <c r="K1562" s="186">
        <f>(F1562*I1562)</f>
        <v>75</v>
      </c>
      <c r="W1562" s="4"/>
      <c r="AE1562" s="51">
        <f t="shared" si="223"/>
        <v>0</v>
      </c>
    </row>
    <row r="1563" spans="6:31" ht="24" customHeight="1">
      <c r="F1563" s="184">
        <v>1</v>
      </c>
      <c r="G1563" s="185" t="s">
        <v>455</v>
      </c>
      <c r="H1563" s="179" t="s">
        <v>600</v>
      </c>
      <c r="I1563" s="186">
        <f>C38</f>
        <v>40</v>
      </c>
      <c r="J1563" s="179" t="s">
        <v>455</v>
      </c>
      <c r="K1563" s="186">
        <f>(F1563*I1563)</f>
        <v>40</v>
      </c>
      <c r="W1563" s="4"/>
      <c r="AE1563" s="51">
        <f t="shared" si="223"/>
        <v>0</v>
      </c>
    </row>
    <row r="1564" spans="6:31" ht="24" customHeight="1">
      <c r="F1564" s="184">
        <v>2.5</v>
      </c>
      <c r="G1564" s="185" t="s">
        <v>455</v>
      </c>
      <c r="H1564" s="179" t="s">
        <v>601</v>
      </c>
      <c r="I1564" s="186">
        <f>D14</f>
        <v>805.2</v>
      </c>
      <c r="J1564" s="179" t="s">
        <v>455</v>
      </c>
      <c r="K1564" s="186">
        <f>(F1564*I1564)</f>
        <v>2013</v>
      </c>
      <c r="W1564" s="4"/>
      <c r="AE1564" s="51">
        <f t="shared" si="223"/>
        <v>0</v>
      </c>
    </row>
    <row r="1565" spans="6:31" ht="24" customHeight="1">
      <c r="F1565" s="177"/>
      <c r="G1565" s="185" t="s">
        <v>455</v>
      </c>
      <c r="H1565" s="179" t="s">
        <v>512</v>
      </c>
      <c r="I1565" s="180"/>
      <c r="J1565" s="179" t="s">
        <v>455</v>
      </c>
      <c r="K1565" s="187">
        <v>1.5</v>
      </c>
      <c r="W1565" s="4"/>
      <c r="AE1565" s="51">
        <f t="shared" si="223"/>
        <v>0</v>
      </c>
    </row>
    <row r="1566" spans="6:31" ht="24" customHeight="1">
      <c r="F1566" s="177"/>
      <c r="G1566" s="178"/>
      <c r="H1566" s="180"/>
      <c r="I1566" s="180"/>
      <c r="J1566" s="181"/>
      <c r="K1566" s="183" t="s">
        <v>1615</v>
      </c>
      <c r="W1566" s="4"/>
      <c r="AE1566" s="51">
        <f t="shared" si="223"/>
        <v>0</v>
      </c>
    </row>
    <row r="1567" spans="6:31" ht="24" customHeight="1">
      <c r="F1567" s="177"/>
      <c r="G1567" s="178"/>
      <c r="H1567" s="188" t="s">
        <v>602</v>
      </c>
      <c r="I1567" s="189"/>
      <c r="J1567" s="190"/>
      <c r="K1567" s="191">
        <f>SUM(K1559:K1565)</f>
        <v>4755.5</v>
      </c>
      <c r="W1567" s="4"/>
      <c r="AE1567" s="51">
        <f t="shared" si="223"/>
        <v>0</v>
      </c>
    </row>
    <row r="1568" spans="6:31" ht="24" customHeight="1">
      <c r="F1568" s="177"/>
      <c r="G1568" s="178"/>
      <c r="H1568" s="179"/>
      <c r="I1568" s="180"/>
      <c r="J1568" s="181"/>
      <c r="K1568" s="183" t="s">
        <v>1615</v>
      </c>
      <c r="W1568" s="4"/>
      <c r="AE1568" s="51">
        <f t="shared" si="223"/>
        <v>0</v>
      </c>
    </row>
    <row r="1569" spans="6:31" ht="24" customHeight="1">
      <c r="F1569" s="192"/>
      <c r="G1569" s="193"/>
      <c r="H1569" s="194"/>
      <c r="I1569" s="194"/>
      <c r="J1569" s="195"/>
      <c r="K1569" s="196"/>
      <c r="W1569" s="4"/>
      <c r="AE1569" s="51">
        <f t="shared" si="223"/>
        <v>0</v>
      </c>
    </row>
    <row r="1570" spans="6:31" ht="24" customHeight="1">
      <c r="F1570" s="198" t="s">
        <v>1067</v>
      </c>
      <c r="G1570" s="172" t="s">
        <v>2290</v>
      </c>
      <c r="H1570" s="173" t="s">
        <v>561</v>
      </c>
      <c r="I1570" s="174"/>
      <c r="J1570" s="175"/>
      <c r="K1570" s="174"/>
      <c r="W1570" s="4"/>
      <c r="AE1570" s="51">
        <f t="shared" si="223"/>
        <v>0</v>
      </c>
    </row>
    <row r="1571" spans="6:31" ht="24" customHeight="1">
      <c r="F1571" s="177"/>
      <c r="G1571" s="178"/>
      <c r="H1571" s="179" t="s">
        <v>2172</v>
      </c>
      <c r="I1571" s="180"/>
      <c r="J1571" s="181"/>
      <c r="K1571" s="180"/>
      <c r="W1571" s="4"/>
      <c r="AE1571" s="51">
        <f t="shared" si="223"/>
        <v>0</v>
      </c>
    </row>
    <row r="1572" spans="6:31" ht="24" customHeight="1">
      <c r="F1572" s="177"/>
      <c r="G1572" s="178"/>
      <c r="H1572" s="183" t="s">
        <v>1615</v>
      </c>
      <c r="I1572" s="180"/>
      <c r="J1572" s="181"/>
      <c r="K1572" s="180"/>
      <c r="W1572" s="4"/>
      <c r="AE1572" s="51">
        <f t="shared" si="223"/>
        <v>0</v>
      </c>
    </row>
    <row r="1573" spans="6:31" ht="24" customHeight="1">
      <c r="F1573" s="184">
        <v>1</v>
      </c>
      <c r="G1573" s="185" t="s">
        <v>533</v>
      </c>
      <c r="H1573" s="179" t="s">
        <v>534</v>
      </c>
      <c r="I1573" s="186">
        <f>(C139)</f>
        <v>58000</v>
      </c>
      <c r="J1573" s="179" t="s">
        <v>535</v>
      </c>
      <c r="K1573" s="186">
        <f>(F1573*I1573)/10</f>
        <v>5800</v>
      </c>
      <c r="W1573" s="4"/>
      <c r="AE1573" s="51">
        <f t="shared" si="223"/>
        <v>0</v>
      </c>
    </row>
    <row r="1574" spans="6:31" ht="24" customHeight="1">
      <c r="F1574" s="199">
        <v>0.01</v>
      </c>
      <c r="G1574" s="185" t="s">
        <v>533</v>
      </c>
      <c r="H1574" s="179" t="s">
        <v>194</v>
      </c>
      <c r="I1574" s="186">
        <f>(C143)</f>
        <v>56350</v>
      </c>
      <c r="J1574" s="179" t="s">
        <v>535</v>
      </c>
      <c r="K1574" s="186">
        <f>(F1574*I1574)/10</f>
        <v>56.35</v>
      </c>
      <c r="W1574" s="4"/>
      <c r="AE1574" s="51">
        <f t="shared" si="223"/>
        <v>0</v>
      </c>
    </row>
    <row r="1575" spans="6:31" ht="24" customHeight="1">
      <c r="F1575" s="199">
        <v>3.5</v>
      </c>
      <c r="G1575" s="185" t="s">
        <v>785</v>
      </c>
      <c r="H1575" s="179" t="s">
        <v>536</v>
      </c>
      <c r="I1575" s="186">
        <f>AE38</f>
        <v>903.1</v>
      </c>
      <c r="J1575" s="179" t="s">
        <v>1423</v>
      </c>
      <c r="K1575" s="186">
        <f>(F1575*I1575)</f>
        <v>3160.85</v>
      </c>
      <c r="W1575" s="4"/>
      <c r="AE1575" s="51">
        <f t="shared" si="223"/>
        <v>0</v>
      </c>
    </row>
    <row r="1576" spans="6:31" ht="24" customHeight="1">
      <c r="F1576" s="184">
        <v>1.3</v>
      </c>
      <c r="G1576" s="185" t="s">
        <v>1676</v>
      </c>
      <c r="H1576" s="179" t="s">
        <v>537</v>
      </c>
      <c r="I1576" s="186">
        <f>C67/1000</f>
        <v>6.04</v>
      </c>
      <c r="J1576" s="179" t="s">
        <v>1676</v>
      </c>
      <c r="K1576" s="186">
        <f>(F1576*I1576)</f>
        <v>7.85</v>
      </c>
      <c r="W1576" s="4"/>
      <c r="AE1576" s="51">
        <f t="shared" si="223"/>
        <v>0</v>
      </c>
    </row>
    <row r="1577" spans="6:31" ht="24" customHeight="1">
      <c r="F1577" s="184">
        <v>0.25</v>
      </c>
      <c r="G1577" s="185" t="s">
        <v>785</v>
      </c>
      <c r="H1577" s="179" t="s">
        <v>538</v>
      </c>
      <c r="I1577" s="186">
        <f>D14</f>
        <v>805.2</v>
      </c>
      <c r="J1577" s="179" t="s">
        <v>1423</v>
      </c>
      <c r="K1577" s="186">
        <f>(F1577*I1577)</f>
        <v>201.3</v>
      </c>
      <c r="W1577" s="4"/>
      <c r="AE1577" s="51">
        <f t="shared" si="223"/>
        <v>0</v>
      </c>
    </row>
    <row r="1578" spans="6:31" ht="24" customHeight="1">
      <c r="F1578" s="199"/>
      <c r="G1578" s="185" t="s">
        <v>455</v>
      </c>
      <c r="H1578" s="179" t="s">
        <v>456</v>
      </c>
      <c r="I1578" s="180"/>
      <c r="J1578" s="179" t="s">
        <v>455</v>
      </c>
      <c r="K1578" s="186">
        <f>(F1578*I1578)</f>
        <v>0</v>
      </c>
      <c r="W1578" s="4"/>
      <c r="AE1578" s="51">
        <f t="shared" si="223"/>
        <v>0</v>
      </c>
    </row>
    <row r="1579" spans="6:31" ht="24" customHeight="1">
      <c r="F1579" s="199"/>
      <c r="G1579" s="178"/>
      <c r="H1579" s="180"/>
      <c r="I1579" s="180"/>
      <c r="J1579" s="181"/>
      <c r="K1579" s="183" t="s">
        <v>1615</v>
      </c>
      <c r="W1579" s="4"/>
      <c r="AE1579" s="51">
        <f t="shared" si="223"/>
        <v>0</v>
      </c>
    </row>
    <row r="1580" spans="6:31" ht="24" customHeight="1">
      <c r="F1580" s="199"/>
      <c r="G1580" s="178"/>
      <c r="H1580" s="179" t="s">
        <v>539</v>
      </c>
      <c r="I1580" s="180"/>
      <c r="J1580" s="181"/>
      <c r="K1580" s="186">
        <f>SUM(K1573:K1578)</f>
        <v>9226.35</v>
      </c>
      <c r="W1580" s="4"/>
      <c r="AE1580" s="51">
        <f t="shared" si="223"/>
        <v>0</v>
      </c>
    </row>
    <row r="1581" spans="6:31" ht="24" customHeight="1">
      <c r="F1581" s="199"/>
      <c r="G1581" s="178"/>
      <c r="H1581" s="180"/>
      <c r="I1581" s="180"/>
      <c r="J1581" s="181"/>
      <c r="K1581" s="183" t="s">
        <v>1615</v>
      </c>
      <c r="W1581" s="4"/>
      <c r="AE1581" s="51">
        <f t="shared" si="223"/>
        <v>0</v>
      </c>
    </row>
    <row r="1582" spans="6:31" ht="24" customHeight="1">
      <c r="F1582" s="200"/>
      <c r="G1582" s="193"/>
      <c r="H1582" s="201" t="s">
        <v>540</v>
      </c>
      <c r="I1582" s="202"/>
      <c r="J1582" s="203"/>
      <c r="K1582" s="204">
        <f>(K1580*10)</f>
        <v>92263.5</v>
      </c>
      <c r="W1582" s="4"/>
      <c r="AE1582" s="51">
        <f t="shared" si="223"/>
        <v>0</v>
      </c>
    </row>
    <row r="1583" spans="6:31" ht="24" customHeight="1">
      <c r="F1583" s="12"/>
      <c r="K1583" s="5"/>
      <c r="W1583" s="4"/>
      <c r="AE1583" s="51">
        <f t="shared" si="223"/>
        <v>0</v>
      </c>
    </row>
    <row r="1584" spans="6:31" ht="24" customHeight="1">
      <c r="F1584" s="12"/>
      <c r="K1584" s="5"/>
      <c r="W1584" s="4"/>
      <c r="AE1584" s="51">
        <f t="shared" si="223"/>
        <v>0</v>
      </c>
    </row>
    <row r="1585" spans="6:31" ht="24" customHeight="1">
      <c r="F1585" s="12"/>
      <c r="H1585" s="19" t="s">
        <v>541</v>
      </c>
      <c r="K1585" s="5"/>
      <c r="W1585" s="4"/>
      <c r="AE1585" s="51">
        <f t="shared" si="223"/>
        <v>0</v>
      </c>
    </row>
    <row r="1586" spans="6:31" ht="24" customHeight="1">
      <c r="F1586" s="8">
        <v>1</v>
      </c>
      <c r="G1586" s="7" t="s">
        <v>533</v>
      </c>
      <c r="H1586" s="1" t="s">
        <v>542</v>
      </c>
      <c r="I1586">
        <f>C138</f>
        <v>58000</v>
      </c>
      <c r="J1586" s="1" t="s">
        <v>535</v>
      </c>
      <c r="K1586" s="8">
        <f>(F1586*I1586)/10</f>
        <v>5800</v>
      </c>
      <c r="W1586" s="4"/>
      <c r="AE1586" s="51">
        <f t="shared" si="223"/>
        <v>0</v>
      </c>
    </row>
    <row r="1587" spans="6:31" ht="24" customHeight="1">
      <c r="F1587" s="12">
        <v>0.01</v>
      </c>
      <c r="G1587" s="7" t="s">
        <v>533</v>
      </c>
      <c r="H1587" s="1" t="s">
        <v>194</v>
      </c>
      <c r="I1587">
        <f>C143</f>
        <v>56350</v>
      </c>
      <c r="J1587" s="1" t="s">
        <v>535</v>
      </c>
      <c r="K1587" s="8">
        <f>(F1587*I1587)/10</f>
        <v>56.35</v>
      </c>
      <c r="W1587" s="4"/>
      <c r="AE1587" s="51">
        <f t="shared" si="223"/>
        <v>0</v>
      </c>
    </row>
    <row r="1588" spans="6:31" ht="24" customHeight="1">
      <c r="F1588" s="12">
        <v>3.5</v>
      </c>
      <c r="G1588" s="7" t="s">
        <v>785</v>
      </c>
      <c r="H1588" s="1" t="s">
        <v>536</v>
      </c>
      <c r="I1588">
        <f>I1575</f>
        <v>903.1</v>
      </c>
      <c r="J1588" s="1" t="s">
        <v>1423</v>
      </c>
      <c r="K1588" s="8">
        <f>(F1588*I1588)</f>
        <v>3160.85</v>
      </c>
      <c r="W1588" s="4"/>
      <c r="AE1588" s="51">
        <f t="shared" si="223"/>
        <v>0</v>
      </c>
    </row>
    <row r="1589" spans="6:31" ht="24" customHeight="1">
      <c r="F1589" s="8">
        <v>1.3</v>
      </c>
      <c r="G1589" s="7" t="s">
        <v>1676</v>
      </c>
      <c r="H1589" s="1" t="s">
        <v>537</v>
      </c>
      <c r="I1589">
        <f>C67/1000</f>
        <v>6.04</v>
      </c>
      <c r="J1589" s="1" t="s">
        <v>1676</v>
      </c>
      <c r="K1589" s="8">
        <f>(F1589*I1589)</f>
        <v>7.85</v>
      </c>
      <c r="W1589" s="4"/>
      <c r="AE1589" s="51">
        <f t="shared" si="223"/>
        <v>0</v>
      </c>
    </row>
    <row r="1590" spans="6:31" ht="24" customHeight="1">
      <c r="F1590" s="8">
        <v>0.25</v>
      </c>
      <c r="G1590" s="7" t="s">
        <v>785</v>
      </c>
      <c r="H1590" s="1" t="s">
        <v>538</v>
      </c>
      <c r="I1590">
        <f>D14</f>
        <v>805.2</v>
      </c>
      <c r="J1590" s="1" t="s">
        <v>1423</v>
      </c>
      <c r="K1590" s="8">
        <f>(F1590*I1590)</f>
        <v>201.3</v>
      </c>
      <c r="W1590" s="4"/>
      <c r="AE1590" s="51">
        <f t="shared" si="223"/>
        <v>0</v>
      </c>
    </row>
    <row r="1591" spans="6:31" ht="24" customHeight="1">
      <c r="F1591" s="12"/>
      <c r="G1591" s="7" t="s">
        <v>455</v>
      </c>
      <c r="H1591" s="1" t="s">
        <v>456</v>
      </c>
      <c r="J1591" s="1" t="s">
        <v>455</v>
      </c>
      <c r="K1591" s="8">
        <f>(F1591*I1591)</f>
        <v>0</v>
      </c>
      <c r="W1591" s="4"/>
      <c r="AE1591" s="51">
        <f t="shared" si="223"/>
        <v>0</v>
      </c>
    </row>
    <row r="1592" spans="6:31" ht="24" customHeight="1">
      <c r="F1592" s="12"/>
      <c r="K1592" s="5" t="s">
        <v>1615</v>
      </c>
      <c r="W1592" s="4"/>
      <c r="AE1592" s="51">
        <f t="shared" si="223"/>
        <v>0</v>
      </c>
    </row>
    <row r="1593" spans="6:31" ht="24" customHeight="1">
      <c r="F1593" s="12"/>
      <c r="H1593" s="1" t="s">
        <v>539</v>
      </c>
      <c r="K1593" s="8">
        <f>SUM(K1586:K1591)</f>
        <v>9226.35</v>
      </c>
      <c r="W1593" s="4"/>
      <c r="AE1593" s="51">
        <f t="shared" si="223"/>
        <v>0</v>
      </c>
    </row>
    <row r="1594" spans="6:31" ht="24" customHeight="1">
      <c r="F1594" s="12"/>
      <c r="K1594" s="5" t="s">
        <v>1615</v>
      </c>
      <c r="W1594" s="4"/>
      <c r="AE1594" s="51">
        <f t="shared" si="223"/>
        <v>0</v>
      </c>
    </row>
    <row r="1595" spans="6:31" ht="24" customHeight="1">
      <c r="F1595" s="12" t="s">
        <v>992</v>
      </c>
      <c r="H1595" s="58" t="s">
        <v>540</v>
      </c>
      <c r="I1595" s="36"/>
      <c r="J1595" s="98"/>
      <c r="K1595" s="38">
        <f>(K1593*10)</f>
        <v>92263.5</v>
      </c>
      <c r="W1595" s="4"/>
      <c r="AE1595" s="51">
        <f t="shared" si="223"/>
        <v>0</v>
      </c>
    </row>
    <row r="1596" spans="6:31" ht="24" customHeight="1">
      <c r="F1596" s="12"/>
      <c r="K1596" s="5" t="s">
        <v>2091</v>
      </c>
      <c r="W1596" s="4"/>
      <c r="AE1596" s="51">
        <f t="shared" si="223"/>
        <v>0</v>
      </c>
    </row>
    <row r="1597" spans="6:31" ht="24" customHeight="1">
      <c r="F1597" s="12"/>
      <c r="H1597" s="1" t="s">
        <v>992</v>
      </c>
      <c r="K1597" s="1" t="s">
        <v>992</v>
      </c>
      <c r="W1597" s="4"/>
      <c r="AE1597" s="51">
        <f t="shared" si="223"/>
        <v>0</v>
      </c>
    </row>
    <row r="1598" spans="6:31" ht="24" customHeight="1">
      <c r="F1598" s="20" t="s">
        <v>543</v>
      </c>
      <c r="G1598" s="7" t="s">
        <v>1942</v>
      </c>
      <c r="H1598" s="1" t="s">
        <v>561</v>
      </c>
      <c r="O1598" s="36" t="s">
        <v>3961</v>
      </c>
      <c r="W1598" s="4"/>
      <c r="AE1598" s="51">
        <f t="shared" ref="AE1598:AE1661" si="225">AG1598</f>
        <v>0</v>
      </c>
    </row>
    <row r="1599" spans="6:31" ht="24" customHeight="1">
      <c r="F1599" s="12"/>
      <c r="H1599" s="1" t="s">
        <v>544</v>
      </c>
      <c r="M1599" s="20" t="s">
        <v>543</v>
      </c>
      <c r="N1599" s="7" t="s">
        <v>1942</v>
      </c>
      <c r="O1599" s="1" t="s">
        <v>561</v>
      </c>
      <c r="Q1599" s="10"/>
      <c r="W1599" s="4"/>
      <c r="AE1599" s="51">
        <f t="shared" si="225"/>
        <v>0</v>
      </c>
    </row>
    <row r="1600" spans="6:31" ht="24" customHeight="1">
      <c r="F1600" s="12"/>
      <c r="H1600" s="5" t="s">
        <v>1615</v>
      </c>
      <c r="M1600" s="12"/>
      <c r="N1600" s="3"/>
      <c r="O1600" s="1" t="s">
        <v>544</v>
      </c>
      <c r="Q1600" s="10"/>
      <c r="W1600" s="4"/>
      <c r="AE1600" s="51">
        <f t="shared" si="225"/>
        <v>0</v>
      </c>
    </row>
    <row r="1601" spans="6:31" ht="24" customHeight="1">
      <c r="F1601" s="8">
        <v>1</v>
      </c>
      <c r="G1601" s="7" t="s">
        <v>533</v>
      </c>
      <c r="H1601" s="1" t="s">
        <v>534</v>
      </c>
      <c r="I1601" s="8">
        <f>(C139)</f>
        <v>58000</v>
      </c>
      <c r="J1601" s="1" t="s">
        <v>535</v>
      </c>
      <c r="K1601" s="8">
        <f>(F1601*I1601)/10</f>
        <v>5800</v>
      </c>
      <c r="L1601">
        <f>K1626+K1630</f>
        <v>393.72</v>
      </c>
      <c r="M1601" s="12"/>
      <c r="N1601" s="3"/>
      <c r="O1601" s="5" t="s">
        <v>1615</v>
      </c>
      <c r="Q1601" s="10"/>
      <c r="W1601" s="4"/>
      <c r="AE1601" s="51">
        <f t="shared" si="225"/>
        <v>0</v>
      </c>
    </row>
    <row r="1602" spans="6:31" ht="24" customHeight="1">
      <c r="F1602" s="12">
        <v>0.01</v>
      </c>
      <c r="G1602" s="7" t="s">
        <v>533</v>
      </c>
      <c r="H1602" s="1" t="s">
        <v>194</v>
      </c>
      <c r="I1602" s="439">
        <f>I1587</f>
        <v>56350</v>
      </c>
      <c r="J1602" s="1" t="s">
        <v>535</v>
      </c>
      <c r="K1602" s="8">
        <f>(F1602*I1602)/10</f>
        <v>56.35</v>
      </c>
      <c r="L1602">
        <f>L1601/3</f>
        <v>131.24</v>
      </c>
      <c r="M1602" s="8">
        <v>1</v>
      </c>
      <c r="N1602" s="7" t="s">
        <v>533</v>
      </c>
      <c r="O1602" s="1" t="s">
        <v>534</v>
      </c>
      <c r="P1602" s="8">
        <f>I1601</f>
        <v>58000</v>
      </c>
      <c r="Q1602" s="1" t="s">
        <v>535</v>
      </c>
      <c r="R1602" s="8">
        <f>(M1602*P1602)/10</f>
        <v>5800</v>
      </c>
      <c r="W1602" s="4"/>
      <c r="AE1602" s="51">
        <f t="shared" si="225"/>
        <v>0</v>
      </c>
    </row>
    <row r="1603" spans="6:31" ht="24" customHeight="1">
      <c r="F1603" s="12">
        <v>3.5</v>
      </c>
      <c r="G1603" s="7" t="s">
        <v>785</v>
      </c>
      <c r="H1603" s="1" t="s">
        <v>536</v>
      </c>
      <c r="I1603" s="8">
        <f>AE38</f>
        <v>903.1</v>
      </c>
      <c r="J1603" s="1" t="s">
        <v>785</v>
      </c>
      <c r="K1603" s="8">
        <f>(F1603*I1603)</f>
        <v>3160.85</v>
      </c>
      <c r="M1603" s="12">
        <v>0.01</v>
      </c>
      <c r="N1603" s="7" t="s">
        <v>533</v>
      </c>
      <c r="O1603" s="33" t="s">
        <v>4198</v>
      </c>
      <c r="P1603" s="693">
        <f>80000/112*100</f>
        <v>71428.570000000007</v>
      </c>
      <c r="Q1603" s="1" t="s">
        <v>535</v>
      </c>
      <c r="R1603" s="8">
        <f>(M1603*P1603)/10</f>
        <v>71.430000000000007</v>
      </c>
      <c r="W1603" s="4"/>
      <c r="AE1603" s="51">
        <f t="shared" si="225"/>
        <v>0</v>
      </c>
    </row>
    <row r="1604" spans="6:31" ht="24" customHeight="1">
      <c r="F1604" s="12"/>
      <c r="G1604" s="7" t="s">
        <v>455</v>
      </c>
      <c r="H1604" s="1" t="s">
        <v>456</v>
      </c>
      <c r="J1604" s="1" t="s">
        <v>455</v>
      </c>
      <c r="K1604" s="8">
        <v>0</v>
      </c>
      <c r="M1604" s="12">
        <v>3.5</v>
      </c>
      <c r="N1604" s="7" t="s">
        <v>785</v>
      </c>
      <c r="O1604" s="1" t="s">
        <v>536</v>
      </c>
      <c r="P1604" s="8">
        <f>I1603</f>
        <v>903.1</v>
      </c>
      <c r="Q1604" s="1" t="s">
        <v>785</v>
      </c>
      <c r="R1604" s="8">
        <f>(M1604*P1604)</f>
        <v>3160.85</v>
      </c>
      <c r="W1604" s="4"/>
      <c r="AE1604" s="51">
        <f t="shared" si="225"/>
        <v>0</v>
      </c>
    </row>
    <row r="1605" spans="6:31" ht="24" customHeight="1">
      <c r="K1605" s="5" t="s">
        <v>1615</v>
      </c>
      <c r="M1605" s="12"/>
      <c r="N1605" s="7" t="s">
        <v>455</v>
      </c>
      <c r="O1605" s="1" t="s">
        <v>456</v>
      </c>
      <c r="Q1605" s="1" t="s">
        <v>455</v>
      </c>
      <c r="R1605" s="8">
        <v>0</v>
      </c>
      <c r="W1605" s="4"/>
      <c r="AE1605" s="51">
        <f t="shared" si="225"/>
        <v>0</v>
      </c>
    </row>
    <row r="1606" spans="6:31" ht="24" customHeight="1">
      <c r="H1606" s="1" t="s">
        <v>539</v>
      </c>
      <c r="K1606" s="8">
        <f>SUM(K1601:K1604)</f>
        <v>9017.2000000000007</v>
      </c>
      <c r="N1606" s="3"/>
      <c r="Q1606" s="10"/>
      <c r="R1606" s="5" t="s">
        <v>1615</v>
      </c>
      <c r="W1606" s="4"/>
      <c r="AE1606" s="51">
        <f t="shared" si="225"/>
        <v>0</v>
      </c>
    </row>
    <row r="1607" spans="6:31" ht="24" customHeight="1">
      <c r="K1607" s="5" t="s">
        <v>1615</v>
      </c>
      <c r="N1607" s="3"/>
      <c r="O1607" s="1" t="s">
        <v>539</v>
      </c>
      <c r="Q1607" s="10"/>
      <c r="R1607" s="8">
        <f>SUM(R1602:R1605)</f>
        <v>9032.2800000000007</v>
      </c>
      <c r="W1607" s="4"/>
      <c r="AE1607" s="51">
        <f t="shared" si="225"/>
        <v>0</v>
      </c>
    </row>
    <row r="1608" spans="6:31" ht="24" customHeight="1">
      <c r="H1608" s="58" t="s">
        <v>540</v>
      </c>
      <c r="I1608" s="36"/>
      <c r="J1608" s="98"/>
      <c r="K1608" s="38">
        <f>(K1606*10)</f>
        <v>90172</v>
      </c>
      <c r="N1608" s="3"/>
      <c r="Q1608" s="10"/>
      <c r="R1608" s="5" t="s">
        <v>1615</v>
      </c>
      <c r="W1608" s="4"/>
      <c r="AE1608" s="51">
        <f t="shared" si="225"/>
        <v>0</v>
      </c>
    </row>
    <row r="1609" spans="6:31" ht="24" customHeight="1">
      <c r="H1609" s="1" t="s">
        <v>992</v>
      </c>
      <c r="K1609" s="1" t="s">
        <v>992</v>
      </c>
      <c r="N1609" s="3"/>
      <c r="O1609" s="58" t="s">
        <v>540</v>
      </c>
      <c r="P1609" s="36"/>
      <c r="Q1609" s="98"/>
      <c r="R1609" s="38">
        <f>(R1607*10)</f>
        <v>90322.8</v>
      </c>
      <c r="W1609" s="4"/>
      <c r="AE1609" s="51">
        <f t="shared" si="225"/>
        <v>0</v>
      </c>
    </row>
    <row r="1610" spans="6:31" ht="24" customHeight="1">
      <c r="G1610" s="3" t="s">
        <v>527</v>
      </c>
      <c r="H1610" s="1" t="s">
        <v>561</v>
      </c>
      <c r="K1610" s="1"/>
      <c r="W1610" s="4"/>
      <c r="AE1610" s="51">
        <f t="shared" si="225"/>
        <v>0</v>
      </c>
    </row>
    <row r="1611" spans="6:31" ht="24" customHeight="1">
      <c r="H1611" s="1" t="s">
        <v>1624</v>
      </c>
      <c r="K1611" s="1"/>
      <c r="N1611" s="3" t="s">
        <v>527</v>
      </c>
      <c r="O1611" s="1" t="s">
        <v>561</v>
      </c>
      <c r="Q1611" s="10"/>
      <c r="R1611" s="1"/>
      <c r="W1611" s="4"/>
      <c r="AE1611" s="51">
        <f t="shared" si="225"/>
        <v>0</v>
      </c>
    </row>
    <row r="1612" spans="6:31" ht="24" customHeight="1">
      <c r="F1612" s="12"/>
      <c r="H1612" s="5" t="s">
        <v>1615</v>
      </c>
      <c r="K1612" s="1"/>
      <c r="N1612" s="3"/>
      <c r="O1612" s="1" t="s">
        <v>1624</v>
      </c>
      <c r="Q1612" s="10"/>
      <c r="R1612" s="1"/>
      <c r="W1612" s="4"/>
      <c r="AE1612" s="51">
        <f t="shared" si="225"/>
        <v>0</v>
      </c>
    </row>
    <row r="1613" spans="6:31" ht="24" customHeight="1">
      <c r="F1613" s="8">
        <v>1</v>
      </c>
      <c r="G1613" s="7" t="s">
        <v>533</v>
      </c>
      <c r="H1613" s="1" t="s">
        <v>542</v>
      </c>
      <c r="I1613">
        <f>C138</f>
        <v>58000</v>
      </c>
      <c r="J1613" s="1" t="s">
        <v>535</v>
      </c>
      <c r="K1613" s="8">
        <f>(F1613*I1613)/10</f>
        <v>5800</v>
      </c>
      <c r="M1613" s="12"/>
      <c r="N1613" s="3"/>
      <c r="O1613" s="5" t="s">
        <v>1615</v>
      </c>
      <c r="Q1613" s="10"/>
      <c r="R1613" s="1"/>
      <c r="W1613" s="4"/>
      <c r="AE1613" s="51">
        <f t="shared" si="225"/>
        <v>0</v>
      </c>
    </row>
    <row r="1614" spans="6:31" ht="24" customHeight="1">
      <c r="F1614" s="12">
        <v>0.01</v>
      </c>
      <c r="G1614" s="7" t="s">
        <v>533</v>
      </c>
      <c r="H1614" s="1" t="s">
        <v>194</v>
      </c>
      <c r="I1614">
        <f>C143</f>
        <v>56350</v>
      </c>
      <c r="J1614" s="1" t="s">
        <v>535</v>
      </c>
      <c r="K1614" s="8">
        <f>(F1614*I1614)/10</f>
        <v>56.35</v>
      </c>
      <c r="M1614" s="8">
        <v>1</v>
      </c>
      <c r="N1614" s="7" t="s">
        <v>533</v>
      </c>
      <c r="O1614" s="1" t="s">
        <v>542</v>
      </c>
      <c r="P1614">
        <f>I1613</f>
        <v>58000</v>
      </c>
      <c r="Q1614" s="1" t="s">
        <v>535</v>
      </c>
      <c r="R1614" s="8">
        <f>(M1614*P1614)/10</f>
        <v>5800</v>
      </c>
      <c r="W1614" s="4"/>
      <c r="AE1614" s="51">
        <f t="shared" si="225"/>
        <v>0</v>
      </c>
    </row>
    <row r="1615" spans="6:31" ht="24" customHeight="1">
      <c r="F1615" s="12">
        <v>3.5</v>
      </c>
      <c r="G1615" s="7" t="s">
        <v>785</v>
      </c>
      <c r="H1615" s="1" t="s">
        <v>536</v>
      </c>
      <c r="I1615">
        <f>I1603</f>
        <v>903.1</v>
      </c>
      <c r="J1615" s="1" t="s">
        <v>785</v>
      </c>
      <c r="K1615" s="8">
        <f>(F1615*I1615)</f>
        <v>3160.85</v>
      </c>
      <c r="M1615" s="12">
        <v>0.01</v>
      </c>
      <c r="N1615" s="7" t="s">
        <v>533</v>
      </c>
      <c r="O1615" s="33" t="str">
        <f>O1603</f>
        <v>BINDING WIRE insulated with PVC as per circular</v>
      </c>
      <c r="P1615">
        <f>P1603</f>
        <v>71428.570000000007</v>
      </c>
      <c r="Q1615" s="1" t="s">
        <v>535</v>
      </c>
      <c r="R1615" s="8">
        <f>(M1615*P1615)/10</f>
        <v>71.430000000000007</v>
      </c>
      <c r="W1615" s="4"/>
      <c r="AE1615" s="51">
        <f t="shared" si="225"/>
        <v>0</v>
      </c>
    </row>
    <row r="1616" spans="6:31" ht="24" customHeight="1">
      <c r="F1616" s="12"/>
      <c r="G1616" s="7" t="s">
        <v>455</v>
      </c>
      <c r="H1616" s="1" t="s">
        <v>456</v>
      </c>
      <c r="J1616" s="1" t="s">
        <v>455</v>
      </c>
      <c r="K1616" s="8">
        <v>0</v>
      </c>
      <c r="M1616" s="12">
        <v>3.5</v>
      </c>
      <c r="N1616" s="7" t="s">
        <v>533</v>
      </c>
      <c r="O1616" s="1" t="s">
        <v>536</v>
      </c>
      <c r="P1616">
        <f>I1615</f>
        <v>903.1</v>
      </c>
      <c r="Q1616" s="1" t="s">
        <v>785</v>
      </c>
      <c r="R1616" s="8">
        <f>(M1616*P1616)</f>
        <v>3160.85</v>
      </c>
      <c r="W1616" s="4"/>
      <c r="AE1616" s="51">
        <f t="shared" si="225"/>
        <v>0</v>
      </c>
    </row>
    <row r="1617" spans="6:31" ht="24" customHeight="1">
      <c r="K1617" s="5" t="s">
        <v>1615</v>
      </c>
      <c r="M1617" s="12"/>
      <c r="N1617" s="7" t="s">
        <v>533</v>
      </c>
      <c r="O1617" s="1" t="s">
        <v>456</v>
      </c>
      <c r="Q1617" s="1" t="s">
        <v>455</v>
      </c>
      <c r="R1617" s="8">
        <v>0</v>
      </c>
      <c r="W1617" s="4"/>
      <c r="AE1617" s="51">
        <f t="shared" si="225"/>
        <v>0</v>
      </c>
    </row>
    <row r="1618" spans="6:31" ht="24" customHeight="1">
      <c r="H1618" s="1" t="s">
        <v>539</v>
      </c>
      <c r="K1618" s="8">
        <f>SUM(K1613:K1616)</f>
        <v>9017.2000000000007</v>
      </c>
      <c r="N1618" s="3"/>
      <c r="Q1618" s="10"/>
      <c r="R1618" s="5" t="s">
        <v>1615</v>
      </c>
      <c r="W1618" s="4"/>
      <c r="AE1618" s="51">
        <f t="shared" si="225"/>
        <v>0</v>
      </c>
    </row>
    <row r="1619" spans="6:31" ht="24" customHeight="1">
      <c r="K1619" s="5" t="s">
        <v>1615</v>
      </c>
      <c r="N1619" s="3"/>
      <c r="O1619" s="1" t="s">
        <v>539</v>
      </c>
      <c r="Q1619" s="10"/>
      <c r="R1619" s="8">
        <f>SUM(R1614:R1617)</f>
        <v>9032.2800000000007</v>
      </c>
      <c r="W1619" s="4"/>
      <c r="AE1619" s="51">
        <f t="shared" si="225"/>
        <v>0</v>
      </c>
    </row>
    <row r="1620" spans="6:31" ht="24" customHeight="1">
      <c r="H1620" s="58" t="s">
        <v>540</v>
      </c>
      <c r="I1620" s="36"/>
      <c r="J1620" s="98"/>
      <c r="K1620" s="38">
        <f>(K1618*10)</f>
        <v>90172</v>
      </c>
      <c r="N1620" s="3"/>
      <c r="Q1620" s="10"/>
      <c r="R1620" s="5" t="s">
        <v>1615</v>
      </c>
      <c r="W1620" s="4"/>
      <c r="AE1620" s="51">
        <f t="shared" si="225"/>
        <v>0</v>
      </c>
    </row>
    <row r="1621" spans="6:31" ht="24" customHeight="1">
      <c r="H1621" s="1" t="s">
        <v>992</v>
      </c>
      <c r="N1621" s="3"/>
      <c r="O1621" s="58" t="s">
        <v>540</v>
      </c>
      <c r="P1621" s="36"/>
      <c r="Q1621" s="98"/>
      <c r="R1621" s="38">
        <f>(R1619*10)</f>
        <v>90322.8</v>
      </c>
      <c r="W1621" s="4"/>
      <c r="AE1621" s="51">
        <f t="shared" si="225"/>
        <v>0</v>
      </c>
    </row>
    <row r="1622" spans="6:31" ht="24" customHeight="1">
      <c r="F1622" s="24">
        <v>44.1</v>
      </c>
      <c r="G1622" s="7" t="s">
        <v>2290</v>
      </c>
      <c r="H1622" s="1" t="s">
        <v>1625</v>
      </c>
      <c r="W1622" s="4"/>
      <c r="AE1622" s="51">
        <f t="shared" si="225"/>
        <v>0</v>
      </c>
    </row>
    <row r="1623" spans="6:31" ht="24" customHeight="1">
      <c r="H1623" s="1" t="s">
        <v>1626</v>
      </c>
      <c r="R1623" t="s">
        <v>252</v>
      </c>
      <c r="W1623" s="4"/>
      <c r="AE1623" s="51">
        <f t="shared" si="225"/>
        <v>0</v>
      </c>
    </row>
    <row r="1624" spans="6:31" ht="24" customHeight="1">
      <c r="H1624" s="1" t="s">
        <v>1159</v>
      </c>
      <c r="M1624" s="24">
        <v>44.1</v>
      </c>
      <c r="N1624" s="7" t="s">
        <v>2290</v>
      </c>
      <c r="O1624" s="1" t="s">
        <v>1625</v>
      </c>
      <c r="W1624" s="4"/>
      <c r="AE1624" s="51">
        <f t="shared" si="225"/>
        <v>0</v>
      </c>
    </row>
    <row r="1625" spans="6:31" ht="24" customHeight="1">
      <c r="H1625" s="5" t="s">
        <v>1615</v>
      </c>
      <c r="N1625" s="3"/>
      <c r="O1625" s="1" t="s">
        <v>1626</v>
      </c>
      <c r="W1625" s="4"/>
      <c r="AE1625" s="51">
        <f t="shared" si="225"/>
        <v>0</v>
      </c>
    </row>
    <row r="1626" spans="6:31" ht="24" customHeight="1">
      <c r="F1626" s="8">
        <v>3</v>
      </c>
      <c r="G1626" s="7" t="s">
        <v>1805</v>
      </c>
      <c r="H1626" s="1" t="s">
        <v>2082</v>
      </c>
      <c r="I1626" s="8">
        <f>D620</f>
        <v>120.54</v>
      </c>
      <c r="J1626" s="1" t="s">
        <v>1805</v>
      </c>
      <c r="K1626" s="8">
        <f t="shared" ref="K1626:K1631" si="226">(F1626*I1626)</f>
        <v>361.62</v>
      </c>
      <c r="N1626" s="3"/>
      <c r="O1626" s="1" t="s">
        <v>1159</v>
      </c>
      <c r="W1626" s="4"/>
      <c r="AE1626" s="51">
        <f t="shared" si="225"/>
        <v>0</v>
      </c>
    </row>
    <row r="1627" spans="6:31" ht="24" customHeight="1">
      <c r="F1627" s="8">
        <v>1</v>
      </c>
      <c r="G1627" s="7" t="s">
        <v>884</v>
      </c>
      <c r="H1627" s="1" t="s">
        <v>2136</v>
      </c>
      <c r="I1627" s="480">
        <f>(C623)</f>
        <v>76</v>
      </c>
      <c r="J1627" s="1" t="s">
        <v>884</v>
      </c>
      <c r="K1627" s="8">
        <f t="shared" si="226"/>
        <v>76</v>
      </c>
      <c r="N1627" s="3"/>
      <c r="O1627" s="5" t="s">
        <v>1615</v>
      </c>
      <c r="W1627" s="4"/>
      <c r="AE1627" s="51">
        <f t="shared" si="225"/>
        <v>0</v>
      </c>
    </row>
    <row r="1628" spans="6:31" ht="24" customHeight="1">
      <c r="F1628" s="8">
        <v>1</v>
      </c>
      <c r="G1628" s="7" t="s">
        <v>884</v>
      </c>
      <c r="H1628" s="1" t="s">
        <v>2137</v>
      </c>
      <c r="I1628" s="8">
        <f>(C626)</f>
        <v>83.4</v>
      </c>
      <c r="J1628" s="1" t="s">
        <v>884</v>
      </c>
      <c r="K1628" s="8">
        <f t="shared" si="226"/>
        <v>83.4</v>
      </c>
      <c r="M1628" s="8">
        <v>3</v>
      </c>
      <c r="N1628" s="7" t="s">
        <v>1805</v>
      </c>
      <c r="O1628" s="1" t="s">
        <v>2082</v>
      </c>
      <c r="P1628">
        <f>I1626</f>
        <v>120.54</v>
      </c>
      <c r="Q1628" t="str">
        <f>J1628</f>
        <v>NO.</v>
      </c>
      <c r="R1628">
        <f t="shared" ref="R1628:R1633" si="227">P1628*M1628</f>
        <v>361.62</v>
      </c>
      <c r="W1628" s="4"/>
      <c r="AE1628" s="51">
        <f t="shared" si="225"/>
        <v>0</v>
      </c>
    </row>
    <row r="1629" spans="6:31" ht="24" customHeight="1">
      <c r="F1629" s="8">
        <v>2</v>
      </c>
      <c r="G1629" s="7" t="s">
        <v>884</v>
      </c>
      <c r="H1629" s="1" t="s">
        <v>2138</v>
      </c>
      <c r="I1629" s="8">
        <f>C597</f>
        <v>21.6</v>
      </c>
      <c r="J1629" s="1" t="s">
        <v>884</v>
      </c>
      <c r="K1629" s="8">
        <f t="shared" si="226"/>
        <v>43.2</v>
      </c>
      <c r="M1629" s="8">
        <v>1</v>
      </c>
      <c r="N1629" s="7" t="s">
        <v>884</v>
      </c>
      <c r="O1629" s="1" t="s">
        <v>2136</v>
      </c>
      <c r="P1629" s="607">
        <v>76.78</v>
      </c>
      <c r="Q1629" t="str">
        <f>J1629</f>
        <v>NO.</v>
      </c>
      <c r="R1629">
        <f t="shared" si="227"/>
        <v>76.78</v>
      </c>
      <c r="W1629" s="4"/>
      <c r="AE1629" s="51">
        <f t="shared" si="225"/>
        <v>0</v>
      </c>
    </row>
    <row r="1630" spans="6:31" ht="24" customHeight="1">
      <c r="F1630" s="8">
        <v>1</v>
      </c>
      <c r="G1630" s="7" t="s">
        <v>884</v>
      </c>
      <c r="H1630" s="1" t="s">
        <v>2139</v>
      </c>
      <c r="I1630" s="8">
        <f>(C696)</f>
        <v>32.1</v>
      </c>
      <c r="J1630" s="1" t="s">
        <v>884</v>
      </c>
      <c r="K1630" s="8">
        <f t="shared" si="226"/>
        <v>32.1</v>
      </c>
      <c r="M1630" s="8">
        <v>1</v>
      </c>
      <c r="N1630" s="7" t="s">
        <v>884</v>
      </c>
      <c r="O1630" s="1" t="s">
        <v>2137</v>
      </c>
      <c r="P1630">
        <f>I1628</f>
        <v>83.4</v>
      </c>
      <c r="Q1630" t="str">
        <f>J1630</f>
        <v>NO.</v>
      </c>
      <c r="R1630">
        <f t="shared" si="227"/>
        <v>83.4</v>
      </c>
      <c r="W1630" s="4"/>
      <c r="AE1630" s="51">
        <f t="shared" si="225"/>
        <v>0</v>
      </c>
    </row>
    <row r="1631" spans="6:31" ht="24" customHeight="1">
      <c r="F1631" s="8">
        <v>0.5</v>
      </c>
      <c r="G1631" s="7" t="s">
        <v>884</v>
      </c>
      <c r="H1631" s="1" t="s">
        <v>2140</v>
      </c>
      <c r="I1631" s="8">
        <f>(C15)</f>
        <v>903.1</v>
      </c>
      <c r="J1631" s="1" t="s">
        <v>884</v>
      </c>
      <c r="K1631" s="8">
        <f t="shared" si="226"/>
        <v>451.55</v>
      </c>
      <c r="M1631" s="38">
        <v>2</v>
      </c>
      <c r="N1631" s="404" t="s">
        <v>1051</v>
      </c>
      <c r="O1631" s="695" t="s">
        <v>4406</v>
      </c>
      <c r="P1631" s="607">
        <v>12</v>
      </c>
      <c r="Q1631" t="str">
        <f>J1631</f>
        <v>NO.</v>
      </c>
      <c r="R1631">
        <f t="shared" si="227"/>
        <v>24</v>
      </c>
      <c r="W1631" s="4"/>
      <c r="AE1631" s="51">
        <f t="shared" si="225"/>
        <v>0</v>
      </c>
    </row>
    <row r="1632" spans="6:31" ht="24" customHeight="1">
      <c r="G1632" s="7" t="s">
        <v>455</v>
      </c>
      <c r="H1632" s="1" t="s">
        <v>617</v>
      </c>
      <c r="J1632" s="1" t="s">
        <v>455</v>
      </c>
      <c r="K1632" s="8"/>
      <c r="M1632" s="8">
        <v>1</v>
      </c>
      <c r="N1632" s="559" t="s">
        <v>1051</v>
      </c>
      <c r="O1632" s="1" t="s">
        <v>2139</v>
      </c>
      <c r="P1632">
        <f>I1630</f>
        <v>32.1</v>
      </c>
      <c r="Q1632" t="str">
        <f>J1632</f>
        <v>L.S</v>
      </c>
      <c r="R1632">
        <f t="shared" si="227"/>
        <v>32.1</v>
      </c>
      <c r="W1632" s="4"/>
      <c r="AE1632" s="51">
        <f t="shared" si="225"/>
        <v>0</v>
      </c>
    </row>
    <row r="1633" spans="6:31" ht="24" customHeight="1">
      <c r="H1633" s="1" t="s">
        <v>22</v>
      </c>
      <c r="M1633" s="8">
        <v>0.5</v>
      </c>
      <c r="N1633" s="559" t="s">
        <v>1051</v>
      </c>
      <c r="O1633" s="1" t="s">
        <v>2140</v>
      </c>
      <c r="P1633">
        <f>I1631</f>
        <v>903.1</v>
      </c>
      <c r="R1633">
        <f t="shared" si="227"/>
        <v>451.55</v>
      </c>
      <c r="W1633" s="4"/>
      <c r="AE1633" s="51">
        <f t="shared" si="225"/>
        <v>0</v>
      </c>
    </row>
    <row r="1634" spans="6:31" ht="24" customHeight="1">
      <c r="K1634" s="5" t="s">
        <v>1615</v>
      </c>
      <c r="N1634" s="559" t="s">
        <v>1051</v>
      </c>
      <c r="O1634" s="1" t="s">
        <v>617</v>
      </c>
      <c r="P1634">
        <f>I1634</f>
        <v>0</v>
      </c>
      <c r="W1634" s="4"/>
      <c r="AE1634" s="51">
        <f t="shared" si="225"/>
        <v>0</v>
      </c>
    </row>
    <row r="1635" spans="6:31" ht="24" customHeight="1">
      <c r="H1635" s="1" t="s">
        <v>1341</v>
      </c>
      <c r="K1635" s="8">
        <f>SUM(K1626:K1632)</f>
        <v>1047.8699999999999</v>
      </c>
      <c r="O1635" s="1" t="s">
        <v>22</v>
      </c>
      <c r="R1635">
        <f>26.98+4.7</f>
        <v>31.68</v>
      </c>
      <c r="W1635" s="4"/>
      <c r="AE1635" s="51">
        <f t="shared" si="225"/>
        <v>0</v>
      </c>
    </row>
    <row r="1636" spans="6:31" ht="24" customHeight="1">
      <c r="F1636" s="1" t="s">
        <v>992</v>
      </c>
      <c r="W1636" s="4"/>
      <c r="AE1636" s="51">
        <f t="shared" si="225"/>
        <v>0</v>
      </c>
    </row>
    <row r="1637" spans="6:31" ht="24" customHeight="1">
      <c r="K1637" s="5" t="s">
        <v>1615</v>
      </c>
      <c r="O1637" s="1" t="s">
        <v>1341</v>
      </c>
      <c r="R1637" s="36">
        <f>SUM(R1628:R1636)</f>
        <v>1061.1300000000001</v>
      </c>
      <c r="W1637" s="4"/>
      <c r="AE1637" s="51">
        <f t="shared" si="225"/>
        <v>0</v>
      </c>
    </row>
    <row r="1638" spans="6:31" ht="24" customHeight="1">
      <c r="H1638" s="58" t="s">
        <v>1573</v>
      </c>
      <c r="I1638" s="36"/>
      <c r="J1638" s="98"/>
      <c r="K1638" s="38">
        <f>(K1635/3)</f>
        <v>349.29</v>
      </c>
      <c r="W1638" s="4"/>
      <c r="AE1638" s="51">
        <f t="shared" si="225"/>
        <v>0</v>
      </c>
    </row>
    <row r="1639" spans="6:31" ht="24" customHeight="1">
      <c r="H1639" s="1"/>
      <c r="K1639" s="5" t="s">
        <v>2091</v>
      </c>
      <c r="N1639" s="3"/>
      <c r="Q1639" s="10"/>
      <c r="R1639" s="5" t="s">
        <v>1615</v>
      </c>
      <c r="W1639" s="4"/>
      <c r="AE1639" s="51">
        <f t="shared" si="225"/>
        <v>0</v>
      </c>
    </row>
    <row r="1640" spans="6:31" ht="24" customHeight="1">
      <c r="F1640" s="2" t="s">
        <v>1342</v>
      </c>
      <c r="H1640" s="1" t="s">
        <v>16</v>
      </c>
      <c r="N1640" s="3"/>
      <c r="O1640" s="58" t="s">
        <v>1573</v>
      </c>
      <c r="P1640" s="36"/>
      <c r="Q1640" s="98"/>
      <c r="R1640" s="38">
        <f>(R1637/3)</f>
        <v>353.71</v>
      </c>
      <c r="S1640" s="50">
        <f>310*3</f>
        <v>930</v>
      </c>
      <c r="T1640">
        <f>S1640-R1637</f>
        <v>-131.13</v>
      </c>
      <c r="W1640" s="4"/>
      <c r="AE1640" s="51">
        <f t="shared" si="225"/>
        <v>0</v>
      </c>
    </row>
    <row r="1641" spans="6:31" ht="24" customHeight="1">
      <c r="H1641" s="1" t="s">
        <v>17</v>
      </c>
      <c r="N1641" s="3"/>
      <c r="O1641" s="1"/>
      <c r="Q1641" s="10"/>
      <c r="R1641" s="5" t="s">
        <v>2091</v>
      </c>
      <c r="W1641" s="4"/>
      <c r="AE1641" s="51">
        <f t="shared" si="225"/>
        <v>0</v>
      </c>
    </row>
    <row r="1642" spans="6:31" ht="24" customHeight="1">
      <c r="H1642" s="1" t="s">
        <v>2072</v>
      </c>
      <c r="W1642" s="4"/>
      <c r="AE1642" s="51">
        <f t="shared" si="225"/>
        <v>0</v>
      </c>
    </row>
    <row r="1643" spans="6:31" ht="24" customHeight="1">
      <c r="H1643" s="5" t="s">
        <v>1615</v>
      </c>
      <c r="W1643" s="4"/>
      <c r="AE1643" s="51">
        <f t="shared" si="225"/>
        <v>0</v>
      </c>
    </row>
    <row r="1644" spans="6:31" ht="24" customHeight="1">
      <c r="F1644" s="8">
        <v>0.15</v>
      </c>
      <c r="G1644" s="7" t="s">
        <v>885</v>
      </c>
      <c r="H1644" s="1" t="s">
        <v>2073</v>
      </c>
      <c r="I1644" s="8">
        <f>(C70)</f>
        <v>1000.02</v>
      </c>
      <c r="J1644" s="1" t="s">
        <v>885</v>
      </c>
      <c r="K1644" s="8">
        <f>(F1644*I1644)</f>
        <v>150</v>
      </c>
      <c r="W1644" s="4"/>
      <c r="AE1644" s="51">
        <f t="shared" si="225"/>
        <v>0</v>
      </c>
    </row>
    <row r="1645" spans="6:31" ht="24" customHeight="1">
      <c r="F1645" s="15">
        <v>8.6499999999999994E-2</v>
      </c>
      <c r="G1645" s="7" t="s">
        <v>877</v>
      </c>
      <c r="H1645" s="1" t="s">
        <v>878</v>
      </c>
      <c r="I1645" s="8">
        <f>(C67)</f>
        <v>6040</v>
      </c>
      <c r="J1645" s="1" t="s">
        <v>877</v>
      </c>
      <c r="K1645" s="8">
        <f>(F1645*I1645)</f>
        <v>522.46</v>
      </c>
      <c r="W1645" s="4"/>
      <c r="AE1645" s="51">
        <f t="shared" si="225"/>
        <v>0</v>
      </c>
    </row>
    <row r="1646" spans="6:31" ht="24" customHeight="1">
      <c r="F1646" s="8">
        <v>1.6</v>
      </c>
      <c r="G1646" s="7" t="s">
        <v>785</v>
      </c>
      <c r="H1646" s="1" t="s">
        <v>2045</v>
      </c>
      <c r="I1646" s="8">
        <f>(C10)</f>
        <v>1041.7</v>
      </c>
      <c r="J1646" s="1" t="s">
        <v>785</v>
      </c>
      <c r="K1646" s="8">
        <f>(F1646*I1646)</f>
        <v>1666.72</v>
      </c>
      <c r="W1646" s="4"/>
      <c r="AE1646" s="51">
        <f t="shared" si="225"/>
        <v>0</v>
      </c>
    </row>
    <row r="1647" spans="6:31" ht="24" customHeight="1">
      <c r="F1647" s="8">
        <v>0.5</v>
      </c>
      <c r="G1647" s="7" t="s">
        <v>785</v>
      </c>
      <c r="H1647" s="1" t="s">
        <v>1937</v>
      </c>
      <c r="I1647" s="8">
        <f>(C12)</f>
        <v>679.8</v>
      </c>
      <c r="J1647" s="1" t="s">
        <v>785</v>
      </c>
      <c r="K1647" s="8">
        <f>(F1647*I1647)</f>
        <v>339.9</v>
      </c>
      <c r="W1647" s="4"/>
      <c r="AE1647" s="51">
        <f t="shared" si="225"/>
        <v>0</v>
      </c>
    </row>
    <row r="1648" spans="6:31" ht="24" customHeight="1">
      <c r="F1648" s="8">
        <v>1.1000000000000001</v>
      </c>
      <c r="G1648" s="7" t="s">
        <v>785</v>
      </c>
      <c r="H1648" s="1" t="s">
        <v>325</v>
      </c>
      <c r="I1648" s="8">
        <f>(C13)</f>
        <v>557.70000000000005</v>
      </c>
      <c r="J1648" s="1" t="s">
        <v>785</v>
      </c>
      <c r="K1648" s="8">
        <f>(F1648*I1648)</f>
        <v>613.47</v>
      </c>
      <c r="W1648" s="4"/>
      <c r="AE1648" s="51">
        <f t="shared" si="225"/>
        <v>0</v>
      </c>
    </row>
    <row r="1649" spans="6:31" ht="24" customHeight="1">
      <c r="G1649" s="7" t="s">
        <v>455</v>
      </c>
      <c r="H1649" s="1" t="s">
        <v>456</v>
      </c>
      <c r="I1649" s="1" t="s">
        <v>992</v>
      </c>
      <c r="J1649" s="1" t="s">
        <v>455</v>
      </c>
      <c r="K1649" s="8">
        <v>0</v>
      </c>
      <c r="W1649" s="4"/>
      <c r="AE1649" s="51">
        <f t="shared" si="225"/>
        <v>0</v>
      </c>
    </row>
    <row r="1650" spans="6:31" ht="24" customHeight="1">
      <c r="K1650" s="5" t="s">
        <v>1615</v>
      </c>
      <c r="W1650" s="4"/>
      <c r="AE1650" s="51">
        <f t="shared" si="225"/>
        <v>0</v>
      </c>
    </row>
    <row r="1651" spans="6:31" ht="24" customHeight="1">
      <c r="H1651" s="1" t="s">
        <v>447</v>
      </c>
      <c r="K1651" s="8">
        <f>SUM(K1644:K1649)</f>
        <v>3292.55</v>
      </c>
      <c r="W1651" s="4"/>
      <c r="AE1651" s="51">
        <f t="shared" si="225"/>
        <v>0</v>
      </c>
    </row>
    <row r="1652" spans="6:31" ht="24" customHeight="1">
      <c r="K1652" s="5" t="s">
        <v>1615</v>
      </c>
      <c r="W1652" s="4"/>
      <c r="AE1652" s="51">
        <f t="shared" si="225"/>
        <v>0</v>
      </c>
    </row>
    <row r="1653" spans="6:31" ht="24" customHeight="1">
      <c r="H1653" s="58" t="s">
        <v>562</v>
      </c>
      <c r="I1653" s="36"/>
      <c r="J1653" s="98"/>
      <c r="K1653" s="38">
        <f>(K1651/10)</f>
        <v>329.26</v>
      </c>
      <c r="W1653" s="4"/>
      <c r="AE1653" s="51">
        <f t="shared" si="225"/>
        <v>0</v>
      </c>
    </row>
    <row r="1654" spans="6:31" ht="24" customHeight="1">
      <c r="K1654" s="5" t="s">
        <v>2091</v>
      </c>
      <c r="W1654" s="4"/>
      <c r="AE1654" s="51">
        <f t="shared" si="225"/>
        <v>0</v>
      </c>
    </row>
    <row r="1655" spans="6:31" ht="24" customHeight="1">
      <c r="F1655" s="2" t="s">
        <v>2074</v>
      </c>
      <c r="G1655" s="7" t="s">
        <v>2290</v>
      </c>
      <c r="H1655" s="1" t="s">
        <v>2075</v>
      </c>
      <c r="W1655" s="4"/>
      <c r="AE1655" s="51">
        <f t="shared" si="225"/>
        <v>0</v>
      </c>
    </row>
    <row r="1656" spans="6:31" ht="24" customHeight="1">
      <c r="H1656" s="1" t="s">
        <v>1235</v>
      </c>
      <c r="W1656" s="4"/>
      <c r="AE1656" s="51">
        <f t="shared" si="225"/>
        <v>0</v>
      </c>
    </row>
    <row r="1657" spans="6:31" ht="24" customHeight="1">
      <c r="H1657" s="1" t="s">
        <v>1236</v>
      </c>
      <c r="J1657" s="1" t="s">
        <v>992</v>
      </c>
      <c r="W1657" s="4"/>
      <c r="AE1657" s="51">
        <f t="shared" si="225"/>
        <v>0</v>
      </c>
    </row>
    <row r="1658" spans="6:31" ht="24" customHeight="1">
      <c r="H1658" s="1" t="s">
        <v>1128</v>
      </c>
      <c r="W1658" s="4"/>
      <c r="AE1658" s="51">
        <f t="shared" si="225"/>
        <v>0</v>
      </c>
    </row>
    <row r="1659" spans="6:31" ht="24" customHeight="1">
      <c r="H1659" s="1" t="s">
        <v>1045</v>
      </c>
      <c r="W1659" s="4"/>
      <c r="AE1659" s="51">
        <f t="shared" si="225"/>
        <v>0</v>
      </c>
    </row>
    <row r="1660" spans="6:31" ht="24" customHeight="1">
      <c r="H1660" s="1" t="s">
        <v>1846</v>
      </c>
      <c r="W1660" s="4"/>
      <c r="AE1660" s="51">
        <f t="shared" si="225"/>
        <v>0</v>
      </c>
    </row>
    <row r="1661" spans="6:31" ht="24" customHeight="1">
      <c r="H1661" s="1" t="s">
        <v>282</v>
      </c>
      <c r="W1661" s="4"/>
      <c r="AE1661" s="51">
        <f t="shared" si="225"/>
        <v>0</v>
      </c>
    </row>
    <row r="1662" spans="6:31" ht="24" customHeight="1">
      <c r="H1662" s="1" t="s">
        <v>283</v>
      </c>
      <c r="W1662" s="4"/>
      <c r="AE1662" s="51">
        <f t="shared" ref="AE1662:AE1695" si="228">AG1662</f>
        <v>0</v>
      </c>
    </row>
    <row r="1663" spans="6:31" ht="24" customHeight="1">
      <c r="H1663" s="1" t="s">
        <v>284</v>
      </c>
      <c r="W1663" s="4"/>
      <c r="AE1663" s="51">
        <f t="shared" si="228"/>
        <v>0</v>
      </c>
    </row>
    <row r="1664" spans="6:31" ht="24" customHeight="1">
      <c r="H1664" s="5" t="s">
        <v>2091</v>
      </c>
      <c r="W1664" s="4"/>
      <c r="AE1664" s="51">
        <f t="shared" si="228"/>
        <v>0</v>
      </c>
    </row>
    <row r="1665" spans="6:31" ht="24" customHeight="1">
      <c r="W1665" s="4"/>
      <c r="AE1665" s="51">
        <f t="shared" si="228"/>
        <v>0</v>
      </c>
    </row>
    <row r="1666" spans="6:31" ht="24" customHeight="1">
      <c r="F1666" s="8">
        <v>1</v>
      </c>
      <c r="G1666" s="7" t="s">
        <v>842</v>
      </c>
      <c r="H1666" s="1" t="s">
        <v>3584</v>
      </c>
      <c r="I1666" s="484">
        <v>45.72</v>
      </c>
      <c r="J1666" s="1" t="s">
        <v>842</v>
      </c>
      <c r="K1666" s="8">
        <f>(F1666*I1666)</f>
        <v>45.72</v>
      </c>
      <c r="W1666" s="4"/>
      <c r="AE1666" s="51">
        <f t="shared" si="228"/>
        <v>0</v>
      </c>
    </row>
    <row r="1667" spans="6:31" ht="24" customHeight="1">
      <c r="F1667" s="8">
        <v>1</v>
      </c>
      <c r="G1667" s="7" t="s">
        <v>286</v>
      </c>
      <c r="H1667" s="1" t="s">
        <v>1177</v>
      </c>
      <c r="I1667" s="484">
        <v>5</v>
      </c>
      <c r="J1667" s="1" t="s">
        <v>286</v>
      </c>
      <c r="K1667" s="8">
        <f>(F1667*I1667)</f>
        <v>5</v>
      </c>
      <c r="W1667" s="4"/>
      <c r="AE1667" s="51">
        <f t="shared" si="228"/>
        <v>0</v>
      </c>
    </row>
    <row r="1668" spans="6:31" ht="24" customHeight="1">
      <c r="G1668" s="7" t="s">
        <v>455</v>
      </c>
      <c r="H1668" s="1" t="s">
        <v>513</v>
      </c>
      <c r="J1668" s="1" t="s">
        <v>455</v>
      </c>
      <c r="K1668" s="8">
        <v>7.28</v>
      </c>
      <c r="W1668" s="4"/>
      <c r="AE1668" s="51">
        <f t="shared" si="228"/>
        <v>0</v>
      </c>
    </row>
    <row r="1669" spans="6:31" ht="24" customHeight="1">
      <c r="K1669" s="5" t="s">
        <v>1615</v>
      </c>
      <c r="W1669" s="4"/>
      <c r="AE1669" s="51">
        <f t="shared" si="228"/>
        <v>0</v>
      </c>
    </row>
    <row r="1670" spans="6:31" ht="24" customHeight="1">
      <c r="H1670" s="2" t="s">
        <v>1670</v>
      </c>
      <c r="K1670" s="8">
        <f>SUM(K1666:K1668)</f>
        <v>58</v>
      </c>
      <c r="W1670" s="4"/>
      <c r="AE1670" s="51">
        <f t="shared" si="228"/>
        <v>0</v>
      </c>
    </row>
    <row r="1671" spans="6:31" ht="24" customHeight="1">
      <c r="K1671" s="5" t="s">
        <v>2091</v>
      </c>
      <c r="W1671" s="4"/>
      <c r="AE1671" s="51">
        <f t="shared" si="228"/>
        <v>0</v>
      </c>
    </row>
    <row r="1672" spans="6:31" ht="24" customHeight="1">
      <c r="F1672" s="2" t="s">
        <v>1671</v>
      </c>
      <c r="G1672" s="7" t="s">
        <v>2290</v>
      </c>
      <c r="H1672" s="1" t="s">
        <v>771</v>
      </c>
      <c r="W1672" s="4"/>
      <c r="AE1672" s="51">
        <f t="shared" si="228"/>
        <v>0</v>
      </c>
    </row>
    <row r="1673" spans="6:31" ht="24" customHeight="1">
      <c r="H1673" s="1" t="s">
        <v>407</v>
      </c>
      <c r="W1673" s="4"/>
      <c r="AE1673" s="51">
        <f t="shared" si="228"/>
        <v>0</v>
      </c>
    </row>
    <row r="1674" spans="6:31" ht="24" customHeight="1">
      <c r="H1674" s="1" t="s">
        <v>408</v>
      </c>
      <c r="W1674" s="4"/>
      <c r="AE1674" s="51">
        <f t="shared" si="228"/>
        <v>0</v>
      </c>
    </row>
    <row r="1675" spans="6:31" ht="24" customHeight="1">
      <c r="H1675" s="1" t="s">
        <v>405</v>
      </c>
      <c r="W1675" s="4"/>
      <c r="AE1675" s="51">
        <f t="shared" si="228"/>
        <v>0</v>
      </c>
    </row>
    <row r="1676" spans="6:31" ht="24" customHeight="1">
      <c r="H1676" s="1" t="s">
        <v>1793</v>
      </c>
      <c r="W1676" s="4"/>
      <c r="AE1676" s="51">
        <f t="shared" si="228"/>
        <v>0</v>
      </c>
    </row>
    <row r="1677" spans="6:31" ht="24" customHeight="1">
      <c r="H1677" s="5" t="s">
        <v>1615</v>
      </c>
      <c r="I1677" s="5" t="s">
        <v>1615</v>
      </c>
      <c r="W1677" s="4"/>
      <c r="AE1677" s="51">
        <f t="shared" si="228"/>
        <v>0</v>
      </c>
    </row>
    <row r="1678" spans="6:31" ht="24" customHeight="1">
      <c r="F1678" s="8">
        <v>1</v>
      </c>
      <c r="G1678" s="7" t="s">
        <v>1794</v>
      </c>
      <c r="H1678" s="1" t="s">
        <v>1580</v>
      </c>
      <c r="I1678" s="484">
        <v>85</v>
      </c>
      <c r="J1678" s="1" t="s">
        <v>1423</v>
      </c>
      <c r="K1678" s="8">
        <f>(F1678*I1678)</f>
        <v>85</v>
      </c>
      <c r="W1678" s="4"/>
      <c r="AE1678" s="51">
        <f t="shared" si="228"/>
        <v>0</v>
      </c>
    </row>
    <row r="1679" spans="6:31" ht="24" customHeight="1">
      <c r="G1679" s="7" t="s">
        <v>455</v>
      </c>
      <c r="H1679" s="1" t="s">
        <v>1581</v>
      </c>
      <c r="J1679" s="1" t="s">
        <v>455</v>
      </c>
      <c r="K1679" s="8">
        <v>7.5</v>
      </c>
      <c r="W1679" s="4"/>
      <c r="AE1679" s="51">
        <f t="shared" si="228"/>
        <v>0</v>
      </c>
    </row>
    <row r="1680" spans="6:31" ht="24" customHeight="1">
      <c r="G1680" s="7" t="s">
        <v>455</v>
      </c>
      <c r="H1680" s="1" t="s">
        <v>635</v>
      </c>
      <c r="J1680" s="1" t="s">
        <v>455</v>
      </c>
      <c r="K1680" s="8">
        <f>1.75+0.75</f>
        <v>2.5</v>
      </c>
      <c r="W1680" s="4"/>
      <c r="AE1680" s="51">
        <f t="shared" si="228"/>
        <v>0</v>
      </c>
    </row>
    <row r="1681" spans="6:31" ht="24" customHeight="1">
      <c r="H1681" s="1" t="s">
        <v>636</v>
      </c>
      <c r="K1681" s="5" t="s">
        <v>1615</v>
      </c>
      <c r="W1681" s="4"/>
      <c r="AE1681" s="51">
        <f t="shared" si="228"/>
        <v>0</v>
      </c>
    </row>
    <row r="1682" spans="6:31" ht="24" customHeight="1">
      <c r="H1682" s="2" t="s">
        <v>1670</v>
      </c>
      <c r="K1682" s="8">
        <f>SUM(K1678:K1680)</f>
        <v>95</v>
      </c>
      <c r="W1682" s="4"/>
      <c r="AE1682" s="51">
        <f t="shared" si="228"/>
        <v>0</v>
      </c>
    </row>
    <row r="1683" spans="6:31" ht="24" customHeight="1">
      <c r="K1683" s="5" t="s">
        <v>2091</v>
      </c>
      <c r="W1683" s="4"/>
      <c r="AE1683" s="51">
        <f t="shared" si="228"/>
        <v>0</v>
      </c>
    </row>
    <row r="1684" spans="6:31" ht="24" customHeight="1">
      <c r="F1684" s="2" t="s">
        <v>637</v>
      </c>
      <c r="G1684" s="7" t="s">
        <v>2290</v>
      </c>
      <c r="H1684" s="1" t="s">
        <v>549</v>
      </c>
      <c r="W1684" s="4"/>
      <c r="AE1684" s="51">
        <f t="shared" si="228"/>
        <v>0</v>
      </c>
    </row>
    <row r="1685" spans="6:31" ht="24" customHeight="1">
      <c r="H1685" s="1" t="s">
        <v>638</v>
      </c>
      <c r="K1685" s="1" t="s">
        <v>992</v>
      </c>
      <c r="W1685" s="4"/>
      <c r="AE1685" s="51">
        <f t="shared" si="228"/>
        <v>0</v>
      </c>
    </row>
    <row r="1686" spans="6:31" ht="24" customHeight="1">
      <c r="H1686" s="5" t="s">
        <v>1615</v>
      </c>
      <c r="W1686" s="4"/>
      <c r="AE1686" s="51">
        <f t="shared" si="228"/>
        <v>0</v>
      </c>
    </row>
    <row r="1687" spans="6:31" ht="24" customHeight="1">
      <c r="F1687" s="8">
        <v>1</v>
      </c>
      <c r="G1687" s="7" t="s">
        <v>1794</v>
      </c>
      <c r="H1687" s="1" t="s">
        <v>639</v>
      </c>
      <c r="I1687" s="484">
        <v>50</v>
      </c>
      <c r="J1687" s="1" t="s">
        <v>1423</v>
      </c>
      <c r="K1687" s="8">
        <f>(F1687*I1687)</f>
        <v>50</v>
      </c>
      <c r="W1687" s="4"/>
      <c r="AE1687" s="51">
        <f t="shared" si="228"/>
        <v>0</v>
      </c>
    </row>
    <row r="1688" spans="6:31" ht="24" customHeight="1">
      <c r="G1688" s="7" t="s">
        <v>455</v>
      </c>
      <c r="H1688" s="1" t="s">
        <v>640</v>
      </c>
      <c r="J1688" s="1" t="s">
        <v>455</v>
      </c>
      <c r="K1688" s="8">
        <v>5</v>
      </c>
      <c r="W1688" s="4"/>
      <c r="AE1688" s="51">
        <f t="shared" si="228"/>
        <v>0</v>
      </c>
    </row>
    <row r="1689" spans="6:31" ht="24" customHeight="1">
      <c r="K1689" s="5" t="s">
        <v>1615</v>
      </c>
      <c r="W1689" s="4"/>
      <c r="AE1689" s="51">
        <f t="shared" si="228"/>
        <v>0</v>
      </c>
    </row>
    <row r="1690" spans="6:31" ht="24" customHeight="1">
      <c r="H1690" s="2" t="s">
        <v>641</v>
      </c>
      <c r="K1690" s="8">
        <f>SUM(K1686:K1688)</f>
        <v>55</v>
      </c>
      <c r="W1690" s="4"/>
      <c r="AE1690" s="51">
        <f t="shared" si="228"/>
        <v>0</v>
      </c>
    </row>
    <row r="1691" spans="6:31" ht="24" customHeight="1">
      <c r="K1691" s="5" t="s">
        <v>2091</v>
      </c>
      <c r="W1691" s="4"/>
      <c r="AE1691" s="51">
        <f t="shared" si="228"/>
        <v>0</v>
      </c>
    </row>
    <row r="1692" spans="6:31" ht="24" customHeight="1">
      <c r="F1692" s="2" t="s">
        <v>2187</v>
      </c>
      <c r="G1692" s="7" t="s">
        <v>2290</v>
      </c>
      <c r="H1692" s="1" t="s">
        <v>550</v>
      </c>
      <c r="W1692" s="4"/>
      <c r="AE1692" s="51">
        <f t="shared" si="228"/>
        <v>0</v>
      </c>
    </row>
    <row r="1693" spans="6:31" ht="24" customHeight="1">
      <c r="H1693" s="5" t="s">
        <v>1615</v>
      </c>
      <c r="I1693" s="5" t="s">
        <v>1615</v>
      </c>
      <c r="W1693" s="4"/>
      <c r="AE1693" s="51">
        <f t="shared" si="228"/>
        <v>0</v>
      </c>
    </row>
    <row r="1694" spans="6:31" ht="24" customHeight="1">
      <c r="F1694" s="8">
        <v>1</v>
      </c>
      <c r="G1694" s="7" t="s">
        <v>1794</v>
      </c>
      <c r="H1694" s="1" t="s">
        <v>2188</v>
      </c>
      <c r="I1694" s="484">
        <v>1.2</v>
      </c>
      <c r="J1694" s="1" t="s">
        <v>1423</v>
      </c>
      <c r="K1694" s="8">
        <f>(F1694*I1694)</f>
        <v>1.2</v>
      </c>
      <c r="W1694" s="4"/>
      <c r="AE1694" s="51">
        <f t="shared" si="228"/>
        <v>0</v>
      </c>
    </row>
    <row r="1695" spans="6:31" ht="24" customHeight="1">
      <c r="G1695" s="7" t="s">
        <v>455</v>
      </c>
      <c r="H1695" s="1" t="s">
        <v>640</v>
      </c>
      <c r="J1695" s="1" t="s">
        <v>455</v>
      </c>
      <c r="K1695" s="8">
        <f>K1694*0.25</f>
        <v>0.3</v>
      </c>
      <c r="W1695" s="4"/>
      <c r="AE1695" s="51">
        <f t="shared" si="228"/>
        <v>0</v>
      </c>
    </row>
    <row r="1696" spans="6:31" ht="24" customHeight="1">
      <c r="K1696" s="5" t="s">
        <v>1615</v>
      </c>
      <c r="W1696" s="4"/>
    </row>
    <row r="1697" spans="6:23" ht="24" customHeight="1">
      <c r="H1697" s="2" t="s">
        <v>641</v>
      </c>
      <c r="K1697" s="8">
        <f>SUM(K1692:K1695)</f>
        <v>1.5</v>
      </c>
      <c r="W1697" s="4"/>
    </row>
    <row r="1698" spans="6:23" ht="24" customHeight="1">
      <c r="F1698" s="1" t="s">
        <v>992</v>
      </c>
      <c r="K1698" s="5" t="s">
        <v>1615</v>
      </c>
      <c r="W1698" s="4"/>
    </row>
    <row r="1699" spans="6:23" ht="24" customHeight="1">
      <c r="F1699" s="24">
        <v>50.1</v>
      </c>
      <c r="G1699" s="7" t="s">
        <v>2290</v>
      </c>
      <c r="H1699" s="1" t="s">
        <v>2204</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1615</v>
      </c>
      <c r="I1704" s="5" t="s">
        <v>1615</v>
      </c>
      <c r="W1704" s="4"/>
    </row>
    <row r="1705" spans="6:23" ht="24" customHeight="1">
      <c r="F1705" s="8">
        <v>9</v>
      </c>
      <c r="G1705" s="7" t="s">
        <v>2190</v>
      </c>
      <c r="H1705" s="1" t="s">
        <v>1603</v>
      </c>
      <c r="I1705" s="8">
        <f>C73</f>
        <v>1704.69</v>
      </c>
      <c r="J1705" s="1" t="s">
        <v>2190</v>
      </c>
      <c r="K1705" s="8">
        <f>(F1705*I1705)</f>
        <v>15342.21</v>
      </c>
      <c r="W1705" s="4"/>
    </row>
    <row r="1706" spans="6:23" ht="24" customHeight="1">
      <c r="F1706" s="8">
        <v>4.5</v>
      </c>
      <c r="G1706" s="7" t="s">
        <v>2190</v>
      </c>
      <c r="H1706" s="1" t="s">
        <v>1604</v>
      </c>
      <c r="I1706" s="8">
        <f>K32</f>
        <v>4628.8999999999996</v>
      </c>
      <c r="J1706" s="1" t="s">
        <v>2190</v>
      </c>
      <c r="K1706" s="8">
        <f>(F1706*I1706)</f>
        <v>20830.05</v>
      </c>
      <c r="W1706" s="4"/>
    </row>
    <row r="1707" spans="6:23" ht="24" customHeight="1">
      <c r="F1707" s="8">
        <v>1.8</v>
      </c>
      <c r="G1707" s="7" t="s">
        <v>570</v>
      </c>
      <c r="H1707" s="1" t="s">
        <v>1605</v>
      </c>
      <c r="I1707" s="8">
        <f>C11</f>
        <v>972.4</v>
      </c>
      <c r="J1707" s="1" t="s">
        <v>1423</v>
      </c>
      <c r="K1707" s="8">
        <f>(F1707*I1707)</f>
        <v>1750.32</v>
      </c>
      <c r="W1707" s="4"/>
    </row>
    <row r="1708" spans="6:23" ht="24" customHeight="1">
      <c r="F1708" s="8">
        <v>17.7</v>
      </c>
      <c r="G1708" s="7" t="s">
        <v>570</v>
      </c>
      <c r="H1708" s="1" t="s">
        <v>839</v>
      </c>
      <c r="I1708" s="8">
        <f>C12</f>
        <v>679.8</v>
      </c>
      <c r="J1708" s="1" t="s">
        <v>1423</v>
      </c>
      <c r="K1708" s="8">
        <f>(F1708*I1708)</f>
        <v>12032.46</v>
      </c>
      <c r="W1708" s="4"/>
    </row>
    <row r="1709" spans="6:23" ht="24" customHeight="1">
      <c r="F1709" s="8">
        <v>14.1</v>
      </c>
      <c r="G1709" s="7" t="s">
        <v>570</v>
      </c>
      <c r="H1709" s="1" t="s">
        <v>1396</v>
      </c>
      <c r="I1709" s="8">
        <f>C13</f>
        <v>557.70000000000005</v>
      </c>
      <c r="J1709" s="1" t="s">
        <v>1423</v>
      </c>
      <c r="K1709" s="8">
        <f>(F1709*I1709)</f>
        <v>7863.57</v>
      </c>
      <c r="W1709" s="4"/>
    </row>
    <row r="1710" spans="6:23" ht="24" customHeight="1">
      <c r="K1710" s="5" t="s">
        <v>1615</v>
      </c>
      <c r="W1710" s="4"/>
    </row>
    <row r="1711" spans="6:23" ht="24" customHeight="1">
      <c r="H1711" s="2" t="s">
        <v>1606</v>
      </c>
      <c r="K1711" s="8">
        <f>SUM(K1705:K1709)</f>
        <v>57818.61</v>
      </c>
      <c r="W1711" s="4"/>
    </row>
    <row r="1712" spans="6:23" ht="24" customHeight="1">
      <c r="K1712" s="5" t="s">
        <v>1615</v>
      </c>
      <c r="W1712" s="4"/>
    </row>
    <row r="1713" spans="6:23" ht="24" customHeight="1">
      <c r="H1713" s="2" t="s">
        <v>1607</v>
      </c>
      <c r="K1713" s="38">
        <f>(K1711/10)</f>
        <v>5781.86</v>
      </c>
      <c r="W1713" s="4"/>
    </row>
    <row r="1714" spans="6:23" ht="24" customHeight="1">
      <c r="K1714" s="5" t="s">
        <v>2091</v>
      </c>
      <c r="W1714" s="4"/>
    </row>
    <row r="1715" spans="6:23" ht="24" customHeight="1">
      <c r="W1715" s="4"/>
    </row>
    <row r="1716" spans="6:23" ht="24" customHeight="1">
      <c r="G1716" s="7" t="s">
        <v>687</v>
      </c>
      <c r="H1716" s="1" t="s">
        <v>1169</v>
      </c>
      <c r="W1716" s="4"/>
    </row>
    <row r="1717" spans="6:23" ht="24" customHeight="1">
      <c r="H1717" s="1" t="s">
        <v>612</v>
      </c>
      <c r="W1717" s="4"/>
    </row>
    <row r="1718" spans="6:23" ht="24" customHeight="1">
      <c r="H1718" s="5" t="s">
        <v>1615</v>
      </c>
      <c r="I1718" s="5" t="s">
        <v>1615</v>
      </c>
      <c r="W1718" s="4"/>
    </row>
    <row r="1719" spans="6:23" ht="24" customHeight="1">
      <c r="W1719" s="4"/>
    </row>
    <row r="1720" spans="6:23" ht="24" customHeight="1">
      <c r="F1720" s="12">
        <v>0.314</v>
      </c>
      <c r="G1720" s="7" t="s">
        <v>2190</v>
      </c>
      <c r="H1720" s="1" t="s">
        <v>448</v>
      </c>
      <c r="I1720" s="8">
        <f>K1713</f>
        <v>5781.86</v>
      </c>
      <c r="J1720" s="1" t="s">
        <v>2190</v>
      </c>
      <c r="K1720" s="8">
        <f>(F1720*I1720)</f>
        <v>1815.5</v>
      </c>
      <c r="W1720" s="4"/>
    </row>
    <row r="1721" spans="6:23" ht="24" customHeight="1">
      <c r="F1721" s="8">
        <v>18</v>
      </c>
      <c r="G1721" s="7" t="s">
        <v>570</v>
      </c>
      <c r="H1721" s="605" t="s">
        <v>4407</v>
      </c>
      <c r="I1721" s="480">
        <v>41.87</v>
      </c>
      <c r="J1721" s="1" t="s">
        <v>1423</v>
      </c>
      <c r="K1721" s="8">
        <f>(F1721*I1721)</f>
        <v>753.66</v>
      </c>
      <c r="W1721" s="4"/>
    </row>
    <row r="1722" spans="6:23" ht="24" customHeight="1">
      <c r="F1722" s="8">
        <v>18</v>
      </c>
      <c r="G1722" s="7" t="s">
        <v>570</v>
      </c>
      <c r="H1722" s="1" t="s">
        <v>546</v>
      </c>
      <c r="I1722" s="8">
        <v>1</v>
      </c>
      <c r="J1722" s="1" t="s">
        <v>1423</v>
      </c>
      <c r="K1722" s="8">
        <f>(F1722*I1722)</f>
        <v>18</v>
      </c>
      <c r="W1722" s="4"/>
    </row>
    <row r="1723" spans="6:23" ht="24" customHeight="1">
      <c r="F1723" s="8">
        <v>18</v>
      </c>
      <c r="G1723" s="7" t="s">
        <v>570</v>
      </c>
      <c r="H1723" s="1" t="s">
        <v>547</v>
      </c>
      <c r="I1723" s="8">
        <v>2</v>
      </c>
      <c r="J1723" s="1" t="s">
        <v>1423</v>
      </c>
      <c r="K1723" s="8">
        <f>(F1723*I1723)</f>
        <v>36</v>
      </c>
      <c r="W1723" s="4"/>
    </row>
    <row r="1724" spans="6:23" ht="24" customHeight="1">
      <c r="K1724" s="5" t="s">
        <v>1615</v>
      </c>
      <c r="W1724" s="4"/>
    </row>
    <row r="1725" spans="6:23" ht="24" customHeight="1">
      <c r="H1725" s="2" t="s">
        <v>1985</v>
      </c>
      <c r="K1725" s="8">
        <f>SUM(K1719:K1723)</f>
        <v>2623.16</v>
      </c>
      <c r="W1725" s="4"/>
    </row>
    <row r="1726" spans="6:23" ht="24" customHeight="1">
      <c r="K1726" s="5" t="s">
        <v>1615</v>
      </c>
      <c r="W1726" s="4"/>
    </row>
    <row r="1727" spans="6:23" ht="24" customHeight="1">
      <c r="H1727" s="2" t="s">
        <v>1986</v>
      </c>
      <c r="K1727" s="38">
        <f>(K1725/6.28)</f>
        <v>417.7</v>
      </c>
      <c r="W1727" s="4"/>
    </row>
    <row r="1728" spans="6:23" ht="24" customHeight="1">
      <c r="K1728" s="5" t="s">
        <v>2091</v>
      </c>
      <c r="W1728" s="4"/>
    </row>
    <row r="1729" spans="6:23" ht="24" customHeight="1">
      <c r="F1729" s="1" t="s">
        <v>992</v>
      </c>
      <c r="H1729" s="1" t="s">
        <v>746</v>
      </c>
      <c r="W1729" s="4"/>
    </row>
    <row r="1730" spans="6:23" ht="24" customHeight="1">
      <c r="H1730" s="5" t="s">
        <v>1615</v>
      </c>
      <c r="W1730" s="4"/>
    </row>
    <row r="1731" spans="6:23" ht="24" customHeight="1">
      <c r="F1731" s="12">
        <v>0.01</v>
      </c>
      <c r="G1731" s="7" t="s">
        <v>2190</v>
      </c>
      <c r="H1731" s="1" t="s">
        <v>448</v>
      </c>
      <c r="I1731" s="8">
        <f>K1713</f>
        <v>5781.86</v>
      </c>
      <c r="J1731" s="1" t="s">
        <v>2190</v>
      </c>
      <c r="K1731" s="8">
        <f>ROUND(F1731*I1731,2)</f>
        <v>57.82</v>
      </c>
      <c r="W1731" s="4"/>
    </row>
    <row r="1732" spans="6:23" ht="24" customHeight="1">
      <c r="F1732" s="8">
        <v>0.01</v>
      </c>
      <c r="G1732" s="7" t="s">
        <v>1365</v>
      </c>
      <c r="H1732" s="1" t="s">
        <v>747</v>
      </c>
      <c r="I1732" s="6" t="s">
        <v>669</v>
      </c>
      <c r="K1732" s="8">
        <v>1.2</v>
      </c>
      <c r="W1732" s="4"/>
    </row>
    <row r="1733" spans="6:23" ht="24" customHeight="1">
      <c r="I1733" s="32"/>
      <c r="K1733" s="5" t="s">
        <v>1615</v>
      </c>
      <c r="W1733" s="4"/>
    </row>
    <row r="1734" spans="6:23" ht="24" customHeight="1">
      <c r="H1734" s="2" t="s">
        <v>755</v>
      </c>
      <c r="K1734" s="8">
        <f>SUM(K1728:K1732)</f>
        <v>59.02</v>
      </c>
      <c r="W1734" s="4"/>
    </row>
    <row r="1735" spans="6:23" ht="24" customHeight="1">
      <c r="K1735" s="5" t="s">
        <v>1615</v>
      </c>
      <c r="W1735" s="4"/>
    </row>
    <row r="1736" spans="6:23" ht="24" customHeight="1">
      <c r="H1736" s="2" t="s">
        <v>2214</v>
      </c>
      <c r="K1736" s="8">
        <f>K1734/0.01</f>
        <v>5902</v>
      </c>
      <c r="W1736" s="4"/>
    </row>
    <row r="1737" spans="6:23" ht="24" customHeight="1">
      <c r="K1737" s="5" t="s">
        <v>2091</v>
      </c>
      <c r="W1737" s="4"/>
    </row>
    <row r="1738" spans="6:23" ht="24" customHeight="1">
      <c r="F1738" s="2" t="s">
        <v>2215</v>
      </c>
      <c r="G1738" s="7" t="s">
        <v>687</v>
      </c>
      <c r="H1738" s="1" t="s">
        <v>1169</v>
      </c>
      <c r="W1738" s="4"/>
    </row>
    <row r="1739" spans="6:23" ht="24" customHeight="1">
      <c r="H1739" s="33" t="s">
        <v>613</v>
      </c>
      <c r="W1739" s="4"/>
    </row>
    <row r="1740" spans="6:23" ht="24" customHeight="1">
      <c r="H1740" s="5" t="s">
        <v>1615</v>
      </c>
      <c r="I1740" s="5" t="s">
        <v>1615</v>
      </c>
      <c r="W1740" s="4"/>
    </row>
    <row r="1741" spans="6:23" ht="24" customHeight="1">
      <c r="F1741" s="12">
        <v>0.40500000000000003</v>
      </c>
      <c r="G1741" s="7" t="s">
        <v>2190</v>
      </c>
      <c r="H1741" s="1" t="s">
        <v>448</v>
      </c>
      <c r="I1741" s="8">
        <f>K1736</f>
        <v>5902</v>
      </c>
      <c r="J1741" s="1" t="s">
        <v>2190</v>
      </c>
      <c r="K1741" s="8">
        <f>(F1741*I1741)</f>
        <v>2390.31</v>
      </c>
      <c r="W1741" s="4"/>
    </row>
    <row r="1742" spans="6:23" ht="24" customHeight="1">
      <c r="F1742" s="1" t="s">
        <v>992</v>
      </c>
      <c r="G1742" s="7" t="s">
        <v>992</v>
      </c>
      <c r="H1742" s="1" t="s">
        <v>1679</v>
      </c>
      <c r="I1742" s="6" t="s">
        <v>669</v>
      </c>
      <c r="K1742" s="1" t="s">
        <v>992</v>
      </c>
      <c r="W1742" s="4"/>
    </row>
    <row r="1743" spans="6:23" ht="24" customHeight="1">
      <c r="K1743" s="5" t="s">
        <v>1615</v>
      </c>
      <c r="W1743" s="4"/>
    </row>
    <row r="1744" spans="6:23" ht="24" customHeight="1">
      <c r="H1744" s="2" t="s">
        <v>1680</v>
      </c>
      <c r="K1744" s="8">
        <f>SUM(K1738:K1742)</f>
        <v>2390.31</v>
      </c>
      <c r="W1744" s="4"/>
    </row>
    <row r="1745" spans="6:23" ht="24" customHeight="1">
      <c r="K1745" s="5" t="s">
        <v>1615</v>
      </c>
      <c r="W1745" s="4"/>
    </row>
    <row r="1746" spans="6:23" ht="24" customHeight="1">
      <c r="H1746" s="2" t="s">
        <v>1681</v>
      </c>
      <c r="K1746" s="38">
        <f>K1744/9</f>
        <v>265.58999999999997</v>
      </c>
      <c r="W1746" s="4"/>
    </row>
    <row r="1747" spans="6:23" ht="24" customHeight="1">
      <c r="K1747" s="5" t="s">
        <v>2091</v>
      </c>
      <c r="W1747" s="4"/>
    </row>
    <row r="1748" spans="6:23" ht="24" customHeight="1">
      <c r="F1748" s="2" t="s">
        <v>1430</v>
      </c>
      <c r="H1748" s="1" t="s">
        <v>475</v>
      </c>
      <c r="W1748" s="4"/>
    </row>
    <row r="1749" spans="6:23" ht="24" customHeight="1">
      <c r="H1749" s="5" t="s">
        <v>1615</v>
      </c>
      <c r="W1749" s="4"/>
    </row>
    <row r="1750" spans="6:23" ht="24" customHeight="1">
      <c r="F1750" s="8">
        <v>4.32</v>
      </c>
      <c r="G1750" s="7" t="s">
        <v>885</v>
      </c>
      <c r="H1750" s="1" t="s">
        <v>362</v>
      </c>
      <c r="I1750" s="8">
        <f>C61</f>
        <v>116.88</v>
      </c>
      <c r="J1750" s="1" t="s">
        <v>885</v>
      </c>
      <c r="K1750" s="8">
        <f t="shared" ref="K1750:K1757" si="229">(F1750*I1750)</f>
        <v>504.92</v>
      </c>
      <c r="W1750" s="4"/>
    </row>
    <row r="1751" spans="6:23" ht="24" customHeight="1">
      <c r="F1751" s="8">
        <v>1.44</v>
      </c>
      <c r="G1751" s="7" t="s">
        <v>885</v>
      </c>
      <c r="H1751" s="1" t="s">
        <v>476</v>
      </c>
      <c r="I1751" s="484">
        <v>69.099999999999994</v>
      </c>
      <c r="J1751" s="1" t="s">
        <v>885</v>
      </c>
      <c r="K1751" s="8">
        <f t="shared" si="229"/>
        <v>99.5</v>
      </c>
      <c r="W1751" s="4"/>
    </row>
    <row r="1752" spans="6:23" ht="24" customHeight="1">
      <c r="F1752" s="8">
        <v>1.44</v>
      </c>
      <c r="G1752" s="7" t="s">
        <v>885</v>
      </c>
      <c r="H1752" s="1" t="s">
        <v>477</v>
      </c>
      <c r="I1752" s="8">
        <f>C35</f>
        <v>366.57</v>
      </c>
      <c r="J1752" s="1" t="s">
        <v>885</v>
      </c>
      <c r="K1752" s="8">
        <f t="shared" si="229"/>
        <v>527.86</v>
      </c>
      <c r="W1752" s="4"/>
    </row>
    <row r="1753" spans="6:23" ht="24" customHeight="1">
      <c r="F1753" s="8">
        <v>1.44</v>
      </c>
      <c r="G1753" s="7" t="s">
        <v>885</v>
      </c>
      <c r="H1753" s="1" t="s">
        <v>478</v>
      </c>
      <c r="I1753" s="8">
        <f>C78</f>
        <v>1608.7</v>
      </c>
      <c r="J1753" s="1" t="s">
        <v>885</v>
      </c>
      <c r="K1753" s="8">
        <f t="shared" si="229"/>
        <v>2316.5300000000002</v>
      </c>
      <c r="W1753" s="4"/>
    </row>
    <row r="1754" spans="6:23" ht="24" customHeight="1">
      <c r="F1754" s="8">
        <v>2.88</v>
      </c>
      <c r="G1754" s="7" t="s">
        <v>885</v>
      </c>
      <c r="H1754" s="1" t="s">
        <v>479</v>
      </c>
      <c r="I1754" s="480">
        <v>10</v>
      </c>
      <c r="J1754" s="1" t="s">
        <v>885</v>
      </c>
      <c r="K1754" s="8">
        <f t="shared" si="229"/>
        <v>28.8</v>
      </c>
      <c r="W1754" s="4"/>
    </row>
    <row r="1755" spans="6:23" ht="24" customHeight="1">
      <c r="F1755" s="8">
        <v>20</v>
      </c>
      <c r="G1755" s="7" t="s">
        <v>262</v>
      </c>
      <c r="H1755" s="1" t="s">
        <v>1655</v>
      </c>
      <c r="I1755" s="484">
        <v>46.1</v>
      </c>
      <c r="J1755" s="1" t="s">
        <v>262</v>
      </c>
      <c r="K1755" s="8">
        <f t="shared" si="229"/>
        <v>922</v>
      </c>
      <c r="W1755" s="4"/>
    </row>
    <row r="1756" spans="6:23" ht="24" customHeight="1">
      <c r="F1756" s="8">
        <v>42</v>
      </c>
      <c r="G1756" s="7" t="s">
        <v>2235</v>
      </c>
      <c r="H1756" s="1" t="s">
        <v>5136</v>
      </c>
      <c r="I1756" s="51">
        <v>17.5</v>
      </c>
      <c r="J1756" s="1" t="s">
        <v>2235</v>
      </c>
      <c r="K1756" s="8">
        <f t="shared" si="229"/>
        <v>735</v>
      </c>
      <c r="W1756" s="4"/>
    </row>
    <row r="1757" spans="6:23" ht="24" customHeight="1">
      <c r="F1757" s="8">
        <v>4.32</v>
      </c>
      <c r="G1757" s="7" t="s">
        <v>885</v>
      </c>
      <c r="H1757" s="1" t="s">
        <v>1647</v>
      </c>
      <c r="I1757" s="8">
        <f>C26</f>
        <v>40.65</v>
      </c>
      <c r="J1757" s="1" t="s">
        <v>885</v>
      </c>
      <c r="K1757" s="8">
        <f t="shared" si="229"/>
        <v>175.61</v>
      </c>
      <c r="W1757" s="4"/>
    </row>
    <row r="1758" spans="6:23" ht="24" customHeight="1">
      <c r="F1758" s="2" t="s">
        <v>748</v>
      </c>
      <c r="H1758" s="1" t="s">
        <v>1039</v>
      </c>
      <c r="K1758" s="8">
        <v>2000</v>
      </c>
      <c r="W1758" s="4"/>
    </row>
    <row r="1759" spans="6:23" ht="24" customHeight="1">
      <c r="K1759" s="5" t="s">
        <v>1615</v>
      </c>
      <c r="W1759" s="4"/>
    </row>
    <row r="1760" spans="6:23" ht="24" customHeight="1">
      <c r="H1760" s="1" t="s">
        <v>1040</v>
      </c>
      <c r="K1760" s="8">
        <f>SUM(K1750:K1758)</f>
        <v>7310.22</v>
      </c>
      <c r="W1760" s="4"/>
    </row>
    <row r="1761" spans="6:23" ht="24" customHeight="1">
      <c r="K1761" s="5" t="s">
        <v>1615</v>
      </c>
      <c r="W1761" s="4"/>
    </row>
    <row r="1762" spans="6:23" ht="24" customHeight="1">
      <c r="H1762" s="1" t="s">
        <v>1426</v>
      </c>
      <c r="K1762" s="38">
        <f>K1760/20</f>
        <v>365.51</v>
      </c>
      <c r="W1762" s="4"/>
    </row>
    <row r="1763" spans="6:23" ht="24" customHeight="1">
      <c r="K1763" s="5" t="s">
        <v>2091</v>
      </c>
      <c r="W1763" s="4"/>
    </row>
    <row r="1764" spans="6:23" ht="24" customHeight="1">
      <c r="W1764" s="4"/>
    </row>
    <row r="1765" spans="6:23" ht="24" customHeight="1">
      <c r="F1765" s="2" t="s">
        <v>1041</v>
      </c>
      <c r="H1765" s="1" t="s">
        <v>1340</v>
      </c>
      <c r="W1765" s="4"/>
    </row>
    <row r="1766" spans="6:23" ht="24" customHeight="1">
      <c r="H1766" s="5" t="s">
        <v>1615</v>
      </c>
      <c r="W1766" s="4"/>
    </row>
    <row r="1767" spans="6:23" ht="24" customHeight="1">
      <c r="F1767" s="8">
        <v>0.1</v>
      </c>
      <c r="G1767" s="7" t="s">
        <v>885</v>
      </c>
      <c r="H1767" s="1" t="s">
        <v>362</v>
      </c>
      <c r="I1767" s="8">
        <f>K90</f>
        <v>233.76</v>
      </c>
      <c r="J1767" s="1" t="s">
        <v>885</v>
      </c>
      <c r="K1767" s="8">
        <f t="shared" ref="K1767:K1772" si="230">(F1767*I1767)</f>
        <v>23.38</v>
      </c>
      <c r="W1767" s="4"/>
    </row>
    <row r="1768" spans="6:23" ht="24" customHeight="1">
      <c r="F1768" s="8">
        <v>6.3</v>
      </c>
      <c r="G1768" s="7" t="s">
        <v>2235</v>
      </c>
      <c r="H1768" s="1" t="s">
        <v>5698</v>
      </c>
      <c r="I1768" s="51">
        <v>34.6</v>
      </c>
      <c r="J1768" s="1" t="s">
        <v>2235</v>
      </c>
      <c r="K1768" s="8">
        <f t="shared" si="230"/>
        <v>217.98</v>
      </c>
      <c r="W1768" s="4"/>
    </row>
    <row r="1769" spans="6:23" ht="24" customHeight="1">
      <c r="F1769" s="8">
        <v>6.3</v>
      </c>
      <c r="G1769" s="7" t="s">
        <v>2235</v>
      </c>
      <c r="H1769" s="1" t="s">
        <v>1160</v>
      </c>
      <c r="I1769" s="439">
        <f>I1756</f>
        <v>17.5</v>
      </c>
      <c r="J1769" s="1" t="s">
        <v>2235</v>
      </c>
      <c r="K1769" s="8">
        <f t="shared" si="230"/>
        <v>110.25</v>
      </c>
      <c r="W1769" s="4"/>
    </row>
    <row r="1770" spans="6:23" ht="24" customHeight="1">
      <c r="F1770" s="8">
        <v>3.15</v>
      </c>
      <c r="G1770" s="7" t="s">
        <v>236</v>
      </c>
      <c r="H1770" s="1" t="s">
        <v>648</v>
      </c>
      <c r="I1770" s="8">
        <f>C198</f>
        <v>40.65</v>
      </c>
      <c r="J1770" s="1" t="s">
        <v>236</v>
      </c>
      <c r="K1770" s="8">
        <f t="shared" si="230"/>
        <v>128.05000000000001</v>
      </c>
      <c r="L1770" t="s">
        <v>185</v>
      </c>
      <c r="W1770" s="4"/>
    </row>
    <row r="1771" spans="6:23" ht="24" customHeight="1">
      <c r="F1771" s="8">
        <v>0.25</v>
      </c>
      <c r="G1771" s="7" t="s">
        <v>1794</v>
      </c>
      <c r="H1771" s="1" t="s">
        <v>649</v>
      </c>
      <c r="I1771" s="8">
        <f>D16</f>
        <v>972.4</v>
      </c>
      <c r="J1771" s="1" t="s">
        <v>1794</v>
      </c>
      <c r="K1771" s="8">
        <f t="shared" si="230"/>
        <v>243.1</v>
      </c>
      <c r="W1771" s="4"/>
    </row>
    <row r="1772" spans="6:23" ht="24" customHeight="1">
      <c r="F1772" s="8">
        <v>0.2</v>
      </c>
      <c r="G1772" s="7" t="s">
        <v>1794</v>
      </c>
      <c r="H1772" s="1" t="s">
        <v>650</v>
      </c>
      <c r="I1772" s="8">
        <f>AE38</f>
        <v>903.1</v>
      </c>
      <c r="J1772" s="1" t="s">
        <v>1794</v>
      </c>
      <c r="K1772" s="8">
        <f t="shared" si="230"/>
        <v>180.62</v>
      </c>
      <c r="W1772" s="4"/>
    </row>
    <row r="1773" spans="6:23" ht="24" customHeight="1">
      <c r="H1773" s="1" t="s">
        <v>514</v>
      </c>
      <c r="I1773" s="1" t="s">
        <v>992</v>
      </c>
      <c r="J1773" s="1" t="s">
        <v>992</v>
      </c>
      <c r="K1773" s="8">
        <v>0</v>
      </c>
      <c r="W1773" s="4"/>
    </row>
    <row r="1774" spans="6:23" ht="24" customHeight="1">
      <c r="J1774" s="1" t="s">
        <v>992</v>
      </c>
      <c r="K1774" s="5" t="s">
        <v>1615</v>
      </c>
      <c r="W1774" s="4"/>
    </row>
    <row r="1775" spans="6:23" ht="24" customHeight="1">
      <c r="F1775" s="1" t="s">
        <v>992</v>
      </c>
      <c r="G1775" s="7" t="s">
        <v>992</v>
      </c>
      <c r="H1775" s="1" t="s">
        <v>1426</v>
      </c>
      <c r="K1775" s="38">
        <f>SUM(K1767:K1774)</f>
        <v>903.38</v>
      </c>
      <c r="W1775" s="4"/>
    </row>
    <row r="1776" spans="6:23" ht="24" customHeight="1">
      <c r="H1776" s="1" t="s">
        <v>992</v>
      </c>
      <c r="K1776" s="5" t="s">
        <v>1615</v>
      </c>
      <c r="W1776" s="4"/>
    </row>
    <row r="1777" spans="6:23" ht="24" customHeight="1">
      <c r="K1777" s="5"/>
      <c r="W1777" s="4"/>
    </row>
    <row r="1778" spans="6:23" ht="24" customHeight="1">
      <c r="F1778" s="2" t="s">
        <v>603</v>
      </c>
      <c r="H1778" s="1" t="s">
        <v>946</v>
      </c>
      <c r="W1778" s="4"/>
    </row>
    <row r="1779" spans="6:23" ht="24" customHeight="1">
      <c r="H1779" s="5" t="s">
        <v>1615</v>
      </c>
      <c r="W1779" s="4"/>
    </row>
    <row r="1780" spans="6:23" ht="24" customHeight="1">
      <c r="F1780" s="15">
        <v>0.48599999999999999</v>
      </c>
      <c r="G1780" s="7" t="s">
        <v>1365</v>
      </c>
      <c r="H1780" s="1" t="s">
        <v>362</v>
      </c>
      <c r="I1780" s="8">
        <f>C61</f>
        <v>116.88</v>
      </c>
      <c r="J1780" s="1" t="s">
        <v>1365</v>
      </c>
      <c r="K1780" s="8">
        <f t="shared" ref="K1780:K1786" si="231">(F1780*I1780)</f>
        <v>56.8</v>
      </c>
      <c r="W1780" s="4"/>
    </row>
    <row r="1781" spans="6:23" ht="24" customHeight="1">
      <c r="F1781" s="15">
        <v>0.48599999999999999</v>
      </c>
      <c r="G1781" s="7" t="s">
        <v>1365</v>
      </c>
      <c r="H1781" s="1" t="s">
        <v>363</v>
      </c>
      <c r="I1781" s="8">
        <f>K204</f>
        <v>4888.3100000000004</v>
      </c>
      <c r="J1781" s="1" t="s">
        <v>1365</v>
      </c>
      <c r="K1781" s="8">
        <f t="shared" si="231"/>
        <v>2375.7199999999998</v>
      </c>
      <c r="W1781" s="4"/>
    </row>
    <row r="1782" spans="6:23" ht="24" customHeight="1">
      <c r="F1782" s="8">
        <v>81.75</v>
      </c>
      <c r="G1782" s="7" t="s">
        <v>364</v>
      </c>
      <c r="H1782" s="1" t="s">
        <v>365</v>
      </c>
      <c r="I1782" s="8">
        <f>I745</f>
        <v>53</v>
      </c>
      <c r="J1782" s="1" t="s">
        <v>364</v>
      </c>
      <c r="K1782" s="8">
        <f t="shared" si="231"/>
        <v>4332.75</v>
      </c>
      <c r="W1782" s="4"/>
    </row>
    <row r="1783" spans="6:23" ht="24" customHeight="1">
      <c r="F1783" s="8">
        <v>7.2</v>
      </c>
      <c r="G1783" s="7" t="s">
        <v>364</v>
      </c>
      <c r="H1783" s="1" t="s">
        <v>366</v>
      </c>
      <c r="I1783" s="8">
        <f>I745</f>
        <v>53</v>
      </c>
      <c r="J1783" s="1" t="s">
        <v>364</v>
      </c>
      <c r="K1783" s="8">
        <f t="shared" si="231"/>
        <v>381.6</v>
      </c>
      <c r="W1783" s="4"/>
    </row>
    <row r="1784" spans="6:23" ht="24" customHeight="1">
      <c r="F1784" s="8">
        <v>43.68</v>
      </c>
      <c r="G1784" s="7" t="s">
        <v>364</v>
      </c>
      <c r="H1784" s="1" t="s">
        <v>1584</v>
      </c>
      <c r="I1784" s="8">
        <f>I743</f>
        <v>53</v>
      </c>
      <c r="J1784" s="1" t="s">
        <v>364</v>
      </c>
      <c r="K1784" s="8">
        <f t="shared" si="231"/>
        <v>2315.04</v>
      </c>
      <c r="W1784" s="4"/>
    </row>
    <row r="1785" spans="6:23" ht="24" customHeight="1">
      <c r="F1785" s="8">
        <v>132.63</v>
      </c>
      <c r="G1785" s="7" t="s">
        <v>364</v>
      </c>
      <c r="H1785" s="1" t="s">
        <v>1585</v>
      </c>
      <c r="I1785" s="8">
        <f>C37</f>
        <v>57.75</v>
      </c>
      <c r="J1785" s="1" t="s">
        <v>364</v>
      </c>
      <c r="K1785" s="8">
        <f t="shared" si="231"/>
        <v>7659.38</v>
      </c>
      <c r="W1785" s="4"/>
    </row>
    <row r="1786" spans="6:23" ht="24" customHeight="1">
      <c r="F1786" s="8">
        <v>2.2000000000000002</v>
      </c>
      <c r="G1786" s="7" t="s">
        <v>236</v>
      </c>
      <c r="H1786" s="1" t="s">
        <v>4409</v>
      </c>
      <c r="I1786" s="480">
        <v>970</v>
      </c>
      <c r="J1786" s="1" t="s">
        <v>236</v>
      </c>
      <c r="K1786" s="8">
        <f t="shared" si="231"/>
        <v>2134</v>
      </c>
      <c r="W1786" s="4"/>
    </row>
    <row r="1787" spans="6:23" ht="24" customHeight="1">
      <c r="F1787" s="6" t="s">
        <v>669</v>
      </c>
      <c r="H1787" s="1" t="s">
        <v>1586</v>
      </c>
      <c r="I1787" s="6" t="s">
        <v>669</v>
      </c>
      <c r="K1787" s="8">
        <v>250</v>
      </c>
      <c r="W1787" s="4"/>
    </row>
    <row r="1788" spans="6:23" ht="24" customHeight="1">
      <c r="F1788" s="6" t="s">
        <v>669</v>
      </c>
      <c r="H1788" s="1" t="s">
        <v>1425</v>
      </c>
      <c r="I1788" s="6" t="s">
        <v>669</v>
      </c>
      <c r="K1788" s="8">
        <v>20.47</v>
      </c>
      <c r="W1788" s="4"/>
    </row>
    <row r="1789" spans="6:23" ht="24" customHeight="1">
      <c r="K1789" s="5" t="s">
        <v>1615</v>
      </c>
      <c r="W1789" s="4"/>
    </row>
    <row r="1790" spans="6:23" ht="24" customHeight="1">
      <c r="K1790" s="8">
        <f>SUM(K1780:K1789)</f>
        <v>19525.759999999998</v>
      </c>
      <c r="W1790" s="4"/>
    </row>
    <row r="1791" spans="6:23" ht="24" customHeight="1">
      <c r="K1791" s="5" t="s">
        <v>1615</v>
      </c>
      <c r="W1791" s="4"/>
    </row>
    <row r="1792" spans="6:23" ht="24" customHeight="1">
      <c r="K1792" s="5"/>
      <c r="W1792" s="4"/>
    </row>
    <row r="1793" spans="6:23" ht="24" customHeight="1">
      <c r="F1793" s="11">
        <v>86</v>
      </c>
      <c r="H1793" s="1" t="s">
        <v>2095</v>
      </c>
      <c r="K1793" s="536">
        <f>C806</f>
        <v>33.9</v>
      </c>
      <c r="W1793" s="4"/>
    </row>
    <row r="1794" spans="6:23" ht="24" customHeight="1">
      <c r="F1794" s="24"/>
      <c r="H1794" s="1"/>
      <c r="K1794" s="8"/>
      <c r="W1794" s="4"/>
    </row>
    <row r="1795" spans="6:23" ht="24" customHeight="1">
      <c r="F1795" s="2" t="s">
        <v>1682</v>
      </c>
      <c r="H1795" s="1" t="s">
        <v>5137</v>
      </c>
      <c r="K1795" s="437">
        <v>10.050000000000001</v>
      </c>
      <c r="W1795" s="4"/>
    </row>
    <row r="1796" spans="6:23" ht="24" customHeight="1">
      <c r="H1796" s="1" t="s">
        <v>2315</v>
      </c>
      <c r="K1796">
        <f>700*K1795</f>
        <v>7035</v>
      </c>
      <c r="W1796" s="4"/>
    </row>
    <row r="1797" spans="6:23" ht="24" customHeight="1">
      <c r="F1797" s="1" t="s">
        <v>992</v>
      </c>
      <c r="H1797" s="1" t="s">
        <v>2776</v>
      </c>
      <c r="K1797">
        <f>200*K1795</f>
        <v>2010</v>
      </c>
      <c r="L1797">
        <f>K1795*1000</f>
        <v>10050</v>
      </c>
      <c r="M1797">
        <f>K1795*1500</f>
        <v>15075</v>
      </c>
      <c r="W1797" s="4"/>
    </row>
    <row r="1798" spans="6:23" ht="24" customHeight="1">
      <c r="F1798" s="24"/>
      <c r="G1798" s="7" t="s">
        <v>2290</v>
      </c>
      <c r="H1798" s="1" t="s">
        <v>2083</v>
      </c>
      <c r="W1798" s="4"/>
    </row>
    <row r="1799" spans="6:23" ht="24" customHeight="1">
      <c r="H1799" s="1" t="s">
        <v>2316</v>
      </c>
      <c r="W1799" s="4"/>
    </row>
    <row r="1800" spans="6:23" ht="24" customHeight="1">
      <c r="H1800" s="1" t="s">
        <v>965</v>
      </c>
      <c r="W1800" s="4"/>
    </row>
    <row r="1801" spans="6:23" ht="24" customHeight="1">
      <c r="H1801" s="5" t="s">
        <v>1615</v>
      </c>
      <c r="W1801" s="4"/>
    </row>
    <row r="1802" spans="6:23" ht="24" customHeight="1">
      <c r="G1802" s="7" t="s">
        <v>2317</v>
      </c>
      <c r="H1802" s="1" t="s">
        <v>965</v>
      </c>
      <c r="K1802" s="1" t="s">
        <v>1477</v>
      </c>
      <c r="W1802" s="4"/>
    </row>
    <row r="1803" spans="6:23" ht="24" customHeight="1">
      <c r="H1803" s="5" t="s">
        <v>1615</v>
      </c>
      <c r="K1803" s="5" t="s">
        <v>2091</v>
      </c>
      <c r="W1803" s="4"/>
    </row>
    <row r="1804" spans="6:23" ht="24" customHeight="1">
      <c r="F1804" s="8">
        <v>30</v>
      </c>
      <c r="G1804" s="7" t="s">
        <v>1805</v>
      </c>
      <c r="H1804" s="1" t="s">
        <v>1695</v>
      </c>
      <c r="I1804" s="8">
        <f>(C661)</f>
        <v>12.32</v>
      </c>
      <c r="J1804" s="1" t="s">
        <v>1805</v>
      </c>
      <c r="K1804" s="8">
        <f>(F1804*I1804)</f>
        <v>369.6</v>
      </c>
      <c r="W1804" s="4"/>
    </row>
    <row r="1805" spans="6:23" ht="24" customHeight="1">
      <c r="F1805" s="1" t="s">
        <v>992</v>
      </c>
      <c r="H1805" s="1" t="s">
        <v>1698</v>
      </c>
      <c r="I1805" s="1" t="s">
        <v>992</v>
      </c>
      <c r="K1805" s="1" t="s">
        <v>992</v>
      </c>
      <c r="W1805" s="4"/>
    </row>
    <row r="1806" spans="6:23" ht="24" customHeight="1">
      <c r="F1806" s="8">
        <v>8</v>
      </c>
      <c r="G1806" s="7" t="s">
        <v>884</v>
      </c>
      <c r="H1806" s="1" t="s">
        <v>2182</v>
      </c>
      <c r="I1806" s="8">
        <f>(C663)</f>
        <v>9.7899999999999991</v>
      </c>
      <c r="J1806" s="1" t="s">
        <v>884</v>
      </c>
      <c r="K1806" s="8">
        <f t="shared" ref="K1806:K1812" si="232">(F1806*I1806)</f>
        <v>78.319999999999993</v>
      </c>
      <c r="W1806" s="4"/>
    </row>
    <row r="1807" spans="6:23" ht="24" customHeight="1">
      <c r="F1807" s="8">
        <v>8</v>
      </c>
      <c r="G1807" s="7" t="s">
        <v>884</v>
      </c>
      <c r="H1807" s="1" t="s">
        <v>473</v>
      </c>
      <c r="I1807" s="8">
        <f>(C672)</f>
        <v>13.92</v>
      </c>
      <c r="J1807" s="1" t="s">
        <v>884</v>
      </c>
      <c r="K1807" s="8">
        <f t="shared" si="232"/>
        <v>111.36</v>
      </c>
      <c r="W1807" s="4"/>
    </row>
    <row r="1808" spans="6:23" ht="24" customHeight="1">
      <c r="F1808" s="8">
        <v>3</v>
      </c>
      <c r="G1808" s="7" t="s">
        <v>884</v>
      </c>
      <c r="H1808" s="1" t="s">
        <v>1879</v>
      </c>
      <c r="I1808" s="8">
        <f>(C41)</f>
        <v>770</v>
      </c>
      <c r="J1808" s="1" t="s">
        <v>884</v>
      </c>
      <c r="K1808" s="8">
        <f t="shared" si="232"/>
        <v>2310</v>
      </c>
      <c r="W1808" s="4"/>
    </row>
    <row r="1809" spans="6:23" ht="24" customHeight="1">
      <c r="F1809" s="8">
        <v>1</v>
      </c>
      <c r="G1809" s="7" t="s">
        <v>884</v>
      </c>
      <c r="H1809" s="1" t="s">
        <v>1404</v>
      </c>
      <c r="I1809" s="8">
        <f>(C10)</f>
        <v>1041.7</v>
      </c>
      <c r="J1809" s="1" t="s">
        <v>884</v>
      </c>
      <c r="K1809" s="8">
        <f t="shared" si="232"/>
        <v>1041.7</v>
      </c>
      <c r="W1809" s="4"/>
    </row>
    <row r="1810" spans="6:23" ht="24" customHeight="1">
      <c r="F1810" s="8">
        <v>2</v>
      </c>
      <c r="G1810" s="7" t="s">
        <v>884</v>
      </c>
      <c r="H1810" s="1" t="s">
        <v>1937</v>
      </c>
      <c r="I1810" s="8">
        <f>(C12)</f>
        <v>679.8</v>
      </c>
      <c r="J1810" s="1" t="s">
        <v>884</v>
      </c>
      <c r="K1810" s="8">
        <f t="shared" si="232"/>
        <v>1359.6</v>
      </c>
      <c r="W1810" s="4"/>
    </row>
    <row r="1811" spans="6:23" ht="24" customHeight="1">
      <c r="F1811" s="8">
        <v>1</v>
      </c>
      <c r="G1811" s="7" t="s">
        <v>884</v>
      </c>
      <c r="H1811" s="1" t="s">
        <v>325</v>
      </c>
      <c r="I1811" s="8">
        <f>(C13)</f>
        <v>557.70000000000005</v>
      </c>
      <c r="J1811" s="1" t="s">
        <v>884</v>
      </c>
      <c r="K1811" s="8">
        <f t="shared" si="232"/>
        <v>557.70000000000005</v>
      </c>
      <c r="W1811" s="4"/>
    </row>
    <row r="1812" spans="6:23" ht="24" customHeight="1">
      <c r="F1812" s="8">
        <v>1</v>
      </c>
      <c r="G1812" s="7" t="s">
        <v>884</v>
      </c>
      <c r="H1812" s="1" t="s">
        <v>1405</v>
      </c>
      <c r="I1812" s="6">
        <v>5</v>
      </c>
      <c r="J1812" s="1" t="s">
        <v>1423</v>
      </c>
      <c r="K1812" s="8">
        <f t="shared" si="232"/>
        <v>5</v>
      </c>
      <c r="W1812" s="4"/>
    </row>
    <row r="1813" spans="6:23" ht="24" customHeight="1">
      <c r="H1813" s="1" t="s">
        <v>948</v>
      </c>
      <c r="I1813" s="1" t="s">
        <v>992</v>
      </c>
      <c r="K1813" s="1" t="s">
        <v>992</v>
      </c>
      <c r="W1813" s="4"/>
    </row>
    <row r="1814" spans="6:23" ht="24" customHeight="1">
      <c r="G1814" s="7" t="s">
        <v>455</v>
      </c>
      <c r="H1814" s="1" t="s">
        <v>456</v>
      </c>
      <c r="J1814" s="1" t="s">
        <v>455</v>
      </c>
      <c r="K1814" s="8">
        <v>0</v>
      </c>
      <c r="W1814" s="4"/>
    </row>
    <row r="1815" spans="6:23" ht="24" customHeight="1">
      <c r="K1815" s="5" t="s">
        <v>1615</v>
      </c>
      <c r="W1815" s="4"/>
    </row>
    <row r="1816" spans="6:23" ht="24" customHeight="1">
      <c r="H1816" s="1" t="s">
        <v>1884</v>
      </c>
      <c r="K1816" s="8">
        <f>SUM(K1804:K1814)</f>
        <v>5833.28</v>
      </c>
      <c r="W1816" s="4"/>
    </row>
    <row r="1817" spans="6:23" ht="24" customHeight="1">
      <c r="K1817" s="5" t="s">
        <v>1615</v>
      </c>
      <c r="W1817" s="4"/>
    </row>
    <row r="1818" spans="6:23" ht="24" customHeight="1">
      <c r="H1818" s="1" t="s">
        <v>1573</v>
      </c>
      <c r="K1818" s="8">
        <f>(K1816/30)</f>
        <v>194.44</v>
      </c>
      <c r="W1818" s="4"/>
    </row>
    <row r="1819" spans="6:23" ht="24" customHeight="1">
      <c r="K1819" s="5" t="s">
        <v>1615</v>
      </c>
      <c r="W1819" s="4"/>
    </row>
    <row r="1820" spans="6:23" ht="24" customHeight="1">
      <c r="G1820" s="7" t="s">
        <v>527</v>
      </c>
      <c r="H1820" s="1" t="s">
        <v>965</v>
      </c>
      <c r="K1820" s="1" t="s">
        <v>23</v>
      </c>
      <c r="W1820" s="4"/>
    </row>
    <row r="1821" spans="6:23" ht="24" customHeight="1">
      <c r="H1821" s="5" t="s">
        <v>1615</v>
      </c>
      <c r="K1821" s="5" t="s">
        <v>2091</v>
      </c>
      <c r="W1821" s="4"/>
    </row>
    <row r="1822" spans="6:23" ht="24" customHeight="1">
      <c r="F1822" s="8">
        <v>30</v>
      </c>
      <c r="G1822" s="7" t="s">
        <v>1805</v>
      </c>
      <c r="H1822" s="1" t="s">
        <v>1695</v>
      </c>
      <c r="I1822" s="8">
        <f>(C661)</f>
        <v>12.32</v>
      </c>
      <c r="J1822" s="1" t="s">
        <v>1805</v>
      </c>
      <c r="K1822" s="8">
        <f>(F1822*I1822)</f>
        <v>369.6</v>
      </c>
      <c r="W1822" s="4"/>
    </row>
    <row r="1823" spans="6:23" ht="24" customHeight="1">
      <c r="F1823" s="1" t="s">
        <v>992</v>
      </c>
      <c r="H1823" s="1" t="s">
        <v>1698</v>
      </c>
      <c r="I1823" s="1" t="s">
        <v>992</v>
      </c>
      <c r="K1823" s="1" t="s">
        <v>992</v>
      </c>
      <c r="W1823" s="4"/>
    </row>
    <row r="1824" spans="6:23" ht="24" customHeight="1">
      <c r="F1824" s="8">
        <v>8</v>
      </c>
      <c r="G1824" s="7" t="s">
        <v>884</v>
      </c>
      <c r="H1824" s="1" t="s">
        <v>2182</v>
      </c>
      <c r="I1824" s="8">
        <f>I1806</f>
        <v>9.7899999999999991</v>
      </c>
      <c r="J1824" s="1" t="s">
        <v>884</v>
      </c>
      <c r="K1824" s="8">
        <f t="shared" ref="K1824:K1830" si="233">(F1824*I1824)</f>
        <v>78.319999999999993</v>
      </c>
      <c r="W1824" s="4"/>
    </row>
    <row r="1825" spans="6:23" ht="24" customHeight="1">
      <c r="F1825" s="8">
        <v>8</v>
      </c>
      <c r="G1825" s="7" t="s">
        <v>884</v>
      </c>
      <c r="H1825" s="1" t="s">
        <v>473</v>
      </c>
      <c r="I1825" s="8">
        <f>D672</f>
        <v>14.14</v>
      </c>
      <c r="J1825" s="1" t="s">
        <v>884</v>
      </c>
      <c r="K1825" s="8">
        <f t="shared" si="233"/>
        <v>113.12</v>
      </c>
      <c r="W1825" s="4"/>
    </row>
    <row r="1826" spans="6:23" ht="24" customHeight="1">
      <c r="F1826" s="8">
        <v>3</v>
      </c>
      <c r="G1826" s="7" t="s">
        <v>884</v>
      </c>
      <c r="H1826" s="1" t="s">
        <v>1879</v>
      </c>
      <c r="I1826" s="8">
        <f>(C41)</f>
        <v>770</v>
      </c>
      <c r="J1826" s="1" t="s">
        <v>884</v>
      </c>
      <c r="K1826" s="8">
        <f t="shared" si="233"/>
        <v>2310</v>
      </c>
      <c r="W1826" s="4"/>
    </row>
    <row r="1827" spans="6:23" ht="24" customHeight="1">
      <c r="F1827" s="8">
        <v>1</v>
      </c>
      <c r="G1827" s="7" t="s">
        <v>884</v>
      </c>
      <c r="H1827" s="1" t="s">
        <v>1404</v>
      </c>
      <c r="I1827" s="8">
        <f>(C10)</f>
        <v>1041.7</v>
      </c>
      <c r="J1827" s="1" t="s">
        <v>884</v>
      </c>
      <c r="K1827" s="8">
        <f t="shared" si="233"/>
        <v>1041.7</v>
      </c>
      <c r="W1827" s="4"/>
    </row>
    <row r="1828" spans="6:23" ht="24" customHeight="1">
      <c r="F1828" s="8">
        <v>2</v>
      </c>
      <c r="G1828" s="7" t="s">
        <v>884</v>
      </c>
      <c r="H1828" s="1" t="s">
        <v>1937</v>
      </c>
      <c r="I1828" s="8">
        <f>(C12)</f>
        <v>679.8</v>
      </c>
      <c r="J1828" s="1" t="s">
        <v>884</v>
      </c>
      <c r="K1828" s="8">
        <f t="shared" si="233"/>
        <v>1359.6</v>
      </c>
      <c r="W1828" s="4"/>
    </row>
    <row r="1829" spans="6:23" ht="24" customHeight="1">
      <c r="F1829" s="8">
        <v>1</v>
      </c>
      <c r="G1829" s="7" t="s">
        <v>884</v>
      </c>
      <c r="H1829" s="1" t="s">
        <v>325</v>
      </c>
      <c r="I1829" s="8">
        <f>(C13)</f>
        <v>557.70000000000005</v>
      </c>
      <c r="J1829" s="1" t="s">
        <v>884</v>
      </c>
      <c r="K1829" s="8">
        <f t="shared" si="233"/>
        <v>557.70000000000005</v>
      </c>
      <c r="W1829" s="4"/>
    </row>
    <row r="1830" spans="6:23" ht="24" customHeight="1">
      <c r="F1830" s="8">
        <v>1</v>
      </c>
      <c r="G1830" s="7" t="s">
        <v>884</v>
      </c>
      <c r="H1830" s="1" t="s">
        <v>1405</v>
      </c>
      <c r="I1830" s="6">
        <v>3</v>
      </c>
      <c r="J1830" s="1" t="s">
        <v>884</v>
      </c>
      <c r="K1830" s="8">
        <f t="shared" si="233"/>
        <v>3</v>
      </c>
      <c r="W1830" s="4"/>
    </row>
    <row r="1831" spans="6:23" ht="24" customHeight="1">
      <c r="H1831" s="1" t="s">
        <v>948</v>
      </c>
      <c r="I1831" s="1" t="s">
        <v>992</v>
      </c>
      <c r="K1831" s="1" t="s">
        <v>992</v>
      </c>
      <c r="W1831" s="4"/>
    </row>
    <row r="1832" spans="6:23" ht="24" customHeight="1">
      <c r="G1832" s="7" t="s">
        <v>455</v>
      </c>
      <c r="H1832" s="1" t="s">
        <v>456</v>
      </c>
      <c r="J1832" s="1" t="s">
        <v>455</v>
      </c>
      <c r="K1832" s="8">
        <v>0</v>
      </c>
      <c r="W1832" s="4"/>
    </row>
    <row r="1833" spans="6:23" ht="24" customHeight="1">
      <c r="K1833" s="5" t="s">
        <v>1615</v>
      </c>
      <c r="W1833" s="4"/>
    </row>
    <row r="1834" spans="6:23" ht="24" customHeight="1">
      <c r="H1834" s="1" t="s">
        <v>1884</v>
      </c>
      <c r="K1834" s="8">
        <f>SUM(K1822:K1832)</f>
        <v>5833.04</v>
      </c>
      <c r="W1834" s="4"/>
    </row>
    <row r="1835" spans="6:23" ht="24" customHeight="1">
      <c r="K1835" s="5" t="s">
        <v>1615</v>
      </c>
      <c r="W1835" s="4"/>
    </row>
    <row r="1836" spans="6:23" ht="24" customHeight="1">
      <c r="H1836" s="1" t="s">
        <v>1573</v>
      </c>
      <c r="K1836" s="8">
        <f>(K1834/30)</f>
        <v>194.43</v>
      </c>
      <c r="W1836" s="4"/>
    </row>
    <row r="1837" spans="6:23" ht="24" customHeight="1">
      <c r="K1837" s="5" t="s">
        <v>1615</v>
      </c>
      <c r="W1837" s="4"/>
    </row>
    <row r="1838" spans="6:23" ht="24" customHeight="1">
      <c r="G1838" s="7" t="s">
        <v>1942</v>
      </c>
      <c r="H1838" s="1" t="s">
        <v>965</v>
      </c>
      <c r="K1838" s="1" t="s">
        <v>24</v>
      </c>
      <c r="W1838" s="4"/>
    </row>
    <row r="1839" spans="6:23" ht="24" customHeight="1">
      <c r="H1839" s="5" t="s">
        <v>1615</v>
      </c>
      <c r="K1839" s="5" t="s">
        <v>2091</v>
      </c>
      <c r="W1839" s="4"/>
    </row>
    <row r="1840" spans="6:23" ht="24" customHeight="1">
      <c r="F1840" s="8">
        <v>30</v>
      </c>
      <c r="G1840" s="7" t="s">
        <v>1805</v>
      </c>
      <c r="H1840" s="1" t="s">
        <v>1695</v>
      </c>
      <c r="I1840" s="8">
        <f>(C661)</f>
        <v>12.32</v>
      </c>
      <c r="J1840" s="1" t="s">
        <v>1805</v>
      </c>
      <c r="K1840" s="8">
        <f>(F1840*I1840)</f>
        <v>369.6</v>
      </c>
      <c r="W1840" s="4"/>
    </row>
    <row r="1841" spans="6:23" ht="24" customHeight="1">
      <c r="F1841" s="1" t="s">
        <v>992</v>
      </c>
      <c r="H1841" s="1" t="s">
        <v>1698</v>
      </c>
      <c r="I1841" s="1" t="s">
        <v>992</v>
      </c>
      <c r="K1841" s="1" t="s">
        <v>992</v>
      </c>
      <c r="W1841" s="4"/>
    </row>
    <row r="1842" spans="6:23" ht="24" customHeight="1">
      <c r="F1842" s="8">
        <v>8</v>
      </c>
      <c r="G1842" s="7" t="s">
        <v>884</v>
      </c>
      <c r="H1842" s="1" t="s">
        <v>2182</v>
      </c>
      <c r="I1842" s="8">
        <f>D663</f>
        <v>11.72</v>
      </c>
      <c r="J1842" s="1" t="s">
        <v>884</v>
      </c>
      <c r="K1842" s="8">
        <f t="shared" ref="K1842:K1848" si="234">(F1842*I1842)</f>
        <v>93.76</v>
      </c>
      <c r="W1842" s="4"/>
    </row>
    <row r="1843" spans="6:23" ht="24" customHeight="1">
      <c r="F1843" s="8">
        <v>8</v>
      </c>
      <c r="G1843" s="7" t="s">
        <v>884</v>
      </c>
      <c r="H1843" s="1" t="s">
        <v>473</v>
      </c>
      <c r="I1843" s="8">
        <f>AG72</f>
        <v>29.26</v>
      </c>
      <c r="J1843" s="1" t="s">
        <v>884</v>
      </c>
      <c r="K1843" s="8">
        <f t="shared" si="234"/>
        <v>234.08</v>
      </c>
      <c r="W1843" s="4"/>
    </row>
    <row r="1844" spans="6:23" ht="24" customHeight="1">
      <c r="F1844" s="8">
        <v>3</v>
      </c>
      <c r="G1844" s="7" t="s">
        <v>884</v>
      </c>
      <c r="H1844" s="1" t="s">
        <v>1879</v>
      </c>
      <c r="I1844" s="8">
        <f>(C41)</f>
        <v>770</v>
      </c>
      <c r="J1844" s="1" t="s">
        <v>884</v>
      </c>
      <c r="K1844" s="8">
        <f t="shared" si="234"/>
        <v>2310</v>
      </c>
      <c r="W1844" s="4"/>
    </row>
    <row r="1845" spans="6:23" ht="24" customHeight="1">
      <c r="F1845" s="8">
        <v>1</v>
      </c>
      <c r="G1845" s="7" t="s">
        <v>884</v>
      </c>
      <c r="H1845" s="1" t="s">
        <v>1404</v>
      </c>
      <c r="I1845" s="8">
        <f>(C10)</f>
        <v>1041.7</v>
      </c>
      <c r="J1845" s="1" t="s">
        <v>884</v>
      </c>
      <c r="K1845" s="8">
        <f t="shared" si="234"/>
        <v>1041.7</v>
      </c>
      <c r="W1845" s="4"/>
    </row>
    <row r="1846" spans="6:23" ht="24" customHeight="1">
      <c r="F1846" s="8">
        <v>2</v>
      </c>
      <c r="G1846" s="7" t="s">
        <v>884</v>
      </c>
      <c r="H1846" s="1" t="s">
        <v>1937</v>
      </c>
      <c r="I1846" s="8">
        <f>(C12)</f>
        <v>679.8</v>
      </c>
      <c r="J1846" s="1" t="s">
        <v>884</v>
      </c>
      <c r="K1846" s="8">
        <f t="shared" si="234"/>
        <v>1359.6</v>
      </c>
      <c r="W1846" s="4"/>
    </row>
    <row r="1847" spans="6:23" ht="24" customHeight="1">
      <c r="F1847" s="8">
        <v>1</v>
      </c>
      <c r="G1847" s="7" t="s">
        <v>884</v>
      </c>
      <c r="H1847" s="1" t="s">
        <v>325</v>
      </c>
      <c r="I1847" s="8">
        <f>(C13)</f>
        <v>557.70000000000005</v>
      </c>
      <c r="J1847" s="1" t="s">
        <v>884</v>
      </c>
      <c r="K1847" s="8">
        <f t="shared" si="234"/>
        <v>557.70000000000005</v>
      </c>
      <c r="W1847" s="4"/>
    </row>
    <row r="1848" spans="6:23" ht="24" customHeight="1">
      <c r="F1848" s="8">
        <v>1</v>
      </c>
      <c r="G1848" s="7" t="s">
        <v>884</v>
      </c>
      <c r="H1848" s="1" t="s">
        <v>1405</v>
      </c>
      <c r="I1848" s="6">
        <v>5.26</v>
      </c>
      <c r="J1848" s="1" t="s">
        <v>884</v>
      </c>
      <c r="K1848" s="8">
        <f t="shared" si="234"/>
        <v>5.26</v>
      </c>
      <c r="W1848" s="4"/>
    </row>
    <row r="1849" spans="6:23" ht="24" customHeight="1">
      <c r="H1849" s="1" t="s">
        <v>948</v>
      </c>
      <c r="I1849" s="1" t="s">
        <v>992</v>
      </c>
      <c r="K1849" s="1" t="s">
        <v>992</v>
      </c>
      <c r="W1849" s="4"/>
    </row>
    <row r="1850" spans="6:23" ht="24" customHeight="1">
      <c r="G1850" s="7" t="s">
        <v>455</v>
      </c>
      <c r="H1850" s="1" t="s">
        <v>456</v>
      </c>
      <c r="J1850" s="1" t="s">
        <v>455</v>
      </c>
      <c r="K1850" s="8">
        <v>0</v>
      </c>
      <c r="W1850" s="4"/>
    </row>
    <row r="1851" spans="6:23" ht="24" customHeight="1">
      <c r="K1851" s="5" t="s">
        <v>1615</v>
      </c>
      <c r="W1851" s="4"/>
    </row>
    <row r="1852" spans="6:23" ht="24" customHeight="1">
      <c r="H1852" s="1" t="s">
        <v>1884</v>
      </c>
      <c r="K1852" s="8">
        <f>SUM(K1840:K1850)</f>
        <v>5971.7</v>
      </c>
      <c r="W1852" s="4"/>
    </row>
    <row r="1853" spans="6:23" ht="24" customHeight="1">
      <c r="K1853" s="5" t="s">
        <v>1615</v>
      </c>
      <c r="W1853" s="4"/>
    </row>
    <row r="1854" spans="6:23" ht="24" customHeight="1">
      <c r="H1854" s="1" t="s">
        <v>1573</v>
      </c>
      <c r="K1854" s="8">
        <f>(K1852/30)</f>
        <v>199.06</v>
      </c>
      <c r="N1854" s="7" t="s">
        <v>1942</v>
      </c>
      <c r="O1854" s="1" t="s">
        <v>965</v>
      </c>
      <c r="Q1854" s="10"/>
      <c r="R1854" s="1" t="s">
        <v>1756</v>
      </c>
      <c r="W1854" s="4"/>
    </row>
    <row r="1855" spans="6:23" ht="24" customHeight="1">
      <c r="K1855" s="5" t="s">
        <v>1615</v>
      </c>
      <c r="N1855" s="3"/>
      <c r="O1855" s="5" t="s">
        <v>1615</v>
      </c>
      <c r="Q1855" s="10"/>
      <c r="R1855" s="5" t="s">
        <v>2091</v>
      </c>
      <c r="W1855" s="4"/>
    </row>
    <row r="1856" spans="6:23" ht="24" customHeight="1">
      <c r="M1856" s="8">
        <v>30</v>
      </c>
      <c r="N1856" s="7" t="s">
        <v>1805</v>
      </c>
      <c r="O1856" s="1" t="s">
        <v>1695</v>
      </c>
      <c r="P1856" s="8">
        <f>I1840</f>
        <v>12.32</v>
      </c>
      <c r="Q1856" s="1" t="s">
        <v>1805</v>
      </c>
      <c r="R1856" s="8">
        <f>(M1856*P1856)</f>
        <v>369.6</v>
      </c>
      <c r="W1856" s="4"/>
    </row>
    <row r="1857" spans="6:23" ht="24" customHeight="1">
      <c r="F1857" s="43">
        <v>52</v>
      </c>
      <c r="G1857" s="7" t="s">
        <v>2290</v>
      </c>
      <c r="H1857" s="1" t="s">
        <v>101</v>
      </c>
      <c r="M1857" s="1" t="s">
        <v>992</v>
      </c>
      <c r="N1857" s="3"/>
      <c r="O1857" s="1" t="s">
        <v>1698</v>
      </c>
      <c r="P1857" s="8" t="str">
        <f t="shared" ref="P1857:P1866" si="235">I1841</f>
        <v/>
      </c>
      <c r="Q1857" s="10"/>
      <c r="R1857" s="1" t="s">
        <v>992</v>
      </c>
      <c r="W1857" s="4"/>
    </row>
    <row r="1858" spans="6:23" ht="24" customHeight="1">
      <c r="H1858" s="1" t="s">
        <v>2208</v>
      </c>
      <c r="M1858" s="8">
        <v>8</v>
      </c>
      <c r="N1858" s="7" t="s">
        <v>884</v>
      </c>
      <c r="O1858" s="504" t="s">
        <v>5699</v>
      </c>
      <c r="P1858" s="439">
        <f>C46</f>
        <v>12.85</v>
      </c>
      <c r="Q1858" s="1" t="s">
        <v>884</v>
      </c>
      <c r="R1858" s="8">
        <f t="shared" ref="R1858:R1863" si="236">(M1858*P1858)</f>
        <v>102.8</v>
      </c>
      <c r="W1858" s="4"/>
    </row>
    <row r="1859" spans="6:23" ht="24" customHeight="1">
      <c r="H1859" s="1" t="s">
        <v>2209</v>
      </c>
      <c r="M1859" s="8">
        <v>8</v>
      </c>
      <c r="N1859" s="7" t="s">
        <v>884</v>
      </c>
      <c r="O1859" s="504" t="s">
        <v>5700</v>
      </c>
      <c r="P1859" s="439">
        <f>C53</f>
        <v>35.9</v>
      </c>
      <c r="Q1859" s="1" t="s">
        <v>884</v>
      </c>
      <c r="R1859" s="8">
        <f t="shared" si="236"/>
        <v>287.2</v>
      </c>
      <c r="W1859" s="4"/>
    </row>
    <row r="1860" spans="6:23" ht="24" customHeight="1">
      <c r="H1860" s="1" t="s">
        <v>1431</v>
      </c>
      <c r="M1860" s="8">
        <v>3</v>
      </c>
      <c r="N1860" s="7" t="s">
        <v>884</v>
      </c>
      <c r="O1860" s="1" t="s">
        <v>1879</v>
      </c>
      <c r="P1860" s="8">
        <f t="shared" si="235"/>
        <v>770</v>
      </c>
      <c r="Q1860" s="1" t="s">
        <v>884</v>
      </c>
      <c r="R1860" s="8">
        <f t="shared" si="236"/>
        <v>2310</v>
      </c>
      <c r="W1860" s="4"/>
    </row>
    <row r="1861" spans="6:23" ht="24" customHeight="1">
      <c r="H1861" s="1" t="s">
        <v>1432</v>
      </c>
      <c r="M1861" s="8">
        <v>1</v>
      </c>
      <c r="N1861" s="7" t="s">
        <v>884</v>
      </c>
      <c r="O1861" s="1" t="s">
        <v>1404</v>
      </c>
      <c r="P1861" s="8">
        <f t="shared" si="235"/>
        <v>1041.7</v>
      </c>
      <c r="Q1861" s="1" t="s">
        <v>884</v>
      </c>
      <c r="R1861" s="8">
        <f t="shared" si="236"/>
        <v>1041.7</v>
      </c>
      <c r="W1861" s="4"/>
    </row>
    <row r="1862" spans="6:23" ht="24" customHeight="1">
      <c r="H1862" s="1" t="s">
        <v>1375</v>
      </c>
      <c r="M1862" s="8">
        <v>2</v>
      </c>
      <c r="N1862" s="7" t="s">
        <v>884</v>
      </c>
      <c r="O1862" s="1" t="s">
        <v>1937</v>
      </c>
      <c r="P1862" s="8">
        <f t="shared" si="235"/>
        <v>679.8</v>
      </c>
      <c r="Q1862" s="1" t="s">
        <v>884</v>
      </c>
      <c r="R1862" s="8">
        <f t="shared" si="236"/>
        <v>1359.6</v>
      </c>
      <c r="W1862" s="4"/>
    </row>
    <row r="1863" spans="6:23" ht="24" customHeight="1">
      <c r="H1863" s="1" t="s">
        <v>1376</v>
      </c>
      <c r="M1863" s="8">
        <v>1</v>
      </c>
      <c r="N1863" s="7" t="s">
        <v>884</v>
      </c>
      <c r="O1863" s="1" t="s">
        <v>325</v>
      </c>
      <c r="P1863" s="8">
        <f t="shared" si="235"/>
        <v>557.70000000000005</v>
      </c>
      <c r="Q1863" s="1" t="s">
        <v>884</v>
      </c>
      <c r="R1863" s="8">
        <f t="shared" si="236"/>
        <v>557.70000000000005</v>
      </c>
      <c r="W1863" s="4"/>
    </row>
    <row r="1864" spans="6:23" ht="24" customHeight="1">
      <c r="H1864" s="1" t="s">
        <v>723</v>
      </c>
      <c r="N1864" s="7" t="s">
        <v>455</v>
      </c>
      <c r="O1864" s="1" t="s">
        <v>1405</v>
      </c>
      <c r="P1864" s="8">
        <f t="shared" si="235"/>
        <v>5.26</v>
      </c>
      <c r="Q1864" s="1" t="s">
        <v>455</v>
      </c>
      <c r="R1864" s="8">
        <v>5</v>
      </c>
      <c r="W1864" s="4"/>
    </row>
    <row r="1865" spans="6:23" ht="24" customHeight="1">
      <c r="H1865" s="5" t="s">
        <v>2091</v>
      </c>
      <c r="I1865" s="5" t="s">
        <v>2091</v>
      </c>
      <c r="N1865" s="3"/>
      <c r="O1865" s="1" t="s">
        <v>948</v>
      </c>
      <c r="P1865" s="8" t="str">
        <f t="shared" si="235"/>
        <v/>
      </c>
      <c r="Q1865" s="10"/>
      <c r="R1865" s="1" t="s">
        <v>992</v>
      </c>
      <c r="W1865" s="4"/>
    </row>
    <row r="1866" spans="6:23" ht="24" customHeight="1">
      <c r="G1866" s="7" t="s">
        <v>2290</v>
      </c>
      <c r="H1866" s="1" t="s">
        <v>934</v>
      </c>
      <c r="N1866" s="7" t="s">
        <v>455</v>
      </c>
      <c r="O1866" s="1" t="s">
        <v>456</v>
      </c>
      <c r="P1866" s="8">
        <f t="shared" si="235"/>
        <v>0</v>
      </c>
      <c r="Q1866" s="1" t="s">
        <v>455</v>
      </c>
      <c r="R1866" s="8">
        <v>0</v>
      </c>
      <c r="W1866" s="4"/>
    </row>
    <row r="1867" spans="6:23" ht="24" customHeight="1">
      <c r="H1867" s="1" t="s">
        <v>822</v>
      </c>
      <c r="N1867" s="3"/>
      <c r="Q1867" s="10"/>
      <c r="R1867" s="5" t="s">
        <v>1615</v>
      </c>
      <c r="W1867" s="4"/>
    </row>
    <row r="1868" spans="6:23" ht="24" customHeight="1">
      <c r="G1868" s="7" t="s">
        <v>321</v>
      </c>
      <c r="H1868" s="1" t="s">
        <v>823</v>
      </c>
      <c r="N1868" s="3"/>
      <c r="O1868" s="1" t="s">
        <v>1884</v>
      </c>
      <c r="Q1868" s="10"/>
      <c r="R1868" s="8">
        <f>SUM(R1856:R1866)</f>
        <v>6033.6</v>
      </c>
      <c r="W1868" s="4"/>
    </row>
    <row r="1869" spans="6:23" ht="24" customHeight="1">
      <c r="H1869" s="5" t="s">
        <v>1615</v>
      </c>
      <c r="N1869" s="3"/>
      <c r="Q1869" s="10"/>
      <c r="R1869" s="5" t="s">
        <v>1615</v>
      </c>
      <c r="W1869" s="4"/>
    </row>
    <row r="1870" spans="6:23" ht="24" customHeight="1">
      <c r="F1870" s="8">
        <v>1</v>
      </c>
      <c r="G1870" s="7" t="s">
        <v>842</v>
      </c>
      <c r="H1870" s="1" t="s">
        <v>630</v>
      </c>
      <c r="I1870" s="8">
        <f>C517</f>
        <v>26</v>
      </c>
      <c r="J1870" s="1" t="s">
        <v>842</v>
      </c>
      <c r="K1870" s="8">
        <f>(F1870*I1870)</f>
        <v>26</v>
      </c>
      <c r="N1870" s="3"/>
      <c r="O1870" s="1" t="s">
        <v>1573</v>
      </c>
      <c r="Q1870" s="10"/>
      <c r="R1870" s="8">
        <f>(R1868/30)</f>
        <v>201.12</v>
      </c>
      <c r="W1870" s="4"/>
    </row>
    <row r="1871" spans="6:23" ht="24" customHeight="1">
      <c r="F1871" s="8">
        <v>1</v>
      </c>
      <c r="G1871" s="7" t="s">
        <v>455</v>
      </c>
      <c r="H1871" s="1" t="s">
        <v>1835</v>
      </c>
      <c r="I1871" s="8">
        <f>I1870*0.7</f>
        <v>18.2</v>
      </c>
      <c r="J1871" s="1" t="s">
        <v>455</v>
      </c>
      <c r="K1871" s="8">
        <f>(F1871*I1871)</f>
        <v>18.2</v>
      </c>
      <c r="N1871" s="3"/>
      <c r="Q1871" s="10"/>
      <c r="R1871" s="5" t="s">
        <v>1615</v>
      </c>
      <c r="W1871" s="4"/>
    </row>
    <row r="1872" spans="6:23" ht="24" customHeight="1">
      <c r="F1872" s="8">
        <v>1</v>
      </c>
      <c r="G1872" s="7" t="s">
        <v>842</v>
      </c>
      <c r="H1872" s="1" t="s">
        <v>163</v>
      </c>
      <c r="I1872" s="8">
        <f>K1818</f>
        <v>194.44</v>
      </c>
      <c r="J1872" s="1" t="s">
        <v>842</v>
      </c>
      <c r="K1872" s="8">
        <f>(F1872*I1872)</f>
        <v>194.44</v>
      </c>
      <c r="W1872" s="4"/>
    </row>
    <row r="1873" spans="6:23" ht="24" customHeight="1">
      <c r="I1873" s="1" t="s">
        <v>992</v>
      </c>
      <c r="K1873" s="5" t="s">
        <v>1615</v>
      </c>
      <c r="W1873" s="4"/>
    </row>
    <row r="1874" spans="6:23" ht="24" customHeight="1">
      <c r="H1874" s="1" t="s">
        <v>382</v>
      </c>
      <c r="K1874" s="38">
        <f>SUM(K1870:K1872)</f>
        <v>238.64</v>
      </c>
      <c r="W1874" s="4"/>
    </row>
    <row r="1875" spans="6:23" ht="24" customHeight="1">
      <c r="H1875" s="1" t="s">
        <v>992</v>
      </c>
      <c r="I1875" s="1" t="s">
        <v>992</v>
      </c>
      <c r="K1875" s="5" t="s">
        <v>2091</v>
      </c>
      <c r="N1875" s="7" t="s">
        <v>1942</v>
      </c>
      <c r="O1875" s="1" t="s">
        <v>5138</v>
      </c>
      <c r="Q1875" s="10"/>
      <c r="W1875" s="4"/>
    </row>
    <row r="1876" spans="6:23" ht="24" customHeight="1">
      <c r="G1876" s="7" t="s">
        <v>527</v>
      </c>
      <c r="H1876" s="1" t="s">
        <v>757</v>
      </c>
      <c r="N1876" s="3"/>
      <c r="O1876" s="5" t="s">
        <v>1615</v>
      </c>
      <c r="Q1876" s="10"/>
      <c r="W1876" s="4"/>
    </row>
    <row r="1877" spans="6:23" ht="24" customHeight="1">
      <c r="H1877" s="5" t="s">
        <v>1615</v>
      </c>
      <c r="M1877" s="8">
        <v>1</v>
      </c>
      <c r="N1877" s="7" t="s">
        <v>842</v>
      </c>
      <c r="O1877" s="1" t="s">
        <v>2966</v>
      </c>
      <c r="P1877" s="419">
        <v>133.69999999999999</v>
      </c>
      <c r="Q1877" s="1" t="s">
        <v>842</v>
      </c>
      <c r="R1877" s="8">
        <f>(M1877*P1877)</f>
        <v>133.69999999999999</v>
      </c>
      <c r="W1877" s="4"/>
    </row>
    <row r="1878" spans="6:23" ht="24" customHeight="1">
      <c r="F1878" s="8">
        <v>1</v>
      </c>
      <c r="G1878" s="7" t="s">
        <v>842</v>
      </c>
      <c r="H1878" s="1" t="s">
        <v>758</v>
      </c>
      <c r="I1878" s="8">
        <f>C518</f>
        <v>35</v>
      </c>
      <c r="J1878" s="1" t="s">
        <v>842</v>
      </c>
      <c r="K1878" s="8">
        <f>(F1878*I1878)</f>
        <v>35</v>
      </c>
      <c r="M1878" s="8">
        <v>1</v>
      </c>
      <c r="N1878" s="7" t="s">
        <v>455</v>
      </c>
      <c r="O1878" s="1" t="s">
        <v>1703</v>
      </c>
      <c r="P1878" s="8">
        <f>P1877*0.2</f>
        <v>26.74</v>
      </c>
      <c r="Q1878" s="1" t="s">
        <v>455</v>
      </c>
      <c r="R1878" s="8">
        <f>(M1878*P1878)</f>
        <v>26.74</v>
      </c>
      <c r="W1878" s="4"/>
    </row>
    <row r="1879" spans="6:23" ht="24" customHeight="1">
      <c r="F1879" s="8">
        <v>1</v>
      </c>
      <c r="G1879" s="7" t="s">
        <v>455</v>
      </c>
      <c r="H1879" s="1" t="s">
        <v>909</v>
      </c>
      <c r="I1879" s="8">
        <f>I1878*0.4</f>
        <v>14</v>
      </c>
      <c r="J1879" s="1" t="s">
        <v>455</v>
      </c>
      <c r="K1879" s="8">
        <f>(F1879*I1879)</f>
        <v>14</v>
      </c>
      <c r="M1879" s="8">
        <v>1</v>
      </c>
      <c r="N1879" s="7" t="s">
        <v>842</v>
      </c>
      <c r="O1879" s="1" t="s">
        <v>163</v>
      </c>
      <c r="P1879" s="8">
        <f>R1870</f>
        <v>201.12</v>
      </c>
      <c r="Q1879" s="1" t="s">
        <v>842</v>
      </c>
      <c r="R1879" s="8">
        <f>(M1879*P1879)</f>
        <v>201.12</v>
      </c>
      <c r="W1879" s="4"/>
    </row>
    <row r="1880" spans="6:23" ht="24" customHeight="1">
      <c r="F1880" s="8">
        <v>1</v>
      </c>
      <c r="G1880" s="7" t="s">
        <v>842</v>
      </c>
      <c r="H1880" s="1" t="s">
        <v>163</v>
      </c>
      <c r="I1880" s="8">
        <f>K1836</f>
        <v>194.43</v>
      </c>
      <c r="J1880" s="1" t="s">
        <v>842</v>
      </c>
      <c r="K1880" s="8">
        <f>(F1880*I1880)</f>
        <v>194.43</v>
      </c>
      <c r="N1880" s="3"/>
      <c r="P1880" s="1" t="s">
        <v>992</v>
      </c>
      <c r="Q1880" s="10"/>
      <c r="R1880" s="5" t="s">
        <v>1615</v>
      </c>
      <c r="W1880" s="4"/>
    </row>
    <row r="1881" spans="6:23" ht="24" customHeight="1">
      <c r="I1881" s="1" t="s">
        <v>992</v>
      </c>
      <c r="K1881" s="5" t="s">
        <v>1615</v>
      </c>
      <c r="N1881" s="3"/>
      <c r="O1881" s="1" t="s">
        <v>382</v>
      </c>
      <c r="Q1881" s="10"/>
      <c r="R1881" s="38">
        <f>SUM(R1877:R1879)</f>
        <v>361.56</v>
      </c>
      <c r="W1881" s="4"/>
    </row>
    <row r="1882" spans="6:23" ht="24" customHeight="1">
      <c r="H1882" s="1" t="s">
        <v>382</v>
      </c>
      <c r="K1882" s="38">
        <f>SUM(K1878:K1880)</f>
        <v>243.43</v>
      </c>
      <c r="N1882" s="3"/>
      <c r="P1882" s="1" t="s">
        <v>992</v>
      </c>
      <c r="Q1882" s="10"/>
      <c r="R1882" s="5" t="s">
        <v>2091</v>
      </c>
      <c r="W1882" s="4"/>
    </row>
    <row r="1883" spans="6:23" ht="24" customHeight="1">
      <c r="I1883" s="1" t="s">
        <v>992</v>
      </c>
      <c r="K1883" s="5" t="s">
        <v>2091</v>
      </c>
      <c r="W1883" s="4"/>
    </row>
    <row r="1884" spans="6:23" ht="49.5" customHeight="1">
      <c r="G1884" s="7" t="s">
        <v>1942</v>
      </c>
      <c r="H1884" s="1" t="s">
        <v>380</v>
      </c>
      <c r="W1884" s="4"/>
    </row>
    <row r="1885" spans="6:23" ht="24" customHeight="1">
      <c r="H1885" s="5" t="s">
        <v>1615</v>
      </c>
      <c r="N1885" s="7" t="s">
        <v>1942</v>
      </c>
      <c r="O1885" s="1" t="s">
        <v>965</v>
      </c>
      <c r="Q1885" s="10"/>
      <c r="R1885" s="1" t="s">
        <v>3672</v>
      </c>
      <c r="W1885" s="4"/>
    </row>
    <row r="1886" spans="6:23" ht="24" customHeight="1">
      <c r="F1886" s="8">
        <v>1</v>
      </c>
      <c r="G1886" s="7" t="s">
        <v>842</v>
      </c>
      <c r="H1886" s="1" t="s">
        <v>1702</v>
      </c>
      <c r="I1886" s="8">
        <v>52</v>
      </c>
      <c r="J1886" s="1" t="s">
        <v>842</v>
      </c>
      <c r="K1886" s="8">
        <f>(F1886*I1886)</f>
        <v>52</v>
      </c>
      <c r="N1886" s="3"/>
      <c r="O1886" s="5" t="s">
        <v>1615</v>
      </c>
      <c r="Q1886" s="10"/>
      <c r="R1886" s="5" t="s">
        <v>2091</v>
      </c>
      <c r="W1886" s="4"/>
    </row>
    <row r="1887" spans="6:23" ht="24" customHeight="1">
      <c r="F1887" s="8">
        <v>1</v>
      </c>
      <c r="G1887" s="7" t="s">
        <v>455</v>
      </c>
      <c r="H1887" s="1" t="s">
        <v>1703</v>
      </c>
      <c r="I1887" s="8">
        <f>I1886*0.2</f>
        <v>10.4</v>
      </c>
      <c r="J1887" s="1" t="s">
        <v>455</v>
      </c>
      <c r="K1887" s="8">
        <f>(F1887*I1887)</f>
        <v>10.4</v>
      </c>
      <c r="M1887" s="8">
        <v>30</v>
      </c>
      <c r="N1887" s="7" t="s">
        <v>1805</v>
      </c>
      <c r="O1887" s="1" t="s">
        <v>5139</v>
      </c>
      <c r="P1887" s="1094">
        <v>18.899999999999999</v>
      </c>
      <c r="Q1887" s="1" t="s">
        <v>1805</v>
      </c>
      <c r="R1887" s="8">
        <f>(M1887*P1887)</f>
        <v>567</v>
      </c>
      <c r="W1887" s="4"/>
    </row>
    <row r="1888" spans="6:23" ht="24" customHeight="1">
      <c r="F1888" s="8">
        <v>1</v>
      </c>
      <c r="G1888" s="7" t="s">
        <v>842</v>
      </c>
      <c r="H1888" s="1" t="s">
        <v>163</v>
      </c>
      <c r="I1888" s="8">
        <f>K1854</f>
        <v>199.06</v>
      </c>
      <c r="J1888" s="1" t="s">
        <v>842</v>
      </c>
      <c r="K1888" s="8">
        <f>(F1888*I1888)</f>
        <v>199.06</v>
      </c>
      <c r="M1888" s="1" t="s">
        <v>992</v>
      </c>
      <c r="N1888" s="3"/>
      <c r="O1888" s="1095" t="s">
        <v>5842</v>
      </c>
      <c r="P1888" s="8" t="str">
        <f t="shared" ref="P1888:P1896" si="237">P1857</f>
        <v/>
      </c>
      <c r="Q1888" s="10"/>
      <c r="R1888" s="1" t="s">
        <v>992</v>
      </c>
      <c r="W1888" s="4"/>
    </row>
    <row r="1889" spans="6:23" ht="24" customHeight="1">
      <c r="I1889" s="1" t="s">
        <v>992</v>
      </c>
      <c r="K1889" s="5" t="s">
        <v>1615</v>
      </c>
      <c r="M1889" s="8">
        <v>8</v>
      </c>
      <c r="N1889" s="7" t="s">
        <v>884</v>
      </c>
      <c r="O1889" s="1" t="s">
        <v>5140</v>
      </c>
      <c r="P1889" s="439">
        <f>C47</f>
        <v>17.350000000000001</v>
      </c>
      <c r="Q1889" s="1" t="s">
        <v>884</v>
      </c>
      <c r="R1889" s="8">
        <f t="shared" ref="R1889:R1894" si="238">(M1889*P1889)</f>
        <v>138.80000000000001</v>
      </c>
      <c r="W1889" s="4"/>
    </row>
    <row r="1890" spans="6:23" ht="24" customHeight="1">
      <c r="H1890" s="1" t="s">
        <v>382</v>
      </c>
      <c r="K1890" s="38">
        <f>SUM(K1886:K1888)</f>
        <v>261.45999999999998</v>
      </c>
      <c r="M1890" s="8">
        <v>8</v>
      </c>
      <c r="N1890" s="7" t="s">
        <v>884</v>
      </c>
      <c r="O1890" s="1" t="s">
        <v>5141</v>
      </c>
      <c r="P1890" s="439">
        <f>C54</f>
        <v>40.450000000000003</v>
      </c>
      <c r="Q1890" s="1" t="s">
        <v>884</v>
      </c>
      <c r="R1890" s="8">
        <f t="shared" si="238"/>
        <v>323.60000000000002</v>
      </c>
      <c r="W1890" s="4"/>
    </row>
    <row r="1891" spans="6:23" ht="36.75" customHeight="1">
      <c r="I1891" s="1" t="s">
        <v>992</v>
      </c>
      <c r="K1891" s="5" t="s">
        <v>2091</v>
      </c>
      <c r="M1891" s="8">
        <v>3</v>
      </c>
      <c r="N1891" s="7" t="s">
        <v>884</v>
      </c>
      <c r="O1891" s="1" t="s">
        <v>1879</v>
      </c>
      <c r="P1891" s="8">
        <f t="shared" si="237"/>
        <v>770</v>
      </c>
      <c r="Q1891" s="1" t="s">
        <v>884</v>
      </c>
      <c r="R1891" s="8">
        <f t="shared" si="238"/>
        <v>2310</v>
      </c>
      <c r="W1891" s="4"/>
    </row>
    <row r="1892" spans="6:23" ht="24" customHeight="1">
      <c r="I1892" s="1"/>
      <c r="K1892" s="5"/>
      <c r="M1892" s="8">
        <v>1</v>
      </c>
      <c r="N1892" s="7" t="s">
        <v>884</v>
      </c>
      <c r="O1892" s="1" t="s">
        <v>1404</v>
      </c>
      <c r="P1892" s="8">
        <f t="shared" si="237"/>
        <v>1041.7</v>
      </c>
      <c r="Q1892" s="1" t="s">
        <v>884</v>
      </c>
      <c r="R1892" s="8">
        <f t="shared" si="238"/>
        <v>1041.7</v>
      </c>
      <c r="W1892" s="4"/>
    </row>
    <row r="1893" spans="6:23" ht="24" customHeight="1">
      <c r="G1893" s="7" t="s">
        <v>1942</v>
      </c>
      <c r="H1893" s="1" t="s">
        <v>3669</v>
      </c>
      <c r="M1893" s="8">
        <v>2</v>
      </c>
      <c r="N1893" s="7" t="s">
        <v>884</v>
      </c>
      <c r="O1893" s="1" t="s">
        <v>1937</v>
      </c>
      <c r="P1893" s="8">
        <f t="shared" si="237"/>
        <v>679.8</v>
      </c>
      <c r="Q1893" s="1" t="s">
        <v>884</v>
      </c>
      <c r="R1893" s="8">
        <f t="shared" si="238"/>
        <v>1359.6</v>
      </c>
      <c r="W1893" s="4"/>
    </row>
    <row r="1894" spans="6:23" ht="24" customHeight="1">
      <c r="H1894" s="5" t="s">
        <v>1615</v>
      </c>
      <c r="M1894" s="8">
        <v>1</v>
      </c>
      <c r="N1894" s="7" t="s">
        <v>884</v>
      </c>
      <c r="O1894" s="1" t="s">
        <v>325</v>
      </c>
      <c r="P1894" s="8">
        <f t="shared" si="237"/>
        <v>557.70000000000005</v>
      </c>
      <c r="Q1894" s="1" t="s">
        <v>884</v>
      </c>
      <c r="R1894" s="8">
        <f t="shared" si="238"/>
        <v>557.70000000000005</v>
      </c>
      <c r="W1894" s="4"/>
    </row>
    <row r="1895" spans="6:23" ht="24" customHeight="1">
      <c r="F1895" s="8">
        <v>1</v>
      </c>
      <c r="G1895" s="7" t="s">
        <v>842</v>
      </c>
      <c r="H1895" s="1" t="s">
        <v>3670</v>
      </c>
      <c r="I1895" s="8">
        <f>C521</f>
        <v>82</v>
      </c>
      <c r="J1895" s="1" t="s">
        <v>842</v>
      </c>
      <c r="K1895" s="8">
        <f>(F1895*I1895)</f>
        <v>82</v>
      </c>
      <c r="N1895" s="7" t="s">
        <v>455</v>
      </c>
      <c r="O1895" s="1" t="s">
        <v>1405</v>
      </c>
      <c r="P1895" s="8">
        <f t="shared" si="237"/>
        <v>5.26</v>
      </c>
      <c r="Q1895" s="1" t="s">
        <v>455</v>
      </c>
      <c r="R1895" s="8">
        <v>5</v>
      </c>
      <c r="W1895" s="4"/>
    </row>
    <row r="1896" spans="6:23" ht="24" customHeight="1">
      <c r="F1896" s="8">
        <v>1</v>
      </c>
      <c r="G1896" s="7" t="s">
        <v>455</v>
      </c>
      <c r="H1896" s="1" t="s">
        <v>1703</v>
      </c>
      <c r="I1896" s="8">
        <f>I1895*0.2</f>
        <v>16.399999999999999</v>
      </c>
      <c r="J1896" s="1" t="s">
        <v>455</v>
      </c>
      <c r="K1896" s="8">
        <f>(F1896*I1896)</f>
        <v>16.399999999999999</v>
      </c>
      <c r="N1896" s="3"/>
      <c r="O1896" s="1" t="s">
        <v>948</v>
      </c>
      <c r="P1896" s="8" t="str">
        <f t="shared" si="237"/>
        <v/>
      </c>
      <c r="Q1896" s="10"/>
      <c r="R1896" s="1" t="s">
        <v>992</v>
      </c>
      <c r="W1896" s="4"/>
    </row>
    <row r="1897" spans="6:23" ht="24" customHeight="1">
      <c r="F1897" s="8">
        <v>1</v>
      </c>
      <c r="G1897" s="7" t="s">
        <v>842</v>
      </c>
      <c r="H1897" s="1" t="s">
        <v>163</v>
      </c>
      <c r="I1897" s="8">
        <f>I1888</f>
        <v>199.06</v>
      </c>
      <c r="J1897" s="1" t="s">
        <v>842</v>
      </c>
      <c r="K1897" s="8">
        <f>(F1897*I1897)</f>
        <v>199.06</v>
      </c>
      <c r="N1897" s="7" t="s">
        <v>455</v>
      </c>
      <c r="O1897" s="1" t="s">
        <v>456</v>
      </c>
      <c r="P1897" s="8" t="str">
        <f>I1881</f>
        <v/>
      </c>
      <c r="Q1897" s="1" t="s">
        <v>455</v>
      </c>
      <c r="R1897" s="8">
        <v>0</v>
      </c>
      <c r="W1897" s="4"/>
    </row>
    <row r="1898" spans="6:23" ht="24" customHeight="1">
      <c r="I1898" s="1" t="s">
        <v>992</v>
      </c>
      <c r="K1898" s="5" t="s">
        <v>1615</v>
      </c>
      <c r="N1898" s="3"/>
      <c r="Q1898" s="10"/>
      <c r="R1898" s="5" t="s">
        <v>1615</v>
      </c>
      <c r="W1898" s="4"/>
    </row>
    <row r="1899" spans="6:23" ht="24" customHeight="1">
      <c r="H1899" s="1" t="s">
        <v>382</v>
      </c>
      <c r="K1899" s="38">
        <f>SUM(K1895:K1897)</f>
        <v>297.45999999999998</v>
      </c>
      <c r="N1899" s="3"/>
      <c r="O1899" s="1" t="s">
        <v>1884</v>
      </c>
      <c r="Q1899" s="10"/>
      <c r="R1899" s="8">
        <f>SUM(R1887:R1897)</f>
        <v>6303.4</v>
      </c>
      <c r="W1899" s="4"/>
    </row>
    <row r="1900" spans="6:23" ht="24" customHeight="1">
      <c r="I1900" s="1" t="s">
        <v>992</v>
      </c>
      <c r="K1900" s="5" t="s">
        <v>2091</v>
      </c>
      <c r="N1900" s="3"/>
      <c r="Q1900" s="10"/>
      <c r="R1900" s="5" t="s">
        <v>1615</v>
      </c>
      <c r="W1900" s="4"/>
    </row>
    <row r="1901" spans="6:23" ht="24" customHeight="1">
      <c r="I1901" s="1"/>
      <c r="K1901" s="5"/>
      <c r="N1901" s="3"/>
      <c r="O1901" s="1" t="s">
        <v>1573</v>
      </c>
      <c r="Q1901" s="10"/>
      <c r="R1901" s="8">
        <f>(R1899/30)</f>
        <v>210.11</v>
      </c>
      <c r="W1901" s="4"/>
    </row>
    <row r="1902" spans="6:23" ht="39" customHeight="1">
      <c r="F1902" s="28">
        <v>52.1</v>
      </c>
      <c r="H1902" s="27" t="s">
        <v>2240</v>
      </c>
      <c r="I1902" s="1"/>
      <c r="K1902" s="5"/>
      <c r="N1902" s="3"/>
      <c r="Q1902" s="10"/>
      <c r="R1902" s="5" t="s">
        <v>1615</v>
      </c>
      <c r="W1902" s="4"/>
    </row>
    <row r="1903" spans="6:23" ht="24" customHeight="1">
      <c r="I1903" s="1"/>
      <c r="K1903" s="5"/>
      <c r="W1903" s="4"/>
    </row>
    <row r="1904" spans="6:23" ht="24" customHeight="1">
      <c r="F1904" s="2"/>
      <c r="G1904" s="7"/>
      <c r="H1904" s="1" t="s">
        <v>2083</v>
      </c>
      <c r="I1904" s="1"/>
      <c r="K1904" s="5"/>
      <c r="W1904" s="4"/>
    </row>
    <row r="1905" spans="6:23" ht="24" customHeight="1">
      <c r="G1905" s="7"/>
      <c r="H1905" s="1" t="s">
        <v>2241</v>
      </c>
      <c r="I1905" s="1"/>
      <c r="K1905" s="5"/>
      <c r="W1905" s="4"/>
    </row>
    <row r="1906" spans="6:23" ht="24" customHeight="1">
      <c r="H1906" s="5" t="s">
        <v>1615</v>
      </c>
      <c r="I1906" s="1"/>
      <c r="K1906" s="5"/>
      <c r="N1906" s="7" t="s">
        <v>1942</v>
      </c>
      <c r="O1906" s="1" t="s">
        <v>3669</v>
      </c>
      <c r="Q1906" s="10"/>
      <c r="W1906" s="4"/>
    </row>
    <row r="1907" spans="6:23" ht="24" customHeight="1">
      <c r="F1907" s="8">
        <v>30</v>
      </c>
      <c r="G1907" s="7" t="s">
        <v>1805</v>
      </c>
      <c r="H1907" s="1" t="s">
        <v>149</v>
      </c>
      <c r="I1907" s="6">
        <f>E661</f>
        <v>19.03</v>
      </c>
      <c r="J1907" s="1" t="s">
        <v>1805</v>
      </c>
      <c r="K1907" s="8">
        <f>(F1907*I1907)</f>
        <v>570.9</v>
      </c>
      <c r="N1907" s="3"/>
      <c r="O1907" s="5" t="s">
        <v>1615</v>
      </c>
      <c r="Q1907" s="10"/>
      <c r="W1907" s="4"/>
    </row>
    <row r="1908" spans="6:23" ht="24" customHeight="1">
      <c r="F1908" s="8">
        <v>8</v>
      </c>
      <c r="G1908" s="7" t="s">
        <v>884</v>
      </c>
      <c r="H1908" s="1" t="s">
        <v>2182</v>
      </c>
      <c r="I1908" s="6">
        <f>C663</f>
        <v>9.7899999999999991</v>
      </c>
      <c r="J1908" s="1" t="s">
        <v>884</v>
      </c>
      <c r="K1908" s="8">
        <f t="shared" ref="K1908:K1913" si="239">(F1908*I1908)</f>
        <v>78.319999999999993</v>
      </c>
      <c r="M1908" s="8">
        <v>1</v>
      </c>
      <c r="N1908" s="7" t="s">
        <v>842</v>
      </c>
      <c r="O1908" s="1" t="s">
        <v>3671</v>
      </c>
      <c r="P1908" s="419">
        <v>101.4</v>
      </c>
      <c r="Q1908" s="1" t="s">
        <v>842</v>
      </c>
      <c r="R1908" s="8">
        <f>(M1908*P1908)</f>
        <v>101.4</v>
      </c>
      <c r="W1908" s="4"/>
    </row>
    <row r="1909" spans="6:23" ht="24" customHeight="1">
      <c r="F1909" s="8">
        <v>8</v>
      </c>
      <c r="G1909" s="7" t="s">
        <v>884</v>
      </c>
      <c r="H1909" s="1" t="s">
        <v>473</v>
      </c>
      <c r="I1909" s="6">
        <f>D672</f>
        <v>14.14</v>
      </c>
      <c r="J1909" s="1" t="s">
        <v>884</v>
      </c>
      <c r="K1909" s="8">
        <f t="shared" si="239"/>
        <v>113.12</v>
      </c>
      <c r="M1909" s="8">
        <v>1</v>
      </c>
      <c r="N1909" s="7" t="s">
        <v>455</v>
      </c>
      <c r="O1909" s="1" t="s">
        <v>1703</v>
      </c>
      <c r="P1909" s="8">
        <f>P1908*0.2</f>
        <v>20.28</v>
      </c>
      <c r="Q1909" s="1" t="s">
        <v>455</v>
      </c>
      <c r="R1909" s="8">
        <f>(M1909*P1909)</f>
        <v>20.28</v>
      </c>
      <c r="W1909" s="4"/>
    </row>
    <row r="1910" spans="6:23" ht="24" customHeight="1">
      <c r="F1910" s="8">
        <v>3</v>
      </c>
      <c r="G1910" s="7" t="s">
        <v>884</v>
      </c>
      <c r="H1910" s="1" t="s">
        <v>1879</v>
      </c>
      <c r="I1910" s="6">
        <f>C41</f>
        <v>770</v>
      </c>
      <c r="J1910" s="1" t="s">
        <v>884</v>
      </c>
      <c r="K1910" s="8">
        <f t="shared" si="239"/>
        <v>2310</v>
      </c>
      <c r="M1910" s="8">
        <v>1</v>
      </c>
      <c r="N1910" s="7" t="s">
        <v>842</v>
      </c>
      <c r="O1910" s="1" t="s">
        <v>163</v>
      </c>
      <c r="P1910" s="8">
        <f>R1901</f>
        <v>210.11</v>
      </c>
      <c r="Q1910" s="1" t="s">
        <v>842</v>
      </c>
      <c r="R1910" s="8">
        <f>(M1910*P1910)</f>
        <v>210.11</v>
      </c>
      <c r="W1910" s="4"/>
    </row>
    <row r="1911" spans="6:23" ht="24" customHeight="1">
      <c r="F1911" s="8">
        <v>1</v>
      </c>
      <c r="G1911" s="7" t="s">
        <v>884</v>
      </c>
      <c r="H1911" s="1" t="s">
        <v>1404</v>
      </c>
      <c r="I1911" s="6">
        <f>C10</f>
        <v>1041.7</v>
      </c>
      <c r="J1911" s="1" t="s">
        <v>884</v>
      </c>
      <c r="K1911" s="8">
        <f t="shared" si="239"/>
        <v>1041.7</v>
      </c>
      <c r="N1911" s="3"/>
      <c r="P1911" s="1" t="s">
        <v>992</v>
      </c>
      <c r="Q1911" s="10"/>
      <c r="R1911" s="5" t="s">
        <v>1615</v>
      </c>
      <c r="W1911" s="4"/>
    </row>
    <row r="1912" spans="6:23" ht="24" customHeight="1">
      <c r="F1912" s="8">
        <v>2</v>
      </c>
      <c r="G1912" s="7" t="s">
        <v>884</v>
      </c>
      <c r="H1912" s="1" t="s">
        <v>1937</v>
      </c>
      <c r="I1912" s="6">
        <f>C12</f>
        <v>679.8</v>
      </c>
      <c r="J1912" s="1" t="s">
        <v>884</v>
      </c>
      <c r="K1912" s="8">
        <f t="shared" si="239"/>
        <v>1359.6</v>
      </c>
      <c r="N1912" s="3"/>
      <c r="O1912" s="1" t="s">
        <v>382</v>
      </c>
      <c r="Q1912" s="10"/>
      <c r="R1912" s="38">
        <f>SUM(R1908:R1910)</f>
        <v>331.79</v>
      </c>
      <c r="W1912" s="4"/>
    </row>
    <row r="1913" spans="6:23" ht="24" customHeight="1">
      <c r="F1913" s="8">
        <v>1</v>
      </c>
      <c r="G1913" s="7" t="s">
        <v>884</v>
      </c>
      <c r="H1913" s="1" t="s">
        <v>325</v>
      </c>
      <c r="I1913" s="6">
        <f>C13</f>
        <v>557.70000000000005</v>
      </c>
      <c r="J1913" s="1" t="s">
        <v>884</v>
      </c>
      <c r="K1913" s="8">
        <f t="shared" si="239"/>
        <v>557.70000000000005</v>
      </c>
      <c r="N1913" s="3"/>
      <c r="P1913" s="1" t="s">
        <v>992</v>
      </c>
      <c r="Q1913" s="10"/>
      <c r="R1913" s="5" t="s">
        <v>2091</v>
      </c>
      <c r="W1913" s="4"/>
    </row>
    <row r="1914" spans="6:23" ht="24" customHeight="1">
      <c r="K1914" s="5" t="s">
        <v>1615</v>
      </c>
      <c r="W1914" s="4"/>
    </row>
    <row r="1915" spans="6:23" ht="24" customHeight="1">
      <c r="H1915" s="1" t="s">
        <v>1884</v>
      </c>
      <c r="K1915" s="8">
        <f>SUM(K1907:K1913)</f>
        <v>6031.34</v>
      </c>
      <c r="W1915" s="4"/>
    </row>
    <row r="1916" spans="6:23" ht="24" customHeight="1">
      <c r="K1916" s="5" t="s">
        <v>1615</v>
      </c>
      <c r="W1916" s="4"/>
    </row>
    <row r="1917" spans="6:23" ht="24" customHeight="1">
      <c r="H1917" s="1" t="s">
        <v>1573</v>
      </c>
      <c r="K1917" s="8">
        <f>(K1915/30)</f>
        <v>201.04</v>
      </c>
      <c r="W1917" s="4"/>
    </row>
    <row r="1918" spans="6:23" ht="24" customHeight="1">
      <c r="K1918" s="5" t="s">
        <v>1615</v>
      </c>
      <c r="W1918" s="4"/>
    </row>
    <row r="1919" spans="6:23" ht="24" customHeight="1">
      <c r="I1919" s="1"/>
      <c r="K1919" s="5"/>
      <c r="W1919" s="4"/>
    </row>
    <row r="1920" spans="6:23" ht="24" customHeight="1">
      <c r="H1920" t="s">
        <v>342</v>
      </c>
      <c r="I1920" s="1"/>
      <c r="K1920" s="5"/>
      <c r="W1920" s="4"/>
    </row>
    <row r="1921" spans="6:23" ht="24" customHeight="1">
      <c r="H1921" s="5" t="s">
        <v>1615</v>
      </c>
      <c r="I1921" s="1"/>
      <c r="K1921" s="5"/>
      <c r="W1921" s="4"/>
    </row>
    <row r="1922" spans="6:23" ht="24" customHeight="1">
      <c r="F1922" s="8">
        <v>1</v>
      </c>
      <c r="G1922" s="7" t="s">
        <v>842</v>
      </c>
      <c r="H1922" s="1" t="s">
        <v>343</v>
      </c>
      <c r="I1922" s="6">
        <f>E698</f>
        <v>98.6</v>
      </c>
      <c r="J1922" s="1" t="s">
        <v>842</v>
      </c>
      <c r="K1922" s="8">
        <f>(F1922*I1922)</f>
        <v>98.6</v>
      </c>
      <c r="W1922" s="4"/>
    </row>
    <row r="1923" spans="6:23" ht="24" customHeight="1">
      <c r="F1923" s="8">
        <v>1</v>
      </c>
      <c r="G1923" s="7" t="s">
        <v>455</v>
      </c>
      <c r="H1923" s="1" t="s">
        <v>344</v>
      </c>
      <c r="I1923" s="6">
        <f>I1922*0.2</f>
        <v>19.72</v>
      </c>
      <c r="J1923" s="1" t="s">
        <v>455</v>
      </c>
      <c r="K1923" s="8">
        <f>(F1923*I1923)</f>
        <v>19.72</v>
      </c>
      <c r="W1923" s="4"/>
    </row>
    <row r="1924" spans="6:23" ht="24" customHeight="1">
      <c r="F1924" s="8">
        <v>1</v>
      </c>
      <c r="G1924" s="7" t="s">
        <v>842</v>
      </c>
      <c r="H1924" s="1" t="s">
        <v>163</v>
      </c>
      <c r="I1924" s="6">
        <f>K1917</f>
        <v>201.04</v>
      </c>
      <c r="J1924" s="1" t="s">
        <v>842</v>
      </c>
      <c r="K1924" s="8">
        <f>(F1924*I1924)</f>
        <v>201.04</v>
      </c>
      <c r="W1924" s="4"/>
    </row>
    <row r="1925" spans="6:23" ht="24" customHeight="1">
      <c r="F1925" s="8"/>
      <c r="G1925" s="7"/>
      <c r="H1925" s="22" t="s">
        <v>1097</v>
      </c>
      <c r="I1925" s="6"/>
      <c r="J1925" s="1" t="s">
        <v>455</v>
      </c>
      <c r="K1925" s="8">
        <f>1.25+0.47</f>
        <v>1.72</v>
      </c>
      <c r="W1925" s="4"/>
    </row>
    <row r="1926" spans="6:23" ht="24" customHeight="1">
      <c r="I1926" s="1"/>
      <c r="K1926" s="5" t="s">
        <v>1615</v>
      </c>
      <c r="W1926" s="4"/>
    </row>
    <row r="1927" spans="6:23" ht="24" customHeight="1">
      <c r="H1927" s="1" t="s">
        <v>382</v>
      </c>
      <c r="I1927" s="1"/>
      <c r="K1927" s="38">
        <f>SUM(K1922:K1925)</f>
        <v>321.08</v>
      </c>
      <c r="W1927" s="4"/>
    </row>
    <row r="1928" spans="6:23" ht="24" customHeight="1">
      <c r="I1928" s="1"/>
      <c r="K1928" s="5" t="s">
        <v>2091</v>
      </c>
      <c r="W1928" s="4"/>
    </row>
    <row r="1929" spans="6:23" ht="24" customHeight="1">
      <c r="I1929" s="1"/>
      <c r="K1929" s="5"/>
      <c r="W1929" s="4"/>
    </row>
    <row r="1930" spans="6:23" ht="24" customHeight="1">
      <c r="I1930" s="1"/>
      <c r="K1930" s="5"/>
      <c r="W1930" s="4"/>
    </row>
    <row r="1931" spans="6:23" ht="24" customHeight="1">
      <c r="F1931" s="24">
        <v>53.1</v>
      </c>
      <c r="G1931" s="7" t="s">
        <v>2290</v>
      </c>
      <c r="H1931" s="1" t="s">
        <v>2258</v>
      </c>
      <c r="W1931" s="4"/>
    </row>
    <row r="1932" spans="6:23" ht="24" customHeight="1">
      <c r="H1932" s="33" t="s">
        <v>1474</v>
      </c>
      <c r="W1932" s="4"/>
    </row>
    <row r="1933" spans="6:23" ht="24" customHeight="1">
      <c r="H1933" s="1" t="s">
        <v>1164</v>
      </c>
      <c r="W1933" s="4"/>
    </row>
    <row r="1934" spans="6:23" ht="24" customHeight="1">
      <c r="H1934" s="1" t="s">
        <v>1165</v>
      </c>
      <c r="W1934" s="4"/>
    </row>
    <row r="1935" spans="6:23" ht="24" customHeight="1">
      <c r="H1935" s="5" t="s">
        <v>1615</v>
      </c>
      <c r="W1935" s="4"/>
    </row>
    <row r="1936" spans="6:23" ht="85.5" customHeight="1">
      <c r="F1936" s="21">
        <v>1</v>
      </c>
      <c r="G1936" s="21" t="s">
        <v>884</v>
      </c>
      <c r="H1936" s="159" t="s">
        <v>1608</v>
      </c>
      <c r="I1936" s="716">
        <v>1672</v>
      </c>
      <c r="J1936" s="97" t="s">
        <v>884</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60">
        <v>1</v>
      </c>
      <c r="G1939" s="160" t="s">
        <v>884</v>
      </c>
      <c r="H1939" s="1" t="s">
        <v>5701</v>
      </c>
      <c r="I1939" s="877">
        <v>-169</v>
      </c>
      <c r="J1939" s="61" t="s">
        <v>884</v>
      </c>
      <c r="K1939" s="160">
        <f>(F1939*I1939)</f>
        <v>-169</v>
      </c>
      <c r="W1939" s="4"/>
    </row>
    <row r="1940" spans="6:23" ht="24" customHeight="1">
      <c r="F1940" s="63"/>
      <c r="G1940" s="64"/>
      <c r="H1940" s="61"/>
      <c r="I1940" s="63"/>
      <c r="J1940" s="60"/>
      <c r="K1940" s="63"/>
      <c r="W1940" s="4"/>
    </row>
    <row r="1941" spans="6:23" ht="24" customHeight="1">
      <c r="F1941" s="63">
        <v>1</v>
      </c>
      <c r="G1941" s="64" t="s">
        <v>884</v>
      </c>
      <c r="H1941" s="61" t="s">
        <v>2171</v>
      </c>
      <c r="I1941" s="719">
        <v>250</v>
      </c>
      <c r="J1941" s="61" t="s">
        <v>884</v>
      </c>
      <c r="K1941" s="491">
        <f>(F1941*I1941)</f>
        <v>250</v>
      </c>
      <c r="W1941" s="4"/>
    </row>
    <row r="1942" spans="6:23" ht="24" customHeight="1">
      <c r="F1942" s="8"/>
      <c r="G1942" s="7"/>
      <c r="H1942" s="1"/>
      <c r="I1942" s="8"/>
      <c r="J1942" s="1"/>
      <c r="K1942" s="8"/>
      <c r="W1942" s="4"/>
    </row>
    <row r="1943" spans="6:23" ht="24" customHeight="1">
      <c r="F1943" s="8">
        <v>0.5</v>
      </c>
      <c r="G1943" s="7" t="s">
        <v>884</v>
      </c>
      <c r="H1943" s="1" t="s">
        <v>2140</v>
      </c>
      <c r="I1943" s="8">
        <f>(C15)</f>
        <v>903.1</v>
      </c>
      <c r="J1943" s="1" t="s">
        <v>884</v>
      </c>
      <c r="K1943" s="8">
        <f>(F1943*I1943)</f>
        <v>451.55</v>
      </c>
      <c r="N1943">
        <f>7635</f>
        <v>7635</v>
      </c>
      <c r="W1943" s="4"/>
    </row>
    <row r="1944" spans="6:23" ht="24" customHeight="1">
      <c r="F1944" s="8">
        <v>1</v>
      </c>
      <c r="G1944" s="7" t="s">
        <v>884</v>
      </c>
      <c r="H1944" s="1" t="s">
        <v>1937</v>
      </c>
      <c r="I1944" s="8">
        <f>(C12)</f>
        <v>679.8</v>
      </c>
      <c r="J1944" s="1" t="s">
        <v>884</v>
      </c>
      <c r="K1944" s="8">
        <f>(F1944*I1944)</f>
        <v>679.8</v>
      </c>
      <c r="N1944">
        <f>N1943*4%</f>
        <v>305.39999999999998</v>
      </c>
      <c r="W1944" s="4"/>
    </row>
    <row r="1945" spans="6:23" ht="24" customHeight="1">
      <c r="F1945" s="8">
        <v>0.5</v>
      </c>
      <c r="G1945" s="7" t="s">
        <v>884</v>
      </c>
      <c r="H1945" s="1" t="s">
        <v>2045</v>
      </c>
      <c r="I1945" s="8">
        <f>(C10)</f>
        <v>1041.7</v>
      </c>
      <c r="J1945" s="1" t="s">
        <v>884</v>
      </c>
      <c r="K1945" s="8">
        <f>(F1945*I1945)</f>
        <v>520.85</v>
      </c>
      <c r="N1945">
        <f>SUM(N1943:N1944)</f>
        <v>7940.4</v>
      </c>
      <c r="W1945" s="4"/>
    </row>
    <row r="1946" spans="6:23" ht="24" customHeight="1">
      <c r="G1946" s="7" t="s">
        <v>455</v>
      </c>
      <c r="H1946" s="1" t="s">
        <v>1166</v>
      </c>
      <c r="J1946" s="1" t="s">
        <v>455</v>
      </c>
      <c r="K1946" s="8">
        <v>0.82</v>
      </c>
      <c r="W1946" s="4"/>
    </row>
    <row r="1947" spans="6:23" ht="24" customHeight="1">
      <c r="K1947" s="5" t="s">
        <v>1615</v>
      </c>
      <c r="W1947" s="4"/>
    </row>
    <row r="1948" spans="6:23" ht="24" customHeight="1">
      <c r="H1948" s="1" t="s">
        <v>1785</v>
      </c>
      <c r="K1948" s="8">
        <f>SUM(K1936:K1946)</f>
        <v>3406.02</v>
      </c>
      <c r="W1948" s="4"/>
    </row>
    <row r="1949" spans="6:23" ht="24" customHeight="1">
      <c r="K1949" s="5" t="s">
        <v>1615</v>
      </c>
      <c r="W1949" s="4"/>
    </row>
    <row r="1950" spans="6:23" ht="24" customHeight="1">
      <c r="F1950" s="2" t="s">
        <v>1427</v>
      </c>
      <c r="H1950" s="1" t="s">
        <v>1428</v>
      </c>
      <c r="J1950" s="1" t="s">
        <v>1423</v>
      </c>
      <c r="K1950" s="492">
        <v>967.5</v>
      </c>
      <c r="V1950" s="1" t="s">
        <v>1477</v>
      </c>
      <c r="W1950" s="4"/>
    </row>
    <row r="1951" spans="6:23" ht="24" customHeight="1">
      <c r="H1951" s="1" t="s">
        <v>5702</v>
      </c>
      <c r="J1951" s="1" t="s">
        <v>1423</v>
      </c>
      <c r="K1951" s="557">
        <v>1864</v>
      </c>
      <c r="W1951" s="4"/>
    </row>
    <row r="1952" spans="6:23" ht="24" customHeight="1">
      <c r="F1952" s="2" t="s">
        <v>1429</v>
      </c>
      <c r="H1952" s="1" t="s">
        <v>1028</v>
      </c>
      <c r="J1952" s="1" t="s">
        <v>1423</v>
      </c>
      <c r="K1952" s="492">
        <v>30</v>
      </c>
      <c r="W1952" s="4"/>
    </row>
    <row r="1953" spans="6:23" ht="24" customHeight="1">
      <c r="F1953" s="2"/>
      <c r="H1953" s="1"/>
      <c r="K1953" s="1"/>
      <c r="W1953" s="4"/>
    </row>
    <row r="1954" spans="6:23" ht="24" customHeight="1">
      <c r="F1954" s="11">
        <v>54</v>
      </c>
      <c r="G1954" s="7" t="s">
        <v>2290</v>
      </c>
      <c r="H1954" s="1" t="s">
        <v>5142</v>
      </c>
      <c r="J1954" s="1" t="s">
        <v>1423</v>
      </c>
      <c r="K1954" s="555">
        <v>206</v>
      </c>
      <c r="W1954" s="4"/>
    </row>
    <row r="1955" spans="6:23" ht="24" customHeight="1">
      <c r="K1955" s="5" t="s">
        <v>2091</v>
      </c>
      <c r="W1955" s="4"/>
    </row>
    <row r="1956" spans="6:23" ht="24" customHeight="1">
      <c r="W1956" s="4"/>
    </row>
    <row r="1957" spans="6:23" ht="24" customHeight="1">
      <c r="F1957" s="24">
        <v>54.1</v>
      </c>
      <c r="G1957" s="7" t="s">
        <v>2290</v>
      </c>
      <c r="H1957" s="1" t="s">
        <v>1318</v>
      </c>
      <c r="J1957" s="1" t="s">
        <v>1423</v>
      </c>
      <c r="K1957" s="484">
        <v>300</v>
      </c>
      <c r="W1957" s="4"/>
    </row>
    <row r="1958" spans="6:23" ht="24" customHeight="1">
      <c r="K1958" s="5" t="s">
        <v>2091</v>
      </c>
      <c r="W1958" s="4"/>
    </row>
    <row r="1959" spans="6:23" ht="24" customHeight="1">
      <c r="W1959" s="4"/>
    </row>
    <row r="1960" spans="6:23" ht="24" customHeight="1">
      <c r="F1960" s="24">
        <v>54.2</v>
      </c>
      <c r="G1960" s="7" t="s">
        <v>2290</v>
      </c>
      <c r="H1960" s="1" t="s">
        <v>954</v>
      </c>
      <c r="J1960" s="1" t="s">
        <v>1423</v>
      </c>
      <c r="K1960" s="484">
        <v>250</v>
      </c>
      <c r="W1960" s="4"/>
    </row>
    <row r="1961" spans="6:23" ht="24" customHeight="1">
      <c r="K1961" s="5" t="s">
        <v>2091</v>
      </c>
      <c r="W1961" s="4"/>
    </row>
    <row r="1962" spans="6:23" ht="24" customHeight="1">
      <c r="W1962" s="4"/>
    </row>
    <row r="1963" spans="6:23" ht="24" customHeight="1">
      <c r="F1963" s="2" t="s">
        <v>1162</v>
      </c>
      <c r="G1963" s="7" t="s">
        <v>2290</v>
      </c>
      <c r="H1963" s="1" t="s">
        <v>83</v>
      </c>
      <c r="M1963" s="2" t="s">
        <v>1162</v>
      </c>
      <c r="N1963" s="7" t="s">
        <v>2290</v>
      </c>
      <c r="O1963" s="1" t="s">
        <v>83</v>
      </c>
      <c r="Q1963" s="10"/>
      <c r="W1963" s="4"/>
    </row>
    <row r="1964" spans="6:23" ht="24" customHeight="1">
      <c r="H1964" s="1" t="s">
        <v>1123</v>
      </c>
      <c r="N1964" s="3"/>
      <c r="O1964" s="1" t="s">
        <v>1123</v>
      </c>
      <c r="Q1964" s="10"/>
      <c r="W1964" s="4"/>
    </row>
    <row r="1965" spans="6:23" ht="24" customHeight="1">
      <c r="H1965" s="1" t="s">
        <v>1124</v>
      </c>
      <c r="N1965" s="3"/>
      <c r="O1965" s="1" t="s">
        <v>1124</v>
      </c>
      <c r="Q1965" s="10"/>
      <c r="W1965" s="4"/>
    </row>
    <row r="1966" spans="6:23" ht="24" customHeight="1">
      <c r="H1966" s="1" t="s">
        <v>1125</v>
      </c>
      <c r="N1966" s="3"/>
      <c r="O1966" s="1" t="s">
        <v>1125</v>
      </c>
      <c r="Q1966" s="10"/>
      <c r="W1966" s="4"/>
    </row>
    <row r="1967" spans="6:23" ht="24" customHeight="1">
      <c r="H1967" s="5" t="s">
        <v>1615</v>
      </c>
      <c r="N1967" s="3"/>
      <c r="O1967" s="5" t="s">
        <v>1615</v>
      </c>
      <c r="Q1967" s="10"/>
      <c r="W1967" s="4"/>
    </row>
    <row r="1968" spans="6:23" ht="24" customHeight="1">
      <c r="F1968" s="8">
        <v>1</v>
      </c>
      <c r="G1968" s="7" t="s">
        <v>884</v>
      </c>
      <c r="H1968" s="1" t="s">
        <v>725</v>
      </c>
      <c r="I1968" s="8">
        <f>(C201)</f>
        <v>1201</v>
      </c>
      <c r="J1968" s="1" t="s">
        <v>884</v>
      </c>
      <c r="K1968" s="8">
        <f t="shared" ref="K1968:K1974" si="240">(F1968*I1968)</f>
        <v>1201</v>
      </c>
      <c r="M1968" s="8">
        <v>1</v>
      </c>
      <c r="N1968" s="7" t="s">
        <v>884</v>
      </c>
      <c r="O1968" s="1" t="s">
        <v>725</v>
      </c>
      <c r="P1968" s="8">
        <f>I1968</f>
        <v>1201</v>
      </c>
      <c r="Q1968" s="1" t="s">
        <v>884</v>
      </c>
      <c r="R1968" s="8">
        <f t="shared" ref="R1968:R1974" si="241">(M1968*P1968)</f>
        <v>1201</v>
      </c>
      <c r="W1968" s="4"/>
    </row>
    <row r="1969" spans="6:23" ht="24" customHeight="1">
      <c r="F1969" s="8">
        <v>0.65</v>
      </c>
      <c r="G1969" s="7" t="s">
        <v>885</v>
      </c>
      <c r="H1969" s="1" t="s">
        <v>253</v>
      </c>
      <c r="I1969" s="8">
        <f>(C61*2)</f>
        <v>233.76</v>
      </c>
      <c r="J1969" s="1" t="s">
        <v>885</v>
      </c>
      <c r="K1969" s="8">
        <f t="shared" si="240"/>
        <v>151.94</v>
      </c>
      <c r="M1969" s="8">
        <v>0.65</v>
      </c>
      <c r="N1969" s="7" t="s">
        <v>885</v>
      </c>
      <c r="O1969" s="1" t="s">
        <v>253</v>
      </c>
      <c r="P1969" s="8">
        <f t="shared" ref="P1969:P1975" si="242">I1969</f>
        <v>233.76</v>
      </c>
      <c r="Q1969" s="1" t="s">
        <v>885</v>
      </c>
      <c r="R1969" s="8">
        <f t="shared" si="241"/>
        <v>151.94</v>
      </c>
      <c r="W1969" s="4"/>
    </row>
    <row r="1970" spans="6:23" ht="24" customHeight="1">
      <c r="F1970" s="8">
        <v>0.56999999999999995</v>
      </c>
      <c r="G1970" s="7" t="s">
        <v>885</v>
      </c>
      <c r="H1970" s="1" t="s">
        <v>254</v>
      </c>
      <c r="I1970" s="8">
        <f>(C26)</f>
        <v>40.65</v>
      </c>
      <c r="J1970" s="1" t="s">
        <v>885</v>
      </c>
      <c r="K1970" s="8">
        <f t="shared" si="240"/>
        <v>23.17</v>
      </c>
      <c r="M1970" s="8">
        <v>0.56999999999999995</v>
      </c>
      <c r="N1970" s="7" t="s">
        <v>885</v>
      </c>
      <c r="O1970" s="1" t="s">
        <v>254</v>
      </c>
      <c r="P1970" s="8">
        <f t="shared" si="242"/>
        <v>40.65</v>
      </c>
      <c r="Q1970" s="1" t="s">
        <v>885</v>
      </c>
      <c r="R1970" s="8">
        <f t="shared" si="241"/>
        <v>23.17</v>
      </c>
      <c r="W1970" s="4"/>
    </row>
    <row r="1971" spans="6:23" ht="24" customHeight="1">
      <c r="F1971" s="12">
        <v>8.1000000000000003E-2</v>
      </c>
      <c r="G1971" s="7" t="s">
        <v>885</v>
      </c>
      <c r="H1971" s="1" t="s">
        <v>255</v>
      </c>
      <c r="I1971" s="8">
        <f>(R60)</f>
        <v>4208.49</v>
      </c>
      <c r="J1971" s="1" t="s">
        <v>885</v>
      </c>
      <c r="K1971" s="8">
        <f t="shared" si="240"/>
        <v>340.89</v>
      </c>
      <c r="M1971" s="12">
        <v>8.1000000000000003E-2</v>
      </c>
      <c r="N1971" s="7" t="s">
        <v>885</v>
      </c>
      <c r="O1971" s="1" t="s">
        <v>255</v>
      </c>
      <c r="P1971" s="8">
        <f t="shared" si="242"/>
        <v>4208.49</v>
      </c>
      <c r="Q1971" s="1" t="s">
        <v>885</v>
      </c>
      <c r="R1971" s="8">
        <f t="shared" si="241"/>
        <v>340.89</v>
      </c>
      <c r="W1971" s="4"/>
    </row>
    <row r="1972" spans="6:23" ht="24" customHeight="1">
      <c r="F1972" s="8">
        <v>1</v>
      </c>
      <c r="G1972" s="7" t="s">
        <v>884</v>
      </c>
      <c r="H1972" s="1" t="s">
        <v>2140</v>
      </c>
      <c r="I1972" s="8">
        <f>(C15)</f>
        <v>903.1</v>
      </c>
      <c r="J1972" s="1" t="s">
        <v>884</v>
      </c>
      <c r="K1972" s="8">
        <f t="shared" si="240"/>
        <v>903.1</v>
      </c>
      <c r="M1972" s="8">
        <v>1</v>
      </c>
      <c r="N1972" s="7" t="s">
        <v>884</v>
      </c>
      <c r="O1972" s="1" t="s">
        <v>2140</v>
      </c>
      <c r="P1972" s="8">
        <f t="shared" si="242"/>
        <v>903.1</v>
      </c>
      <c r="Q1972" s="1" t="s">
        <v>884</v>
      </c>
      <c r="R1972" s="8">
        <f t="shared" si="241"/>
        <v>903.1</v>
      </c>
      <c r="W1972" s="4"/>
    </row>
    <row r="1973" spans="6:23" ht="24" customHeight="1">
      <c r="F1973" s="8">
        <v>0.5</v>
      </c>
      <c r="G1973" s="7" t="s">
        <v>884</v>
      </c>
      <c r="H1973" s="1" t="s">
        <v>1744</v>
      </c>
      <c r="I1973" s="8">
        <f>(C11)</f>
        <v>972.4</v>
      </c>
      <c r="J1973" s="1" t="s">
        <v>884</v>
      </c>
      <c r="K1973" s="8">
        <f t="shared" si="240"/>
        <v>486.2</v>
      </c>
      <c r="M1973" s="8">
        <v>0.5</v>
      </c>
      <c r="N1973" s="7" t="s">
        <v>884</v>
      </c>
      <c r="O1973" s="1" t="s">
        <v>1744</v>
      </c>
      <c r="P1973" s="8">
        <f t="shared" si="242"/>
        <v>972.4</v>
      </c>
      <c r="Q1973" s="1" t="s">
        <v>884</v>
      </c>
      <c r="R1973" s="8">
        <f t="shared" si="241"/>
        <v>486.2</v>
      </c>
      <c r="W1973" s="4"/>
    </row>
    <row r="1974" spans="6:23" ht="24" customHeight="1">
      <c r="F1974" s="8">
        <v>0.5</v>
      </c>
      <c r="G1974" s="7" t="s">
        <v>884</v>
      </c>
      <c r="H1974" s="1" t="s">
        <v>1937</v>
      </c>
      <c r="I1974" s="8">
        <f>(C12)</f>
        <v>679.8</v>
      </c>
      <c r="J1974" s="1" t="s">
        <v>884</v>
      </c>
      <c r="K1974" s="8">
        <f t="shared" si="240"/>
        <v>339.9</v>
      </c>
      <c r="M1974" s="8">
        <v>0.5</v>
      </c>
      <c r="N1974" s="7" t="s">
        <v>884</v>
      </c>
      <c r="O1974" s="1" t="s">
        <v>1937</v>
      </c>
      <c r="P1974" s="8">
        <f t="shared" si="242"/>
        <v>679.8</v>
      </c>
      <c r="Q1974" s="1" t="s">
        <v>884</v>
      </c>
      <c r="R1974" s="8">
        <f t="shared" si="241"/>
        <v>339.9</v>
      </c>
      <c r="W1974" s="4"/>
    </row>
    <row r="1975" spans="6:23" ht="24" customHeight="1">
      <c r="G1975" s="7" t="s">
        <v>455</v>
      </c>
      <c r="H1975" s="1" t="s">
        <v>456</v>
      </c>
      <c r="I1975" s="1" t="s">
        <v>992</v>
      </c>
      <c r="J1975" s="1" t="s">
        <v>455</v>
      </c>
      <c r="K1975" s="8">
        <v>1.25</v>
      </c>
      <c r="N1975" s="7"/>
      <c r="O1975" s="33" t="s">
        <v>4414</v>
      </c>
      <c r="P1975" s="8" t="str">
        <f t="shared" si="242"/>
        <v/>
      </c>
      <c r="Q1975" s="1"/>
      <c r="R1975" s="794">
        <v>-164</v>
      </c>
      <c r="W1975" s="4"/>
    </row>
    <row r="1976" spans="6:23" ht="24" customHeight="1">
      <c r="K1976" s="5" t="s">
        <v>1615</v>
      </c>
      <c r="O1976" s="33" t="s">
        <v>4415</v>
      </c>
      <c r="P1976" s="8"/>
      <c r="Q1976" s="1"/>
      <c r="R1976" s="794">
        <v>134.1</v>
      </c>
      <c r="W1976" s="4"/>
    </row>
    <row r="1977" spans="6:23" ht="24" customHeight="1" thickBot="1">
      <c r="H1977" s="1" t="s">
        <v>1785</v>
      </c>
      <c r="K1977" s="8">
        <f>SUM(K1968:K1975)</f>
        <v>3447.45</v>
      </c>
      <c r="N1977" s="3" t="s">
        <v>669</v>
      </c>
      <c r="O1977" s="33" t="s">
        <v>2310</v>
      </c>
      <c r="Q1977" s="10"/>
      <c r="R1977" s="8">
        <v>0.39</v>
      </c>
      <c r="W1977" s="4"/>
    </row>
    <row r="1978" spans="6:23" ht="24" customHeight="1" thickTop="1">
      <c r="K1978" s="5" t="s">
        <v>2091</v>
      </c>
      <c r="N1978" s="3"/>
      <c r="O1978" s="1" t="s">
        <v>1785</v>
      </c>
      <c r="Q1978" s="10"/>
      <c r="R1978" s="539">
        <f>SUM(R1968:R1977)</f>
        <v>3416.69</v>
      </c>
      <c r="W1978" s="4"/>
    </row>
    <row r="1979" spans="6:23" ht="24" customHeight="1" thickBot="1">
      <c r="G1979" s="7" t="s">
        <v>992</v>
      </c>
      <c r="H1979" s="1" t="s">
        <v>992</v>
      </c>
      <c r="K1979" s="1" t="s">
        <v>992</v>
      </c>
      <c r="N1979" s="3"/>
      <c r="Q1979" s="10"/>
      <c r="R1979" s="540"/>
      <c r="W1979" s="4"/>
    </row>
    <row r="1980" spans="6:23" ht="24" customHeight="1" thickTop="1">
      <c r="J1980" s="1" t="s">
        <v>992</v>
      </c>
      <c r="K1980" s="1" t="s">
        <v>992</v>
      </c>
      <c r="W1980" s="4"/>
    </row>
    <row r="1981" spans="6:23" ht="24" customHeight="1">
      <c r="F1981" s="2" t="s">
        <v>256</v>
      </c>
      <c r="G1981" s="7" t="s">
        <v>2290</v>
      </c>
      <c r="H1981" s="1" t="s">
        <v>83</v>
      </c>
      <c r="M1981" s="2" t="s">
        <v>256</v>
      </c>
      <c r="N1981" s="7" t="s">
        <v>2290</v>
      </c>
      <c r="O1981" s="1" t="s">
        <v>83</v>
      </c>
      <c r="Q1981" s="10"/>
      <c r="W1981" s="4"/>
    </row>
    <row r="1982" spans="6:23" ht="24" customHeight="1">
      <c r="H1982" s="1" t="s">
        <v>1123</v>
      </c>
      <c r="N1982" s="3"/>
      <c r="O1982" s="1" t="s">
        <v>1123</v>
      </c>
      <c r="Q1982" s="10"/>
      <c r="W1982" s="4"/>
    </row>
    <row r="1983" spans="6:23" ht="24" customHeight="1">
      <c r="H1983" s="1" t="s">
        <v>1124</v>
      </c>
      <c r="N1983" s="3"/>
      <c r="O1983" s="1" t="s">
        <v>1124</v>
      </c>
      <c r="Q1983" s="10"/>
      <c r="W1983" s="4"/>
    </row>
    <row r="1984" spans="6:23" ht="24" customHeight="1">
      <c r="H1984" s="1" t="s">
        <v>257</v>
      </c>
      <c r="N1984" s="3"/>
      <c r="O1984" s="1" t="s">
        <v>257</v>
      </c>
      <c r="Q1984" s="10"/>
      <c r="W1984" s="4"/>
    </row>
    <row r="1985" spans="6:23" ht="24" customHeight="1">
      <c r="H1985" s="5" t="s">
        <v>1615</v>
      </c>
      <c r="N1985" s="3"/>
      <c r="O1985" s="5" t="s">
        <v>1615</v>
      </c>
      <c r="Q1985" s="10"/>
      <c r="W1985" s="4"/>
    </row>
    <row r="1986" spans="6:23" ht="24" customHeight="1">
      <c r="F1986" s="8">
        <v>1</v>
      </c>
      <c r="G1986" s="7" t="s">
        <v>884</v>
      </c>
      <c r="H1986" s="1" t="s">
        <v>725</v>
      </c>
      <c r="I1986" s="8">
        <f>(C201)</f>
        <v>1201</v>
      </c>
      <c r="J1986" s="1" t="s">
        <v>884</v>
      </c>
      <c r="K1986" s="8">
        <f>(F1986*I1986)</f>
        <v>1201</v>
      </c>
      <c r="M1986" s="8">
        <v>1</v>
      </c>
      <c r="N1986" s="7" t="s">
        <v>884</v>
      </c>
      <c r="O1986" s="1" t="s">
        <v>725</v>
      </c>
      <c r="P1986" s="8">
        <f>I1986</f>
        <v>1201</v>
      </c>
      <c r="Q1986" s="1" t="s">
        <v>884</v>
      </c>
      <c r="R1986" s="8">
        <f>(M1986*P1986)</f>
        <v>1201</v>
      </c>
      <c r="W1986" s="4"/>
    </row>
    <row r="1987" spans="6:23" ht="24" customHeight="1">
      <c r="F1987" s="12">
        <v>0.40500000000000003</v>
      </c>
      <c r="G1987" s="7" t="s">
        <v>885</v>
      </c>
      <c r="H1987" s="1" t="s">
        <v>2255</v>
      </c>
      <c r="I1987" s="8">
        <f>(K1330)</f>
        <v>3934.05</v>
      </c>
      <c r="J1987" s="1" t="s">
        <v>885</v>
      </c>
      <c r="K1987" s="8">
        <f>(F1987*I1987)</f>
        <v>1593.29</v>
      </c>
      <c r="M1987" s="12">
        <v>0.40500000000000003</v>
      </c>
      <c r="N1987" s="7" t="s">
        <v>885</v>
      </c>
      <c r="O1987" s="1" t="s">
        <v>2255</v>
      </c>
      <c r="P1987" s="8">
        <f t="shared" ref="P1987:P1996" si="243">I1987</f>
        <v>3934.05</v>
      </c>
      <c r="Q1987" s="1" t="s">
        <v>885</v>
      </c>
      <c r="R1987" s="8">
        <f>(M1987*P1987)</f>
        <v>1593.29</v>
      </c>
      <c r="W1987" s="4"/>
    </row>
    <row r="1988" spans="6:23" ht="24" customHeight="1">
      <c r="H1988" s="1" t="s">
        <v>1118</v>
      </c>
      <c r="I1988" s="1" t="s">
        <v>992</v>
      </c>
      <c r="K1988" s="1" t="s">
        <v>992</v>
      </c>
      <c r="N1988" s="3"/>
      <c r="O1988" s="1" t="s">
        <v>1118</v>
      </c>
      <c r="P1988" s="8" t="str">
        <f t="shared" si="243"/>
        <v/>
      </c>
      <c r="Q1988" s="10"/>
      <c r="R1988" s="1" t="s">
        <v>992</v>
      </c>
      <c r="W1988" s="4"/>
    </row>
    <row r="1989" spans="6:23" ht="24" customHeight="1">
      <c r="F1989" s="8">
        <v>1.89</v>
      </c>
      <c r="G1989" s="7" t="s">
        <v>621</v>
      </c>
      <c r="H1989" s="1" t="s">
        <v>268</v>
      </c>
      <c r="I1989" s="8">
        <f>(K1442)</f>
        <v>283.77</v>
      </c>
      <c r="J1989" s="1" t="s">
        <v>621</v>
      </c>
      <c r="K1989" s="8">
        <f>(F1989*I1989)</f>
        <v>536.33000000000004</v>
      </c>
      <c r="M1989" s="8">
        <v>1.89</v>
      </c>
      <c r="N1989" s="7" t="s">
        <v>621</v>
      </c>
      <c r="O1989" s="1" t="s">
        <v>268</v>
      </c>
      <c r="P1989" s="8">
        <f t="shared" si="243"/>
        <v>283.77</v>
      </c>
      <c r="Q1989" s="1" t="s">
        <v>621</v>
      </c>
      <c r="R1989" s="8">
        <f>(M1989*P1989)</f>
        <v>536.33000000000004</v>
      </c>
      <c r="W1989" s="4"/>
    </row>
    <row r="1990" spans="6:23" ht="24" customHeight="1">
      <c r="H1990" s="1" t="s">
        <v>269</v>
      </c>
      <c r="I1990" s="1" t="s">
        <v>992</v>
      </c>
      <c r="K1990" s="1" t="s">
        <v>992</v>
      </c>
      <c r="N1990" s="3"/>
      <c r="O1990" s="1" t="s">
        <v>269</v>
      </c>
      <c r="P1990" s="8" t="str">
        <f t="shared" si="243"/>
        <v/>
      </c>
      <c r="Q1990" s="10"/>
      <c r="R1990" s="1" t="s">
        <v>992</v>
      </c>
      <c r="W1990" s="4"/>
    </row>
    <row r="1991" spans="6:23" ht="24" customHeight="1">
      <c r="F1991" s="12">
        <v>8.1000000000000003E-2</v>
      </c>
      <c r="G1991" s="7" t="s">
        <v>885</v>
      </c>
      <c r="H1991" s="1" t="s">
        <v>270</v>
      </c>
      <c r="I1991" s="8">
        <f>(R60)</f>
        <v>4208.49</v>
      </c>
      <c r="J1991" s="1" t="s">
        <v>885</v>
      </c>
      <c r="K1991" s="8">
        <f>(F1991*I1991)</f>
        <v>340.89</v>
      </c>
      <c r="M1991" s="12">
        <v>8.1000000000000003E-2</v>
      </c>
      <c r="N1991" s="7" t="s">
        <v>885</v>
      </c>
      <c r="O1991" s="1" t="s">
        <v>270</v>
      </c>
      <c r="P1991" s="8">
        <f t="shared" si="243"/>
        <v>4208.49</v>
      </c>
      <c r="Q1991" s="1" t="s">
        <v>885</v>
      </c>
      <c r="R1991" s="8">
        <f>(M1991*P1991)</f>
        <v>340.89</v>
      </c>
      <c r="W1991" s="4"/>
    </row>
    <row r="1992" spans="6:23" ht="24" customHeight="1">
      <c r="H1992" s="1" t="s">
        <v>271</v>
      </c>
      <c r="N1992" s="3"/>
      <c r="O1992" s="1" t="s">
        <v>271</v>
      </c>
      <c r="P1992" s="8"/>
      <c r="Q1992" s="10"/>
      <c r="W1992" s="4"/>
    </row>
    <row r="1993" spans="6:23" ht="24" customHeight="1">
      <c r="F1993" s="8">
        <v>1</v>
      </c>
      <c r="G1993" s="7" t="s">
        <v>785</v>
      </c>
      <c r="H1993" s="1" t="s">
        <v>2140</v>
      </c>
      <c r="I1993" s="8">
        <f>(C15)</f>
        <v>903.1</v>
      </c>
      <c r="J1993" s="1" t="s">
        <v>785</v>
      </c>
      <c r="K1993" s="8">
        <f>(F1993*I1993)</f>
        <v>903.1</v>
      </c>
      <c r="M1993" s="8">
        <v>1</v>
      </c>
      <c r="N1993" s="7" t="s">
        <v>785</v>
      </c>
      <c r="O1993" s="1" t="s">
        <v>2140</v>
      </c>
      <c r="P1993" s="8">
        <f t="shared" si="243"/>
        <v>903.1</v>
      </c>
      <c r="Q1993" s="1" t="s">
        <v>785</v>
      </c>
      <c r="R1993" s="8">
        <f>(M1993*P1993)</f>
        <v>903.1</v>
      </c>
      <c r="W1993" s="4"/>
    </row>
    <row r="1994" spans="6:23" ht="24" customHeight="1">
      <c r="F1994" s="8">
        <v>0.5</v>
      </c>
      <c r="G1994" s="7" t="s">
        <v>884</v>
      </c>
      <c r="H1994" s="1" t="s">
        <v>1744</v>
      </c>
      <c r="I1994" s="8">
        <f>(C11)</f>
        <v>972.4</v>
      </c>
      <c r="J1994" s="1" t="s">
        <v>884</v>
      </c>
      <c r="K1994" s="8">
        <f>(F1994*I1994)</f>
        <v>486.2</v>
      </c>
      <c r="M1994" s="8">
        <v>0.5</v>
      </c>
      <c r="N1994" s="7" t="s">
        <v>884</v>
      </c>
      <c r="O1994" s="1" t="s">
        <v>1744</v>
      </c>
      <c r="P1994" s="8">
        <f t="shared" si="243"/>
        <v>972.4</v>
      </c>
      <c r="Q1994" s="1" t="s">
        <v>884</v>
      </c>
      <c r="R1994" s="794">
        <f>(M1994*P1994)</f>
        <v>486.2</v>
      </c>
      <c r="W1994" s="4"/>
    </row>
    <row r="1995" spans="6:23" ht="24" customHeight="1">
      <c r="F1995" s="8">
        <v>0.5</v>
      </c>
      <c r="G1995" s="7" t="s">
        <v>884</v>
      </c>
      <c r="H1995" s="1" t="s">
        <v>1937</v>
      </c>
      <c r="I1995" s="8">
        <f>(C12)</f>
        <v>679.8</v>
      </c>
      <c r="J1995" s="1" t="s">
        <v>884</v>
      </c>
      <c r="K1995" s="8">
        <f>(F1995*I1995)</f>
        <v>339.9</v>
      </c>
      <c r="M1995" s="8">
        <v>0.5</v>
      </c>
      <c r="N1995" s="7" t="s">
        <v>884</v>
      </c>
      <c r="O1995" s="1" t="s">
        <v>1937</v>
      </c>
      <c r="P1995" s="8">
        <f t="shared" si="243"/>
        <v>679.8</v>
      </c>
      <c r="Q1995" s="1" t="s">
        <v>884</v>
      </c>
      <c r="R1995" s="794">
        <f>(M1995*P1995)</f>
        <v>339.9</v>
      </c>
      <c r="W1995" s="4"/>
    </row>
    <row r="1996" spans="6:23" ht="24" customHeight="1">
      <c r="G1996" s="7" t="s">
        <v>455</v>
      </c>
      <c r="H1996" s="1" t="s">
        <v>456</v>
      </c>
      <c r="I1996" s="1" t="s">
        <v>992</v>
      </c>
      <c r="J1996" s="1" t="s">
        <v>455</v>
      </c>
      <c r="K1996" s="8">
        <v>1.03</v>
      </c>
      <c r="N1996" s="7"/>
      <c r="O1996" s="33" t="s">
        <v>4414</v>
      </c>
      <c r="P1996" s="8" t="str">
        <f t="shared" si="243"/>
        <v/>
      </c>
      <c r="Q1996" s="1"/>
      <c r="R1996" s="794">
        <v>-164</v>
      </c>
      <c r="W1996" s="4"/>
    </row>
    <row r="1997" spans="6:23" ht="24" customHeight="1">
      <c r="H1997" s="1" t="s">
        <v>992</v>
      </c>
      <c r="K1997" s="5" t="s">
        <v>1615</v>
      </c>
      <c r="O1997" s="33" t="s">
        <v>4415</v>
      </c>
      <c r="P1997" s="8"/>
      <c r="Q1997" s="1"/>
      <c r="R1997" s="794">
        <v>134.1</v>
      </c>
      <c r="W1997" s="4"/>
    </row>
    <row r="1998" spans="6:23" ht="24" customHeight="1" thickBot="1">
      <c r="H1998" s="1" t="s">
        <v>1785</v>
      </c>
      <c r="K1998" s="8">
        <f>SUM(K1986:K1996)</f>
        <v>5401.74</v>
      </c>
      <c r="N1998" s="3" t="s">
        <v>669</v>
      </c>
      <c r="O1998" s="33" t="s">
        <v>2310</v>
      </c>
      <c r="Q1998" s="10"/>
      <c r="R1998" s="794">
        <v>0.47</v>
      </c>
      <c r="W1998" s="4"/>
    </row>
    <row r="1999" spans="6:23" ht="24" customHeight="1" thickTop="1">
      <c r="K1999" s="5" t="s">
        <v>2091</v>
      </c>
      <c r="N1999" s="3"/>
      <c r="O1999" s="522" t="s">
        <v>1785</v>
      </c>
      <c r="Q1999" s="10"/>
      <c r="R1999" s="539">
        <f>SUM(R1986:R1998)</f>
        <v>5371.28</v>
      </c>
      <c r="W1999" s="4"/>
    </row>
    <row r="2000" spans="6:23" ht="24" customHeight="1" thickBot="1">
      <c r="G2000" s="7" t="s">
        <v>992</v>
      </c>
      <c r="H2000" s="1" t="s">
        <v>992</v>
      </c>
      <c r="K2000" s="1" t="s">
        <v>992</v>
      </c>
      <c r="N2000" s="3"/>
      <c r="Q2000" s="10"/>
      <c r="R2000" s="540"/>
      <c r="W2000" s="4"/>
    </row>
    <row r="2001" spans="6:23" ht="24" customHeight="1" thickTop="1">
      <c r="F2001" s="11">
        <v>57</v>
      </c>
      <c r="G2001" s="7" t="s">
        <v>2290</v>
      </c>
      <c r="H2001" s="1" t="s">
        <v>261</v>
      </c>
      <c r="W2001" s="4"/>
    </row>
    <row r="2002" spans="6:23" ht="24" customHeight="1">
      <c r="H2002" s="1" t="s">
        <v>203</v>
      </c>
      <c r="M2002" s="11">
        <v>57</v>
      </c>
      <c r="N2002" s="7" t="s">
        <v>2290</v>
      </c>
      <c r="O2002" s="1" t="s">
        <v>261</v>
      </c>
      <c r="Q2002" s="10"/>
      <c r="S2002"/>
      <c r="W2002" s="4"/>
    </row>
    <row r="2003" spans="6:23" ht="24" customHeight="1">
      <c r="H2003" s="1" t="s">
        <v>1806</v>
      </c>
      <c r="N2003" s="3"/>
      <c r="O2003" s="1" t="s">
        <v>203</v>
      </c>
      <c r="Q2003" s="10"/>
      <c r="S2003"/>
      <c r="W2003" s="4"/>
    </row>
    <row r="2004" spans="6:23" ht="24" customHeight="1">
      <c r="H2004" s="5" t="s">
        <v>1615</v>
      </c>
      <c r="N2004" s="3"/>
      <c r="O2004" s="1" t="s">
        <v>1806</v>
      </c>
      <c r="Q2004" s="10"/>
      <c r="S2004"/>
      <c r="W2004" s="4"/>
    </row>
    <row r="2005" spans="6:23" ht="60.75" customHeight="1">
      <c r="F2005" s="21">
        <v>1</v>
      </c>
      <c r="G2005" s="21" t="s">
        <v>799</v>
      </c>
      <c r="H2005" s="26" t="s">
        <v>4298</v>
      </c>
      <c r="I2005" s="21">
        <f>C613</f>
        <v>3090</v>
      </c>
      <c r="J2005" s="97" t="s">
        <v>799</v>
      </c>
      <c r="K2005" s="21">
        <f>(F2005*I2005)</f>
        <v>3090</v>
      </c>
      <c r="N2005" s="3"/>
      <c r="O2005" s="5" t="s">
        <v>1615</v>
      </c>
      <c r="Q2005" s="10"/>
      <c r="S2005"/>
      <c r="W2005" s="4"/>
    </row>
    <row r="2006" spans="6:23" ht="48.75" customHeight="1">
      <c r="F2006" s="8"/>
      <c r="G2006" s="7"/>
      <c r="H2006" s="23" t="s">
        <v>1183</v>
      </c>
      <c r="I2006" s="8"/>
      <c r="J2006" s="1"/>
      <c r="K2006" s="8"/>
      <c r="M2006" s="21">
        <v>1</v>
      </c>
      <c r="N2006" s="21" t="s">
        <v>799</v>
      </c>
      <c r="O2006" s="26" t="s">
        <v>1143</v>
      </c>
      <c r="P2006" s="21">
        <f>I2005</f>
        <v>3090</v>
      </c>
      <c r="Q2006" s="97" t="s">
        <v>799</v>
      </c>
      <c r="R2006" s="21">
        <f>(M2006*P2006)</f>
        <v>3090</v>
      </c>
      <c r="S2006"/>
      <c r="W2006" s="4"/>
    </row>
    <row r="2007" spans="6:23" ht="36" customHeight="1">
      <c r="F2007" s="8">
        <v>1</v>
      </c>
      <c r="G2007" s="7" t="s">
        <v>884</v>
      </c>
      <c r="H2007" s="1" t="s">
        <v>2045</v>
      </c>
      <c r="I2007" s="8">
        <f>(C10)</f>
        <v>1041.7</v>
      </c>
      <c r="J2007" s="1" t="s">
        <v>884</v>
      </c>
      <c r="K2007" s="8">
        <f>(F2007*I2007)</f>
        <v>1041.7</v>
      </c>
      <c r="M2007" s="8"/>
      <c r="N2007" s="7"/>
      <c r="O2007" s="23" t="s">
        <v>1183</v>
      </c>
      <c r="P2007" s="8"/>
      <c r="Q2007" s="1"/>
      <c r="R2007" s="8"/>
      <c r="S2007"/>
      <c r="W2007" s="4"/>
    </row>
    <row r="2008" spans="6:23" ht="24" customHeight="1">
      <c r="F2008" s="8">
        <v>2</v>
      </c>
      <c r="G2008" s="7" t="s">
        <v>884</v>
      </c>
      <c r="H2008" s="1" t="s">
        <v>2140</v>
      </c>
      <c r="I2008" s="8">
        <f>(C15)</f>
        <v>903.1</v>
      </c>
      <c r="J2008" s="1" t="s">
        <v>884</v>
      </c>
      <c r="K2008" s="8">
        <f>(F2008*I2008)</f>
        <v>1806.2</v>
      </c>
      <c r="M2008" s="8">
        <v>1</v>
      </c>
      <c r="N2008" s="7" t="s">
        <v>884</v>
      </c>
      <c r="O2008" s="1" t="s">
        <v>2045</v>
      </c>
      <c r="P2008" s="8">
        <f t="shared" ref="P2008:P2013" si="244">I2007</f>
        <v>1041.7</v>
      </c>
      <c r="Q2008" s="1" t="s">
        <v>884</v>
      </c>
      <c r="R2008" s="8">
        <f>(M2008*P2008)</f>
        <v>1041.7</v>
      </c>
      <c r="S2008"/>
      <c r="W2008" s="4"/>
    </row>
    <row r="2009" spans="6:23" ht="24" customHeight="1">
      <c r="F2009" s="8">
        <v>1</v>
      </c>
      <c r="G2009" s="7" t="s">
        <v>884</v>
      </c>
      <c r="H2009" s="1" t="s">
        <v>325</v>
      </c>
      <c r="I2009" s="8">
        <f>(C13)</f>
        <v>557.70000000000005</v>
      </c>
      <c r="J2009" s="1" t="s">
        <v>884</v>
      </c>
      <c r="K2009" s="8">
        <f>(F2009*I2009)</f>
        <v>557.70000000000005</v>
      </c>
      <c r="M2009" s="8">
        <v>2</v>
      </c>
      <c r="N2009" s="7" t="s">
        <v>884</v>
      </c>
      <c r="O2009" s="1" t="s">
        <v>2140</v>
      </c>
      <c r="P2009" s="8">
        <f t="shared" si="244"/>
        <v>903.1</v>
      </c>
      <c r="Q2009" s="1" t="s">
        <v>884</v>
      </c>
      <c r="R2009" s="8">
        <f>(M2009*P2009)</f>
        <v>1806.2</v>
      </c>
      <c r="S2009"/>
      <c r="W2009" s="4"/>
    </row>
    <row r="2010" spans="6:23" ht="24" customHeight="1">
      <c r="F2010" s="8"/>
      <c r="G2010" s="7"/>
      <c r="H2010" s="23" t="s">
        <v>726</v>
      </c>
      <c r="I2010" s="8"/>
      <c r="J2010" s="1"/>
      <c r="K2010" s="8"/>
      <c r="M2010" s="8">
        <v>1</v>
      </c>
      <c r="N2010" s="7" t="s">
        <v>884</v>
      </c>
      <c r="O2010" s="1" t="s">
        <v>325</v>
      </c>
      <c r="P2010" s="8">
        <f t="shared" si="244"/>
        <v>557.70000000000005</v>
      </c>
      <c r="Q2010" s="1" t="s">
        <v>884</v>
      </c>
      <c r="R2010" s="8">
        <f>(M2010*P2010)</f>
        <v>557.70000000000005</v>
      </c>
      <c r="S2010"/>
      <c r="W2010" s="4"/>
    </row>
    <row r="2011" spans="6:23" ht="24" customHeight="1">
      <c r="F2011" s="8">
        <v>0.5</v>
      </c>
      <c r="G2011" s="7" t="s">
        <v>884</v>
      </c>
      <c r="H2011" s="1" t="s">
        <v>2140</v>
      </c>
      <c r="I2011" s="8">
        <f>(C15)</f>
        <v>903.1</v>
      </c>
      <c r="J2011" s="1" t="s">
        <v>884</v>
      </c>
      <c r="K2011" s="8">
        <f>(F2011*I2011)</f>
        <v>451.55</v>
      </c>
      <c r="M2011" s="8"/>
      <c r="N2011" s="7"/>
      <c r="O2011" s="23" t="s">
        <v>726</v>
      </c>
      <c r="P2011" s="8"/>
      <c r="Q2011" s="1"/>
      <c r="R2011" s="8"/>
      <c r="S2011"/>
      <c r="W2011" s="4"/>
    </row>
    <row r="2012" spans="6:23" ht="24" customHeight="1">
      <c r="F2012" s="8">
        <v>0.5</v>
      </c>
      <c r="G2012" s="7" t="s">
        <v>884</v>
      </c>
      <c r="H2012" s="1" t="s">
        <v>1937</v>
      </c>
      <c r="I2012" s="8">
        <f>(C12)</f>
        <v>679.8</v>
      </c>
      <c r="J2012" s="1" t="s">
        <v>884</v>
      </c>
      <c r="K2012" s="8">
        <f>(F2012*I2012)</f>
        <v>339.9</v>
      </c>
      <c r="M2012" s="8">
        <v>0.5</v>
      </c>
      <c r="N2012" s="7" t="s">
        <v>884</v>
      </c>
      <c r="O2012" s="1" t="s">
        <v>2140</v>
      </c>
      <c r="P2012" s="8">
        <f t="shared" si="244"/>
        <v>903.1</v>
      </c>
      <c r="Q2012" s="1" t="s">
        <v>884</v>
      </c>
      <c r="R2012" s="8">
        <f>(M2012*P2012)</f>
        <v>451.55</v>
      </c>
      <c r="S2012"/>
      <c r="W2012" s="4"/>
    </row>
    <row r="2013" spans="6:23" ht="24" customHeight="1">
      <c r="G2013" s="7" t="s">
        <v>455</v>
      </c>
      <c r="H2013" s="1" t="s">
        <v>456</v>
      </c>
      <c r="J2013" s="1" t="s">
        <v>455</v>
      </c>
      <c r="K2013" s="8">
        <v>0.7</v>
      </c>
      <c r="M2013" s="8">
        <v>0.5</v>
      </c>
      <c r="N2013" s="7" t="s">
        <v>884</v>
      </c>
      <c r="O2013" s="1" t="s">
        <v>1937</v>
      </c>
      <c r="P2013" s="8">
        <f t="shared" si="244"/>
        <v>679.8</v>
      </c>
      <c r="Q2013" s="1" t="s">
        <v>884</v>
      </c>
      <c r="R2013" s="8">
        <f>(M2013*P2013)</f>
        <v>339.9</v>
      </c>
      <c r="S2013"/>
      <c r="W2013" s="4"/>
    </row>
    <row r="2014" spans="6:23" ht="24" customHeight="1">
      <c r="K2014" s="5" t="s">
        <v>1615</v>
      </c>
      <c r="M2014" s="8"/>
      <c r="N2014" s="7"/>
      <c r="O2014" s="33" t="s">
        <v>4414</v>
      </c>
      <c r="P2014" s="8">
        <f>I2014</f>
        <v>0</v>
      </c>
      <c r="Q2014" s="1"/>
      <c r="R2014" s="536">
        <v>-164</v>
      </c>
      <c r="S2014"/>
      <c r="W2014" s="4"/>
    </row>
    <row r="2015" spans="6:23" ht="24" customHeight="1">
      <c r="H2015" s="1" t="s">
        <v>1785</v>
      </c>
      <c r="K2015" s="8">
        <f>SUM(K2005:K2013)</f>
        <v>7287.75</v>
      </c>
      <c r="M2015" s="8"/>
      <c r="N2015" s="7"/>
      <c r="O2015" s="33" t="s">
        <v>4415</v>
      </c>
      <c r="P2015" s="8"/>
      <c r="Q2015" s="1"/>
      <c r="R2015" s="536">
        <v>134.1</v>
      </c>
      <c r="S2015"/>
      <c r="W2015" s="4"/>
    </row>
    <row r="2016" spans="6:23" ht="24" customHeight="1">
      <c r="F2016" s="1" t="s">
        <v>992</v>
      </c>
      <c r="N2016" s="7" t="s">
        <v>455</v>
      </c>
      <c r="O2016" s="1" t="s">
        <v>456</v>
      </c>
      <c r="Q2016" s="1" t="s">
        <v>455</v>
      </c>
      <c r="R2016" s="8">
        <v>0.7</v>
      </c>
      <c r="S2016"/>
      <c r="W2016" s="4"/>
    </row>
    <row r="2017" spans="6:23" ht="24" customHeight="1">
      <c r="K2017" s="5" t="s">
        <v>1615</v>
      </c>
      <c r="N2017" s="3"/>
      <c r="O2017" s="1" t="s">
        <v>1785</v>
      </c>
      <c r="Q2017" s="10"/>
      <c r="R2017" s="8"/>
      <c r="S2017"/>
      <c r="W2017" s="4"/>
    </row>
    <row r="2018" spans="6:23" ht="24" customHeight="1">
      <c r="G2018" s="7" t="s">
        <v>992</v>
      </c>
      <c r="H2018" s="1" t="s">
        <v>992</v>
      </c>
      <c r="K2018" s="1" t="s">
        <v>992</v>
      </c>
      <c r="N2018" s="3"/>
      <c r="Q2018" s="10"/>
      <c r="R2018" s="36">
        <f>SUM(R2006:R2017)</f>
        <v>7257.85</v>
      </c>
      <c r="S2018"/>
      <c r="W2018" s="4"/>
    </row>
    <row r="2019" spans="6:23" ht="24" customHeight="1">
      <c r="H2019" s="1" t="s">
        <v>992</v>
      </c>
      <c r="M2019" s="1" t="s">
        <v>992</v>
      </c>
      <c r="N2019" s="3"/>
      <c r="S2019"/>
      <c r="W2019" s="4"/>
    </row>
    <row r="2020" spans="6:23" ht="24" customHeight="1">
      <c r="F2020" s="24">
        <v>57.1</v>
      </c>
      <c r="G2020" s="7" t="s">
        <v>2290</v>
      </c>
      <c r="H2020" s="1" t="s">
        <v>1587</v>
      </c>
      <c r="M2020" s="11">
        <v>57</v>
      </c>
      <c r="N2020" s="7" t="s">
        <v>2290</v>
      </c>
      <c r="O2020" s="1" t="s">
        <v>1587</v>
      </c>
      <c r="Q2020" s="10"/>
      <c r="S2020"/>
      <c r="W2020" s="4"/>
    </row>
    <row r="2021" spans="6:23" ht="24" customHeight="1">
      <c r="H2021" s="1" t="s">
        <v>203</v>
      </c>
      <c r="N2021" s="3"/>
      <c r="O2021" s="1" t="s">
        <v>203</v>
      </c>
      <c r="Q2021" s="10"/>
      <c r="W2021" s="4"/>
    </row>
    <row r="2022" spans="6:23" ht="24" customHeight="1">
      <c r="H2022" s="1" t="s">
        <v>1806</v>
      </c>
      <c r="N2022" s="3"/>
      <c r="O2022" s="1" t="s">
        <v>1806</v>
      </c>
      <c r="Q2022" s="10"/>
      <c r="W2022" s="4"/>
    </row>
    <row r="2023" spans="6:23" ht="24" customHeight="1">
      <c r="H2023" s="5" t="s">
        <v>1615</v>
      </c>
      <c r="N2023" s="3"/>
      <c r="O2023" s="5" t="s">
        <v>1615</v>
      </c>
      <c r="Q2023" s="10"/>
      <c r="W2023" s="4"/>
    </row>
    <row r="2024" spans="6:23" ht="62.25" customHeight="1">
      <c r="F2024" s="21">
        <v>1</v>
      </c>
      <c r="G2024" s="21" t="s">
        <v>799</v>
      </c>
      <c r="H2024" s="22" t="s">
        <v>1143</v>
      </c>
      <c r="I2024">
        <f>E613</f>
        <v>3484</v>
      </c>
      <c r="J2024" s="97" t="s">
        <v>799</v>
      </c>
      <c r="K2024" s="21">
        <f>(F2024*I2024)</f>
        <v>3484</v>
      </c>
      <c r="M2024" s="21">
        <v>1</v>
      </c>
      <c r="N2024" s="21" t="s">
        <v>799</v>
      </c>
      <c r="O2024" s="26" t="s">
        <v>1143</v>
      </c>
      <c r="P2024" s="21">
        <f>I2024</f>
        <v>3484</v>
      </c>
      <c r="Q2024" s="97" t="s">
        <v>799</v>
      </c>
      <c r="R2024" s="21">
        <f>(M2024*P2024)</f>
        <v>3484</v>
      </c>
      <c r="W2024" s="4"/>
    </row>
    <row r="2025" spans="6:23" ht="54.75" customHeight="1">
      <c r="F2025" s="8"/>
      <c r="G2025" s="7"/>
      <c r="H2025" s="23" t="s">
        <v>1183</v>
      </c>
      <c r="J2025" s="1"/>
      <c r="K2025" s="8"/>
      <c r="M2025" s="8"/>
      <c r="N2025" s="7"/>
      <c r="O2025" s="23" t="s">
        <v>1183</v>
      </c>
      <c r="P2025" s="8"/>
      <c r="Q2025" s="1"/>
      <c r="R2025" s="21"/>
      <c r="W2025" s="4"/>
    </row>
    <row r="2026" spans="6:23" ht="24" customHeight="1">
      <c r="F2026" s="8">
        <v>1</v>
      </c>
      <c r="G2026" s="7" t="s">
        <v>884</v>
      </c>
      <c r="H2026" s="1" t="s">
        <v>2045</v>
      </c>
      <c r="I2026">
        <f>C10</f>
        <v>1041.7</v>
      </c>
      <c r="J2026" s="1" t="s">
        <v>884</v>
      </c>
      <c r="K2026" s="8">
        <f>(F2026*I2026)</f>
        <v>1041.7</v>
      </c>
      <c r="M2026" s="8">
        <v>1</v>
      </c>
      <c r="N2026" s="7" t="s">
        <v>884</v>
      </c>
      <c r="O2026" s="1" t="s">
        <v>2045</v>
      </c>
      <c r="P2026" s="8">
        <f>I2026</f>
        <v>1041.7</v>
      </c>
      <c r="Q2026" s="1" t="s">
        <v>884</v>
      </c>
      <c r="R2026" s="21">
        <f>(M2026*P2026)</f>
        <v>1041.7</v>
      </c>
      <c r="W2026" s="4"/>
    </row>
    <row r="2027" spans="6:23" ht="24" customHeight="1">
      <c r="F2027" s="8">
        <v>2</v>
      </c>
      <c r="G2027" s="7" t="s">
        <v>884</v>
      </c>
      <c r="H2027" s="1" t="s">
        <v>2140</v>
      </c>
      <c r="I2027">
        <f>C15</f>
        <v>903.1</v>
      </c>
      <c r="J2027" s="1" t="s">
        <v>884</v>
      </c>
      <c r="K2027" s="8">
        <f>(F2027*I2027)</f>
        <v>1806.2</v>
      </c>
      <c r="M2027" s="8">
        <v>2</v>
      </c>
      <c r="N2027" s="7" t="s">
        <v>884</v>
      </c>
      <c r="O2027" s="1" t="s">
        <v>2140</v>
      </c>
      <c r="P2027" s="8">
        <f>I2027</f>
        <v>903.1</v>
      </c>
      <c r="Q2027" s="1" t="s">
        <v>884</v>
      </c>
      <c r="R2027" s="21">
        <f>(M2027*P2027)</f>
        <v>1806.2</v>
      </c>
      <c r="W2027" s="4"/>
    </row>
    <row r="2028" spans="6:23" ht="24" customHeight="1">
      <c r="F2028" s="8">
        <v>1</v>
      </c>
      <c r="G2028" s="7" t="s">
        <v>884</v>
      </c>
      <c r="H2028" s="1" t="s">
        <v>325</v>
      </c>
      <c r="I2028">
        <f>C13</f>
        <v>557.70000000000005</v>
      </c>
      <c r="J2028" s="1" t="s">
        <v>884</v>
      </c>
      <c r="K2028" s="8">
        <f>(F2028*I2028)</f>
        <v>557.70000000000005</v>
      </c>
      <c r="M2028" s="8">
        <v>1</v>
      </c>
      <c r="N2028" s="7" t="s">
        <v>884</v>
      </c>
      <c r="O2028" s="1" t="s">
        <v>325</v>
      </c>
      <c r="P2028" s="8">
        <f>I2028</f>
        <v>557.70000000000005</v>
      </c>
      <c r="Q2028" s="1" t="s">
        <v>884</v>
      </c>
      <c r="R2028" s="21">
        <f>(M2028*P2028)</f>
        <v>557.70000000000005</v>
      </c>
      <c r="W2028" s="4"/>
    </row>
    <row r="2029" spans="6:23" ht="24" customHeight="1">
      <c r="F2029" s="8"/>
      <c r="G2029" s="7"/>
      <c r="H2029" s="23" t="s">
        <v>726</v>
      </c>
      <c r="J2029" s="1"/>
      <c r="K2029" s="8"/>
      <c r="M2029" s="8"/>
      <c r="N2029" s="7"/>
      <c r="O2029" s="23" t="s">
        <v>726</v>
      </c>
      <c r="Q2029" s="1"/>
      <c r="R2029" s="8"/>
      <c r="W2029" s="4"/>
    </row>
    <row r="2030" spans="6:23" ht="24" customHeight="1">
      <c r="F2030" s="8">
        <v>0.5</v>
      </c>
      <c r="G2030" s="7" t="s">
        <v>884</v>
      </c>
      <c r="H2030" s="1" t="s">
        <v>2140</v>
      </c>
      <c r="I2030">
        <f>C15</f>
        <v>903.1</v>
      </c>
      <c r="J2030" s="1" t="s">
        <v>884</v>
      </c>
      <c r="K2030" s="8">
        <f>(F2030*I2030)</f>
        <v>451.55</v>
      </c>
      <c r="M2030" s="8">
        <v>0.5</v>
      </c>
      <c r="N2030" s="7" t="s">
        <v>884</v>
      </c>
      <c r="O2030" s="1" t="s">
        <v>2140</v>
      </c>
      <c r="P2030" s="8">
        <f>I2030</f>
        <v>903.1</v>
      </c>
      <c r="Q2030" s="1" t="s">
        <v>884</v>
      </c>
      <c r="R2030" s="8">
        <f>(M2030*P2030)</f>
        <v>451.55</v>
      </c>
      <c r="W2030" s="4"/>
    </row>
    <row r="2031" spans="6:23" ht="24" customHeight="1">
      <c r="F2031" s="8">
        <v>0.5</v>
      </c>
      <c r="G2031" s="7" t="s">
        <v>884</v>
      </c>
      <c r="H2031" s="1" t="s">
        <v>1937</v>
      </c>
      <c r="I2031">
        <f>C12</f>
        <v>679.8</v>
      </c>
      <c r="J2031" s="1" t="s">
        <v>884</v>
      </c>
      <c r="K2031" s="8">
        <f>(F2031*I2031)</f>
        <v>339.9</v>
      </c>
      <c r="M2031" s="8">
        <v>0.5</v>
      </c>
      <c r="N2031" s="7" t="s">
        <v>884</v>
      </c>
      <c r="O2031" s="1" t="s">
        <v>1937</v>
      </c>
      <c r="P2031" s="8">
        <f>I2031</f>
        <v>679.8</v>
      </c>
      <c r="Q2031" s="1" t="s">
        <v>884</v>
      </c>
      <c r="R2031" s="8">
        <f>(M2031*P2031)</f>
        <v>339.9</v>
      </c>
      <c r="W2031" s="4"/>
    </row>
    <row r="2032" spans="6:23" ht="24" customHeight="1">
      <c r="G2032" s="7" t="s">
        <v>455</v>
      </c>
      <c r="H2032" s="1" t="s">
        <v>456</v>
      </c>
      <c r="J2032" s="1" t="s">
        <v>455</v>
      </c>
      <c r="K2032" s="8">
        <v>0.7</v>
      </c>
      <c r="M2032" s="8"/>
      <c r="N2032" s="7"/>
      <c r="O2032" s="33" t="s">
        <v>4414</v>
      </c>
      <c r="P2032" s="8">
        <f>I2032</f>
        <v>0</v>
      </c>
      <c r="Q2032" s="1"/>
      <c r="R2032" s="536">
        <v>-164</v>
      </c>
      <c r="W2032" s="4"/>
    </row>
    <row r="2033" spans="6:23" ht="24" customHeight="1">
      <c r="K2033" s="5" t="s">
        <v>1615</v>
      </c>
      <c r="M2033" s="8"/>
      <c r="N2033" s="7"/>
      <c r="O2033" s="33" t="s">
        <v>4415</v>
      </c>
      <c r="P2033" s="8"/>
      <c r="Q2033" s="1"/>
      <c r="R2033" s="536">
        <v>134.1</v>
      </c>
      <c r="W2033" s="4"/>
    </row>
    <row r="2034" spans="6:23" ht="24" customHeight="1">
      <c r="H2034" s="1" t="s">
        <v>1785</v>
      </c>
      <c r="K2034" s="8">
        <f>SUM(K2024:K2032)</f>
        <v>7681.75</v>
      </c>
      <c r="N2034" s="7" t="s">
        <v>455</v>
      </c>
      <c r="O2034" s="1" t="s">
        <v>456</v>
      </c>
      <c r="Q2034" s="1" t="s">
        <v>455</v>
      </c>
      <c r="R2034" s="8">
        <v>0.7</v>
      </c>
      <c r="W2034" s="4"/>
    </row>
    <row r="2035" spans="6:23" ht="24" customHeight="1">
      <c r="H2035" s="1"/>
      <c r="N2035" s="3"/>
      <c r="Q2035" s="10"/>
      <c r="R2035" s="5" t="s">
        <v>1615</v>
      </c>
      <c r="W2035" s="4"/>
    </row>
    <row r="2036" spans="6:23" ht="24" customHeight="1">
      <c r="H2036" s="1"/>
      <c r="K2036" s="5" t="s">
        <v>1615</v>
      </c>
      <c r="N2036" s="3"/>
      <c r="O2036" s="1" t="s">
        <v>1785</v>
      </c>
      <c r="Q2036" s="10"/>
      <c r="R2036" s="8"/>
      <c r="W2036" s="4"/>
    </row>
    <row r="2037" spans="6:23" ht="24" customHeight="1">
      <c r="H2037" s="1"/>
      <c r="M2037" s="1" t="s">
        <v>992</v>
      </c>
      <c r="N2037" s="3"/>
      <c r="Q2037" s="10"/>
      <c r="R2037" s="36">
        <f>SUM(R2024:R2036)</f>
        <v>7651.85</v>
      </c>
      <c r="W2037" s="4"/>
    </row>
    <row r="2038" spans="6:23" ht="24" customHeight="1">
      <c r="F2038" s="2" t="s">
        <v>727</v>
      </c>
      <c r="G2038" s="7" t="s">
        <v>2290</v>
      </c>
      <c r="H2038" s="1" t="s">
        <v>824</v>
      </c>
      <c r="N2038" s="3"/>
      <c r="Q2038" s="10"/>
      <c r="R2038" s="5" t="s">
        <v>1615</v>
      </c>
      <c r="W2038" s="4"/>
    </row>
    <row r="2039" spans="6:23" ht="24" customHeight="1">
      <c r="H2039" s="1" t="s">
        <v>162</v>
      </c>
      <c r="W2039" s="4"/>
    </row>
    <row r="2040" spans="6:23" ht="24" customHeight="1">
      <c r="H2040" s="5" t="s">
        <v>1615</v>
      </c>
      <c r="W2040" s="4"/>
    </row>
    <row r="2041" spans="6:23" ht="24" customHeight="1">
      <c r="G2041" s="7" t="s">
        <v>702</v>
      </c>
      <c r="H2041" s="1" t="s">
        <v>42</v>
      </c>
      <c r="W2041" s="4"/>
    </row>
    <row r="2042" spans="6:23" ht="24" customHeight="1">
      <c r="H2042" s="1" t="s">
        <v>218</v>
      </c>
      <c r="W2042" s="4"/>
    </row>
    <row r="2043" spans="6:23" ht="24" customHeight="1">
      <c r="H2043" s="1" t="s">
        <v>963</v>
      </c>
      <c r="M2043" s="840"/>
      <c r="N2043" s="832"/>
      <c r="O2043" s="829" t="s">
        <v>2035</v>
      </c>
      <c r="P2043" s="830"/>
      <c r="Q2043" s="831"/>
      <c r="R2043" s="830"/>
      <c r="W2043" s="4"/>
    </row>
    <row r="2044" spans="6:23" ht="24" customHeight="1">
      <c r="H2044" s="1" t="s">
        <v>964</v>
      </c>
      <c r="M2044" s="840"/>
      <c r="N2044" s="832"/>
      <c r="O2044" s="829" t="s">
        <v>4958</v>
      </c>
      <c r="P2044" s="830"/>
      <c r="Q2044" s="831"/>
      <c r="R2044" s="830"/>
      <c r="W2044" s="4"/>
    </row>
    <row r="2045" spans="6:23" ht="24" customHeight="1">
      <c r="H2045" s="1" t="s">
        <v>2141</v>
      </c>
      <c r="M2045" s="830"/>
      <c r="N2045" s="832"/>
      <c r="O2045" s="833" t="s">
        <v>1615</v>
      </c>
      <c r="P2045" s="833" t="s">
        <v>1615</v>
      </c>
      <c r="Q2045" s="829" t="s">
        <v>1615</v>
      </c>
      <c r="R2045" s="830"/>
      <c r="W2045" s="4"/>
    </row>
    <row r="2046" spans="6:23" ht="24" customHeight="1">
      <c r="H2046" s="1" t="s">
        <v>2142</v>
      </c>
      <c r="M2046" s="830"/>
      <c r="N2046" s="832"/>
      <c r="O2046" s="830"/>
      <c r="P2046" s="830"/>
      <c r="Q2046" s="831"/>
      <c r="R2046" s="830"/>
      <c r="W2046" s="4"/>
    </row>
    <row r="2047" spans="6:23" ht="24" customHeight="1">
      <c r="H2047" s="1" t="s">
        <v>201</v>
      </c>
      <c r="M2047" s="830"/>
      <c r="N2047" s="832"/>
      <c r="O2047" s="825" t="s">
        <v>4959</v>
      </c>
      <c r="P2047" s="830">
        <f>3.93*2.1</f>
        <v>8.25</v>
      </c>
      <c r="Q2047" s="831" t="s">
        <v>2190</v>
      </c>
      <c r="R2047" s="830"/>
      <c r="W2047" s="4"/>
    </row>
    <row r="2048" spans="6:23" ht="24" customHeight="1">
      <c r="H2048" s="5" t="s">
        <v>1615</v>
      </c>
      <c r="M2048" s="830"/>
      <c r="N2048" s="832"/>
      <c r="O2048" s="829" t="s">
        <v>4960</v>
      </c>
      <c r="P2048" s="830"/>
      <c r="Q2048" s="831"/>
      <c r="R2048" s="830"/>
      <c r="W2048" s="4"/>
    </row>
    <row r="2049" spans="6:23" ht="24" customHeight="1">
      <c r="F2049" s="8">
        <v>3</v>
      </c>
      <c r="G2049" s="7" t="s">
        <v>1805</v>
      </c>
      <c r="H2049" s="1" t="s">
        <v>2143</v>
      </c>
      <c r="I2049" s="480">
        <f>(C620)</f>
        <v>193.05</v>
      </c>
      <c r="J2049" s="1" t="s">
        <v>1805</v>
      </c>
      <c r="K2049" s="8">
        <f t="shared" ref="K2049:K2055" si="245">(F2049*I2049)</f>
        <v>579.15</v>
      </c>
      <c r="M2049" s="830"/>
      <c r="N2049" s="832"/>
      <c r="O2049" s="829" t="s">
        <v>4961</v>
      </c>
      <c r="P2049" s="834">
        <f>1*7*2.1*0.075*0.0375</f>
        <v>4.1000000000000002E-2</v>
      </c>
      <c r="Q2049" s="831"/>
      <c r="R2049" s="830"/>
      <c r="W2049" s="4"/>
    </row>
    <row r="2050" spans="6:23" ht="24" customHeight="1">
      <c r="F2050" s="8">
        <v>1</v>
      </c>
      <c r="G2050" s="7" t="s">
        <v>785</v>
      </c>
      <c r="H2050" s="1" t="s">
        <v>682</v>
      </c>
      <c r="I2050" s="536">
        <v>76</v>
      </c>
      <c r="J2050" s="1" t="s">
        <v>1748</v>
      </c>
      <c r="K2050" s="8">
        <f t="shared" si="245"/>
        <v>76</v>
      </c>
      <c r="M2050" s="830"/>
      <c r="N2050" s="832"/>
      <c r="O2050" s="829" t="s">
        <v>4962</v>
      </c>
      <c r="P2050" s="834">
        <f>5*3.93*0.075*0.0375</f>
        <v>5.5E-2</v>
      </c>
      <c r="Q2050" s="831"/>
      <c r="R2050" s="830"/>
      <c r="W2050" s="4"/>
    </row>
    <row r="2051" spans="6:23" ht="24" customHeight="1">
      <c r="F2051" s="8">
        <v>1</v>
      </c>
      <c r="G2051" s="7" t="s">
        <v>785</v>
      </c>
      <c r="H2051" s="1" t="s">
        <v>683</v>
      </c>
      <c r="I2051" s="8">
        <f>C648</f>
        <v>82.3</v>
      </c>
      <c r="J2051" s="1" t="s">
        <v>1748</v>
      </c>
      <c r="K2051" s="8">
        <f t="shared" si="245"/>
        <v>82.3</v>
      </c>
      <c r="M2051" s="830"/>
      <c r="N2051" s="832"/>
      <c r="O2051" s="829"/>
      <c r="P2051" s="835">
        <f>SUM(P2049:P2050)</f>
        <v>9.6000000000000002E-2</v>
      </c>
      <c r="Q2051" s="831" t="s">
        <v>2190</v>
      </c>
      <c r="R2051" s="830"/>
      <c r="W2051" s="4"/>
    </row>
    <row r="2052" spans="6:23" ht="24" customHeight="1">
      <c r="F2052" s="8">
        <v>1</v>
      </c>
      <c r="G2052" s="7" t="s">
        <v>785</v>
      </c>
      <c r="H2052" s="1" t="s">
        <v>4299</v>
      </c>
      <c r="I2052" s="8">
        <f>C645</f>
        <v>187.8</v>
      </c>
      <c r="J2052" s="1" t="s">
        <v>1748</v>
      </c>
      <c r="K2052" s="8">
        <f t="shared" si="245"/>
        <v>187.8</v>
      </c>
      <c r="M2052" s="830"/>
      <c r="N2052" s="832"/>
      <c r="O2052" s="829" t="s">
        <v>4963</v>
      </c>
      <c r="P2052" s="830"/>
      <c r="Q2052" s="831"/>
      <c r="R2052" s="830"/>
      <c r="W2052" s="4"/>
    </row>
    <row r="2053" spans="6:23" ht="24" customHeight="1">
      <c r="F2053" s="8">
        <v>0.5</v>
      </c>
      <c r="G2053" s="7" t="s">
        <v>884</v>
      </c>
      <c r="H2053" s="1" t="s">
        <v>2140</v>
      </c>
      <c r="I2053" s="8">
        <f>(C15)</f>
        <v>903.1</v>
      </c>
      <c r="J2053" s="1" t="s">
        <v>1748</v>
      </c>
      <c r="K2053" s="8">
        <f t="shared" si="245"/>
        <v>451.55</v>
      </c>
      <c r="M2053" s="830"/>
      <c r="N2053" s="832"/>
      <c r="O2053" s="829" t="s">
        <v>4964</v>
      </c>
      <c r="P2053" s="830"/>
      <c r="Q2053" s="831"/>
      <c r="R2053" s="830"/>
      <c r="W2053" s="4"/>
    </row>
    <row r="2054" spans="6:23" ht="24" customHeight="1">
      <c r="F2054" s="8">
        <v>0.5</v>
      </c>
      <c r="G2054" s="7" t="s">
        <v>884</v>
      </c>
      <c r="H2054" s="1" t="s">
        <v>1744</v>
      </c>
      <c r="I2054" s="8">
        <f>(C11)</f>
        <v>972.4</v>
      </c>
      <c r="J2054" s="1" t="s">
        <v>1748</v>
      </c>
      <c r="K2054" s="8">
        <f t="shared" si="245"/>
        <v>486.2</v>
      </c>
      <c r="M2054" s="830"/>
      <c r="N2054" s="832"/>
      <c r="O2054" s="829" t="s">
        <v>4965</v>
      </c>
      <c r="P2054" s="834">
        <f>2*18*0.6*0.075*0.0375</f>
        <v>6.0999999999999999E-2</v>
      </c>
      <c r="Q2054" s="831"/>
      <c r="R2054" s="830"/>
      <c r="W2054" s="4"/>
    </row>
    <row r="2055" spans="6:23" ht="24" customHeight="1">
      <c r="F2055" s="8">
        <v>0.5</v>
      </c>
      <c r="G2055" s="7" t="s">
        <v>884</v>
      </c>
      <c r="H2055" s="1" t="s">
        <v>1937</v>
      </c>
      <c r="I2055" s="8">
        <f>(C12)</f>
        <v>679.8</v>
      </c>
      <c r="J2055" s="1" t="s">
        <v>1748</v>
      </c>
      <c r="K2055" s="8">
        <f t="shared" si="245"/>
        <v>339.9</v>
      </c>
      <c r="M2055" s="830"/>
      <c r="N2055" s="832"/>
      <c r="O2055" s="829" t="s">
        <v>4966</v>
      </c>
      <c r="P2055" s="834">
        <f>2*18*0.69*0.075*0.0375</f>
        <v>7.0000000000000007E-2</v>
      </c>
      <c r="Q2055" s="831"/>
      <c r="R2055" s="830"/>
      <c r="W2055" s="4"/>
    </row>
    <row r="2056" spans="6:23" ht="24" customHeight="1">
      <c r="G2056" s="7" t="s">
        <v>455</v>
      </c>
      <c r="H2056" s="1" t="s">
        <v>1549</v>
      </c>
      <c r="I2056" s="480">
        <v>2.79</v>
      </c>
      <c r="J2056" s="1" t="s">
        <v>455</v>
      </c>
      <c r="K2056" s="8">
        <v>2.79</v>
      </c>
      <c r="M2056" s="830"/>
      <c r="N2056" s="832"/>
      <c r="O2056" s="829"/>
      <c r="P2056" s="835">
        <f>SUM(P2054:P2055)</f>
        <v>0.13100000000000001</v>
      </c>
      <c r="Q2056" s="831"/>
      <c r="R2056" s="830"/>
      <c r="W2056" s="4"/>
    </row>
    <row r="2057" spans="6:23" ht="24" customHeight="1">
      <c r="H2057" s="1" t="s">
        <v>85</v>
      </c>
      <c r="M2057" s="830"/>
      <c r="N2057" s="832"/>
      <c r="O2057" s="829" t="s">
        <v>4967</v>
      </c>
      <c r="P2057" s="830"/>
      <c r="Q2057" s="831"/>
      <c r="R2057" s="830"/>
      <c r="W2057" s="4"/>
    </row>
    <row r="2058" spans="6:23" ht="24" customHeight="1">
      <c r="H2058" s="1" t="s">
        <v>192</v>
      </c>
      <c r="M2058" s="830"/>
      <c r="N2058" s="832"/>
      <c r="O2058" s="829" t="s">
        <v>4968</v>
      </c>
      <c r="P2058" s="834">
        <f>2*6*0.66*0.075*0.0375</f>
        <v>2.1999999999999999E-2</v>
      </c>
      <c r="Q2058" s="831"/>
      <c r="R2058" s="830"/>
      <c r="W2058" s="4"/>
    </row>
    <row r="2059" spans="6:23" ht="24" customHeight="1">
      <c r="H2059" s="1" t="s">
        <v>749</v>
      </c>
      <c r="J2059" s="1" t="s">
        <v>455</v>
      </c>
      <c r="K2059" s="8">
        <v>0.12</v>
      </c>
      <c r="M2059" s="830"/>
      <c r="N2059" s="832"/>
      <c r="O2059" s="829" t="s">
        <v>4969</v>
      </c>
      <c r="P2059" s="834">
        <f>2*6*0.69*0.075*0.0375</f>
        <v>2.3E-2</v>
      </c>
      <c r="Q2059" s="831"/>
      <c r="R2059" s="830"/>
      <c r="W2059" s="4"/>
    </row>
    <row r="2060" spans="6:23" ht="24" customHeight="1">
      <c r="K2060" s="5" t="s">
        <v>1615</v>
      </c>
      <c r="M2060" s="830"/>
      <c r="N2060" s="832"/>
      <c r="O2060" s="829"/>
      <c r="P2060" s="835">
        <f>SUM(P2058:P2059)</f>
        <v>4.4999999999999998E-2</v>
      </c>
      <c r="Q2060" s="831"/>
      <c r="R2060" s="830"/>
      <c r="W2060" s="4"/>
    </row>
    <row r="2061" spans="6:23" ht="24" customHeight="1">
      <c r="H2061" s="1" t="s">
        <v>1341</v>
      </c>
      <c r="K2061" s="8">
        <f>SUM(K2049:K2059)</f>
        <v>2205.81</v>
      </c>
      <c r="M2061" s="830"/>
      <c r="N2061" s="832"/>
      <c r="O2061" s="829"/>
      <c r="P2061" s="835">
        <f>P2056+P2060</f>
        <v>0.17599999999999999</v>
      </c>
      <c r="Q2061" s="831" t="s">
        <v>2190</v>
      </c>
      <c r="R2061" s="834">
        <f>P2061+P2051</f>
        <v>0.27200000000000002</v>
      </c>
      <c r="W2061" s="4"/>
    </row>
    <row r="2062" spans="6:23" ht="24" customHeight="1">
      <c r="K2062" s="5" t="s">
        <v>1615</v>
      </c>
      <c r="M2062" s="830"/>
      <c r="N2062" s="832"/>
      <c r="O2062" s="829" t="s">
        <v>4970</v>
      </c>
      <c r="P2062" s="830"/>
      <c r="Q2062" s="831"/>
      <c r="R2062" s="830"/>
      <c r="W2062" s="4"/>
    </row>
    <row r="2063" spans="6:23" ht="24" customHeight="1">
      <c r="H2063" s="1" t="s">
        <v>1573</v>
      </c>
      <c r="K2063" s="8">
        <f>(K2061/3)</f>
        <v>735.27</v>
      </c>
      <c r="M2063" s="830"/>
      <c r="N2063" s="832"/>
      <c r="O2063" s="829" t="s">
        <v>4971</v>
      </c>
      <c r="P2063" s="830">
        <f>1*18*0.54*0.45</f>
        <v>4.37</v>
      </c>
      <c r="Q2063" s="831"/>
      <c r="R2063" s="830"/>
      <c r="W2063" s="4"/>
    </row>
    <row r="2064" spans="6:23" ht="24" customHeight="1">
      <c r="K2064" s="5" t="s">
        <v>1615</v>
      </c>
      <c r="M2064" s="830"/>
      <c r="N2064" s="832"/>
      <c r="O2064" s="829" t="s">
        <v>4972</v>
      </c>
      <c r="P2064" s="830">
        <f>1*6*0.54*0.51</f>
        <v>1.65</v>
      </c>
      <c r="Q2064" s="831"/>
      <c r="R2064" s="830"/>
      <c r="W2064" s="4"/>
    </row>
    <row r="2065" spans="6:23" ht="24" customHeight="1">
      <c r="F2065" s="2" t="s">
        <v>750</v>
      </c>
      <c r="G2065" s="7" t="s">
        <v>288</v>
      </c>
      <c r="H2065" s="1" t="s">
        <v>751</v>
      </c>
      <c r="M2065" s="830"/>
      <c r="N2065" s="832"/>
      <c r="O2065" s="829"/>
      <c r="P2065" s="826">
        <f>SUM(P2063:P2064)</f>
        <v>6.02</v>
      </c>
      <c r="Q2065" s="831" t="s">
        <v>2322</v>
      </c>
      <c r="R2065" s="830"/>
      <c r="W2065" s="4"/>
    </row>
    <row r="2066" spans="6:23" ht="24" customHeight="1">
      <c r="H2066" s="1" t="s">
        <v>2157</v>
      </c>
      <c r="M2066" s="830"/>
      <c r="N2066" s="832"/>
      <c r="O2066" s="829"/>
      <c r="P2066" s="830"/>
      <c r="Q2066" s="831"/>
      <c r="R2066" s="830"/>
      <c r="W2066" s="4"/>
    </row>
    <row r="2067" spans="6:23" ht="24" customHeight="1">
      <c r="H2067" s="1" t="s">
        <v>963</v>
      </c>
      <c r="M2067" s="830"/>
      <c r="N2067" s="832"/>
      <c r="O2067" s="829" t="s">
        <v>4973</v>
      </c>
      <c r="P2067" s="830">
        <f>3.78*1.95</f>
        <v>7.37</v>
      </c>
      <c r="Q2067" s="831" t="s">
        <v>2322</v>
      </c>
      <c r="R2067" s="841" t="s">
        <v>992</v>
      </c>
      <c r="W2067" s="4"/>
    </row>
    <row r="2068" spans="6:23" ht="24" customHeight="1">
      <c r="H2068" s="1" t="s">
        <v>752</v>
      </c>
      <c r="M2068" s="830"/>
      <c r="N2068" s="832"/>
      <c r="O2068" s="829"/>
      <c r="P2068" s="830"/>
      <c r="Q2068" s="831"/>
      <c r="R2068" s="841"/>
      <c r="W2068" s="4"/>
    </row>
    <row r="2069" spans="6:23" ht="24" customHeight="1">
      <c r="H2069" s="1" t="s">
        <v>548</v>
      </c>
      <c r="M2069" s="830"/>
      <c r="N2069" s="832"/>
      <c r="O2069" s="829" t="s">
        <v>4974</v>
      </c>
      <c r="P2069" s="830">
        <f>18*2</f>
        <v>36</v>
      </c>
      <c r="Q2069" s="831" t="s">
        <v>1419</v>
      </c>
      <c r="R2069" s="841"/>
      <c r="W2069" s="4"/>
    </row>
    <row r="2070" spans="6:23" ht="24" customHeight="1">
      <c r="H2070" s="1" t="s">
        <v>2142</v>
      </c>
      <c r="M2070" s="830"/>
      <c r="N2070" s="832"/>
      <c r="O2070" s="829" t="s">
        <v>4975</v>
      </c>
      <c r="P2070" s="830">
        <f>18*1</f>
        <v>18</v>
      </c>
      <c r="Q2070" s="831" t="s">
        <v>1419</v>
      </c>
      <c r="R2070" s="841"/>
      <c r="W2070" s="4"/>
    </row>
    <row r="2071" spans="6:23" ht="24" customHeight="1">
      <c r="H2071" s="1" t="s">
        <v>201</v>
      </c>
      <c r="M2071" s="830"/>
      <c r="N2071" s="832"/>
      <c r="O2071" s="836" t="s">
        <v>4413</v>
      </c>
      <c r="P2071" s="830">
        <f>18*1</f>
        <v>18</v>
      </c>
      <c r="Q2071" s="831" t="s">
        <v>1419</v>
      </c>
      <c r="R2071" s="841"/>
      <c r="W2071" s="4"/>
    </row>
    <row r="2072" spans="6:23" ht="24" customHeight="1">
      <c r="H2072" s="5" t="s">
        <v>1615</v>
      </c>
      <c r="M2072" s="830"/>
      <c r="N2072" s="832"/>
      <c r="O2072" s="829" t="s">
        <v>4976</v>
      </c>
      <c r="P2072" s="830">
        <f>3.93*2.6*2.1</f>
        <v>21.46</v>
      </c>
      <c r="Q2072" s="831" t="s">
        <v>2322</v>
      </c>
      <c r="R2072" s="841"/>
      <c r="W2072" s="4"/>
    </row>
    <row r="2073" spans="6:23" ht="24" customHeight="1">
      <c r="F2073" s="8">
        <v>3</v>
      </c>
      <c r="G2073" s="7" t="s">
        <v>1805</v>
      </c>
      <c r="H2073" s="1" t="s">
        <v>1022</v>
      </c>
      <c r="I2073" s="536">
        <f>C621</f>
        <v>115.85</v>
      </c>
      <c r="J2073" s="1" t="s">
        <v>1805</v>
      </c>
      <c r="K2073" s="8">
        <f t="shared" ref="K2073:K2079" si="246">(F2073*I2073)</f>
        <v>347.55</v>
      </c>
      <c r="M2073" s="830"/>
      <c r="N2073" s="832"/>
      <c r="O2073" s="830"/>
      <c r="P2073" s="830"/>
      <c r="Q2073" s="831"/>
      <c r="R2073" s="830"/>
      <c r="W2073" s="4"/>
    </row>
    <row r="2074" spans="6:23" ht="24" customHeight="1">
      <c r="F2074" s="8">
        <v>1</v>
      </c>
      <c r="G2074" s="7" t="s">
        <v>785</v>
      </c>
      <c r="H2074" s="1" t="s">
        <v>1023</v>
      </c>
      <c r="I2074" s="536">
        <f>C624</f>
        <v>45</v>
      </c>
      <c r="J2074" s="1" t="s">
        <v>1748</v>
      </c>
      <c r="K2074" s="8">
        <f t="shared" si="246"/>
        <v>45</v>
      </c>
      <c r="M2074" s="842">
        <f>P2051</f>
        <v>9.6000000000000002E-2</v>
      </c>
      <c r="N2074" s="828" t="s">
        <v>885</v>
      </c>
      <c r="O2074" s="829" t="s">
        <v>705</v>
      </c>
      <c r="P2074" s="837">
        <f>I3100</f>
        <v>111600</v>
      </c>
      <c r="Q2074" s="829" t="s">
        <v>885</v>
      </c>
      <c r="R2074" s="837">
        <f t="shared" ref="R2074:R2083" si="247">(M2074*P2074)</f>
        <v>10713.6</v>
      </c>
      <c r="W2074" s="4"/>
    </row>
    <row r="2075" spans="6:23" ht="24" customHeight="1">
      <c r="F2075" s="8">
        <v>1</v>
      </c>
      <c r="G2075" s="7" t="s">
        <v>785</v>
      </c>
      <c r="H2075" s="1" t="s">
        <v>1024</v>
      </c>
      <c r="I2075" s="8">
        <f>C649</f>
        <v>55.5</v>
      </c>
      <c r="J2075" s="1" t="s">
        <v>1748</v>
      </c>
      <c r="K2075" s="8">
        <f t="shared" si="246"/>
        <v>55.5</v>
      </c>
      <c r="M2075" s="842">
        <f>P2061</f>
        <v>0.17599999999999999</v>
      </c>
      <c r="N2075" s="828" t="s">
        <v>885</v>
      </c>
      <c r="O2075" s="829" t="s">
        <v>706</v>
      </c>
      <c r="P2075" s="837">
        <f t="shared" ref="P2075:P2083" si="248">I3101</f>
        <v>99400</v>
      </c>
      <c r="Q2075" s="829" t="s">
        <v>885</v>
      </c>
      <c r="R2075" s="837">
        <f t="shared" si="247"/>
        <v>17494.400000000001</v>
      </c>
      <c r="W2075" s="4"/>
    </row>
    <row r="2076" spans="6:23" ht="24" customHeight="1">
      <c r="F2076" s="8">
        <v>1</v>
      </c>
      <c r="G2076" s="7" t="s">
        <v>785</v>
      </c>
      <c r="H2076" s="1" t="s">
        <v>86</v>
      </c>
      <c r="I2076" s="8">
        <f>C646</f>
        <v>125.2</v>
      </c>
      <c r="J2076" s="1" t="s">
        <v>1748</v>
      </c>
      <c r="K2076" s="8">
        <f t="shared" si="246"/>
        <v>125.2</v>
      </c>
      <c r="M2076" s="842">
        <f>SUM(M2074:M2075)</f>
        <v>0.27200000000000002</v>
      </c>
      <c r="N2076" s="828" t="s">
        <v>885</v>
      </c>
      <c r="O2076" s="829" t="s">
        <v>902</v>
      </c>
      <c r="P2076" s="837">
        <f t="shared" si="248"/>
        <v>14278</v>
      </c>
      <c r="Q2076" s="829" t="s">
        <v>885</v>
      </c>
      <c r="R2076" s="837">
        <f t="shared" si="247"/>
        <v>3883.62</v>
      </c>
      <c r="W2076" s="4"/>
    </row>
    <row r="2077" spans="6:23" ht="24" customHeight="1">
      <c r="F2077" s="8">
        <v>0.5</v>
      </c>
      <c r="G2077" s="7" t="s">
        <v>884</v>
      </c>
      <c r="H2077" s="1" t="s">
        <v>2140</v>
      </c>
      <c r="I2077" s="8">
        <f>(C15)</f>
        <v>903.1</v>
      </c>
      <c r="J2077" s="1" t="s">
        <v>1748</v>
      </c>
      <c r="K2077" s="8">
        <f t="shared" si="246"/>
        <v>451.55</v>
      </c>
      <c r="M2077" s="842">
        <f>P2065</f>
        <v>6.02</v>
      </c>
      <c r="N2077" s="828" t="s">
        <v>621</v>
      </c>
      <c r="O2077" s="829" t="s">
        <v>4977</v>
      </c>
      <c r="P2077" s="837">
        <f t="shared" si="248"/>
        <v>387.4</v>
      </c>
      <c r="Q2077" s="829" t="s">
        <v>621</v>
      </c>
      <c r="R2077" s="837">
        <f t="shared" si="247"/>
        <v>2332.15</v>
      </c>
      <c r="W2077" s="4"/>
    </row>
    <row r="2078" spans="6:23" ht="24" customHeight="1">
      <c r="F2078" s="8">
        <v>0.5</v>
      </c>
      <c r="G2078" s="7" t="s">
        <v>884</v>
      </c>
      <c r="H2078" s="1" t="s">
        <v>1744</v>
      </c>
      <c r="I2078" s="8">
        <f>(C11)</f>
        <v>972.4</v>
      </c>
      <c r="J2078" s="1" t="s">
        <v>1748</v>
      </c>
      <c r="K2078" s="8">
        <f t="shared" si="246"/>
        <v>486.2</v>
      </c>
      <c r="M2078" s="842">
        <f>P2067</f>
        <v>7.37</v>
      </c>
      <c r="N2078" s="828" t="s">
        <v>621</v>
      </c>
      <c r="O2078" s="829" t="s">
        <v>1532</v>
      </c>
      <c r="P2078" s="837">
        <f t="shared" si="248"/>
        <v>1336.5</v>
      </c>
      <c r="Q2078" s="829" t="s">
        <v>621</v>
      </c>
      <c r="R2078" s="837">
        <f t="shared" si="247"/>
        <v>9850.01</v>
      </c>
      <c r="W2078" s="4"/>
    </row>
    <row r="2079" spans="6:23" ht="24" customHeight="1">
      <c r="F2079" s="8">
        <v>0.5</v>
      </c>
      <c r="G2079" s="7" t="s">
        <v>884</v>
      </c>
      <c r="H2079" s="1" t="s">
        <v>1937</v>
      </c>
      <c r="I2079" s="8">
        <f>(C12)</f>
        <v>679.8</v>
      </c>
      <c r="J2079" s="1" t="s">
        <v>1748</v>
      </c>
      <c r="K2079" s="8">
        <f t="shared" si="246"/>
        <v>339.9</v>
      </c>
      <c r="M2079" s="837">
        <f>P2069</f>
        <v>36</v>
      </c>
      <c r="N2079" s="828" t="s">
        <v>884</v>
      </c>
      <c r="O2079" s="829" t="s">
        <v>1367</v>
      </c>
      <c r="P2079" s="837">
        <f t="shared" si="248"/>
        <v>57</v>
      </c>
      <c r="Q2079" s="829" t="s">
        <v>884</v>
      </c>
      <c r="R2079" s="837">
        <f t="shared" si="247"/>
        <v>2052</v>
      </c>
      <c r="W2079" s="4"/>
    </row>
    <row r="2080" spans="6:23" ht="24" customHeight="1">
      <c r="G2080" s="7" t="s">
        <v>455</v>
      </c>
      <c r="H2080" s="1" t="s">
        <v>1549</v>
      </c>
      <c r="I2080" s="1" t="s">
        <v>992</v>
      </c>
      <c r="J2080" s="1" t="s">
        <v>455</v>
      </c>
      <c r="K2080" s="8">
        <v>2.73</v>
      </c>
      <c r="M2080" s="837">
        <f>P2070</f>
        <v>18</v>
      </c>
      <c r="N2080" s="828" t="s">
        <v>884</v>
      </c>
      <c r="O2080" s="829" t="s">
        <v>4799</v>
      </c>
      <c r="P2080" s="837">
        <f t="shared" si="248"/>
        <v>49.35</v>
      </c>
      <c r="Q2080" s="829" t="s">
        <v>884</v>
      </c>
      <c r="R2080" s="837">
        <f t="shared" si="247"/>
        <v>888.3</v>
      </c>
      <c r="W2080" s="4"/>
    </row>
    <row r="2081" spans="6:23" ht="24" customHeight="1">
      <c r="H2081" s="1" t="s">
        <v>85</v>
      </c>
      <c r="M2081" s="837">
        <f>P2071</f>
        <v>18</v>
      </c>
      <c r="N2081" s="828" t="s">
        <v>884</v>
      </c>
      <c r="O2081" s="836" t="s">
        <v>4978</v>
      </c>
      <c r="P2081" s="837">
        <f t="shared" si="248"/>
        <v>60.9</v>
      </c>
      <c r="Q2081" s="829" t="s">
        <v>884</v>
      </c>
      <c r="R2081" s="837">
        <f t="shared" si="247"/>
        <v>1096.2</v>
      </c>
      <c r="W2081" s="4"/>
    </row>
    <row r="2082" spans="6:23" ht="24" customHeight="1">
      <c r="H2082" s="1" t="s">
        <v>192</v>
      </c>
      <c r="M2082" s="837">
        <f>P2072</f>
        <v>21.46</v>
      </c>
      <c r="N2082" s="828" t="s">
        <v>621</v>
      </c>
      <c r="O2082" s="829" t="s">
        <v>4979</v>
      </c>
      <c r="P2082" s="837">
        <f t="shared" si="248"/>
        <v>63.2</v>
      </c>
      <c r="Q2082" s="829" t="s">
        <v>621</v>
      </c>
      <c r="R2082" s="837">
        <f t="shared" si="247"/>
        <v>1356.27</v>
      </c>
      <c r="W2082" s="4"/>
    </row>
    <row r="2083" spans="6:23" ht="24" customHeight="1">
      <c r="H2083" s="1" t="s">
        <v>749</v>
      </c>
      <c r="J2083" s="1" t="s">
        <v>455</v>
      </c>
      <c r="K2083" s="8">
        <v>0.27</v>
      </c>
      <c r="M2083" s="830">
        <v>50</v>
      </c>
      <c r="N2083" s="828" t="s">
        <v>1457</v>
      </c>
      <c r="O2083" s="829" t="s">
        <v>1439</v>
      </c>
      <c r="P2083" s="837">
        <f t="shared" si="248"/>
        <v>240.31</v>
      </c>
      <c r="Q2083" s="831" t="s">
        <v>884</v>
      </c>
      <c r="R2083" s="837">
        <f t="shared" si="247"/>
        <v>12015.5</v>
      </c>
      <c r="W2083" s="4"/>
    </row>
    <row r="2084" spans="6:23" ht="24" customHeight="1">
      <c r="K2084" s="5" t="s">
        <v>1615</v>
      </c>
      <c r="M2084" s="830"/>
      <c r="N2084" s="832"/>
      <c r="O2084" s="830"/>
      <c r="P2084" s="830"/>
      <c r="Q2084" s="831"/>
      <c r="R2084" s="833" t="s">
        <v>1615</v>
      </c>
      <c r="W2084" s="4"/>
    </row>
    <row r="2085" spans="6:23" ht="24" customHeight="1">
      <c r="H2085" s="1" t="s">
        <v>1341</v>
      </c>
      <c r="K2085" s="8">
        <f>SUM(K2073:K2083)</f>
        <v>1853.9</v>
      </c>
      <c r="M2085" s="830"/>
      <c r="N2085" s="832"/>
      <c r="O2085" s="827" t="s">
        <v>1440</v>
      </c>
      <c r="P2085" s="830"/>
      <c r="Q2085" s="831"/>
      <c r="R2085" s="837">
        <f>SUM(R2074:R2083)</f>
        <v>61682.05</v>
      </c>
      <c r="W2085" s="4"/>
    </row>
    <row r="2086" spans="6:23" ht="24" customHeight="1">
      <c r="K2086" s="5" t="s">
        <v>1615</v>
      </c>
      <c r="M2086" s="830"/>
      <c r="N2086" s="828" t="s">
        <v>992</v>
      </c>
      <c r="O2086" s="830"/>
      <c r="P2086" s="830"/>
      <c r="Q2086" s="831"/>
      <c r="R2086" s="833" t="s">
        <v>1615</v>
      </c>
      <c r="W2086" s="4"/>
    </row>
    <row r="2087" spans="6:23" ht="24" customHeight="1">
      <c r="H2087" s="1" t="s">
        <v>1573</v>
      </c>
      <c r="K2087" s="8">
        <f>(K2085/3)</f>
        <v>617.97</v>
      </c>
      <c r="M2087" s="830"/>
      <c r="N2087" s="832"/>
      <c r="O2087" s="838" t="s">
        <v>562</v>
      </c>
      <c r="P2087" s="830"/>
      <c r="Q2087" s="831"/>
      <c r="R2087" s="839">
        <f>R2085/P2047</f>
        <v>7476.61</v>
      </c>
      <c r="W2087" s="4"/>
    </row>
    <row r="2088" spans="6:23" ht="24" customHeight="1">
      <c r="K2088" s="5" t="s">
        <v>1615</v>
      </c>
      <c r="M2088" s="830"/>
      <c r="N2088" s="832"/>
      <c r="O2088" s="830"/>
      <c r="P2088" s="830"/>
      <c r="Q2088" s="831"/>
      <c r="R2088" s="833" t="s">
        <v>2091</v>
      </c>
      <c r="W2088" s="4"/>
    </row>
    <row r="2089" spans="6:23" ht="24" customHeight="1">
      <c r="F2089" s="2" t="s">
        <v>87</v>
      </c>
      <c r="H2089" s="1" t="s">
        <v>208</v>
      </c>
      <c r="M2089" s="830"/>
      <c r="N2089" s="830"/>
      <c r="O2089" s="830"/>
      <c r="P2089" s="830"/>
      <c r="Q2089" s="830"/>
      <c r="R2089" s="830"/>
      <c r="W2089" s="4"/>
    </row>
    <row r="2090" spans="6:23" ht="24" customHeight="1">
      <c r="H2090" s="1" t="s">
        <v>1853</v>
      </c>
      <c r="W2090" s="4"/>
    </row>
    <row r="2091" spans="6:23" ht="24" customHeight="1">
      <c r="F2091" s="1" t="s">
        <v>992</v>
      </c>
      <c r="H2091" s="1" t="s">
        <v>2234</v>
      </c>
      <c r="W2091" s="4"/>
    </row>
    <row r="2092" spans="6:23" ht="48" customHeight="1">
      <c r="H2092" s="5" t="s">
        <v>1615</v>
      </c>
      <c r="M2092" s="820"/>
      <c r="N2092" s="820"/>
      <c r="O2092" s="820" t="s">
        <v>4980</v>
      </c>
      <c r="P2092" s="820"/>
      <c r="Q2092" s="820"/>
      <c r="R2092" s="820"/>
      <c r="W2092" s="4"/>
    </row>
    <row r="2093" spans="6:23" ht="24" customHeight="1">
      <c r="F2093" s="8">
        <v>3</v>
      </c>
      <c r="G2093" s="7" t="s">
        <v>2235</v>
      </c>
      <c r="H2093" s="1" t="s">
        <v>2236</v>
      </c>
      <c r="I2093" s="536">
        <f>D620</f>
        <v>120.54</v>
      </c>
      <c r="J2093" s="1" t="s">
        <v>2235</v>
      </c>
      <c r="K2093" s="8">
        <f>(F2093*I2093)</f>
        <v>361.62</v>
      </c>
      <c r="M2093" s="822">
        <v>8.5000000000000006E-2</v>
      </c>
      <c r="N2093" s="820" t="s">
        <v>2190</v>
      </c>
      <c r="O2093" s="820" t="s">
        <v>4981</v>
      </c>
      <c r="P2093" s="820">
        <f>Z718</f>
        <v>7928.12</v>
      </c>
      <c r="Q2093" s="820" t="s">
        <v>1423</v>
      </c>
      <c r="R2093" s="820">
        <f>M2093*P2093</f>
        <v>673.89</v>
      </c>
      <c r="W2093" s="4"/>
    </row>
    <row r="2094" spans="6:23" ht="24" customHeight="1">
      <c r="F2094" s="8">
        <v>1</v>
      </c>
      <c r="G2094" s="7" t="s">
        <v>1794</v>
      </c>
      <c r="H2094" s="1" t="s">
        <v>2237</v>
      </c>
      <c r="I2094" s="8">
        <f>C648</f>
        <v>82.3</v>
      </c>
      <c r="J2094" s="1" t="s">
        <v>1794</v>
      </c>
      <c r="K2094" s="8">
        <f>(F2094*I2094)</f>
        <v>82.3</v>
      </c>
      <c r="M2094" s="820">
        <v>8.5</v>
      </c>
      <c r="N2094" s="820" t="s">
        <v>1676</v>
      </c>
      <c r="O2094" s="820" t="s">
        <v>4982</v>
      </c>
      <c r="P2094" s="820">
        <f>K1608/1000</f>
        <v>90.17</v>
      </c>
      <c r="Q2094" s="820" t="s">
        <v>1676</v>
      </c>
      <c r="R2094" s="820">
        <f>M2094*P2094</f>
        <v>766.45</v>
      </c>
      <c r="W2094" s="4"/>
    </row>
    <row r="2095" spans="6:23" ht="24" customHeight="1">
      <c r="F2095" s="8">
        <v>1</v>
      </c>
      <c r="G2095" s="7" t="s">
        <v>1794</v>
      </c>
      <c r="H2095" s="1" t="s">
        <v>2238</v>
      </c>
      <c r="I2095" s="8">
        <v>8</v>
      </c>
      <c r="J2095" s="1" t="s">
        <v>1794</v>
      </c>
      <c r="K2095" s="8">
        <f>(F2095*I2095)</f>
        <v>8</v>
      </c>
      <c r="M2095" s="820"/>
      <c r="N2095" s="820"/>
      <c r="O2095" s="820" t="s">
        <v>2310</v>
      </c>
      <c r="P2095" s="820"/>
      <c r="Q2095" s="820"/>
      <c r="R2095" s="821" t="s">
        <v>1615</v>
      </c>
      <c r="W2095" s="4"/>
    </row>
    <row r="2096" spans="6:23" ht="24" customHeight="1">
      <c r="F2096" s="2" t="s">
        <v>748</v>
      </c>
      <c r="H2096" s="1" t="s">
        <v>2239</v>
      </c>
      <c r="I2096" s="2" t="s">
        <v>748</v>
      </c>
      <c r="K2096" s="8">
        <f>1.21+0.47+0.4</f>
        <v>2.08</v>
      </c>
      <c r="M2096" s="820"/>
      <c r="N2096" s="820"/>
      <c r="O2096" s="820"/>
      <c r="P2096" s="820"/>
      <c r="Q2096" s="820"/>
      <c r="R2096" s="820">
        <f>SUM(R2093:R2095)</f>
        <v>1440.34</v>
      </c>
      <c r="W2096" s="4"/>
    </row>
    <row r="2097" spans="6:23" ht="24" customHeight="1">
      <c r="K2097" s="5" t="s">
        <v>1615</v>
      </c>
      <c r="W2097" s="4"/>
    </row>
    <row r="2098" spans="6:23" ht="24" customHeight="1">
      <c r="H2098" s="1" t="s">
        <v>401</v>
      </c>
      <c r="K2098" s="8">
        <f>SUM(K2093:K2096)</f>
        <v>454</v>
      </c>
      <c r="M2098" s="820"/>
      <c r="N2098" s="820"/>
      <c r="O2098" s="820" t="s">
        <v>4980</v>
      </c>
      <c r="P2098" s="820"/>
      <c r="Q2098" s="820"/>
      <c r="R2098" s="820"/>
      <c r="W2098" s="4"/>
    </row>
    <row r="2099" spans="6:23" ht="24" customHeight="1">
      <c r="K2099" s="5" t="s">
        <v>1615</v>
      </c>
      <c r="M2099" s="822">
        <v>4.4999999999999998E-2</v>
      </c>
      <c r="N2099" s="820" t="s">
        <v>2190</v>
      </c>
      <c r="O2099" s="820" t="s">
        <v>4984</v>
      </c>
      <c r="P2099" s="820">
        <f>P2093</f>
        <v>7928.12</v>
      </c>
      <c r="Q2099" s="820" t="s">
        <v>1423</v>
      </c>
      <c r="R2099" s="820">
        <f>M2099*P2099</f>
        <v>356.77</v>
      </c>
      <c r="W2099" s="4"/>
    </row>
    <row r="2100" spans="6:23" ht="24" customHeight="1">
      <c r="M2100" s="820">
        <v>4.5</v>
      </c>
      <c r="N2100" s="820" t="s">
        <v>1676</v>
      </c>
      <c r="O2100" s="820" t="s">
        <v>4982</v>
      </c>
      <c r="P2100" s="820">
        <f>P2094</f>
        <v>90.17</v>
      </c>
      <c r="Q2100" s="820" t="s">
        <v>1676</v>
      </c>
      <c r="R2100" s="820">
        <f>M2100*P2100</f>
        <v>405.77</v>
      </c>
      <c r="W2100" s="4"/>
    </row>
    <row r="2101" spans="6:23" ht="24" customHeight="1">
      <c r="F2101" s="2" t="s">
        <v>402</v>
      </c>
      <c r="G2101" s="7" t="s">
        <v>2290</v>
      </c>
      <c r="H2101" s="1" t="s">
        <v>1154</v>
      </c>
      <c r="M2101" s="820"/>
      <c r="N2101" s="820"/>
      <c r="O2101" s="820" t="s">
        <v>2310</v>
      </c>
      <c r="P2101" s="820"/>
      <c r="Q2101" s="820"/>
      <c r="R2101" s="821" t="s">
        <v>1615</v>
      </c>
      <c r="W2101" s="4"/>
    </row>
    <row r="2102" spans="6:23" ht="24" customHeight="1">
      <c r="H2102" s="1" t="s">
        <v>298</v>
      </c>
      <c r="M2102" s="820"/>
      <c r="N2102" s="820"/>
      <c r="O2102" s="820"/>
      <c r="P2102" s="820"/>
      <c r="Q2102" s="820"/>
      <c r="R2102" s="820">
        <f>SUM(R2099:R2101)</f>
        <v>762.54</v>
      </c>
      <c r="W2102" s="4"/>
    </row>
    <row r="2103" spans="6:23" ht="24" customHeight="1">
      <c r="H2103" s="5" t="s">
        <v>1615</v>
      </c>
      <c r="W2103" s="4"/>
    </row>
    <row r="2104" spans="6:23" ht="24" customHeight="1">
      <c r="F2104" s="8">
        <v>1</v>
      </c>
      <c r="G2104" s="7" t="s">
        <v>884</v>
      </c>
      <c r="H2104" s="1" t="s">
        <v>298</v>
      </c>
      <c r="I2104" s="8">
        <f>(C266)</f>
        <v>170.35</v>
      </c>
      <c r="J2104" s="1" t="s">
        <v>884</v>
      </c>
      <c r="K2104" s="8">
        <f>(F2104*I2104)</f>
        <v>170.35</v>
      </c>
      <c r="W2104" s="4"/>
    </row>
    <row r="2105" spans="6:23" ht="24" customHeight="1">
      <c r="F2105" s="8">
        <v>0.05</v>
      </c>
      <c r="G2105" s="7" t="s">
        <v>885</v>
      </c>
      <c r="H2105" s="1" t="s">
        <v>1197</v>
      </c>
      <c r="I2105" s="8">
        <f>(R60)</f>
        <v>4208.49</v>
      </c>
      <c r="J2105" s="1" t="s">
        <v>885</v>
      </c>
      <c r="K2105" s="8">
        <f>(F2105*I2105)</f>
        <v>210.42</v>
      </c>
      <c r="M2105" s="820"/>
      <c r="N2105" s="820"/>
      <c r="O2105" s="820" t="s">
        <v>4983</v>
      </c>
      <c r="P2105" s="820"/>
      <c r="Q2105" s="820"/>
      <c r="R2105" s="820"/>
      <c r="W2105" s="4"/>
    </row>
    <row r="2106" spans="6:23" ht="24" customHeight="1">
      <c r="F2106" s="8">
        <v>0.5</v>
      </c>
      <c r="G2106" s="7" t="s">
        <v>884</v>
      </c>
      <c r="H2106" s="1" t="s">
        <v>2140</v>
      </c>
      <c r="I2106" s="8">
        <f>(C15)</f>
        <v>903.1</v>
      </c>
      <c r="J2106" s="1" t="s">
        <v>884</v>
      </c>
      <c r="K2106" s="8">
        <f>(F2106*I2106)</f>
        <v>451.55</v>
      </c>
      <c r="M2106" s="822">
        <v>8.5000000000000006E-2</v>
      </c>
      <c r="N2106" s="820" t="s">
        <v>2190</v>
      </c>
      <c r="O2106" s="820" t="s">
        <v>4981</v>
      </c>
      <c r="P2106" s="820">
        <f>Z718</f>
        <v>7928.12</v>
      </c>
      <c r="Q2106" s="820" t="s">
        <v>1423</v>
      </c>
      <c r="R2106" s="820">
        <f>M2106*P2106</f>
        <v>673.89</v>
      </c>
      <c r="W2106" s="4"/>
    </row>
    <row r="2107" spans="6:23" ht="24" customHeight="1">
      <c r="F2107" s="8">
        <v>1</v>
      </c>
      <c r="G2107" s="7" t="s">
        <v>884</v>
      </c>
      <c r="H2107" s="1" t="s">
        <v>1937</v>
      </c>
      <c r="I2107" s="8">
        <f>(C12)</f>
        <v>679.8</v>
      </c>
      <c r="J2107" s="1" t="s">
        <v>884</v>
      </c>
      <c r="K2107" s="8">
        <f>(F2107*I2107)</f>
        <v>679.8</v>
      </c>
      <c r="M2107" s="820">
        <v>8.5</v>
      </c>
      <c r="N2107" s="820" t="s">
        <v>1676</v>
      </c>
      <c r="O2107" s="820" t="s">
        <v>4982</v>
      </c>
      <c r="P2107" s="820">
        <f>P2100</f>
        <v>90.17</v>
      </c>
      <c r="Q2107" s="820" t="s">
        <v>1676</v>
      </c>
      <c r="R2107" s="820">
        <f>M2107*P2107</f>
        <v>766.45</v>
      </c>
      <c r="W2107" s="4"/>
    </row>
    <row r="2108" spans="6:23" ht="24" customHeight="1">
      <c r="F2108" s="8">
        <v>1</v>
      </c>
      <c r="G2108" s="7" t="s">
        <v>884</v>
      </c>
      <c r="H2108" s="1" t="s">
        <v>325</v>
      </c>
      <c r="I2108" s="8">
        <f>(C13)</f>
        <v>557.70000000000005</v>
      </c>
      <c r="J2108" s="1" t="s">
        <v>884</v>
      </c>
      <c r="K2108" s="8">
        <f>(F2108*I2108)</f>
        <v>557.70000000000005</v>
      </c>
      <c r="M2108" s="820"/>
      <c r="N2108" s="820"/>
      <c r="O2108" s="820" t="s">
        <v>2310</v>
      </c>
      <c r="P2108" s="820"/>
      <c r="Q2108" s="820"/>
      <c r="R2108" s="821" t="s">
        <v>1615</v>
      </c>
      <c r="W2108" s="4"/>
    </row>
    <row r="2109" spans="6:23" ht="24" customHeight="1">
      <c r="G2109" s="7" t="s">
        <v>455</v>
      </c>
      <c r="H2109" s="1" t="s">
        <v>456</v>
      </c>
      <c r="I2109" s="1" t="s">
        <v>992</v>
      </c>
      <c r="J2109" s="1" t="s">
        <v>455</v>
      </c>
      <c r="K2109" s="8">
        <v>0.54</v>
      </c>
      <c r="M2109" s="820"/>
      <c r="N2109" s="820"/>
      <c r="O2109" s="820"/>
      <c r="P2109" s="820"/>
      <c r="Q2109" s="820"/>
      <c r="R2109" s="820">
        <f>SUM(R2106:R2108)</f>
        <v>1440.34</v>
      </c>
      <c r="W2109" s="4"/>
    </row>
    <row r="2110" spans="6:23" ht="24" customHeight="1">
      <c r="H2110" s="1" t="s">
        <v>992</v>
      </c>
      <c r="K2110" s="5" t="s">
        <v>1615</v>
      </c>
      <c r="W2110" s="4"/>
    </row>
    <row r="2111" spans="6:23" ht="24" customHeight="1">
      <c r="H2111" s="1" t="s">
        <v>1785</v>
      </c>
      <c r="K2111" s="8">
        <f>SUM(K2104:K2109)</f>
        <v>2070.36</v>
      </c>
      <c r="W2111" s="4"/>
    </row>
    <row r="2112" spans="6:23" ht="66" customHeight="1">
      <c r="K2112" s="5" t="s">
        <v>2091</v>
      </c>
      <c r="M2112" s="820"/>
      <c r="N2112" s="820"/>
      <c r="O2112" s="820" t="s">
        <v>4983</v>
      </c>
      <c r="P2112" s="820"/>
      <c r="Q2112" s="820"/>
      <c r="R2112" s="820"/>
      <c r="W2112" s="4"/>
    </row>
    <row r="2113" spans="6:23" ht="24" customHeight="1">
      <c r="F2113" s="2" t="s">
        <v>1198</v>
      </c>
      <c r="G2113" s="7" t="s">
        <v>2290</v>
      </c>
      <c r="H2113" s="1" t="s">
        <v>2264</v>
      </c>
      <c r="M2113" s="822">
        <v>8.5000000000000006E-2</v>
      </c>
      <c r="N2113" s="820" t="s">
        <v>2190</v>
      </c>
      <c r="O2113" s="820" t="s">
        <v>4981</v>
      </c>
      <c r="P2113" s="820">
        <f>Z725</f>
        <v>0</v>
      </c>
      <c r="Q2113" s="820" t="s">
        <v>1423</v>
      </c>
      <c r="R2113" s="820">
        <f>M2113*P2113</f>
        <v>0</v>
      </c>
      <c r="W2113" s="4"/>
    </row>
    <row r="2114" spans="6:23" ht="24" customHeight="1">
      <c r="H2114" s="1" t="s">
        <v>2158</v>
      </c>
      <c r="M2114" s="820">
        <v>8.5</v>
      </c>
      <c r="N2114" s="820" t="s">
        <v>1676</v>
      </c>
      <c r="O2114" s="820" t="s">
        <v>4982</v>
      </c>
      <c r="P2114" s="820">
        <f>P2107</f>
        <v>90.17</v>
      </c>
      <c r="Q2114" s="820" t="s">
        <v>1676</v>
      </c>
      <c r="R2114" s="820">
        <f>M2114*P2114</f>
        <v>766.45</v>
      </c>
      <c r="W2114" s="4"/>
    </row>
    <row r="2115" spans="6:23" ht="24" customHeight="1">
      <c r="H2115" s="5" t="s">
        <v>1615</v>
      </c>
      <c r="M2115" s="820"/>
      <c r="N2115" s="820"/>
      <c r="O2115" s="820" t="s">
        <v>2310</v>
      </c>
      <c r="P2115" s="820"/>
      <c r="Q2115" s="820"/>
      <c r="R2115" s="821" t="s">
        <v>1615</v>
      </c>
      <c r="W2115" s="4"/>
    </row>
    <row r="2116" spans="6:23" ht="24" customHeight="1">
      <c r="F2116" s="8">
        <v>1</v>
      </c>
      <c r="G2116" s="7" t="s">
        <v>884</v>
      </c>
      <c r="H2116" s="1" t="s">
        <v>2265</v>
      </c>
      <c r="I2116" s="8">
        <f>(D267)</f>
        <v>156</v>
      </c>
      <c r="J2116" s="1" t="s">
        <v>884</v>
      </c>
      <c r="K2116" s="8">
        <f>(F2116*I2116)</f>
        <v>156</v>
      </c>
      <c r="M2116" s="820"/>
      <c r="N2116" s="820"/>
      <c r="O2116" s="820"/>
      <c r="P2116" s="820"/>
      <c r="Q2116" s="820"/>
      <c r="R2116" s="820">
        <f>SUM(R2113:R2115)</f>
        <v>766.45</v>
      </c>
      <c r="W2116" s="4"/>
    </row>
    <row r="2117" spans="6:23" ht="33" customHeight="1">
      <c r="G2117" s="7" t="s">
        <v>455</v>
      </c>
      <c r="H2117" s="1" t="s">
        <v>1718</v>
      </c>
      <c r="J2117" s="1" t="s">
        <v>455</v>
      </c>
      <c r="K2117" s="8">
        <v>4</v>
      </c>
      <c r="W2117" s="4"/>
    </row>
    <row r="2118" spans="6:23" ht="24" customHeight="1">
      <c r="J2118" s="1" t="s">
        <v>992</v>
      </c>
      <c r="K2118" s="5" t="s">
        <v>1615</v>
      </c>
      <c r="W2118" s="4"/>
    </row>
    <row r="2119" spans="6:23" ht="49.5" customHeight="1">
      <c r="H2119" s="1" t="s">
        <v>1785</v>
      </c>
      <c r="K2119" s="8">
        <f>SUM(K2116:K2118)</f>
        <v>160</v>
      </c>
      <c r="W2119" s="4"/>
    </row>
    <row r="2120" spans="6:23" ht="24" customHeight="1">
      <c r="K2120" s="5" t="s">
        <v>1615</v>
      </c>
      <c r="W2120" s="4"/>
    </row>
    <row r="2121" spans="6:23" ht="24" customHeight="1">
      <c r="F2121" s="2" t="s">
        <v>1719</v>
      </c>
      <c r="G2121" s="7" t="s">
        <v>2290</v>
      </c>
      <c r="H2121" s="1" t="s">
        <v>53</v>
      </c>
      <c r="W2121" s="4"/>
    </row>
    <row r="2122" spans="6:23" ht="24" customHeight="1">
      <c r="H2122" s="1" t="s">
        <v>54</v>
      </c>
      <c r="W2122" s="4"/>
    </row>
    <row r="2123" spans="6:23" ht="24" customHeight="1">
      <c r="H2123" s="5" t="s">
        <v>1615</v>
      </c>
      <c r="W2123" s="4"/>
    </row>
    <row r="2124" spans="6:23" ht="24" customHeight="1">
      <c r="F2124" s="8">
        <v>50</v>
      </c>
      <c r="G2124" s="7" t="s">
        <v>884</v>
      </c>
      <c r="H2124" s="1" t="s">
        <v>806</v>
      </c>
      <c r="I2124" s="63">
        <f>C204</f>
        <v>63.4</v>
      </c>
      <c r="J2124" s="1" t="s">
        <v>884</v>
      </c>
      <c r="K2124" s="8">
        <f t="shared" ref="K2124:K2133" si="249">(F2124*I2124)</f>
        <v>3170</v>
      </c>
      <c r="W2124" s="4"/>
    </row>
    <row r="2125" spans="6:23" ht="24" customHeight="1">
      <c r="F2125" s="8">
        <v>21.6</v>
      </c>
      <c r="G2125" s="7" t="s">
        <v>885</v>
      </c>
      <c r="H2125" s="1" t="s">
        <v>807</v>
      </c>
      <c r="I2125" s="8">
        <f>(C61*2)</f>
        <v>233.76</v>
      </c>
      <c r="J2125" s="1" t="s">
        <v>885</v>
      </c>
      <c r="K2125" s="8">
        <f t="shared" si="249"/>
        <v>5049.22</v>
      </c>
      <c r="W2125" s="4"/>
    </row>
    <row r="2126" spans="6:23" ht="59.25" customHeight="1">
      <c r="F2126" s="8">
        <v>21.6</v>
      </c>
      <c r="G2126" s="7" t="s">
        <v>885</v>
      </c>
      <c r="H2126" s="1" t="s">
        <v>254</v>
      </c>
      <c r="I2126" s="8">
        <f>(C26)</f>
        <v>40.65</v>
      </c>
      <c r="J2126" s="1" t="s">
        <v>885</v>
      </c>
      <c r="K2126" s="8">
        <f t="shared" si="249"/>
        <v>878.04</v>
      </c>
      <c r="W2126" s="4"/>
    </row>
    <row r="2127" spans="6:23" ht="24" customHeight="1">
      <c r="F2127" s="8">
        <v>45</v>
      </c>
      <c r="G2127" s="7" t="s">
        <v>1676</v>
      </c>
      <c r="H2127" s="1" t="s">
        <v>878</v>
      </c>
      <c r="I2127" s="8">
        <f>(C67/1000)</f>
        <v>6.04</v>
      </c>
      <c r="J2127" s="1" t="s">
        <v>1676</v>
      </c>
      <c r="K2127" s="8">
        <f t="shared" si="249"/>
        <v>271.8</v>
      </c>
      <c r="W2127" s="4"/>
    </row>
    <row r="2128" spans="6:23" ht="24" customHeight="1">
      <c r="F2128" s="8">
        <v>0.04</v>
      </c>
      <c r="G2128" s="7" t="s">
        <v>885</v>
      </c>
      <c r="H2128" s="1" t="s">
        <v>886</v>
      </c>
      <c r="I2128" s="8">
        <f>(C78)</f>
        <v>1608.7</v>
      </c>
      <c r="J2128" s="1" t="s">
        <v>885</v>
      </c>
      <c r="K2128" s="8">
        <f t="shared" si="249"/>
        <v>64.349999999999994</v>
      </c>
      <c r="W2128" s="4"/>
    </row>
    <row r="2129" spans="6:23" ht="24" customHeight="1">
      <c r="F2129" s="8">
        <v>3.63</v>
      </c>
      <c r="G2129" s="7" t="s">
        <v>1676</v>
      </c>
      <c r="H2129" s="1" t="s">
        <v>808</v>
      </c>
      <c r="I2129" s="8">
        <f>(C607)</f>
        <v>11.8</v>
      </c>
      <c r="J2129" s="1" t="s">
        <v>1676</v>
      </c>
      <c r="K2129" s="8">
        <f t="shared" si="249"/>
        <v>42.83</v>
      </c>
      <c r="W2129" s="4"/>
    </row>
    <row r="2130" spans="6:23" ht="24" customHeight="1">
      <c r="F2130" s="8">
        <v>2</v>
      </c>
      <c r="G2130" s="7" t="s">
        <v>884</v>
      </c>
      <c r="H2130" s="1" t="s">
        <v>2045</v>
      </c>
      <c r="I2130" s="8">
        <f>(C10)</f>
        <v>1041.7</v>
      </c>
      <c r="J2130" s="1" t="s">
        <v>884</v>
      </c>
      <c r="K2130" s="8">
        <f t="shared" si="249"/>
        <v>2083.4</v>
      </c>
      <c r="W2130" s="4"/>
    </row>
    <row r="2131" spans="6:23" ht="24" customHeight="1">
      <c r="F2131" s="8">
        <v>1</v>
      </c>
      <c r="G2131" s="7" t="s">
        <v>884</v>
      </c>
      <c r="H2131" s="1" t="s">
        <v>809</v>
      </c>
      <c r="I2131" s="8">
        <f>AE37</f>
        <v>875.6</v>
      </c>
      <c r="J2131" s="1" t="s">
        <v>884</v>
      </c>
      <c r="K2131" s="8">
        <f t="shared" si="249"/>
        <v>875.6</v>
      </c>
      <c r="W2131" s="4"/>
    </row>
    <row r="2132" spans="6:23" ht="24" customHeight="1">
      <c r="F2132" s="8">
        <v>5</v>
      </c>
      <c r="G2132" s="7" t="s">
        <v>884</v>
      </c>
      <c r="H2132" s="1" t="s">
        <v>1937</v>
      </c>
      <c r="I2132" s="8">
        <f>(C12)</f>
        <v>679.8</v>
      </c>
      <c r="J2132" s="1" t="s">
        <v>884</v>
      </c>
      <c r="K2132" s="8">
        <f t="shared" si="249"/>
        <v>3399</v>
      </c>
      <c r="W2132" s="4"/>
    </row>
    <row r="2133" spans="6:23" ht="24" customHeight="1">
      <c r="F2133" s="8">
        <v>2</v>
      </c>
      <c r="G2133" s="7" t="s">
        <v>884</v>
      </c>
      <c r="H2133" s="1" t="s">
        <v>325</v>
      </c>
      <c r="I2133" s="8">
        <f>(C13)</f>
        <v>557.70000000000005</v>
      </c>
      <c r="J2133" s="1" t="s">
        <v>884</v>
      </c>
      <c r="K2133" s="8">
        <f t="shared" si="249"/>
        <v>1115.4000000000001</v>
      </c>
      <c r="W2133" s="4"/>
    </row>
    <row r="2134" spans="6:23" ht="24" customHeight="1">
      <c r="G2134" s="7" t="s">
        <v>455</v>
      </c>
      <c r="H2134" s="1" t="s">
        <v>2174</v>
      </c>
      <c r="J2134" s="1" t="s">
        <v>455</v>
      </c>
      <c r="K2134" s="8">
        <f>SUM(K2130:K2133)/10+7.5</f>
        <v>754.84</v>
      </c>
      <c r="W2134" s="4"/>
    </row>
    <row r="2135" spans="6:23" ht="24" customHeight="1">
      <c r="K2135" s="5" t="s">
        <v>1615</v>
      </c>
      <c r="W2135" s="4"/>
    </row>
    <row r="2136" spans="6:23" ht="24" customHeight="1">
      <c r="H2136" s="1" t="s">
        <v>2175</v>
      </c>
      <c r="K2136" s="8">
        <f>SUM(K2124:K2134)</f>
        <v>17704.48</v>
      </c>
      <c r="W2136" s="4"/>
    </row>
    <row r="2137" spans="6:23" ht="24" customHeight="1">
      <c r="K2137" s="5" t="s">
        <v>1615</v>
      </c>
      <c r="W2137" s="4"/>
    </row>
    <row r="2138" spans="6:23" ht="24" customHeight="1">
      <c r="H2138" s="1" t="s">
        <v>1144</v>
      </c>
      <c r="K2138" s="8">
        <f>(K2136/30)</f>
        <v>590.15</v>
      </c>
      <c r="W2138" s="4"/>
    </row>
    <row r="2139" spans="6:23" ht="24" customHeight="1">
      <c r="K2139" s="5" t="s">
        <v>2091</v>
      </c>
      <c r="W2139" s="4"/>
    </row>
    <row r="2140" spans="6:23" ht="24" customHeight="1">
      <c r="W2140" s="4"/>
    </row>
    <row r="2141" spans="6:23" ht="24" customHeight="1">
      <c r="F2141" s="2" t="s">
        <v>1145</v>
      </c>
      <c r="G2141" s="7" t="s">
        <v>2290</v>
      </c>
      <c r="H2141" s="1" t="s">
        <v>1038</v>
      </c>
      <c r="W2141" s="4"/>
    </row>
    <row r="2142" spans="6:23" ht="24" customHeight="1">
      <c r="H2142" s="1" t="s">
        <v>54</v>
      </c>
      <c r="W2142" s="4"/>
    </row>
    <row r="2143" spans="6:23" ht="24" customHeight="1">
      <c r="H2143" s="5" t="s">
        <v>1615</v>
      </c>
      <c r="W2143" s="4"/>
    </row>
    <row r="2144" spans="6:23" ht="24" customHeight="1">
      <c r="F2144" s="8">
        <v>50</v>
      </c>
      <c r="G2144" s="7" t="s">
        <v>884</v>
      </c>
      <c r="H2144" s="1" t="s">
        <v>578</v>
      </c>
      <c r="I2144" s="63">
        <f>C205</f>
        <v>102</v>
      </c>
      <c r="J2144" s="1" t="s">
        <v>884</v>
      </c>
      <c r="K2144" s="8">
        <f t="shared" ref="K2144:K2153" si="250">(F2144*I2144)</f>
        <v>5100</v>
      </c>
      <c r="W2144" s="4"/>
    </row>
    <row r="2145" spans="6:23" ht="24" customHeight="1">
      <c r="F2145" s="8">
        <v>21.6</v>
      </c>
      <c r="G2145" s="7" t="s">
        <v>885</v>
      </c>
      <c r="H2145" s="1" t="s">
        <v>807</v>
      </c>
      <c r="I2145" s="8">
        <f>(C61*2)</f>
        <v>233.76</v>
      </c>
      <c r="J2145" s="1" t="s">
        <v>885</v>
      </c>
      <c r="K2145" s="8">
        <f t="shared" si="250"/>
        <v>5049.22</v>
      </c>
      <c r="W2145" s="4"/>
    </row>
    <row r="2146" spans="6:23" ht="24" customHeight="1">
      <c r="F2146" s="8">
        <v>21.6</v>
      </c>
      <c r="G2146" s="7" t="s">
        <v>885</v>
      </c>
      <c r="H2146" s="1" t="s">
        <v>254</v>
      </c>
      <c r="I2146" s="8">
        <f>(C26)</f>
        <v>40.65</v>
      </c>
      <c r="J2146" s="1" t="s">
        <v>885</v>
      </c>
      <c r="K2146" s="8">
        <f t="shared" si="250"/>
        <v>878.04</v>
      </c>
      <c r="W2146" s="4"/>
    </row>
    <row r="2147" spans="6:23" ht="24" customHeight="1">
      <c r="F2147" s="8">
        <v>68</v>
      </c>
      <c r="G2147" s="7" t="s">
        <v>1676</v>
      </c>
      <c r="H2147" s="1" t="s">
        <v>878</v>
      </c>
      <c r="I2147" s="8">
        <f>(C67/1000)</f>
        <v>6.04</v>
      </c>
      <c r="J2147" s="1" t="s">
        <v>1676</v>
      </c>
      <c r="K2147" s="8">
        <f t="shared" si="250"/>
        <v>410.72</v>
      </c>
      <c r="W2147" s="4"/>
    </row>
    <row r="2148" spans="6:23" ht="24" customHeight="1">
      <c r="F2148" s="8">
        <v>7.0000000000000007E-2</v>
      </c>
      <c r="G2148" s="7" t="s">
        <v>885</v>
      </c>
      <c r="H2148" s="1" t="s">
        <v>886</v>
      </c>
      <c r="I2148" s="8">
        <f>(C78)</f>
        <v>1608.7</v>
      </c>
      <c r="J2148" s="1" t="s">
        <v>885</v>
      </c>
      <c r="K2148" s="8">
        <f t="shared" si="250"/>
        <v>112.61</v>
      </c>
      <c r="M2148" s="2" t="s">
        <v>1145</v>
      </c>
      <c r="N2148" s="7" t="s">
        <v>2290</v>
      </c>
      <c r="O2148" s="1" t="s">
        <v>754</v>
      </c>
      <c r="Q2148" s="10"/>
      <c r="W2148" s="4"/>
    </row>
    <row r="2149" spans="6:23" ht="24" customHeight="1">
      <c r="F2149" s="8">
        <v>5.45</v>
      </c>
      <c r="G2149" s="7" t="s">
        <v>1676</v>
      </c>
      <c r="H2149" s="1" t="s">
        <v>808</v>
      </c>
      <c r="I2149" s="8">
        <f>(C607)</f>
        <v>11.8</v>
      </c>
      <c r="J2149" s="1" t="s">
        <v>1676</v>
      </c>
      <c r="K2149" s="8">
        <f t="shared" si="250"/>
        <v>64.31</v>
      </c>
      <c r="N2149" s="3"/>
      <c r="O2149" s="1" t="s">
        <v>54</v>
      </c>
      <c r="Q2149" s="10"/>
      <c r="W2149" s="4"/>
    </row>
    <row r="2150" spans="6:23" ht="24" customHeight="1">
      <c r="F2150" s="8">
        <v>3</v>
      </c>
      <c r="G2150" s="7" t="s">
        <v>884</v>
      </c>
      <c r="H2150" s="1" t="s">
        <v>2045</v>
      </c>
      <c r="I2150" s="8">
        <f>(C10)</f>
        <v>1041.7</v>
      </c>
      <c r="J2150" s="1" t="s">
        <v>884</v>
      </c>
      <c r="K2150" s="8">
        <f t="shared" si="250"/>
        <v>3125.1</v>
      </c>
      <c r="N2150" s="3"/>
      <c r="O2150" s="5" t="s">
        <v>1615</v>
      </c>
      <c r="Q2150" s="10"/>
      <c r="W2150" s="4"/>
    </row>
    <row r="2151" spans="6:23" ht="39" customHeight="1">
      <c r="F2151" s="8">
        <v>2</v>
      </c>
      <c r="G2151" s="7" t="s">
        <v>884</v>
      </c>
      <c r="H2151" s="1" t="s">
        <v>809</v>
      </c>
      <c r="I2151" s="8">
        <f>AE37</f>
        <v>875.6</v>
      </c>
      <c r="J2151" s="1" t="s">
        <v>884</v>
      </c>
      <c r="K2151" s="8">
        <f t="shared" si="250"/>
        <v>1751.2</v>
      </c>
      <c r="M2151" s="8">
        <v>50</v>
      </c>
      <c r="N2151" s="7" t="s">
        <v>884</v>
      </c>
      <c r="O2151" s="22" t="s">
        <v>5143</v>
      </c>
      <c r="P2151" s="513">
        <v>455</v>
      </c>
      <c r="Q2151" s="1" t="s">
        <v>884</v>
      </c>
      <c r="R2151" s="8">
        <f t="shared" ref="R2151:R2160" si="251">(M2151*P2151)</f>
        <v>22750</v>
      </c>
      <c r="W2151" s="4"/>
    </row>
    <row r="2152" spans="6:23" ht="24" customHeight="1">
      <c r="F2152" s="8">
        <v>6</v>
      </c>
      <c r="G2152" s="7" t="s">
        <v>884</v>
      </c>
      <c r="H2152" s="1" t="s">
        <v>1937</v>
      </c>
      <c r="I2152" s="8">
        <f>(C12)</f>
        <v>679.8</v>
      </c>
      <c r="J2152" s="1" t="s">
        <v>884</v>
      </c>
      <c r="K2152" s="8">
        <f t="shared" si="250"/>
        <v>4078.8</v>
      </c>
      <c r="M2152" s="8">
        <v>21.6</v>
      </c>
      <c r="N2152" s="7" t="s">
        <v>885</v>
      </c>
      <c r="O2152" s="1" t="s">
        <v>807</v>
      </c>
      <c r="P2152" s="8">
        <f>I2145</f>
        <v>233.76</v>
      </c>
      <c r="Q2152" s="1" t="s">
        <v>885</v>
      </c>
      <c r="R2152" s="8">
        <f t="shared" si="251"/>
        <v>5049.22</v>
      </c>
      <c r="W2152" s="4"/>
    </row>
    <row r="2153" spans="6:23" ht="24" customHeight="1">
      <c r="F2153" s="8">
        <v>3</v>
      </c>
      <c r="G2153" s="7" t="s">
        <v>884</v>
      </c>
      <c r="H2153" s="1" t="s">
        <v>325</v>
      </c>
      <c r="I2153" s="8">
        <f>(C13)</f>
        <v>557.70000000000005</v>
      </c>
      <c r="J2153" s="1" t="s">
        <v>884</v>
      </c>
      <c r="K2153" s="8">
        <f t="shared" si="250"/>
        <v>1673.1</v>
      </c>
      <c r="M2153" s="8">
        <v>21.6</v>
      </c>
      <c r="N2153" s="7" t="s">
        <v>885</v>
      </c>
      <c r="O2153" s="1" t="s">
        <v>254</v>
      </c>
      <c r="P2153" s="8">
        <f t="shared" ref="P2153:P2160" si="252">I2146</f>
        <v>40.65</v>
      </c>
      <c r="Q2153" s="1" t="s">
        <v>885</v>
      </c>
      <c r="R2153" s="8">
        <f t="shared" si="251"/>
        <v>878.04</v>
      </c>
      <c r="W2153" s="4"/>
    </row>
    <row r="2154" spans="6:23" ht="24" customHeight="1">
      <c r="G2154" s="7" t="s">
        <v>455</v>
      </c>
      <c r="H2154" s="1" t="s">
        <v>2174</v>
      </c>
      <c r="J2154" s="1" t="s">
        <v>455</v>
      </c>
      <c r="K2154" s="8">
        <f>SUM(K2150:K2153)/10+4.8</f>
        <v>1067.6199999999999</v>
      </c>
      <c r="M2154" s="8">
        <v>115</v>
      </c>
      <c r="N2154" s="7" t="s">
        <v>1676</v>
      </c>
      <c r="O2154" s="1" t="s">
        <v>878</v>
      </c>
      <c r="P2154" s="8">
        <f t="shared" si="252"/>
        <v>6.04</v>
      </c>
      <c r="Q2154" s="1" t="s">
        <v>1676</v>
      </c>
      <c r="R2154" s="8">
        <f t="shared" si="251"/>
        <v>694.6</v>
      </c>
      <c r="W2154" s="4"/>
    </row>
    <row r="2155" spans="6:23" ht="24" customHeight="1">
      <c r="K2155" s="5" t="s">
        <v>1615</v>
      </c>
      <c r="M2155" s="8">
        <v>0.11</v>
      </c>
      <c r="N2155" s="7" t="s">
        <v>885</v>
      </c>
      <c r="O2155" s="1" t="s">
        <v>886</v>
      </c>
      <c r="P2155" s="8">
        <f t="shared" si="252"/>
        <v>1608.7</v>
      </c>
      <c r="Q2155" s="1" t="s">
        <v>885</v>
      </c>
      <c r="R2155" s="8">
        <f t="shared" si="251"/>
        <v>176.96</v>
      </c>
      <c r="W2155" s="4"/>
    </row>
    <row r="2156" spans="6:23" ht="24" customHeight="1">
      <c r="H2156" s="1" t="s">
        <v>2175</v>
      </c>
      <c r="K2156" s="8">
        <f>SUM(K2144:K2154)</f>
        <v>23310.720000000001</v>
      </c>
      <c r="M2156" s="8">
        <v>8.35</v>
      </c>
      <c r="N2156" s="7" t="s">
        <v>1676</v>
      </c>
      <c r="O2156" s="1" t="s">
        <v>808</v>
      </c>
      <c r="P2156" s="8">
        <f t="shared" si="252"/>
        <v>11.8</v>
      </c>
      <c r="Q2156" s="1" t="s">
        <v>1676</v>
      </c>
      <c r="R2156" s="8">
        <f t="shared" si="251"/>
        <v>98.53</v>
      </c>
      <c r="W2156" s="4"/>
    </row>
    <row r="2157" spans="6:23" ht="24" customHeight="1">
      <c r="K2157" s="5" t="s">
        <v>1615</v>
      </c>
      <c r="M2157" s="8">
        <v>5</v>
      </c>
      <c r="N2157" s="7" t="s">
        <v>884</v>
      </c>
      <c r="O2157" s="1" t="s">
        <v>2045</v>
      </c>
      <c r="P2157" s="8">
        <f t="shared" si="252"/>
        <v>1041.7</v>
      </c>
      <c r="Q2157" s="1" t="s">
        <v>884</v>
      </c>
      <c r="R2157" s="8">
        <f t="shared" si="251"/>
        <v>5208.5</v>
      </c>
      <c r="W2157" s="4"/>
    </row>
    <row r="2158" spans="6:23" ht="24" customHeight="1">
      <c r="H2158" s="1" t="s">
        <v>1144</v>
      </c>
      <c r="K2158" s="8">
        <f>(K2156/30)</f>
        <v>777.02</v>
      </c>
      <c r="M2158" s="8">
        <v>3</v>
      </c>
      <c r="N2158" s="7" t="s">
        <v>884</v>
      </c>
      <c r="O2158" s="1" t="s">
        <v>809</v>
      </c>
      <c r="P2158" s="8">
        <f t="shared" si="252"/>
        <v>875.6</v>
      </c>
      <c r="Q2158" s="1" t="s">
        <v>884</v>
      </c>
      <c r="R2158" s="8">
        <f t="shared" si="251"/>
        <v>2626.8</v>
      </c>
      <c r="W2158" s="4"/>
    </row>
    <row r="2159" spans="6:23" ht="24" customHeight="1">
      <c r="K2159" s="5" t="s">
        <v>2091</v>
      </c>
      <c r="M2159" s="8">
        <v>7</v>
      </c>
      <c r="N2159" s="7" t="s">
        <v>884</v>
      </c>
      <c r="O2159" s="1" t="s">
        <v>1937</v>
      </c>
      <c r="P2159" s="8">
        <f t="shared" si="252"/>
        <v>679.8</v>
      </c>
      <c r="Q2159" s="1" t="s">
        <v>884</v>
      </c>
      <c r="R2159" s="8">
        <f t="shared" si="251"/>
        <v>4758.6000000000004</v>
      </c>
      <c r="W2159" s="4"/>
    </row>
    <row r="2160" spans="6:23" ht="24" customHeight="1">
      <c r="F2160" s="2" t="s">
        <v>579</v>
      </c>
      <c r="G2160" s="7" t="s">
        <v>2290</v>
      </c>
      <c r="H2160" s="1" t="s">
        <v>53</v>
      </c>
      <c r="M2160" s="8">
        <v>5</v>
      </c>
      <c r="N2160" s="7" t="s">
        <v>884</v>
      </c>
      <c r="O2160" s="1" t="s">
        <v>325</v>
      </c>
      <c r="P2160" s="8">
        <f t="shared" si="252"/>
        <v>557.70000000000005</v>
      </c>
      <c r="Q2160" s="1" t="s">
        <v>884</v>
      </c>
      <c r="R2160" s="8">
        <f t="shared" si="251"/>
        <v>2788.5</v>
      </c>
      <c r="W2160" s="4"/>
    </row>
    <row r="2161" spans="6:23" ht="24" customHeight="1">
      <c r="H2161" s="1" t="s">
        <v>221</v>
      </c>
      <c r="N2161" s="7" t="s">
        <v>455</v>
      </c>
      <c r="O2161" s="1" t="s">
        <v>2174</v>
      </c>
      <c r="Q2161" s="1" t="s">
        <v>455</v>
      </c>
      <c r="R2161" s="8">
        <v>234</v>
      </c>
      <c r="W2161" s="4"/>
    </row>
    <row r="2162" spans="6:23" ht="24" customHeight="1">
      <c r="H2162" s="5" t="s">
        <v>1615</v>
      </c>
      <c r="N2162" s="3"/>
      <c r="Q2162" s="10"/>
      <c r="R2162" s="5" t="s">
        <v>1615</v>
      </c>
      <c r="W2162" s="4"/>
    </row>
    <row r="2163" spans="6:23" ht="24" customHeight="1">
      <c r="F2163" s="8">
        <v>50</v>
      </c>
      <c r="G2163" s="7" t="s">
        <v>884</v>
      </c>
      <c r="H2163" s="1" t="s">
        <v>222</v>
      </c>
      <c r="I2163" s="8">
        <f>C204</f>
        <v>63.4</v>
      </c>
      <c r="J2163" s="1" t="s">
        <v>884</v>
      </c>
      <c r="K2163" s="8">
        <f>(F2163*I2163)</f>
        <v>3170</v>
      </c>
      <c r="N2163" s="3"/>
      <c r="O2163" s="1" t="s">
        <v>2175</v>
      </c>
      <c r="Q2163" s="10"/>
      <c r="R2163" s="8">
        <f>SUM(R2151:R2161)</f>
        <v>45263.75</v>
      </c>
      <c r="W2163" s="4"/>
    </row>
    <row r="2164" spans="6:23" ht="24" customHeight="1">
      <c r="F2164" s="8">
        <v>1</v>
      </c>
      <c r="G2164" s="7" t="s">
        <v>884</v>
      </c>
      <c r="H2164" s="1" t="s">
        <v>809</v>
      </c>
      <c r="I2164" s="8">
        <f>AE37</f>
        <v>875.6</v>
      </c>
      <c r="J2164" s="1" t="s">
        <v>884</v>
      </c>
      <c r="K2164" s="8">
        <f>(F2164*I2164)</f>
        <v>875.6</v>
      </c>
      <c r="N2164" s="3"/>
      <c r="Q2164" s="10"/>
      <c r="R2164" s="5" t="s">
        <v>1615</v>
      </c>
      <c r="W2164" s="4"/>
    </row>
    <row r="2165" spans="6:23" ht="24" customHeight="1">
      <c r="F2165" s="8">
        <v>5</v>
      </c>
      <c r="G2165" s="7" t="s">
        <v>884</v>
      </c>
      <c r="H2165" s="1" t="s">
        <v>1937</v>
      </c>
      <c r="I2165" s="8">
        <f>C12</f>
        <v>679.8</v>
      </c>
      <c r="J2165" s="1" t="s">
        <v>884</v>
      </c>
      <c r="K2165" s="8">
        <f>(F2165*I2165)</f>
        <v>3399</v>
      </c>
      <c r="N2165" s="3"/>
      <c r="O2165" s="1" t="s">
        <v>1144</v>
      </c>
      <c r="Q2165" s="10"/>
      <c r="R2165" s="8">
        <f>(R2163/30)</f>
        <v>1508.79</v>
      </c>
      <c r="W2165" s="4"/>
    </row>
    <row r="2166" spans="6:23" ht="24" customHeight="1">
      <c r="H2166" s="1" t="s">
        <v>2310</v>
      </c>
      <c r="K2166" s="6">
        <v>1.8</v>
      </c>
      <c r="N2166" s="3"/>
      <c r="Q2166" s="10"/>
      <c r="R2166" s="5" t="s">
        <v>2091</v>
      </c>
      <c r="W2166" s="4"/>
    </row>
    <row r="2167" spans="6:23" ht="24" customHeight="1">
      <c r="H2167" s="1" t="s">
        <v>2175</v>
      </c>
      <c r="K2167" s="8">
        <f>SUM(K2163:K2166)</f>
        <v>7446.4</v>
      </c>
      <c r="W2167" s="4"/>
    </row>
    <row r="2168" spans="6:23" ht="24" customHeight="1">
      <c r="F2168" s="1" t="s">
        <v>992</v>
      </c>
      <c r="K2168" s="5" t="s">
        <v>1615</v>
      </c>
      <c r="W2168" s="4"/>
    </row>
    <row r="2169" spans="6:23" ht="24" customHeight="1">
      <c r="H2169" s="1" t="s">
        <v>1144</v>
      </c>
      <c r="K2169" s="8">
        <f>(K2167/30)</f>
        <v>248.21</v>
      </c>
      <c r="W2169" s="4"/>
    </row>
    <row r="2170" spans="6:23" ht="24" customHeight="1">
      <c r="F2170" s="1" t="s">
        <v>992</v>
      </c>
      <c r="W2170" s="4"/>
    </row>
    <row r="2171" spans="6:23" ht="24" customHeight="1">
      <c r="F2171" s="1" t="s">
        <v>992</v>
      </c>
      <c r="W2171" s="4"/>
    </row>
    <row r="2172" spans="6:23" ht="24" customHeight="1">
      <c r="K2172" s="5" t="s">
        <v>2091</v>
      </c>
      <c r="W2172" s="4"/>
    </row>
    <row r="2173" spans="6:23" ht="24" customHeight="1">
      <c r="F2173" s="2" t="s">
        <v>1145</v>
      </c>
      <c r="G2173" s="7" t="s">
        <v>2290</v>
      </c>
      <c r="H2173" s="1" t="s">
        <v>1038</v>
      </c>
      <c r="W2173" s="4"/>
    </row>
    <row r="2174" spans="6:23" ht="24" customHeight="1">
      <c r="H2174" s="8" t="str">
        <f>H2161</f>
        <v>DIA S.W.PIPE(LOOSE JOINTING)</v>
      </c>
      <c r="W2174" s="4"/>
    </row>
    <row r="2175" spans="6:23" ht="24" customHeight="1">
      <c r="H2175" s="5" t="s">
        <v>1615</v>
      </c>
      <c r="W2175" s="4"/>
    </row>
    <row r="2176" spans="6:23" ht="24" customHeight="1">
      <c r="F2176" s="8">
        <v>50</v>
      </c>
      <c r="G2176" s="7" t="s">
        <v>884</v>
      </c>
      <c r="H2176" s="1" t="s">
        <v>223</v>
      </c>
      <c r="I2176" s="8">
        <f>C205</f>
        <v>102</v>
      </c>
      <c r="J2176" s="1" t="s">
        <v>884</v>
      </c>
      <c r="K2176" s="8">
        <f>(F2176*I2176)</f>
        <v>5100</v>
      </c>
      <c r="W2176" s="4"/>
    </row>
    <row r="2177" spans="6:23" ht="24" customHeight="1">
      <c r="F2177" s="8">
        <v>2</v>
      </c>
      <c r="G2177" s="7" t="s">
        <v>884</v>
      </c>
      <c r="H2177" s="1" t="s">
        <v>809</v>
      </c>
      <c r="I2177" s="8">
        <f>AE37</f>
        <v>875.6</v>
      </c>
      <c r="J2177" s="1" t="s">
        <v>884</v>
      </c>
      <c r="K2177" s="8">
        <f>(F2177*I2177)</f>
        <v>1751.2</v>
      </c>
      <c r="W2177" s="4"/>
    </row>
    <row r="2178" spans="6:23" ht="24" customHeight="1">
      <c r="F2178" s="8">
        <v>6</v>
      </c>
      <c r="G2178" s="7" t="s">
        <v>884</v>
      </c>
      <c r="H2178" s="1" t="s">
        <v>1937</v>
      </c>
      <c r="I2178" s="8">
        <f>C12</f>
        <v>679.8</v>
      </c>
      <c r="J2178" s="1" t="s">
        <v>884</v>
      </c>
      <c r="K2178" s="8">
        <f>(F2178*I2178)</f>
        <v>4078.8</v>
      </c>
      <c r="W2178" s="4"/>
    </row>
    <row r="2179" spans="6:23" ht="24" customHeight="1">
      <c r="H2179" s="1" t="s">
        <v>2310</v>
      </c>
      <c r="K2179" s="6">
        <v>0.6</v>
      </c>
      <c r="W2179" s="4"/>
    </row>
    <row r="2180" spans="6:23" ht="24" customHeight="1">
      <c r="H2180" s="1" t="s">
        <v>2175</v>
      </c>
      <c r="K2180" s="8">
        <f>SUM(K2176:K2179)</f>
        <v>10930.6</v>
      </c>
      <c r="W2180" s="4"/>
    </row>
    <row r="2181" spans="6:23" ht="24" customHeight="1">
      <c r="K2181" s="5" t="s">
        <v>1615</v>
      </c>
      <c r="W2181" s="4"/>
    </row>
    <row r="2182" spans="6:23" ht="24" customHeight="1">
      <c r="H2182" s="1" t="s">
        <v>1144</v>
      </c>
      <c r="K2182" s="8">
        <f>(K2180/30)</f>
        <v>364.35</v>
      </c>
      <c r="W2182" s="4"/>
    </row>
    <row r="2183" spans="6:23" ht="24" customHeight="1">
      <c r="K2183" s="5" t="s">
        <v>2091</v>
      </c>
      <c r="W2183" s="4"/>
    </row>
    <row r="2184" spans="6:23" ht="24" customHeight="1">
      <c r="H2184" s="2" t="s">
        <v>224</v>
      </c>
      <c r="K2184" s="8">
        <f>SUM(K2181:K2182)</f>
        <v>364.35</v>
      </c>
      <c r="W2184" s="4"/>
    </row>
    <row r="2185" spans="6:23" ht="24" customHeight="1">
      <c r="K2185" s="5" t="s">
        <v>2091</v>
      </c>
      <c r="W2185" s="4"/>
    </row>
    <row r="2186" spans="6:23" ht="24" customHeight="1">
      <c r="F2186" s="2" t="s">
        <v>1903</v>
      </c>
      <c r="G2186" s="7" t="s">
        <v>2290</v>
      </c>
      <c r="H2186" s="1" t="s">
        <v>53</v>
      </c>
      <c r="W2186" s="4"/>
    </row>
    <row r="2187" spans="6:23" ht="24" customHeight="1">
      <c r="H2187" s="1" t="s">
        <v>58</v>
      </c>
      <c r="W2187" s="4"/>
    </row>
    <row r="2188" spans="6:23" ht="24" customHeight="1">
      <c r="H2188" s="5" t="s">
        <v>1615</v>
      </c>
      <c r="W2188" s="4"/>
    </row>
    <row r="2189" spans="6:23" ht="24" customHeight="1">
      <c r="F2189" s="8">
        <v>1</v>
      </c>
      <c r="G2189" s="7" t="s">
        <v>884</v>
      </c>
      <c r="H2189" s="1" t="s">
        <v>1110</v>
      </c>
      <c r="I2189" s="8">
        <f>C206</f>
        <v>101.6</v>
      </c>
      <c r="J2189" s="1" t="s">
        <v>884</v>
      </c>
      <c r="K2189" s="8">
        <f>(F2189*I2189)</f>
        <v>101.6</v>
      </c>
      <c r="W2189" s="4"/>
    </row>
    <row r="2190" spans="6:23" ht="24" customHeight="1">
      <c r="F2190" s="1" t="s">
        <v>992</v>
      </c>
      <c r="H2190" s="1" t="s">
        <v>59</v>
      </c>
      <c r="W2190" s="4"/>
    </row>
    <row r="2191" spans="6:23" ht="24" customHeight="1">
      <c r="F2191" s="1" t="s">
        <v>992</v>
      </c>
      <c r="H2191" s="1" t="s">
        <v>60</v>
      </c>
      <c r="I2191" s="2" t="s">
        <v>455</v>
      </c>
      <c r="K2191" s="8">
        <v>2.5</v>
      </c>
      <c r="W2191" s="4"/>
    </row>
    <row r="2192" spans="6:23" ht="24" customHeight="1">
      <c r="K2192" s="5" t="s">
        <v>1615</v>
      </c>
      <c r="W2192" s="4"/>
    </row>
    <row r="2193" spans="6:23" ht="24" customHeight="1">
      <c r="H2193" s="1" t="s">
        <v>2175</v>
      </c>
      <c r="K2193" s="8">
        <f>SUM(K2189:K2191)</f>
        <v>104.1</v>
      </c>
      <c r="W2193" s="4"/>
    </row>
    <row r="2194" spans="6:23" ht="24" customHeight="1">
      <c r="F2194" s="2" t="s">
        <v>1903</v>
      </c>
      <c r="G2194" s="7" t="s">
        <v>2290</v>
      </c>
      <c r="H2194" s="1" t="s">
        <v>1038</v>
      </c>
      <c r="K2194" s="5" t="s">
        <v>1615</v>
      </c>
      <c r="W2194" s="4"/>
    </row>
    <row r="2195" spans="6:23" ht="24" customHeight="1">
      <c r="H2195" s="1" t="s">
        <v>58</v>
      </c>
      <c r="K2195" s="8"/>
      <c r="W2195" s="4"/>
    </row>
    <row r="2196" spans="6:23" ht="24" customHeight="1">
      <c r="H2196" s="5" t="s">
        <v>1615</v>
      </c>
      <c r="K2196" s="5" t="s">
        <v>1615</v>
      </c>
      <c r="W2196" s="4"/>
    </row>
    <row r="2197" spans="6:23" ht="24" customHeight="1">
      <c r="F2197">
        <v>1</v>
      </c>
      <c r="G2197" s="3" t="s">
        <v>785</v>
      </c>
      <c r="H2197" s="1" t="s">
        <v>1109</v>
      </c>
      <c r="J2197" s="10">
        <f>E206</f>
        <v>140.65</v>
      </c>
      <c r="K2197" s="8">
        <f>J2197</f>
        <v>140.65</v>
      </c>
      <c r="W2197" s="4"/>
    </row>
    <row r="2198" spans="6:23" ht="24" customHeight="1">
      <c r="H2198" s="1" t="s">
        <v>60</v>
      </c>
      <c r="I2198" s="2" t="s">
        <v>455</v>
      </c>
      <c r="K2198" s="8">
        <v>2.5</v>
      </c>
      <c r="W2198" s="4"/>
    </row>
    <row r="2199" spans="6:23" ht="24" customHeight="1">
      <c r="F2199" s="2" t="s">
        <v>1288</v>
      </c>
      <c r="G2199" s="7" t="s">
        <v>2290</v>
      </c>
      <c r="H2199" s="33" t="s">
        <v>53</v>
      </c>
      <c r="K2199" s="5" t="s">
        <v>1615</v>
      </c>
      <c r="W2199" s="4"/>
    </row>
    <row r="2200" spans="6:23" ht="24" customHeight="1">
      <c r="H2200" s="33" t="s">
        <v>1295</v>
      </c>
      <c r="K2200" s="8">
        <f>SUM(K2196:K2198)</f>
        <v>143.15</v>
      </c>
      <c r="W2200" s="4"/>
    </row>
    <row r="2201" spans="6:23" ht="24" customHeight="1">
      <c r="H2201" s="5" t="s">
        <v>1615</v>
      </c>
      <c r="K2201" s="5" t="s">
        <v>1615</v>
      </c>
      <c r="W2201" s="4"/>
    </row>
    <row r="2202" spans="6:23" ht="24" customHeight="1">
      <c r="F2202" s="8">
        <v>1</v>
      </c>
      <c r="G2202" s="7" t="s">
        <v>884</v>
      </c>
      <c r="H2202" s="1" t="s">
        <v>1108</v>
      </c>
      <c r="I2202" s="8">
        <f>C203</f>
        <v>128</v>
      </c>
      <c r="J2202" s="1" t="s">
        <v>884</v>
      </c>
      <c r="K2202" s="8">
        <f>(F2202*I2202)</f>
        <v>128</v>
      </c>
      <c r="W2202" s="4"/>
    </row>
    <row r="2203" spans="6:23" ht="24" customHeight="1">
      <c r="F2203" s="1" t="s">
        <v>992</v>
      </c>
      <c r="H2203" s="1" t="s">
        <v>59</v>
      </c>
      <c r="W2203" s="4"/>
    </row>
    <row r="2204" spans="6:23" ht="24" customHeight="1">
      <c r="F2204" s="1" t="s">
        <v>992</v>
      </c>
      <c r="H2204" s="1" t="s">
        <v>60</v>
      </c>
      <c r="I2204" s="2" t="s">
        <v>455</v>
      </c>
      <c r="K2204" s="8">
        <v>3</v>
      </c>
      <c r="W2204" s="4"/>
    </row>
    <row r="2205" spans="6:23" ht="24" customHeight="1">
      <c r="K2205" s="5" t="s">
        <v>1615</v>
      </c>
      <c r="W2205" s="4"/>
    </row>
    <row r="2206" spans="6:23" ht="24" customHeight="1">
      <c r="H2206" s="1" t="s">
        <v>2175</v>
      </c>
      <c r="K2206" s="8">
        <f>SUM(K2202:K2204)</f>
        <v>131</v>
      </c>
      <c r="W2206" s="4"/>
    </row>
    <row r="2207" spans="6:23" ht="24" customHeight="1">
      <c r="K2207" s="5" t="s">
        <v>1615</v>
      </c>
      <c r="W2207" s="4"/>
    </row>
    <row r="2208" spans="6:23" ht="24" customHeight="1">
      <c r="W2208" s="4"/>
    </row>
    <row r="2209" spans="6:23" ht="24" customHeight="1">
      <c r="F2209" s="2" t="s">
        <v>1838</v>
      </c>
      <c r="G2209" s="7" t="s">
        <v>2290</v>
      </c>
      <c r="H2209" s="33" t="s">
        <v>1038</v>
      </c>
      <c r="W2209" s="4"/>
    </row>
    <row r="2210" spans="6:23" ht="24" customHeight="1">
      <c r="H2210" s="33" t="s">
        <v>1295</v>
      </c>
      <c r="W2210" s="4"/>
    </row>
    <row r="2211" spans="6:23" ht="24" customHeight="1">
      <c r="H2211" s="5" t="s">
        <v>1615</v>
      </c>
      <c r="W2211" s="4"/>
    </row>
    <row r="2212" spans="6:23" ht="24" customHeight="1">
      <c r="F2212" s="8">
        <v>1</v>
      </c>
      <c r="G2212" s="7" t="s">
        <v>884</v>
      </c>
      <c r="H2212" s="1" t="s">
        <v>821</v>
      </c>
      <c r="I2212" s="8">
        <f>C208</f>
        <v>166.15</v>
      </c>
      <c r="J2212" s="1" t="s">
        <v>884</v>
      </c>
      <c r="K2212" s="8">
        <f>(F2212*I2212)</f>
        <v>166.15</v>
      </c>
      <c r="W2212" s="4"/>
    </row>
    <row r="2213" spans="6:23" ht="24" customHeight="1">
      <c r="F2213" s="1" t="s">
        <v>992</v>
      </c>
      <c r="H2213" s="1" t="s">
        <v>59</v>
      </c>
      <c r="W2213" s="4"/>
    </row>
    <row r="2214" spans="6:23" ht="24" customHeight="1">
      <c r="F2214" s="1" t="s">
        <v>992</v>
      </c>
      <c r="H2214" s="1" t="s">
        <v>60</v>
      </c>
      <c r="I2214" s="2" t="s">
        <v>455</v>
      </c>
      <c r="K2214" s="8">
        <v>3</v>
      </c>
      <c r="W2214" s="4"/>
    </row>
    <row r="2215" spans="6:23" ht="24" customHeight="1">
      <c r="K2215" s="5" t="s">
        <v>1615</v>
      </c>
      <c r="W2215" s="4"/>
    </row>
    <row r="2216" spans="6:23" ht="24" customHeight="1">
      <c r="H2216" s="33" t="s">
        <v>2175</v>
      </c>
      <c r="K2216" s="8">
        <f>SUM(K2212:K2214)</f>
        <v>169.15</v>
      </c>
      <c r="W2216" s="4"/>
    </row>
    <row r="2217" spans="6:23" ht="24" customHeight="1">
      <c r="K2217" s="5" t="s">
        <v>1615</v>
      </c>
      <c r="W2217" s="4"/>
    </row>
    <row r="2218" spans="6:23" ht="24" customHeight="1">
      <c r="F2218" s="2" t="s">
        <v>1568</v>
      </c>
      <c r="H2218" s="33" t="s">
        <v>1569</v>
      </c>
      <c r="W2218" s="4"/>
    </row>
    <row r="2219" spans="6:23" ht="24" customHeight="1">
      <c r="H2219" s="33" t="s">
        <v>1091</v>
      </c>
      <c r="W2219" s="4"/>
    </row>
    <row r="2220" spans="6:23" ht="24" customHeight="1">
      <c r="H2220" s="5" t="s">
        <v>1615</v>
      </c>
      <c r="W2220" s="4"/>
    </row>
    <row r="2221" spans="6:23" ht="24" customHeight="1">
      <c r="F2221" s="8">
        <v>2.5</v>
      </c>
      <c r="G2221" s="7" t="s">
        <v>1092</v>
      </c>
      <c r="H2221" s="1" t="s">
        <v>1569</v>
      </c>
      <c r="I2221" s="8">
        <f>C588</f>
        <v>30</v>
      </c>
      <c r="J2221" s="1">
        <v>2.5</v>
      </c>
      <c r="K2221" s="506">
        <f>(F2221*I2221)/F2221</f>
        <v>30</v>
      </c>
      <c r="L2221">
        <f>1394*1.62-K2252</f>
        <v>-1937.35</v>
      </c>
      <c r="W2221" s="4"/>
    </row>
    <row r="2222" spans="6:23" ht="24" customHeight="1">
      <c r="H2222" s="1" t="s">
        <v>1093</v>
      </c>
      <c r="J2222" s="1" t="s">
        <v>1092</v>
      </c>
      <c r="K2222" s="507"/>
      <c r="W2222" s="4"/>
    </row>
    <row r="2223" spans="6:23" ht="24" customHeight="1">
      <c r="G2223" s="7" t="s">
        <v>455</v>
      </c>
      <c r="H2223" s="1" t="s">
        <v>1094</v>
      </c>
      <c r="J2223" s="1" t="s">
        <v>455</v>
      </c>
      <c r="K2223" s="484">
        <v>1.87</v>
      </c>
      <c r="W2223" s="4"/>
    </row>
    <row r="2224" spans="6:23" ht="24" customHeight="1">
      <c r="K2224" s="5" t="s">
        <v>1615</v>
      </c>
      <c r="W2224" s="4"/>
    </row>
    <row r="2225" spans="6:23" ht="24" customHeight="1">
      <c r="H2225" s="58" t="s">
        <v>224</v>
      </c>
      <c r="K2225" s="38">
        <f>SUM(K2221:K2223)</f>
        <v>31.87</v>
      </c>
      <c r="W2225" s="4"/>
    </row>
    <row r="2226" spans="6:23" ht="24" customHeight="1">
      <c r="K2226" s="5" t="s">
        <v>2091</v>
      </c>
      <c r="W2226" s="4"/>
    </row>
    <row r="2227" spans="6:23" ht="24" customHeight="1">
      <c r="W2227" s="4"/>
    </row>
    <row r="2228" spans="6:23" ht="24" customHeight="1">
      <c r="F2228" s="2" t="s">
        <v>1095</v>
      </c>
      <c r="G2228" s="7" t="s">
        <v>2290</v>
      </c>
      <c r="H2228" s="1" t="s">
        <v>277</v>
      </c>
      <c r="W2228" s="4"/>
    </row>
    <row r="2229" spans="6:23" ht="24" customHeight="1">
      <c r="H2229" s="1" t="s">
        <v>64</v>
      </c>
      <c r="W2229" s="4"/>
    </row>
    <row r="2230" spans="6:23" ht="24" customHeight="1">
      <c r="H2230" s="1" t="s">
        <v>375</v>
      </c>
      <c r="W2230" s="4"/>
    </row>
    <row r="2231" spans="6:23" ht="24" customHeight="1">
      <c r="H2231" s="1" t="s">
        <v>356</v>
      </c>
      <c r="W2231" s="4"/>
    </row>
    <row r="2232" spans="6:23" ht="24" customHeight="1">
      <c r="H2232" s="1" t="s">
        <v>437</v>
      </c>
      <c r="W2232" s="4"/>
    </row>
    <row r="2233" spans="6:23" ht="24" customHeight="1">
      <c r="H2233" s="1" t="s">
        <v>1505</v>
      </c>
      <c r="W2233" s="4"/>
    </row>
    <row r="2234" spans="6:23" ht="24" customHeight="1">
      <c r="H2234" s="1" t="s">
        <v>1901</v>
      </c>
      <c r="W2234" s="4"/>
    </row>
    <row r="2235" spans="6:23" ht="24" customHeight="1">
      <c r="H2235" s="1" t="s">
        <v>2242</v>
      </c>
      <c r="W2235" s="4"/>
    </row>
    <row r="2236" spans="6:23" ht="24" customHeight="1">
      <c r="H2236" s="1" t="s">
        <v>576</v>
      </c>
      <c r="W2236" s="4"/>
    </row>
    <row r="2237" spans="6:23" ht="24" customHeight="1">
      <c r="H2237" s="1" t="s">
        <v>1299</v>
      </c>
      <c r="W2237" s="4"/>
    </row>
    <row r="2238" spans="6:23" ht="24" customHeight="1">
      <c r="H2238" s="1" t="s">
        <v>1300</v>
      </c>
      <c r="W2238" s="4"/>
    </row>
    <row r="2239" spans="6:23" ht="24" customHeight="1">
      <c r="H2239" s="1" t="s">
        <v>1301</v>
      </c>
      <c r="W2239" s="4"/>
    </row>
    <row r="2240" spans="6:23" ht="24" customHeight="1">
      <c r="H2240" s="5" t="s">
        <v>1615</v>
      </c>
      <c r="I2240" s="5" t="s">
        <v>1615</v>
      </c>
      <c r="W2240" s="4"/>
    </row>
    <row r="2241" spans="6:23" ht="24" customHeight="1">
      <c r="F2241" s="1" t="s">
        <v>992</v>
      </c>
      <c r="W2241" s="4"/>
    </row>
    <row r="2242" spans="6:23" ht="24" customHeight="1">
      <c r="F2242" s="15">
        <v>1.7399999999999999E-2</v>
      </c>
      <c r="G2242" s="7" t="s">
        <v>2190</v>
      </c>
      <c r="H2242" s="1" t="s">
        <v>1302</v>
      </c>
      <c r="I2242" s="8">
        <f>C86</f>
        <v>34300</v>
      </c>
      <c r="J2242" s="1" t="s">
        <v>2190</v>
      </c>
      <c r="K2242" s="8">
        <f t="shared" ref="K2242:K2249" si="253">F2242*I2242</f>
        <v>596.82000000000005</v>
      </c>
      <c r="W2242" s="4"/>
    </row>
    <row r="2243" spans="6:23" ht="24" customHeight="1">
      <c r="F2243" s="15">
        <v>2.93E-2</v>
      </c>
      <c r="G2243" s="7" t="s">
        <v>2190</v>
      </c>
      <c r="H2243" s="1" t="s">
        <v>1303</v>
      </c>
      <c r="I2243" s="8">
        <f>C87</f>
        <v>39400</v>
      </c>
      <c r="J2243" s="1" t="s">
        <v>2190</v>
      </c>
      <c r="K2243" s="8">
        <f t="shared" si="253"/>
        <v>1154.42</v>
      </c>
      <c r="W2243" s="4"/>
    </row>
    <row r="2244" spans="6:23" ht="24" customHeight="1">
      <c r="F2244" s="15">
        <v>1.093</v>
      </c>
      <c r="G2244" s="7" t="s">
        <v>2322</v>
      </c>
      <c r="H2244" s="1" t="s">
        <v>1304</v>
      </c>
      <c r="I2244" s="8">
        <f>C199</f>
        <v>379.9</v>
      </c>
      <c r="J2244" s="1" t="s">
        <v>2322</v>
      </c>
      <c r="K2244" s="8">
        <f t="shared" si="253"/>
        <v>415.23</v>
      </c>
      <c r="W2244" s="4"/>
    </row>
    <row r="2245" spans="6:23" ht="24" customHeight="1">
      <c r="F2245" s="8">
        <v>6</v>
      </c>
      <c r="G2245" s="7" t="s">
        <v>570</v>
      </c>
      <c r="H2245" s="1" t="s">
        <v>1167</v>
      </c>
      <c r="I2245" s="8">
        <f>C297</f>
        <v>7</v>
      </c>
      <c r="J2245" s="1" t="s">
        <v>1423</v>
      </c>
      <c r="K2245" s="8">
        <f t="shared" si="253"/>
        <v>42</v>
      </c>
      <c r="W2245" s="4"/>
    </row>
    <row r="2246" spans="6:23" ht="24" customHeight="1">
      <c r="F2246" s="8">
        <v>1</v>
      </c>
      <c r="G2246" s="7" t="s">
        <v>570</v>
      </c>
      <c r="H2246" s="1" t="s">
        <v>2256</v>
      </c>
      <c r="I2246" s="8">
        <f>C287</f>
        <v>101.6</v>
      </c>
      <c r="J2246" s="1" t="s">
        <v>1423</v>
      </c>
      <c r="K2246" s="8">
        <f t="shared" si="253"/>
        <v>101.6</v>
      </c>
      <c r="W2246" s="4"/>
    </row>
    <row r="2247" spans="6:23" ht="24" customHeight="1">
      <c r="F2247" s="8">
        <v>2</v>
      </c>
      <c r="G2247" s="7" t="s">
        <v>570</v>
      </c>
      <c r="H2247" s="1" t="s">
        <v>1783</v>
      </c>
      <c r="I2247" s="8">
        <f>C308</f>
        <v>3</v>
      </c>
      <c r="J2247" s="1" t="s">
        <v>1423</v>
      </c>
      <c r="K2247" s="8">
        <f t="shared" si="253"/>
        <v>6</v>
      </c>
      <c r="W2247" s="4"/>
    </row>
    <row r="2248" spans="6:23" ht="24" customHeight="1">
      <c r="F2248" s="8">
        <v>6</v>
      </c>
      <c r="G2248" s="7" t="s">
        <v>570</v>
      </c>
      <c r="H2248" s="1" t="s">
        <v>141</v>
      </c>
      <c r="I2248" s="489">
        <v>10.5</v>
      </c>
      <c r="J2248" s="1" t="s">
        <v>1423</v>
      </c>
      <c r="K2248" s="8">
        <f t="shared" si="253"/>
        <v>63</v>
      </c>
      <c r="W2248" s="4"/>
    </row>
    <row r="2249" spans="6:23" ht="24" customHeight="1">
      <c r="F2249" s="12">
        <v>1.62</v>
      </c>
      <c r="G2249" s="7" t="s">
        <v>2322</v>
      </c>
      <c r="H2249" s="1" t="s">
        <v>142</v>
      </c>
      <c r="I2249" s="8">
        <f>D33</f>
        <v>1118.7</v>
      </c>
      <c r="J2249" s="1" t="s">
        <v>2322</v>
      </c>
      <c r="K2249" s="8">
        <f t="shared" si="253"/>
        <v>1812.29</v>
      </c>
      <c r="W2249" s="4"/>
    </row>
    <row r="2250" spans="6:23" ht="24" customHeight="1">
      <c r="G2250" s="7" t="s">
        <v>455</v>
      </c>
      <c r="H2250" s="1" t="s">
        <v>515</v>
      </c>
      <c r="J2250" s="1" t="s">
        <v>455</v>
      </c>
      <c r="K2250" s="8">
        <v>4.2699999999999996</v>
      </c>
      <c r="W2250" s="4"/>
    </row>
    <row r="2251" spans="6:23" ht="24" customHeight="1">
      <c r="K2251" s="5" t="s">
        <v>1615</v>
      </c>
      <c r="W2251" s="4"/>
    </row>
    <row r="2252" spans="6:23" ht="24" customHeight="1">
      <c r="H2252" s="58" t="s">
        <v>143</v>
      </c>
      <c r="K2252" s="38">
        <f>SUM(K2242:K2250)</f>
        <v>4195.63</v>
      </c>
      <c r="W2252" s="4"/>
    </row>
    <row r="2253" spans="6:23" ht="24" customHeight="1">
      <c r="K2253" s="40" t="s">
        <v>1615</v>
      </c>
      <c r="W2253" s="4"/>
    </row>
    <row r="2254" spans="6:23" ht="24" customHeight="1">
      <c r="K2254" s="36"/>
      <c r="W2254" s="4"/>
    </row>
    <row r="2255" spans="6:23" ht="24" customHeight="1">
      <c r="H2255" s="58" t="s">
        <v>144</v>
      </c>
      <c r="I2255" s="1" t="s">
        <v>992</v>
      </c>
      <c r="K2255" s="38">
        <f>K2252/1.62</f>
        <v>2589.9</v>
      </c>
      <c r="M2255">
        <f>1921*1.62</f>
        <v>3112.02</v>
      </c>
      <c r="W2255" s="4"/>
    </row>
    <row r="2256" spans="6:23" ht="15" customHeight="1">
      <c r="F2256" s="1" t="s">
        <v>992</v>
      </c>
      <c r="G2256" s="7" t="s">
        <v>992</v>
      </c>
      <c r="H2256" s="1" t="s">
        <v>992</v>
      </c>
      <c r="I2256" s="1" t="s">
        <v>992</v>
      </c>
      <c r="J2256" s="1" t="s">
        <v>992</v>
      </c>
      <c r="M2256">
        <f>M2255-K2252</f>
        <v>-1083.6099999999999</v>
      </c>
      <c r="W2256" s="4"/>
    </row>
    <row r="2257" spans="6:23" ht="13.5" customHeight="1">
      <c r="W2257" s="4"/>
    </row>
    <row r="2258" spans="6:23" ht="24" customHeight="1">
      <c r="G2258" s="7" t="s">
        <v>1567</v>
      </c>
      <c r="H2258" s="33" t="s">
        <v>1418</v>
      </c>
      <c r="W2258" s="4"/>
    </row>
    <row r="2259" spans="6:23" ht="24" customHeight="1">
      <c r="H2259" s="1" t="s">
        <v>813</v>
      </c>
      <c r="L2259">
        <f>3.6*1.1</f>
        <v>3.96</v>
      </c>
      <c r="W2259" s="4"/>
    </row>
    <row r="2260" spans="6:23" ht="24" customHeight="1">
      <c r="F2260" s="1" t="s">
        <v>992</v>
      </c>
      <c r="H2260" s="1" t="s">
        <v>814</v>
      </c>
      <c r="L2260">
        <f>3.6*1.6</f>
        <v>5.76</v>
      </c>
      <c r="W2260" s="4"/>
    </row>
    <row r="2261" spans="6:23" ht="35.25" customHeight="1">
      <c r="F2261" s="2" t="s">
        <v>815</v>
      </c>
      <c r="H2261" s="1" t="s">
        <v>2217</v>
      </c>
      <c r="K2261" s="161">
        <f>Elec.Data!K29</f>
        <v>1630</v>
      </c>
      <c r="W2261" s="4"/>
    </row>
    <row r="2262" spans="6:23" ht="30.75" customHeight="1">
      <c r="F2262" s="2" t="s">
        <v>816</v>
      </c>
      <c r="H2262" s="2" t="s">
        <v>790</v>
      </c>
      <c r="K2262" s="161">
        <f>Elec.Data!K53</f>
        <v>1633</v>
      </c>
      <c r="W2262" s="4"/>
    </row>
    <row r="2263" spans="6:23" ht="30.75" customHeight="1">
      <c r="F2263" s="2" t="s">
        <v>817</v>
      </c>
      <c r="H2263" s="1" t="s">
        <v>1292</v>
      </c>
      <c r="K2263" s="161">
        <f>Elec.Data!K68</f>
        <v>1670</v>
      </c>
      <c r="W2263" s="4"/>
    </row>
    <row r="2264" spans="6:23" ht="30.75" customHeight="1">
      <c r="F2264" s="11">
        <v>65</v>
      </c>
      <c r="H2264" s="1" t="s">
        <v>792</v>
      </c>
      <c r="K2264" s="161">
        <f>Elec.Data!K90</f>
        <v>1705</v>
      </c>
      <c r="W2264" s="4"/>
    </row>
    <row r="2265" spans="6:23" ht="30.75" customHeight="1">
      <c r="F2265" s="11">
        <v>66</v>
      </c>
      <c r="H2265" s="1" t="s">
        <v>624</v>
      </c>
      <c r="K2265" s="161">
        <f>Elec.Data!K114</f>
        <v>3052</v>
      </c>
      <c r="W2265" s="4"/>
    </row>
    <row r="2266" spans="6:23" ht="30.75" customHeight="1">
      <c r="F2266" s="11">
        <v>67</v>
      </c>
      <c r="H2266" s="1" t="s">
        <v>580</v>
      </c>
      <c r="K2266" s="161">
        <f>Elec.Data!K146</f>
        <v>835</v>
      </c>
      <c r="W2266" s="4"/>
    </row>
    <row r="2267" spans="6:23" ht="30.75" customHeight="1">
      <c r="F2267" s="11">
        <v>68</v>
      </c>
      <c r="H2267" s="1" t="s">
        <v>854</v>
      </c>
      <c r="K2267" s="161">
        <f>Elec.Data!K134</f>
        <v>1133</v>
      </c>
      <c r="W2267" s="4"/>
    </row>
    <row r="2268" spans="6:23" ht="30.75" customHeight="1">
      <c r="F2268" s="11">
        <v>69</v>
      </c>
      <c r="H2268" s="1" t="s">
        <v>818</v>
      </c>
      <c r="K2268" s="161">
        <f>Elec.Data!K157</f>
        <v>150</v>
      </c>
      <c r="W2268" s="4"/>
    </row>
    <row r="2269" spans="6:23" ht="30.75" customHeight="1">
      <c r="F2269" s="11" t="s">
        <v>819</v>
      </c>
      <c r="H2269" s="1" t="s">
        <v>504</v>
      </c>
      <c r="K2269" s="161">
        <f>Elec.Data!K304</f>
        <v>517</v>
      </c>
      <c r="W2269" s="4"/>
    </row>
    <row r="2270" spans="6:23" ht="30.75" customHeight="1">
      <c r="F2270" s="11" t="s">
        <v>297</v>
      </c>
      <c r="H2270" s="1" t="s">
        <v>293</v>
      </c>
      <c r="J2270" s="4"/>
      <c r="K2270" s="161"/>
      <c r="L2270">
        <f>37.7*90</f>
        <v>3393</v>
      </c>
      <c r="W2270" s="4"/>
    </row>
    <row r="2271" spans="6:23" ht="30.75" customHeight="1">
      <c r="F2271" s="11" t="s">
        <v>1978</v>
      </c>
      <c r="H2271" s="1" t="s">
        <v>1528</v>
      </c>
      <c r="K2271" s="419">
        <v>9.4</v>
      </c>
      <c r="W2271" s="4"/>
    </row>
    <row r="2272" spans="6:23" ht="24" customHeight="1">
      <c r="F2272" s="11" t="s">
        <v>1979</v>
      </c>
      <c r="H2272" s="1" t="s">
        <v>592</v>
      </c>
      <c r="K2272" s="480">
        <v>10</v>
      </c>
      <c r="W2272" s="4"/>
    </row>
    <row r="2273" spans="6:23" ht="24" customHeight="1">
      <c r="F2273" s="11">
        <v>71</v>
      </c>
      <c r="H2273" s="1" t="s">
        <v>1178</v>
      </c>
      <c r="K2273" s="161">
        <f>Elec.Data!K342</f>
        <v>1345.6</v>
      </c>
      <c r="W2273" s="4"/>
    </row>
    <row r="2274" spans="6:23" ht="24" customHeight="1">
      <c r="F2274" s="11">
        <v>72</v>
      </c>
      <c r="H2274" s="1" t="s">
        <v>820</v>
      </c>
      <c r="K2274" s="480">
        <v>33.9</v>
      </c>
      <c r="W2274" s="4"/>
    </row>
    <row r="2275" spans="6:23" ht="24" customHeight="1">
      <c r="F2275" s="11" t="s">
        <v>593</v>
      </c>
      <c r="H2275" s="1" t="s">
        <v>279</v>
      </c>
      <c r="K2275" s="161">
        <f>Elec.Data!K402</f>
        <v>4212</v>
      </c>
      <c r="W2275" s="4"/>
    </row>
    <row r="2276" spans="6:23" ht="24" customHeight="1">
      <c r="F2276" s="11" t="s">
        <v>594</v>
      </c>
      <c r="H2276" s="1" t="s">
        <v>595</v>
      </c>
      <c r="K2276" s="161">
        <f>Elec.Data!K390</f>
        <v>3430</v>
      </c>
      <c r="W2276" s="4"/>
    </row>
    <row r="2277" spans="6:23" ht="24" customHeight="1">
      <c r="F2277" s="11">
        <v>74</v>
      </c>
      <c r="H2277" s="1" t="s">
        <v>164</v>
      </c>
      <c r="K2277" s="161">
        <f>Elec.Data!K447</f>
        <v>571</v>
      </c>
      <c r="W2277" s="4"/>
    </row>
    <row r="2278" spans="6:23" ht="24" customHeight="1">
      <c r="F2278" s="11" t="s">
        <v>644</v>
      </c>
      <c r="H2278" s="1" t="s">
        <v>1283</v>
      </c>
      <c r="K2278" s="536">
        <v>1265</v>
      </c>
      <c r="W2278" s="4"/>
    </row>
    <row r="2279" spans="6:23" ht="24" customHeight="1">
      <c r="F2279" s="11" t="s">
        <v>645</v>
      </c>
      <c r="H2279" s="1" t="s">
        <v>133</v>
      </c>
      <c r="W2279" s="4"/>
    </row>
    <row r="2280" spans="6:23" ht="24" customHeight="1">
      <c r="F2280" s="11">
        <v>112</v>
      </c>
      <c r="H2280" s="1" t="s">
        <v>761</v>
      </c>
      <c r="K2280" s="161">
        <f>Elec.Data!K914</f>
        <v>2336</v>
      </c>
      <c r="W2280" s="4"/>
    </row>
    <row r="2281" spans="6:23" ht="34.5" customHeight="1">
      <c r="F2281" s="11">
        <v>76</v>
      </c>
      <c r="H2281" s="1" t="s">
        <v>1967</v>
      </c>
      <c r="K2281" s="161">
        <f>Elec.Data!K464</f>
        <v>26.3</v>
      </c>
      <c r="W2281" s="4"/>
    </row>
    <row r="2282" spans="6:23" ht="31.5" customHeight="1">
      <c r="F2282" s="11">
        <v>77</v>
      </c>
      <c r="H2282" s="1" t="s">
        <v>2307</v>
      </c>
      <c r="K2282" s="161">
        <f>Elec.Data!K249</f>
        <v>208</v>
      </c>
      <c r="W2282" s="4"/>
    </row>
    <row r="2283" spans="6:23" ht="38.25" customHeight="1">
      <c r="F2283" s="31">
        <v>77.099999999999994</v>
      </c>
      <c r="H2283" s="22" t="s">
        <v>1841</v>
      </c>
      <c r="K2283" s="166">
        <f>Elec.Data!K274</f>
        <v>266</v>
      </c>
      <c r="W2283" s="4"/>
    </row>
    <row r="2284" spans="6:23" ht="24" customHeight="1">
      <c r="F2284" s="24">
        <v>77.2</v>
      </c>
      <c r="H2284" s="1" t="s">
        <v>1842</v>
      </c>
      <c r="K2284" s="536">
        <v>500</v>
      </c>
      <c r="W2284" s="4"/>
    </row>
    <row r="2285" spans="6:23" ht="24" customHeight="1">
      <c r="F2285" s="24">
        <v>77.3</v>
      </c>
      <c r="H2285" s="1" t="s">
        <v>1527</v>
      </c>
      <c r="K2285" s="536">
        <f>Elec.Data!K882</f>
        <v>77.010000000000005</v>
      </c>
      <c r="W2285" s="4"/>
    </row>
    <row r="2286" spans="6:23" ht="24" customHeight="1">
      <c r="F2286" s="11">
        <v>78</v>
      </c>
      <c r="H2286" s="1" t="s">
        <v>81</v>
      </c>
      <c r="K2286" s="161">
        <f>Elec.Data!K489</f>
        <v>2921</v>
      </c>
      <c r="W2286" s="4"/>
    </row>
    <row r="2287" spans="6:23" ht="24" customHeight="1">
      <c r="F2287" s="11">
        <v>80</v>
      </c>
      <c r="H2287" s="1" t="s">
        <v>2153</v>
      </c>
      <c r="K2287" s="161">
        <f>Elec.Data!K611</f>
        <v>818.75</v>
      </c>
      <c r="W2287" s="4"/>
    </row>
    <row r="2288" spans="6:23" ht="24" customHeight="1">
      <c r="F2288" s="11">
        <v>81</v>
      </c>
      <c r="H2288" s="1" t="s">
        <v>93</v>
      </c>
      <c r="K2288" s="8">
        <f>K2255</f>
        <v>2589.9</v>
      </c>
      <c r="W2288" s="4"/>
    </row>
    <row r="2289" spans="6:33" ht="24" customHeight="1">
      <c r="F2289" s="11">
        <v>82</v>
      </c>
      <c r="H2289" s="1" t="s">
        <v>1577</v>
      </c>
      <c r="K2289" s="161">
        <f>Elec.Data!K808</f>
        <v>2946</v>
      </c>
      <c r="W2289" s="4"/>
    </row>
    <row r="2290" spans="6:33" ht="24" customHeight="1">
      <c r="F2290" s="11">
        <v>87</v>
      </c>
      <c r="H2290" s="1" t="s">
        <v>1796</v>
      </c>
      <c r="K2290" s="161">
        <f>Elec.Data!K628</f>
        <v>2695</v>
      </c>
      <c r="W2290" s="4"/>
    </row>
    <row r="2291" spans="6:33" ht="24" customHeight="1">
      <c r="H2291" s="104" t="s">
        <v>1954</v>
      </c>
      <c r="K2291" s="161">
        <f>Elec.Data!K932</f>
        <v>2150</v>
      </c>
      <c r="W2291" s="4"/>
    </row>
    <row r="2292" spans="6:33" ht="24" customHeight="1">
      <c r="H2292" s="167" t="s">
        <v>267</v>
      </c>
      <c r="K2292" s="536">
        <v>137</v>
      </c>
      <c r="W2292" s="4"/>
    </row>
    <row r="2293" spans="6:33" ht="28.5" customHeight="1">
      <c r="F2293" s="29">
        <v>77.400000000000006</v>
      </c>
      <c r="H2293" s="57" t="s">
        <v>1754</v>
      </c>
      <c r="M2293" s="29">
        <v>77.400000000000006</v>
      </c>
      <c r="N2293" s="3"/>
      <c r="O2293" s="57" t="s">
        <v>4882</v>
      </c>
      <c r="Q2293" s="10"/>
      <c r="W2293" s="4"/>
    </row>
    <row r="2294" spans="6:33" ht="27" customHeight="1">
      <c r="H2294" s="1" t="s">
        <v>813</v>
      </c>
      <c r="N2294" s="3"/>
      <c r="O2294" s="1" t="s">
        <v>813</v>
      </c>
      <c r="Q2294" s="10"/>
      <c r="W2294" s="4"/>
    </row>
    <row r="2295" spans="6:33" ht="42.75" customHeight="1">
      <c r="F2295">
        <v>90</v>
      </c>
      <c r="G2295" s="3" t="s">
        <v>377</v>
      </c>
      <c r="H2295" s="27" t="s">
        <v>5144</v>
      </c>
      <c r="I2295" s="532">
        <v>20</v>
      </c>
      <c r="J2295" s="10" t="s">
        <v>377</v>
      </c>
      <c r="K2295">
        <f>I2295*F2295</f>
        <v>1800</v>
      </c>
      <c r="M2295">
        <v>90</v>
      </c>
      <c r="N2295" s="3" t="s">
        <v>377</v>
      </c>
      <c r="O2295" s="27" t="s">
        <v>4800</v>
      </c>
      <c r="P2295" s="532">
        <v>20</v>
      </c>
      <c r="Q2295" s="10" t="s">
        <v>377</v>
      </c>
      <c r="R2295">
        <f>P2295*M2295</f>
        <v>1800</v>
      </c>
      <c r="W2295" s="4"/>
    </row>
    <row r="2296" spans="6:33" ht="24" customHeight="1">
      <c r="F2296">
        <v>0.15</v>
      </c>
      <c r="G2296" s="3" t="s">
        <v>535</v>
      </c>
      <c r="H2296" t="s">
        <v>878</v>
      </c>
      <c r="I2296">
        <f>AC31</f>
        <v>6040</v>
      </c>
      <c r="J2296" s="10" t="s">
        <v>535</v>
      </c>
      <c r="K2296">
        <f>I2296*F2296</f>
        <v>906</v>
      </c>
      <c r="M2296">
        <v>0.15</v>
      </c>
      <c r="N2296" s="3" t="s">
        <v>535</v>
      </c>
      <c r="O2296" t="s">
        <v>878</v>
      </c>
      <c r="P2296">
        <f>I2296</f>
        <v>6040</v>
      </c>
      <c r="Q2296" s="10" t="s">
        <v>535</v>
      </c>
      <c r="R2296">
        <f>P2296*M2296</f>
        <v>906</v>
      </c>
      <c r="W2296" s="4"/>
    </row>
    <row r="2297" spans="6:33" ht="24" customHeight="1">
      <c r="F2297">
        <v>1</v>
      </c>
      <c r="G2297" s="3" t="s">
        <v>785</v>
      </c>
      <c r="H2297" t="s">
        <v>376</v>
      </c>
      <c r="I2297" s="438">
        <f>C809</f>
        <v>783</v>
      </c>
      <c r="J2297" s="10" t="s">
        <v>785</v>
      </c>
      <c r="K2297">
        <f>I2297*F2297</f>
        <v>783</v>
      </c>
      <c r="M2297">
        <v>1</v>
      </c>
      <c r="N2297" s="3" t="s">
        <v>785</v>
      </c>
      <c r="O2297" t="s">
        <v>376</v>
      </c>
      <c r="P2297">
        <f>I2297</f>
        <v>783</v>
      </c>
      <c r="Q2297" s="10" t="s">
        <v>785</v>
      </c>
      <c r="R2297">
        <f>P2297*M2297</f>
        <v>783</v>
      </c>
      <c r="W2297" s="4"/>
    </row>
    <row r="2298" spans="6:33" ht="24" customHeight="1">
      <c r="F2298">
        <v>2</v>
      </c>
      <c r="G2298" s="3" t="s">
        <v>785</v>
      </c>
      <c r="H2298" t="s">
        <v>1744</v>
      </c>
      <c r="I2298">
        <f>AE10</f>
        <v>972.4</v>
      </c>
      <c r="J2298" s="10" t="s">
        <v>785</v>
      </c>
      <c r="K2298">
        <f>I2298*F2298</f>
        <v>1944.8</v>
      </c>
      <c r="M2298">
        <v>2</v>
      </c>
      <c r="N2298" s="3" t="s">
        <v>785</v>
      </c>
      <c r="O2298" t="s">
        <v>1744</v>
      </c>
      <c r="P2298">
        <f>I2298</f>
        <v>972.4</v>
      </c>
      <c r="Q2298" s="10" t="s">
        <v>785</v>
      </c>
      <c r="R2298">
        <f>P2298*M2298</f>
        <v>1944.8</v>
      </c>
      <c r="W2298" s="4"/>
    </row>
    <row r="2299" spans="6:33" ht="24" customHeight="1">
      <c r="F2299">
        <v>4</v>
      </c>
      <c r="G2299" s="3" t="s">
        <v>785</v>
      </c>
      <c r="H2299" t="str">
        <f>B810</f>
        <v>Electrical HELPERp-15 it-100</v>
      </c>
      <c r="I2299" s="165">
        <f>C810</f>
        <v>611</v>
      </c>
      <c r="J2299" s="10" t="s">
        <v>785</v>
      </c>
      <c r="K2299">
        <f>I2299*F2299</f>
        <v>2444</v>
      </c>
      <c r="M2299">
        <v>4</v>
      </c>
      <c r="N2299" s="3" t="s">
        <v>785</v>
      </c>
      <c r="O2299" t="str">
        <f>H2299</f>
        <v>Electrical HELPERp-15 it-100</v>
      </c>
      <c r="P2299">
        <f>I2299</f>
        <v>611</v>
      </c>
      <c r="Q2299" s="10" t="s">
        <v>785</v>
      </c>
      <c r="R2299">
        <f>P2299*M2299</f>
        <v>2444</v>
      </c>
      <c r="W2299" s="4"/>
    </row>
    <row r="2300" spans="6:33" ht="24" customHeight="1">
      <c r="H2300" t="s">
        <v>378</v>
      </c>
      <c r="K2300">
        <v>11.5</v>
      </c>
      <c r="N2300" s="3"/>
      <c r="O2300" t="s">
        <v>378</v>
      </c>
      <c r="Q2300" s="10"/>
      <c r="R2300">
        <v>11.5</v>
      </c>
      <c r="W2300" s="4"/>
    </row>
    <row r="2301" spans="6:33" ht="24" customHeight="1">
      <c r="K2301" s="5" t="s">
        <v>1615</v>
      </c>
      <c r="N2301" s="3"/>
      <c r="Q2301" s="10"/>
      <c r="R2301" s="5" t="s">
        <v>1615</v>
      </c>
      <c r="W2301" s="4"/>
    </row>
    <row r="2302" spans="6:33" ht="36.75" customHeight="1">
      <c r="H2302" s="1" t="s">
        <v>2306</v>
      </c>
      <c r="K2302" s="8">
        <f>SUM(K2295:K2300)</f>
        <v>7889.3</v>
      </c>
      <c r="N2302" s="3"/>
      <c r="O2302" s="1" t="s">
        <v>2306</v>
      </c>
      <c r="Q2302" s="10"/>
      <c r="R2302" s="8">
        <f>SUM(R2295:R2300)</f>
        <v>7889.3</v>
      </c>
      <c r="W2302" s="4"/>
    </row>
    <row r="2303" spans="6:33" ht="24" customHeight="1">
      <c r="K2303" s="5" t="s">
        <v>1615</v>
      </c>
      <c r="N2303" s="3"/>
      <c r="Q2303" s="10"/>
      <c r="R2303" s="5" t="s">
        <v>1615</v>
      </c>
      <c r="W2303" s="4"/>
    </row>
    <row r="2304" spans="6:33" ht="24" customHeight="1">
      <c r="H2304" s="1" t="s">
        <v>1144</v>
      </c>
      <c r="K2304" s="8">
        <f>(K2302/90)</f>
        <v>87.66</v>
      </c>
      <c r="N2304" s="3"/>
      <c r="O2304" s="1" t="s">
        <v>1144</v>
      </c>
      <c r="Q2304" s="10"/>
      <c r="R2304" s="8">
        <f>(R2302/90)</f>
        <v>87.66</v>
      </c>
      <c r="W2304" s="4"/>
      <c r="AG2304">
        <v>0</v>
      </c>
    </row>
    <row r="2305" spans="5:253" ht="24" customHeight="1">
      <c r="K2305" s="5" t="s">
        <v>2091</v>
      </c>
      <c r="W2305" s="4"/>
      <c r="IS2305">
        <v>0</v>
      </c>
    </row>
    <row r="2306" spans="5:253" ht="24" customHeight="1">
      <c r="W2306" s="4"/>
    </row>
    <row r="2307" spans="5:253" ht="24" customHeight="1">
      <c r="F2307" s="30">
        <v>78.099999999999994</v>
      </c>
      <c r="H2307" s="33" t="s">
        <v>1589</v>
      </c>
      <c r="L2307">
        <f>31.5+85</f>
        <v>116.5</v>
      </c>
      <c r="W2307" s="4"/>
    </row>
    <row r="2308" spans="5:253" ht="24" customHeight="1">
      <c r="H2308" s="1" t="s">
        <v>813</v>
      </c>
      <c r="L2308">
        <f>L2307*10%</f>
        <v>11.65</v>
      </c>
      <c r="W2308" s="4"/>
    </row>
    <row r="2309" spans="5:253" ht="24" customHeight="1">
      <c r="F2309">
        <v>2.5</v>
      </c>
      <c r="G2309" s="3" t="s">
        <v>785</v>
      </c>
      <c r="H2309" t="s">
        <v>1590</v>
      </c>
      <c r="I2309" s="438">
        <f>C395</f>
        <v>163</v>
      </c>
      <c r="J2309" s="10" t="s">
        <v>785</v>
      </c>
      <c r="K2309">
        <f t="shared" ref="K2309:K2314" si="254">I2309*F2309</f>
        <v>407.5</v>
      </c>
      <c r="W2309" s="4"/>
    </row>
    <row r="2310" spans="5:253" ht="24" customHeight="1">
      <c r="F2310">
        <v>20</v>
      </c>
      <c r="G2310" s="3" t="s">
        <v>364</v>
      </c>
      <c r="H2310" s="421" t="s">
        <v>5703</v>
      </c>
      <c r="I2310" s="1015">
        <v>5</v>
      </c>
      <c r="J2310" s="10" t="s">
        <v>364</v>
      </c>
      <c r="K2310">
        <f t="shared" si="254"/>
        <v>100</v>
      </c>
      <c r="W2310" s="4"/>
    </row>
    <row r="2311" spans="5:253" ht="24" customHeight="1">
      <c r="F2311">
        <v>9</v>
      </c>
      <c r="G2311" s="3" t="s">
        <v>364</v>
      </c>
      <c r="H2311" s="431" t="s">
        <v>5704</v>
      </c>
      <c r="I2311" s="431">
        <v>3.7</v>
      </c>
      <c r="J2311" s="10" t="s">
        <v>364</v>
      </c>
      <c r="K2311">
        <f t="shared" si="254"/>
        <v>33.299999999999997</v>
      </c>
      <c r="W2311" s="4"/>
    </row>
    <row r="2312" spans="5:253" ht="51.75" customHeight="1">
      <c r="F2312">
        <v>0.5</v>
      </c>
      <c r="G2312" s="3" t="s">
        <v>364</v>
      </c>
      <c r="H2312" t="s">
        <v>5705</v>
      </c>
      <c r="I2312" s="532">
        <v>101.5</v>
      </c>
      <c r="J2312" s="10" t="s">
        <v>364</v>
      </c>
      <c r="K2312">
        <f t="shared" si="254"/>
        <v>50.75</v>
      </c>
      <c r="W2312" s="4"/>
    </row>
    <row r="2313" spans="5:253" ht="36.75" customHeight="1">
      <c r="E2313" s="50">
        <f>25.2/5</f>
        <v>5.04</v>
      </c>
      <c r="F2313">
        <v>0.5</v>
      </c>
      <c r="G2313" s="3" t="s">
        <v>785</v>
      </c>
      <c r="H2313" t="s">
        <v>1308</v>
      </c>
      <c r="I2313">
        <f>I2297</f>
        <v>783</v>
      </c>
      <c r="J2313" s="10" t="s">
        <v>785</v>
      </c>
      <c r="K2313">
        <f t="shared" si="254"/>
        <v>391.5</v>
      </c>
      <c r="W2313" s="4"/>
    </row>
    <row r="2314" spans="5:253" ht="24" customHeight="1">
      <c r="F2314">
        <v>1</v>
      </c>
      <c r="G2314" s="3" t="s">
        <v>785</v>
      </c>
      <c r="H2314" t="s">
        <v>1309</v>
      </c>
      <c r="I2314">
        <f>I2299</f>
        <v>611</v>
      </c>
      <c r="J2314" s="10" t="s">
        <v>785</v>
      </c>
      <c r="K2314">
        <f t="shared" si="254"/>
        <v>611</v>
      </c>
      <c r="W2314" s="4"/>
    </row>
    <row r="2315" spans="5:253" ht="45.75" customHeight="1">
      <c r="G2315" s="3" t="s">
        <v>669</v>
      </c>
      <c r="H2315" s="327" t="s">
        <v>1310</v>
      </c>
      <c r="J2315" s="10" t="s">
        <v>669</v>
      </c>
      <c r="K2315">
        <v>200</v>
      </c>
      <c r="W2315" s="4"/>
    </row>
    <row r="2316" spans="5:253" ht="24" customHeight="1">
      <c r="G2316" s="3" t="s">
        <v>669</v>
      </c>
      <c r="H2316" t="s">
        <v>1234</v>
      </c>
      <c r="J2316" s="10" t="s">
        <v>669</v>
      </c>
      <c r="K2316">
        <v>8.32</v>
      </c>
      <c r="W2316" s="4"/>
    </row>
    <row r="2317" spans="5:253" ht="24" customHeight="1">
      <c r="K2317" s="5" t="s">
        <v>1615</v>
      </c>
      <c r="W2317" s="4"/>
    </row>
    <row r="2318" spans="5:253" ht="24" customHeight="1">
      <c r="H2318" t="s">
        <v>287</v>
      </c>
      <c r="K2318" s="8">
        <f>SUM(K2309:K2316)</f>
        <v>1802.37</v>
      </c>
      <c r="L2318">
        <f>K2352/3</f>
        <v>33.56</v>
      </c>
      <c r="W2318" s="4"/>
    </row>
    <row r="2319" spans="5:253" ht="27" customHeight="1">
      <c r="K2319" s="5" t="s">
        <v>1615</v>
      </c>
      <c r="W2319" s="4"/>
    </row>
    <row r="2320" spans="5:253" ht="45" customHeight="1">
      <c r="H2320" s="36" t="s">
        <v>2268</v>
      </c>
      <c r="W2320" s="4"/>
    </row>
    <row r="2321" spans="6:23" ht="24" customHeight="1">
      <c r="F2321">
        <v>0.7</v>
      </c>
      <c r="G2321" s="3" t="s">
        <v>785</v>
      </c>
      <c r="H2321" t="s">
        <v>665</v>
      </c>
      <c r="I2321">
        <f>C17</f>
        <v>919.6</v>
      </c>
      <c r="J2321" s="10" t="s">
        <v>1423</v>
      </c>
      <c r="K2321">
        <f>I2321*F2321</f>
        <v>643.72</v>
      </c>
      <c r="S2321" s="50">
        <f>R2359+R2360</f>
        <v>922.9</v>
      </c>
      <c r="W2321" s="4"/>
    </row>
    <row r="2322" spans="6:23" ht="24" customHeight="1">
      <c r="F2322">
        <v>0.5</v>
      </c>
      <c r="G2322" s="3" t="s">
        <v>785</v>
      </c>
      <c r="H2322" t="s">
        <v>666</v>
      </c>
      <c r="I2322">
        <f>C12</f>
        <v>679.8</v>
      </c>
      <c r="J2322" s="10" t="s">
        <v>1423</v>
      </c>
      <c r="K2322">
        <f>I2322*F2322</f>
        <v>339.9</v>
      </c>
      <c r="W2322" s="4"/>
    </row>
    <row r="2323" spans="6:23" ht="24" customHeight="1">
      <c r="H2323" t="s">
        <v>2269</v>
      </c>
      <c r="K2323">
        <f>SUM(K2321:K2322)</f>
        <v>983.62</v>
      </c>
      <c r="W2323" s="4"/>
    </row>
    <row r="2324" spans="6:23" ht="24" customHeight="1">
      <c r="H2324" t="s">
        <v>442</v>
      </c>
      <c r="K2324" s="36">
        <f>K2323/8.16</f>
        <v>120.54</v>
      </c>
      <c r="W2324" s="4"/>
    </row>
    <row r="2325" spans="6:23" ht="24" customHeight="1">
      <c r="W2325" s="4"/>
    </row>
    <row r="2326" spans="6:23" ht="24" customHeight="1">
      <c r="H2326" s="36" t="s">
        <v>1854</v>
      </c>
      <c r="W2326" s="4"/>
    </row>
    <row r="2327" spans="6:23" ht="24" customHeight="1">
      <c r="F2327">
        <v>2</v>
      </c>
      <c r="G2327" s="3" t="s">
        <v>929</v>
      </c>
      <c r="H2327" t="s">
        <v>5145</v>
      </c>
      <c r="I2327" s="532">
        <v>62.1</v>
      </c>
      <c r="J2327" s="10" t="s">
        <v>929</v>
      </c>
      <c r="K2327">
        <f>I2327*F2327</f>
        <v>124.2</v>
      </c>
      <c r="W2327" s="4"/>
    </row>
    <row r="2328" spans="6:23" ht="24" customHeight="1">
      <c r="F2328">
        <v>0.2</v>
      </c>
      <c r="G2328" s="3" t="s">
        <v>929</v>
      </c>
      <c r="H2328" t="s">
        <v>1855</v>
      </c>
      <c r="I2328">
        <f>C143/1000</f>
        <v>56.35</v>
      </c>
      <c r="J2328" s="10" t="s">
        <v>929</v>
      </c>
      <c r="K2328">
        <f>I2328*F2328</f>
        <v>11.27</v>
      </c>
      <c r="W2328" s="4"/>
    </row>
    <row r="2329" spans="6:23" ht="24" customHeight="1">
      <c r="F2329">
        <v>2</v>
      </c>
      <c r="G2329" s="3" t="s">
        <v>929</v>
      </c>
      <c r="H2329" t="s">
        <v>1856</v>
      </c>
      <c r="I2329">
        <f>K2324</f>
        <v>120.54</v>
      </c>
      <c r="J2329" s="10" t="s">
        <v>929</v>
      </c>
      <c r="K2329">
        <f>I2329*F2329</f>
        <v>241.08</v>
      </c>
      <c r="W2329" s="4"/>
    </row>
    <row r="2330" spans="6:23" ht="24" customHeight="1">
      <c r="H2330" t="s">
        <v>1857</v>
      </c>
      <c r="K2330">
        <f>SUM(K2327:K2329)</f>
        <v>376.55</v>
      </c>
      <c r="W2330" s="4"/>
    </row>
    <row r="2331" spans="6:23" ht="24" customHeight="1">
      <c r="H2331" t="s">
        <v>1858</v>
      </c>
      <c r="K2331" s="36">
        <f>K2330/10</f>
        <v>37.659999999999997</v>
      </c>
      <c r="W2331" s="4"/>
    </row>
    <row r="2332" spans="6:23" ht="24" customHeight="1">
      <c r="W2332" s="4"/>
    </row>
    <row r="2333" spans="6:23" ht="24" customHeight="1">
      <c r="H2333" s="36" t="s">
        <v>1010</v>
      </c>
      <c r="N2333" s="3"/>
      <c r="O2333" s="36" t="s">
        <v>937</v>
      </c>
      <c r="Q2333" s="10"/>
      <c r="W2333" s="4"/>
    </row>
    <row r="2334" spans="6:23" ht="24" customHeight="1">
      <c r="F2334">
        <v>0.25</v>
      </c>
      <c r="G2334" s="3" t="s">
        <v>570</v>
      </c>
      <c r="H2334" t="s">
        <v>1859</v>
      </c>
      <c r="I2334">
        <f>C11</f>
        <v>972.4</v>
      </c>
      <c r="J2334" s="10" t="s">
        <v>1423</v>
      </c>
      <c r="K2334">
        <f>I2334*F2334</f>
        <v>243.1</v>
      </c>
      <c r="M2334">
        <v>15</v>
      </c>
      <c r="N2334" s="3" t="s">
        <v>236</v>
      </c>
      <c r="O2334" s="512" t="s">
        <v>5706</v>
      </c>
      <c r="P2334" s="431">
        <v>160.25</v>
      </c>
      <c r="Q2334" s="10" t="s">
        <v>236</v>
      </c>
      <c r="R2334">
        <f>P2334*M2334</f>
        <v>2403.75</v>
      </c>
      <c r="W2334" s="4"/>
    </row>
    <row r="2335" spans="6:23" ht="24" customHeight="1">
      <c r="F2335">
        <v>1</v>
      </c>
      <c r="G2335" s="3" t="s">
        <v>570</v>
      </c>
      <c r="H2335" t="s">
        <v>666</v>
      </c>
      <c r="I2335">
        <f>C12</f>
        <v>679.8</v>
      </c>
      <c r="J2335" s="10" t="s">
        <v>1423</v>
      </c>
      <c r="K2335">
        <f>I2335*F2335</f>
        <v>679.8</v>
      </c>
      <c r="M2335">
        <v>0.5</v>
      </c>
      <c r="N2335" s="3" t="s">
        <v>929</v>
      </c>
      <c r="O2335" t="s">
        <v>1855</v>
      </c>
      <c r="P2335">
        <f>C143/1000</f>
        <v>56.35</v>
      </c>
      <c r="Q2335" s="10" t="s">
        <v>929</v>
      </c>
      <c r="R2335">
        <f>P2335*M2335</f>
        <v>28.18</v>
      </c>
      <c r="W2335" s="4"/>
    </row>
    <row r="2336" spans="6:23" ht="24" customHeight="1">
      <c r="G2336" s="10" t="s">
        <v>455</v>
      </c>
      <c r="H2336" t="s">
        <v>2055</v>
      </c>
      <c r="I2336">
        <f>SUM(K2334:K2335)*10/100</f>
        <v>92.29</v>
      </c>
      <c r="J2336" s="10" t="s">
        <v>455</v>
      </c>
      <c r="K2336">
        <f>I2336</f>
        <v>92.29</v>
      </c>
      <c r="M2336">
        <v>0.5</v>
      </c>
      <c r="N2336" s="3" t="s">
        <v>570</v>
      </c>
      <c r="O2336" t="s">
        <v>665</v>
      </c>
      <c r="P2336">
        <f>C17</f>
        <v>919.6</v>
      </c>
      <c r="Q2336" s="10" t="s">
        <v>929</v>
      </c>
      <c r="R2336">
        <f>P2336*M2336</f>
        <v>459.8</v>
      </c>
      <c r="W2336" s="4"/>
    </row>
    <row r="2337" spans="4:23" ht="24" customHeight="1">
      <c r="H2337" t="s">
        <v>2060</v>
      </c>
      <c r="K2337">
        <f>SUM(K2334:K2336)</f>
        <v>1015.19</v>
      </c>
      <c r="M2337">
        <v>0.5</v>
      </c>
      <c r="N2337" s="3" t="s">
        <v>570</v>
      </c>
      <c r="O2337" t="s">
        <v>666</v>
      </c>
      <c r="P2337">
        <f>C12</f>
        <v>679.8</v>
      </c>
      <c r="Q2337" s="10" t="s">
        <v>929</v>
      </c>
      <c r="R2337">
        <f>P2337*M2337</f>
        <v>339.9</v>
      </c>
      <c r="W2337" s="4"/>
    </row>
    <row r="2338" spans="4:23" ht="24" customHeight="1">
      <c r="H2338" t="s">
        <v>1011</v>
      </c>
      <c r="K2338" s="36">
        <f>K2337/2.44</f>
        <v>416.06</v>
      </c>
      <c r="N2338" s="3"/>
      <c r="O2338" t="s">
        <v>41</v>
      </c>
      <c r="Q2338" s="10"/>
      <c r="R2338">
        <f>SUM(R2334:R2337)</f>
        <v>3231.63</v>
      </c>
      <c r="W2338" s="4"/>
    </row>
    <row r="2339" spans="4:23" ht="24" customHeight="1">
      <c r="K2339">
        <v>0</v>
      </c>
      <c r="O2339" s="36" t="s">
        <v>1762</v>
      </c>
      <c r="Q2339" s="10"/>
      <c r="R2339" s="36">
        <f>R2338/15</f>
        <v>215.44</v>
      </c>
      <c r="W2339" s="4"/>
    </row>
    <row r="2340" spans="4:23" ht="24" customHeight="1">
      <c r="H2340" s="36" t="s">
        <v>956</v>
      </c>
      <c r="W2340" s="4"/>
    </row>
    <row r="2341" spans="4:23" ht="24" customHeight="1">
      <c r="F2341" s="50">
        <v>7.0999999999999994E-2</v>
      </c>
      <c r="G2341" s="3" t="s">
        <v>372</v>
      </c>
      <c r="H2341" t="s">
        <v>957</v>
      </c>
      <c r="I2341">
        <f>Y688</f>
        <v>8472.39</v>
      </c>
      <c r="J2341" s="10" t="s">
        <v>373</v>
      </c>
      <c r="K2341">
        <f>I2341*F2341</f>
        <v>601.54</v>
      </c>
      <c r="W2341" s="4"/>
    </row>
    <row r="2342" spans="4:23" ht="24" customHeight="1">
      <c r="F2342">
        <v>1</v>
      </c>
      <c r="G2342" s="3" t="s">
        <v>2235</v>
      </c>
      <c r="H2342" t="s">
        <v>931</v>
      </c>
      <c r="I2342">
        <f>K2338</f>
        <v>416.06</v>
      </c>
      <c r="J2342" s="10" t="s">
        <v>2235</v>
      </c>
      <c r="K2342">
        <f>I2342*F2342</f>
        <v>416.06</v>
      </c>
      <c r="W2342" s="4"/>
    </row>
    <row r="2343" spans="4:23" ht="43.5" customHeight="1">
      <c r="F2343" t="s">
        <v>992</v>
      </c>
      <c r="H2343" t="s">
        <v>374</v>
      </c>
      <c r="K2343" s="36">
        <f>SUM(K2341:K2342)</f>
        <v>1017.6</v>
      </c>
      <c r="N2343" s="3"/>
      <c r="O2343" s="1579" t="s">
        <v>1188</v>
      </c>
      <c r="P2343" s="1580"/>
      <c r="Q2343" s="1580"/>
      <c r="W2343" s="4"/>
    </row>
    <row r="2344" spans="4:23" ht="51" customHeight="1">
      <c r="M2344">
        <v>0.47</v>
      </c>
      <c r="N2344" s="3" t="s">
        <v>2190</v>
      </c>
      <c r="O2344" t="s">
        <v>362</v>
      </c>
      <c r="P2344">
        <f>K90</f>
        <v>233.76</v>
      </c>
      <c r="Q2344" s="10" t="s">
        <v>1423</v>
      </c>
      <c r="R2344">
        <f>P2344*M2344</f>
        <v>109.87</v>
      </c>
      <c r="W2344" s="4"/>
    </row>
    <row r="2345" spans="4:23" ht="24" customHeight="1">
      <c r="M2345">
        <v>2</v>
      </c>
      <c r="R2345">
        <f>P2345*M2345</f>
        <v>0</v>
      </c>
      <c r="W2345" s="4"/>
    </row>
    <row r="2346" spans="4:23" ht="36.75" customHeight="1">
      <c r="H2346" s="52" t="s">
        <v>1356</v>
      </c>
      <c r="K2346" s="50"/>
      <c r="M2346">
        <v>0.24</v>
      </c>
      <c r="N2346" s="3" t="s">
        <v>2190</v>
      </c>
      <c r="O2346" t="s">
        <v>1189</v>
      </c>
      <c r="P2346">
        <f>AC15</f>
        <v>1291.69</v>
      </c>
      <c r="Q2346" s="10" t="s">
        <v>1423</v>
      </c>
      <c r="R2346">
        <f>P2346*M2346</f>
        <v>310.01</v>
      </c>
      <c r="S2346" s="50" t="s">
        <v>5879</v>
      </c>
      <c r="W2346" s="4"/>
    </row>
    <row r="2347" spans="4:23" ht="41.25" customHeight="1">
      <c r="D2347">
        <f>24/5</f>
        <v>4.8</v>
      </c>
      <c r="F2347">
        <v>98.5</v>
      </c>
      <c r="G2347" s="53" t="s">
        <v>1805</v>
      </c>
      <c r="H2347" s="508" t="s">
        <v>5146</v>
      </c>
      <c r="I2347" s="606">
        <f>25.2/5</f>
        <v>5.04</v>
      </c>
      <c r="J2347" s="10" t="s">
        <v>1805</v>
      </c>
      <c r="K2347">
        <f>I2347*F2347</f>
        <v>496.44</v>
      </c>
      <c r="M2347">
        <v>0.79</v>
      </c>
      <c r="N2347" s="10" t="s">
        <v>2322</v>
      </c>
      <c r="O2347" s="408" t="s">
        <v>5147</v>
      </c>
      <c r="P2347">
        <f>AK559</f>
        <v>1714.94</v>
      </c>
      <c r="Q2347" s="10" t="s">
        <v>455</v>
      </c>
      <c r="R2347">
        <f>P2347*M2347</f>
        <v>1354.8</v>
      </c>
      <c r="S2347" s="50" t="s">
        <v>5878</v>
      </c>
      <c r="W2347" s="4"/>
    </row>
    <row r="2348" spans="4:23" ht="24" customHeight="1">
      <c r="F2348">
        <v>0.3</v>
      </c>
      <c r="G2348" s="3" t="s">
        <v>1805</v>
      </c>
      <c r="H2348" t="s">
        <v>278</v>
      </c>
      <c r="I2348">
        <f>C16</f>
        <v>1018.6</v>
      </c>
      <c r="J2348" s="10" t="s">
        <v>1423</v>
      </c>
      <c r="K2348">
        <f>I2348*F2348</f>
        <v>305.58</v>
      </c>
      <c r="M2348">
        <v>0.24</v>
      </c>
      <c r="N2348" s="3" t="s">
        <v>2190</v>
      </c>
      <c r="O2348" t="s">
        <v>928</v>
      </c>
      <c r="P2348">
        <f>I140</f>
        <v>1608.7</v>
      </c>
      <c r="Q2348" s="10"/>
      <c r="R2348">
        <f>P2348*M2348</f>
        <v>386.09</v>
      </c>
      <c r="S2348" s="50" t="s">
        <v>6117</v>
      </c>
      <c r="W2348" s="4"/>
    </row>
    <row r="2349" spans="4:23" ht="24" customHeight="1">
      <c r="F2349">
        <v>0.3</v>
      </c>
      <c r="G2349" t="s">
        <v>1805</v>
      </c>
      <c r="H2349" t="s">
        <v>666</v>
      </c>
      <c r="I2349">
        <f>C12</f>
        <v>679.8</v>
      </c>
      <c r="J2349" s="10" t="s">
        <v>1423</v>
      </c>
      <c r="K2349">
        <f>I2349*F2349</f>
        <v>203.94</v>
      </c>
      <c r="N2349" s="3"/>
      <c r="O2349" t="s">
        <v>2310</v>
      </c>
      <c r="Q2349" s="10"/>
      <c r="R2349" t="s">
        <v>1333</v>
      </c>
      <c r="W2349" s="4"/>
    </row>
    <row r="2350" spans="4:23" ht="24" customHeight="1">
      <c r="H2350" t="s">
        <v>15</v>
      </c>
      <c r="K2350">
        <v>0.9</v>
      </c>
      <c r="R2350" s="36">
        <f>SUM(R2344:R2348)</f>
        <v>2160.77</v>
      </c>
      <c r="W2350" s="4"/>
    </row>
    <row r="2351" spans="4:23" ht="24" customHeight="1">
      <c r="H2351" s="36" t="s">
        <v>3618</v>
      </c>
      <c r="K2351" s="36">
        <f>SUM(K2347:K2350)</f>
        <v>1006.86</v>
      </c>
      <c r="R2351" t="s">
        <v>4182</v>
      </c>
      <c r="W2351" s="4"/>
    </row>
    <row r="2352" spans="4:23" ht="24" customHeight="1">
      <c r="H2352" s="36" t="s">
        <v>3619</v>
      </c>
      <c r="K2352" s="36">
        <f>K2351/10</f>
        <v>100.69</v>
      </c>
      <c r="R2352">
        <v>0</v>
      </c>
      <c r="W2352" s="4"/>
    </row>
    <row r="2353" spans="6:23" ht="24" customHeight="1">
      <c r="H2353" s="36" t="s">
        <v>3620</v>
      </c>
      <c r="K2353" s="36">
        <f>K2352/3</f>
        <v>33.56</v>
      </c>
      <c r="N2353" s="3"/>
      <c r="O2353" s="1579" t="s">
        <v>1334</v>
      </c>
      <c r="P2353" s="1580"/>
      <c r="Q2353" s="1580"/>
      <c r="W2353" s="4"/>
    </row>
    <row r="2354" spans="6:23" ht="24" customHeight="1">
      <c r="G2354" s="91" t="s">
        <v>743</v>
      </c>
      <c r="H2354" s="54" t="s">
        <v>739</v>
      </c>
      <c r="I2354" s="36">
        <f>I2356-K2352</f>
        <v>881.39</v>
      </c>
      <c r="K2354" s="36"/>
      <c r="M2354">
        <v>1</v>
      </c>
      <c r="N2354" s="3" t="s">
        <v>2190</v>
      </c>
      <c r="O2354" t="s">
        <v>931</v>
      </c>
      <c r="P2354">
        <f>R2365</f>
        <v>416.06</v>
      </c>
      <c r="Q2354" s="10" t="s">
        <v>1423</v>
      </c>
      <c r="R2354">
        <f>P2354*M2354</f>
        <v>416.06</v>
      </c>
      <c r="W2354" s="4"/>
    </row>
    <row r="2355" spans="6:23" ht="24" customHeight="1">
      <c r="G2355" s="72"/>
      <c r="H2355" s="54"/>
      <c r="I2355" s="36"/>
      <c r="K2355" s="36"/>
      <c r="M2355" s="50">
        <v>7.0999999999999994E-2</v>
      </c>
      <c r="N2355" s="3" t="s">
        <v>2190</v>
      </c>
      <c r="O2355" t="s">
        <v>1189</v>
      </c>
      <c r="P2355">
        <f>P2346</f>
        <v>1291.69</v>
      </c>
      <c r="Q2355" s="10" t="s">
        <v>1423</v>
      </c>
      <c r="R2355">
        <f>P2355*M2355</f>
        <v>91.71</v>
      </c>
      <c r="W2355" s="4"/>
    </row>
    <row r="2356" spans="6:23" ht="24" customHeight="1">
      <c r="G2356" s="91" t="s">
        <v>527</v>
      </c>
      <c r="H2356" s="54" t="s">
        <v>740</v>
      </c>
      <c r="I2356" s="36">
        <f>K770</f>
        <v>982.08</v>
      </c>
      <c r="K2356" s="36"/>
      <c r="R2356" t="s">
        <v>1333</v>
      </c>
      <c r="W2356" s="4"/>
    </row>
    <row r="2357" spans="6:23" ht="24" customHeight="1">
      <c r="G2357" s="72"/>
      <c r="H2357" s="54"/>
      <c r="I2357" s="36"/>
      <c r="K2357" s="36"/>
      <c r="N2357" s="10"/>
      <c r="Q2357" s="10"/>
      <c r="R2357" s="36">
        <f>SUM(R2354:R2355)</f>
        <v>507.77</v>
      </c>
      <c r="W2357" s="4"/>
    </row>
    <row r="2358" spans="6:23" ht="24" customHeight="1">
      <c r="G2358" s="93" t="s">
        <v>321</v>
      </c>
      <c r="H2358" s="92" t="s">
        <v>741</v>
      </c>
      <c r="I2358" s="36">
        <f>I2356*1.2</f>
        <v>1178.5</v>
      </c>
      <c r="K2358" s="36"/>
      <c r="N2358" s="3"/>
      <c r="Q2358" s="10"/>
      <c r="R2358" t="s">
        <v>1333</v>
      </c>
      <c r="W2358" s="4"/>
    </row>
    <row r="2359" spans="6:23" ht="24" customHeight="1">
      <c r="G2359" s="91"/>
      <c r="H2359" s="54"/>
      <c r="K2359" s="36"/>
      <c r="M2359">
        <v>0.25</v>
      </c>
      <c r="N2359" s="3" t="s">
        <v>1419</v>
      </c>
      <c r="O2359" t="s">
        <v>1335</v>
      </c>
      <c r="P2359">
        <f>AE10</f>
        <v>972.4</v>
      </c>
      <c r="Q2359" s="10"/>
      <c r="R2359">
        <f>P2359*M2359</f>
        <v>243.1</v>
      </c>
      <c r="W2359" s="4"/>
    </row>
    <row r="2360" spans="6:23" ht="24" customHeight="1">
      <c r="G2360" s="91" t="s">
        <v>744</v>
      </c>
      <c r="H2360" s="54" t="s">
        <v>742</v>
      </c>
      <c r="I2360" s="36">
        <f>I2356*1.1</f>
        <v>1080.29</v>
      </c>
      <c r="K2360" s="36"/>
      <c r="M2360">
        <v>1</v>
      </c>
      <c r="N2360" s="3" t="s">
        <v>1419</v>
      </c>
      <c r="O2360" t="s">
        <v>1336</v>
      </c>
      <c r="P2360">
        <f>AE11</f>
        <v>679.8</v>
      </c>
      <c r="R2360">
        <f>P2360*M2360</f>
        <v>679.8</v>
      </c>
      <c r="W2360" s="4"/>
    </row>
    <row r="2361" spans="6:23" ht="42" customHeight="1">
      <c r="H2361" s="54"/>
      <c r="K2361" s="36"/>
      <c r="M2361">
        <v>1</v>
      </c>
      <c r="N2361" t="s">
        <v>1419</v>
      </c>
      <c r="O2361" s="27" t="s">
        <v>1337</v>
      </c>
      <c r="P2361" t="s">
        <v>669</v>
      </c>
      <c r="R2361">
        <f>(R2359+R2360)*10%</f>
        <v>92.29</v>
      </c>
      <c r="W2361" s="4"/>
    </row>
    <row r="2362" spans="6:23" ht="24" customHeight="1">
      <c r="R2362" t="s">
        <v>1333</v>
      </c>
      <c r="W2362" s="4"/>
    </row>
    <row r="2363" spans="6:23" ht="24" customHeight="1">
      <c r="H2363" s="36" t="s">
        <v>2230</v>
      </c>
      <c r="R2363" s="36">
        <f>SUM(R2359:R2361)</f>
        <v>1015.19</v>
      </c>
      <c r="W2363" s="4"/>
    </row>
    <row r="2364" spans="6:23" ht="24" customHeight="1">
      <c r="F2364">
        <v>11.5</v>
      </c>
      <c r="G2364" s="3" t="s">
        <v>2322</v>
      </c>
      <c r="H2364" s="482" t="s">
        <v>5148</v>
      </c>
      <c r="I2364" s="105">
        <v>170.15</v>
      </c>
      <c r="J2364" s="10" t="s">
        <v>2322</v>
      </c>
      <c r="K2364">
        <f t="shared" ref="K2364:K2369" si="255">F2364*I2364</f>
        <v>1956.73</v>
      </c>
      <c r="R2364" t="s">
        <v>1333</v>
      </c>
      <c r="W2364" s="4"/>
    </row>
    <row r="2365" spans="6:23" ht="24" customHeight="1">
      <c r="F2365">
        <v>2</v>
      </c>
      <c r="G2365" s="3" t="s">
        <v>2001</v>
      </c>
      <c r="H2365" s="482" t="s">
        <v>5149</v>
      </c>
      <c r="I2365" s="105">
        <v>196.45</v>
      </c>
      <c r="J2365" s="10" t="s">
        <v>2002</v>
      </c>
      <c r="K2365">
        <f t="shared" si="255"/>
        <v>392.9</v>
      </c>
      <c r="R2365">
        <f>R2363/2.44</f>
        <v>416.06</v>
      </c>
      <c r="W2365" s="4"/>
    </row>
    <row r="2366" spans="6:23" ht="24" customHeight="1">
      <c r="F2366">
        <v>20</v>
      </c>
      <c r="G2366" s="3" t="s">
        <v>147</v>
      </c>
      <c r="H2366" s="710" t="s">
        <v>5150</v>
      </c>
      <c r="I2366" s="105">
        <v>3.91</v>
      </c>
      <c r="J2366" s="10" t="s">
        <v>147</v>
      </c>
      <c r="K2366">
        <f t="shared" si="255"/>
        <v>78.2</v>
      </c>
      <c r="W2366" s="4"/>
    </row>
    <row r="2367" spans="6:23" ht="24" customHeight="1">
      <c r="F2367">
        <v>2.2000000000000002</v>
      </c>
      <c r="G2367" s="3" t="s">
        <v>1419</v>
      </c>
      <c r="H2367" t="s">
        <v>982</v>
      </c>
      <c r="I2367">
        <f>AE18</f>
        <v>893.2</v>
      </c>
      <c r="J2367" s="10" t="s">
        <v>1423</v>
      </c>
      <c r="K2367">
        <f t="shared" si="255"/>
        <v>1965.04</v>
      </c>
      <c r="W2367" s="4"/>
    </row>
    <row r="2368" spans="6:23" ht="24" customHeight="1">
      <c r="F2368">
        <v>1.1000000000000001</v>
      </c>
      <c r="G2368" s="3" t="s">
        <v>1419</v>
      </c>
      <c r="H2368" t="s">
        <v>145</v>
      </c>
      <c r="I2368">
        <f>C16</f>
        <v>1018.6</v>
      </c>
      <c r="J2368" s="10" t="s">
        <v>1423</v>
      </c>
      <c r="K2368">
        <f t="shared" si="255"/>
        <v>1120.46</v>
      </c>
      <c r="W2368" s="4"/>
    </row>
    <row r="2369" spans="6:23" ht="24" customHeight="1">
      <c r="F2369">
        <v>3.2</v>
      </c>
      <c r="G2369" s="3" t="s">
        <v>1419</v>
      </c>
      <c r="H2369" t="s">
        <v>146</v>
      </c>
      <c r="I2369">
        <f>C12</f>
        <v>679.8</v>
      </c>
      <c r="J2369" s="10" t="s">
        <v>1423</v>
      </c>
      <c r="K2369">
        <f t="shared" si="255"/>
        <v>2175.36</v>
      </c>
      <c r="O2369" s="4"/>
      <c r="W2369" s="4"/>
    </row>
    <row r="2370" spans="6:23" ht="24" customHeight="1">
      <c r="H2370" t="s">
        <v>1484</v>
      </c>
      <c r="J2370" s="10" t="s">
        <v>455</v>
      </c>
      <c r="K2370">
        <v>0.5</v>
      </c>
      <c r="N2370" s="3"/>
      <c r="O2370" s="39" t="s">
        <v>2231</v>
      </c>
      <c r="Q2370" s="10"/>
      <c r="W2370" s="4"/>
    </row>
    <row r="2371" spans="6:23" ht="24" customHeight="1">
      <c r="K2371" s="55" t="s">
        <v>148</v>
      </c>
      <c r="M2371">
        <v>11</v>
      </c>
      <c r="N2371" s="3" t="s">
        <v>2322</v>
      </c>
      <c r="O2371" s="54" t="s">
        <v>2967</v>
      </c>
      <c r="P2371" s="221">
        <f>I2364</f>
        <v>170.15</v>
      </c>
      <c r="Q2371" s="10" t="s">
        <v>2322</v>
      </c>
      <c r="R2371">
        <f>M2371*P2371</f>
        <v>1871.65</v>
      </c>
      <c r="W2371" s="4"/>
    </row>
    <row r="2372" spans="6:23" ht="24" customHeight="1">
      <c r="H2372" s="39" t="s">
        <v>1485</v>
      </c>
      <c r="K2372" s="36">
        <f>SUM(K2364:K2371)</f>
        <v>7689.19</v>
      </c>
      <c r="M2372">
        <v>20</v>
      </c>
      <c r="N2372" s="10" t="s">
        <v>286</v>
      </c>
      <c r="O2372" s="54" t="s">
        <v>810</v>
      </c>
      <c r="P2372" s="221">
        <f>I2366</f>
        <v>3.91</v>
      </c>
      <c r="Q2372" s="10" t="s">
        <v>286</v>
      </c>
      <c r="R2372">
        <f>M2372*P2372</f>
        <v>78.2</v>
      </c>
      <c r="W2372" s="4"/>
    </row>
    <row r="2373" spans="6:23" ht="24" customHeight="1">
      <c r="K2373" s="55" t="s">
        <v>148</v>
      </c>
      <c r="M2373">
        <v>2.2000000000000002</v>
      </c>
      <c r="N2373" s="3" t="s">
        <v>1419</v>
      </c>
      <c r="O2373" t="s">
        <v>982</v>
      </c>
      <c r="P2373">
        <f>AE18</f>
        <v>893.2</v>
      </c>
      <c r="Q2373" s="10" t="s">
        <v>1423</v>
      </c>
      <c r="R2373">
        <f>M2373*P2373</f>
        <v>1965.04</v>
      </c>
      <c r="W2373" s="4"/>
    </row>
    <row r="2374" spans="6:23" ht="24" customHeight="1">
      <c r="H2374" s="39" t="s">
        <v>1986</v>
      </c>
      <c r="I2374" t="s">
        <v>992</v>
      </c>
      <c r="K2374" s="36">
        <f>K2372/10</f>
        <v>768.92</v>
      </c>
      <c r="M2374">
        <v>1.1000000000000001</v>
      </c>
      <c r="N2374" s="3" t="s">
        <v>1419</v>
      </c>
      <c r="O2374" t="s">
        <v>145</v>
      </c>
      <c r="P2374">
        <f>I2368</f>
        <v>1018.6</v>
      </c>
      <c r="Q2374" s="10" t="s">
        <v>1423</v>
      </c>
      <c r="R2374">
        <f>M2374*P2374</f>
        <v>1120.46</v>
      </c>
      <c r="W2374" s="4"/>
    </row>
    <row r="2375" spans="6:23" ht="24" customHeight="1">
      <c r="K2375" s="55" t="s">
        <v>148</v>
      </c>
      <c r="M2375">
        <v>3.2</v>
      </c>
      <c r="N2375" s="3" t="s">
        <v>1419</v>
      </c>
      <c r="O2375" t="s">
        <v>146</v>
      </c>
      <c r="P2375">
        <f>I2369</f>
        <v>679.8</v>
      </c>
      <c r="Q2375" s="10" t="s">
        <v>1423</v>
      </c>
      <c r="R2375">
        <f>M2375*P2375</f>
        <v>2175.36</v>
      </c>
      <c r="W2375" s="4"/>
    </row>
    <row r="2376" spans="6:23" ht="24" customHeight="1">
      <c r="N2376" s="3"/>
      <c r="O2376" t="s">
        <v>1484</v>
      </c>
      <c r="Q2376" s="10" t="s">
        <v>669</v>
      </c>
      <c r="R2376">
        <v>0.74</v>
      </c>
      <c r="W2376" s="4"/>
    </row>
    <row r="2377" spans="6:23" ht="24" customHeight="1">
      <c r="W2377" s="4"/>
    </row>
    <row r="2378" spans="6:23" ht="39" customHeight="1">
      <c r="G2378"/>
      <c r="H2378" s="69" t="s">
        <v>2062</v>
      </c>
      <c r="N2378" s="3"/>
      <c r="Q2378" s="10"/>
      <c r="R2378" s="55" t="s">
        <v>148</v>
      </c>
      <c r="W2378" s="4"/>
    </row>
    <row r="2379" spans="6:23" ht="24" customHeight="1">
      <c r="G2379"/>
      <c r="N2379" s="3"/>
      <c r="O2379" s="39" t="s">
        <v>1485</v>
      </c>
      <c r="Q2379" s="10"/>
      <c r="R2379" s="36">
        <f>SUM(R2371:R2378)</f>
        <v>7211.45</v>
      </c>
      <c r="W2379" s="4"/>
    </row>
    <row r="2380" spans="6:23" ht="24" customHeight="1">
      <c r="F2380" t="s">
        <v>2063</v>
      </c>
      <c r="G2380"/>
      <c r="H2380" t="s">
        <v>2064</v>
      </c>
      <c r="N2380" s="3"/>
      <c r="Q2380" s="10"/>
      <c r="R2380" s="55" t="s">
        <v>148</v>
      </c>
      <c r="W2380" s="4"/>
    </row>
    <row r="2381" spans="6:23" ht="24" customHeight="1">
      <c r="G2381"/>
      <c r="H2381" t="s">
        <v>357</v>
      </c>
      <c r="N2381" s="3"/>
      <c r="O2381" s="39" t="s">
        <v>1486</v>
      </c>
      <c r="Q2381" s="10"/>
      <c r="R2381" s="36">
        <f>R2379/10</f>
        <v>721.15</v>
      </c>
      <c r="W2381" s="4"/>
    </row>
    <row r="2382" spans="6:23" ht="24" customHeight="1">
      <c r="G2382"/>
      <c r="N2382" s="3"/>
      <c r="Q2382" s="10"/>
      <c r="R2382" s="55" t="s">
        <v>148</v>
      </c>
      <c r="W2382" s="4"/>
    </row>
    <row r="2383" spans="6:23" ht="24" customHeight="1">
      <c r="F2383">
        <v>1.96</v>
      </c>
      <c r="G2383" t="s">
        <v>2190</v>
      </c>
      <c r="H2383" t="s">
        <v>358</v>
      </c>
      <c r="I2383">
        <f>K1713</f>
        <v>5781.86</v>
      </c>
      <c r="J2383" s="1" t="s">
        <v>885</v>
      </c>
      <c r="K2383" s="8">
        <f t="shared" ref="K2383:K2388" si="256">(F2383*I2383)</f>
        <v>11332.45</v>
      </c>
      <c r="W2383" s="4"/>
    </row>
    <row r="2384" spans="6:23" ht="24" customHeight="1">
      <c r="F2384">
        <v>2</v>
      </c>
      <c r="G2384" t="s">
        <v>1419</v>
      </c>
      <c r="H2384" t="s">
        <v>359</v>
      </c>
      <c r="I2384">
        <f>C10</f>
        <v>1041.7</v>
      </c>
      <c r="J2384" s="1" t="s">
        <v>884</v>
      </c>
      <c r="K2384" s="8">
        <f t="shared" si="256"/>
        <v>2083.4</v>
      </c>
      <c r="W2384" s="4"/>
    </row>
    <row r="2385" spans="5:23" ht="24" customHeight="1">
      <c r="F2385">
        <v>2</v>
      </c>
      <c r="G2385" t="s">
        <v>1419</v>
      </c>
      <c r="H2385" t="s">
        <v>360</v>
      </c>
      <c r="I2385">
        <f>C13</f>
        <v>557.70000000000005</v>
      </c>
      <c r="J2385" s="1" t="s">
        <v>884</v>
      </c>
      <c r="K2385" s="8">
        <f t="shared" si="256"/>
        <v>1115.4000000000001</v>
      </c>
      <c r="N2385" s="7" t="s">
        <v>2290</v>
      </c>
      <c r="Q2385" s="10"/>
      <c r="W2385" s="4"/>
    </row>
    <row r="2386" spans="5:23" ht="24" customHeight="1">
      <c r="F2386">
        <v>0.28000000000000003</v>
      </c>
      <c r="G2386" t="s">
        <v>2322</v>
      </c>
      <c r="H2386" t="s">
        <v>361</v>
      </c>
      <c r="I2386">
        <f>I2354</f>
        <v>881.39</v>
      </c>
      <c r="J2386" s="1" t="s">
        <v>884</v>
      </c>
      <c r="K2386" s="8">
        <f t="shared" si="256"/>
        <v>246.79</v>
      </c>
      <c r="N2386" s="3"/>
      <c r="O2386" s="1" t="s">
        <v>3743</v>
      </c>
      <c r="Q2386" s="4"/>
      <c r="W2386" s="4"/>
    </row>
    <row r="2387" spans="5:23" ht="24" customHeight="1">
      <c r="F2387">
        <v>500</v>
      </c>
      <c r="G2387" t="s">
        <v>1419</v>
      </c>
      <c r="H2387" s="59" t="s">
        <v>2184</v>
      </c>
      <c r="I2387">
        <v>2</v>
      </c>
      <c r="J2387" s="1" t="s">
        <v>884</v>
      </c>
      <c r="K2387" s="8">
        <f t="shared" si="256"/>
        <v>1000</v>
      </c>
      <c r="N2387" s="3"/>
      <c r="O2387" s="1" t="s">
        <v>3744</v>
      </c>
      <c r="Q2387" s="4"/>
      <c r="W2387" s="4"/>
    </row>
    <row r="2388" spans="5:23" ht="24" customHeight="1">
      <c r="F2388">
        <v>8.5</v>
      </c>
      <c r="G2388" t="s">
        <v>2185</v>
      </c>
      <c r="H2388" s="776" t="s">
        <v>4408</v>
      </c>
      <c r="I2388" s="483">
        <v>43.6</v>
      </c>
      <c r="J2388" s="10" t="s">
        <v>2185</v>
      </c>
      <c r="K2388" s="8">
        <f t="shared" si="256"/>
        <v>370.6</v>
      </c>
      <c r="N2388" s="3"/>
      <c r="O2388" s="1" t="s">
        <v>3745</v>
      </c>
      <c r="Q2388" s="4"/>
      <c r="W2388" s="4"/>
    </row>
    <row r="2389" spans="5:23" ht="24" customHeight="1">
      <c r="G2389"/>
      <c r="H2389" t="s">
        <v>2310</v>
      </c>
      <c r="K2389" s="6">
        <v>1.96</v>
      </c>
      <c r="N2389" s="3"/>
      <c r="O2389" s="1" t="s">
        <v>3746</v>
      </c>
      <c r="Q2389" s="4"/>
      <c r="W2389" s="4"/>
    </row>
    <row r="2390" spans="5:23" ht="24" customHeight="1">
      <c r="G2390"/>
      <c r="I2390" t="s">
        <v>1761</v>
      </c>
      <c r="K2390" s="8">
        <f>SUM(K2383:K2389)</f>
        <v>16150.6</v>
      </c>
      <c r="N2390" s="3"/>
      <c r="O2390" s="5" t="s">
        <v>1615</v>
      </c>
      <c r="P2390" s="5" t="s">
        <v>1615</v>
      </c>
      <c r="Q2390" s="4"/>
      <c r="R2390" s="8"/>
      <c r="W2390" s="4"/>
    </row>
    <row r="2391" spans="5:23" ht="24" customHeight="1">
      <c r="G2391"/>
      <c r="K2391" s="5" t="s">
        <v>1615</v>
      </c>
      <c r="M2391">
        <v>8</v>
      </c>
      <c r="N2391" s="7" t="s">
        <v>1907</v>
      </c>
      <c r="O2391" s="1" t="s">
        <v>4448</v>
      </c>
      <c r="P2391" s="713">
        <v>4.0999999999999996</v>
      </c>
      <c r="Q2391" s="2" t="s">
        <v>1423</v>
      </c>
      <c r="R2391" s="8">
        <f>P2391*M2391</f>
        <v>32.799999999999997</v>
      </c>
      <c r="W2391" s="4"/>
    </row>
    <row r="2392" spans="5:23" ht="24" customHeight="1">
      <c r="E2392">
        <f>23+26.65</f>
        <v>49.65</v>
      </c>
      <c r="G2392"/>
      <c r="I2392" t="s">
        <v>1762</v>
      </c>
      <c r="K2392" s="38">
        <f>K2390/39.2</f>
        <v>412.01</v>
      </c>
      <c r="M2392">
        <v>8</v>
      </c>
      <c r="N2392" s="7" t="s">
        <v>1907</v>
      </c>
      <c r="O2392" s="1" t="s">
        <v>3747</v>
      </c>
      <c r="P2392" s="713">
        <v>3.69</v>
      </c>
      <c r="Q2392" s="2" t="s">
        <v>1423</v>
      </c>
      <c r="R2392" s="8">
        <f>P2392*M2392</f>
        <v>29.52</v>
      </c>
      <c r="W2392" s="4"/>
    </row>
    <row r="2393" spans="5:23" ht="24" customHeight="1">
      <c r="E2393">
        <f>E2392/2</f>
        <v>24.83</v>
      </c>
      <c r="G2393"/>
      <c r="K2393" s="5" t="s">
        <v>2091</v>
      </c>
      <c r="M2393">
        <v>8</v>
      </c>
      <c r="N2393" s="7" t="s">
        <v>1907</v>
      </c>
      <c r="O2393" s="1" t="s">
        <v>3748</v>
      </c>
      <c r="P2393" s="713">
        <v>4.0999999999999996</v>
      </c>
      <c r="Q2393" s="2" t="s">
        <v>1423</v>
      </c>
      <c r="R2393" s="8">
        <f>P2393*M2393</f>
        <v>32.799999999999997</v>
      </c>
      <c r="W2393" s="4"/>
    </row>
    <row r="2394" spans="5:23" ht="24" customHeight="1">
      <c r="G2394"/>
      <c r="M2394">
        <v>0.75</v>
      </c>
      <c r="N2394" s="7" t="s">
        <v>1676</v>
      </c>
      <c r="O2394" s="1" t="s">
        <v>3749</v>
      </c>
      <c r="P2394" s="536">
        <v>176.4</v>
      </c>
      <c r="Q2394" s="2" t="s">
        <v>1423</v>
      </c>
      <c r="R2394" s="8">
        <f t="shared" ref="R2394:R2399" si="257">(M2394*P2394)</f>
        <v>132.30000000000001</v>
      </c>
      <c r="W2394" s="4"/>
    </row>
    <row r="2395" spans="5:23" ht="24" customHeight="1">
      <c r="G2395"/>
      <c r="M2395">
        <v>2.25</v>
      </c>
      <c r="N2395" s="7" t="s">
        <v>3750</v>
      </c>
      <c r="O2395" s="1" t="s">
        <v>3751</v>
      </c>
      <c r="P2395" s="536">
        <v>140.41</v>
      </c>
      <c r="Q2395" s="2" t="s">
        <v>3750</v>
      </c>
      <c r="R2395" s="8">
        <f t="shared" si="257"/>
        <v>315.92</v>
      </c>
      <c r="W2395" s="4"/>
    </row>
    <row r="2396" spans="5:23" ht="24" customHeight="1">
      <c r="G2396"/>
      <c r="H2396" s="36" t="s">
        <v>992</v>
      </c>
      <c r="M2396">
        <v>4.5</v>
      </c>
      <c r="N2396" s="7" t="s">
        <v>3750</v>
      </c>
      <c r="O2396" s="1" t="s">
        <v>3752</v>
      </c>
      <c r="P2396" s="536">
        <v>65</v>
      </c>
      <c r="Q2396" s="2" t="s">
        <v>3750</v>
      </c>
      <c r="R2396" s="8">
        <f t="shared" si="257"/>
        <v>292.5</v>
      </c>
      <c r="W2396" s="4"/>
    </row>
    <row r="2397" spans="5:23" ht="34.5" customHeight="1">
      <c r="F2397">
        <v>1</v>
      </c>
      <c r="G2397" t="s">
        <v>1419</v>
      </c>
      <c r="H2397" s="777" t="s">
        <v>5707</v>
      </c>
      <c r="I2397" s="105">
        <v>454.5</v>
      </c>
      <c r="J2397" s="1" t="s">
        <v>884</v>
      </c>
      <c r="K2397" s="8">
        <f>(F2397*I2397)</f>
        <v>454.5</v>
      </c>
      <c r="M2397">
        <v>6</v>
      </c>
      <c r="N2397" s="7" t="s">
        <v>1907</v>
      </c>
      <c r="O2397" s="1" t="s">
        <v>3753</v>
      </c>
      <c r="P2397" s="536">
        <v>8</v>
      </c>
      <c r="Q2397" s="2" t="s">
        <v>1423</v>
      </c>
      <c r="R2397" s="8">
        <f t="shared" si="257"/>
        <v>48</v>
      </c>
      <c r="W2397" s="4"/>
    </row>
    <row r="2398" spans="5:23" ht="24" customHeight="1">
      <c r="F2398">
        <v>0.25</v>
      </c>
      <c r="G2398" t="s">
        <v>1419</v>
      </c>
      <c r="H2398" t="s">
        <v>359</v>
      </c>
      <c r="I2398">
        <f>I2384</f>
        <v>1041.7</v>
      </c>
      <c r="J2398" s="1" t="s">
        <v>884</v>
      </c>
      <c r="K2398" s="8">
        <f>(F2398*I2398)</f>
        <v>260.43</v>
      </c>
      <c r="M2398">
        <v>6</v>
      </c>
      <c r="N2398" s="7" t="s">
        <v>1907</v>
      </c>
      <c r="O2398" s="1" t="s">
        <v>3754</v>
      </c>
      <c r="P2398" s="536">
        <v>8.61</v>
      </c>
      <c r="Q2398" s="2" t="s">
        <v>1423</v>
      </c>
      <c r="R2398" s="8">
        <f t="shared" si="257"/>
        <v>51.66</v>
      </c>
      <c r="W2398" s="4"/>
    </row>
    <row r="2399" spans="5:23" ht="24" customHeight="1">
      <c r="F2399">
        <v>0.28000000000000003</v>
      </c>
      <c r="G2399" t="s">
        <v>2322</v>
      </c>
      <c r="H2399" t="s">
        <v>666</v>
      </c>
      <c r="I2399">
        <f>C12</f>
        <v>679.8</v>
      </c>
      <c r="J2399" s="1" t="s">
        <v>884</v>
      </c>
      <c r="K2399" s="8">
        <f>(F2399*I2399)</f>
        <v>190.34</v>
      </c>
      <c r="M2399">
        <v>4</v>
      </c>
      <c r="N2399" s="7" t="s">
        <v>1907</v>
      </c>
      <c r="O2399" s="1" t="s">
        <v>3755</v>
      </c>
      <c r="P2399" s="536">
        <v>8.61</v>
      </c>
      <c r="Q2399" s="2" t="s">
        <v>1423</v>
      </c>
      <c r="R2399" s="8">
        <f t="shared" si="257"/>
        <v>34.44</v>
      </c>
      <c r="W2399" s="4"/>
    </row>
    <row r="2400" spans="5:23" ht="24" customHeight="1">
      <c r="G2400"/>
      <c r="H2400" s="59"/>
      <c r="J2400" s="1"/>
      <c r="K2400" s="8"/>
      <c r="M2400">
        <v>300</v>
      </c>
      <c r="N2400" s="7" t="s">
        <v>3756</v>
      </c>
      <c r="O2400" s="1" t="s">
        <v>3757</v>
      </c>
      <c r="P2400" s="536">
        <v>30</v>
      </c>
      <c r="Q2400" s="2" t="s">
        <v>4419</v>
      </c>
      <c r="R2400" s="8">
        <f>P2400*M2400/100</f>
        <v>90</v>
      </c>
      <c r="W2400" s="4"/>
    </row>
    <row r="2401" spans="6:23" ht="24" customHeight="1">
      <c r="G2401"/>
      <c r="K2401" s="8"/>
      <c r="M2401">
        <v>300</v>
      </c>
      <c r="N2401" s="7" t="s">
        <v>3756</v>
      </c>
      <c r="O2401" s="1" t="s">
        <v>3758</v>
      </c>
      <c r="P2401" s="536">
        <v>44.99</v>
      </c>
      <c r="Q2401" s="2" t="s">
        <v>4420</v>
      </c>
      <c r="R2401" s="8">
        <f>P2401*M2401/500</f>
        <v>26.99</v>
      </c>
      <c r="W2401" s="4"/>
    </row>
    <row r="2402" spans="6:23" ht="24" customHeight="1">
      <c r="G2402"/>
      <c r="K2402" s="68" t="s">
        <v>148</v>
      </c>
      <c r="M2402">
        <v>1.5</v>
      </c>
      <c r="N2402" s="7" t="s">
        <v>1676</v>
      </c>
      <c r="O2402" s="1" t="s">
        <v>3759</v>
      </c>
      <c r="P2402" s="536">
        <v>20.95</v>
      </c>
      <c r="Q2402" s="2" t="s">
        <v>1676</v>
      </c>
      <c r="R2402" s="8">
        <f>P2402*M2402</f>
        <v>31.43</v>
      </c>
      <c r="W2402" s="4"/>
    </row>
    <row r="2403" spans="6:23" ht="24" customHeight="1">
      <c r="G2403"/>
      <c r="K2403" s="38">
        <f>SUM(K2397:K2402)</f>
        <v>905.27</v>
      </c>
      <c r="M2403">
        <v>2.25</v>
      </c>
      <c r="N2403" s="7" t="s">
        <v>3750</v>
      </c>
      <c r="O2403" s="1" t="s">
        <v>4449</v>
      </c>
      <c r="P2403" s="536">
        <v>212.41</v>
      </c>
      <c r="Q2403" s="2" t="s">
        <v>3750</v>
      </c>
      <c r="R2403" s="8">
        <f>(M2403*P2403)</f>
        <v>477.92</v>
      </c>
      <c r="W2403" s="4"/>
    </row>
    <row r="2404" spans="6:23" ht="24" customHeight="1">
      <c r="G2404"/>
      <c r="K2404" s="68" t="s">
        <v>148</v>
      </c>
      <c r="M2404">
        <v>0.75</v>
      </c>
      <c r="N2404" s="7" t="s">
        <v>3750</v>
      </c>
      <c r="O2404" s="1" t="s">
        <v>3760</v>
      </c>
      <c r="P2404" s="536">
        <v>205.21</v>
      </c>
      <c r="Q2404" s="2" t="s">
        <v>3750</v>
      </c>
      <c r="R2404" s="8">
        <f>(M2404*P2404)</f>
        <v>153.91</v>
      </c>
      <c r="W2404" s="4"/>
    </row>
    <row r="2405" spans="6:23" ht="24" customHeight="1">
      <c r="G2405"/>
      <c r="K2405" s="8"/>
      <c r="M2405">
        <v>2.25</v>
      </c>
      <c r="N2405" s="7" t="s">
        <v>3750</v>
      </c>
      <c r="O2405" s="1" t="s">
        <v>3761</v>
      </c>
      <c r="P2405" s="536">
        <v>185.21</v>
      </c>
      <c r="Q2405" s="2" t="s">
        <v>3750</v>
      </c>
      <c r="R2405" s="8">
        <f>(M2405*P2405)</f>
        <v>416.72</v>
      </c>
      <c r="W2405" s="4"/>
    </row>
    <row r="2406" spans="6:23" ht="24" customHeight="1">
      <c r="G2406"/>
      <c r="M2406">
        <v>500</v>
      </c>
      <c r="N2406" s="7" t="s">
        <v>3756</v>
      </c>
      <c r="O2406" s="1" t="s">
        <v>3762</v>
      </c>
      <c r="P2406" s="536">
        <v>52.25</v>
      </c>
      <c r="Q2406" s="2" t="s">
        <v>1676</v>
      </c>
      <c r="R2406" s="8">
        <f>(M2406*P2406)/1000</f>
        <v>26.13</v>
      </c>
      <c r="W2406" s="4"/>
    </row>
    <row r="2407" spans="6:23" ht="24" customHeight="1">
      <c r="G2407"/>
      <c r="H2407" s="36" t="s">
        <v>2159</v>
      </c>
      <c r="M2407">
        <v>1</v>
      </c>
      <c r="N2407" s="7" t="s">
        <v>1907</v>
      </c>
      <c r="O2407" s="1" t="s">
        <v>3763</v>
      </c>
      <c r="P2407" s="536">
        <v>131.21</v>
      </c>
      <c r="Q2407" s="4" t="s">
        <v>4421</v>
      </c>
      <c r="R2407" s="439">
        <f>P2407/1</f>
        <v>131.21</v>
      </c>
      <c r="W2407" s="4"/>
    </row>
    <row r="2408" spans="6:23" ht="24" customHeight="1">
      <c r="F2408">
        <v>1</v>
      </c>
      <c r="G2408" t="s">
        <v>1419</v>
      </c>
      <c r="H2408" s="482" t="s">
        <v>4441</v>
      </c>
      <c r="I2408">
        <f>C619</f>
        <v>940</v>
      </c>
      <c r="J2408" s="1" t="s">
        <v>884</v>
      </c>
      <c r="K2408" s="8">
        <f>(F2408*I2408)</f>
        <v>940</v>
      </c>
      <c r="M2408">
        <v>1</v>
      </c>
      <c r="N2408" s="7" t="s">
        <v>1907</v>
      </c>
      <c r="O2408" s="1" t="s">
        <v>3764</v>
      </c>
      <c r="P2408" s="536">
        <v>12.3</v>
      </c>
      <c r="Q2408" s="4" t="s">
        <v>4421</v>
      </c>
      <c r="R2408" s="439">
        <f>P2408/1</f>
        <v>12.3</v>
      </c>
      <c r="W2408" s="4"/>
    </row>
    <row r="2409" spans="6:23" ht="24" customHeight="1">
      <c r="F2409">
        <v>0.5</v>
      </c>
      <c r="G2409" t="s">
        <v>1419</v>
      </c>
      <c r="H2409" t="s">
        <v>2098</v>
      </c>
      <c r="I2409">
        <f>C15</f>
        <v>903.1</v>
      </c>
      <c r="J2409" s="1" t="s">
        <v>884</v>
      </c>
      <c r="K2409" s="8">
        <f>(F2409*I2409)</f>
        <v>451.55</v>
      </c>
      <c r="M2409">
        <v>4</v>
      </c>
      <c r="N2409" s="7" t="s">
        <v>1907</v>
      </c>
      <c r="O2409" s="504" t="s">
        <v>3765</v>
      </c>
      <c r="P2409" s="8">
        <f>AE13</f>
        <v>831.6</v>
      </c>
      <c r="Q2409" s="2" t="s">
        <v>1423</v>
      </c>
      <c r="R2409" s="8">
        <f>(M2409*P2409)</f>
        <v>3326.4</v>
      </c>
      <c r="W2409" s="4"/>
    </row>
    <row r="2410" spans="6:23" ht="24" customHeight="1">
      <c r="F2410">
        <v>0.5</v>
      </c>
      <c r="G2410" t="s">
        <v>1419</v>
      </c>
      <c r="H2410" t="s">
        <v>359</v>
      </c>
      <c r="I2410">
        <f>I2398</f>
        <v>1041.7</v>
      </c>
      <c r="J2410" s="1" t="s">
        <v>884</v>
      </c>
      <c r="K2410" s="8">
        <f>(F2410*I2410)</f>
        <v>520.85</v>
      </c>
      <c r="M2410">
        <v>2</v>
      </c>
      <c r="N2410" s="7" t="s">
        <v>1907</v>
      </c>
      <c r="O2410" s="504" t="s">
        <v>3766</v>
      </c>
      <c r="P2410" s="8">
        <f>AE14</f>
        <v>805.2</v>
      </c>
      <c r="Q2410" s="2" t="s">
        <v>1423</v>
      </c>
      <c r="R2410" s="8">
        <f>(M2410*P2410)</f>
        <v>1610.4</v>
      </c>
      <c r="W2410" s="4"/>
    </row>
    <row r="2411" spans="6:23" ht="24" customHeight="1">
      <c r="F2411">
        <v>0.5</v>
      </c>
      <c r="G2411" t="s">
        <v>2322</v>
      </c>
      <c r="H2411" t="s">
        <v>666</v>
      </c>
      <c r="I2411">
        <f>I2399</f>
        <v>679.8</v>
      </c>
      <c r="J2411" s="1" t="s">
        <v>884</v>
      </c>
      <c r="K2411" s="8">
        <f>(F2411*I2411)</f>
        <v>339.9</v>
      </c>
      <c r="M2411">
        <v>2</v>
      </c>
      <c r="N2411" s="7" t="s">
        <v>1907</v>
      </c>
      <c r="O2411" s="504" t="s">
        <v>3767</v>
      </c>
      <c r="P2411" s="8">
        <f>AE12</f>
        <v>557.70000000000005</v>
      </c>
      <c r="Q2411" s="2" t="s">
        <v>1423</v>
      </c>
      <c r="R2411" s="8">
        <f>(M2411*P2411)</f>
        <v>1115.4000000000001</v>
      </c>
      <c r="W2411" s="4"/>
    </row>
    <row r="2412" spans="6:23" ht="24" customHeight="1">
      <c r="G2412"/>
      <c r="H2412" t="s">
        <v>312</v>
      </c>
      <c r="J2412" s="2" t="s">
        <v>69</v>
      </c>
      <c r="K2412" s="8">
        <v>0.25</v>
      </c>
      <c r="N2412" s="7"/>
      <c r="O2412" s="1" t="s">
        <v>3768</v>
      </c>
      <c r="P2412" s="8"/>
      <c r="Q2412" s="2"/>
      <c r="R2412" s="8">
        <v>20</v>
      </c>
      <c r="W2412" s="4"/>
    </row>
    <row r="2413" spans="6:23" ht="24" customHeight="1">
      <c r="G2413"/>
      <c r="K2413" s="8"/>
      <c r="N2413" s="3"/>
      <c r="P2413" s="8"/>
      <c r="Q2413" s="10"/>
      <c r="R2413" s="55" t="s">
        <v>3769</v>
      </c>
      <c r="W2413" s="4"/>
    </row>
    <row r="2414" spans="6:23" ht="24" customHeight="1">
      <c r="G2414"/>
      <c r="K2414" s="68" t="s">
        <v>148</v>
      </c>
      <c r="N2414" s="3"/>
      <c r="O2414" s="1" t="s">
        <v>3770</v>
      </c>
      <c r="Q2414" s="10"/>
      <c r="R2414">
        <f>SUM(R2391:R2413)</f>
        <v>8408.75</v>
      </c>
      <c r="W2414" s="4"/>
    </row>
    <row r="2415" spans="6:23" ht="26.25" customHeight="1">
      <c r="G2415"/>
      <c r="K2415" s="38">
        <f>SUM(K2408:K2414)</f>
        <v>2252.5500000000002</v>
      </c>
      <c r="N2415" s="3"/>
      <c r="O2415" s="36"/>
      <c r="P2415" s="36"/>
      <c r="Q2415" s="98"/>
      <c r="R2415" s="5" t="s">
        <v>2091</v>
      </c>
      <c r="W2415" s="4"/>
    </row>
    <row r="2416" spans="6:23" ht="24" customHeight="1">
      <c r="G2416"/>
      <c r="K2416" s="68" t="s">
        <v>148</v>
      </c>
      <c r="N2416" s="3"/>
      <c r="O2416" s="36" t="s">
        <v>3298</v>
      </c>
      <c r="P2416" s="36"/>
      <c r="Q2416" s="98"/>
      <c r="R2416" s="41">
        <f>R2414/5.67</f>
        <v>1483.02</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951</v>
      </c>
      <c r="G2420" s="60"/>
      <c r="H2420" s="1575" t="s">
        <v>349</v>
      </c>
      <c r="I2420" s="1575"/>
      <c r="J2420" s="1575"/>
      <c r="K2420" s="1575"/>
      <c r="W2420" s="4"/>
    </row>
    <row r="2421" spans="6:23" ht="24" customHeight="1">
      <c r="F2421" s="60"/>
      <c r="G2421" s="60"/>
      <c r="H2421" s="60"/>
      <c r="I2421" s="60"/>
      <c r="J2421" s="71"/>
      <c r="K2421" s="54"/>
      <c r="W2421" s="4"/>
    </row>
    <row r="2422" spans="6:23" ht="24" customHeight="1">
      <c r="F2422" s="63">
        <v>10.5</v>
      </c>
      <c r="G2422" s="64" t="s">
        <v>2322</v>
      </c>
      <c r="H2422" s="1573" t="s">
        <v>5151</v>
      </c>
      <c r="I2422" s="51">
        <v>318</v>
      </c>
      <c r="J2422" s="61" t="s">
        <v>2322</v>
      </c>
      <c r="K2422" s="63">
        <f>(F2422*I2422)</f>
        <v>3339</v>
      </c>
      <c r="W2422" s="4"/>
    </row>
    <row r="2423" spans="6:23" ht="24" customHeight="1">
      <c r="F2423" s="54"/>
      <c r="G2423" s="53"/>
      <c r="H2423" s="1574"/>
      <c r="I2423" s="61" t="s">
        <v>992</v>
      </c>
      <c r="J2423" s="71"/>
      <c r="K2423" s="61" t="s">
        <v>992</v>
      </c>
      <c r="W2423" s="4"/>
    </row>
    <row r="2424" spans="6:23" ht="24" customHeight="1">
      <c r="F2424" s="63">
        <v>0.22</v>
      </c>
      <c r="G2424" s="64" t="s">
        <v>885</v>
      </c>
      <c r="H2424" s="61" t="s">
        <v>1910</v>
      </c>
      <c r="I2424" s="63">
        <f>K32</f>
        <v>4628.8999999999996</v>
      </c>
      <c r="J2424" s="61" t="s">
        <v>885</v>
      </c>
      <c r="K2424" s="63">
        <f>(F2424*I2424)</f>
        <v>1018.36</v>
      </c>
      <c r="W2424" s="4"/>
    </row>
    <row r="2425" spans="6:23" ht="24" customHeight="1">
      <c r="F2425" s="63">
        <v>64</v>
      </c>
      <c r="G2425" s="64" t="s">
        <v>1676</v>
      </c>
      <c r="H2425" s="61" t="s">
        <v>350</v>
      </c>
      <c r="I2425" s="63">
        <f>C67</f>
        <v>6040</v>
      </c>
      <c r="J2425" s="61" t="s">
        <v>351</v>
      </c>
      <c r="K2425" s="63">
        <f>I2425*F2425/1000</f>
        <v>386.56</v>
      </c>
      <c r="W2425" s="4"/>
    </row>
    <row r="2426" spans="6:23" ht="24" customHeight="1">
      <c r="F2426" s="63">
        <v>4.5</v>
      </c>
      <c r="G2426" s="64" t="s">
        <v>1676</v>
      </c>
      <c r="H2426" s="494" t="s">
        <v>4442</v>
      </c>
      <c r="I2426" s="63">
        <f>C608</f>
        <v>24.93</v>
      </c>
      <c r="J2426" s="61" t="s">
        <v>1676</v>
      </c>
      <c r="K2426" s="63">
        <f>F2426*I2426</f>
        <v>112.19</v>
      </c>
      <c r="W2426" s="4"/>
    </row>
    <row r="2427" spans="6:23" ht="24" customHeight="1">
      <c r="F2427" s="63">
        <v>5.4</v>
      </c>
      <c r="G2427" s="64" t="s">
        <v>785</v>
      </c>
      <c r="H2427" s="1" t="s">
        <v>352</v>
      </c>
      <c r="I2427" s="63">
        <f>C11</f>
        <v>972.4</v>
      </c>
      <c r="J2427" s="61" t="s">
        <v>785</v>
      </c>
      <c r="K2427" s="63">
        <f>(F2427*I2427)</f>
        <v>5250.96</v>
      </c>
      <c r="M2427" s="60" t="s">
        <v>951</v>
      </c>
      <c r="N2427" s="60"/>
      <c r="O2427" s="1581" t="s">
        <v>2851</v>
      </c>
      <c r="P2427" s="1581"/>
      <c r="Q2427" s="1581"/>
      <c r="R2427" s="1581"/>
      <c r="W2427" s="4"/>
    </row>
    <row r="2428" spans="6:23" ht="24" customHeight="1">
      <c r="F2428" s="63">
        <v>2.16</v>
      </c>
      <c r="G2428" s="64" t="s">
        <v>785</v>
      </c>
      <c r="H2428" s="61" t="s">
        <v>353</v>
      </c>
      <c r="I2428" s="63">
        <f>C12</f>
        <v>679.8</v>
      </c>
      <c r="J2428" s="61" t="s">
        <v>785</v>
      </c>
      <c r="K2428" s="63">
        <f>(F2428*I2428)</f>
        <v>1468.37</v>
      </c>
      <c r="M2428" s="60"/>
      <c r="N2428" s="60"/>
      <c r="O2428" s="60"/>
      <c r="P2428" s="60"/>
      <c r="Q2428" s="71"/>
      <c r="R2428" s="54"/>
      <c r="W2428" s="4"/>
    </row>
    <row r="2429" spans="6:23" ht="24" customHeight="1">
      <c r="F2429" s="63">
        <v>6.5</v>
      </c>
      <c r="G2429" s="64" t="s">
        <v>785</v>
      </c>
      <c r="H2429" s="61" t="s">
        <v>1247</v>
      </c>
      <c r="I2429" s="63">
        <f>C13</f>
        <v>557.70000000000005</v>
      </c>
      <c r="J2429" s="61" t="s">
        <v>785</v>
      </c>
      <c r="K2429" s="63">
        <f>(F2429*I2429)</f>
        <v>3625.05</v>
      </c>
      <c r="M2429" s="63">
        <v>10.5</v>
      </c>
      <c r="N2429" s="64" t="s">
        <v>2322</v>
      </c>
      <c r="O2429" s="1582" t="s">
        <v>5152</v>
      </c>
      <c r="P2429" s="419">
        <v>484</v>
      </c>
      <c r="Q2429" s="61" t="s">
        <v>2322</v>
      </c>
      <c r="R2429" s="63">
        <f>(M2429*P2429)</f>
        <v>5082</v>
      </c>
      <c r="W2429" s="4"/>
    </row>
    <row r="2430" spans="6:23" ht="24" customHeight="1">
      <c r="F2430" s="63"/>
      <c r="G2430" s="64"/>
      <c r="H2430" s="61"/>
      <c r="I2430" s="63"/>
      <c r="J2430" s="61" t="s">
        <v>785</v>
      </c>
      <c r="K2430" s="63">
        <v>0</v>
      </c>
      <c r="M2430" s="54"/>
      <c r="N2430" s="53"/>
      <c r="O2430" s="1583"/>
      <c r="P2430" s="61" t="s">
        <v>992</v>
      </c>
      <c r="Q2430" s="71"/>
      <c r="R2430" s="61" t="s">
        <v>992</v>
      </c>
      <c r="W2430" s="4"/>
    </row>
    <row r="2431" spans="6:23" ht="24" customHeight="1">
      <c r="F2431" s="65"/>
      <c r="G2431" s="64"/>
      <c r="H2431" s="54"/>
      <c r="I2431" s="63"/>
      <c r="J2431" s="61"/>
      <c r="K2431" s="63"/>
      <c r="M2431" s="63">
        <v>0.22</v>
      </c>
      <c r="N2431" s="64" t="s">
        <v>885</v>
      </c>
      <c r="O2431" s="61" t="s">
        <v>1910</v>
      </c>
      <c r="P2431" s="63">
        <f t="shared" ref="P2431:P2436" si="258">I2424</f>
        <v>4628.8999999999996</v>
      </c>
      <c r="Q2431" s="61" t="s">
        <v>885</v>
      </c>
      <c r="R2431" s="63">
        <f>(M2431*P2431)</f>
        <v>1018.36</v>
      </c>
      <c r="W2431" s="4"/>
    </row>
    <row r="2432" spans="6:23" ht="24" customHeight="1">
      <c r="F2432" s="63"/>
      <c r="G2432" s="64"/>
      <c r="H2432" s="33" t="s">
        <v>447</v>
      </c>
      <c r="I2432" s="54"/>
      <c r="J2432" s="71"/>
      <c r="K2432" s="66" t="s">
        <v>148</v>
      </c>
      <c r="M2432" s="63">
        <v>64</v>
      </c>
      <c r="N2432" s="64" t="s">
        <v>1676</v>
      </c>
      <c r="O2432" s="61" t="s">
        <v>350</v>
      </c>
      <c r="P2432" s="63">
        <f t="shared" si="258"/>
        <v>6040</v>
      </c>
      <c r="Q2432" s="61" t="s">
        <v>351</v>
      </c>
      <c r="R2432" s="63">
        <f>P2432*M2432/1000</f>
        <v>386.56</v>
      </c>
      <c r="W2432" s="4"/>
    </row>
    <row r="2433" spans="6:23" ht="24" customHeight="1">
      <c r="F2433" s="63"/>
      <c r="G2433" s="64"/>
      <c r="H2433" s="33"/>
      <c r="I2433" s="54"/>
      <c r="J2433" s="71"/>
      <c r="K2433" s="38">
        <f>SUM(K2422:K2430)</f>
        <v>15200.49</v>
      </c>
      <c r="M2433" s="63">
        <v>4.5</v>
      </c>
      <c r="N2433" s="64" t="s">
        <v>1676</v>
      </c>
      <c r="O2433" s="61" t="s">
        <v>2968</v>
      </c>
      <c r="P2433" s="63">
        <f t="shared" si="258"/>
        <v>24.93</v>
      </c>
      <c r="Q2433" s="61" t="s">
        <v>1676</v>
      </c>
      <c r="R2433" s="63">
        <f>M2433*P2433</f>
        <v>112.19</v>
      </c>
      <c r="W2433" s="4"/>
    </row>
    <row r="2434" spans="6:23" ht="24" customHeight="1">
      <c r="F2434" s="63"/>
      <c r="G2434" s="64"/>
      <c r="H2434" s="33"/>
      <c r="I2434" s="63"/>
      <c r="J2434" s="61"/>
      <c r="K2434" s="67" t="s">
        <v>1248</v>
      </c>
      <c r="M2434" s="63">
        <v>5.4</v>
      </c>
      <c r="N2434" s="64" t="s">
        <v>785</v>
      </c>
      <c r="O2434" s="61" t="s">
        <v>352</v>
      </c>
      <c r="P2434" s="63">
        <f t="shared" si="258"/>
        <v>972.4</v>
      </c>
      <c r="Q2434" s="61" t="s">
        <v>785</v>
      </c>
      <c r="R2434" s="63">
        <f>(M2434*P2434)</f>
        <v>5250.96</v>
      </c>
      <c r="W2434" s="4"/>
    </row>
    <row r="2435" spans="6:23" ht="24" customHeight="1">
      <c r="F2435" s="61"/>
      <c r="G2435" s="53"/>
      <c r="H2435" s="33" t="s">
        <v>562</v>
      </c>
      <c r="I2435" s="61"/>
      <c r="J2435" s="71"/>
      <c r="K2435" s="41">
        <f>K2433/10</f>
        <v>1520.05</v>
      </c>
      <c r="M2435" s="63">
        <v>2.16</v>
      </c>
      <c r="N2435" s="64" t="s">
        <v>785</v>
      </c>
      <c r="O2435" s="61" t="s">
        <v>353</v>
      </c>
      <c r="P2435" s="63">
        <f t="shared" si="258"/>
        <v>679.8</v>
      </c>
      <c r="Q2435" s="61" t="s">
        <v>785</v>
      </c>
      <c r="R2435" s="63">
        <f>(M2435*P2435)</f>
        <v>1468.37</v>
      </c>
      <c r="W2435" s="4"/>
    </row>
    <row r="2436" spans="6:23" ht="24" customHeight="1">
      <c r="K2436" s="55" t="s">
        <v>148</v>
      </c>
      <c r="M2436" s="63">
        <v>6.5</v>
      </c>
      <c r="N2436" s="64" t="s">
        <v>785</v>
      </c>
      <c r="O2436" s="61" t="s">
        <v>1247</v>
      </c>
      <c r="P2436" s="63">
        <f t="shared" si="258"/>
        <v>557.70000000000005</v>
      </c>
      <c r="Q2436" s="61" t="s">
        <v>785</v>
      </c>
      <c r="R2436" s="63">
        <f>(M2436*P2436)</f>
        <v>3625.05</v>
      </c>
      <c r="W2436" s="4"/>
    </row>
    <row r="2437" spans="6:23" ht="24" customHeight="1">
      <c r="M2437" s="63"/>
      <c r="N2437" s="64"/>
      <c r="O2437" s="61"/>
      <c r="P2437" s="63"/>
      <c r="Q2437" s="61" t="s">
        <v>785</v>
      </c>
      <c r="R2437" s="63">
        <f>(M2437*P2437)</f>
        <v>0</v>
      </c>
      <c r="W2437" s="4"/>
    </row>
    <row r="2438" spans="6:23" ht="24" customHeight="1">
      <c r="M2438" s="65"/>
      <c r="N2438" s="64"/>
      <c r="O2438" s="54"/>
      <c r="P2438" s="63"/>
      <c r="Q2438" s="61"/>
      <c r="R2438" s="63"/>
      <c r="W2438" s="4"/>
    </row>
    <row r="2439" spans="6:23" ht="24" customHeight="1">
      <c r="F2439" s="63"/>
      <c r="G2439" s="64"/>
      <c r="H2439" s="33" t="s">
        <v>1249</v>
      </c>
      <c r="I2439" s="63"/>
      <c r="J2439" s="61"/>
      <c r="K2439" s="63"/>
      <c r="M2439" s="63"/>
      <c r="N2439" s="64"/>
      <c r="O2439" s="33" t="s">
        <v>447</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16943.490000000002</v>
      </c>
      <c r="W2440" s="4"/>
    </row>
    <row r="2441" spans="6:23" ht="24" customHeight="1">
      <c r="F2441" s="63">
        <v>10</v>
      </c>
      <c r="G2441" s="64" t="s">
        <v>2322</v>
      </c>
      <c r="H2441" s="61" t="s">
        <v>214</v>
      </c>
      <c r="I2441" s="63">
        <f>K1213</f>
        <v>528.02</v>
      </c>
      <c r="J2441" s="61" t="s">
        <v>2322</v>
      </c>
      <c r="K2441" s="63">
        <f>F2441*I2441</f>
        <v>5280.2</v>
      </c>
      <c r="M2441" s="63"/>
      <c r="N2441" s="64"/>
      <c r="O2441" s="33"/>
      <c r="P2441" s="63"/>
      <c r="Q2441" s="61"/>
      <c r="R2441" s="67" t="s">
        <v>1248</v>
      </c>
      <c r="W2441" s="4"/>
    </row>
    <row r="2442" spans="6:23" ht="24" customHeight="1">
      <c r="F2442" s="54">
        <v>9.8000000000000007</v>
      </c>
      <c r="G2442" s="64" t="s">
        <v>1676</v>
      </c>
      <c r="H2442" t="s">
        <v>3878</v>
      </c>
      <c r="I2442" s="63">
        <f>C148</f>
        <v>145.19999999999999</v>
      </c>
      <c r="J2442" s="61" t="s">
        <v>1676</v>
      </c>
      <c r="K2442" s="63">
        <f>F2442*I2442</f>
        <v>1422.96</v>
      </c>
      <c r="M2442" s="61"/>
      <c r="N2442" s="53"/>
      <c r="O2442" s="33" t="s">
        <v>562</v>
      </c>
      <c r="P2442" s="61"/>
      <c r="Q2442" s="71"/>
      <c r="R2442" s="41">
        <f>R2440/10</f>
        <v>1694.35</v>
      </c>
      <c r="W2442" s="4"/>
    </row>
    <row r="2443" spans="6:23" ht="24" customHeight="1">
      <c r="F2443" s="54">
        <v>1.1000000000000001</v>
      </c>
      <c r="G2443" s="53" t="s">
        <v>1907</v>
      </c>
      <c r="H2443" s="61" t="s">
        <v>2045</v>
      </c>
      <c r="I2443" s="54">
        <f>I2410</f>
        <v>1041.7</v>
      </c>
      <c r="J2443" s="71" t="s">
        <v>1423</v>
      </c>
      <c r="K2443" s="54">
        <f>F2443*I2443</f>
        <v>1145.8699999999999</v>
      </c>
      <c r="N2443" s="3"/>
      <c r="Q2443" s="10"/>
      <c r="R2443" s="55" t="s">
        <v>148</v>
      </c>
      <c r="W2443" s="4"/>
    </row>
    <row r="2444" spans="6:23" ht="24" customHeight="1">
      <c r="F2444" s="54"/>
      <c r="G2444" s="53"/>
      <c r="H2444" t="s">
        <v>2310</v>
      </c>
      <c r="I2444" s="54"/>
      <c r="J2444" s="71"/>
      <c r="K2444" s="54">
        <v>0.2</v>
      </c>
      <c r="W2444" s="4"/>
    </row>
    <row r="2445" spans="6:23" ht="24" customHeight="1">
      <c r="F2445" s="54"/>
      <c r="G2445" s="53"/>
      <c r="H2445" s="54"/>
      <c r="I2445" s="54"/>
      <c r="J2445" s="71"/>
      <c r="K2445" s="62" t="s">
        <v>2091</v>
      </c>
      <c r="N2445" s="3"/>
      <c r="O2445" s="36" t="s">
        <v>956</v>
      </c>
      <c r="Q2445" s="10"/>
      <c r="W2445" s="4"/>
    </row>
    <row r="2446" spans="6:23" ht="24" customHeight="1">
      <c r="F2446" s="61" t="s">
        <v>992</v>
      </c>
      <c r="G2446" s="53"/>
      <c r="H2446" s="33" t="s">
        <v>447</v>
      </c>
      <c r="I2446" s="54"/>
      <c r="J2446" s="71"/>
      <c r="K2446" s="36">
        <f>SUM(K2441:K2444)</f>
        <v>7849.23</v>
      </c>
      <c r="M2446" s="50">
        <v>7.0999999999999994E-2</v>
      </c>
      <c r="N2446" s="3" t="s">
        <v>372</v>
      </c>
      <c r="O2446" t="s">
        <v>957</v>
      </c>
      <c r="P2446">
        <f>Z718</f>
        <v>7928.12</v>
      </c>
      <c r="Q2446" s="10" t="s">
        <v>373</v>
      </c>
      <c r="R2446">
        <f>P2446*M2446</f>
        <v>562.9</v>
      </c>
      <c r="W2446" s="4"/>
    </row>
    <row r="2447" spans="6:23" ht="24" customHeight="1">
      <c r="F2447" s="54"/>
      <c r="G2447" s="53"/>
      <c r="H2447" s="54"/>
      <c r="I2447" s="54"/>
      <c r="J2447" s="71"/>
      <c r="K2447" s="70" t="s">
        <v>148</v>
      </c>
      <c r="M2447">
        <v>1</v>
      </c>
      <c r="N2447" s="3" t="s">
        <v>2235</v>
      </c>
      <c r="O2447" t="s">
        <v>931</v>
      </c>
      <c r="P2447">
        <f>I2342</f>
        <v>416.06</v>
      </c>
      <c r="Q2447" s="10" t="s">
        <v>2235</v>
      </c>
      <c r="R2447">
        <f>P2447*M2447</f>
        <v>416.06</v>
      </c>
      <c r="W2447" s="4"/>
    </row>
    <row r="2448" spans="6:23" ht="24" customHeight="1">
      <c r="F2448" s="61" t="s">
        <v>992</v>
      </c>
      <c r="G2448" s="53"/>
      <c r="H2448" s="33" t="s">
        <v>562</v>
      </c>
      <c r="I2448" s="54"/>
      <c r="J2448" s="71"/>
      <c r="K2448" s="41">
        <f>K2446/10</f>
        <v>784.92</v>
      </c>
      <c r="M2448" t="s">
        <v>992</v>
      </c>
      <c r="N2448" s="3"/>
      <c r="O2448" t="s">
        <v>374</v>
      </c>
      <c r="Q2448" s="10"/>
      <c r="R2448" s="36">
        <f>SUM(R2446:R2447)</f>
        <v>978.96</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364</v>
      </c>
      <c r="K2456" s="54"/>
      <c r="W2456" s="4"/>
    </row>
    <row r="2457" spans="6:23" ht="24" customHeight="1">
      <c r="F2457" s="54" t="s">
        <v>217</v>
      </c>
      <c r="G2457" s="53"/>
      <c r="H2457" s="54"/>
      <c r="I2457" s="54">
        <v>22.61</v>
      </c>
      <c r="J2457" s="71" t="s">
        <v>364</v>
      </c>
      <c r="K2457" s="54"/>
      <c r="W2457" s="4"/>
    </row>
    <row r="2458" spans="6:23" ht="24" customHeight="1">
      <c r="F2458" s="54" t="s">
        <v>518</v>
      </c>
      <c r="G2458" s="53"/>
      <c r="H2458" s="54"/>
      <c r="I2458" s="54">
        <v>3.24</v>
      </c>
      <c r="J2458" s="71" t="s">
        <v>364</v>
      </c>
      <c r="K2458" s="54"/>
      <c r="W2458" s="4"/>
    </row>
    <row r="2459" spans="6:23" ht="24" customHeight="1">
      <c r="F2459" s="54" t="s">
        <v>519</v>
      </c>
      <c r="G2459" s="53"/>
      <c r="H2459" s="54"/>
      <c r="I2459" s="54">
        <v>2.16</v>
      </c>
      <c r="J2459" s="71" t="s">
        <v>364</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1717</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1676</v>
      </c>
      <c r="H2466" s="493" t="s">
        <v>520</v>
      </c>
      <c r="I2466" s="54">
        <f>C660</f>
        <v>70.150000000000006</v>
      </c>
      <c r="J2466" s="71" t="s">
        <v>1676</v>
      </c>
      <c r="K2466" s="54">
        <f>I2466*F2466</f>
        <v>3031.88</v>
      </c>
      <c r="W2466" s="4"/>
    </row>
    <row r="2467" spans="6:23" ht="24" customHeight="1">
      <c r="F2467" s="54">
        <v>0.81</v>
      </c>
      <c r="G2467" s="53" t="s">
        <v>2322</v>
      </c>
      <c r="H2467" s="54" t="s">
        <v>2160</v>
      </c>
      <c r="I2467" s="54">
        <f>C199</f>
        <v>379.9</v>
      </c>
      <c r="J2467" s="71" t="s">
        <v>2322</v>
      </c>
      <c r="K2467" s="54">
        <f>I2467*F2467</f>
        <v>307.72000000000003</v>
      </c>
      <c r="W2467" s="4"/>
    </row>
    <row r="2468" spans="6:23" ht="24" customHeight="1">
      <c r="F2468" s="54">
        <v>0.81</v>
      </c>
      <c r="G2468" s="53" t="s">
        <v>2322</v>
      </c>
      <c r="H2468" s="54" t="s">
        <v>1987</v>
      </c>
      <c r="I2468" s="54">
        <f>D199</f>
        <v>116.55</v>
      </c>
      <c r="J2468" s="71" t="s">
        <v>2322</v>
      </c>
      <c r="K2468" s="54">
        <f>I2468*F2468</f>
        <v>94.41</v>
      </c>
      <c r="W2468" s="4"/>
    </row>
    <row r="2469" spans="6:23" ht="24" customHeight="1">
      <c r="F2469" s="54"/>
      <c r="G2469" s="53"/>
      <c r="H2469" s="54" t="s">
        <v>522</v>
      </c>
      <c r="I2469" s="483">
        <f>46.61</f>
        <v>46.61</v>
      </c>
      <c r="J2469" s="71" t="s">
        <v>455</v>
      </c>
      <c r="K2469" s="54">
        <f>I2469</f>
        <v>46.61</v>
      </c>
      <c r="W2469" s="4"/>
    </row>
    <row r="2470" spans="6:23" ht="24" customHeight="1">
      <c r="F2470" s="54"/>
      <c r="G2470" s="53"/>
      <c r="H2470" s="54"/>
      <c r="I2470" s="54"/>
      <c r="J2470" s="71"/>
      <c r="K2470" s="56" t="s">
        <v>148</v>
      </c>
      <c r="W2470" s="4"/>
    </row>
    <row r="2471" spans="6:23" ht="24" customHeight="1">
      <c r="F2471" s="54"/>
      <c r="G2471" s="53"/>
      <c r="H2471" s="36" t="s">
        <v>523</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517</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2176</v>
      </c>
      <c r="G2475" s="71"/>
      <c r="H2475" s="71"/>
      <c r="I2475" s="54">
        <v>11.78</v>
      </c>
      <c r="J2475" s="71" t="s">
        <v>364</v>
      </c>
      <c r="K2475" s="54"/>
      <c r="W2475" s="4"/>
    </row>
    <row r="2476" spans="6:23" ht="24" customHeight="1">
      <c r="F2476" s="54" t="s">
        <v>1374</v>
      </c>
      <c r="G2476" s="53"/>
      <c r="H2476" s="54"/>
      <c r="I2476" s="54">
        <v>15.07</v>
      </c>
      <c r="J2476" s="71" t="s">
        <v>364</v>
      </c>
      <c r="K2476" s="54"/>
      <c r="W2476" s="4"/>
    </row>
    <row r="2477" spans="6:23" ht="24" customHeight="1">
      <c r="F2477" s="54" t="s">
        <v>2070</v>
      </c>
      <c r="G2477" s="53"/>
      <c r="H2477" s="54"/>
      <c r="I2477" s="54">
        <v>2.16</v>
      </c>
      <c r="J2477" s="71" t="s">
        <v>364</v>
      </c>
      <c r="K2477" s="54"/>
      <c r="W2477" s="4"/>
    </row>
    <row r="2478" spans="6:23" ht="24" customHeight="1">
      <c r="F2478" s="54" t="s">
        <v>519</v>
      </c>
      <c r="G2478" s="53"/>
      <c r="H2478" s="54"/>
      <c r="I2478" s="54">
        <v>2.16</v>
      </c>
      <c r="J2478" s="71" t="s">
        <v>364</v>
      </c>
      <c r="K2478" s="54"/>
      <c r="W2478" s="4"/>
    </row>
    <row r="2479" spans="6:23" ht="24" customHeight="1">
      <c r="F2479" s="54" t="s">
        <v>551</v>
      </c>
      <c r="G2479" s="53"/>
      <c r="H2479" s="54"/>
      <c r="I2479" s="54">
        <f>1.91-0.08</f>
        <v>1.83</v>
      </c>
      <c r="J2479" s="71"/>
      <c r="K2479" s="54"/>
      <c r="W2479" s="4"/>
    </row>
    <row r="2480" spans="6:23" ht="24" customHeight="1">
      <c r="F2480" s="54"/>
      <c r="G2480" s="53"/>
      <c r="H2480" s="54"/>
      <c r="I2480" s="56" t="s">
        <v>895</v>
      </c>
      <c r="J2480" s="71"/>
      <c r="K2480" s="54"/>
      <c r="W2480" s="4"/>
    </row>
    <row r="2481" spans="6:23" ht="24" customHeight="1">
      <c r="F2481" s="54"/>
      <c r="G2481" s="53"/>
      <c r="H2481" s="54"/>
      <c r="I2481" s="36">
        <f>SUM(I2475:I2479)</f>
        <v>33</v>
      </c>
      <c r="J2481" s="71" t="s">
        <v>364</v>
      </c>
      <c r="K2481" s="54"/>
      <c r="W2481" s="4"/>
    </row>
    <row r="2482" spans="6:23" ht="24" customHeight="1">
      <c r="F2482" s="54"/>
      <c r="G2482" s="53"/>
      <c r="H2482" s="54"/>
      <c r="I2482" s="56" t="s">
        <v>895</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1676</v>
      </c>
      <c r="H2485" s="54" t="s">
        <v>520</v>
      </c>
      <c r="I2485" s="54">
        <f>I2466</f>
        <v>70.150000000000006</v>
      </c>
      <c r="J2485" s="71" t="s">
        <v>1676</v>
      </c>
      <c r="K2485" s="54">
        <f>I2485*F2485</f>
        <v>2314.9499999999998</v>
      </c>
      <c r="W2485" s="4"/>
    </row>
    <row r="2486" spans="6:23" ht="24" customHeight="1">
      <c r="F2486" s="54">
        <v>0.54</v>
      </c>
      <c r="G2486" s="53" t="s">
        <v>2322</v>
      </c>
      <c r="H2486" s="54" t="s">
        <v>2160</v>
      </c>
      <c r="I2486" s="54">
        <f>I2467</f>
        <v>379.9</v>
      </c>
      <c r="J2486" s="71" t="s">
        <v>2322</v>
      </c>
      <c r="K2486" s="54">
        <f>I2486*F2486</f>
        <v>205.15</v>
      </c>
      <c r="W2486" s="4"/>
    </row>
    <row r="2487" spans="6:23" ht="24" customHeight="1">
      <c r="F2487" s="54">
        <v>0.54</v>
      </c>
      <c r="G2487" s="53" t="s">
        <v>2322</v>
      </c>
      <c r="H2487" s="54" t="str">
        <f>H2468</f>
        <v>Fly proof  Mesh</v>
      </c>
      <c r="I2487" s="54">
        <f>I2468</f>
        <v>116.55</v>
      </c>
      <c r="J2487" s="71" t="s">
        <v>2322</v>
      </c>
      <c r="K2487" s="54">
        <f>I2487*F2487</f>
        <v>62.94</v>
      </c>
      <c r="W2487" s="4"/>
    </row>
    <row r="2488" spans="6:23" ht="24" customHeight="1">
      <c r="F2488" s="54"/>
      <c r="G2488" s="53"/>
      <c r="H2488" s="54" t="s">
        <v>522</v>
      </c>
      <c r="I2488" s="483">
        <v>53.5</v>
      </c>
      <c r="J2488" s="71" t="s">
        <v>455</v>
      </c>
      <c r="K2488" s="54">
        <v>52.8</v>
      </c>
      <c r="W2488" s="4"/>
    </row>
    <row r="2489" spans="6:23" ht="24" customHeight="1">
      <c r="F2489" s="54"/>
      <c r="G2489" s="53"/>
      <c r="H2489" s="54"/>
      <c r="I2489" s="54"/>
      <c r="J2489" s="71"/>
      <c r="K2489" s="56" t="s">
        <v>148</v>
      </c>
      <c r="W2489" s="4"/>
    </row>
    <row r="2490" spans="6:23" ht="24" customHeight="1">
      <c r="F2490" s="54"/>
      <c r="G2490" s="53"/>
      <c r="H2490" s="36" t="s">
        <v>523</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2850</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2029</v>
      </c>
      <c r="I2495" s="54"/>
      <c r="J2495" s="71"/>
      <c r="K2495" s="54"/>
      <c r="W2495" s="4"/>
    </row>
    <row r="2496" spans="6:23" ht="24" customHeight="1">
      <c r="F2496" s="54"/>
      <c r="G2496" s="53"/>
      <c r="H2496" s="54"/>
      <c r="I2496" s="54"/>
      <c r="J2496" s="71"/>
      <c r="K2496" s="54"/>
      <c r="W2496" s="4"/>
    </row>
    <row r="2497" spans="6:23" ht="24" customHeight="1">
      <c r="F2497" s="71" t="s">
        <v>1862</v>
      </c>
      <c r="G2497" s="71"/>
      <c r="H2497" s="71"/>
      <c r="I2497" s="54">
        <v>9.42</v>
      </c>
      <c r="J2497" s="71" t="s">
        <v>364</v>
      </c>
      <c r="K2497" s="71"/>
      <c r="W2497" s="4"/>
    </row>
    <row r="2498" spans="6:23" ht="24" customHeight="1">
      <c r="F2498" s="54" t="s">
        <v>1863</v>
      </c>
      <c r="G2498" s="53"/>
      <c r="H2498" s="54"/>
      <c r="I2498" s="54">
        <v>9.42</v>
      </c>
      <c r="J2498" s="71" t="s">
        <v>364</v>
      </c>
      <c r="K2498" s="71"/>
      <c r="W2498" s="4"/>
    </row>
    <row r="2499" spans="6:23" ht="24" customHeight="1">
      <c r="F2499" s="54" t="s">
        <v>72</v>
      </c>
      <c r="G2499" s="53"/>
      <c r="H2499" s="54"/>
      <c r="I2499" s="54">
        <v>1.44</v>
      </c>
      <c r="J2499" s="71" t="s">
        <v>364</v>
      </c>
      <c r="K2499" s="71"/>
      <c r="W2499" s="4"/>
    </row>
    <row r="2500" spans="6:23" ht="24" customHeight="1">
      <c r="F2500" s="54" t="s">
        <v>519</v>
      </c>
      <c r="G2500" s="53"/>
      <c r="H2500" s="54"/>
      <c r="I2500" s="54">
        <v>2.16</v>
      </c>
      <c r="J2500" s="71" t="s">
        <v>364</v>
      </c>
      <c r="K2500" s="71"/>
      <c r="W2500" s="4"/>
    </row>
    <row r="2501" spans="6:23" ht="24" customHeight="1">
      <c r="F2501" s="54" t="s">
        <v>551</v>
      </c>
      <c r="G2501" s="53"/>
      <c r="H2501" s="54"/>
      <c r="I2501" s="54">
        <v>1.56</v>
      </c>
      <c r="J2501" s="71"/>
      <c r="K2501" s="71"/>
      <c r="W2501" s="4"/>
    </row>
    <row r="2502" spans="6:23" ht="24" customHeight="1">
      <c r="F2502" s="54"/>
      <c r="G2502" s="53"/>
      <c r="H2502" s="54"/>
      <c r="I2502" s="56" t="s">
        <v>895</v>
      </c>
      <c r="J2502" s="71"/>
      <c r="K2502" s="71"/>
      <c r="M2502" s="54"/>
      <c r="N2502" s="53"/>
      <c r="O2502" s="36" t="s">
        <v>2648</v>
      </c>
      <c r="P2502" s="54"/>
      <c r="Q2502" s="71"/>
      <c r="R2502" s="54"/>
      <c r="W2502" s="4"/>
    </row>
    <row r="2503" spans="6:23" ht="24" customHeight="1">
      <c r="F2503" s="54"/>
      <c r="G2503" s="53"/>
      <c r="H2503" s="54"/>
      <c r="I2503" s="54">
        <f>SUM(I2497:I2501)</f>
        <v>24</v>
      </c>
      <c r="J2503" s="71" t="s">
        <v>364</v>
      </c>
      <c r="K2503" s="71"/>
      <c r="M2503" s="54"/>
      <c r="N2503" s="53"/>
      <c r="O2503" s="54"/>
      <c r="P2503" s="54"/>
      <c r="Q2503" s="71"/>
      <c r="R2503" s="54"/>
      <c r="W2503" s="4"/>
    </row>
    <row r="2504" spans="6:23" ht="24" customHeight="1">
      <c r="F2504" s="54"/>
      <c r="G2504" s="53"/>
      <c r="H2504" s="54"/>
      <c r="I2504" s="56" t="s">
        <v>895</v>
      </c>
      <c r="J2504" s="71"/>
      <c r="K2504" s="54"/>
      <c r="M2504" s="71" t="s">
        <v>2649</v>
      </c>
      <c r="N2504" s="71"/>
      <c r="O2504" s="71"/>
      <c r="P2504" s="73">
        <f>3.77*3.9</f>
        <v>14.702999999999999</v>
      </c>
      <c r="Q2504" s="71" t="s">
        <v>364</v>
      </c>
      <c r="R2504" s="71"/>
      <c r="W2504" s="4"/>
    </row>
    <row r="2505" spans="6:23" ht="24" customHeight="1">
      <c r="F2505" s="54"/>
      <c r="G2505" s="53"/>
      <c r="H2505" s="54"/>
      <c r="I2505" s="54"/>
      <c r="J2505" s="71"/>
      <c r="K2505" s="54"/>
      <c r="M2505" s="54" t="s">
        <v>2650</v>
      </c>
      <c r="N2505" s="53"/>
      <c r="O2505" s="54"/>
      <c r="P2505" s="54">
        <f>12*0.6*3.14</f>
        <v>22.61</v>
      </c>
      <c r="Q2505" s="71" t="s">
        <v>364</v>
      </c>
      <c r="R2505" s="71"/>
      <c r="W2505" s="4"/>
    </row>
    <row r="2506" spans="6:23" ht="24" customHeight="1">
      <c r="F2506" s="54"/>
      <c r="G2506" s="53"/>
      <c r="H2506" s="54"/>
      <c r="I2506" s="54"/>
      <c r="J2506" s="71"/>
      <c r="K2506" s="54"/>
      <c r="M2506" s="54" t="s">
        <v>3300</v>
      </c>
      <c r="N2506" s="53"/>
      <c r="O2506" s="54"/>
      <c r="P2506" s="54">
        <f>2*1.285*1.2</f>
        <v>3.08</v>
      </c>
      <c r="Q2506" s="71" t="s">
        <v>364</v>
      </c>
      <c r="R2506" s="71"/>
      <c r="W2506" s="4"/>
    </row>
    <row r="2507" spans="6:23" ht="24" customHeight="1">
      <c r="F2507" s="54">
        <v>24</v>
      </c>
      <c r="G2507" s="53" t="s">
        <v>1676</v>
      </c>
      <c r="H2507" s="54" t="s">
        <v>520</v>
      </c>
      <c r="I2507" s="54">
        <f>I2485</f>
        <v>70.150000000000006</v>
      </c>
      <c r="J2507" s="71" t="s">
        <v>1676</v>
      </c>
      <c r="K2507" s="54">
        <f>I2507*F2507</f>
        <v>1683.6</v>
      </c>
      <c r="M2507" s="54" t="s">
        <v>519</v>
      </c>
      <c r="N2507" s="53"/>
      <c r="O2507" s="54"/>
      <c r="P2507" s="54">
        <f>3*0.6*1.2</f>
        <v>2.16</v>
      </c>
      <c r="Q2507" s="71" t="s">
        <v>364</v>
      </c>
      <c r="R2507" s="71"/>
      <c r="W2507" s="4"/>
    </row>
    <row r="2508" spans="6:23" ht="24" customHeight="1">
      <c r="F2508" s="54">
        <v>0.36</v>
      </c>
      <c r="G2508" s="53" t="s">
        <v>2322</v>
      </c>
      <c r="H2508" s="54" t="s">
        <v>2160</v>
      </c>
      <c r="I2508" s="54">
        <f>I2486</f>
        <v>379.9</v>
      </c>
      <c r="J2508" s="71" t="s">
        <v>2322</v>
      </c>
      <c r="K2508" s="54">
        <f>I2508*F2508</f>
        <v>136.76</v>
      </c>
      <c r="M2508" s="54" t="s">
        <v>551</v>
      </c>
      <c r="N2508" s="53"/>
      <c r="O2508" s="54"/>
      <c r="P2508" s="54">
        <v>0.16</v>
      </c>
      <c r="Q2508" s="71"/>
      <c r="R2508" s="71"/>
      <c r="W2508" s="4"/>
    </row>
    <row r="2509" spans="6:23" ht="24" customHeight="1">
      <c r="F2509" s="54">
        <v>0.36</v>
      </c>
      <c r="G2509" s="53" t="s">
        <v>2322</v>
      </c>
      <c r="H2509" s="54" t="s">
        <v>521</v>
      </c>
      <c r="I2509" s="54">
        <f>C198</f>
        <v>40.65</v>
      </c>
      <c r="J2509" s="71" t="s">
        <v>2322</v>
      </c>
      <c r="K2509" s="54">
        <f>I2509*F2509</f>
        <v>14.63</v>
      </c>
      <c r="M2509" s="54"/>
      <c r="N2509" s="53"/>
      <c r="O2509" s="54"/>
      <c r="P2509" s="56" t="s">
        <v>895</v>
      </c>
      <c r="Q2509" s="71"/>
      <c r="R2509" s="71"/>
      <c r="W2509" s="4"/>
    </row>
    <row r="2510" spans="6:23" ht="24" customHeight="1">
      <c r="F2510" s="54"/>
      <c r="G2510" s="53"/>
      <c r="H2510" s="54" t="s">
        <v>581</v>
      </c>
      <c r="I2510" s="495">
        <v>28.34</v>
      </c>
      <c r="J2510" s="71" t="s">
        <v>455</v>
      </c>
      <c r="K2510" s="54">
        <f>28.14</f>
        <v>28.14</v>
      </c>
      <c r="M2510" s="54"/>
      <c r="N2510" s="53"/>
      <c r="O2510" s="54"/>
      <c r="P2510" s="75">
        <f>SUM(P2504:P2508)</f>
        <v>42.713000000000001</v>
      </c>
      <c r="Q2510" s="71" t="s">
        <v>364</v>
      </c>
      <c r="R2510" s="71">
        <f>42.55-42.713</f>
        <v>-0.16</v>
      </c>
      <c r="W2510" s="4"/>
    </row>
    <row r="2511" spans="6:23" ht="24" customHeight="1">
      <c r="F2511" s="54"/>
      <c r="G2511" s="53"/>
      <c r="H2511" s="54"/>
      <c r="I2511" s="54"/>
      <c r="J2511" s="71"/>
      <c r="K2511" s="56" t="s">
        <v>148</v>
      </c>
      <c r="M2511" s="54"/>
      <c r="N2511" s="53"/>
      <c r="O2511" s="54"/>
      <c r="P2511" s="56" t="s">
        <v>895</v>
      </c>
      <c r="Q2511" s="71"/>
      <c r="R2511" s="54"/>
      <c r="W2511" s="4"/>
    </row>
    <row r="2512" spans="6:23" ht="24" customHeight="1">
      <c r="F2512" s="54"/>
      <c r="G2512" s="53"/>
      <c r="H2512" s="36" t="s">
        <v>523</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1676</v>
      </c>
      <c r="O2514" s="54" t="s">
        <v>520</v>
      </c>
      <c r="P2514" s="54">
        <f>I2507</f>
        <v>70.150000000000006</v>
      </c>
      <c r="Q2514" s="71" t="s">
        <v>1676</v>
      </c>
      <c r="R2514" s="54">
        <f>P2514*M2514</f>
        <v>2996.32</v>
      </c>
      <c r="W2514" s="4"/>
    </row>
    <row r="2515" spans="6:23" ht="24" customHeight="1">
      <c r="F2515" s="54"/>
      <c r="G2515" s="53"/>
      <c r="H2515" s="36" t="s">
        <v>1758</v>
      </c>
      <c r="I2515" s="54"/>
      <c r="J2515" s="71"/>
      <c r="K2515" s="54">
        <f>K2512/K2514</f>
        <v>5175.3599999999997</v>
      </c>
      <c r="M2515" s="54">
        <v>0.77</v>
      </c>
      <c r="N2515" s="53" t="s">
        <v>2322</v>
      </c>
      <c r="O2515" s="54" t="s">
        <v>2160</v>
      </c>
      <c r="P2515" s="54">
        <f>I2508</f>
        <v>379.9</v>
      </c>
      <c r="Q2515" s="71" t="s">
        <v>2322</v>
      </c>
      <c r="R2515" s="54">
        <f>P2515*M2515</f>
        <v>292.52</v>
      </c>
      <c r="W2515" s="4"/>
    </row>
    <row r="2516" spans="6:23" ht="24" customHeight="1">
      <c r="F2516" s="54"/>
      <c r="G2516" s="53"/>
      <c r="H2516" s="54"/>
      <c r="I2516" s="54"/>
      <c r="J2516" s="71"/>
      <c r="K2516" s="54"/>
      <c r="M2516" s="54">
        <v>0.77</v>
      </c>
      <c r="N2516" s="53" t="s">
        <v>2322</v>
      </c>
      <c r="O2516" s="54" t="s">
        <v>521</v>
      </c>
      <c r="P2516" s="54">
        <f>I2509</f>
        <v>40.65</v>
      </c>
      <c r="Q2516" s="71" t="s">
        <v>2322</v>
      </c>
      <c r="R2516" s="54">
        <f>P2516*M2516</f>
        <v>31.3</v>
      </c>
      <c r="W2516" s="4"/>
    </row>
    <row r="2517" spans="6:23" ht="24" customHeight="1">
      <c r="F2517" s="36" t="s">
        <v>444</v>
      </c>
      <c r="G2517" s="72"/>
      <c r="H2517" s="54"/>
      <c r="I2517" s="54"/>
      <c r="J2517" s="71"/>
      <c r="K2517" s="54"/>
      <c r="M2517" s="54"/>
      <c r="N2517" s="53"/>
      <c r="O2517" s="54" t="s">
        <v>581</v>
      </c>
      <c r="P2517" s="54">
        <f>I2510</f>
        <v>28.34</v>
      </c>
      <c r="Q2517" s="71" t="s">
        <v>455</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811</v>
      </c>
      <c r="G2519" s="53"/>
      <c r="H2519" s="54"/>
      <c r="I2519" s="54">
        <v>3.93</v>
      </c>
      <c r="J2519" s="71" t="s">
        <v>1676</v>
      </c>
      <c r="K2519" s="54"/>
      <c r="M2519" s="54"/>
      <c r="N2519" s="53"/>
      <c r="O2519" s="36" t="s">
        <v>523</v>
      </c>
      <c r="P2519" s="54"/>
      <c r="Q2519" s="71"/>
      <c r="R2519" s="36">
        <f>SUM(R2514:R2517)</f>
        <v>3348.59</v>
      </c>
      <c r="W2519" s="4"/>
    </row>
    <row r="2520" spans="6:23" ht="24" customHeight="1">
      <c r="F2520" s="54" t="s">
        <v>2270</v>
      </c>
      <c r="G2520" s="53"/>
      <c r="H2520" s="54"/>
      <c r="I2520" s="54">
        <v>3.14</v>
      </c>
      <c r="J2520" s="71" t="s">
        <v>1676</v>
      </c>
      <c r="K2520" s="54"/>
      <c r="M2520" s="54"/>
      <c r="N2520" s="53"/>
      <c r="O2520" s="54"/>
      <c r="P2520" s="54"/>
      <c r="Q2520" s="71"/>
      <c r="R2520" s="56" t="s">
        <v>148</v>
      </c>
      <c r="W2520" s="4"/>
    </row>
    <row r="2521" spans="6:23" ht="24" customHeight="1">
      <c r="F2521" s="54" t="s">
        <v>212</v>
      </c>
      <c r="G2521" s="53"/>
      <c r="H2521" s="54"/>
      <c r="I2521" s="54">
        <v>1.18</v>
      </c>
      <c r="J2521" s="71" t="s">
        <v>1676</v>
      </c>
      <c r="K2521" s="54"/>
      <c r="M2521" s="54"/>
      <c r="N2521" s="53"/>
      <c r="O2521" s="91" t="s">
        <v>2850</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1758</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1495</v>
      </c>
      <c r="G2527" s="53"/>
      <c r="H2527" s="54"/>
      <c r="I2527" s="54">
        <v>24.34</v>
      </c>
      <c r="J2527" s="71" t="s">
        <v>1676</v>
      </c>
      <c r="K2527" s="54"/>
      <c r="W2527" s="4"/>
    </row>
    <row r="2528" spans="6:23" ht="24" customHeight="1">
      <c r="F2528" s="54" t="s">
        <v>112</v>
      </c>
      <c r="G2528" s="53"/>
      <c r="H2528" s="54"/>
      <c r="I2528" s="54">
        <v>11.78</v>
      </c>
      <c r="J2528" s="71" t="s">
        <v>1676</v>
      </c>
      <c r="K2528" s="54"/>
      <c r="W2528" s="4"/>
    </row>
    <row r="2529" spans="6:23" ht="24" customHeight="1">
      <c r="F2529" s="54" t="s">
        <v>584</v>
      </c>
      <c r="G2529" s="53"/>
      <c r="H2529" s="54"/>
      <c r="I2529" s="54">
        <v>59.35</v>
      </c>
      <c r="J2529" s="71" t="s">
        <v>1676</v>
      </c>
      <c r="K2529" s="54"/>
      <c r="W2529" s="4"/>
    </row>
    <row r="2530" spans="6:23" ht="24" customHeight="1">
      <c r="F2530" s="54" t="s">
        <v>585</v>
      </c>
      <c r="G2530" s="53"/>
      <c r="H2530" s="54"/>
      <c r="I2530" s="54">
        <v>5.04</v>
      </c>
      <c r="J2530" s="71" t="s">
        <v>1676</v>
      </c>
      <c r="K2530" s="54"/>
      <c r="W2530" s="4"/>
    </row>
    <row r="2531" spans="6:23" ht="24" customHeight="1">
      <c r="F2531" s="54" t="s">
        <v>586</v>
      </c>
      <c r="G2531" s="53"/>
      <c r="H2531" s="54"/>
      <c r="I2531" s="54">
        <v>4.8</v>
      </c>
      <c r="J2531" s="71" t="s">
        <v>1676</v>
      </c>
      <c r="K2531" s="54"/>
      <c r="W2531" s="4"/>
    </row>
    <row r="2532" spans="6:23" ht="24" customHeight="1">
      <c r="F2532" s="54" t="s">
        <v>587</v>
      </c>
      <c r="G2532" s="53"/>
      <c r="H2532" s="54"/>
      <c r="I2532" s="54">
        <v>2.69</v>
      </c>
      <c r="J2532" s="71"/>
      <c r="K2532" s="54"/>
      <c r="W2532" s="4"/>
    </row>
    <row r="2533" spans="6:23" ht="24" customHeight="1">
      <c r="F2533" s="54"/>
      <c r="G2533" s="53"/>
      <c r="H2533" s="54"/>
      <c r="I2533" s="56" t="s">
        <v>895</v>
      </c>
      <c r="J2533" s="71"/>
      <c r="K2533" s="54"/>
      <c r="W2533" s="4"/>
    </row>
    <row r="2534" spans="6:23" ht="24" customHeight="1">
      <c r="F2534" s="54"/>
      <c r="G2534" s="53"/>
      <c r="H2534" s="54"/>
      <c r="I2534" s="36">
        <f>SUM(I2527:I2532)</f>
        <v>108</v>
      </c>
      <c r="J2534" s="71" t="s">
        <v>1676</v>
      </c>
      <c r="K2534" s="54"/>
      <c r="W2534" s="4"/>
    </row>
    <row r="2535" spans="6:23" ht="24" customHeight="1">
      <c r="F2535" s="54"/>
      <c r="G2535" s="53"/>
      <c r="H2535" s="54"/>
      <c r="I2535" s="56" t="s">
        <v>895</v>
      </c>
      <c r="J2535" s="71"/>
      <c r="K2535" s="54"/>
      <c r="W2535" s="4"/>
    </row>
    <row r="2536" spans="6:23" ht="24" customHeight="1">
      <c r="F2536" s="54"/>
      <c r="G2536" s="53"/>
      <c r="H2536" s="54"/>
      <c r="I2536" s="54"/>
      <c r="J2536" s="71"/>
      <c r="K2536" s="54"/>
      <c r="L2536" t="s">
        <v>1728</v>
      </c>
      <c r="W2536" s="4"/>
    </row>
    <row r="2537" spans="6:23" ht="24" customHeight="1">
      <c r="F2537" s="54">
        <v>108</v>
      </c>
      <c r="G2537" s="53" t="s">
        <v>1676</v>
      </c>
      <c r="H2537" s="54" t="s">
        <v>588</v>
      </c>
      <c r="I2537" s="54">
        <f>I2466</f>
        <v>70.150000000000006</v>
      </c>
      <c r="J2537" s="71" t="s">
        <v>1676</v>
      </c>
      <c r="K2537" s="54">
        <f>F2537*I2537</f>
        <v>7576.2</v>
      </c>
      <c r="W2537" s="4"/>
    </row>
    <row r="2538" spans="6:23" ht="24" customHeight="1">
      <c r="F2538" s="54">
        <v>2.1</v>
      </c>
      <c r="G2538" s="53" t="s">
        <v>2322</v>
      </c>
      <c r="H2538" s="54" t="s">
        <v>2160</v>
      </c>
      <c r="I2538" s="54">
        <f>I2467</f>
        <v>379.9</v>
      </c>
      <c r="J2538" s="71" t="s">
        <v>2322</v>
      </c>
      <c r="K2538" s="54">
        <f>F2538*I2538</f>
        <v>797.79</v>
      </c>
      <c r="L2538" s="50">
        <v>42.713000000000001</v>
      </c>
      <c r="W2538" s="4"/>
    </row>
    <row r="2539" spans="6:23" ht="24" customHeight="1">
      <c r="F2539" s="54">
        <v>2.1</v>
      </c>
      <c r="G2539" s="53" t="s">
        <v>2322</v>
      </c>
      <c r="H2539" s="54" t="s">
        <v>1988</v>
      </c>
      <c r="I2539" s="54">
        <f>I2468</f>
        <v>116.55</v>
      </c>
      <c r="J2539" s="71" t="s">
        <v>2322</v>
      </c>
      <c r="K2539" s="54">
        <f>F2539*I2539</f>
        <v>244.76</v>
      </c>
      <c r="L2539">
        <v>0.77</v>
      </c>
      <c r="W2539" s="4"/>
    </row>
    <row r="2540" spans="6:23" ht="24" customHeight="1">
      <c r="F2540" s="54"/>
      <c r="G2540" s="53"/>
      <c r="H2540" s="54" t="s">
        <v>125</v>
      </c>
      <c r="I2540" s="54">
        <v>267.10000000000002</v>
      </c>
      <c r="J2540" s="71" t="s">
        <v>455</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455</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444</v>
      </c>
      <c r="G2552" s="72"/>
      <c r="H2552" s="54"/>
      <c r="I2552" s="54"/>
      <c r="J2552" s="71"/>
      <c r="K2552" s="54"/>
      <c r="W2552" s="4"/>
    </row>
    <row r="2553" spans="6:23" ht="24" customHeight="1">
      <c r="F2553" s="54"/>
      <c r="G2553" s="53"/>
      <c r="H2553" s="54"/>
      <c r="I2553" s="54"/>
      <c r="J2553" s="71"/>
      <c r="K2553" s="54"/>
      <c r="W2553" s="4"/>
    </row>
    <row r="2554" spans="6:23" ht="24" customHeight="1">
      <c r="F2554" s="54" t="s">
        <v>831</v>
      </c>
      <c r="G2554" s="53"/>
      <c r="H2554" s="54"/>
      <c r="I2554" s="73">
        <v>2.944</v>
      </c>
      <c r="J2554" s="71" t="s">
        <v>1676</v>
      </c>
      <c r="K2554" s="54"/>
      <c r="W2554" s="4"/>
    </row>
    <row r="2555" spans="6:23" ht="24" customHeight="1">
      <c r="F2555" s="54" t="s">
        <v>1287</v>
      </c>
      <c r="G2555" s="53"/>
      <c r="H2555" s="54"/>
      <c r="I2555" s="73">
        <v>2.355</v>
      </c>
      <c r="J2555" s="71" t="s">
        <v>1676</v>
      </c>
      <c r="K2555" s="54"/>
      <c r="W2555" s="4"/>
    </row>
    <row r="2556" spans="6:23" ht="24" customHeight="1">
      <c r="F2556" s="54" t="s">
        <v>1260</v>
      </c>
      <c r="G2556" s="53"/>
      <c r="H2556" s="54"/>
      <c r="I2556" s="73">
        <v>0.88300000000000001</v>
      </c>
      <c r="J2556" s="71" t="s">
        <v>1676</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4">
        <v>24.1</v>
      </c>
      <c r="O2561" s="36" t="s">
        <v>2648</v>
      </c>
      <c r="P2561" s="54"/>
      <c r="Q2561" s="71"/>
      <c r="R2561" s="54"/>
      <c r="W2561" s="4"/>
    </row>
    <row r="2562" spans="6:23" ht="24" customHeight="1">
      <c r="F2562" s="54" t="s">
        <v>1246</v>
      </c>
      <c r="G2562" s="53"/>
      <c r="H2562" s="54"/>
      <c r="I2562" s="54">
        <v>16.38</v>
      </c>
      <c r="J2562" s="71" t="s">
        <v>1676</v>
      </c>
      <c r="K2562" s="54"/>
      <c r="M2562" s="54"/>
      <c r="N2562" s="395" t="s">
        <v>2091</v>
      </c>
      <c r="O2562" s="396"/>
      <c r="P2562" s="54"/>
      <c r="Q2562" s="71"/>
      <c r="R2562" s="54"/>
      <c r="W2562" s="4"/>
    </row>
    <row r="2563" spans="6:23" ht="24" customHeight="1">
      <c r="F2563" s="54" t="s">
        <v>1253</v>
      </c>
      <c r="G2563" s="53"/>
      <c r="H2563" s="54"/>
      <c r="I2563" s="54">
        <v>8.7799999999999994</v>
      </c>
      <c r="J2563" s="71" t="s">
        <v>1676</v>
      </c>
      <c r="K2563" s="54"/>
      <c r="M2563" s="71" t="s">
        <v>2496</v>
      </c>
      <c r="N2563" s="71"/>
      <c r="O2563" s="71"/>
      <c r="P2563" s="54">
        <v>14.8</v>
      </c>
      <c r="Q2563" s="71" t="s">
        <v>364</v>
      </c>
      <c r="R2563" s="54"/>
      <c r="W2563" s="4"/>
    </row>
    <row r="2564" spans="6:23" ht="24" customHeight="1">
      <c r="F2564" s="54" t="s">
        <v>1634</v>
      </c>
      <c r="G2564" s="53"/>
      <c r="H2564" s="54"/>
      <c r="I2564" s="54">
        <v>37.67</v>
      </c>
      <c r="J2564" s="71" t="s">
        <v>1676</v>
      </c>
      <c r="K2564" s="54"/>
      <c r="M2564" s="54" t="s">
        <v>217</v>
      </c>
      <c r="N2564" s="53"/>
      <c r="O2564" s="54"/>
      <c r="P2564" s="54">
        <v>22.61</v>
      </c>
      <c r="Q2564" s="71" t="s">
        <v>364</v>
      </c>
      <c r="R2564" s="54"/>
      <c r="W2564" s="4"/>
    </row>
    <row r="2565" spans="6:23" ht="24" customHeight="1">
      <c r="F2565" s="54" t="s">
        <v>1692</v>
      </c>
      <c r="G2565" s="53"/>
      <c r="H2565" s="54"/>
      <c r="I2565" s="54">
        <v>3.24</v>
      </c>
      <c r="J2565" s="71" t="s">
        <v>1676</v>
      </c>
      <c r="K2565" s="54"/>
      <c r="M2565" s="54" t="s">
        <v>518</v>
      </c>
      <c r="N2565" s="53"/>
      <c r="O2565" s="54"/>
      <c r="P2565" s="54">
        <v>3.24</v>
      </c>
      <c r="Q2565" s="71" t="s">
        <v>364</v>
      </c>
      <c r="R2565" s="54"/>
      <c r="W2565" s="4"/>
    </row>
    <row r="2566" spans="6:23" ht="24" customHeight="1">
      <c r="F2566" s="54" t="s">
        <v>438</v>
      </c>
      <c r="G2566" s="53"/>
      <c r="H2566" s="54"/>
      <c r="I2566" s="54">
        <v>3.6</v>
      </c>
      <c r="J2566" s="71" t="s">
        <v>1676</v>
      </c>
      <c r="K2566" s="54"/>
      <c r="M2566" s="54" t="s">
        <v>519</v>
      </c>
      <c r="N2566" s="53"/>
      <c r="O2566" s="54"/>
      <c r="P2566" s="54">
        <v>2.16</v>
      </c>
      <c r="Q2566" s="71" t="s">
        <v>364</v>
      </c>
      <c r="R2566" s="54"/>
      <c r="W2566" s="4"/>
    </row>
    <row r="2567" spans="6:23" ht="24" customHeight="1">
      <c r="F2567" s="54" t="s">
        <v>587</v>
      </c>
      <c r="G2567" s="53"/>
      <c r="H2567" s="54"/>
      <c r="I2567" s="54">
        <v>2.88</v>
      </c>
      <c r="J2567" s="71"/>
      <c r="K2567" s="54"/>
      <c r="M2567" s="54"/>
      <c r="N2567" s="53"/>
      <c r="O2567" s="54"/>
      <c r="P2567" s="54"/>
      <c r="Q2567" s="71"/>
      <c r="R2567" s="54"/>
      <c r="W2567" s="4"/>
    </row>
    <row r="2568" spans="6:23" ht="24" customHeight="1">
      <c r="F2568" s="54"/>
      <c r="G2568" s="53"/>
      <c r="H2568" s="54"/>
      <c r="I2568" s="56" t="s">
        <v>895</v>
      </c>
      <c r="J2568" s="71"/>
      <c r="K2568" s="54"/>
      <c r="M2568" s="54"/>
      <c r="N2568" s="53"/>
      <c r="O2568" s="54"/>
      <c r="P2568" s="56" t="s">
        <v>148</v>
      </c>
      <c r="Q2568" s="71"/>
      <c r="R2568" s="54"/>
      <c r="W2568" s="4"/>
    </row>
    <row r="2569" spans="6:23" ht="24" customHeight="1">
      <c r="F2569" s="54"/>
      <c r="G2569" s="53"/>
      <c r="H2569" s="54"/>
      <c r="I2569" s="36">
        <f>SUM(I2562:I2567)</f>
        <v>72.55</v>
      </c>
      <c r="J2569" s="71" t="s">
        <v>1676</v>
      </c>
      <c r="K2569" s="54"/>
      <c r="M2569" s="54"/>
      <c r="N2569" s="53"/>
      <c r="O2569" s="54"/>
      <c r="P2569" s="54">
        <f>SUM(P2563:P2567)</f>
        <v>42.81</v>
      </c>
      <c r="Q2569" s="71"/>
      <c r="R2569" s="54"/>
      <c r="W2569" s="4"/>
    </row>
    <row r="2570" spans="6:23" ht="24" customHeight="1">
      <c r="F2570" s="54"/>
      <c r="G2570" s="53"/>
      <c r="H2570" s="54"/>
      <c r="I2570" s="56" t="s">
        <v>895</v>
      </c>
      <c r="J2570" s="71"/>
      <c r="K2570" s="54"/>
      <c r="M2570" s="54"/>
      <c r="N2570" s="53"/>
      <c r="O2570" s="54"/>
      <c r="P2570" s="54" t="s">
        <v>1717</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1676</v>
      </c>
      <c r="H2572" s="54" t="s">
        <v>588</v>
      </c>
      <c r="I2572" s="54">
        <f>I2537</f>
        <v>70.150000000000006</v>
      </c>
      <c r="J2572" s="71" t="s">
        <v>1676</v>
      </c>
      <c r="K2572" s="54">
        <f>F2572*I2572</f>
        <v>5089.38</v>
      </c>
      <c r="M2572" s="54"/>
      <c r="N2572" s="53"/>
      <c r="O2572" s="54"/>
      <c r="P2572" s="54"/>
      <c r="Q2572" s="71"/>
      <c r="R2572" s="54"/>
      <c r="W2572" s="4"/>
    </row>
    <row r="2573" spans="6:23" ht="24" customHeight="1">
      <c r="F2573" s="54">
        <v>1.01</v>
      </c>
      <c r="G2573" s="53" t="s">
        <v>2322</v>
      </c>
      <c r="H2573" s="54" t="s">
        <v>2160</v>
      </c>
      <c r="I2573" s="54">
        <f>I2538</f>
        <v>379.9</v>
      </c>
      <c r="J2573" s="71" t="s">
        <v>2322</v>
      </c>
      <c r="K2573" s="74">
        <f>F2573*I2573</f>
        <v>383.7</v>
      </c>
      <c r="M2573" s="54">
        <v>42.81</v>
      </c>
      <c r="N2573" s="53" t="s">
        <v>1676</v>
      </c>
      <c r="O2573" t="s">
        <v>4250</v>
      </c>
      <c r="P2573" s="54">
        <f>I2572</f>
        <v>70.150000000000006</v>
      </c>
      <c r="Q2573" s="71" t="s">
        <v>1676</v>
      </c>
      <c r="R2573" s="54">
        <f>P2573*M2573</f>
        <v>3003.12</v>
      </c>
      <c r="W2573" s="4"/>
    </row>
    <row r="2574" spans="6:23" ht="24" customHeight="1">
      <c r="F2574" s="54">
        <v>1.01</v>
      </c>
      <c r="G2574" s="53" t="s">
        <v>2322</v>
      </c>
      <c r="H2574" s="54" t="str">
        <f>H2539</f>
        <v>Fly proof mesh</v>
      </c>
      <c r="I2574" s="54">
        <f>I2539</f>
        <v>116.55</v>
      </c>
      <c r="J2574" s="71" t="s">
        <v>2322</v>
      </c>
      <c r="K2574" s="54">
        <f>F2574*I2574</f>
        <v>117.72</v>
      </c>
      <c r="M2574" s="54">
        <v>0.77</v>
      </c>
      <c r="N2574" s="53" t="s">
        <v>2322</v>
      </c>
      <c r="O2574" s="54" t="s">
        <v>2497</v>
      </c>
      <c r="P2574" s="54">
        <f>I2573</f>
        <v>379.9</v>
      </c>
      <c r="Q2574" s="71" t="s">
        <v>2322</v>
      </c>
      <c r="R2574" s="54">
        <f>P2574*M2574</f>
        <v>292.52</v>
      </c>
      <c r="W2574" s="4"/>
    </row>
    <row r="2575" spans="6:23" ht="24" customHeight="1">
      <c r="F2575" s="54"/>
      <c r="G2575" s="53"/>
      <c r="H2575" s="54" t="s">
        <v>125</v>
      </c>
      <c r="I2575" s="54">
        <v>266.49</v>
      </c>
      <c r="J2575" s="71" t="s">
        <v>455</v>
      </c>
      <c r="K2575" s="54">
        <f>I2575</f>
        <v>266.49</v>
      </c>
      <c r="M2575" s="54">
        <v>0.77</v>
      </c>
      <c r="N2575" s="53" t="s">
        <v>2322</v>
      </c>
      <c r="O2575" s="512" t="s">
        <v>4450</v>
      </c>
      <c r="P2575" s="438">
        <f>I2574</f>
        <v>116.55</v>
      </c>
      <c r="Q2575" s="71" t="s">
        <v>2322</v>
      </c>
      <c r="R2575" s="54">
        <f>P2575*M2575</f>
        <v>89.74</v>
      </c>
      <c r="W2575" s="4"/>
    </row>
    <row r="2576" spans="6:23" ht="24" customHeight="1">
      <c r="F2576" s="54"/>
      <c r="G2576" s="53"/>
      <c r="H2576" s="54"/>
      <c r="I2576" s="54"/>
      <c r="J2576" s="71"/>
      <c r="K2576" s="56" t="s">
        <v>148</v>
      </c>
      <c r="M2576" s="54"/>
      <c r="N2576" s="53"/>
      <c r="O2576" s="54" t="s">
        <v>522</v>
      </c>
      <c r="P2576" s="607">
        <f>46.62+0.48</f>
        <v>47.1</v>
      </c>
      <c r="Q2576" s="71" t="s">
        <v>455</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455</v>
      </c>
      <c r="K2578">
        <v>255</v>
      </c>
      <c r="M2578" s="54"/>
      <c r="N2578" s="53"/>
      <c r="O2578" s="36" t="s">
        <v>523</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444</v>
      </c>
      <c r="G2587" s="72"/>
      <c r="H2587" s="54"/>
      <c r="I2587" s="54"/>
      <c r="J2587" s="71"/>
      <c r="K2587" s="54"/>
      <c r="S2587" s="73"/>
      <c r="T2587" s="53"/>
      <c r="U2587" t="s">
        <v>3816</v>
      </c>
      <c r="V2587" s="54"/>
      <c r="W2587" s="342"/>
      <c r="X2587" s="54"/>
    </row>
    <row r="2588" spans="6:24" ht="24" customHeight="1">
      <c r="F2588" s="54"/>
      <c r="G2588" s="53"/>
      <c r="H2588" s="54"/>
      <c r="I2588" s="54"/>
      <c r="J2588" s="71"/>
      <c r="K2588" s="54"/>
      <c r="S2588" s="73"/>
      <c r="T2588" s="53"/>
      <c r="U2588" s="54"/>
      <c r="V2588" s="54"/>
      <c r="W2588" s="342"/>
      <c r="X2588" s="54"/>
    </row>
    <row r="2589" spans="6:24" ht="24" customHeight="1">
      <c r="F2589" s="54" t="s">
        <v>831</v>
      </c>
      <c r="G2589" s="53"/>
      <c r="H2589" s="54"/>
      <c r="I2589" s="73">
        <v>2.944</v>
      </c>
      <c r="J2589" s="71" t="s">
        <v>1676</v>
      </c>
      <c r="K2589" s="54"/>
      <c r="S2589" s="73" t="s">
        <v>2530</v>
      </c>
      <c r="T2589" s="53"/>
      <c r="U2589" s="54"/>
      <c r="V2589" s="156">
        <f>2*0.85*2.025</f>
        <v>3.4424999999999999</v>
      </c>
      <c r="W2589" s="342"/>
      <c r="X2589" s="54"/>
    </row>
    <row r="2590" spans="6:24" ht="24" customHeight="1">
      <c r="F2590" s="54" t="s">
        <v>1287</v>
      </c>
      <c r="G2590" s="53"/>
      <c r="H2590" s="54"/>
      <c r="I2590" s="73">
        <v>2.355</v>
      </c>
      <c r="J2590" s="71" t="s">
        <v>1676</v>
      </c>
      <c r="K2590" s="54"/>
      <c r="S2590" s="73" t="s">
        <v>1968</v>
      </c>
      <c r="T2590" s="53"/>
      <c r="U2590" s="54"/>
      <c r="V2590" s="156">
        <v>2.2800000000000001E-2</v>
      </c>
      <c r="W2590" s="342"/>
      <c r="X2590" s="54"/>
    </row>
    <row r="2591" spans="6:24" ht="24" customHeight="1">
      <c r="F2591" s="54" t="s">
        <v>1260</v>
      </c>
      <c r="G2591" s="53"/>
      <c r="H2591" s="54"/>
      <c r="I2591" s="73">
        <v>0.88300000000000001</v>
      </c>
      <c r="J2591" s="71" t="s">
        <v>1676</v>
      </c>
      <c r="K2591" s="54"/>
      <c r="S2591" s="73" t="s">
        <v>2531</v>
      </c>
      <c r="T2591" s="53"/>
      <c r="U2591" s="54"/>
      <c r="V2591" s="75">
        <f>2*3*0.85*0.15*0.0375</f>
        <v>2.87E-2</v>
      </c>
      <c r="W2591" s="342"/>
      <c r="X2591" s="54"/>
    </row>
    <row r="2592" spans="6:24" ht="24" customHeight="1">
      <c r="F2592" s="54"/>
      <c r="G2592" s="53"/>
      <c r="H2592" s="54"/>
      <c r="I2592" s="54"/>
      <c r="J2592" s="71"/>
      <c r="K2592" s="54"/>
      <c r="S2592" s="73"/>
      <c r="T2592" s="53" t="s">
        <v>2532</v>
      </c>
      <c r="U2592" s="54"/>
      <c r="V2592" s="75">
        <f>2*3*0.85*0.075*0.0375</f>
        <v>1.43E-2</v>
      </c>
      <c r="W2592" s="342"/>
      <c r="X2592" s="54"/>
    </row>
    <row r="2593" spans="6:33" ht="24" customHeight="1">
      <c r="F2593" s="54"/>
      <c r="G2593" s="53"/>
      <c r="H2593" s="54"/>
      <c r="I2593" s="54"/>
      <c r="J2593" s="71"/>
      <c r="K2593" s="54"/>
      <c r="S2593" s="73"/>
      <c r="T2593" s="53"/>
      <c r="U2593" s="54"/>
      <c r="V2593" s="157">
        <f>SUM(V2591:V2592)</f>
        <v>4.2999999999999997E-2</v>
      </c>
      <c r="W2593" s="342"/>
      <c r="X2593" s="54"/>
    </row>
    <row r="2594" spans="6:33" ht="24" customHeight="1">
      <c r="F2594" s="54"/>
      <c r="G2594" s="53"/>
      <c r="H2594" s="36" t="s">
        <v>13</v>
      </c>
      <c r="I2594" s="54"/>
      <c r="J2594" s="71"/>
      <c r="K2594" s="54"/>
      <c r="S2594" s="73"/>
      <c r="T2594" s="53"/>
      <c r="U2594" s="54"/>
      <c r="V2594" s="54"/>
      <c r="W2594" s="342"/>
      <c r="X2594" s="54"/>
    </row>
    <row r="2595" spans="6:33" ht="24" customHeight="1">
      <c r="F2595" s="54"/>
      <c r="G2595" s="53"/>
      <c r="H2595" s="54"/>
      <c r="I2595" s="54"/>
      <c r="J2595" s="71"/>
      <c r="K2595" s="54"/>
      <c r="S2595" s="73"/>
      <c r="T2595" s="53"/>
      <c r="U2595" s="54"/>
      <c r="V2595" s="54"/>
      <c r="W2595" s="342"/>
      <c r="X2595" s="54"/>
    </row>
    <row r="2596" spans="6:33" ht="24" customHeight="1">
      <c r="F2596" s="54"/>
      <c r="G2596" s="53"/>
      <c r="H2596" s="54"/>
      <c r="I2596" s="54"/>
      <c r="J2596" s="71"/>
      <c r="K2596" s="54"/>
      <c r="S2596" s="73" t="s">
        <v>2533</v>
      </c>
      <c r="T2596" s="53"/>
      <c r="U2596" s="54"/>
      <c r="V2596" s="75">
        <f>2*4*0.725*0.3*0.01875</f>
        <v>3.2599999999999997E-2</v>
      </c>
      <c r="W2596" s="342"/>
      <c r="X2596" s="54"/>
    </row>
    <row r="2597" spans="6:33" ht="24" customHeight="1">
      <c r="F2597" s="54" t="s">
        <v>1246</v>
      </c>
      <c r="G2597" s="53"/>
      <c r="H2597" s="54"/>
      <c r="I2597" s="54">
        <v>16.38</v>
      </c>
      <c r="J2597" s="71" t="s">
        <v>1676</v>
      </c>
      <c r="K2597" s="54"/>
      <c r="S2597" s="73" t="s">
        <v>2534</v>
      </c>
      <c r="T2597" s="53"/>
      <c r="U2597" s="54"/>
      <c r="V2597" s="75">
        <f>2*0.725*0.3*0.01875</f>
        <v>8.2000000000000007E-3</v>
      </c>
      <c r="W2597" s="342"/>
      <c r="X2597" s="54"/>
    </row>
    <row r="2598" spans="6:33" ht="24" customHeight="1">
      <c r="F2598" s="54" t="s">
        <v>1253</v>
      </c>
      <c r="G2598" s="53"/>
      <c r="H2598" s="54"/>
      <c r="I2598" s="54">
        <v>8.7799999999999994</v>
      </c>
      <c r="J2598" s="71" t="s">
        <v>1676</v>
      </c>
      <c r="K2598" s="54"/>
      <c r="S2598" s="73"/>
      <c r="T2598" s="53"/>
      <c r="U2598" s="54"/>
      <c r="V2598" s="157">
        <f>SUM(V2596:V2597)</f>
        <v>4.0800000000000003E-2</v>
      </c>
      <c r="W2598" s="342"/>
      <c r="X2598" s="54"/>
    </row>
    <row r="2599" spans="6:33" ht="24" customHeight="1">
      <c r="F2599" s="54" t="s">
        <v>1634</v>
      </c>
      <c r="G2599" s="53"/>
      <c r="H2599" s="54"/>
      <c r="I2599" s="54">
        <v>37.67</v>
      </c>
      <c r="J2599" s="71" t="s">
        <v>1676</v>
      </c>
      <c r="K2599" s="54"/>
      <c r="S2599" s="73"/>
      <c r="T2599" s="53"/>
      <c r="U2599" s="36" t="s">
        <v>1653</v>
      </c>
      <c r="V2599" s="54"/>
      <c r="W2599" s="342"/>
      <c r="X2599" s="54"/>
      <c r="Y2599" s="381">
        <v>2.3099999999999999E-2</v>
      </c>
      <c r="Z2599">
        <f>Y2599*V2601</f>
        <v>2577.96</v>
      </c>
    </row>
    <row r="2600" spans="6:33" ht="24" customHeight="1">
      <c r="F2600" s="54" t="s">
        <v>1692</v>
      </c>
      <c r="G2600" s="53"/>
      <c r="H2600" s="54"/>
      <c r="I2600" s="54">
        <v>3.24</v>
      </c>
      <c r="J2600" s="71" t="s">
        <v>1676</v>
      </c>
      <c r="K2600" s="54"/>
      <c r="S2600" s="73"/>
      <c r="T2600" s="53"/>
      <c r="U2600" s="54"/>
      <c r="V2600" s="54"/>
      <c r="W2600" s="342"/>
      <c r="X2600" s="54"/>
      <c r="Y2600" s="381">
        <v>4.48E-2</v>
      </c>
      <c r="Z2600">
        <f>Y2600*V2602</f>
        <v>4453.12</v>
      </c>
    </row>
    <row r="2601" spans="6:33" ht="40.5" customHeight="1">
      <c r="F2601" s="54" t="s">
        <v>438</v>
      </c>
      <c r="G2601" s="53"/>
      <c r="H2601" s="54"/>
      <c r="I2601" s="54">
        <v>3.6</v>
      </c>
      <c r="J2601" s="71" t="s">
        <v>1676</v>
      </c>
      <c r="K2601" s="54"/>
      <c r="S2601" s="75">
        <f>V2590</f>
        <v>2.2800000000000001E-2</v>
      </c>
      <c r="T2601" s="53" t="s">
        <v>885</v>
      </c>
      <c r="U2601" s="54" t="s">
        <v>2535</v>
      </c>
      <c r="V2601" s="54">
        <f>I2633</f>
        <v>111600</v>
      </c>
      <c r="W2601" s="342" t="s">
        <v>885</v>
      </c>
      <c r="X2601" s="54">
        <f>S2601*V2601</f>
        <v>2544.48</v>
      </c>
      <c r="Y2601" s="381">
        <v>2.2690000000000001</v>
      </c>
      <c r="Z2601">
        <f>Y2601*336</f>
        <v>762.38</v>
      </c>
      <c r="AB2601" s="54"/>
      <c r="AC2601" s="53"/>
      <c r="AD2601" s="1585" t="s">
        <v>4732</v>
      </c>
      <c r="AE2601" s="1585"/>
      <c r="AF2601" s="1585"/>
      <c r="AG2601" s="1585"/>
    </row>
    <row r="2602" spans="6:33" ht="24" customHeight="1">
      <c r="F2602" s="54" t="s">
        <v>587</v>
      </c>
      <c r="G2602" s="53"/>
      <c r="H2602" s="54"/>
      <c r="I2602" s="54">
        <v>2.88</v>
      </c>
      <c r="J2602" s="71"/>
      <c r="K2602" s="54"/>
      <c r="S2602" s="75">
        <f>V2593</f>
        <v>4.2999999999999997E-2</v>
      </c>
      <c r="T2602" s="53" t="s">
        <v>885</v>
      </c>
      <c r="U2602" s="54" t="s">
        <v>2536</v>
      </c>
      <c r="V2602" s="54">
        <f t="shared" ref="V2602:V2610" si="259">I2634</f>
        <v>99400</v>
      </c>
      <c r="W2602" s="342" t="s">
        <v>885</v>
      </c>
      <c r="X2602" s="54">
        <f t="shared" ref="X2602:X2612" si="260">S2602*V2602</f>
        <v>4274.2</v>
      </c>
      <c r="Y2602" s="381">
        <v>3.4849999999999999</v>
      </c>
      <c r="Z2602">
        <f>Y2602*V2604</f>
        <v>5585.41</v>
      </c>
      <c r="AB2602" s="54"/>
      <c r="AC2602" s="53"/>
      <c r="AD2602" s="54"/>
      <c r="AE2602" s="54"/>
      <c r="AF2602" s="71"/>
      <c r="AG2602" s="54"/>
    </row>
    <row r="2603" spans="6:33" ht="24" customHeight="1">
      <c r="F2603" s="54"/>
      <c r="G2603" s="53"/>
      <c r="H2603" s="54"/>
      <c r="I2603" s="56" t="s">
        <v>895</v>
      </c>
      <c r="J2603" s="71"/>
      <c r="K2603" s="54"/>
      <c r="S2603" s="75">
        <f>V2598</f>
        <v>4.0800000000000003E-2</v>
      </c>
      <c r="T2603" s="53" t="s">
        <v>885</v>
      </c>
      <c r="U2603" s="54" t="s">
        <v>953</v>
      </c>
      <c r="V2603" s="54">
        <f t="shared" si="259"/>
        <v>107000</v>
      </c>
      <c r="W2603" s="342" t="s">
        <v>885</v>
      </c>
      <c r="X2603" s="54">
        <f t="shared" si="260"/>
        <v>4365.6000000000004</v>
      </c>
      <c r="Y2603" s="381">
        <v>2</v>
      </c>
      <c r="Z2603">
        <f>Y2603*V2605</f>
        <v>509</v>
      </c>
      <c r="AB2603" s="54" t="s">
        <v>2056</v>
      </c>
      <c r="AC2603" s="53"/>
      <c r="AD2603" s="54"/>
      <c r="AE2603" s="156">
        <f>2*0.95*2.025</f>
        <v>3.8475000000000001</v>
      </c>
      <c r="AF2603" s="71"/>
      <c r="AG2603" s="54"/>
    </row>
    <row r="2604" spans="6:33" ht="24" customHeight="1">
      <c r="F2604" s="54"/>
      <c r="G2604" s="53"/>
      <c r="H2604" s="54"/>
      <c r="I2604" s="36">
        <f>SUM(I2597:I2602)</f>
        <v>72.55</v>
      </c>
      <c r="J2604" s="71" t="s">
        <v>1676</v>
      </c>
      <c r="K2604" s="54"/>
      <c r="S2604" s="75">
        <f>V2589</f>
        <v>3.4424999999999999</v>
      </c>
      <c r="T2604" s="53" t="s">
        <v>621</v>
      </c>
      <c r="U2604" s="54" t="s">
        <v>899</v>
      </c>
      <c r="V2604" s="54">
        <f t="shared" si="259"/>
        <v>1602.7</v>
      </c>
      <c r="W2604" s="342" t="s">
        <v>621</v>
      </c>
      <c r="X2604" s="54">
        <f t="shared" si="260"/>
        <v>5517.29</v>
      </c>
      <c r="Y2604" s="381">
        <v>6</v>
      </c>
      <c r="Z2604">
        <f>Y2604*V2606</f>
        <v>1284.5999999999999</v>
      </c>
      <c r="AB2604" s="54" t="s">
        <v>1968</v>
      </c>
      <c r="AC2604" s="53"/>
      <c r="AD2604" s="54"/>
      <c r="AE2604" s="156">
        <v>2.2800000000000001E-2</v>
      </c>
      <c r="AF2604" s="71"/>
      <c r="AG2604" s="54"/>
    </row>
    <row r="2605" spans="6:33" ht="24" customHeight="1">
      <c r="F2605" s="54"/>
      <c r="G2605" s="53"/>
      <c r="H2605" s="54"/>
      <c r="I2605" s="56" t="s">
        <v>895</v>
      </c>
      <c r="J2605" s="71"/>
      <c r="K2605" s="54"/>
      <c r="S2605" s="73">
        <v>2</v>
      </c>
      <c r="T2605" s="53" t="s">
        <v>1907</v>
      </c>
      <c r="U2605" s="54" t="s">
        <v>2161</v>
      </c>
      <c r="V2605" s="54">
        <f t="shared" si="259"/>
        <v>254.5</v>
      </c>
      <c r="W2605" s="342" t="s">
        <v>1423</v>
      </c>
      <c r="X2605" s="54">
        <f t="shared" si="260"/>
        <v>509</v>
      </c>
      <c r="Y2605" s="381">
        <v>4</v>
      </c>
      <c r="Z2605">
        <f>Y2605*V2607</f>
        <v>1632</v>
      </c>
      <c r="AB2605" s="54" t="s">
        <v>2057</v>
      </c>
      <c r="AC2605" s="53"/>
      <c r="AD2605" s="54"/>
      <c r="AE2605" s="75">
        <f>2*3*0.95*0.15*0.0375</f>
        <v>3.2099999999999997E-2</v>
      </c>
      <c r="AF2605" s="71"/>
      <c r="AG2605" s="54"/>
    </row>
    <row r="2606" spans="6:33" ht="24" customHeight="1">
      <c r="F2606" s="54"/>
      <c r="G2606" s="53"/>
      <c r="H2606" s="54"/>
      <c r="I2606" s="54"/>
      <c r="J2606" s="71"/>
      <c r="K2606" s="54"/>
      <c r="S2606" s="73">
        <v>6</v>
      </c>
      <c r="T2606" s="53" t="s">
        <v>1907</v>
      </c>
      <c r="U2606" s="54" t="s">
        <v>1119</v>
      </c>
      <c r="V2606" s="54">
        <f t="shared" si="259"/>
        <v>214.1</v>
      </c>
      <c r="W2606" s="342" t="s">
        <v>1423</v>
      </c>
      <c r="X2606" s="54">
        <f t="shared" si="260"/>
        <v>1284.5999999999999</v>
      </c>
      <c r="Y2606" s="381">
        <v>1</v>
      </c>
      <c r="Z2606">
        <f>Y2606*X2608</f>
        <v>836</v>
      </c>
      <c r="AB2606" s="54"/>
      <c r="AC2606" s="53" t="s">
        <v>2058</v>
      </c>
      <c r="AD2606" s="54"/>
      <c r="AE2606" s="75">
        <f>2*3*0.95*0.075*0.0375</f>
        <v>1.6E-2</v>
      </c>
      <c r="AF2606" s="71"/>
      <c r="AG2606" s="54"/>
    </row>
    <row r="2607" spans="6:33" ht="24" customHeight="1">
      <c r="F2607" s="54">
        <v>73</v>
      </c>
      <c r="G2607" s="53" t="s">
        <v>1676</v>
      </c>
      <c r="H2607" s="54" t="s">
        <v>588</v>
      </c>
      <c r="I2607" s="54">
        <f>I2572</f>
        <v>70.150000000000006</v>
      </c>
      <c r="J2607" s="71" t="s">
        <v>1676</v>
      </c>
      <c r="K2607" s="54">
        <f>F2607*I2607</f>
        <v>5120.95</v>
      </c>
      <c r="S2607" s="73">
        <v>4</v>
      </c>
      <c r="T2607" s="53" t="s">
        <v>1907</v>
      </c>
      <c r="U2607" s="54" t="s">
        <v>1372</v>
      </c>
      <c r="V2607" s="54">
        <f t="shared" si="259"/>
        <v>408</v>
      </c>
      <c r="W2607" s="342" t="s">
        <v>1423</v>
      </c>
      <c r="X2607" s="54">
        <f t="shared" si="260"/>
        <v>1632</v>
      </c>
      <c r="Y2607" s="381">
        <v>2</v>
      </c>
      <c r="Z2607">
        <f>Y2607*V2609</f>
        <v>15</v>
      </c>
      <c r="AB2607" s="54"/>
      <c r="AC2607" s="53"/>
      <c r="AD2607" s="54"/>
      <c r="AE2607" s="157">
        <f>SUM(AE2605:AE2606)</f>
        <v>4.8099999999999997E-2</v>
      </c>
      <c r="AF2607" s="71"/>
      <c r="AG2607" s="54"/>
    </row>
    <row r="2608" spans="6:33" ht="24" customHeight="1">
      <c r="F2608" s="54">
        <v>1.01</v>
      </c>
      <c r="G2608" s="53" t="s">
        <v>2322</v>
      </c>
      <c r="H2608" s="54" t="s">
        <v>2160</v>
      </c>
      <c r="I2608" s="54">
        <f>I2573</f>
        <v>379.9</v>
      </c>
      <c r="J2608" s="71" t="s">
        <v>2322</v>
      </c>
      <c r="K2608" s="74">
        <f>F2608*I2608</f>
        <v>383.7</v>
      </c>
      <c r="S2608" s="73">
        <v>1</v>
      </c>
      <c r="T2608" s="53" t="s">
        <v>1907</v>
      </c>
      <c r="U2608" s="54" t="s">
        <v>1373</v>
      </c>
      <c r="V2608" s="54">
        <f t="shared" si="259"/>
        <v>836</v>
      </c>
      <c r="W2608" s="342" t="s">
        <v>1423</v>
      </c>
      <c r="X2608" s="54">
        <f t="shared" si="260"/>
        <v>836</v>
      </c>
      <c r="Y2608" s="381">
        <v>2</v>
      </c>
      <c r="Z2608">
        <f>Y2608*V2610</f>
        <v>99.1</v>
      </c>
      <c r="AB2608" s="54"/>
      <c r="AC2608" s="53"/>
      <c r="AD2608" s="54"/>
      <c r="AE2608" s="54"/>
      <c r="AF2608" s="71"/>
      <c r="AG2608" s="54"/>
    </row>
    <row r="2609" spans="6:33" ht="24" customHeight="1">
      <c r="F2609" s="54">
        <v>1.01</v>
      </c>
      <c r="G2609" s="53" t="s">
        <v>2322</v>
      </c>
      <c r="H2609" s="54" t="s">
        <v>589</v>
      </c>
      <c r="I2609" s="54">
        <f>C198</f>
        <v>40.65</v>
      </c>
      <c r="J2609" s="71" t="s">
        <v>2322</v>
      </c>
      <c r="K2609" s="54">
        <f>F2609*I2609</f>
        <v>41.06</v>
      </c>
      <c r="S2609" s="73">
        <v>2</v>
      </c>
      <c r="T2609" s="53" t="s">
        <v>1907</v>
      </c>
      <c r="U2609" s="54" t="s">
        <v>2016</v>
      </c>
      <c r="V2609" s="607">
        <v>7.5</v>
      </c>
      <c r="W2609" s="342" t="s">
        <v>1423</v>
      </c>
      <c r="X2609" s="54">
        <f t="shared" si="260"/>
        <v>15</v>
      </c>
      <c r="Y2609" s="381"/>
      <c r="Z2609">
        <v>20</v>
      </c>
      <c r="AB2609" s="54"/>
      <c r="AC2609" s="53"/>
      <c r="AD2609" s="54"/>
      <c r="AE2609" s="54"/>
      <c r="AF2609" s="71"/>
      <c r="AG2609" s="54"/>
    </row>
    <row r="2610" spans="6:33" ht="24" customHeight="1">
      <c r="F2610" s="54"/>
      <c r="G2610" s="53"/>
      <c r="H2610" s="54" t="s">
        <v>125</v>
      </c>
      <c r="I2610" s="495">
        <v>266.81</v>
      </c>
      <c r="J2610" s="71" t="s">
        <v>455</v>
      </c>
      <c r="K2610" s="54">
        <f>I2610</f>
        <v>266.81</v>
      </c>
      <c r="S2610" s="73">
        <v>2</v>
      </c>
      <c r="T2610" s="53" t="s">
        <v>1907</v>
      </c>
      <c r="U2610" s="54" t="s">
        <v>2018</v>
      </c>
      <c r="V2610" s="54">
        <f t="shared" si="259"/>
        <v>49.55</v>
      </c>
      <c r="W2610" s="342" t="s">
        <v>1423</v>
      </c>
      <c r="X2610" s="54">
        <f t="shared" si="260"/>
        <v>99.1</v>
      </c>
      <c r="Z2610">
        <f>SUM(Z2599:Z2609)</f>
        <v>17774.57</v>
      </c>
      <c r="AB2610" s="54" t="s">
        <v>2123</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2"/>
      <c r="X2611" s="54"/>
      <c r="Z2611">
        <f>Z2610/3.485</f>
        <v>5100.3100000000004</v>
      </c>
      <c r="AB2611" s="54" t="s">
        <v>2124</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8" t="s">
        <v>1163</v>
      </c>
      <c r="V2612" s="54">
        <f>I2643</f>
        <v>2.41</v>
      </c>
      <c r="W2612" s="342"/>
      <c r="X2612" s="54">
        <f t="shared" si="260"/>
        <v>24.1</v>
      </c>
      <c r="AB2612" s="54"/>
      <c r="AC2612" s="53"/>
      <c r="AD2612" s="54"/>
      <c r="AE2612" s="157">
        <f>SUM(AE2610:AE2611)</f>
        <v>4.6399999999999997E-2</v>
      </c>
      <c r="AF2612" s="71"/>
      <c r="AG2612" s="54"/>
    </row>
    <row r="2613" spans="6:33" ht="24" customHeight="1">
      <c r="F2613" s="54"/>
      <c r="G2613" s="53"/>
      <c r="H2613" s="54" t="s">
        <v>126</v>
      </c>
      <c r="I2613" s="495">
        <v>255</v>
      </c>
      <c r="J2613" s="71" t="s">
        <v>455</v>
      </c>
      <c r="K2613" s="54">
        <v>255</v>
      </c>
      <c r="S2613" s="73"/>
      <c r="T2613" s="72"/>
      <c r="U2613" s="36" t="s">
        <v>562</v>
      </c>
      <c r="V2613" s="54"/>
      <c r="W2613" s="342"/>
      <c r="X2613" s="36">
        <f>SUM(X2601:X2612)</f>
        <v>21101.37</v>
      </c>
      <c r="AB2613" s="54"/>
      <c r="AC2613" s="53"/>
      <c r="AD2613" s="36" t="s">
        <v>1653</v>
      </c>
      <c r="AE2613" s="54"/>
      <c r="AF2613" s="71"/>
      <c r="AG2613" s="54"/>
    </row>
    <row r="2614" spans="6:33" ht="24" customHeight="1">
      <c r="F2614" s="54"/>
      <c r="G2614" s="53"/>
      <c r="H2614" s="54"/>
      <c r="I2614" s="54"/>
      <c r="J2614" s="71"/>
      <c r="K2614" s="56" t="s">
        <v>148</v>
      </c>
      <c r="S2614" s="73"/>
      <c r="T2614" s="72"/>
      <c r="U2614" s="36"/>
      <c r="V2614" s="54"/>
      <c r="W2614" s="342"/>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2537</v>
      </c>
      <c r="V2615" s="54"/>
      <c r="W2615" s="342"/>
      <c r="X2615" s="36">
        <f>X2613/3.4425</f>
        <v>6129.66</v>
      </c>
      <c r="AB2615" s="75">
        <f>AE2604</f>
        <v>2.2800000000000001E-2</v>
      </c>
      <c r="AC2615" s="53" t="s">
        <v>885</v>
      </c>
      <c r="AD2615" s="54" t="s">
        <v>2535</v>
      </c>
      <c r="AE2615" s="54">
        <f>V2601</f>
        <v>111600</v>
      </c>
      <c r="AF2615" s="71" t="s">
        <v>885</v>
      </c>
      <c r="AG2615" s="54">
        <f>AB2615*AE2615</f>
        <v>2544.48</v>
      </c>
    </row>
    <row r="2616" spans="6:33" ht="24" customHeight="1">
      <c r="F2616" s="54"/>
      <c r="G2616" s="53"/>
      <c r="H2616" s="54"/>
      <c r="I2616" s="54"/>
      <c r="J2616" s="71"/>
      <c r="K2616" s="56" t="s">
        <v>148</v>
      </c>
      <c r="W2616" s="4"/>
      <c r="AB2616" s="75">
        <f>AE2607</f>
        <v>4.8099999999999997E-2</v>
      </c>
      <c r="AC2616" s="53" t="s">
        <v>885</v>
      </c>
      <c r="AD2616" s="54" t="s">
        <v>2536</v>
      </c>
      <c r="AE2616" s="54">
        <f t="shared" ref="AE2616:AE2624" si="261">V2602</f>
        <v>99400</v>
      </c>
      <c r="AF2616" s="71" t="s">
        <v>885</v>
      </c>
      <c r="AG2616" s="54">
        <f t="shared" ref="AG2616:AG2624" si="262">AB2616*AE2616</f>
        <v>4781.1400000000003</v>
      </c>
    </row>
    <row r="2617" spans="6:33" ht="24" customHeight="1">
      <c r="F2617" s="54"/>
      <c r="G2617" s="53"/>
      <c r="H2617" s="54"/>
      <c r="I2617" s="54"/>
      <c r="J2617" s="71"/>
      <c r="K2617" s="54"/>
      <c r="W2617" s="4"/>
      <c r="AB2617" s="76">
        <f>AE2612</f>
        <v>4.6399999999999997E-2</v>
      </c>
      <c r="AC2617" s="53" t="s">
        <v>885</v>
      </c>
      <c r="AD2617" s="54" t="s">
        <v>953</v>
      </c>
      <c r="AE2617" s="54">
        <f t="shared" si="261"/>
        <v>107000</v>
      </c>
      <c r="AF2617" s="71" t="s">
        <v>885</v>
      </c>
      <c r="AG2617" s="54">
        <f t="shared" si="262"/>
        <v>4964.8</v>
      </c>
    </row>
    <row r="2618" spans="6:33" ht="24" customHeight="1">
      <c r="F2618" s="54"/>
      <c r="G2618" s="53"/>
      <c r="H2618" s="54"/>
      <c r="I2618" s="54"/>
      <c r="J2618" s="71"/>
      <c r="K2618" s="54"/>
      <c r="W2618" s="4"/>
      <c r="AB2618" s="75">
        <f>AE2603</f>
        <v>3.8475000000000001</v>
      </c>
      <c r="AC2618" s="53" t="s">
        <v>621</v>
      </c>
      <c r="AD2618" s="54" t="s">
        <v>899</v>
      </c>
      <c r="AE2618" s="54">
        <f t="shared" si="261"/>
        <v>1602.7</v>
      </c>
      <c r="AF2618" s="71" t="s">
        <v>621</v>
      </c>
      <c r="AG2618" s="54">
        <f t="shared" si="262"/>
        <v>6166.39</v>
      </c>
    </row>
    <row r="2619" spans="6:33" ht="24" customHeight="1">
      <c r="F2619" s="54"/>
      <c r="G2619" s="53"/>
      <c r="H2619" s="36" t="s">
        <v>4036</v>
      </c>
      <c r="I2619" s="36"/>
      <c r="J2619" s="71"/>
      <c r="K2619" s="54"/>
      <c r="W2619" s="4"/>
      <c r="AB2619" s="54">
        <v>2</v>
      </c>
      <c r="AC2619" s="53" t="s">
        <v>1907</v>
      </c>
      <c r="AD2619" s="54" t="s">
        <v>2161</v>
      </c>
      <c r="AE2619" s="54">
        <f t="shared" si="261"/>
        <v>254.5</v>
      </c>
      <c r="AF2619" s="71" t="s">
        <v>1423</v>
      </c>
      <c r="AG2619" s="54">
        <f t="shared" si="262"/>
        <v>509</v>
      </c>
    </row>
    <row r="2620" spans="6:33" ht="24" customHeight="1">
      <c r="F2620" s="54"/>
      <c r="G2620" s="53"/>
      <c r="H2620" s="54"/>
      <c r="I2620" s="54"/>
      <c r="J2620" s="71"/>
      <c r="K2620" s="54"/>
      <c r="W2620" s="4"/>
      <c r="AB2620" s="54">
        <v>6</v>
      </c>
      <c r="AC2620" s="53" t="s">
        <v>1907</v>
      </c>
      <c r="AD2620" s="54" t="s">
        <v>1119</v>
      </c>
      <c r="AE2620" s="54">
        <f t="shared" si="261"/>
        <v>214.1</v>
      </c>
      <c r="AF2620" s="71" t="s">
        <v>1423</v>
      </c>
      <c r="AG2620" s="54">
        <f t="shared" si="262"/>
        <v>1284.5999999999999</v>
      </c>
    </row>
    <row r="2621" spans="6:33" ht="24" customHeight="1">
      <c r="F2621" s="54" t="s">
        <v>464</v>
      </c>
      <c r="G2621" s="53"/>
      <c r="H2621" s="54"/>
      <c r="I2621" s="54"/>
      <c r="J2621" s="71"/>
      <c r="K2621" s="54"/>
      <c r="W2621" s="4"/>
      <c r="AB2621" s="54">
        <v>4</v>
      </c>
      <c r="AC2621" s="53" t="s">
        <v>1907</v>
      </c>
      <c r="AD2621" s="54" t="s">
        <v>1372</v>
      </c>
      <c r="AE2621" s="54">
        <f t="shared" si="261"/>
        <v>408</v>
      </c>
      <c r="AF2621" s="71" t="s">
        <v>1423</v>
      </c>
      <c r="AG2621" s="54">
        <f t="shared" si="262"/>
        <v>1632</v>
      </c>
    </row>
    <row r="2622" spans="6:33" ht="24" customHeight="1">
      <c r="F2622" s="54" t="s">
        <v>1968</v>
      </c>
      <c r="G2622" s="53"/>
      <c r="H2622" s="54"/>
      <c r="I2622" s="156">
        <v>2.2800000000000001E-2</v>
      </c>
      <c r="J2622" s="71"/>
      <c r="K2622" s="54"/>
      <c r="W2622" s="4"/>
      <c r="AB2622" s="54">
        <v>1</v>
      </c>
      <c r="AC2622" s="53" t="s">
        <v>1907</v>
      </c>
      <c r="AD2622" s="54" t="s">
        <v>1373</v>
      </c>
      <c r="AE2622" s="54">
        <f t="shared" si="261"/>
        <v>836</v>
      </c>
      <c r="AF2622" s="71" t="s">
        <v>1423</v>
      </c>
      <c r="AG2622" s="54">
        <f t="shared" si="262"/>
        <v>836</v>
      </c>
    </row>
    <row r="2623" spans="6:33" ht="24" customHeight="1">
      <c r="F2623" s="54" t="s">
        <v>1969</v>
      </c>
      <c r="G2623" s="53"/>
      <c r="H2623" s="54"/>
      <c r="I2623" s="75">
        <v>2.3599999999999999E-2</v>
      </c>
      <c r="J2623" s="71"/>
      <c r="K2623" s="54"/>
      <c r="W2623" s="4"/>
      <c r="AB2623" s="54">
        <v>2</v>
      </c>
      <c r="AC2623" s="53" t="s">
        <v>1907</v>
      </c>
      <c r="AD2623" s="54" t="s">
        <v>2016</v>
      </c>
      <c r="AE2623" s="54">
        <f t="shared" si="261"/>
        <v>7.5</v>
      </c>
      <c r="AF2623" s="71" t="s">
        <v>1423</v>
      </c>
      <c r="AG2623" s="54">
        <f t="shared" si="262"/>
        <v>15</v>
      </c>
    </row>
    <row r="2624" spans="6:33" ht="24" customHeight="1">
      <c r="F2624" s="54"/>
      <c r="G2624" s="53" t="s">
        <v>2112</v>
      </c>
      <c r="H2624" s="54"/>
      <c r="I2624" s="75">
        <v>1.18E-2</v>
      </c>
      <c r="J2624" s="71"/>
      <c r="K2624" s="54"/>
      <c r="W2624" s="4"/>
      <c r="AB2624" s="54">
        <v>2</v>
      </c>
      <c r="AC2624" s="53" t="s">
        <v>1907</v>
      </c>
      <c r="AD2624" s="54" t="s">
        <v>2018</v>
      </c>
      <c r="AE2624" s="54">
        <f t="shared" si="261"/>
        <v>49.55</v>
      </c>
      <c r="AF2624" s="71" t="s">
        <v>1423</v>
      </c>
      <c r="AG2624" s="54">
        <f t="shared" si="262"/>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4037</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562</v>
      </c>
      <c r="AE2627" s="54"/>
      <c r="AF2627" s="71"/>
      <c r="AG2627" s="36">
        <f>SUM(AG2615:AG2626)</f>
        <v>22843.05</v>
      </c>
    </row>
    <row r="2628" spans="6:33" ht="24" customHeight="1">
      <c r="F2628" s="54" t="s">
        <v>2113</v>
      </c>
      <c r="G2628" s="53"/>
      <c r="H2628" s="54"/>
      <c r="I2628" s="75">
        <v>2.5899999999999999E-2</v>
      </c>
      <c r="J2628" s="71"/>
      <c r="K2628" s="54"/>
      <c r="M2628" s="54" t="s">
        <v>1904</v>
      </c>
      <c r="N2628" s="53"/>
      <c r="O2628" s="54"/>
      <c r="P2628" s="54"/>
      <c r="Q2628" s="71"/>
      <c r="R2628" s="54"/>
      <c r="W2628" s="4"/>
      <c r="AB2628" s="54"/>
      <c r="AC2628" s="72"/>
      <c r="AD2628" s="36"/>
      <c r="AE2628" s="54"/>
      <c r="AF2628" s="71"/>
      <c r="AG2628" s="56" t="s">
        <v>148</v>
      </c>
    </row>
    <row r="2629" spans="6:33" ht="24" customHeight="1">
      <c r="F2629" s="54" t="s">
        <v>426</v>
      </c>
      <c r="G2629" s="53"/>
      <c r="H2629" s="54"/>
      <c r="I2629" s="75">
        <f>2*0.575*0.3*0.01875</f>
        <v>6.4999999999999997E-3</v>
      </c>
      <c r="J2629" s="71"/>
      <c r="K2629" s="54">
        <f>3643035-3769622.98</f>
        <v>-126587.98</v>
      </c>
      <c r="M2629" s="54" t="s">
        <v>1968</v>
      </c>
      <c r="N2629" s="53"/>
      <c r="O2629" s="54"/>
      <c r="P2629" s="156">
        <v>2.2800000000000001E-2</v>
      </c>
      <c r="Q2629" s="71"/>
      <c r="R2629" s="54"/>
      <c r="W2629" s="4"/>
      <c r="AB2629" s="54"/>
      <c r="AC2629" s="72"/>
      <c r="AD2629" s="36" t="s">
        <v>2125</v>
      </c>
      <c r="AE2629" s="54"/>
      <c r="AF2629" s="71"/>
      <c r="AG2629" s="36">
        <f>AG2627/3.8475</f>
        <v>5937.12</v>
      </c>
    </row>
    <row r="2630" spans="6:33" ht="24" customHeight="1">
      <c r="F2630" s="54"/>
      <c r="G2630" s="53"/>
      <c r="H2630" s="54"/>
      <c r="I2630" s="157">
        <f>SUM(I2628:I2629)</f>
        <v>3.2399999999999998E-2</v>
      </c>
      <c r="J2630" s="71"/>
      <c r="K2630" s="54"/>
      <c r="M2630" s="54" t="s">
        <v>1905</v>
      </c>
      <c r="N2630" s="53"/>
      <c r="O2630" s="54"/>
      <c r="P2630" s="75">
        <v>1.8599999999999998E-2</v>
      </c>
      <c r="Q2630" s="71"/>
      <c r="R2630" s="54"/>
      <c r="W2630" s="4"/>
    </row>
    <row r="2631" spans="6:33" ht="24" customHeight="1">
      <c r="F2631" s="54"/>
      <c r="G2631" s="53"/>
      <c r="H2631" s="36" t="s">
        <v>1653</v>
      </c>
      <c r="I2631" s="54"/>
      <c r="J2631" s="71"/>
      <c r="K2631" s="54"/>
      <c r="M2631" s="54"/>
      <c r="N2631" s="53" t="s">
        <v>410</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885</v>
      </c>
      <c r="H2633" s="54" t="s">
        <v>3197</v>
      </c>
      <c r="I2633" s="54">
        <f>AC26</f>
        <v>111600</v>
      </c>
      <c r="J2633" s="71" t="s">
        <v>885</v>
      </c>
      <c r="K2633" s="54">
        <f>F2633*I2633</f>
        <v>2544.48</v>
      </c>
      <c r="M2633" s="54"/>
      <c r="N2633" s="53"/>
      <c r="O2633" s="54"/>
      <c r="P2633" s="54"/>
      <c r="Q2633" s="71"/>
      <c r="R2633" s="54"/>
      <c r="W2633" s="4"/>
    </row>
    <row r="2634" spans="6:33" ht="24" customHeight="1">
      <c r="F2634" s="75">
        <v>3.5400000000000001E-2</v>
      </c>
      <c r="G2634" s="53" t="s">
        <v>885</v>
      </c>
      <c r="H2634" s="54" t="s">
        <v>2536</v>
      </c>
      <c r="I2634" s="54">
        <f>AC27</f>
        <v>99400</v>
      </c>
      <c r="J2634" s="71" t="s">
        <v>885</v>
      </c>
      <c r="K2634" s="54">
        <f t="shared" ref="K2634:K2643" si="263">F2634*I2634</f>
        <v>3518.76</v>
      </c>
      <c r="M2634" s="54"/>
      <c r="N2634" s="53"/>
      <c r="O2634" s="54"/>
      <c r="P2634" s="54"/>
      <c r="Q2634" s="71"/>
      <c r="R2634" s="54"/>
      <c r="W2634" s="4"/>
    </row>
    <row r="2635" spans="6:33" ht="24" customHeight="1">
      <c r="F2635" s="76">
        <v>3.2300000000000002E-2</v>
      </c>
      <c r="G2635" s="53" t="s">
        <v>885</v>
      </c>
      <c r="H2635" t="s">
        <v>5153</v>
      </c>
      <c r="I2635" s="431">
        <v>107000</v>
      </c>
      <c r="J2635" s="71" t="s">
        <v>885</v>
      </c>
      <c r="K2635" s="54">
        <f t="shared" si="263"/>
        <v>3456.1</v>
      </c>
      <c r="M2635" s="54" t="s">
        <v>409</v>
      </c>
      <c r="N2635" s="53"/>
      <c r="O2635" s="54"/>
      <c r="P2635" s="75">
        <v>1.9E-2</v>
      </c>
      <c r="Q2635" s="71"/>
      <c r="R2635" s="54"/>
      <c r="W2635" s="4"/>
      <c r="AB2635" s="73"/>
      <c r="AC2635" s="53"/>
      <c r="AD2635" s="36" t="s">
        <v>3816</v>
      </c>
      <c r="AE2635" s="54"/>
      <c r="AF2635" s="71"/>
      <c r="AG2635" s="54"/>
    </row>
    <row r="2636" spans="6:33" ht="24" customHeight="1">
      <c r="F2636" s="73">
        <v>2.835</v>
      </c>
      <c r="G2636" s="53" t="s">
        <v>621</v>
      </c>
      <c r="H2636" s="54" t="s">
        <v>899</v>
      </c>
      <c r="I2636" s="54">
        <f>AE30</f>
        <v>1602.7</v>
      </c>
      <c r="J2636" s="71" t="s">
        <v>621</v>
      </c>
      <c r="K2636" s="54">
        <f t="shared" si="263"/>
        <v>4543.6499999999996</v>
      </c>
      <c r="M2636" s="54" t="s">
        <v>355</v>
      </c>
      <c r="N2636" s="53"/>
      <c r="O2636" s="54"/>
      <c r="P2636" s="75">
        <v>4.7999999999999996E-3</v>
      </c>
      <c r="Q2636" s="71"/>
      <c r="R2636" s="54"/>
      <c r="W2636" s="4"/>
      <c r="AB2636" s="73"/>
      <c r="AC2636" s="53"/>
      <c r="AD2636" s="36" t="s">
        <v>3944</v>
      </c>
      <c r="AE2636" s="54"/>
      <c r="AF2636" s="71"/>
      <c r="AG2636" s="54"/>
    </row>
    <row r="2637" spans="6:33" ht="24" customHeight="1">
      <c r="F2637" s="54">
        <v>2</v>
      </c>
      <c r="G2637" s="53" t="s">
        <v>1907</v>
      </c>
      <c r="H2637" t="s">
        <v>3817</v>
      </c>
      <c r="I2637" s="438">
        <f>I2818</f>
        <v>254.5</v>
      </c>
      <c r="J2637" s="71" t="s">
        <v>1423</v>
      </c>
      <c r="K2637" s="54">
        <f t="shared" si="263"/>
        <v>509</v>
      </c>
      <c r="M2637" s="54"/>
      <c r="N2637" s="53"/>
      <c r="O2637" s="54"/>
      <c r="P2637" s="157">
        <f>SUM(P2635:P2636)</f>
        <v>2.3800000000000002E-2</v>
      </c>
      <c r="Q2637" s="71"/>
      <c r="R2637" s="54"/>
      <c r="W2637" s="4"/>
      <c r="AB2637" s="73" t="s">
        <v>2530</v>
      </c>
      <c r="AC2637" s="53"/>
      <c r="AD2637" s="54"/>
      <c r="AE2637" s="156">
        <f>2*0.85*2.025</f>
        <v>3.4424999999999999</v>
      </c>
      <c r="AF2637" s="71"/>
      <c r="AG2637" s="54"/>
    </row>
    <row r="2638" spans="6:33" ht="24" customHeight="1">
      <c r="F2638" s="54">
        <v>6</v>
      </c>
      <c r="G2638" s="53" t="s">
        <v>1907</v>
      </c>
      <c r="H2638" t="s">
        <v>3818</v>
      </c>
      <c r="I2638" s="438">
        <f t="shared" ref="I2638:I2643" si="264">I2819</f>
        <v>214.1</v>
      </c>
      <c r="J2638" s="71" t="s">
        <v>1423</v>
      </c>
      <c r="K2638" s="54">
        <f t="shared" si="263"/>
        <v>1284.5999999999999</v>
      </c>
      <c r="M2638" s="54"/>
      <c r="N2638" s="53"/>
      <c r="O2638" s="36" t="s">
        <v>1653</v>
      </c>
      <c r="P2638" s="54"/>
      <c r="Q2638" s="71"/>
      <c r="R2638" s="54"/>
      <c r="W2638" s="4"/>
      <c r="AB2638" s="73" t="s">
        <v>1968</v>
      </c>
      <c r="AC2638" s="53"/>
      <c r="AD2638" s="54"/>
      <c r="AE2638" s="156">
        <v>2.2800000000000001E-2</v>
      </c>
      <c r="AF2638" s="71"/>
      <c r="AG2638" s="54"/>
    </row>
    <row r="2639" spans="6:33" ht="24" customHeight="1">
      <c r="F2639" s="54">
        <v>4</v>
      </c>
      <c r="G2639" s="53" t="s">
        <v>1907</v>
      </c>
      <c r="H2639" t="s">
        <v>3819</v>
      </c>
      <c r="I2639" s="438">
        <f t="shared" si="264"/>
        <v>408</v>
      </c>
      <c r="J2639" s="71" t="s">
        <v>1423</v>
      </c>
      <c r="K2639" s="54">
        <f t="shared" si="263"/>
        <v>1632</v>
      </c>
      <c r="M2639" s="54"/>
      <c r="N2639" s="53"/>
      <c r="O2639" s="54"/>
      <c r="P2639" s="54"/>
      <c r="Q2639" s="71"/>
      <c r="R2639" s="54"/>
      <c r="W2639" s="4"/>
      <c r="AB2639" s="73" t="s">
        <v>2531</v>
      </c>
      <c r="AC2639" s="53"/>
      <c r="AD2639" s="54"/>
      <c r="AE2639" s="75">
        <f>2*3*0.85*0.15*0.0375</f>
        <v>2.87E-2</v>
      </c>
      <c r="AF2639" s="71"/>
      <c r="AG2639" s="54"/>
    </row>
    <row r="2640" spans="6:33" ht="24" customHeight="1">
      <c r="F2640" s="54">
        <v>1</v>
      </c>
      <c r="G2640" s="53" t="s">
        <v>1907</v>
      </c>
      <c r="H2640" t="s">
        <v>3820</v>
      </c>
      <c r="I2640" s="438">
        <f t="shared" si="264"/>
        <v>836</v>
      </c>
      <c r="J2640" s="71" t="s">
        <v>1423</v>
      </c>
      <c r="K2640" s="54">
        <f t="shared" si="263"/>
        <v>836</v>
      </c>
      <c r="M2640" s="75">
        <f>P2629</f>
        <v>2.2800000000000001E-2</v>
      </c>
      <c r="N2640" s="53" t="s">
        <v>885</v>
      </c>
      <c r="O2640" s="54" t="s">
        <v>2535</v>
      </c>
      <c r="P2640" s="54">
        <f>I2633</f>
        <v>111600</v>
      </c>
      <c r="Q2640" s="71" t="s">
        <v>885</v>
      </c>
      <c r="R2640" s="54">
        <f>M2640*P2640</f>
        <v>2544.48</v>
      </c>
      <c r="W2640" s="4"/>
      <c r="AB2640" s="73"/>
      <c r="AC2640" s="53" t="s">
        <v>2532</v>
      </c>
      <c r="AD2640" s="54"/>
      <c r="AE2640" s="75">
        <f>2*3*0.85*0.075*0.0375</f>
        <v>1.43E-2</v>
      </c>
      <c r="AF2640" s="71"/>
      <c r="AG2640" s="54"/>
    </row>
    <row r="2641" spans="6:34" ht="24" customHeight="1">
      <c r="F2641" s="54">
        <v>2</v>
      </c>
      <c r="G2641" s="53" t="s">
        <v>1907</v>
      </c>
      <c r="H2641" t="s">
        <v>5496</v>
      </c>
      <c r="I2641" s="438">
        <f t="shared" si="264"/>
        <v>7.3</v>
      </c>
      <c r="J2641" s="71" t="s">
        <v>1423</v>
      </c>
      <c r="K2641" s="54">
        <f t="shared" si="263"/>
        <v>14.6</v>
      </c>
      <c r="M2641" s="75">
        <f>P2632</f>
        <v>2.7900000000000001E-2</v>
      </c>
      <c r="N2641" s="53" t="s">
        <v>885</v>
      </c>
      <c r="O2641" s="54" t="s">
        <v>2536</v>
      </c>
      <c r="P2641" s="54">
        <f t="shared" ref="P2641:P2649" si="265">I2634</f>
        <v>99400</v>
      </c>
      <c r="Q2641" s="71" t="s">
        <v>885</v>
      </c>
      <c r="R2641" s="54">
        <f t="shared" ref="R2641:R2650" si="266">M2641*P2641</f>
        <v>2773.26</v>
      </c>
      <c r="W2641" s="4"/>
      <c r="AA2641" s="73"/>
      <c r="AB2641" s="73"/>
      <c r="AC2641" s="53"/>
      <c r="AD2641" s="54"/>
      <c r="AE2641" s="157">
        <f>SUM(AE2639:AE2640)</f>
        <v>4.2999999999999997E-2</v>
      </c>
      <c r="AF2641" s="71"/>
      <c r="AG2641" s="54"/>
    </row>
    <row r="2642" spans="6:34" ht="24" customHeight="1">
      <c r="F2642" s="54">
        <v>2</v>
      </c>
      <c r="G2642" s="53" t="s">
        <v>1907</v>
      </c>
      <c r="H2642" t="s">
        <v>5154</v>
      </c>
      <c r="I2642" s="438">
        <f t="shared" si="264"/>
        <v>49.55</v>
      </c>
      <c r="J2642" s="71" t="s">
        <v>1423</v>
      </c>
      <c r="K2642" s="54">
        <f t="shared" si="263"/>
        <v>99.1</v>
      </c>
      <c r="M2642" s="76">
        <f>P2637</f>
        <v>2.3800000000000002E-2</v>
      </c>
      <c r="N2642" s="53" t="s">
        <v>885</v>
      </c>
      <c r="O2642" t="s">
        <v>4035</v>
      </c>
      <c r="P2642" s="54">
        <f t="shared" si="265"/>
        <v>107000</v>
      </c>
      <c r="Q2642" s="71" t="s">
        <v>885</v>
      </c>
      <c r="R2642" s="54">
        <f t="shared" si="266"/>
        <v>2546.6</v>
      </c>
      <c r="W2642" s="4"/>
      <c r="AA2642" s="73"/>
      <c r="AB2642" s="73"/>
      <c r="AC2642" s="53"/>
      <c r="AD2642" s="54"/>
      <c r="AE2642" s="54"/>
      <c r="AF2642" s="71"/>
      <c r="AG2642" s="54"/>
    </row>
    <row r="2643" spans="6:34" ht="24" customHeight="1">
      <c r="F2643" s="438">
        <v>118</v>
      </c>
      <c r="G2643" s="53"/>
      <c r="H2643" s="438" t="s">
        <v>1163</v>
      </c>
      <c r="I2643" s="438">
        <f t="shared" si="264"/>
        <v>2.41</v>
      </c>
      <c r="J2643" s="71"/>
      <c r="K2643" s="54">
        <f t="shared" si="263"/>
        <v>284.38</v>
      </c>
      <c r="M2643" s="73">
        <v>2.23</v>
      </c>
      <c r="N2643" s="53" t="s">
        <v>621</v>
      </c>
      <c r="O2643" s="54" t="s">
        <v>899</v>
      </c>
      <c r="P2643" s="54">
        <f t="shared" si="265"/>
        <v>1602.7</v>
      </c>
      <c r="Q2643" s="71" t="s">
        <v>621</v>
      </c>
      <c r="R2643" s="54">
        <f t="shared" si="266"/>
        <v>3574.02</v>
      </c>
      <c r="W2643" s="4"/>
      <c r="AA2643" s="73"/>
      <c r="AB2643" s="73"/>
      <c r="AC2643" s="53"/>
      <c r="AD2643" s="54"/>
      <c r="AE2643" s="54"/>
      <c r="AF2643" s="71"/>
      <c r="AG2643" s="54"/>
    </row>
    <row r="2644" spans="6:34" ht="24" customHeight="1">
      <c r="F2644" s="54"/>
      <c r="G2644" s="53"/>
      <c r="H2644" s="54"/>
      <c r="I2644" s="54"/>
      <c r="J2644" s="71"/>
      <c r="K2644" s="56"/>
      <c r="M2644" s="54">
        <v>2</v>
      </c>
      <c r="N2644" s="53" t="s">
        <v>1907</v>
      </c>
      <c r="O2644" s="36" t="s">
        <v>3817</v>
      </c>
      <c r="P2644" s="54">
        <f t="shared" si="265"/>
        <v>254.5</v>
      </c>
      <c r="Q2644" s="71" t="s">
        <v>1423</v>
      </c>
      <c r="R2644" s="54">
        <f t="shared" si="266"/>
        <v>509</v>
      </c>
      <c r="W2644" s="4"/>
      <c r="AA2644" s="73"/>
      <c r="AB2644" s="73" t="s">
        <v>2533</v>
      </c>
      <c r="AC2644" s="53"/>
      <c r="AD2644" s="54"/>
      <c r="AE2644" s="75">
        <f>2*4*0.725*0.3*0.01875</f>
        <v>3.2599999999999997E-2</v>
      </c>
      <c r="AF2644" s="71"/>
      <c r="AG2644" s="54"/>
    </row>
    <row r="2645" spans="6:34" ht="24" customHeight="1">
      <c r="F2645" s="54"/>
      <c r="G2645" s="72"/>
      <c r="H2645" s="36" t="s">
        <v>562</v>
      </c>
      <c r="I2645" s="54"/>
      <c r="J2645" s="71"/>
      <c r="K2645" s="36">
        <f>SUM(K2633:K2644)</f>
        <v>18722.669999999998</v>
      </c>
      <c r="L2645" s="447"/>
      <c r="M2645" s="54">
        <v>6</v>
      </c>
      <c r="N2645" s="53" t="s">
        <v>1907</v>
      </c>
      <c r="O2645" s="36" t="s">
        <v>3818</v>
      </c>
      <c r="P2645" s="54">
        <f t="shared" si="265"/>
        <v>214.1</v>
      </c>
      <c r="Q2645" s="71" t="s">
        <v>1423</v>
      </c>
      <c r="R2645" s="54">
        <f t="shared" si="266"/>
        <v>1284.5999999999999</v>
      </c>
      <c r="W2645" s="4"/>
      <c r="AA2645" s="73"/>
      <c r="AB2645" s="73" t="s">
        <v>2534</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1907</v>
      </c>
      <c r="O2646" s="36" t="s">
        <v>3819</v>
      </c>
      <c r="P2646" s="54">
        <f t="shared" si="265"/>
        <v>408</v>
      </c>
      <c r="Q2646" s="71" t="s">
        <v>1423</v>
      </c>
      <c r="R2646" s="54">
        <f t="shared" si="266"/>
        <v>1632</v>
      </c>
      <c r="W2646" s="4"/>
      <c r="AA2646" s="73"/>
      <c r="AB2646" s="73"/>
      <c r="AC2646" s="53"/>
      <c r="AD2646" s="54"/>
      <c r="AE2646" s="157">
        <f>SUM(AE2644:AE2645)</f>
        <v>4.0800000000000003E-2</v>
      </c>
      <c r="AF2646" s="71"/>
      <c r="AG2646" s="54"/>
    </row>
    <row r="2647" spans="6:34" ht="24" customHeight="1">
      <c r="F2647" s="54"/>
      <c r="G2647" s="72"/>
      <c r="H2647" s="36" t="s">
        <v>2119</v>
      </c>
      <c r="I2647" s="54"/>
      <c r="J2647" s="71"/>
      <c r="K2647" s="36">
        <f>K2645/2.835</f>
        <v>6604.12</v>
      </c>
      <c r="M2647" s="54">
        <v>1</v>
      </c>
      <c r="N2647" s="53" t="s">
        <v>1907</v>
      </c>
      <c r="O2647" s="36" t="s">
        <v>3820</v>
      </c>
      <c r="P2647" s="54">
        <f t="shared" si="265"/>
        <v>836</v>
      </c>
      <c r="Q2647" s="71" t="s">
        <v>1423</v>
      </c>
      <c r="R2647" s="54">
        <f t="shared" si="266"/>
        <v>836</v>
      </c>
      <c r="W2647" s="4"/>
      <c r="AA2647" s="73"/>
      <c r="AB2647" s="73"/>
      <c r="AC2647" s="53"/>
      <c r="AD2647" s="36" t="s">
        <v>1653</v>
      </c>
      <c r="AE2647" s="54"/>
      <c r="AF2647" s="71"/>
      <c r="AG2647" s="54"/>
      <c r="AH2647" s="381"/>
    </row>
    <row r="2648" spans="6:34" ht="24" customHeight="1">
      <c r="F2648" s="54"/>
      <c r="G2648" s="72"/>
      <c r="K2648" s="55" t="s">
        <v>148</v>
      </c>
      <c r="M2648" s="54">
        <v>2</v>
      </c>
      <c r="N2648" s="53" t="s">
        <v>1907</v>
      </c>
      <c r="O2648" t="s">
        <v>2016</v>
      </c>
      <c r="P2648" s="54">
        <f t="shared" si="265"/>
        <v>7.3</v>
      </c>
      <c r="Q2648" s="71" t="s">
        <v>1423</v>
      </c>
      <c r="R2648" s="54">
        <f t="shared" si="266"/>
        <v>14.6</v>
      </c>
      <c r="W2648" s="4"/>
      <c r="AA2648" s="73"/>
      <c r="AB2648" s="73"/>
      <c r="AC2648" s="53"/>
      <c r="AD2648" s="54"/>
      <c r="AE2648" s="54"/>
      <c r="AF2648" s="71"/>
      <c r="AG2648" s="54"/>
      <c r="AH2648" s="381"/>
    </row>
    <row r="2649" spans="6:34" ht="24" customHeight="1">
      <c r="F2649" s="77" t="s">
        <v>896</v>
      </c>
      <c r="G2649" s="78"/>
      <c r="H2649" s="79" t="s">
        <v>2035</v>
      </c>
      <c r="I2649" s="46"/>
      <c r="J2649" s="99"/>
      <c r="K2649" s="46"/>
      <c r="M2649" s="54">
        <v>2</v>
      </c>
      <c r="N2649" s="53" t="s">
        <v>1907</v>
      </c>
      <c r="O2649" s="54" t="s">
        <v>2018</v>
      </c>
      <c r="P2649" s="54">
        <f t="shared" si="265"/>
        <v>49.55</v>
      </c>
      <c r="Q2649" s="71" t="s">
        <v>1423</v>
      </c>
      <c r="R2649" s="54">
        <f t="shared" si="266"/>
        <v>99.1</v>
      </c>
      <c r="W2649" s="4"/>
      <c r="AA2649" s="73"/>
      <c r="AB2649" s="75">
        <f>AE2638</f>
        <v>2.2800000000000001E-2</v>
      </c>
      <c r="AC2649" s="53" t="s">
        <v>885</v>
      </c>
      <c r="AD2649" s="54" t="s">
        <v>2535</v>
      </c>
      <c r="AE2649" s="54">
        <f>V2601</f>
        <v>111600</v>
      </c>
      <c r="AF2649" s="71" t="s">
        <v>885</v>
      </c>
      <c r="AG2649" s="54">
        <f>AB2649*AE2649</f>
        <v>2544.48</v>
      </c>
      <c r="AH2649" s="381"/>
    </row>
    <row r="2650" spans="6:34" ht="24" customHeight="1">
      <c r="F2650" s="46"/>
      <c r="G2650" s="78"/>
      <c r="H2650" s="80" t="s">
        <v>1615</v>
      </c>
      <c r="I2650" s="80" t="s">
        <v>1615</v>
      </c>
      <c r="J2650" s="79" t="s">
        <v>1615</v>
      </c>
      <c r="K2650" s="46"/>
      <c r="M2650" s="438">
        <v>118</v>
      </c>
      <c r="N2650" s="53"/>
      <c r="O2650" s="438" t="s">
        <v>1163</v>
      </c>
      <c r="P2650" s="431">
        <f>P2831</f>
        <v>2.41</v>
      </c>
      <c r="Q2650" s="71"/>
      <c r="R2650" s="54">
        <f t="shared" si="266"/>
        <v>284.38</v>
      </c>
      <c r="W2650" s="4"/>
      <c r="AA2650" s="73"/>
      <c r="AB2650" s="75">
        <f>AE2641</f>
        <v>4.2999999999999997E-2</v>
      </c>
      <c r="AC2650" s="53" t="s">
        <v>885</v>
      </c>
      <c r="AD2650" s="54" t="s">
        <v>2536</v>
      </c>
      <c r="AE2650" s="54">
        <f t="shared" ref="AE2650:AE2660" si="267">V2602</f>
        <v>99400</v>
      </c>
      <c r="AF2650" s="71" t="s">
        <v>885</v>
      </c>
      <c r="AG2650" s="54">
        <f t="shared" ref="AG2650:AG2660" si="268">AB2650*AE2650</f>
        <v>4274.2</v>
      </c>
      <c r="AH2650" s="381"/>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885</v>
      </c>
      <c r="AD2651" s="27" t="s">
        <v>4035</v>
      </c>
      <c r="AE2651" s="54">
        <f t="shared" si="267"/>
        <v>107000</v>
      </c>
      <c r="AF2651" s="71" t="s">
        <v>885</v>
      </c>
      <c r="AG2651" s="54">
        <f t="shared" si="268"/>
        <v>4365.6000000000004</v>
      </c>
      <c r="AH2651" s="381"/>
    </row>
    <row r="2652" spans="6:34" ht="34.5" customHeight="1">
      <c r="F2652" s="46"/>
      <c r="G2652" s="78"/>
      <c r="H2652" s="79" t="s">
        <v>2036</v>
      </c>
      <c r="I2652" s="46"/>
      <c r="J2652" s="99"/>
      <c r="K2652" s="46"/>
      <c r="M2652" s="54"/>
      <c r="N2652" s="72"/>
      <c r="O2652" s="36" t="s">
        <v>562</v>
      </c>
      <c r="P2652" s="54"/>
      <c r="Q2652" s="71"/>
      <c r="R2652" s="36">
        <f>SUM(R2640:R2650)</f>
        <v>16098.04</v>
      </c>
      <c r="W2652" s="4"/>
      <c r="AA2652" s="73"/>
      <c r="AB2652" s="75">
        <f>AE2637</f>
        <v>3.4424999999999999</v>
      </c>
      <c r="AC2652" s="53" t="s">
        <v>621</v>
      </c>
      <c r="AD2652" s="517" t="s">
        <v>899</v>
      </c>
      <c r="AE2652" s="54">
        <f t="shared" si="267"/>
        <v>1602.7</v>
      </c>
      <c r="AF2652" s="71" t="s">
        <v>621</v>
      </c>
      <c r="AG2652" s="54">
        <f t="shared" si="268"/>
        <v>5517.29</v>
      </c>
      <c r="AH2652" s="381"/>
    </row>
    <row r="2653" spans="6:34" ht="24" customHeight="1">
      <c r="F2653" s="46"/>
      <c r="G2653" s="78"/>
      <c r="H2653" s="79"/>
      <c r="I2653" s="46"/>
      <c r="J2653" s="99"/>
      <c r="K2653" s="46"/>
      <c r="M2653" s="54"/>
      <c r="N2653" s="72"/>
      <c r="O2653" s="36"/>
      <c r="P2653" s="54"/>
      <c r="Q2653" s="71"/>
      <c r="R2653" s="56" t="s">
        <v>148</v>
      </c>
      <c r="W2653" s="4"/>
      <c r="AA2653" s="73"/>
      <c r="AB2653" s="73">
        <v>2</v>
      </c>
      <c r="AC2653" s="53" t="s">
        <v>1907</v>
      </c>
      <c r="AD2653" t="s">
        <v>3817</v>
      </c>
      <c r="AE2653" s="558">
        <v>450</v>
      </c>
      <c r="AF2653" s="71" t="s">
        <v>1423</v>
      </c>
      <c r="AG2653" s="54">
        <f t="shared" si="268"/>
        <v>900</v>
      </c>
      <c r="AH2653" s="381"/>
    </row>
    <row r="2654" spans="6:34" ht="24" customHeight="1">
      <c r="F2654" s="46"/>
      <c r="G2654" s="78"/>
      <c r="H2654" s="79" t="s">
        <v>2037</v>
      </c>
      <c r="I2654" s="46"/>
      <c r="J2654" s="99"/>
      <c r="K2654" s="46"/>
      <c r="M2654" s="54"/>
      <c r="N2654" s="72"/>
      <c r="O2654" s="36" t="s">
        <v>654</v>
      </c>
      <c r="P2654" s="54"/>
      <c r="Q2654" s="71"/>
      <c r="R2654" s="36">
        <f>R2652/M2643</f>
        <v>7218.85</v>
      </c>
      <c r="W2654" s="4"/>
      <c r="AA2654" s="73"/>
      <c r="AB2654" s="73">
        <v>6</v>
      </c>
      <c r="AC2654" s="53" t="s">
        <v>1907</v>
      </c>
      <c r="AD2654" t="s">
        <v>3818</v>
      </c>
      <c r="AE2654" s="558">
        <v>79</v>
      </c>
      <c r="AF2654" s="71" t="s">
        <v>1423</v>
      </c>
      <c r="AG2654" s="54">
        <f t="shared" si="268"/>
        <v>474</v>
      </c>
      <c r="AH2654" s="381"/>
    </row>
    <row r="2655" spans="6:34" ht="24" customHeight="1">
      <c r="F2655" s="46"/>
      <c r="G2655" s="78"/>
      <c r="H2655" s="79" t="s">
        <v>460</v>
      </c>
      <c r="I2655" s="46"/>
      <c r="J2655" s="99"/>
      <c r="K2655" s="46"/>
      <c r="M2655" s="54"/>
      <c r="N2655" s="72"/>
      <c r="Q2655" s="10"/>
      <c r="R2655" s="55" t="s">
        <v>148</v>
      </c>
      <c r="W2655" s="4"/>
      <c r="AA2655" s="75"/>
      <c r="AB2655" s="73">
        <v>4</v>
      </c>
      <c r="AC2655" s="53" t="s">
        <v>1907</v>
      </c>
      <c r="AD2655" t="s">
        <v>3819</v>
      </c>
      <c r="AE2655" s="558">
        <v>130</v>
      </c>
      <c r="AF2655" s="71" t="s">
        <v>1423</v>
      </c>
      <c r="AG2655" s="54">
        <f t="shared" si="268"/>
        <v>520</v>
      </c>
      <c r="AH2655" s="381"/>
    </row>
    <row r="2656" spans="6:34" ht="24" customHeight="1">
      <c r="F2656" s="46"/>
      <c r="G2656" s="78"/>
      <c r="H2656" s="79" t="s">
        <v>461</v>
      </c>
      <c r="I2656" s="46"/>
      <c r="J2656" s="99"/>
      <c r="K2656" s="46"/>
      <c r="M2656" t="s">
        <v>896</v>
      </c>
      <c r="O2656" t="s">
        <v>2035</v>
      </c>
      <c r="W2656" s="4"/>
      <c r="AA2656" s="75"/>
      <c r="AB2656" s="73">
        <v>1</v>
      </c>
      <c r="AC2656" s="53" t="s">
        <v>1907</v>
      </c>
      <c r="AD2656" t="s">
        <v>3820</v>
      </c>
      <c r="AE2656" s="558">
        <v>985</v>
      </c>
      <c r="AF2656" s="71" t="s">
        <v>1423</v>
      </c>
      <c r="AG2656" s="54">
        <f t="shared" si="268"/>
        <v>985</v>
      </c>
      <c r="AH2656" s="381"/>
    </row>
    <row r="2657" spans="6:34" ht="24" customHeight="1">
      <c r="F2657" s="46"/>
      <c r="G2657" s="78"/>
      <c r="H2657" s="79" t="s">
        <v>462</v>
      </c>
      <c r="I2657" s="46"/>
      <c r="J2657" s="99"/>
      <c r="K2657" s="46"/>
      <c r="O2657" t="s">
        <v>1615</v>
      </c>
      <c r="P2657" t="s">
        <v>1615</v>
      </c>
      <c r="Q2657" t="s">
        <v>1615</v>
      </c>
      <c r="W2657" s="4"/>
      <c r="AA2657" s="75"/>
      <c r="AB2657" s="73">
        <v>2</v>
      </c>
      <c r="AC2657" s="53" t="s">
        <v>1907</v>
      </c>
      <c r="AD2657" t="s">
        <v>3812</v>
      </c>
      <c r="AE2657" s="431">
        <v>24.6</v>
      </c>
      <c r="AF2657" s="71" t="s">
        <v>1423</v>
      </c>
      <c r="AG2657" s="54">
        <f t="shared" si="268"/>
        <v>49.2</v>
      </c>
      <c r="AH2657" s="381"/>
    </row>
    <row r="2658" spans="6:34" ht="24" customHeight="1">
      <c r="F2658" s="46"/>
      <c r="G2658" s="78"/>
      <c r="H2658" s="79" t="s">
        <v>897</v>
      </c>
      <c r="I2658" s="46"/>
      <c r="J2658" s="79" t="s">
        <v>992</v>
      </c>
      <c r="K2658" s="82">
        <v>3.7699999999999997E-2</v>
      </c>
      <c r="W2658" s="4"/>
      <c r="AA2658" s="75"/>
      <c r="AB2658" s="73">
        <v>2</v>
      </c>
      <c r="AC2658" s="53" t="s">
        <v>1907</v>
      </c>
      <c r="AD2658" s="54" t="s">
        <v>2018</v>
      </c>
      <c r="AE2658" s="54">
        <f t="shared" si="267"/>
        <v>49.55</v>
      </c>
      <c r="AF2658" s="71" t="s">
        <v>1423</v>
      </c>
      <c r="AG2658" s="54">
        <f t="shared" si="268"/>
        <v>99.1</v>
      </c>
    </row>
    <row r="2659" spans="6:34" ht="24" customHeight="1">
      <c r="F2659" s="46"/>
      <c r="G2659" s="78"/>
      <c r="H2659" s="79" t="s">
        <v>708</v>
      </c>
      <c r="I2659" s="46"/>
      <c r="J2659" s="83" t="s">
        <v>992</v>
      </c>
      <c r="K2659" s="83" t="s">
        <v>992</v>
      </c>
      <c r="O2659" t="s">
        <v>2036</v>
      </c>
      <c r="W2659" s="4"/>
      <c r="AA2659" s="73"/>
      <c r="AB2659" s="73"/>
      <c r="AC2659" s="53"/>
      <c r="AD2659" s="54"/>
      <c r="AE2659" s="54">
        <f t="shared" si="267"/>
        <v>0</v>
      </c>
      <c r="AF2659" s="71"/>
      <c r="AG2659" s="54">
        <f t="shared" si="268"/>
        <v>0</v>
      </c>
    </row>
    <row r="2660" spans="6:34" ht="24" customHeight="1">
      <c r="F2660" s="46"/>
      <c r="G2660" s="78"/>
      <c r="H2660" s="79" t="s">
        <v>1864</v>
      </c>
      <c r="I2660" s="46"/>
      <c r="J2660" s="99"/>
      <c r="K2660" s="83" t="s">
        <v>992</v>
      </c>
      <c r="W2660" s="4"/>
      <c r="AA2660" s="73"/>
      <c r="AB2660" s="73">
        <v>118</v>
      </c>
      <c r="AC2660" s="53"/>
      <c r="AD2660" s="438" t="s">
        <v>1163</v>
      </c>
      <c r="AE2660" s="54">
        <f t="shared" si="267"/>
        <v>2.41</v>
      </c>
      <c r="AF2660" s="71"/>
      <c r="AG2660" s="54">
        <f t="shared" si="268"/>
        <v>284.38</v>
      </c>
    </row>
    <row r="2661" spans="6:34" ht="24" customHeight="1">
      <c r="F2661" s="46"/>
      <c r="G2661" s="78"/>
      <c r="H2661" s="46"/>
      <c r="I2661" s="46"/>
      <c r="J2661" s="99"/>
      <c r="K2661" s="46"/>
      <c r="O2661" t="s">
        <v>2037</v>
      </c>
      <c r="W2661" s="4"/>
      <c r="AA2661" s="73"/>
      <c r="AB2661" s="73"/>
      <c r="AC2661" s="72"/>
      <c r="AD2661" s="36" t="s">
        <v>562</v>
      </c>
      <c r="AE2661" s="54"/>
      <c r="AF2661" s="71"/>
      <c r="AG2661" s="36">
        <f>SUM(AG2649:AG2660)</f>
        <v>20013.25</v>
      </c>
    </row>
    <row r="2662" spans="6:34" ht="24" customHeight="1">
      <c r="F2662" s="84">
        <v>1.18E-2</v>
      </c>
      <c r="G2662" s="85" t="s">
        <v>885</v>
      </c>
      <c r="H2662" s="79" t="s">
        <v>705</v>
      </c>
      <c r="I2662" s="86">
        <f>AC26</f>
        <v>111600</v>
      </c>
      <c r="J2662" s="79" t="s">
        <v>885</v>
      </c>
      <c r="K2662" s="86">
        <f t="shared" ref="K2662:K2671" si="269">(F2662*I2662)</f>
        <v>1316.88</v>
      </c>
      <c r="O2662" t="s">
        <v>460</v>
      </c>
      <c r="W2662" s="4"/>
      <c r="AA2662" s="73"/>
      <c r="AB2662" s="73"/>
      <c r="AC2662" s="72"/>
      <c r="AD2662" s="36"/>
      <c r="AE2662" s="54"/>
      <c r="AF2662" s="71"/>
      <c r="AG2662" s="56" t="s">
        <v>148</v>
      </c>
    </row>
    <row r="2663" spans="6:34" ht="24" customHeight="1">
      <c r="F2663" s="84">
        <v>3.7699999999999997E-2</v>
      </c>
      <c r="G2663" s="85" t="s">
        <v>885</v>
      </c>
      <c r="H2663" s="79" t="s">
        <v>706</v>
      </c>
      <c r="I2663" s="86">
        <f>AC27</f>
        <v>99400</v>
      </c>
      <c r="J2663" s="79" t="s">
        <v>885</v>
      </c>
      <c r="K2663" s="86">
        <f t="shared" si="269"/>
        <v>3747.38</v>
      </c>
      <c r="O2663" t="s">
        <v>461</v>
      </c>
      <c r="W2663" s="4"/>
      <c r="AA2663" s="73"/>
      <c r="AB2663" s="73"/>
      <c r="AC2663" s="72"/>
      <c r="AD2663" s="36" t="s">
        <v>2537</v>
      </c>
      <c r="AE2663" s="54"/>
      <c r="AF2663" s="71"/>
      <c r="AG2663" s="36">
        <f>AG2661/3.4425</f>
        <v>5813.58</v>
      </c>
    </row>
    <row r="2664" spans="6:34" ht="24" customHeight="1">
      <c r="F2664" s="84">
        <v>1.8550000000000001E-2</v>
      </c>
      <c r="G2664" s="85" t="s">
        <v>885</v>
      </c>
      <c r="H2664" s="79" t="s">
        <v>902</v>
      </c>
      <c r="I2664" s="86">
        <f>AE33</f>
        <v>14278</v>
      </c>
      <c r="J2664" s="79" t="s">
        <v>885</v>
      </c>
      <c r="K2664" s="86">
        <f t="shared" si="269"/>
        <v>264.86</v>
      </c>
      <c r="O2664" t="s">
        <v>462</v>
      </c>
      <c r="W2664" s="4"/>
      <c r="AA2664" s="73"/>
      <c r="AB2664" s="53"/>
      <c r="AC2664" s="54"/>
      <c r="AD2664" s="54"/>
      <c r="AE2664" s="71"/>
      <c r="AF2664" s="54"/>
    </row>
    <row r="2665" spans="6:34" ht="24" customHeight="1">
      <c r="F2665" s="84">
        <v>1.36</v>
      </c>
      <c r="G2665" s="85" t="s">
        <v>621</v>
      </c>
      <c r="H2665" s="79" t="s">
        <v>903</v>
      </c>
      <c r="I2665" s="496">
        <v>269.10000000000002</v>
      </c>
      <c r="J2665" s="79" t="s">
        <v>621</v>
      </c>
      <c r="K2665" s="86">
        <f t="shared" si="269"/>
        <v>365.98</v>
      </c>
      <c r="O2665" t="s">
        <v>897</v>
      </c>
      <c r="Q2665" t="s">
        <v>992</v>
      </c>
      <c r="R2665">
        <v>0.04</v>
      </c>
      <c r="W2665" s="4"/>
      <c r="AA2665" s="73"/>
      <c r="AB2665" s="53"/>
      <c r="AC2665" s="54"/>
      <c r="AD2665" s="54"/>
      <c r="AE2665" s="71"/>
      <c r="AF2665" s="54"/>
    </row>
    <row r="2666" spans="6:34" ht="24" customHeight="1">
      <c r="F2666" s="84">
        <v>2.0499999999999998</v>
      </c>
      <c r="G2666" s="85" t="s">
        <v>621</v>
      </c>
      <c r="H2666" s="79" t="s">
        <v>1532</v>
      </c>
      <c r="I2666" s="86">
        <f>D30</f>
        <v>1336.5</v>
      </c>
      <c r="J2666" s="79" t="s">
        <v>621</v>
      </c>
      <c r="K2666" s="86">
        <f t="shared" si="269"/>
        <v>2739.83</v>
      </c>
      <c r="O2666" t="s">
        <v>708</v>
      </c>
      <c r="Q2666" t="s">
        <v>992</v>
      </c>
      <c r="R2666" t="s">
        <v>992</v>
      </c>
      <c r="W2666" s="4"/>
      <c r="AA2666" s="73"/>
      <c r="AB2666" s="53"/>
      <c r="AC2666" s="438"/>
      <c r="AD2666" s="54"/>
      <c r="AE2666" s="71"/>
      <c r="AF2666" s="54"/>
    </row>
    <row r="2667" spans="6:34" ht="24" customHeight="1">
      <c r="F2667" s="86">
        <v>2</v>
      </c>
      <c r="G2667" s="85" t="s">
        <v>884</v>
      </c>
      <c r="H2667" s="79" t="s">
        <v>1414</v>
      </c>
      <c r="I2667" s="86">
        <f>E285</f>
        <v>57</v>
      </c>
      <c r="J2667" s="79" t="s">
        <v>884</v>
      </c>
      <c r="K2667" s="86">
        <f t="shared" si="269"/>
        <v>114</v>
      </c>
      <c r="O2667" t="s">
        <v>1864</v>
      </c>
      <c r="R2667" t="s">
        <v>992</v>
      </c>
      <c r="W2667" s="4"/>
      <c r="AA2667" s="73"/>
      <c r="AB2667" s="72"/>
      <c r="AC2667" s="36"/>
      <c r="AD2667" s="54"/>
      <c r="AE2667" s="71"/>
      <c r="AF2667" s="36"/>
    </row>
    <row r="2668" spans="6:34" ht="24" customHeight="1">
      <c r="F2668" s="86">
        <v>6</v>
      </c>
      <c r="G2668" s="85" t="s">
        <v>884</v>
      </c>
      <c r="H2668" s="79" t="s">
        <v>1367</v>
      </c>
      <c r="I2668" s="86">
        <f>C282</f>
        <v>49.35</v>
      </c>
      <c r="J2668" s="79" t="s">
        <v>884</v>
      </c>
      <c r="K2668" s="86">
        <f t="shared" si="269"/>
        <v>296.10000000000002</v>
      </c>
      <c r="W2668" s="4"/>
      <c r="AA2668" s="73"/>
      <c r="AB2668" s="72"/>
      <c r="AC2668" s="36"/>
      <c r="AD2668" s="54"/>
      <c r="AE2668" s="71"/>
      <c r="AF2668" s="56"/>
    </row>
    <row r="2669" spans="6:34" ht="24" customHeight="1">
      <c r="F2669" s="86">
        <v>2</v>
      </c>
      <c r="G2669" s="85" t="s">
        <v>884</v>
      </c>
      <c r="H2669" s="497" t="s">
        <v>2162</v>
      </c>
      <c r="I2669" s="86">
        <f>I1134</f>
        <v>60.9</v>
      </c>
      <c r="J2669" s="79" t="s">
        <v>884</v>
      </c>
      <c r="K2669" s="86">
        <f t="shared" si="269"/>
        <v>121.8</v>
      </c>
      <c r="M2669">
        <v>0.01</v>
      </c>
      <c r="N2669" t="s">
        <v>885</v>
      </c>
      <c r="O2669" t="s">
        <v>705</v>
      </c>
      <c r="P2669">
        <f>I2662</f>
        <v>111600</v>
      </c>
      <c r="Q2669" t="s">
        <v>885</v>
      </c>
      <c r="R2669">
        <v>764.29</v>
      </c>
      <c r="W2669" s="4"/>
      <c r="AA2669" s="73"/>
      <c r="AB2669" s="72"/>
      <c r="AC2669" s="36"/>
      <c r="AD2669" s="54"/>
      <c r="AE2669" s="71"/>
      <c r="AF2669" s="36"/>
    </row>
    <row r="2670" spans="6:34" ht="24" customHeight="1">
      <c r="F2670" s="86">
        <v>1</v>
      </c>
      <c r="G2670" s="85" t="s">
        <v>884</v>
      </c>
      <c r="H2670" s="79" t="s">
        <v>1442</v>
      </c>
      <c r="I2670" s="496">
        <f>I1135</f>
        <v>63.2</v>
      </c>
      <c r="J2670" s="79" t="s">
        <v>884</v>
      </c>
      <c r="K2670" s="86">
        <f t="shared" si="269"/>
        <v>63.2</v>
      </c>
      <c r="M2670">
        <v>0.04</v>
      </c>
      <c r="N2670" t="s">
        <v>885</v>
      </c>
      <c r="O2670" t="s">
        <v>706</v>
      </c>
      <c r="P2670">
        <f>I2663</f>
        <v>99400</v>
      </c>
      <c r="Q2670" t="s">
        <v>885</v>
      </c>
      <c r="R2670">
        <v>2172.65</v>
      </c>
      <c r="W2670" s="4"/>
      <c r="AA2670" s="50"/>
    </row>
    <row r="2671" spans="6:34" ht="24" customHeight="1">
      <c r="F2671" s="86">
        <v>2.52</v>
      </c>
      <c r="G2671" s="85" t="s">
        <v>621</v>
      </c>
      <c r="H2671" s="79" t="s">
        <v>1745</v>
      </c>
      <c r="I2671" s="86">
        <f>K1167</f>
        <v>201.2</v>
      </c>
      <c r="J2671" s="79" t="s">
        <v>621</v>
      </c>
      <c r="K2671" s="86">
        <f t="shared" si="269"/>
        <v>507.02</v>
      </c>
      <c r="M2671">
        <v>0.02</v>
      </c>
      <c r="N2671" t="s">
        <v>885</v>
      </c>
      <c r="O2671" t="s">
        <v>902</v>
      </c>
      <c r="P2671">
        <f>I2664</f>
        <v>14278</v>
      </c>
      <c r="Q2671" t="s">
        <v>885</v>
      </c>
      <c r="R2671">
        <v>56.02</v>
      </c>
      <c r="W2671" s="4"/>
    </row>
    <row r="2672" spans="6:34" ht="24" customHeight="1">
      <c r="F2672" s="46"/>
      <c r="G2672" s="78"/>
      <c r="H2672" s="79" t="s">
        <v>1439</v>
      </c>
      <c r="I2672" s="81" t="s">
        <v>455</v>
      </c>
      <c r="J2672" s="99"/>
      <c r="K2672" s="86">
        <v>2.13</v>
      </c>
      <c r="M2672">
        <v>1.36</v>
      </c>
      <c r="N2672" t="s">
        <v>621</v>
      </c>
      <c r="O2672" t="s">
        <v>903</v>
      </c>
      <c r="P2672" s="510">
        <v>385.89</v>
      </c>
      <c r="Q2672" t="s">
        <v>621</v>
      </c>
      <c r="R2672">
        <v>524.80999999999995</v>
      </c>
      <c r="W2672" s="4"/>
    </row>
    <row r="2673" spans="6:23" ht="24" customHeight="1">
      <c r="F2673" s="46"/>
      <c r="G2673" s="78"/>
      <c r="H2673" s="87"/>
      <c r="I2673" s="87"/>
      <c r="J2673" s="100"/>
      <c r="K2673" s="88" t="s">
        <v>1615</v>
      </c>
      <c r="M2673">
        <v>2.0499999999999998</v>
      </c>
      <c r="N2673" t="s">
        <v>621</v>
      </c>
      <c r="O2673" t="s">
        <v>1532</v>
      </c>
      <c r="P2673">
        <f t="shared" ref="P2673:P2678" si="270">I2666</f>
        <v>1336.5</v>
      </c>
      <c r="Q2673" t="s">
        <v>621</v>
      </c>
      <c r="R2673">
        <v>586.29999999999995</v>
      </c>
      <c r="W2673" s="4"/>
    </row>
    <row r="2674" spans="6:23" ht="24" customHeight="1">
      <c r="F2674" s="46"/>
      <c r="G2674" s="78"/>
      <c r="H2674" s="89" t="s">
        <v>1440</v>
      </c>
      <c r="I2674" s="87"/>
      <c r="J2674" s="100"/>
      <c r="K2674" s="90">
        <f>SUM(K2662:K2672)</f>
        <v>9539.18</v>
      </c>
      <c r="M2674">
        <v>2</v>
      </c>
      <c r="N2674" t="s">
        <v>884</v>
      </c>
      <c r="O2674" t="s">
        <v>1414</v>
      </c>
      <c r="P2674">
        <f t="shared" si="270"/>
        <v>57</v>
      </c>
      <c r="Q2674" t="s">
        <v>884</v>
      </c>
      <c r="R2674">
        <v>50</v>
      </c>
      <c r="W2674" s="4"/>
    </row>
    <row r="2675" spans="6:23" ht="24" customHeight="1">
      <c r="F2675" s="46"/>
      <c r="G2675" s="85" t="s">
        <v>992</v>
      </c>
      <c r="H2675" s="87"/>
      <c r="I2675" s="87"/>
      <c r="J2675" s="100"/>
      <c r="K2675" s="88" t="s">
        <v>1615</v>
      </c>
      <c r="M2675">
        <v>6</v>
      </c>
      <c r="N2675" t="s">
        <v>884</v>
      </c>
      <c r="O2675" t="s">
        <v>1367</v>
      </c>
      <c r="P2675">
        <f t="shared" si="270"/>
        <v>49.35</v>
      </c>
      <c r="Q2675" t="s">
        <v>884</v>
      </c>
      <c r="R2675">
        <v>150</v>
      </c>
      <c r="W2675" s="4"/>
    </row>
    <row r="2676" spans="6:23" ht="24" customHeight="1">
      <c r="F2676" s="46"/>
      <c r="G2676" s="78"/>
      <c r="H2676" s="89" t="s">
        <v>562</v>
      </c>
      <c r="I2676" s="87"/>
      <c r="J2676" s="100"/>
      <c r="K2676" s="90">
        <f>K2674/2.52</f>
        <v>3785.39</v>
      </c>
      <c r="M2676">
        <v>2</v>
      </c>
      <c r="N2676" t="s">
        <v>884</v>
      </c>
      <c r="O2676" t="s">
        <v>1415</v>
      </c>
      <c r="P2676">
        <f t="shared" si="270"/>
        <v>60.9</v>
      </c>
      <c r="Q2676" t="s">
        <v>884</v>
      </c>
      <c r="R2676">
        <v>70</v>
      </c>
      <c r="W2676" s="4"/>
    </row>
    <row r="2677" spans="6:23" ht="24" customHeight="1">
      <c r="F2677" s="46"/>
      <c r="G2677" s="78"/>
      <c r="H2677" s="87"/>
      <c r="I2677" s="87"/>
      <c r="J2677" s="100"/>
      <c r="K2677" s="88" t="s">
        <v>2091</v>
      </c>
      <c r="M2677">
        <v>1</v>
      </c>
      <c r="N2677" t="s">
        <v>884</v>
      </c>
      <c r="O2677" t="s">
        <v>1442</v>
      </c>
      <c r="P2677">
        <f t="shared" si="270"/>
        <v>63.2</v>
      </c>
      <c r="Q2677" t="s">
        <v>884</v>
      </c>
      <c r="R2677">
        <v>60</v>
      </c>
      <c r="W2677" s="4"/>
    </row>
    <row r="2678" spans="6:23" ht="24" customHeight="1">
      <c r="F2678" s="46"/>
      <c r="G2678" s="78"/>
      <c r="H2678" s="87"/>
      <c r="I2678" s="87"/>
      <c r="J2678" s="100"/>
      <c r="K2678" s="87"/>
      <c r="M2678">
        <v>2.52</v>
      </c>
      <c r="N2678" t="s">
        <v>621</v>
      </c>
      <c r="O2678" t="s">
        <v>1745</v>
      </c>
      <c r="P2678">
        <f t="shared" si="270"/>
        <v>201.2</v>
      </c>
      <c r="Q2678" t="s">
        <v>621</v>
      </c>
      <c r="R2678">
        <v>124.71</v>
      </c>
      <c r="W2678" s="4"/>
    </row>
    <row r="2679" spans="6:23" ht="24" customHeight="1">
      <c r="F2679" s="447" t="s">
        <v>778</v>
      </c>
      <c r="G2679" s="447"/>
      <c r="H2679" s="447"/>
      <c r="I2679" s="447"/>
      <c r="J2679" s="447"/>
      <c r="K2679" s="447"/>
      <c r="O2679" t="s">
        <v>1439</v>
      </c>
      <c r="P2679" t="s">
        <v>455</v>
      </c>
      <c r="R2679">
        <v>0.28000000000000003</v>
      </c>
      <c r="W2679" s="4"/>
    </row>
    <row r="2680" spans="6:23" ht="24" customHeight="1">
      <c r="F2680" s="94">
        <v>4</v>
      </c>
      <c r="G2680" s="3" t="s">
        <v>1051</v>
      </c>
      <c r="H2680" t="s">
        <v>1052</v>
      </c>
      <c r="I2680" s="54">
        <f>C394</f>
        <v>151.4</v>
      </c>
      <c r="J2680" s="10" t="s">
        <v>911</v>
      </c>
      <c r="K2680" s="94">
        <f>I2680*F2680</f>
        <v>605.6</v>
      </c>
      <c r="R2680" t="s">
        <v>1615</v>
      </c>
      <c r="W2680" s="4"/>
    </row>
    <row r="2681" spans="6:23" ht="24" customHeight="1">
      <c r="F2681" s="94">
        <v>2.52</v>
      </c>
      <c r="G2681" s="3" t="s">
        <v>911</v>
      </c>
      <c r="H2681" t="s">
        <v>834</v>
      </c>
      <c r="I2681">
        <f>C34/1000</f>
        <v>53</v>
      </c>
      <c r="J2681" s="10" t="s">
        <v>1676</v>
      </c>
      <c r="K2681" s="94">
        <f t="shared" ref="K2681:K2687" si="271">I2681*F2681</f>
        <v>133.56</v>
      </c>
      <c r="O2681" t="s">
        <v>1440</v>
      </c>
      <c r="R2681">
        <v>4559.0600000000004</v>
      </c>
      <c r="W2681" s="4"/>
    </row>
    <row r="2682" spans="6:23" ht="16.5" customHeight="1">
      <c r="F2682" s="94">
        <v>1.1299999999999999</v>
      </c>
      <c r="G2682" s="3" t="s">
        <v>911</v>
      </c>
      <c r="H2682" t="s">
        <v>835</v>
      </c>
      <c r="I2682">
        <f>I2681</f>
        <v>53</v>
      </c>
      <c r="J2682" s="10" t="s">
        <v>1676</v>
      </c>
      <c r="K2682" s="94">
        <f t="shared" si="271"/>
        <v>59.89</v>
      </c>
      <c r="N2682" t="s">
        <v>992</v>
      </c>
      <c r="R2682" t="s">
        <v>1615</v>
      </c>
      <c r="W2682" s="4"/>
    </row>
    <row r="2683" spans="6:23" ht="53.25" customHeight="1">
      <c r="F2683" s="94">
        <v>0.35</v>
      </c>
      <c r="G2683" s="3" t="s">
        <v>1676</v>
      </c>
      <c r="H2683" t="s">
        <v>836</v>
      </c>
      <c r="I2683">
        <f>I2682</f>
        <v>53</v>
      </c>
      <c r="J2683" s="10" t="s">
        <v>1676</v>
      </c>
      <c r="K2683" s="94">
        <f t="shared" si="271"/>
        <v>18.55</v>
      </c>
      <c r="O2683" t="s">
        <v>562</v>
      </c>
      <c r="R2683">
        <v>1809.15</v>
      </c>
      <c r="W2683" s="4"/>
    </row>
    <row r="2684" spans="6:23" ht="51" customHeight="1">
      <c r="F2684" s="94">
        <v>4</v>
      </c>
      <c r="G2684" s="3" t="s">
        <v>1676</v>
      </c>
      <c r="H2684" t="s">
        <v>108</v>
      </c>
      <c r="I2684">
        <f>C37</f>
        <v>57.75</v>
      </c>
      <c r="J2684" s="10" t="s">
        <v>1676</v>
      </c>
      <c r="K2684" s="94">
        <f t="shared" si="271"/>
        <v>231</v>
      </c>
      <c r="R2684" t="s">
        <v>2091</v>
      </c>
      <c r="W2684" s="4"/>
    </row>
    <row r="2685" spans="6:23" ht="24" customHeight="1">
      <c r="F2685" s="94">
        <v>6</v>
      </c>
      <c r="G2685" s="3" t="s">
        <v>1051</v>
      </c>
      <c r="H2685" t="s">
        <v>109</v>
      </c>
      <c r="I2685" s="607">
        <v>1</v>
      </c>
      <c r="J2685" s="10" t="s">
        <v>1423</v>
      </c>
      <c r="K2685" s="94">
        <f t="shared" si="271"/>
        <v>6</v>
      </c>
      <c r="W2685" s="4"/>
    </row>
    <row r="2686" spans="6:23" ht="24" customHeight="1">
      <c r="F2686" s="94">
        <v>0.5</v>
      </c>
      <c r="G2686" s="3" t="s">
        <v>1051</v>
      </c>
      <c r="H2686" t="s">
        <v>666</v>
      </c>
      <c r="I2686">
        <f>C12</f>
        <v>679.8</v>
      </c>
      <c r="J2686" s="10" t="s">
        <v>1423</v>
      </c>
      <c r="K2686" s="94">
        <f t="shared" si="271"/>
        <v>339.9</v>
      </c>
      <c r="W2686" s="4"/>
    </row>
    <row r="2687" spans="6:23" ht="24" customHeight="1">
      <c r="F2687" s="94">
        <v>0.5</v>
      </c>
      <c r="G2687" s="3" t="s">
        <v>1051</v>
      </c>
      <c r="H2687" t="s">
        <v>360</v>
      </c>
      <c r="I2687">
        <f>C13</f>
        <v>557.70000000000005</v>
      </c>
      <c r="J2687" s="10" t="s">
        <v>1423</v>
      </c>
      <c r="K2687" s="94">
        <f t="shared" si="271"/>
        <v>278.85000000000002</v>
      </c>
      <c r="W2687" s="4"/>
    </row>
    <row r="2688" spans="6:23" ht="24" customHeight="1">
      <c r="G2688" s="3" t="s">
        <v>455</v>
      </c>
      <c r="H2688" t="s">
        <v>110</v>
      </c>
      <c r="I2688" s="32" t="s">
        <v>455</v>
      </c>
      <c r="K2688">
        <v>21.69</v>
      </c>
      <c r="L2688">
        <f>24*176</f>
        <v>4224</v>
      </c>
      <c r="W2688" s="4"/>
    </row>
    <row r="2689" spans="6:23" ht="24" customHeight="1">
      <c r="G2689"/>
      <c r="H2689" s="95" t="s">
        <v>111</v>
      </c>
      <c r="K2689" s="96">
        <f>SUM(K2680:K2688)</f>
        <v>1695.04</v>
      </c>
      <c r="W2689" s="4"/>
    </row>
    <row r="2690" spans="6:23" ht="24" customHeight="1">
      <c r="G2690"/>
      <c r="H2690" s="95" t="s">
        <v>523</v>
      </c>
      <c r="K2690" s="96">
        <f>K2689/2</f>
        <v>847.52</v>
      </c>
      <c r="W2690" s="4"/>
    </row>
    <row r="2691" spans="6:23" ht="24" customHeight="1">
      <c r="G2691"/>
      <c r="L2691">
        <f>K2725+K2716</f>
        <v>199.49</v>
      </c>
      <c r="W2691" s="4"/>
    </row>
    <row r="2692" spans="6:23" ht="24" customHeight="1">
      <c r="H2692" t="s">
        <v>1500</v>
      </c>
      <c r="W2692" s="4"/>
    </row>
    <row r="2693" spans="6:23" ht="24" customHeight="1">
      <c r="W2693" s="4"/>
    </row>
    <row r="2694" spans="6:23" ht="24" customHeight="1">
      <c r="F2694" s="110"/>
      <c r="G2694" s="111"/>
      <c r="H2694" s="112" t="s">
        <v>2122</v>
      </c>
      <c r="I2694" s="110"/>
      <c r="J2694" s="113"/>
      <c r="K2694" s="110"/>
      <c r="W2694" s="4"/>
    </row>
    <row r="2695" spans="6:23" ht="24" customHeight="1">
      <c r="F2695" s="110"/>
      <c r="G2695" s="111"/>
      <c r="H2695" s="110" t="s">
        <v>643</v>
      </c>
      <c r="I2695" s="110"/>
      <c r="J2695" s="113"/>
      <c r="K2695" s="110"/>
      <c r="W2695" s="4"/>
    </row>
    <row r="2696" spans="6:23" ht="24" customHeight="1">
      <c r="F2696" s="110">
        <v>41.6</v>
      </c>
      <c r="G2696" s="111" t="s">
        <v>1676</v>
      </c>
      <c r="H2696" s="110" t="s">
        <v>1034</v>
      </c>
      <c r="I2696" s="110">
        <f>I2681</f>
        <v>53</v>
      </c>
      <c r="J2696" s="113" t="s">
        <v>1676</v>
      </c>
      <c r="K2696" s="110">
        <f>F2696*I2696</f>
        <v>2204.8000000000002</v>
      </c>
      <c r="W2696" s="4"/>
    </row>
    <row r="2697" spans="6:23" ht="24" customHeight="1">
      <c r="F2697" s="110">
        <v>0.5</v>
      </c>
      <c r="G2697" s="111" t="s">
        <v>1419</v>
      </c>
      <c r="H2697" s="110" t="s">
        <v>1035</v>
      </c>
      <c r="I2697" s="110">
        <f>AE21</f>
        <v>799.7</v>
      </c>
      <c r="J2697" s="113" t="s">
        <v>1423</v>
      </c>
      <c r="K2697" s="110">
        <f>F2697*I2697</f>
        <v>399.85</v>
      </c>
      <c r="W2697" s="4"/>
    </row>
    <row r="2698" spans="6:23" ht="24" customHeight="1">
      <c r="F2698" s="110">
        <v>1</v>
      </c>
      <c r="G2698" s="111" t="s">
        <v>570</v>
      </c>
      <c r="H2698" s="110" t="s">
        <v>1036</v>
      </c>
      <c r="I2698" s="110">
        <f>C10</f>
        <v>1041.7</v>
      </c>
      <c r="J2698" s="113" t="s">
        <v>1423</v>
      </c>
      <c r="K2698" s="110">
        <f>F2698*I2698</f>
        <v>1041.7</v>
      </c>
      <c r="W2698" s="4"/>
    </row>
    <row r="2699" spans="6:23" ht="24" customHeight="1">
      <c r="F2699" s="110">
        <v>1</v>
      </c>
      <c r="G2699" s="111" t="s">
        <v>570</v>
      </c>
      <c r="H2699" s="110" t="s">
        <v>1247</v>
      </c>
      <c r="I2699" s="110">
        <f>C13</f>
        <v>557.70000000000005</v>
      </c>
      <c r="J2699" s="113" t="s">
        <v>1423</v>
      </c>
      <c r="K2699" s="110">
        <f>F2699*I2699</f>
        <v>557.70000000000005</v>
      </c>
      <c r="W2699" s="4"/>
    </row>
    <row r="2700" spans="6:23" ht="24" customHeight="1">
      <c r="F2700" s="110"/>
      <c r="G2700" s="111" t="s">
        <v>455</v>
      </c>
      <c r="H2700" s="110" t="s">
        <v>833</v>
      </c>
      <c r="I2700" s="110"/>
      <c r="J2700" s="113" t="s">
        <v>455</v>
      </c>
      <c r="K2700" s="110">
        <v>27.7</v>
      </c>
      <c r="W2700" s="4"/>
    </row>
    <row r="2701" spans="6:23" ht="24" customHeight="1">
      <c r="F2701" s="110"/>
      <c r="G2701" s="111"/>
      <c r="H2701" s="114" t="s">
        <v>1740</v>
      </c>
      <c r="I2701" s="110"/>
      <c r="J2701" s="114" t="s">
        <v>736</v>
      </c>
      <c r="K2701" s="110">
        <f>SUM(K2696:K2700)</f>
        <v>4231.75</v>
      </c>
      <c r="W2701" s="4"/>
    </row>
    <row r="2702" spans="6:23" ht="24" customHeight="1">
      <c r="F2702" s="110"/>
      <c r="G2702" s="111"/>
      <c r="H2702" s="114" t="s">
        <v>1311</v>
      </c>
      <c r="I2702" s="110"/>
      <c r="J2702" s="114" t="s">
        <v>736</v>
      </c>
      <c r="K2702" s="110">
        <f>K2701/16</f>
        <v>264.48</v>
      </c>
      <c r="W2702" s="4"/>
    </row>
    <row r="2703" spans="6:23" ht="24" customHeight="1">
      <c r="F2703" s="110"/>
      <c r="G2703" s="111"/>
      <c r="H2703" s="115" t="s">
        <v>100</v>
      </c>
      <c r="I2703" s="116"/>
      <c r="J2703" s="115" t="s">
        <v>736</v>
      </c>
      <c r="K2703" s="116">
        <f>K2702/0.95</f>
        <v>278.39999999999998</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864</v>
      </c>
      <c r="G2706" s="118" t="s">
        <v>2290</v>
      </c>
      <c r="H2706" s="119" t="s">
        <v>1017</v>
      </c>
      <c r="I2706" s="110"/>
      <c r="J2706" s="113"/>
      <c r="K2706" s="110"/>
      <c r="W2706" s="4"/>
    </row>
    <row r="2707" spans="6:23" ht="50.25" customHeight="1">
      <c r="F2707" s="110"/>
      <c r="G2707" s="111"/>
      <c r="H2707" s="119" t="s">
        <v>1018</v>
      </c>
      <c r="I2707" s="110"/>
      <c r="J2707" s="113"/>
      <c r="K2707" s="110"/>
      <c r="W2707" s="4"/>
    </row>
    <row r="2708" spans="6:23" ht="24" customHeight="1">
      <c r="F2708" s="110"/>
      <c r="G2708" s="111"/>
      <c r="H2708" s="119" t="s">
        <v>1019</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1615</v>
      </c>
      <c r="I2710" s="110"/>
      <c r="J2710" s="113"/>
      <c r="K2710" s="110"/>
      <c r="W2710" s="4"/>
    </row>
    <row r="2711" spans="6:23" ht="24" customHeight="1">
      <c r="F2711" s="121">
        <v>1.8</v>
      </c>
      <c r="G2711" s="118" t="s">
        <v>1676</v>
      </c>
      <c r="H2711" s="498" t="s">
        <v>1312</v>
      </c>
      <c r="I2711" s="121">
        <f>C609</f>
        <v>22.6</v>
      </c>
      <c r="J2711" s="117" t="s">
        <v>1676</v>
      </c>
      <c r="K2711" s="121">
        <f>(F2711*I2711)</f>
        <v>40.68</v>
      </c>
      <c r="W2711" s="4"/>
    </row>
    <row r="2712" spans="6:23" ht="24" customHeight="1">
      <c r="F2712" s="121">
        <v>0.25</v>
      </c>
      <c r="G2712" s="118" t="s">
        <v>884</v>
      </c>
      <c r="H2712" s="119" t="s">
        <v>31</v>
      </c>
      <c r="I2712" s="121">
        <f>C14</f>
        <v>831.6</v>
      </c>
      <c r="J2712" s="117" t="s">
        <v>884</v>
      </c>
      <c r="K2712" s="121">
        <f>(F2712*I2712)</f>
        <v>207.9</v>
      </c>
      <c r="W2712" s="4"/>
    </row>
    <row r="2713" spans="6:23" ht="24" customHeight="1">
      <c r="F2713" s="121">
        <v>0.25</v>
      </c>
      <c r="G2713" s="118" t="s">
        <v>884</v>
      </c>
      <c r="H2713" s="119" t="s">
        <v>950</v>
      </c>
      <c r="I2713" s="121">
        <f>C12</f>
        <v>679.8</v>
      </c>
      <c r="J2713" s="117" t="s">
        <v>884</v>
      </c>
      <c r="K2713" s="121">
        <f>(F2713*I2713)</f>
        <v>169.95</v>
      </c>
      <c r="W2713" s="4"/>
    </row>
    <row r="2714" spans="6:23" ht="24" customHeight="1">
      <c r="F2714" s="121">
        <v>0.4</v>
      </c>
      <c r="G2714" s="118" t="s">
        <v>884</v>
      </c>
      <c r="H2714" s="119" t="s">
        <v>325</v>
      </c>
      <c r="I2714" s="121">
        <f>C13</f>
        <v>557.70000000000005</v>
      </c>
      <c r="J2714" s="117" t="s">
        <v>884</v>
      </c>
      <c r="K2714" s="121">
        <f>(F2714*I2714)</f>
        <v>223.08</v>
      </c>
      <c r="W2714" s="4"/>
    </row>
    <row r="2715" spans="6:23" ht="24" customHeight="1">
      <c r="F2715" s="110"/>
      <c r="G2715" s="118"/>
      <c r="H2715" s="119"/>
      <c r="I2715" s="119" t="s">
        <v>992</v>
      </c>
      <c r="J2715" s="117"/>
      <c r="K2715" s="121">
        <f>SUM(K2711:K2714)</f>
        <v>641.61</v>
      </c>
      <c r="W2715" s="4"/>
    </row>
    <row r="2716" spans="6:23" ht="24" customHeight="1">
      <c r="F2716" s="110"/>
      <c r="G2716" s="111"/>
      <c r="H2716" s="116"/>
      <c r="I2716" s="116"/>
      <c r="J2716" s="122"/>
      <c r="K2716" s="123">
        <f>K2715/10</f>
        <v>64.16</v>
      </c>
      <c r="W2716" s="4"/>
    </row>
    <row r="2717" spans="6:23" ht="24" customHeight="1">
      <c r="F2717" s="121">
        <v>3</v>
      </c>
      <c r="G2717" s="118" t="s">
        <v>1676</v>
      </c>
      <c r="H2717" s="119" t="s">
        <v>446</v>
      </c>
      <c r="I2717" s="124">
        <f>C271</f>
        <v>49.85</v>
      </c>
      <c r="J2717" s="117" t="s">
        <v>1676</v>
      </c>
      <c r="K2717" s="124">
        <f>(F2717*I2717)</f>
        <v>149.55000000000001</v>
      </c>
      <c r="W2717" s="4"/>
    </row>
    <row r="2718" spans="6:23" ht="24" customHeight="1">
      <c r="F2718" s="121">
        <v>0.5</v>
      </c>
      <c r="G2718" s="118" t="s">
        <v>884</v>
      </c>
      <c r="H2718" s="119" t="s">
        <v>31</v>
      </c>
      <c r="I2718" s="124">
        <f>C14</f>
        <v>831.6</v>
      </c>
      <c r="J2718" s="117" t="s">
        <v>884</v>
      </c>
      <c r="K2718" s="124">
        <f>(F2718*I2718)</f>
        <v>415.8</v>
      </c>
      <c r="W2718" s="4"/>
    </row>
    <row r="2719" spans="6:23" ht="24" customHeight="1">
      <c r="F2719" s="121">
        <v>0.5</v>
      </c>
      <c r="G2719" s="118" t="s">
        <v>884</v>
      </c>
      <c r="H2719" s="119" t="s">
        <v>950</v>
      </c>
      <c r="I2719" s="124">
        <f>I2713</f>
        <v>679.8</v>
      </c>
      <c r="J2719" s="117" t="s">
        <v>884</v>
      </c>
      <c r="K2719" s="124">
        <f>(F2719*I2719)</f>
        <v>339.9</v>
      </c>
      <c r="W2719" s="4"/>
    </row>
    <row r="2720" spans="6:23" ht="24" customHeight="1">
      <c r="F2720" s="121">
        <v>0.8</v>
      </c>
      <c r="G2720" s="118" t="s">
        <v>884</v>
      </c>
      <c r="H2720" s="119" t="s">
        <v>325</v>
      </c>
      <c r="I2720" s="124">
        <f>I2714</f>
        <v>557.70000000000005</v>
      </c>
      <c r="J2720" s="117" t="s">
        <v>884</v>
      </c>
      <c r="K2720" s="124">
        <f>(F2720*I2720)</f>
        <v>446.16</v>
      </c>
      <c r="W2720" s="4"/>
    </row>
    <row r="2721" spans="6:23" ht="24" customHeight="1">
      <c r="F2721" s="110"/>
      <c r="G2721" s="118" t="s">
        <v>455</v>
      </c>
      <c r="H2721" s="119" t="s">
        <v>1870</v>
      </c>
      <c r="I2721" s="119" t="s">
        <v>992</v>
      </c>
      <c r="J2721" s="117" t="s">
        <v>455</v>
      </c>
      <c r="K2721" s="121">
        <v>1.9</v>
      </c>
      <c r="W2721" s="4"/>
    </row>
    <row r="2722" spans="6:23" ht="24" customHeight="1">
      <c r="F2722" s="110"/>
      <c r="G2722" s="111"/>
      <c r="H2722" s="116"/>
      <c r="I2722" s="116"/>
      <c r="J2722" s="122"/>
      <c r="K2722" s="107" t="s">
        <v>1615</v>
      </c>
      <c r="W2722" s="4"/>
    </row>
    <row r="2723" spans="6:23" ht="24" customHeight="1">
      <c r="F2723" s="110"/>
      <c r="G2723" s="111"/>
      <c r="H2723" s="108" t="s">
        <v>447</v>
      </c>
      <c r="I2723" s="116"/>
      <c r="J2723" s="122"/>
      <c r="K2723" s="109">
        <f>SUM(K2717:K2721)</f>
        <v>1353.31</v>
      </c>
      <c r="W2723" s="4"/>
    </row>
    <row r="2724" spans="6:23" ht="24" customHeight="1">
      <c r="F2724" s="110"/>
      <c r="G2724" s="111"/>
      <c r="H2724" s="116"/>
      <c r="I2724" s="116"/>
      <c r="J2724" s="122"/>
      <c r="K2724" s="107" t="s">
        <v>1615</v>
      </c>
      <c r="W2724" s="4"/>
    </row>
    <row r="2725" spans="6:23" ht="24" customHeight="1">
      <c r="F2725" s="110"/>
      <c r="G2725" s="111"/>
      <c r="H2725" s="108" t="s">
        <v>562</v>
      </c>
      <c r="I2725" s="116"/>
      <c r="J2725" s="122"/>
      <c r="K2725" s="109">
        <f>(K2723/10)</f>
        <v>135.33000000000001</v>
      </c>
      <c r="W2725" s="4"/>
    </row>
    <row r="2726" spans="6:23" ht="24" customHeight="1">
      <c r="F2726" s="110"/>
      <c r="G2726" s="110"/>
      <c r="H2726" s="110"/>
      <c r="I2726" s="110"/>
      <c r="J2726" s="110"/>
      <c r="K2726" s="110"/>
      <c r="W2726" s="4"/>
    </row>
    <row r="2727" spans="6:23" ht="24" customHeight="1">
      <c r="F2727" s="125"/>
      <c r="G2727" s="118" t="s">
        <v>2290</v>
      </c>
      <c r="H2727" s="119" t="s">
        <v>2083</v>
      </c>
      <c r="I2727" s="110"/>
      <c r="J2727" s="113"/>
      <c r="K2727" s="110"/>
      <c r="W2727" s="4"/>
    </row>
    <row r="2728" spans="6:23" ht="24" customHeight="1">
      <c r="F2728" s="110"/>
      <c r="G2728" s="111"/>
      <c r="H2728" s="119" t="s">
        <v>2316</v>
      </c>
      <c r="I2728" s="110"/>
      <c r="J2728" s="113"/>
      <c r="K2728" s="110"/>
      <c r="W2728" s="4"/>
    </row>
    <row r="2729" spans="6:23" ht="24" customHeight="1">
      <c r="F2729" s="110"/>
      <c r="G2729" s="111"/>
      <c r="H2729" s="119" t="s">
        <v>1313</v>
      </c>
      <c r="I2729" s="110"/>
      <c r="J2729" s="113"/>
      <c r="K2729" s="110"/>
      <c r="W2729" s="4"/>
    </row>
    <row r="2730" spans="6:23" ht="24" customHeight="1">
      <c r="F2730" s="110"/>
      <c r="G2730" s="111"/>
      <c r="H2730" s="120" t="s">
        <v>1615</v>
      </c>
      <c r="I2730" s="110"/>
      <c r="J2730" s="113"/>
      <c r="K2730" s="110"/>
      <c r="W2730" s="4"/>
    </row>
    <row r="2731" spans="6:23" ht="24" customHeight="1">
      <c r="F2731" s="110"/>
      <c r="G2731" s="118" t="s">
        <v>2317</v>
      </c>
      <c r="H2731" s="119" t="s">
        <v>965</v>
      </c>
      <c r="I2731" s="110"/>
      <c r="J2731" s="113"/>
      <c r="K2731" s="119" t="s">
        <v>1477</v>
      </c>
      <c r="W2731" s="4"/>
    </row>
    <row r="2732" spans="6:23" ht="24" customHeight="1">
      <c r="F2732" s="110"/>
      <c r="G2732" s="111"/>
      <c r="H2732" s="120" t="s">
        <v>1615</v>
      </c>
      <c r="I2732" s="110"/>
      <c r="J2732" s="113"/>
      <c r="K2732" s="120" t="s">
        <v>2091</v>
      </c>
      <c r="W2732" s="4"/>
    </row>
    <row r="2733" spans="6:23" ht="24" customHeight="1">
      <c r="F2733" s="121">
        <v>30</v>
      </c>
      <c r="G2733" s="118" t="s">
        <v>1805</v>
      </c>
      <c r="H2733" s="119" t="s">
        <v>1695</v>
      </c>
      <c r="I2733" s="121">
        <f>C661</f>
        <v>12.32</v>
      </c>
      <c r="J2733" s="117" t="s">
        <v>1805</v>
      </c>
      <c r="K2733" s="121">
        <f>(F2733*I2733)</f>
        <v>369.6</v>
      </c>
      <c r="W2733" s="4"/>
    </row>
    <row r="2734" spans="6:23" ht="24" customHeight="1">
      <c r="F2734" s="119" t="s">
        <v>992</v>
      </c>
      <c r="G2734" s="111"/>
      <c r="H2734" s="119" t="s">
        <v>1698</v>
      </c>
      <c r="I2734" s="119" t="s">
        <v>992</v>
      </c>
      <c r="J2734" s="113"/>
      <c r="K2734" s="119" t="s">
        <v>992</v>
      </c>
      <c r="W2734" s="4"/>
    </row>
    <row r="2735" spans="6:23" ht="24" customHeight="1">
      <c r="F2735" s="121">
        <v>8</v>
      </c>
      <c r="G2735" s="118" t="s">
        <v>884</v>
      </c>
      <c r="H2735" s="119" t="s">
        <v>2182</v>
      </c>
      <c r="I2735" s="121">
        <f>I1806</f>
        <v>9.7899999999999991</v>
      </c>
      <c r="J2735" s="117" t="s">
        <v>884</v>
      </c>
      <c r="K2735" s="121">
        <f t="shared" ref="K2735:K2740" si="272">(F2735*I2735)</f>
        <v>78.319999999999993</v>
      </c>
      <c r="W2735" s="4"/>
    </row>
    <row r="2736" spans="6:23" ht="24" customHeight="1">
      <c r="F2736" s="121">
        <v>8</v>
      </c>
      <c r="G2736" s="118" t="s">
        <v>884</v>
      </c>
      <c r="H2736" s="119" t="s">
        <v>473</v>
      </c>
      <c r="I2736" s="121">
        <f>I1807</f>
        <v>13.92</v>
      </c>
      <c r="J2736" s="117" t="s">
        <v>884</v>
      </c>
      <c r="K2736" s="121">
        <f t="shared" si="272"/>
        <v>111.36</v>
      </c>
      <c r="L2736" s="176"/>
      <c r="W2736" s="4"/>
    </row>
    <row r="2737" spans="6:23" ht="24" customHeight="1">
      <c r="F2737" s="121">
        <v>3</v>
      </c>
      <c r="G2737" s="118" t="s">
        <v>884</v>
      </c>
      <c r="H2737" s="119" t="s">
        <v>1879</v>
      </c>
      <c r="I2737" s="121">
        <f>C41</f>
        <v>770</v>
      </c>
      <c r="J2737" s="117" t="s">
        <v>884</v>
      </c>
      <c r="K2737" s="121">
        <f t="shared" si="272"/>
        <v>2310</v>
      </c>
      <c r="L2737" s="182"/>
      <c r="W2737" s="4"/>
    </row>
    <row r="2738" spans="6:23" ht="24" customHeight="1">
      <c r="F2738" s="121">
        <v>1</v>
      </c>
      <c r="G2738" s="118" t="s">
        <v>884</v>
      </c>
      <c r="H2738" s="119" t="s">
        <v>1404</v>
      </c>
      <c r="I2738" s="121">
        <f>C10</f>
        <v>1041.7</v>
      </c>
      <c r="J2738" s="117" t="s">
        <v>884</v>
      </c>
      <c r="K2738" s="121">
        <f t="shared" si="272"/>
        <v>1041.7</v>
      </c>
      <c r="L2738" s="182"/>
      <c r="W2738" s="4"/>
    </row>
    <row r="2739" spans="6:23" ht="24" customHeight="1">
      <c r="F2739" s="121">
        <v>2</v>
      </c>
      <c r="G2739" s="118" t="s">
        <v>884</v>
      </c>
      <c r="H2739" s="119" t="s">
        <v>1937</v>
      </c>
      <c r="I2739" s="121">
        <f>C12</f>
        <v>679.8</v>
      </c>
      <c r="J2739" s="117" t="s">
        <v>884</v>
      </c>
      <c r="K2739" s="121">
        <f t="shared" si="272"/>
        <v>1359.6</v>
      </c>
      <c r="L2739" s="182"/>
      <c r="W2739" s="4"/>
    </row>
    <row r="2740" spans="6:23" ht="24" customHeight="1">
      <c r="F2740" s="121">
        <v>1</v>
      </c>
      <c r="G2740" s="118" t="s">
        <v>884</v>
      </c>
      <c r="H2740" s="119" t="s">
        <v>325</v>
      </c>
      <c r="I2740" s="121">
        <f>C13</f>
        <v>557.70000000000005</v>
      </c>
      <c r="J2740" s="117" t="s">
        <v>884</v>
      </c>
      <c r="K2740" s="121">
        <f t="shared" si="272"/>
        <v>557.70000000000005</v>
      </c>
      <c r="L2740" s="182"/>
      <c r="W2740" s="4"/>
    </row>
    <row r="2741" spans="6:23" ht="36.75" customHeight="1">
      <c r="F2741" s="110"/>
      <c r="G2741" s="118" t="s">
        <v>455</v>
      </c>
      <c r="H2741" s="126" t="s">
        <v>68</v>
      </c>
      <c r="I2741" s="121" t="s">
        <v>69</v>
      </c>
      <c r="J2741" s="117" t="s">
        <v>455</v>
      </c>
      <c r="K2741" s="121">
        <v>64.849999999999994</v>
      </c>
      <c r="L2741" s="182"/>
      <c r="W2741" s="4"/>
    </row>
    <row r="2742" spans="6:23" ht="24" customHeight="1">
      <c r="F2742" s="110"/>
      <c r="G2742" s="111"/>
      <c r="H2742" s="119"/>
      <c r="I2742" s="121"/>
      <c r="J2742" s="113"/>
      <c r="K2742" s="124"/>
      <c r="L2742" s="182"/>
      <c r="W2742" s="4"/>
    </row>
    <row r="2743" spans="6:23" ht="24" customHeight="1">
      <c r="F2743" s="110"/>
      <c r="G2743" s="110"/>
      <c r="H2743" s="110"/>
      <c r="I2743" s="110"/>
      <c r="J2743" s="110"/>
      <c r="K2743" s="110"/>
      <c r="L2743" s="182"/>
      <c r="W2743" s="4"/>
    </row>
    <row r="2744" spans="6:23" ht="24" customHeight="1">
      <c r="F2744" s="110"/>
      <c r="G2744" s="111"/>
      <c r="H2744" s="110"/>
      <c r="I2744" s="110"/>
      <c r="J2744" s="113"/>
      <c r="K2744" s="120" t="s">
        <v>1615</v>
      </c>
      <c r="L2744" s="182"/>
      <c r="W2744" s="4"/>
    </row>
    <row r="2745" spans="6:23" ht="24" customHeight="1">
      <c r="F2745" s="110"/>
      <c r="G2745" s="111"/>
      <c r="H2745" s="108" t="s">
        <v>1884</v>
      </c>
      <c r="I2745" s="116"/>
      <c r="J2745" s="122"/>
      <c r="K2745" s="109">
        <f>SUM(K2733:K2744)</f>
        <v>5893.13</v>
      </c>
      <c r="L2745" s="197"/>
      <c r="W2745" s="4"/>
    </row>
    <row r="2746" spans="6:23" ht="24" customHeight="1">
      <c r="F2746" s="110"/>
      <c r="G2746" s="111"/>
      <c r="H2746" s="116"/>
      <c r="I2746" s="116"/>
      <c r="J2746" s="122"/>
      <c r="K2746" s="107" t="s">
        <v>1615</v>
      </c>
      <c r="W2746" s="4"/>
    </row>
    <row r="2747" spans="6:23" ht="24" customHeight="1">
      <c r="F2747" s="110"/>
      <c r="G2747" s="111"/>
      <c r="H2747" s="108" t="s">
        <v>1573</v>
      </c>
      <c r="I2747" s="116"/>
      <c r="J2747" s="122"/>
      <c r="K2747" s="109">
        <f>(K2745/30)</f>
        <v>196.44</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2290</v>
      </c>
      <c r="H2750" s="119" t="s">
        <v>101</v>
      </c>
      <c r="I2750" s="110"/>
      <c r="J2750" s="113"/>
      <c r="K2750" s="110"/>
      <c r="W2750" s="4"/>
    </row>
    <row r="2751" spans="6:23" ht="24" customHeight="1">
      <c r="F2751" s="110"/>
      <c r="G2751" s="111"/>
      <c r="H2751" s="119" t="s">
        <v>2208</v>
      </c>
      <c r="I2751" s="110"/>
      <c r="J2751" s="113"/>
      <c r="K2751" s="110"/>
      <c r="W2751" s="4"/>
    </row>
    <row r="2752" spans="6:23" ht="24" customHeight="1">
      <c r="F2752" s="110"/>
      <c r="G2752" s="111"/>
      <c r="H2752" s="119" t="s">
        <v>2209</v>
      </c>
      <c r="I2752" s="110"/>
      <c r="J2752" s="113"/>
      <c r="K2752" s="110"/>
      <c r="W2752" s="4"/>
    </row>
    <row r="2753" spans="5:24" ht="24" customHeight="1">
      <c r="F2753" s="110"/>
      <c r="G2753" s="111"/>
      <c r="H2753" s="119" t="s">
        <v>1431</v>
      </c>
      <c r="I2753" s="110"/>
      <c r="J2753" s="113"/>
      <c r="K2753" s="110"/>
      <c r="W2753" s="4"/>
    </row>
    <row r="2754" spans="5:24" ht="24" customHeight="1">
      <c r="F2754" s="110"/>
      <c r="G2754" s="111"/>
      <c r="H2754" s="119" t="s">
        <v>1432</v>
      </c>
      <c r="I2754" s="110"/>
      <c r="J2754" s="113"/>
      <c r="K2754" s="110"/>
      <c r="W2754" s="4"/>
    </row>
    <row r="2755" spans="5:24" ht="24" customHeight="1">
      <c r="E2755">
        <f>6*0.3</f>
        <v>1.8</v>
      </c>
      <c r="F2755" s="110"/>
      <c r="G2755" s="111"/>
      <c r="H2755" s="119" t="s">
        <v>738</v>
      </c>
      <c r="I2755" s="110"/>
      <c r="J2755" s="113"/>
      <c r="K2755" s="110"/>
      <c r="W2755" s="4"/>
    </row>
    <row r="2756" spans="5:24" ht="24" customHeight="1">
      <c r="E2756">
        <f>3.5+E2755</f>
        <v>5.3</v>
      </c>
      <c r="F2756" s="110"/>
      <c r="G2756" s="111"/>
      <c r="H2756" s="119" t="s">
        <v>1376</v>
      </c>
      <c r="I2756" s="110"/>
      <c r="J2756" s="113"/>
      <c r="K2756" s="110"/>
      <c r="L2756">
        <f>K2790</f>
        <v>243.1</v>
      </c>
      <c r="W2756" s="4"/>
    </row>
    <row r="2757" spans="5:24" ht="24" customHeight="1">
      <c r="E2757">
        <f>3.14*0.3*0.3</f>
        <v>0.28000000000000003</v>
      </c>
      <c r="F2757" s="110"/>
      <c r="G2757" s="111"/>
      <c r="H2757" s="119" t="s">
        <v>723</v>
      </c>
      <c r="I2757" s="110"/>
      <c r="J2757" s="113"/>
      <c r="K2757" s="110"/>
      <c r="L2757">
        <f>K2791</f>
        <v>2379.3000000000002</v>
      </c>
      <c r="W2757" s="4"/>
    </row>
    <row r="2758" spans="5:24" ht="24" customHeight="1">
      <c r="F2758" s="110"/>
      <c r="G2758" s="111"/>
      <c r="H2758" s="120" t="s">
        <v>2091</v>
      </c>
      <c r="I2758" s="120" t="s">
        <v>2091</v>
      </c>
      <c r="J2758" s="113"/>
      <c r="K2758" s="110"/>
      <c r="W2758" s="4"/>
    </row>
    <row r="2759" spans="5:24" ht="24" customHeight="1">
      <c r="E2759">
        <f>E2757/4</f>
        <v>7.0000000000000007E-2</v>
      </c>
      <c r="F2759" s="110"/>
      <c r="G2759" s="118" t="s">
        <v>2290</v>
      </c>
      <c r="H2759" s="119" t="s">
        <v>934</v>
      </c>
      <c r="I2759" s="110"/>
      <c r="J2759" s="113"/>
      <c r="K2759" s="110"/>
      <c r="L2759">
        <f>SUM(L2756:L2757)</f>
        <v>2622.4</v>
      </c>
      <c r="W2759" s="4"/>
    </row>
    <row r="2760" spans="5:24" ht="24" customHeight="1">
      <c r="E2760" s="381">
        <f>E2759*E2756</f>
        <v>0.371</v>
      </c>
      <c r="F2760" s="110"/>
      <c r="G2760" s="111"/>
      <c r="H2760" s="119" t="s">
        <v>822</v>
      </c>
      <c r="I2760" s="110"/>
      <c r="J2760" s="113"/>
      <c r="K2760" s="110"/>
      <c r="W2760" s="4"/>
    </row>
    <row r="2761" spans="5:24" ht="24" customHeight="1">
      <c r="F2761" s="110"/>
      <c r="G2761" s="118" t="s">
        <v>321</v>
      </c>
      <c r="H2761" s="119" t="s">
        <v>823</v>
      </c>
      <c r="I2761" s="110"/>
      <c r="J2761" s="113"/>
      <c r="K2761" s="110"/>
      <c r="W2761" s="4"/>
    </row>
    <row r="2762" spans="5:24" ht="24" customHeight="1">
      <c r="F2762" s="110"/>
      <c r="G2762" s="111"/>
      <c r="H2762" s="120" t="s">
        <v>1615</v>
      </c>
      <c r="I2762" s="110"/>
      <c r="J2762" s="113"/>
      <c r="K2762" s="110"/>
      <c r="W2762" s="4"/>
    </row>
    <row r="2763" spans="5:24" ht="24" customHeight="1">
      <c r="F2763" s="121">
        <v>1</v>
      </c>
      <c r="G2763" s="118" t="s">
        <v>842</v>
      </c>
      <c r="H2763" s="119" t="s">
        <v>630</v>
      </c>
      <c r="I2763" s="121">
        <f>I1870</f>
        <v>26</v>
      </c>
      <c r="J2763" s="117" t="s">
        <v>842</v>
      </c>
      <c r="K2763" s="121">
        <f>(F2763*I2763)</f>
        <v>26</v>
      </c>
      <c r="W2763" s="4"/>
    </row>
    <row r="2764" spans="5:24" ht="24" customHeight="1">
      <c r="F2764" s="121">
        <v>1</v>
      </c>
      <c r="G2764" s="118" t="s">
        <v>455</v>
      </c>
      <c r="H2764" s="119" t="s">
        <v>1835</v>
      </c>
      <c r="I2764" s="121">
        <f>I2763*0.7</f>
        <v>18.2</v>
      </c>
      <c r="J2764" s="117" t="s">
        <v>455</v>
      </c>
      <c r="K2764" s="121">
        <f>(F2764*I2764)</f>
        <v>18.2</v>
      </c>
      <c r="W2764" s="4"/>
    </row>
    <row r="2765" spans="5:24" ht="24" customHeight="1">
      <c r="F2765" s="121">
        <v>1</v>
      </c>
      <c r="G2765" s="118" t="s">
        <v>842</v>
      </c>
      <c r="H2765" s="119" t="s">
        <v>163</v>
      </c>
      <c r="I2765" s="121">
        <f>K2747</f>
        <v>196.44</v>
      </c>
      <c r="J2765" s="117" t="s">
        <v>842</v>
      </c>
      <c r="K2765" s="121">
        <f>(F2765*I2765)</f>
        <v>196.44</v>
      </c>
      <c r="W2765" s="4"/>
    </row>
    <row r="2766" spans="5:24" ht="24" customHeight="1">
      <c r="F2766" s="110"/>
      <c r="G2766" s="111"/>
      <c r="H2766" s="110"/>
      <c r="I2766" s="119" t="s">
        <v>992</v>
      </c>
      <c r="J2766" s="113"/>
      <c r="K2766" s="120"/>
      <c r="W2766" s="4"/>
    </row>
    <row r="2767" spans="5:24" ht="24" customHeight="1">
      <c r="F2767" s="110"/>
      <c r="G2767" s="111"/>
      <c r="H2767" s="108" t="s">
        <v>382</v>
      </c>
      <c r="I2767" s="116"/>
      <c r="J2767" s="122"/>
      <c r="K2767" s="109">
        <f>SUM(K2763:K2765)</f>
        <v>240.64</v>
      </c>
      <c r="S2767" s="129"/>
      <c r="T2767" s="111"/>
      <c r="U2767" s="110"/>
      <c r="V2767" s="110"/>
      <c r="W2767" s="113"/>
      <c r="X2767" s="110"/>
    </row>
    <row r="2768" spans="5:24" ht="24" customHeight="1">
      <c r="F2768" s="110"/>
      <c r="G2768" s="111"/>
      <c r="H2768" s="119" t="s">
        <v>992</v>
      </c>
      <c r="I2768" s="119" t="s">
        <v>992</v>
      </c>
      <c r="J2768" s="113"/>
      <c r="K2768" s="120" t="s">
        <v>2091</v>
      </c>
      <c r="S2768" s="414" t="s">
        <v>574</v>
      </c>
      <c r="T2768" s="118" t="s">
        <v>2290</v>
      </c>
      <c r="U2768" s="119" t="s">
        <v>336</v>
      </c>
      <c r="V2768" s="110"/>
      <c r="W2768" s="113"/>
      <c r="X2768" s="110"/>
    </row>
    <row r="2769" spans="6:29" ht="24" customHeight="1">
      <c r="F2769" s="110"/>
      <c r="G2769" s="110"/>
      <c r="H2769" s="110"/>
      <c r="I2769" s="110"/>
      <c r="J2769" s="110"/>
      <c r="K2769" s="110"/>
      <c r="S2769" s="129"/>
      <c r="T2769" s="111"/>
      <c r="U2769" s="119" t="s">
        <v>259</v>
      </c>
      <c r="V2769" s="110"/>
      <c r="W2769" s="113"/>
      <c r="X2769" s="110"/>
    </row>
    <row r="2770" spans="6:29" ht="24" customHeight="1">
      <c r="F2770" s="205"/>
      <c r="G2770" s="206"/>
      <c r="H2770" s="206"/>
      <c r="I2770" s="206"/>
      <c r="J2770" s="206"/>
      <c r="K2770" s="206"/>
      <c r="S2770" s="129"/>
      <c r="T2770" s="111"/>
      <c r="U2770" s="119" t="s">
        <v>1496</v>
      </c>
      <c r="V2770" s="110"/>
      <c r="W2770" s="113"/>
      <c r="X2770" s="110"/>
    </row>
    <row r="2771" spans="6:29" ht="24" customHeight="1">
      <c r="F2771" s="207"/>
      <c r="G2771" s="152" t="s">
        <v>983</v>
      </c>
      <c r="H2771" s="143"/>
      <c r="I2771" s="143"/>
      <c r="J2771" s="145"/>
      <c r="K2771" s="143"/>
      <c r="S2771" s="129"/>
      <c r="T2771" s="111"/>
      <c r="U2771" s="120" t="s">
        <v>1615</v>
      </c>
      <c r="V2771" s="110"/>
      <c r="W2771" s="113"/>
      <c r="X2771" s="110"/>
    </row>
    <row r="2772" spans="6:29" ht="24" customHeight="1">
      <c r="F2772" s="208"/>
      <c r="G2772" s="144"/>
      <c r="H2772" s="143"/>
      <c r="I2772" s="143"/>
      <c r="J2772" s="145"/>
      <c r="K2772" s="143"/>
      <c r="S2772" s="129"/>
      <c r="T2772" s="111"/>
      <c r="U2772" s="119" t="s">
        <v>1916</v>
      </c>
      <c r="V2772" s="110"/>
      <c r="W2772" s="113"/>
      <c r="X2772" s="110"/>
    </row>
    <row r="2773" spans="6:29" ht="24" customHeight="1">
      <c r="F2773" s="208">
        <v>5</v>
      </c>
      <c r="G2773" s="144" t="s">
        <v>984</v>
      </c>
      <c r="H2773" s="711" t="s">
        <v>4443</v>
      </c>
      <c r="I2773" s="697">
        <v>160</v>
      </c>
      <c r="J2773" s="145" t="s">
        <v>985</v>
      </c>
      <c r="K2773" s="143">
        <f>I2773*F2773</f>
        <v>800</v>
      </c>
      <c r="S2773" s="129"/>
      <c r="T2773" s="111"/>
      <c r="U2773" s="119" t="s">
        <v>1917</v>
      </c>
      <c r="V2773" s="110"/>
      <c r="W2773" s="113"/>
      <c r="X2773" s="110"/>
    </row>
    <row r="2774" spans="6:29" ht="24" customHeight="1">
      <c r="F2774" s="208">
        <v>1</v>
      </c>
      <c r="G2774" s="144" t="s">
        <v>1419</v>
      </c>
      <c r="H2774" s="143" t="s">
        <v>781</v>
      </c>
      <c r="I2774" s="860">
        <v>75</v>
      </c>
      <c r="J2774" s="145" t="s">
        <v>1423</v>
      </c>
      <c r="K2774" s="143">
        <f>I2774*F2774</f>
        <v>75</v>
      </c>
      <c r="S2774" s="129"/>
      <c r="T2774" s="111"/>
      <c r="U2774" s="110"/>
      <c r="V2774" s="110"/>
      <c r="W2774" s="117" t="s">
        <v>1615</v>
      </c>
      <c r="X2774" s="110"/>
    </row>
    <row r="2775" spans="6:29" ht="24" customHeight="1">
      <c r="F2775" s="208">
        <v>2.5</v>
      </c>
      <c r="G2775" s="144" t="s">
        <v>1419</v>
      </c>
      <c r="H2775" s="143" t="s">
        <v>782</v>
      </c>
      <c r="I2775" s="143">
        <f>C14</f>
        <v>831.6</v>
      </c>
      <c r="J2775" s="145" t="s">
        <v>1419</v>
      </c>
      <c r="K2775" s="143">
        <f>I2775*F2775</f>
        <v>2079</v>
      </c>
      <c r="S2775" s="129"/>
      <c r="T2775" s="111"/>
      <c r="U2775" s="119" t="s">
        <v>1325</v>
      </c>
      <c r="V2775" s="110"/>
      <c r="W2775" s="113"/>
      <c r="X2775" s="110"/>
    </row>
    <row r="2776" spans="6:29" ht="24" customHeight="1">
      <c r="F2776" s="208"/>
      <c r="G2776" s="144"/>
      <c r="H2776" s="143" t="s">
        <v>2310</v>
      </c>
      <c r="I2776" s="149" t="s">
        <v>455</v>
      </c>
      <c r="J2776" s="145"/>
      <c r="K2776" s="143">
        <v>0.25</v>
      </c>
      <c r="S2776" s="129"/>
      <c r="T2776" s="111"/>
      <c r="U2776" s="119" t="s">
        <v>1326</v>
      </c>
      <c r="V2776" s="110"/>
      <c r="W2776" s="113"/>
      <c r="X2776" s="130">
        <v>2.7099999999999999E-2</v>
      </c>
    </row>
    <row r="2777" spans="6:29" ht="24" customHeight="1">
      <c r="F2777" s="208"/>
      <c r="G2777" s="144"/>
      <c r="H2777" s="143"/>
      <c r="I2777" s="143"/>
      <c r="J2777" s="145"/>
      <c r="K2777" s="209" t="s">
        <v>2091</v>
      </c>
      <c r="S2777" s="129"/>
      <c r="T2777" s="111"/>
      <c r="U2777" s="110"/>
      <c r="V2777" s="110"/>
      <c r="W2777" s="117" t="s">
        <v>992</v>
      </c>
      <c r="X2777" s="120" t="s">
        <v>1615</v>
      </c>
      <c r="Y2777" s="168">
        <f>SUM(X2778:X2779)</f>
        <v>1.6420000000000001E-2</v>
      </c>
    </row>
    <row r="2778" spans="6:29" ht="24" customHeight="1">
      <c r="F2778" s="208"/>
      <c r="G2778" s="144"/>
      <c r="H2778" s="143"/>
      <c r="I2778" s="143" t="s">
        <v>783</v>
      </c>
      <c r="J2778" s="145" t="s">
        <v>2091</v>
      </c>
      <c r="K2778" s="147">
        <f>SUM(K2773:K2777)</f>
        <v>2954.25</v>
      </c>
      <c r="L2778" s="168">
        <f>K2811+K2810</f>
        <v>1.6420000000000001E-2</v>
      </c>
      <c r="S2778" s="129"/>
      <c r="T2778" s="111"/>
      <c r="U2778" s="119" t="s">
        <v>1327</v>
      </c>
      <c r="V2778" s="110"/>
      <c r="W2778" s="131" t="s">
        <v>992</v>
      </c>
      <c r="X2778" s="130">
        <v>1.2840000000000001E-2</v>
      </c>
    </row>
    <row r="2779" spans="6:29" ht="24" customHeight="1">
      <c r="F2779" s="210"/>
      <c r="G2779" s="211"/>
      <c r="H2779" s="212"/>
      <c r="I2779" s="212"/>
      <c r="J2779" s="213"/>
      <c r="K2779" s="214" t="s">
        <v>2091</v>
      </c>
      <c r="S2779" s="129"/>
      <c r="T2779" s="111"/>
      <c r="U2779" s="119" t="s">
        <v>960</v>
      </c>
      <c r="V2779" s="110"/>
      <c r="W2779" s="117" t="s">
        <v>992</v>
      </c>
      <c r="X2779" s="130">
        <v>3.5799999999999998E-3</v>
      </c>
    </row>
    <row r="2780" spans="6:29" ht="24" customHeight="1">
      <c r="F2780" s="110"/>
      <c r="G2780" s="111"/>
      <c r="H2780" s="110"/>
      <c r="I2780" s="110"/>
      <c r="J2780" s="113"/>
      <c r="K2780" s="110"/>
      <c r="S2780" s="129"/>
      <c r="T2780" s="111"/>
      <c r="U2780" s="110"/>
      <c r="V2780" s="110"/>
      <c r="W2780" s="113"/>
      <c r="X2780" s="120" t="s">
        <v>1615</v>
      </c>
    </row>
    <row r="2781" spans="6:29" ht="24" customHeight="1">
      <c r="F2781" s="110" t="s">
        <v>958</v>
      </c>
      <c r="G2781" s="111"/>
      <c r="H2781" s="110"/>
      <c r="I2781" s="110"/>
      <c r="J2781" s="113"/>
      <c r="K2781" s="110"/>
      <c r="S2781" s="133">
        <f>F2813</f>
        <v>1.9E-2</v>
      </c>
      <c r="T2781" s="118" t="s">
        <v>885</v>
      </c>
      <c r="U2781" s="119" t="s">
        <v>337</v>
      </c>
      <c r="V2781" s="121">
        <f>C86</f>
        <v>34300</v>
      </c>
      <c r="W2781" s="117" t="s">
        <v>885</v>
      </c>
      <c r="X2781" s="121">
        <f>(S2781*V2781)</f>
        <v>651.70000000000005</v>
      </c>
    </row>
    <row r="2782" spans="6:29" ht="24" customHeight="1">
      <c r="F2782" s="110"/>
      <c r="G2782" s="111"/>
      <c r="H2782" s="110"/>
      <c r="I2782" s="110"/>
      <c r="J2782" s="113"/>
      <c r="K2782" s="110"/>
      <c r="S2782" s="133">
        <f t="shared" ref="S2782:S2792" si="273">F2814</f>
        <v>2.7E-2</v>
      </c>
      <c r="T2782" s="118" t="s">
        <v>885</v>
      </c>
      <c r="U2782" s="119" t="s">
        <v>337</v>
      </c>
      <c r="V2782" s="121">
        <f>V2781</f>
        <v>34300</v>
      </c>
      <c r="W2782" s="117" t="s">
        <v>885</v>
      </c>
      <c r="X2782" s="121">
        <f t="shared" ref="X2782:X2792" si="274">(S2782*V2782)</f>
        <v>926.1</v>
      </c>
    </row>
    <row r="2783" spans="6:29" ht="24" customHeight="1">
      <c r="F2783" s="110" t="s">
        <v>3114</v>
      </c>
      <c r="G2783" s="111"/>
      <c r="H2783" s="110"/>
      <c r="I2783" s="110"/>
      <c r="J2783" s="113"/>
      <c r="K2783" s="110"/>
      <c r="S2783" s="133">
        <f t="shared" si="273"/>
        <v>1.6E-2</v>
      </c>
      <c r="T2783" s="118" t="s">
        <v>885</v>
      </c>
      <c r="U2783" s="119" t="s">
        <v>338</v>
      </c>
      <c r="V2783" s="121">
        <f>C87</f>
        <v>39400</v>
      </c>
      <c r="W2783" s="117" t="s">
        <v>885</v>
      </c>
      <c r="X2783" s="121">
        <f t="shared" si="274"/>
        <v>630.4</v>
      </c>
      <c r="AC2783" s="36" t="s">
        <v>1778</v>
      </c>
    </row>
    <row r="2784" spans="6:29" ht="24" customHeight="1">
      <c r="F2784" s="110"/>
      <c r="G2784" s="111"/>
      <c r="H2784" s="110"/>
      <c r="I2784" s="110"/>
      <c r="J2784" s="113"/>
      <c r="K2784" s="110"/>
      <c r="S2784" s="133"/>
      <c r="T2784" s="111"/>
      <c r="U2784" s="119"/>
      <c r="V2784" s="121">
        <f>V958</f>
        <v>0</v>
      </c>
      <c r="W2784" s="113"/>
      <c r="X2784" s="121">
        <f t="shared" si="274"/>
        <v>0</v>
      </c>
      <c r="AC2784" s="36" t="s">
        <v>1779</v>
      </c>
    </row>
    <row r="2785" spans="6:33" ht="24" customHeight="1">
      <c r="F2785" s="110"/>
      <c r="G2785" s="128">
        <v>0.745</v>
      </c>
      <c r="H2785" s="110" t="s">
        <v>2190</v>
      </c>
      <c r="I2785" s="110"/>
      <c r="J2785" s="113"/>
      <c r="K2785" s="110"/>
      <c r="S2785" s="133">
        <f t="shared" si="273"/>
        <v>1.823</v>
      </c>
      <c r="T2785" s="118" t="s">
        <v>621</v>
      </c>
      <c r="U2785" s="119" t="s">
        <v>453</v>
      </c>
      <c r="V2785" s="121">
        <f>I2817</f>
        <v>1602.7</v>
      </c>
      <c r="W2785" s="117" t="s">
        <v>621</v>
      </c>
      <c r="X2785" s="121">
        <f t="shared" si="274"/>
        <v>2921.72</v>
      </c>
    </row>
    <row r="2786" spans="6:33" ht="24" customHeight="1">
      <c r="F2786" s="110"/>
      <c r="G2786" s="111"/>
      <c r="H2786" s="110"/>
      <c r="I2786" s="110"/>
      <c r="J2786" s="113"/>
      <c r="K2786" s="110"/>
      <c r="S2786" s="133">
        <f t="shared" si="273"/>
        <v>2</v>
      </c>
      <c r="T2786" s="118" t="s">
        <v>785</v>
      </c>
      <c r="U2786" s="119" t="s">
        <v>1489</v>
      </c>
      <c r="V2786" s="121">
        <f t="shared" ref="V2786:V2791" si="275">I2818</f>
        <v>254.5</v>
      </c>
      <c r="W2786" s="117" t="s">
        <v>884</v>
      </c>
      <c r="X2786" s="121">
        <f t="shared" si="274"/>
        <v>509</v>
      </c>
      <c r="AB2786" s="405">
        <v>2.6159999999999999E-2</v>
      </c>
      <c r="AC2786" s="72" t="s">
        <v>885</v>
      </c>
      <c r="AD2786" s="36" t="s">
        <v>3197</v>
      </c>
      <c r="AE2786" s="36">
        <f>I2813</f>
        <v>111600</v>
      </c>
      <c r="AF2786" s="98" t="s">
        <v>885</v>
      </c>
      <c r="AG2786" s="36">
        <f>AE2786*AB2786</f>
        <v>2919.46</v>
      </c>
    </row>
    <row r="2787" spans="6:33" ht="24" customHeight="1">
      <c r="F2787" s="116" t="s">
        <v>469</v>
      </c>
      <c r="G2787" s="111"/>
      <c r="H2787" s="110"/>
      <c r="I2787" s="110"/>
      <c r="J2787" s="113"/>
      <c r="K2787" s="110"/>
      <c r="S2787" s="133">
        <f t="shared" si="273"/>
        <v>3</v>
      </c>
      <c r="T2787" s="118" t="s">
        <v>884</v>
      </c>
      <c r="U2787" s="119" t="s">
        <v>1490</v>
      </c>
      <c r="V2787" s="121">
        <f t="shared" si="275"/>
        <v>214.1</v>
      </c>
      <c r="W2787" s="117" t="s">
        <v>884</v>
      </c>
      <c r="X2787" s="121">
        <f t="shared" si="274"/>
        <v>642.29999999999995</v>
      </c>
      <c r="AB2787" s="405">
        <v>4.7809999999999998E-2</v>
      </c>
      <c r="AC2787" s="72" t="s">
        <v>885</v>
      </c>
      <c r="AD2787" s="36" t="s">
        <v>2536</v>
      </c>
      <c r="AE2787" s="36">
        <f>I2814</f>
        <v>99400</v>
      </c>
      <c r="AF2787" s="98" t="s">
        <v>885</v>
      </c>
      <c r="AG2787" s="36">
        <f t="shared" ref="AG2787:AG2796" si="276">AE2787*AB2787</f>
        <v>4752.3100000000004</v>
      </c>
    </row>
    <row r="2788" spans="6:33" ht="24" customHeight="1">
      <c r="F2788" s="110"/>
      <c r="G2788" s="111"/>
      <c r="H2788" s="110"/>
      <c r="I2788" s="110"/>
      <c r="J2788" s="113"/>
      <c r="K2788" s="110"/>
      <c r="S2788" s="133">
        <f t="shared" si="273"/>
        <v>2</v>
      </c>
      <c r="T2788" s="118" t="s">
        <v>884</v>
      </c>
      <c r="U2788" s="119" t="s">
        <v>1491</v>
      </c>
      <c r="V2788" s="121">
        <f t="shared" si="275"/>
        <v>408</v>
      </c>
      <c r="W2788" s="117" t="s">
        <v>884</v>
      </c>
      <c r="X2788" s="121">
        <f t="shared" si="274"/>
        <v>816</v>
      </c>
      <c r="AB2788" s="406">
        <v>4.5879999999999997E-2</v>
      </c>
      <c r="AC2788" s="72" t="s">
        <v>885</v>
      </c>
      <c r="AD2788" s="36" t="s">
        <v>1780</v>
      </c>
      <c r="AE2788" s="36">
        <f>I3320</f>
        <v>107000</v>
      </c>
      <c r="AF2788" s="98" t="s">
        <v>885</v>
      </c>
      <c r="AG2788" s="36">
        <f t="shared" si="276"/>
        <v>4909.16</v>
      </c>
    </row>
    <row r="2789" spans="6:33" ht="24" customHeight="1">
      <c r="F2789" s="129">
        <v>0.37</v>
      </c>
      <c r="G2789" s="111" t="s">
        <v>2190</v>
      </c>
      <c r="H2789" s="110" t="s">
        <v>3117</v>
      </c>
      <c r="I2789" s="110">
        <f>X688</f>
        <v>8571.2199999999993</v>
      </c>
      <c r="J2789" s="114" t="s">
        <v>2190</v>
      </c>
      <c r="K2789" s="110">
        <f>F2789*I2789</f>
        <v>3171.35</v>
      </c>
      <c r="S2789" s="133">
        <f t="shared" si="273"/>
        <v>1</v>
      </c>
      <c r="T2789" s="118" t="s">
        <v>884</v>
      </c>
      <c r="U2789" s="119" t="s">
        <v>1492</v>
      </c>
      <c r="V2789" s="121">
        <f t="shared" si="275"/>
        <v>836</v>
      </c>
      <c r="W2789" s="117" t="s">
        <v>884</v>
      </c>
      <c r="X2789" s="121">
        <f t="shared" si="274"/>
        <v>836</v>
      </c>
      <c r="AB2789" s="406">
        <v>3.95</v>
      </c>
      <c r="AC2789" s="72" t="s">
        <v>621</v>
      </c>
      <c r="AD2789" s="36" t="s">
        <v>899</v>
      </c>
      <c r="AE2789" s="36">
        <f>I2817</f>
        <v>1602.7</v>
      </c>
      <c r="AF2789" s="98" t="s">
        <v>621</v>
      </c>
      <c r="AG2789" s="36">
        <f t="shared" si="276"/>
        <v>6330.67</v>
      </c>
    </row>
    <row r="2790" spans="6:33" ht="24" customHeight="1">
      <c r="F2790" s="110">
        <v>0.25</v>
      </c>
      <c r="G2790" s="111" t="s">
        <v>1419</v>
      </c>
      <c r="H2790" s="110" t="s">
        <v>471</v>
      </c>
      <c r="I2790" s="110">
        <f>C11</f>
        <v>972.4</v>
      </c>
      <c r="J2790" s="114" t="s">
        <v>1423</v>
      </c>
      <c r="K2790" s="110">
        <f>F2790*I2790</f>
        <v>243.1</v>
      </c>
      <c r="S2790" s="133">
        <f t="shared" si="273"/>
        <v>1</v>
      </c>
      <c r="T2790" s="118" t="s">
        <v>884</v>
      </c>
      <c r="U2790" s="119" t="s">
        <v>1493</v>
      </c>
      <c r="V2790" s="121">
        <f t="shared" si="275"/>
        <v>7.3</v>
      </c>
      <c r="W2790" s="117" t="s">
        <v>884</v>
      </c>
      <c r="X2790" s="121">
        <f t="shared" si="274"/>
        <v>7.3</v>
      </c>
      <c r="AB2790" s="36">
        <v>2</v>
      </c>
      <c r="AC2790" s="72" t="s">
        <v>1907</v>
      </c>
      <c r="AD2790" s="36" t="s">
        <v>2161</v>
      </c>
      <c r="AE2790" s="36">
        <f t="shared" ref="AE2790:AE2795" si="277">I2818</f>
        <v>254.5</v>
      </c>
      <c r="AF2790" s="98" t="s">
        <v>1423</v>
      </c>
      <c r="AG2790" s="36">
        <f t="shared" si="276"/>
        <v>509</v>
      </c>
    </row>
    <row r="2791" spans="6:33" ht="24" customHeight="1">
      <c r="F2791" s="110">
        <v>3.5</v>
      </c>
      <c r="G2791" s="111" t="s">
        <v>1457</v>
      </c>
      <c r="H2791" s="110" t="s">
        <v>353</v>
      </c>
      <c r="I2791" s="110">
        <f>C12</f>
        <v>679.8</v>
      </c>
      <c r="J2791" s="114" t="s">
        <v>1423</v>
      </c>
      <c r="K2791" s="110">
        <f>F2791*I2791</f>
        <v>2379.3000000000002</v>
      </c>
      <c r="S2791" s="133">
        <f t="shared" si="273"/>
        <v>1</v>
      </c>
      <c r="T2791" s="118" t="s">
        <v>884</v>
      </c>
      <c r="U2791" s="119" t="s">
        <v>2018</v>
      </c>
      <c r="V2791" s="121">
        <f t="shared" si="275"/>
        <v>49.55</v>
      </c>
      <c r="W2791" s="117" t="s">
        <v>884</v>
      </c>
      <c r="X2791" s="121">
        <f t="shared" si="274"/>
        <v>49.55</v>
      </c>
      <c r="AB2791" s="36">
        <v>6</v>
      </c>
      <c r="AC2791" s="72" t="s">
        <v>1907</v>
      </c>
      <c r="AD2791" s="36" t="s">
        <v>1119</v>
      </c>
      <c r="AE2791" s="36">
        <f t="shared" si="277"/>
        <v>214.1</v>
      </c>
      <c r="AF2791" s="98" t="s">
        <v>1423</v>
      </c>
      <c r="AG2791" s="36">
        <f t="shared" si="276"/>
        <v>1284.5999999999999</v>
      </c>
    </row>
    <row r="2792" spans="6:33" ht="24" customHeight="1">
      <c r="F2792" s="110">
        <v>12</v>
      </c>
      <c r="G2792" s="111" t="s">
        <v>929</v>
      </c>
      <c r="H2792" s="110" t="s">
        <v>3115</v>
      </c>
      <c r="I2792" s="110"/>
      <c r="J2792" s="114" t="s">
        <v>929</v>
      </c>
      <c r="K2792" s="110">
        <f>I2792*F2792</f>
        <v>0</v>
      </c>
      <c r="S2792" s="129">
        <f t="shared" si="273"/>
        <v>64</v>
      </c>
      <c r="T2792" s="111"/>
      <c r="U2792" s="110" t="s">
        <v>480</v>
      </c>
      <c r="V2792" s="110">
        <f>P2831</f>
        <v>2.41</v>
      </c>
      <c r="W2792" s="113"/>
      <c r="X2792" s="121">
        <f t="shared" si="274"/>
        <v>154.24</v>
      </c>
      <c r="AB2792" s="36">
        <v>4</v>
      </c>
      <c r="AC2792" s="72" t="s">
        <v>1907</v>
      </c>
      <c r="AD2792" s="36" t="s">
        <v>1372</v>
      </c>
      <c r="AE2792" s="36">
        <f t="shared" si="277"/>
        <v>408</v>
      </c>
      <c r="AF2792" s="98" t="s">
        <v>1423</v>
      </c>
      <c r="AG2792" s="36">
        <f t="shared" si="276"/>
        <v>1632</v>
      </c>
    </row>
    <row r="2793" spans="6:33" ht="24" customHeight="1">
      <c r="F2793" s="110"/>
      <c r="G2793" s="110" t="s">
        <v>472</v>
      </c>
      <c r="H2793" s="110" t="s">
        <v>967</v>
      </c>
      <c r="I2793" s="110"/>
      <c r="J2793" s="114" t="s">
        <v>69</v>
      </c>
      <c r="K2793" s="110">
        <f>L2759*10%</f>
        <v>262.24</v>
      </c>
      <c r="S2793" s="129"/>
      <c r="T2793" s="111"/>
      <c r="U2793" s="119" t="s">
        <v>1005</v>
      </c>
      <c r="V2793" s="110"/>
      <c r="W2793" s="113"/>
      <c r="X2793" s="121">
        <f>SUM(X2781:X2792)</f>
        <v>8144.31</v>
      </c>
      <c r="AB2793" s="36">
        <v>1</v>
      </c>
      <c r="AC2793" s="72" t="s">
        <v>1907</v>
      </c>
      <c r="AD2793" s="36" t="s">
        <v>1373</v>
      </c>
      <c r="AE2793" s="36">
        <f t="shared" si="277"/>
        <v>836</v>
      </c>
      <c r="AF2793" s="98" t="s">
        <v>1423</v>
      </c>
      <c r="AG2793" s="36">
        <f t="shared" si="276"/>
        <v>836</v>
      </c>
    </row>
    <row r="2794" spans="6:33" ht="24" customHeight="1">
      <c r="F2794" s="110"/>
      <c r="G2794" s="111"/>
      <c r="H2794" s="110"/>
      <c r="I2794" s="110"/>
      <c r="J2794" s="113"/>
      <c r="K2794" s="110" t="s">
        <v>968</v>
      </c>
      <c r="S2794" s="129"/>
      <c r="T2794" s="111"/>
      <c r="U2794" s="110"/>
      <c r="V2794" s="110"/>
      <c r="W2794" s="113"/>
      <c r="X2794" s="120" t="s">
        <v>1615</v>
      </c>
      <c r="AB2794" s="36">
        <v>2</v>
      </c>
      <c r="AC2794" s="72" t="s">
        <v>1907</v>
      </c>
      <c r="AD2794" s="36" t="s">
        <v>2016</v>
      </c>
      <c r="AE2794" s="36">
        <f t="shared" si="277"/>
        <v>7.3</v>
      </c>
      <c r="AF2794" s="98" t="s">
        <v>1423</v>
      </c>
      <c r="AG2794" s="36">
        <f t="shared" si="276"/>
        <v>14.6</v>
      </c>
    </row>
    <row r="2795" spans="6:33" ht="24" customHeight="1">
      <c r="F2795" s="110"/>
      <c r="G2795" s="111"/>
      <c r="H2795" s="110"/>
      <c r="I2795" s="110"/>
      <c r="J2795" s="113"/>
      <c r="K2795" s="110"/>
      <c r="S2795" s="129"/>
      <c r="T2795" s="111"/>
      <c r="U2795" s="119" t="s">
        <v>562</v>
      </c>
      <c r="V2795" s="110"/>
      <c r="W2795" s="113"/>
      <c r="X2795" s="121">
        <f>X2793/1.8225</f>
        <v>4468.76</v>
      </c>
      <c r="AB2795" s="36">
        <v>2</v>
      </c>
      <c r="AC2795" s="72" t="s">
        <v>1907</v>
      </c>
      <c r="AD2795" s="36" t="s">
        <v>2018</v>
      </c>
      <c r="AE2795" s="36">
        <f t="shared" si="277"/>
        <v>49.55</v>
      </c>
      <c r="AF2795" s="98" t="s">
        <v>1423</v>
      </c>
      <c r="AG2795" s="36">
        <f t="shared" si="276"/>
        <v>99.1</v>
      </c>
    </row>
    <row r="2796" spans="6:33" ht="24" customHeight="1">
      <c r="F2796" s="110"/>
      <c r="G2796" s="111"/>
      <c r="H2796" s="110"/>
      <c r="I2796" s="110" t="s">
        <v>3116</v>
      </c>
      <c r="J2796" s="113"/>
      <c r="K2796" s="110">
        <f>SUM(K2789:K2793)</f>
        <v>6055.99</v>
      </c>
      <c r="S2796" s="129"/>
      <c r="T2796" s="111"/>
      <c r="U2796" s="110"/>
      <c r="V2796" s="110"/>
      <c r="W2796" s="113"/>
      <c r="X2796" s="110"/>
      <c r="AB2796" s="36">
        <v>10</v>
      </c>
      <c r="AC2796" s="72"/>
      <c r="AD2796" s="36" t="s">
        <v>1776</v>
      </c>
      <c r="AE2796" s="36">
        <f>V2792</f>
        <v>2.41</v>
      </c>
      <c r="AF2796" s="98"/>
      <c r="AG2796" s="36">
        <f t="shared" si="276"/>
        <v>24.1</v>
      </c>
    </row>
    <row r="2797" spans="6:33" ht="24" customHeight="1">
      <c r="F2797" s="110"/>
      <c r="G2797" s="111"/>
      <c r="H2797" s="110"/>
      <c r="I2797" s="110"/>
      <c r="J2797" s="113"/>
      <c r="K2797" s="110"/>
      <c r="W2797" s="4"/>
      <c r="AB2797" s="36"/>
      <c r="AC2797" s="72"/>
      <c r="AD2797" s="36" t="s">
        <v>562</v>
      </c>
      <c r="AE2797" s="36"/>
      <c r="AF2797" s="98"/>
      <c r="AG2797" s="36">
        <f>SUM(AG2786:AG2796)</f>
        <v>23311</v>
      </c>
    </row>
    <row r="2798" spans="6:33" ht="24" customHeight="1">
      <c r="F2798" s="110"/>
      <c r="G2798" s="111"/>
      <c r="H2798" s="110"/>
      <c r="I2798" s="110" t="s">
        <v>1915</v>
      </c>
      <c r="J2798" s="113"/>
      <c r="K2798" s="110">
        <f>K2796/3.5</f>
        <v>1730.28</v>
      </c>
      <c r="W2798" s="4"/>
      <c r="AB2798" s="36"/>
      <c r="AC2798" s="72"/>
      <c r="AD2798" s="36"/>
      <c r="AE2798" s="36"/>
      <c r="AF2798" s="98"/>
      <c r="AG2798" s="407" t="s">
        <v>148</v>
      </c>
    </row>
    <row r="2799" spans="6:33" ht="24" customHeight="1">
      <c r="F2799" s="110"/>
      <c r="G2799" s="111"/>
      <c r="H2799" s="110"/>
      <c r="I2799" s="110"/>
      <c r="J2799" s="113"/>
      <c r="K2799" s="110"/>
      <c r="W2799" s="4"/>
      <c r="AB2799" s="36"/>
      <c r="AC2799" s="72"/>
      <c r="AD2799" s="36" t="s">
        <v>562</v>
      </c>
      <c r="AE2799" s="36"/>
      <c r="AF2799" s="98"/>
      <c r="AG2799" s="36">
        <f>AG2797/AB2789</f>
        <v>5901.52</v>
      </c>
    </row>
    <row r="2800" spans="6:33" ht="54.75" customHeight="1">
      <c r="F2800" s="904" t="s">
        <v>574</v>
      </c>
      <c r="G2800" s="905" t="s">
        <v>2290</v>
      </c>
      <c r="H2800" s="906" t="s">
        <v>258</v>
      </c>
      <c r="I2800" s="861"/>
      <c r="J2800" s="907"/>
      <c r="K2800" s="861"/>
      <c r="W2800" s="4"/>
      <c r="AB2800" s="36"/>
      <c r="AC2800" s="72"/>
      <c r="AD2800" s="36"/>
      <c r="AE2800" s="36"/>
      <c r="AF2800" s="98"/>
      <c r="AG2800" s="407" t="s">
        <v>148</v>
      </c>
    </row>
    <row r="2801" spans="6:23" ht="24" customHeight="1">
      <c r="F2801" s="861"/>
      <c r="G2801" s="908"/>
      <c r="H2801" s="906" t="s">
        <v>259</v>
      </c>
      <c r="I2801" s="861"/>
      <c r="J2801" s="907"/>
      <c r="K2801" s="861"/>
      <c r="W2801" s="4"/>
    </row>
    <row r="2802" spans="6:23" ht="24" customHeight="1">
      <c r="F2802" s="861"/>
      <c r="G2802" s="908"/>
      <c r="H2802" s="906" t="s">
        <v>1496</v>
      </c>
      <c r="I2802" s="909" t="s">
        <v>2250</v>
      </c>
      <c r="J2802" s="907"/>
      <c r="K2802" s="861"/>
      <c r="W2802" s="4"/>
    </row>
    <row r="2803" spans="6:23" ht="24" customHeight="1">
      <c r="F2803" s="861"/>
      <c r="G2803" s="908"/>
      <c r="H2803" s="910" t="s">
        <v>1615</v>
      </c>
      <c r="I2803" s="861"/>
      <c r="J2803" s="907"/>
      <c r="K2803" s="861"/>
      <c r="W2803" s="4"/>
    </row>
    <row r="2804" spans="6:23" ht="24" customHeight="1">
      <c r="F2804" s="861"/>
      <c r="G2804" s="908"/>
      <c r="H2804" s="906" t="s">
        <v>1916</v>
      </c>
      <c r="I2804" s="861"/>
      <c r="J2804" s="907"/>
      <c r="K2804" s="861"/>
      <c r="W2804" s="4"/>
    </row>
    <row r="2805" spans="6:23" ht="24" customHeight="1">
      <c r="F2805" s="861"/>
      <c r="G2805" s="908"/>
      <c r="H2805" s="906" t="s">
        <v>1917</v>
      </c>
      <c r="I2805" s="861"/>
      <c r="J2805" s="907"/>
      <c r="K2805" s="861"/>
      <c r="W2805" s="4"/>
    </row>
    <row r="2806" spans="6:23" ht="24" customHeight="1">
      <c r="F2806" s="861"/>
      <c r="G2806" s="908"/>
      <c r="H2806" s="861"/>
      <c r="I2806" s="861"/>
      <c r="J2806" s="904" t="s">
        <v>1615</v>
      </c>
      <c r="K2806" s="861"/>
      <c r="W2806" s="4"/>
    </row>
    <row r="2807" spans="6:23" ht="24" customHeight="1">
      <c r="F2807" s="861"/>
      <c r="G2807" s="908"/>
      <c r="H2807" s="906" t="s">
        <v>1325</v>
      </c>
      <c r="I2807" s="861"/>
      <c r="J2807" s="907"/>
      <c r="K2807" s="861"/>
      <c r="M2807" s="117" t="s">
        <v>574</v>
      </c>
      <c r="N2807" s="118" t="s">
        <v>2290</v>
      </c>
      <c r="O2807" s="119" t="s">
        <v>258</v>
      </c>
      <c r="P2807" s="110"/>
      <c r="Q2807" s="113"/>
      <c r="R2807" s="110"/>
      <c r="W2807" s="4"/>
    </row>
    <row r="2808" spans="6:23" ht="24" customHeight="1">
      <c r="F2808" s="861"/>
      <c r="G2808" s="908"/>
      <c r="H2808" s="906" t="s">
        <v>1326</v>
      </c>
      <c r="I2808" s="861"/>
      <c r="J2808" s="907"/>
      <c r="K2808" s="911">
        <v>2.7099999999999999E-2</v>
      </c>
      <c r="M2808" s="110"/>
      <c r="N2808" s="111"/>
      <c r="O2808" s="119" t="s">
        <v>259</v>
      </c>
      <c r="P2808" s="110"/>
      <c r="Q2808" s="113"/>
      <c r="R2808" s="110"/>
      <c r="W2808" s="4"/>
    </row>
    <row r="2809" spans="6:23" ht="24" customHeight="1">
      <c r="F2809" s="861"/>
      <c r="G2809" s="908"/>
      <c r="H2809" s="861"/>
      <c r="I2809" s="861"/>
      <c r="J2809" s="904" t="s">
        <v>992</v>
      </c>
      <c r="K2809" s="910" t="s">
        <v>1615</v>
      </c>
      <c r="M2809" s="110"/>
      <c r="N2809" s="111"/>
      <c r="O2809" s="119" t="s">
        <v>721</v>
      </c>
      <c r="P2809" s="116" t="s">
        <v>2249</v>
      </c>
      <c r="Q2809" s="113"/>
      <c r="R2809" s="110"/>
      <c r="W2809" s="4"/>
    </row>
    <row r="2810" spans="6:23" ht="24" customHeight="1">
      <c r="F2810" s="861"/>
      <c r="G2810" s="908"/>
      <c r="H2810" s="906" t="s">
        <v>1327</v>
      </c>
      <c r="I2810" s="861"/>
      <c r="J2810" s="912" t="s">
        <v>992</v>
      </c>
      <c r="K2810" s="911">
        <v>1.2840000000000001E-2</v>
      </c>
      <c r="M2810" s="110"/>
      <c r="N2810" s="111"/>
      <c r="O2810" s="120" t="s">
        <v>1615</v>
      </c>
      <c r="P2810" s="110"/>
      <c r="Q2810" s="113"/>
      <c r="R2810" s="110"/>
      <c r="W2810" s="4"/>
    </row>
    <row r="2811" spans="6:23" ht="24" customHeight="1">
      <c r="F2811" s="861"/>
      <c r="G2811" s="908"/>
      <c r="H2811" s="906" t="s">
        <v>2251</v>
      </c>
      <c r="I2811" s="861"/>
      <c r="J2811" s="904" t="s">
        <v>992</v>
      </c>
      <c r="K2811" s="911">
        <v>3.5799999999999998E-3</v>
      </c>
      <c r="M2811" s="110"/>
      <c r="N2811" s="111"/>
      <c r="O2811" s="119" t="s">
        <v>428</v>
      </c>
      <c r="P2811" s="110"/>
      <c r="Q2811" s="113"/>
      <c r="R2811" s="110"/>
      <c r="W2811" s="4"/>
    </row>
    <row r="2812" spans="6:23" ht="24" customHeight="1">
      <c r="F2812" s="913"/>
      <c r="G2812" s="908"/>
      <c r="H2812" s="861"/>
      <c r="I2812" s="861"/>
      <c r="J2812" s="907"/>
      <c r="K2812" s="910" t="s">
        <v>1615</v>
      </c>
      <c r="M2812" s="110"/>
      <c r="N2812" s="111"/>
      <c r="O2812" s="119" t="s">
        <v>1917</v>
      </c>
      <c r="P2812" s="110"/>
      <c r="Q2812" s="113"/>
      <c r="R2812" s="110"/>
      <c r="W2812" s="4"/>
    </row>
    <row r="2813" spans="6:23" ht="24" customHeight="1">
      <c r="F2813" s="911">
        <v>1.898E-2</v>
      </c>
      <c r="G2813" s="905" t="s">
        <v>885</v>
      </c>
      <c r="H2813" s="906" t="s">
        <v>313</v>
      </c>
      <c r="I2813" s="914">
        <f>AC26</f>
        <v>111600</v>
      </c>
      <c r="J2813" s="904" t="s">
        <v>885</v>
      </c>
      <c r="K2813" s="914">
        <f>(F2813*I2813)</f>
        <v>2118.17</v>
      </c>
      <c r="M2813" s="110"/>
      <c r="N2813" s="111"/>
      <c r="O2813" s="110"/>
      <c r="P2813" s="110"/>
      <c r="Q2813" s="117" t="s">
        <v>1615</v>
      </c>
      <c r="R2813" s="110"/>
      <c r="W2813" s="4"/>
    </row>
    <row r="2814" spans="6:23" ht="24" customHeight="1">
      <c r="F2814" s="911">
        <f>K2808</f>
        <v>2.7099999999999999E-2</v>
      </c>
      <c r="G2814" s="905" t="s">
        <v>885</v>
      </c>
      <c r="H2814" s="906" t="s">
        <v>314</v>
      </c>
      <c r="I2814" s="914">
        <f>AC27</f>
        <v>99400</v>
      </c>
      <c r="J2814" s="904" t="s">
        <v>885</v>
      </c>
      <c r="K2814" s="914">
        <f t="shared" ref="K2814:K2824" si="278">(F2814*I2814)</f>
        <v>2693.74</v>
      </c>
      <c r="M2814" s="110"/>
      <c r="N2814" s="111"/>
      <c r="O2814" s="119" t="s">
        <v>430</v>
      </c>
      <c r="P2814" s="110"/>
      <c r="Q2814" s="113"/>
      <c r="R2814" s="110"/>
      <c r="W2814" s="4"/>
    </row>
    <row r="2815" spans="6:23" ht="24" customHeight="1">
      <c r="F2815" s="911">
        <f>L2778</f>
        <v>1.6420000000000001E-2</v>
      </c>
      <c r="G2815" s="905" t="s">
        <v>885</v>
      </c>
      <c r="H2815" s="906" t="s">
        <v>315</v>
      </c>
      <c r="I2815" s="914">
        <f>AC28</f>
        <v>95000</v>
      </c>
      <c r="J2815" s="904" t="s">
        <v>885</v>
      </c>
      <c r="K2815" s="914">
        <f t="shared" si="278"/>
        <v>1559.9</v>
      </c>
      <c r="M2815" s="110"/>
      <c r="N2815" s="111"/>
      <c r="O2815" s="119" t="s">
        <v>2247</v>
      </c>
      <c r="P2815" s="110"/>
      <c r="Q2815" s="113"/>
      <c r="R2815" s="130">
        <v>2.784E-2</v>
      </c>
      <c r="W2815" s="4"/>
    </row>
    <row r="2816" spans="6:23" ht="24" customHeight="1">
      <c r="F2816" s="915"/>
      <c r="G2816" s="908"/>
      <c r="H2816" s="906" t="s">
        <v>961</v>
      </c>
      <c r="I2816" s="914"/>
      <c r="J2816" s="907"/>
      <c r="K2816" s="914"/>
      <c r="M2816" s="110"/>
      <c r="N2816" s="111"/>
      <c r="O2816" s="110"/>
      <c r="P2816" s="110"/>
      <c r="Q2816" s="117" t="s">
        <v>992</v>
      </c>
      <c r="R2816" s="120" t="s">
        <v>1615</v>
      </c>
      <c r="W2816" s="4"/>
    </row>
    <row r="2817" spans="6:23" ht="24" customHeight="1">
      <c r="F2817" s="915">
        <v>1.8225</v>
      </c>
      <c r="G2817" s="905" t="s">
        <v>621</v>
      </c>
      <c r="H2817" s="906" t="s">
        <v>453</v>
      </c>
      <c r="I2817" s="914">
        <f>I954</f>
        <v>1602.7</v>
      </c>
      <c r="J2817" s="904" t="s">
        <v>621</v>
      </c>
      <c r="K2817" s="914">
        <f t="shared" si="278"/>
        <v>2920.92</v>
      </c>
      <c r="M2817" s="110"/>
      <c r="N2817" s="111"/>
      <c r="O2817" s="119" t="s">
        <v>2248</v>
      </c>
      <c r="P2817" s="110"/>
      <c r="Q2817" s="131" t="s">
        <v>992</v>
      </c>
      <c r="R2817" s="130">
        <v>2.5499999999999998E-2</v>
      </c>
      <c r="W2817" s="4"/>
    </row>
    <row r="2818" spans="6:23" ht="24" customHeight="1">
      <c r="F2818" s="914">
        <v>2</v>
      </c>
      <c r="G2818" s="905" t="s">
        <v>785</v>
      </c>
      <c r="H2818" s="906" t="s">
        <v>5708</v>
      </c>
      <c r="I2818" s="916">
        <v>254.5</v>
      </c>
      <c r="J2818" s="904" t="s">
        <v>884</v>
      </c>
      <c r="K2818" s="914">
        <f t="shared" si="278"/>
        <v>509</v>
      </c>
      <c r="M2818" s="110"/>
      <c r="N2818" s="111"/>
      <c r="O2818" s="119"/>
      <c r="P2818" s="110"/>
      <c r="Q2818" s="117" t="s">
        <v>992</v>
      </c>
      <c r="R2818" s="130"/>
      <c r="W2818" s="4"/>
    </row>
    <row r="2819" spans="6:23" ht="24" customHeight="1">
      <c r="F2819" s="914">
        <v>3</v>
      </c>
      <c r="G2819" s="905" t="s">
        <v>884</v>
      </c>
      <c r="H2819" s="906" t="s">
        <v>5709</v>
      </c>
      <c r="I2819" s="916">
        <v>214.1</v>
      </c>
      <c r="J2819" s="904" t="s">
        <v>884</v>
      </c>
      <c r="K2819" s="914">
        <f t="shared" si="278"/>
        <v>642.29999999999995</v>
      </c>
      <c r="M2819" s="110"/>
      <c r="N2819" s="111"/>
      <c r="O2819" s="110"/>
      <c r="P2819" s="110"/>
      <c r="Q2819" s="113"/>
      <c r="R2819" s="120" t="s">
        <v>1615</v>
      </c>
      <c r="W2819" s="4"/>
    </row>
    <row r="2820" spans="6:23" ht="24" customHeight="1">
      <c r="F2820" s="914">
        <v>2</v>
      </c>
      <c r="G2820" s="905" t="s">
        <v>884</v>
      </c>
      <c r="H2820" s="906" t="s">
        <v>5710</v>
      </c>
      <c r="I2820" s="916">
        <v>408</v>
      </c>
      <c r="J2820" s="904" t="s">
        <v>884</v>
      </c>
      <c r="K2820" s="914">
        <f t="shared" si="278"/>
        <v>816</v>
      </c>
      <c r="M2820" s="130">
        <v>1.898E-2</v>
      </c>
      <c r="N2820" s="118" t="s">
        <v>885</v>
      </c>
      <c r="O2820" s="119" t="s">
        <v>313</v>
      </c>
      <c r="P2820" s="121">
        <f>I2813</f>
        <v>111600</v>
      </c>
      <c r="Q2820" s="117" t="s">
        <v>885</v>
      </c>
      <c r="R2820" s="121">
        <f>(M2820*P2820)</f>
        <v>2118.17</v>
      </c>
      <c r="W2820" s="4"/>
    </row>
    <row r="2821" spans="6:23" ht="24" customHeight="1">
      <c r="F2821" s="914">
        <v>1</v>
      </c>
      <c r="G2821" s="905" t="s">
        <v>884</v>
      </c>
      <c r="H2821" s="906" t="s">
        <v>5711</v>
      </c>
      <c r="I2821" s="916">
        <v>836</v>
      </c>
      <c r="J2821" s="904" t="s">
        <v>884</v>
      </c>
      <c r="K2821" s="914">
        <f t="shared" si="278"/>
        <v>836</v>
      </c>
      <c r="M2821" s="130">
        <f>R2815</f>
        <v>2.784E-2</v>
      </c>
      <c r="N2821" s="118" t="s">
        <v>885</v>
      </c>
      <c r="O2821" s="119" t="s">
        <v>314</v>
      </c>
      <c r="P2821" s="121">
        <f t="shared" ref="P2821:P2830" si="279">I2814</f>
        <v>99400</v>
      </c>
      <c r="Q2821" s="117" t="s">
        <v>885</v>
      </c>
      <c r="R2821" s="121">
        <f t="shared" ref="R2821:R2830" si="280">(M2821*P2821)</f>
        <v>2767.3</v>
      </c>
      <c r="W2821" s="4"/>
    </row>
    <row r="2822" spans="6:23" ht="24" customHeight="1">
      <c r="F2822" s="914">
        <v>1</v>
      </c>
      <c r="G2822" s="905" t="s">
        <v>884</v>
      </c>
      <c r="H2822" s="906" t="s">
        <v>1493</v>
      </c>
      <c r="I2822" s="1016">
        <v>7.3</v>
      </c>
      <c r="J2822" s="904" t="s">
        <v>884</v>
      </c>
      <c r="K2822" s="914">
        <f t="shared" si="278"/>
        <v>7.3</v>
      </c>
      <c r="M2822" s="130">
        <f>R2817</f>
        <v>2.5499999999999998E-2</v>
      </c>
      <c r="N2822" s="118" t="s">
        <v>885</v>
      </c>
      <c r="O2822" s="119" t="s">
        <v>315</v>
      </c>
      <c r="P2822" s="121">
        <f t="shared" si="279"/>
        <v>95000</v>
      </c>
      <c r="Q2822" s="117" t="s">
        <v>885</v>
      </c>
      <c r="R2822" s="121">
        <f t="shared" si="280"/>
        <v>2422.5</v>
      </c>
      <c r="W2822" s="4"/>
    </row>
    <row r="2823" spans="6:23" ht="24" customHeight="1">
      <c r="F2823" s="914">
        <v>1</v>
      </c>
      <c r="G2823" s="905" t="s">
        <v>884</v>
      </c>
      <c r="H2823" s="906" t="s">
        <v>5712</v>
      </c>
      <c r="I2823" s="916">
        <v>49.55</v>
      </c>
      <c r="J2823" s="904" t="s">
        <v>884</v>
      </c>
      <c r="K2823" s="914">
        <f t="shared" si="278"/>
        <v>49.55</v>
      </c>
      <c r="M2823" s="132"/>
      <c r="N2823" s="111"/>
      <c r="O2823" s="119" t="s">
        <v>2252</v>
      </c>
      <c r="P2823" s="121"/>
      <c r="Q2823" s="113"/>
      <c r="R2823" s="121"/>
      <c r="W2823" s="4"/>
    </row>
    <row r="2824" spans="6:23" ht="24" customHeight="1">
      <c r="F2824" s="861">
        <v>64</v>
      </c>
      <c r="G2824" s="908"/>
      <c r="H2824" s="861" t="s">
        <v>3741</v>
      </c>
      <c r="I2824" s="917">
        <f>P1121</f>
        <v>2.41</v>
      </c>
      <c r="J2824" s="907"/>
      <c r="K2824" s="914">
        <f t="shared" si="278"/>
        <v>154.24</v>
      </c>
      <c r="M2824" s="132">
        <v>2.2275</v>
      </c>
      <c r="N2824" s="118" t="s">
        <v>621</v>
      </c>
      <c r="O2824" s="119" t="s">
        <v>453</v>
      </c>
      <c r="P2824" s="121">
        <f t="shared" si="279"/>
        <v>1602.7</v>
      </c>
      <c r="Q2824" s="117" t="s">
        <v>621</v>
      </c>
      <c r="R2824" s="121">
        <f t="shared" si="280"/>
        <v>3570.01</v>
      </c>
      <c r="W2824" s="4"/>
    </row>
    <row r="2825" spans="6:23" ht="24" customHeight="1">
      <c r="F2825" s="861"/>
      <c r="G2825" s="908"/>
      <c r="H2825" s="906" t="s">
        <v>1005</v>
      </c>
      <c r="I2825" s="861"/>
      <c r="J2825" s="907"/>
      <c r="K2825" s="914">
        <f>SUM(K2813:K2824)</f>
        <v>12307.12</v>
      </c>
      <c r="M2825" s="121">
        <v>1</v>
      </c>
      <c r="N2825" s="118" t="s">
        <v>785</v>
      </c>
      <c r="O2825" s="119" t="s">
        <v>1489</v>
      </c>
      <c r="P2825" s="121">
        <f t="shared" si="279"/>
        <v>254.5</v>
      </c>
      <c r="Q2825" s="117" t="s">
        <v>884</v>
      </c>
      <c r="R2825" s="121">
        <f t="shared" si="280"/>
        <v>254.5</v>
      </c>
      <c r="W2825" s="4"/>
    </row>
    <row r="2826" spans="6:23" ht="24" customHeight="1">
      <c r="F2826" s="861"/>
      <c r="G2826" s="908"/>
      <c r="H2826" s="861"/>
      <c r="I2826" s="861"/>
      <c r="J2826" s="907"/>
      <c r="K2826" s="910" t="s">
        <v>1615</v>
      </c>
      <c r="M2826" s="121">
        <v>3</v>
      </c>
      <c r="N2826" s="118" t="s">
        <v>884</v>
      </c>
      <c r="O2826" s="119" t="s">
        <v>1490</v>
      </c>
      <c r="P2826" s="121">
        <f t="shared" si="279"/>
        <v>214.1</v>
      </c>
      <c r="Q2826" s="117" t="s">
        <v>884</v>
      </c>
      <c r="R2826" s="121">
        <f t="shared" si="280"/>
        <v>642.29999999999995</v>
      </c>
      <c r="W2826" s="4"/>
    </row>
    <row r="2827" spans="6:23" ht="24" customHeight="1">
      <c r="F2827" s="110"/>
      <c r="G2827" s="111"/>
      <c r="H2827" s="119" t="s">
        <v>562</v>
      </c>
      <c r="I2827" s="110"/>
      <c r="J2827" s="113"/>
      <c r="K2827" s="109">
        <f>K2825/F2817</f>
        <v>6752.88</v>
      </c>
      <c r="M2827" s="121">
        <v>2</v>
      </c>
      <c r="N2827" s="118" t="s">
        <v>884</v>
      </c>
      <c r="O2827" s="119" t="s">
        <v>1491</v>
      </c>
      <c r="P2827" s="121">
        <f t="shared" si="279"/>
        <v>408</v>
      </c>
      <c r="Q2827" s="117" t="s">
        <v>884</v>
      </c>
      <c r="R2827" s="121">
        <f t="shared" si="280"/>
        <v>816</v>
      </c>
      <c r="W2827" s="4"/>
    </row>
    <row r="2828" spans="6:23" ht="24" customHeight="1">
      <c r="F2828" s="110"/>
      <c r="G2828" s="111"/>
      <c r="H2828" s="110"/>
      <c r="I2828" s="110"/>
      <c r="J2828" s="113"/>
      <c r="K2828" s="110"/>
      <c r="M2828" s="121">
        <v>1</v>
      </c>
      <c r="N2828" s="118" t="s">
        <v>884</v>
      </c>
      <c r="O2828" s="119" t="s">
        <v>1492</v>
      </c>
      <c r="P2828" s="121">
        <f t="shared" si="279"/>
        <v>836</v>
      </c>
      <c r="Q2828" s="117" t="s">
        <v>884</v>
      </c>
      <c r="R2828" s="121">
        <f t="shared" si="280"/>
        <v>836</v>
      </c>
      <c r="W2828" s="4"/>
    </row>
    <row r="2829" spans="6:23" ht="24" customHeight="1">
      <c r="F2829" s="117" t="s">
        <v>574</v>
      </c>
      <c r="G2829" s="118" t="s">
        <v>2290</v>
      </c>
      <c r="H2829" s="119" t="s">
        <v>1802</v>
      </c>
      <c r="I2829" s="110"/>
      <c r="J2829" s="113"/>
      <c r="K2829" s="110"/>
      <c r="M2829" s="121">
        <v>1</v>
      </c>
      <c r="N2829" s="118" t="s">
        <v>884</v>
      </c>
      <c r="O2829" s="119" t="s">
        <v>1493</v>
      </c>
      <c r="P2829" s="121">
        <f t="shared" si="279"/>
        <v>7.3</v>
      </c>
      <c r="Q2829" s="117" t="s">
        <v>884</v>
      </c>
      <c r="R2829" s="121">
        <f t="shared" si="280"/>
        <v>7.3</v>
      </c>
      <c r="W2829" s="4"/>
    </row>
    <row r="2830" spans="6:23" ht="24" customHeight="1">
      <c r="F2830" s="110"/>
      <c r="G2830" s="111"/>
      <c r="H2830" s="119" t="s">
        <v>259</v>
      </c>
      <c r="I2830" s="110"/>
      <c r="J2830" s="113"/>
      <c r="K2830" s="110"/>
      <c r="M2830" s="121">
        <v>1</v>
      </c>
      <c r="N2830" s="118" t="s">
        <v>884</v>
      </c>
      <c r="O2830" s="119" t="s">
        <v>2018</v>
      </c>
      <c r="P2830" s="121">
        <f t="shared" si="279"/>
        <v>49.55</v>
      </c>
      <c r="Q2830" s="117" t="s">
        <v>884</v>
      </c>
      <c r="R2830" s="121">
        <f t="shared" si="280"/>
        <v>49.55</v>
      </c>
      <c r="W2830" s="4"/>
    </row>
    <row r="2831" spans="6:23" ht="24" customHeight="1">
      <c r="F2831" s="110"/>
      <c r="G2831" s="111"/>
      <c r="H2831" s="119" t="s">
        <v>1496</v>
      </c>
      <c r="I2831" s="110"/>
      <c r="J2831" s="113">
        <f>1.1*2.025</f>
        <v>2.23</v>
      </c>
      <c r="K2831" s="110"/>
      <c r="M2831" s="110">
        <v>58</v>
      </c>
      <c r="N2831" s="118" t="s">
        <v>884</v>
      </c>
      <c r="O2831" s="110" t="s">
        <v>1776</v>
      </c>
      <c r="P2831" s="110">
        <f>P1121</f>
        <v>2.41</v>
      </c>
      <c r="Q2831" s="113" t="s">
        <v>884</v>
      </c>
      <c r="R2831" s="121">
        <f>(M2831*P2831)</f>
        <v>139.78</v>
      </c>
      <c r="W2831" s="4"/>
    </row>
    <row r="2832" spans="6:23" ht="24" customHeight="1">
      <c r="F2832" s="110"/>
      <c r="G2832" s="111"/>
      <c r="H2832" s="120" t="s">
        <v>1615</v>
      </c>
      <c r="I2832" s="110"/>
      <c r="J2832" s="113"/>
      <c r="K2832" s="110"/>
      <c r="M2832" s="110"/>
      <c r="N2832" s="111"/>
      <c r="O2832" s="119" t="s">
        <v>3471</v>
      </c>
      <c r="P2832" s="110"/>
      <c r="Q2832" s="113"/>
      <c r="R2832" s="121">
        <f>SUM(R2820:R2831)</f>
        <v>13623.41</v>
      </c>
      <c r="W2832" s="4"/>
    </row>
    <row r="2833" spans="6:23" ht="28.5" customHeight="1">
      <c r="F2833" s="110"/>
      <c r="G2833" s="111"/>
      <c r="H2833" s="119" t="s">
        <v>91</v>
      </c>
      <c r="I2833" s="110"/>
      <c r="J2833" s="113"/>
      <c r="K2833" s="110"/>
      <c r="M2833" s="110"/>
      <c r="N2833" s="111"/>
      <c r="O2833" s="110"/>
      <c r="P2833" s="110"/>
      <c r="Q2833" s="113"/>
      <c r="R2833" s="120" t="s">
        <v>1615</v>
      </c>
      <c r="W2833" s="4"/>
    </row>
    <row r="2834" spans="6:23" ht="45.75">
      <c r="F2834" s="129">
        <v>1.823</v>
      </c>
      <c r="G2834" s="118" t="s">
        <v>621</v>
      </c>
      <c r="H2834" s="126" t="s">
        <v>5713</v>
      </c>
      <c r="I2834" s="1017">
        <v>2180</v>
      </c>
      <c r="J2834" s="117" t="s">
        <v>621</v>
      </c>
      <c r="K2834" s="110">
        <f>F2835*I2834</f>
        <v>3974.14</v>
      </c>
      <c r="M2834" s="110"/>
      <c r="N2834" s="111"/>
      <c r="O2834" s="119" t="s">
        <v>562</v>
      </c>
      <c r="P2834" s="110"/>
      <c r="Q2834" s="113"/>
      <c r="R2834" s="121">
        <f>R2832/M2824</f>
        <v>6116.01</v>
      </c>
      <c r="W2834" s="4"/>
    </row>
    <row r="2835" spans="6:23" ht="24" customHeight="1">
      <c r="F2835" s="133">
        <v>1.823</v>
      </c>
      <c r="G2835" s="118" t="s">
        <v>621</v>
      </c>
      <c r="H2835" s="498" t="s">
        <v>5155</v>
      </c>
      <c r="I2835" s="121">
        <f>AE52</f>
        <v>223.3</v>
      </c>
      <c r="J2835" s="117" t="s">
        <v>621</v>
      </c>
      <c r="K2835" s="121">
        <f t="shared" ref="K2835:K2841" si="281">(F2835*I2835)</f>
        <v>407.08</v>
      </c>
      <c r="W2835" s="4"/>
    </row>
    <row r="2836" spans="6:23" ht="24" customHeight="1">
      <c r="F2836" s="121">
        <v>2</v>
      </c>
      <c r="G2836" s="118" t="s">
        <v>785</v>
      </c>
      <c r="H2836" s="119" t="s">
        <v>1489</v>
      </c>
      <c r="I2836" s="121">
        <f t="shared" ref="I2836:I2841" si="282">I990</f>
        <v>57.65</v>
      </c>
      <c r="J2836" s="117" t="s">
        <v>884</v>
      </c>
      <c r="K2836" s="121">
        <f t="shared" si="281"/>
        <v>115.3</v>
      </c>
      <c r="W2836" s="4"/>
    </row>
    <row r="2837" spans="6:23" ht="24" customHeight="1">
      <c r="F2837" s="121">
        <v>3</v>
      </c>
      <c r="G2837" s="118" t="s">
        <v>884</v>
      </c>
      <c r="H2837" s="119" t="s">
        <v>1490</v>
      </c>
      <c r="I2837" s="121">
        <f t="shared" si="282"/>
        <v>89.6</v>
      </c>
      <c r="J2837" s="117" t="s">
        <v>884</v>
      </c>
      <c r="K2837" s="121">
        <f t="shared" si="281"/>
        <v>268.8</v>
      </c>
      <c r="W2837" s="4"/>
    </row>
    <row r="2838" spans="6:23" ht="24" customHeight="1">
      <c r="F2838" s="121">
        <v>2</v>
      </c>
      <c r="G2838" s="118" t="s">
        <v>884</v>
      </c>
      <c r="H2838" s="119" t="s">
        <v>1491</v>
      </c>
      <c r="I2838" s="121">
        <f t="shared" si="282"/>
        <v>64.8</v>
      </c>
      <c r="J2838" s="117" t="s">
        <v>884</v>
      </c>
      <c r="K2838" s="121">
        <f t="shared" si="281"/>
        <v>129.6</v>
      </c>
      <c r="W2838" s="4"/>
    </row>
    <row r="2839" spans="6:23" ht="24" customHeight="1">
      <c r="F2839" s="121">
        <v>1</v>
      </c>
      <c r="G2839" s="118" t="s">
        <v>884</v>
      </c>
      <c r="H2839" s="119" t="s">
        <v>1492</v>
      </c>
      <c r="I2839" s="121">
        <f t="shared" si="282"/>
        <v>181</v>
      </c>
      <c r="J2839" s="117" t="s">
        <v>884</v>
      </c>
      <c r="K2839" s="121">
        <f t="shared" si="281"/>
        <v>181</v>
      </c>
      <c r="W2839" s="4"/>
    </row>
    <row r="2840" spans="6:23" ht="24" customHeight="1">
      <c r="F2840" s="121">
        <v>1</v>
      </c>
      <c r="G2840" s="118" t="s">
        <v>884</v>
      </c>
      <c r="H2840" s="119" t="s">
        <v>1493</v>
      </c>
      <c r="I2840" s="121">
        <f t="shared" si="282"/>
        <v>7.3</v>
      </c>
      <c r="J2840" s="117" t="s">
        <v>884</v>
      </c>
      <c r="K2840" s="121">
        <f t="shared" si="281"/>
        <v>7.3</v>
      </c>
      <c r="M2840" s="117" t="s">
        <v>574</v>
      </c>
      <c r="N2840" s="118" t="s">
        <v>2290</v>
      </c>
      <c r="O2840" s="119" t="s">
        <v>258</v>
      </c>
      <c r="P2840" s="110"/>
      <c r="Q2840" s="113"/>
      <c r="R2840" s="110"/>
      <c r="W2840" s="4"/>
    </row>
    <row r="2841" spans="6:23" ht="24" customHeight="1">
      <c r="F2841" s="121">
        <v>1</v>
      </c>
      <c r="G2841" s="118" t="s">
        <v>884</v>
      </c>
      <c r="H2841" s="119" t="s">
        <v>2018</v>
      </c>
      <c r="I2841" s="121">
        <f t="shared" si="282"/>
        <v>49.55</v>
      </c>
      <c r="J2841" s="117" t="s">
        <v>884</v>
      </c>
      <c r="K2841" s="121">
        <f t="shared" si="281"/>
        <v>49.55</v>
      </c>
      <c r="M2841" s="110"/>
      <c r="N2841" s="111"/>
      <c r="O2841" s="119" t="s">
        <v>259</v>
      </c>
      <c r="P2841" s="116" t="s">
        <v>3473</v>
      </c>
      <c r="Q2841" s="113"/>
      <c r="R2841" s="110"/>
      <c r="W2841" s="4"/>
    </row>
    <row r="2842" spans="6:23" ht="24" customHeight="1">
      <c r="F2842" s="110"/>
      <c r="G2842" s="111"/>
      <c r="H2842" s="110"/>
      <c r="I2842" s="110"/>
      <c r="J2842" s="113"/>
      <c r="K2842" s="124">
        <v>0.85</v>
      </c>
      <c r="M2842" s="110"/>
      <c r="N2842" s="111"/>
      <c r="O2842" s="119" t="s">
        <v>721</v>
      </c>
      <c r="P2842" s="116" t="s">
        <v>3472</v>
      </c>
      <c r="Q2842" s="113"/>
      <c r="R2842" s="110"/>
      <c r="W2842" s="4"/>
    </row>
    <row r="2843" spans="6:23" ht="24" customHeight="1">
      <c r="F2843" s="110"/>
      <c r="G2843" s="111"/>
      <c r="H2843" s="119" t="s">
        <v>1245</v>
      </c>
      <c r="I2843" s="110"/>
      <c r="J2843" s="113"/>
      <c r="K2843" s="121">
        <f>SUM(K2834:K2842)</f>
        <v>5133.62</v>
      </c>
      <c r="M2843" s="110"/>
      <c r="N2843" s="111"/>
      <c r="O2843" s="120" t="s">
        <v>1615</v>
      </c>
      <c r="Q2843" s="113"/>
      <c r="R2843" s="110"/>
      <c r="W2843" s="4"/>
    </row>
    <row r="2844" spans="6:23" ht="24" customHeight="1">
      <c r="F2844" s="110"/>
      <c r="G2844" s="111"/>
      <c r="H2844" s="110"/>
      <c r="I2844" s="110"/>
      <c r="J2844" s="113"/>
      <c r="K2844" s="120" t="s">
        <v>1615</v>
      </c>
      <c r="M2844" s="110"/>
      <c r="N2844" s="111"/>
      <c r="O2844" s="119" t="s">
        <v>3468</v>
      </c>
      <c r="P2844" s="110"/>
      <c r="Q2844" s="113"/>
      <c r="R2844" s="110"/>
      <c r="W2844" s="4"/>
    </row>
    <row r="2845" spans="6:23" ht="24" customHeight="1">
      <c r="F2845" s="110"/>
      <c r="G2845" s="111"/>
      <c r="H2845" s="119" t="s">
        <v>562</v>
      </c>
      <c r="I2845" s="110"/>
      <c r="J2845" s="113"/>
      <c r="K2845" s="121">
        <f>K2843/F2835</f>
        <v>2816.03</v>
      </c>
      <c r="M2845" s="110"/>
      <c r="N2845" s="111"/>
      <c r="O2845" s="119" t="s">
        <v>3240</v>
      </c>
      <c r="P2845" s="110"/>
      <c r="Q2845" s="113"/>
      <c r="R2845" s="110"/>
      <c r="W2845" s="4"/>
    </row>
    <row r="2846" spans="6:23" ht="24" customHeight="1">
      <c r="F2846" s="119" t="s">
        <v>992</v>
      </c>
      <c r="G2846" s="111"/>
      <c r="H2846" s="110"/>
      <c r="I2846" s="110"/>
      <c r="J2846" s="113"/>
      <c r="K2846" s="110"/>
      <c r="M2846" s="110"/>
      <c r="N2846" s="111"/>
      <c r="O2846" s="110"/>
      <c r="P2846" s="110"/>
      <c r="Q2846" s="117" t="s">
        <v>1615</v>
      </c>
      <c r="R2846" s="110"/>
      <c r="W2846" s="4"/>
    </row>
    <row r="2847" spans="6:23" ht="24" customHeight="1">
      <c r="F2847" s="110"/>
      <c r="G2847" s="111"/>
      <c r="H2847" s="110"/>
      <c r="I2847" s="110"/>
      <c r="J2847" s="113"/>
      <c r="K2847" s="110"/>
      <c r="M2847" s="110"/>
      <c r="N2847" s="111"/>
      <c r="O2847" s="119" t="s">
        <v>2426</v>
      </c>
      <c r="P2847" s="110"/>
      <c r="Q2847" s="113"/>
      <c r="R2847" s="110"/>
      <c r="W2847" s="4"/>
    </row>
    <row r="2848" spans="6:23" ht="24" customHeight="1">
      <c r="F2848" s="125" t="s">
        <v>896</v>
      </c>
      <c r="G2848" s="111"/>
      <c r="H2848" s="119" t="s">
        <v>575</v>
      </c>
      <c r="I2848" s="110"/>
      <c r="J2848" s="134"/>
      <c r="K2848" s="110"/>
      <c r="M2848" s="110"/>
      <c r="N2848" s="111"/>
      <c r="O2848" s="119" t="s">
        <v>2427</v>
      </c>
      <c r="P2848" s="110"/>
      <c r="Q2848" s="113"/>
      <c r="R2848" s="130">
        <v>2.8910000000000002E-2</v>
      </c>
      <c r="W2848" s="4"/>
    </row>
    <row r="2849" spans="6:23" ht="24" customHeight="1">
      <c r="F2849" s="110"/>
      <c r="G2849" s="111"/>
      <c r="H2849" s="120" t="s">
        <v>1615</v>
      </c>
      <c r="I2849" s="120" t="s">
        <v>1615</v>
      </c>
      <c r="J2849" s="119" t="s">
        <v>1615</v>
      </c>
      <c r="K2849" s="110"/>
      <c r="M2849" s="110"/>
      <c r="N2849" s="111"/>
      <c r="O2849" s="110"/>
      <c r="P2849" s="110"/>
      <c r="Q2849" s="117" t="s">
        <v>992</v>
      </c>
      <c r="R2849" s="120" t="s">
        <v>1615</v>
      </c>
      <c r="W2849" s="4"/>
    </row>
    <row r="2850" spans="6:23" ht="24" customHeight="1">
      <c r="F2850" s="110"/>
      <c r="G2850" s="111"/>
      <c r="H2850" s="110"/>
      <c r="I2850" s="110"/>
      <c r="J2850" s="134"/>
      <c r="K2850" s="110"/>
      <c r="M2850" s="110"/>
      <c r="N2850" s="111"/>
      <c r="O2850" s="119" t="s">
        <v>2428</v>
      </c>
      <c r="P2850" s="110"/>
      <c r="Q2850" s="131" t="s">
        <v>992</v>
      </c>
      <c r="R2850" s="130"/>
      <c r="W2850" s="4"/>
    </row>
    <row r="2851" spans="6:23" ht="24" customHeight="1">
      <c r="F2851" s="110"/>
      <c r="G2851" s="111"/>
      <c r="H2851" s="119" t="s">
        <v>2036</v>
      </c>
      <c r="I2851" s="110"/>
      <c r="J2851" s="134"/>
      <c r="K2851" s="110"/>
      <c r="M2851" s="110"/>
      <c r="N2851" s="111"/>
      <c r="O2851" s="119" t="s">
        <v>3469</v>
      </c>
      <c r="P2851" s="110"/>
      <c r="Q2851" s="117" t="s">
        <v>992</v>
      </c>
      <c r="R2851" s="130">
        <v>1.7999999999999999E-2</v>
      </c>
      <c r="W2851" s="4"/>
    </row>
    <row r="2852" spans="6:23" ht="24" customHeight="1">
      <c r="F2852" s="110"/>
      <c r="G2852" s="111"/>
      <c r="H2852" s="119"/>
      <c r="I2852" s="110"/>
      <c r="J2852" s="134"/>
      <c r="K2852" s="110"/>
      <c r="M2852" s="110"/>
      <c r="N2852" s="111"/>
      <c r="O2852" s="110"/>
      <c r="P2852" s="110"/>
      <c r="Q2852" s="113"/>
      <c r="R2852" s="120" t="s">
        <v>1615</v>
      </c>
      <c r="W2852" s="4"/>
    </row>
    <row r="2853" spans="6:23" ht="24" customHeight="1">
      <c r="F2853" s="110"/>
      <c r="G2853" s="111"/>
      <c r="H2853" s="135" t="s">
        <v>2037</v>
      </c>
      <c r="I2853" s="110"/>
      <c r="J2853" s="134"/>
      <c r="K2853" s="136"/>
      <c r="M2853" s="130">
        <v>1.9220000000000001E-2</v>
      </c>
      <c r="N2853" s="118" t="s">
        <v>885</v>
      </c>
      <c r="O2853" s="119" t="s">
        <v>313</v>
      </c>
      <c r="P2853" s="121">
        <f>P2820</f>
        <v>111600</v>
      </c>
      <c r="Q2853" s="117" t="s">
        <v>885</v>
      </c>
      <c r="R2853" s="121">
        <f>(M2853*P2853)</f>
        <v>2144.9499999999998</v>
      </c>
      <c r="W2853" s="4"/>
    </row>
    <row r="2854" spans="6:23" ht="24" customHeight="1">
      <c r="F2854" s="110"/>
      <c r="G2854" s="111"/>
      <c r="H2854" s="119" t="s">
        <v>460</v>
      </c>
      <c r="I2854" s="137">
        <f>0.0118+0.00675</f>
        <v>1.8550000000000001E-2</v>
      </c>
      <c r="J2854" s="134"/>
      <c r="K2854" s="110"/>
      <c r="M2854" s="130">
        <f>R2848</f>
        <v>2.8910000000000002E-2</v>
      </c>
      <c r="N2854" s="118" t="s">
        <v>885</v>
      </c>
      <c r="O2854" s="119" t="s">
        <v>314</v>
      </c>
      <c r="P2854" s="121">
        <f t="shared" ref="P2854:P2863" si="283">P2821</f>
        <v>99400</v>
      </c>
      <c r="Q2854" s="117" t="s">
        <v>885</v>
      </c>
      <c r="R2854" s="121">
        <f>(M2854*P2854)</f>
        <v>2873.65</v>
      </c>
      <c r="W2854" s="4"/>
    </row>
    <row r="2855" spans="6:23" ht="24" customHeight="1">
      <c r="F2855" s="110"/>
      <c r="G2855" s="111"/>
      <c r="H2855" s="119" t="s">
        <v>461</v>
      </c>
      <c r="I2855" s="110"/>
      <c r="J2855" s="134"/>
      <c r="K2855" s="110"/>
      <c r="M2855" s="130">
        <f>R2851</f>
        <v>1.7999999999999999E-2</v>
      </c>
      <c r="N2855" s="118" t="s">
        <v>885</v>
      </c>
      <c r="O2855" s="119" t="s">
        <v>315</v>
      </c>
      <c r="P2855" s="121">
        <f t="shared" si="283"/>
        <v>95000</v>
      </c>
      <c r="Q2855" s="117" t="s">
        <v>885</v>
      </c>
      <c r="R2855" s="121">
        <f>(M2855*P2855)</f>
        <v>1710</v>
      </c>
      <c r="W2855" s="4"/>
    </row>
    <row r="2856" spans="6:23" ht="24" customHeight="1">
      <c r="F2856" s="110"/>
      <c r="G2856" s="111"/>
      <c r="H2856" s="119" t="s">
        <v>462</v>
      </c>
      <c r="I2856" s="110"/>
      <c r="J2856" s="134"/>
      <c r="K2856" s="110"/>
      <c r="M2856" s="132"/>
      <c r="N2856" s="111"/>
      <c r="O2856" s="119" t="s">
        <v>2252</v>
      </c>
      <c r="P2856" s="121"/>
      <c r="Q2856" s="113"/>
      <c r="R2856" s="121"/>
      <c r="W2856" s="4"/>
    </row>
    <row r="2857" spans="6:23" ht="24" customHeight="1">
      <c r="F2857" s="110"/>
      <c r="G2857" s="111"/>
      <c r="H2857" s="119" t="s">
        <v>897</v>
      </c>
      <c r="I2857" s="110"/>
      <c r="J2857" s="119" t="s">
        <v>992</v>
      </c>
      <c r="K2857" s="130">
        <v>3.7699999999999997E-2</v>
      </c>
      <c r="M2857" s="132">
        <v>2.2549999999999999</v>
      </c>
      <c r="N2857" s="118" t="s">
        <v>621</v>
      </c>
      <c r="O2857" s="119" t="s">
        <v>453</v>
      </c>
      <c r="P2857" s="121">
        <f t="shared" si="283"/>
        <v>1602.7</v>
      </c>
      <c r="Q2857" s="117" t="s">
        <v>621</v>
      </c>
      <c r="R2857" s="121">
        <f t="shared" ref="R2857:R2863" si="284">(M2857*P2857)</f>
        <v>3614.09</v>
      </c>
      <c r="W2857" s="4"/>
    </row>
    <row r="2858" spans="6:23" ht="24" customHeight="1">
      <c r="F2858" s="110"/>
      <c r="G2858" s="111"/>
      <c r="H2858" s="119" t="s">
        <v>169</v>
      </c>
      <c r="I2858" s="110"/>
      <c r="J2858" s="135" t="s">
        <v>992</v>
      </c>
      <c r="K2858" s="135" t="s">
        <v>992</v>
      </c>
      <c r="M2858" s="121">
        <v>1</v>
      </c>
      <c r="N2858" s="118" t="s">
        <v>785</v>
      </c>
      <c r="O2858" s="119" t="s">
        <v>1489</v>
      </c>
      <c r="P2858" s="121">
        <f t="shared" si="283"/>
        <v>254.5</v>
      </c>
      <c r="Q2858" s="117" t="s">
        <v>884</v>
      </c>
      <c r="R2858" s="121">
        <f t="shared" si="284"/>
        <v>254.5</v>
      </c>
      <c r="W2858" s="4"/>
    </row>
    <row r="2859" spans="6:23" ht="67.5" customHeight="1">
      <c r="F2859" s="110"/>
      <c r="G2859" s="111"/>
      <c r="H2859" s="119" t="s">
        <v>1864</v>
      </c>
      <c r="I2859" s="110"/>
      <c r="J2859" s="134"/>
      <c r="K2859" s="135" t="s">
        <v>992</v>
      </c>
      <c r="M2859" s="121">
        <v>3</v>
      </c>
      <c r="N2859" s="118" t="s">
        <v>884</v>
      </c>
      <c r="O2859" s="119" t="s">
        <v>1490</v>
      </c>
      <c r="P2859" s="121">
        <f t="shared" si="283"/>
        <v>214.1</v>
      </c>
      <c r="Q2859" s="117" t="s">
        <v>884</v>
      </c>
      <c r="R2859" s="121">
        <f t="shared" si="284"/>
        <v>642.29999999999995</v>
      </c>
      <c r="W2859" s="4"/>
    </row>
    <row r="2860" spans="6:23" ht="24" customHeight="1">
      <c r="F2860" s="110"/>
      <c r="G2860" s="111"/>
      <c r="H2860" s="119"/>
      <c r="I2860" s="110"/>
      <c r="J2860" s="134"/>
      <c r="K2860" s="135"/>
      <c r="M2860" s="121">
        <v>2</v>
      </c>
      <c r="N2860" s="118" t="s">
        <v>884</v>
      </c>
      <c r="O2860" s="119" t="s">
        <v>1491</v>
      </c>
      <c r="P2860" s="121">
        <f t="shared" si="283"/>
        <v>408</v>
      </c>
      <c r="Q2860" s="117" t="s">
        <v>884</v>
      </c>
      <c r="R2860" s="121">
        <f t="shared" si="284"/>
        <v>816</v>
      </c>
      <c r="W2860" s="4"/>
    </row>
    <row r="2861" spans="6:23" ht="24" customHeight="1">
      <c r="F2861" s="110"/>
      <c r="G2861" s="111"/>
      <c r="H2861" s="119"/>
      <c r="I2861" s="110"/>
      <c r="J2861" s="134"/>
      <c r="K2861" s="135"/>
      <c r="M2861" s="121">
        <v>1</v>
      </c>
      <c r="N2861" s="118" t="s">
        <v>884</v>
      </c>
      <c r="O2861" s="119" t="s">
        <v>1492</v>
      </c>
      <c r="P2861" s="121">
        <f t="shared" si="283"/>
        <v>836</v>
      </c>
      <c r="Q2861" s="117" t="s">
        <v>884</v>
      </c>
      <c r="R2861" s="121">
        <f t="shared" si="284"/>
        <v>836</v>
      </c>
      <c r="W2861" s="4"/>
    </row>
    <row r="2862" spans="6:23" ht="24" customHeight="1">
      <c r="F2862" s="110"/>
      <c r="G2862" s="111"/>
      <c r="H2862" s="110"/>
      <c r="I2862" s="110"/>
      <c r="J2862" s="134"/>
      <c r="K2862" s="110"/>
      <c r="M2862" s="121">
        <v>1</v>
      </c>
      <c r="N2862" s="118" t="s">
        <v>884</v>
      </c>
      <c r="O2862" s="119" t="s">
        <v>1493</v>
      </c>
      <c r="P2862" s="121">
        <f t="shared" si="283"/>
        <v>7.3</v>
      </c>
      <c r="Q2862" s="117" t="s">
        <v>884</v>
      </c>
      <c r="R2862" s="121">
        <f t="shared" si="284"/>
        <v>7.3</v>
      </c>
      <c r="W2862" s="4"/>
    </row>
    <row r="2863" spans="6:23" ht="24" customHeight="1">
      <c r="F2863" s="138">
        <v>1.18E-2</v>
      </c>
      <c r="G2863" s="118" t="s">
        <v>885</v>
      </c>
      <c r="H2863" s="119" t="s">
        <v>705</v>
      </c>
      <c r="I2863" s="121">
        <f>I2813</f>
        <v>111600</v>
      </c>
      <c r="J2863" s="119" t="s">
        <v>885</v>
      </c>
      <c r="K2863" s="121">
        <f t="shared" ref="K2863:K2872" si="285">(F2863*I2863)</f>
        <v>1316.88</v>
      </c>
      <c r="M2863" s="121">
        <v>1</v>
      </c>
      <c r="N2863" s="118" t="s">
        <v>884</v>
      </c>
      <c r="O2863" s="119" t="s">
        <v>2018</v>
      </c>
      <c r="P2863" s="121">
        <f t="shared" si="283"/>
        <v>49.55</v>
      </c>
      <c r="Q2863" s="117" t="s">
        <v>884</v>
      </c>
      <c r="R2863" s="121">
        <f t="shared" si="284"/>
        <v>49.55</v>
      </c>
      <c r="W2863" s="4"/>
    </row>
    <row r="2864" spans="6:23" ht="24" customHeight="1">
      <c r="F2864" s="130">
        <v>6.7499999999999999E-3</v>
      </c>
      <c r="G2864" s="118" t="s">
        <v>885</v>
      </c>
      <c r="H2864" s="119" t="s">
        <v>706</v>
      </c>
      <c r="I2864" s="121">
        <f>I2814</f>
        <v>99400</v>
      </c>
      <c r="J2864" s="119" t="s">
        <v>885</v>
      </c>
      <c r="K2864" s="121">
        <f t="shared" si="285"/>
        <v>670.95</v>
      </c>
      <c r="M2864" s="110">
        <v>58</v>
      </c>
      <c r="N2864" s="118" t="s">
        <v>884</v>
      </c>
      <c r="O2864" s="110" t="s">
        <v>1776</v>
      </c>
      <c r="P2864" s="110">
        <f>P2831</f>
        <v>2.41</v>
      </c>
      <c r="Q2864" s="113" t="s">
        <v>884</v>
      </c>
      <c r="R2864" s="121">
        <f>(M2864*P2864)</f>
        <v>139.78</v>
      </c>
      <c r="W2864" s="4"/>
    </row>
    <row r="2865" spans="6:23" ht="24" customHeight="1">
      <c r="F2865" s="130">
        <v>1.8550000000000001E-2</v>
      </c>
      <c r="G2865" s="118" t="s">
        <v>885</v>
      </c>
      <c r="H2865" s="119" t="s">
        <v>902</v>
      </c>
      <c r="I2865" s="121">
        <f>C30</f>
        <v>14278</v>
      </c>
      <c r="J2865" s="119" t="s">
        <v>885</v>
      </c>
      <c r="K2865" s="121">
        <f t="shared" si="285"/>
        <v>264.86</v>
      </c>
      <c r="M2865" s="110"/>
      <c r="N2865" s="111"/>
      <c r="O2865" s="119" t="s">
        <v>3470</v>
      </c>
      <c r="P2865" s="110"/>
      <c r="Q2865" s="113"/>
      <c r="R2865" s="121">
        <f>SUM(R2853:R2864)+21.502</f>
        <v>13109.62</v>
      </c>
      <c r="W2865" s="4"/>
    </row>
    <row r="2866" spans="6:23" ht="24" customHeight="1">
      <c r="F2866" s="130">
        <v>2.0499999999999998</v>
      </c>
      <c r="G2866" s="118" t="s">
        <v>621</v>
      </c>
      <c r="H2866" s="119" t="s">
        <v>1658</v>
      </c>
      <c r="I2866" s="444">
        <v>840</v>
      </c>
      <c r="J2866" s="119" t="s">
        <v>621</v>
      </c>
      <c r="K2866" s="121">
        <f t="shared" si="285"/>
        <v>1722</v>
      </c>
      <c r="M2866" s="110"/>
      <c r="N2866" s="111"/>
      <c r="O2866" s="110"/>
      <c r="P2866" s="110"/>
      <c r="Q2866" s="113"/>
      <c r="R2866" s="120" t="s">
        <v>1615</v>
      </c>
      <c r="W2866" s="4"/>
    </row>
    <row r="2867" spans="6:23" ht="36" customHeight="1">
      <c r="F2867" s="130">
        <v>2.0499999999999998</v>
      </c>
      <c r="G2867" s="118" t="s">
        <v>621</v>
      </c>
      <c r="H2867" s="778" t="s">
        <v>5156</v>
      </c>
      <c r="I2867" s="121">
        <f>AE53</f>
        <v>344.3</v>
      </c>
      <c r="J2867" s="119" t="s">
        <v>621</v>
      </c>
      <c r="K2867" s="121">
        <f t="shared" si="285"/>
        <v>705.82</v>
      </c>
      <c r="M2867" s="110"/>
      <c r="N2867" s="111"/>
      <c r="O2867" s="119" t="s">
        <v>562</v>
      </c>
      <c r="P2867" s="110"/>
      <c r="Q2867" s="113"/>
      <c r="R2867" s="121">
        <f>R2865/M2857</f>
        <v>5813.58</v>
      </c>
      <c r="W2867" s="4"/>
    </row>
    <row r="2868" spans="6:23" ht="24" customHeight="1">
      <c r="F2868" s="121">
        <v>2</v>
      </c>
      <c r="G2868" s="118" t="s">
        <v>884</v>
      </c>
      <c r="H2868" s="119" t="s">
        <v>1414</v>
      </c>
      <c r="I2868" s="121">
        <f>E285</f>
        <v>57</v>
      </c>
      <c r="J2868" s="119" t="s">
        <v>884</v>
      </c>
      <c r="K2868" s="121">
        <f t="shared" si="285"/>
        <v>114</v>
      </c>
      <c r="W2868" s="4"/>
    </row>
    <row r="2869" spans="6:23" ht="24" customHeight="1">
      <c r="F2869" s="121">
        <v>8</v>
      </c>
      <c r="G2869" s="118" t="s">
        <v>884</v>
      </c>
      <c r="H2869" s="119" t="s">
        <v>1367</v>
      </c>
      <c r="I2869" s="121">
        <f>C282</f>
        <v>49.35</v>
      </c>
      <c r="J2869" s="119" t="s">
        <v>884</v>
      </c>
      <c r="K2869" s="121">
        <f t="shared" si="285"/>
        <v>394.8</v>
      </c>
      <c r="W2869" s="4"/>
    </row>
    <row r="2870" spans="6:23" ht="24" customHeight="1">
      <c r="F2870" s="121">
        <v>2</v>
      </c>
      <c r="G2870" s="118" t="s">
        <v>884</v>
      </c>
      <c r="H2870" s="119" t="s">
        <v>1415</v>
      </c>
      <c r="I2870" s="121">
        <f>I1134</f>
        <v>60.9</v>
      </c>
      <c r="J2870" s="119" t="s">
        <v>884</v>
      </c>
      <c r="K2870" s="121">
        <f t="shared" si="285"/>
        <v>121.8</v>
      </c>
      <c r="W2870" s="4"/>
    </row>
    <row r="2871" spans="6:23" ht="24" customHeight="1">
      <c r="F2871" s="121">
        <v>1</v>
      </c>
      <c r="G2871" s="118" t="s">
        <v>884</v>
      </c>
      <c r="H2871" s="119" t="s">
        <v>4451</v>
      </c>
      <c r="I2871" s="714">
        <f>I1135</f>
        <v>63.2</v>
      </c>
      <c r="J2871" s="119" t="s">
        <v>884</v>
      </c>
      <c r="K2871" s="121">
        <f t="shared" si="285"/>
        <v>63.2</v>
      </c>
      <c r="W2871" s="4"/>
    </row>
    <row r="2872" spans="6:23" ht="24" customHeight="1">
      <c r="F2872" s="133">
        <v>0.94499999999999995</v>
      </c>
      <c r="G2872" s="118" t="s">
        <v>621</v>
      </c>
      <c r="H2872" s="119" t="s">
        <v>1745</v>
      </c>
      <c r="I2872" s="121">
        <f>K1167</f>
        <v>201.2</v>
      </c>
      <c r="J2872" s="119" t="s">
        <v>621</v>
      </c>
      <c r="K2872" s="121">
        <f t="shared" si="285"/>
        <v>190.13</v>
      </c>
      <c r="W2872" s="4"/>
    </row>
    <row r="2873" spans="6:23" ht="24" customHeight="1">
      <c r="F2873" s="110"/>
      <c r="G2873" s="111"/>
      <c r="H2873" s="119" t="s">
        <v>1439</v>
      </c>
      <c r="I2873" s="117" t="s">
        <v>455</v>
      </c>
      <c r="J2873" s="134"/>
      <c r="K2873" s="121">
        <v>0.6</v>
      </c>
      <c r="W2873" s="4"/>
    </row>
    <row r="2874" spans="6:23" ht="24" customHeight="1">
      <c r="F2874" s="110"/>
      <c r="G2874" s="111"/>
      <c r="H2874" s="116"/>
      <c r="I2874" s="116"/>
      <c r="J2874" s="139"/>
      <c r="K2874" s="107" t="s">
        <v>1615</v>
      </c>
      <c r="W2874" s="4"/>
    </row>
    <row r="2875" spans="6:23" ht="24" customHeight="1">
      <c r="F2875" s="110"/>
      <c r="G2875" s="111"/>
      <c r="H2875" s="140" t="s">
        <v>1440</v>
      </c>
      <c r="I2875" s="116"/>
      <c r="J2875" s="139"/>
      <c r="K2875" s="109">
        <f>SUM(K2863:K2873)</f>
        <v>5565.04</v>
      </c>
      <c r="W2875" s="4"/>
    </row>
    <row r="2876" spans="6:23" ht="24" customHeight="1">
      <c r="F2876" s="110"/>
      <c r="G2876" s="118" t="s">
        <v>992</v>
      </c>
      <c r="H2876" s="116"/>
      <c r="I2876" s="116"/>
      <c r="J2876" s="139"/>
      <c r="K2876" s="107" t="s">
        <v>1615</v>
      </c>
      <c r="W2876" s="4"/>
    </row>
    <row r="2877" spans="6:23" ht="24" customHeight="1">
      <c r="F2877" s="110"/>
      <c r="G2877" s="111"/>
      <c r="H2877" s="140" t="s">
        <v>562</v>
      </c>
      <c r="I2877" s="116"/>
      <c r="J2877" s="139"/>
      <c r="K2877" s="109">
        <f>K2875/2.52</f>
        <v>2208.35</v>
      </c>
      <c r="W2877" s="4"/>
    </row>
    <row r="2878" spans="6:23" ht="24" customHeight="1">
      <c r="F2878" s="110"/>
      <c r="G2878" s="111"/>
      <c r="H2878" s="116"/>
      <c r="I2878" s="116"/>
      <c r="J2878" s="139"/>
      <c r="K2878" s="107" t="s">
        <v>2091</v>
      </c>
      <c r="W2878" s="4"/>
    </row>
    <row r="2879" spans="6:23" ht="24" customHeight="1">
      <c r="F2879" s="110"/>
      <c r="G2879" s="111"/>
      <c r="H2879" s="110"/>
      <c r="I2879" s="110"/>
      <c r="J2879" s="113"/>
      <c r="K2879" s="110"/>
      <c r="W2879" s="4"/>
    </row>
    <row r="2880" spans="6:23" ht="24" customHeight="1">
      <c r="F2880" s="110"/>
      <c r="G2880" s="111"/>
      <c r="H2880" s="110" t="s">
        <v>1659</v>
      </c>
      <c r="I2880" s="110"/>
      <c r="J2880" s="113"/>
      <c r="K2880" s="110"/>
      <c r="W2880" s="4"/>
    </row>
    <row r="2881" spans="6:23" ht="24" customHeight="1">
      <c r="F2881" s="110"/>
      <c r="G2881" s="111"/>
      <c r="H2881" s="110" t="s">
        <v>1353</v>
      </c>
      <c r="I2881" s="110"/>
      <c r="J2881" s="113"/>
      <c r="K2881" s="110"/>
      <c r="W2881" s="4"/>
    </row>
    <row r="2882" spans="6:23" ht="24" customHeight="1">
      <c r="F2882" s="110"/>
      <c r="G2882" s="111"/>
      <c r="H2882" s="110"/>
      <c r="I2882" s="110"/>
      <c r="J2882" s="113"/>
      <c r="K2882" s="110"/>
      <c r="W2882" s="4"/>
    </row>
    <row r="2883" spans="6:23" ht="24" customHeight="1">
      <c r="F2883" s="110">
        <v>2</v>
      </c>
      <c r="G2883" s="111" t="s">
        <v>842</v>
      </c>
      <c r="H2883" s="110" t="s">
        <v>5157</v>
      </c>
      <c r="I2883" s="1018">
        <v>96.6</v>
      </c>
      <c r="J2883" s="113" t="s">
        <v>842</v>
      </c>
      <c r="K2883" s="110">
        <f>F2883*I2883</f>
        <v>193.2</v>
      </c>
      <c r="W2883" s="4"/>
    </row>
    <row r="2884" spans="6:23" ht="24" customHeight="1">
      <c r="F2884" s="110">
        <v>1</v>
      </c>
      <c r="G2884" s="111" t="s">
        <v>570</v>
      </c>
      <c r="H2884" s="110" t="s">
        <v>1354</v>
      </c>
      <c r="I2884" s="861">
        <f>C625</f>
        <v>34.299999999999997</v>
      </c>
      <c r="J2884" s="113" t="s">
        <v>1423</v>
      </c>
      <c r="K2884" s="110">
        <f>F2884*I2884</f>
        <v>34.299999999999997</v>
      </c>
      <c r="W2884" s="4"/>
    </row>
    <row r="2885" spans="6:23" ht="24" customHeight="1">
      <c r="F2885" s="110"/>
      <c r="G2885" s="111"/>
      <c r="H2885" s="110" t="s">
        <v>1370</v>
      </c>
      <c r="I2885" s="110"/>
      <c r="J2885" s="113" t="s">
        <v>455</v>
      </c>
      <c r="K2885" s="110">
        <v>1.4</v>
      </c>
      <c r="W2885" s="4"/>
    </row>
    <row r="2886" spans="6:23" ht="24" customHeight="1">
      <c r="F2886" s="110"/>
      <c r="G2886" s="111"/>
      <c r="H2886" s="114" t="s">
        <v>1371</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1741</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1176</v>
      </c>
      <c r="I2893" s="110"/>
      <c r="J2893" s="113"/>
      <c r="K2893" s="110"/>
      <c r="W2893" s="4"/>
    </row>
    <row r="2894" spans="6:23" ht="24" customHeight="1">
      <c r="F2894" s="117"/>
      <c r="G2894" s="118" t="s">
        <v>2290</v>
      </c>
      <c r="H2894" s="119" t="s">
        <v>1697</v>
      </c>
      <c r="I2894" s="110"/>
      <c r="J2894" s="113"/>
      <c r="K2894" s="110"/>
      <c r="W2894" s="4"/>
    </row>
    <row r="2895" spans="6:23" ht="24" customHeight="1">
      <c r="F2895" s="110"/>
      <c r="G2895" s="111"/>
      <c r="H2895" s="119" t="s">
        <v>2308</v>
      </c>
      <c r="I2895" s="110"/>
      <c r="J2895" s="113"/>
      <c r="K2895" s="110"/>
      <c r="W2895" s="4"/>
    </row>
    <row r="2896" spans="6:23" ht="24" customHeight="1">
      <c r="F2896" s="110"/>
      <c r="G2896" s="111"/>
      <c r="H2896" s="120" t="s">
        <v>1615</v>
      </c>
      <c r="I2896" s="110"/>
      <c r="J2896" s="113"/>
      <c r="K2896" s="110"/>
      <c r="W2896" s="4"/>
    </row>
    <row r="2897" spans="6:23" ht="24" customHeight="1">
      <c r="F2897" s="121">
        <v>9</v>
      </c>
      <c r="G2897" s="118" t="s">
        <v>885</v>
      </c>
      <c r="H2897" s="119" t="s">
        <v>1701</v>
      </c>
      <c r="I2897" s="121">
        <f t="shared" ref="I2897:I2902" si="286">I503</f>
        <v>1000.02</v>
      </c>
      <c r="J2897" s="117" t="s">
        <v>885</v>
      </c>
      <c r="K2897" s="121">
        <f t="shared" ref="K2897:K2902" si="287">(F2897*I2897)</f>
        <v>9000.18</v>
      </c>
      <c r="W2897" s="4"/>
    </row>
    <row r="2898" spans="6:23" ht="24" customHeight="1">
      <c r="F2898" s="133">
        <v>3.2309999999999999</v>
      </c>
      <c r="G2898" s="118" t="s">
        <v>877</v>
      </c>
      <c r="H2898" s="119" t="s">
        <v>878</v>
      </c>
      <c r="I2898" s="121">
        <f t="shared" si="286"/>
        <v>6040</v>
      </c>
      <c r="J2898" s="117" t="s">
        <v>877</v>
      </c>
      <c r="K2898" s="121">
        <f t="shared" si="287"/>
        <v>19515.240000000002</v>
      </c>
      <c r="W2898" s="4"/>
    </row>
    <row r="2899" spans="6:23" ht="24" customHeight="1">
      <c r="F2899" s="121">
        <v>4.5</v>
      </c>
      <c r="G2899" s="118" t="s">
        <v>885</v>
      </c>
      <c r="H2899" s="119" t="s">
        <v>886</v>
      </c>
      <c r="I2899" s="121">
        <f t="shared" si="286"/>
        <v>1608.7</v>
      </c>
      <c r="J2899" s="117" t="s">
        <v>885</v>
      </c>
      <c r="K2899" s="121">
        <f t="shared" si="287"/>
        <v>7239.15</v>
      </c>
      <c r="W2899" s="4"/>
    </row>
    <row r="2900" spans="6:23" ht="24" customHeight="1">
      <c r="F2900" s="121">
        <v>3.5</v>
      </c>
      <c r="G2900" s="118" t="s">
        <v>884</v>
      </c>
      <c r="H2900" s="119" t="s">
        <v>1744</v>
      </c>
      <c r="I2900" s="121">
        <f t="shared" si="286"/>
        <v>972.4</v>
      </c>
      <c r="J2900" s="117" t="s">
        <v>884</v>
      </c>
      <c r="K2900" s="121">
        <f t="shared" si="287"/>
        <v>3403.4</v>
      </c>
      <c r="W2900" s="4"/>
    </row>
    <row r="2901" spans="6:23" ht="24" customHeight="1">
      <c r="F2901" s="121">
        <v>21.2</v>
      </c>
      <c r="G2901" s="118" t="s">
        <v>884</v>
      </c>
      <c r="H2901" s="119" t="s">
        <v>1937</v>
      </c>
      <c r="I2901" s="121">
        <f t="shared" si="286"/>
        <v>679.8</v>
      </c>
      <c r="J2901" s="117" t="s">
        <v>884</v>
      </c>
      <c r="K2901" s="121">
        <f t="shared" si="287"/>
        <v>14411.76</v>
      </c>
      <c r="W2901" s="4"/>
    </row>
    <row r="2902" spans="6:23" ht="24" customHeight="1">
      <c r="F2902" s="121">
        <v>35.299999999999997</v>
      </c>
      <c r="G2902" s="118" t="s">
        <v>884</v>
      </c>
      <c r="H2902" s="119" t="s">
        <v>325</v>
      </c>
      <c r="I2902" s="121">
        <f t="shared" si="286"/>
        <v>557.70000000000005</v>
      </c>
      <c r="J2902" s="117" t="s">
        <v>884</v>
      </c>
      <c r="K2902" s="121">
        <f t="shared" si="287"/>
        <v>19686.810000000001</v>
      </c>
      <c r="W2902" s="4"/>
    </row>
    <row r="2903" spans="6:23" ht="24" customHeight="1">
      <c r="F2903" s="110"/>
      <c r="G2903" s="118" t="s">
        <v>455</v>
      </c>
      <c r="H2903" s="119" t="s">
        <v>456</v>
      </c>
      <c r="I2903" s="119" t="s">
        <v>992</v>
      </c>
      <c r="J2903" s="117" t="s">
        <v>455</v>
      </c>
      <c r="K2903" s="121">
        <v>0</v>
      </c>
      <c r="W2903" s="4"/>
    </row>
    <row r="2904" spans="6:23" ht="24" customHeight="1">
      <c r="F2904" s="110"/>
      <c r="G2904" s="111"/>
      <c r="H2904" s="110"/>
      <c r="I2904" s="110"/>
      <c r="J2904" s="113"/>
      <c r="K2904" s="120" t="s">
        <v>1615</v>
      </c>
      <c r="W2904" s="4"/>
    </row>
    <row r="2905" spans="6:23" ht="24" customHeight="1">
      <c r="F2905" s="110"/>
      <c r="G2905" s="111"/>
      <c r="H2905" s="119" t="s">
        <v>2210</v>
      </c>
      <c r="I2905" s="110"/>
      <c r="J2905" s="113"/>
      <c r="K2905" s="121">
        <f>SUM(K2897:K2903)</f>
        <v>73256.539999999994</v>
      </c>
      <c r="W2905" s="4"/>
    </row>
    <row r="2906" spans="6:23" ht="24" customHeight="1">
      <c r="F2906" s="110"/>
      <c r="G2906" s="111"/>
      <c r="H2906" s="110"/>
      <c r="I2906" s="110"/>
      <c r="J2906" s="113"/>
      <c r="K2906" s="120" t="s">
        <v>1615</v>
      </c>
      <c r="W2906" s="4"/>
    </row>
    <row r="2907" spans="6:23" ht="24" customHeight="1">
      <c r="F2907" s="110"/>
      <c r="G2907" s="111"/>
      <c r="H2907" s="119" t="s">
        <v>789</v>
      </c>
      <c r="I2907" s="110"/>
      <c r="J2907" s="113"/>
      <c r="K2907" s="121">
        <f>(K2905/10)</f>
        <v>7325.65</v>
      </c>
      <c r="W2907" s="4"/>
    </row>
    <row r="2908" spans="6:23" ht="24" customHeight="1">
      <c r="F2908" s="110"/>
      <c r="G2908" s="111"/>
      <c r="H2908" s="110"/>
      <c r="I2908" s="110"/>
      <c r="J2908" s="113"/>
      <c r="K2908" s="110"/>
      <c r="W2908" s="4"/>
    </row>
    <row r="2909" spans="6:23" ht="24" customHeight="1">
      <c r="F2909" s="121">
        <v>1</v>
      </c>
      <c r="G2909" s="118" t="s">
        <v>885</v>
      </c>
      <c r="H2909" s="119" t="s">
        <v>46</v>
      </c>
      <c r="I2909" s="110"/>
      <c r="J2909" s="113"/>
      <c r="K2909" s="121"/>
      <c r="W2909" s="4"/>
    </row>
    <row r="2910" spans="6:23" ht="24" customHeight="1">
      <c r="F2910" s="110"/>
      <c r="G2910" s="111"/>
      <c r="H2910" s="110"/>
      <c r="I2910" s="110"/>
      <c r="J2910" s="113"/>
      <c r="K2910" s="120" t="s">
        <v>1615</v>
      </c>
      <c r="W2910" s="4"/>
    </row>
    <row r="2911" spans="6:23" ht="24" customHeight="1">
      <c r="F2911" s="110"/>
      <c r="G2911" s="111"/>
      <c r="H2911" s="119" t="s">
        <v>1324</v>
      </c>
      <c r="I2911" s="110"/>
      <c r="J2911" s="113"/>
      <c r="K2911" s="121">
        <f>SUM(K2907:K2909)</f>
        <v>7325.65</v>
      </c>
      <c r="W2911" s="4"/>
    </row>
    <row r="2912" spans="6:23" ht="24" customHeight="1">
      <c r="F2912" s="110"/>
      <c r="G2912" s="111"/>
      <c r="H2912" s="110"/>
      <c r="I2912" s="110"/>
      <c r="J2912" s="113"/>
      <c r="K2912" s="120" t="s">
        <v>1615</v>
      </c>
      <c r="W2912" s="4"/>
    </row>
    <row r="2913" spans="6:23" ht="24" customHeight="1">
      <c r="F2913" s="110"/>
      <c r="G2913" s="118" t="s">
        <v>1267</v>
      </c>
      <c r="H2913" s="119" t="s">
        <v>391</v>
      </c>
      <c r="I2913" s="110"/>
      <c r="J2913" s="113"/>
      <c r="K2913" s="121">
        <f>K2911+C22</f>
        <v>7450.61</v>
      </c>
      <c r="W2913" s="4"/>
    </row>
    <row r="2914" spans="6:23" ht="24" customHeight="1">
      <c r="F2914" s="110"/>
      <c r="G2914" s="118" t="s">
        <v>1269</v>
      </c>
      <c r="H2914" s="119" t="s">
        <v>393</v>
      </c>
      <c r="I2914" s="110"/>
      <c r="J2914" s="113"/>
      <c r="K2914" s="121">
        <f>K2913+C23</f>
        <v>7696.79</v>
      </c>
      <c r="W2914" s="4"/>
    </row>
    <row r="2915" spans="6:23" ht="24" customHeight="1">
      <c r="F2915" s="110"/>
      <c r="G2915" s="118" t="s">
        <v>431</v>
      </c>
      <c r="H2915" s="119" t="s">
        <v>2271</v>
      </c>
      <c r="I2915" s="110"/>
      <c r="J2915" s="113"/>
      <c r="K2915" s="121">
        <f>K2914+C23</f>
        <v>7942.97</v>
      </c>
      <c r="W2915" s="4"/>
    </row>
    <row r="2916" spans="6:23" ht="24" customHeight="1">
      <c r="F2916" s="110"/>
      <c r="G2916" s="118" t="s">
        <v>1013</v>
      </c>
      <c r="H2916" s="119" t="s">
        <v>385</v>
      </c>
      <c r="I2916" s="110"/>
      <c r="J2916" s="113"/>
      <c r="K2916" s="121">
        <f>K2915+C23</f>
        <v>8189.15</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2273</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1410</v>
      </c>
      <c r="I2921" s="110"/>
      <c r="J2921" s="111"/>
      <c r="K2921" s="110"/>
      <c r="W2921" s="4"/>
    </row>
    <row r="2922" spans="6:23" ht="24" customHeight="1">
      <c r="F2922" s="129"/>
      <c r="G2922" s="111"/>
      <c r="H2922" s="110" t="s">
        <v>642</v>
      </c>
      <c r="I2922" s="110"/>
      <c r="J2922" s="111"/>
      <c r="K2922" s="110"/>
      <c r="W2922" s="4"/>
    </row>
    <row r="2923" spans="6:23" ht="24" customHeight="1">
      <c r="F2923" s="110"/>
      <c r="G2923" s="111"/>
      <c r="H2923" s="134" t="s">
        <v>1709</v>
      </c>
      <c r="I2923" s="110"/>
      <c r="J2923" s="114"/>
      <c r="K2923" s="110"/>
      <c r="P2923">
        <f>0.35*4</f>
        <v>1.4</v>
      </c>
      <c r="W2923" s="4"/>
    </row>
    <row r="2924" spans="6:23" ht="24" customHeight="1">
      <c r="F2924" s="110"/>
      <c r="G2924" s="111"/>
      <c r="H2924" s="122" t="s">
        <v>1710</v>
      </c>
      <c r="I2924" s="116"/>
      <c r="J2924" s="115"/>
      <c r="K2924" s="116"/>
      <c r="P2924">
        <f>0.3*4</f>
        <v>1.2</v>
      </c>
      <c r="W2924" s="4"/>
    </row>
    <row r="2925" spans="6:23" ht="24" customHeight="1">
      <c r="F2925" s="110"/>
      <c r="G2925" s="111"/>
      <c r="H2925" s="110" t="s">
        <v>1711</v>
      </c>
      <c r="I2925" s="110"/>
      <c r="J2925" s="134"/>
      <c r="K2925" s="110"/>
      <c r="P2925">
        <f>1.28*2</f>
        <v>2.56</v>
      </c>
      <c r="W2925" s="4"/>
    </row>
    <row r="2926" spans="6:23" ht="24" customHeight="1">
      <c r="F2926" s="110"/>
      <c r="G2926" s="111"/>
      <c r="H2926" s="116" t="s">
        <v>204</v>
      </c>
      <c r="I2926" s="110"/>
      <c r="J2926" s="134"/>
      <c r="K2926" s="110"/>
      <c r="P2926" t="s">
        <v>3166</v>
      </c>
      <c r="W2926" s="4"/>
    </row>
    <row r="2927" spans="6:23" ht="24" customHeight="1">
      <c r="F2927" s="136">
        <v>3.5999999999999997E-2</v>
      </c>
      <c r="G2927" s="111" t="s">
        <v>2190</v>
      </c>
      <c r="H2927" s="110" t="s">
        <v>1712</v>
      </c>
      <c r="I2927" s="110">
        <f>K2913</f>
        <v>7450.61</v>
      </c>
      <c r="J2927" s="111" t="s">
        <v>2190</v>
      </c>
      <c r="K2927" s="110">
        <f>F2927*I2927</f>
        <v>268.22000000000003</v>
      </c>
      <c r="W2927" s="4"/>
    </row>
    <row r="2928" spans="6:23" ht="24" customHeight="1">
      <c r="F2928" s="129">
        <v>3.0649999999999999</v>
      </c>
      <c r="G2928" s="111" t="s">
        <v>929</v>
      </c>
      <c r="H2928" s="142" t="s">
        <v>1713</v>
      </c>
      <c r="I2928" s="110">
        <f>K1582/1000</f>
        <v>92.26</v>
      </c>
      <c r="J2928" s="111" t="s">
        <v>929</v>
      </c>
      <c r="K2928" s="110">
        <f>F2928*I2928</f>
        <v>282.77999999999997</v>
      </c>
      <c r="W2928" s="4"/>
    </row>
    <row r="2929" spans="6:23" ht="24" customHeight="1">
      <c r="F2929" s="129">
        <v>0.79800000000000004</v>
      </c>
      <c r="G2929" s="111" t="s">
        <v>236</v>
      </c>
      <c r="H2929" s="110" t="s">
        <v>1454</v>
      </c>
      <c r="I2929" s="110">
        <f>I2358</f>
        <v>1178.5</v>
      </c>
      <c r="J2929" s="111" t="s">
        <v>236</v>
      </c>
      <c r="K2929" s="110">
        <f>F2929*I2929</f>
        <v>940.44</v>
      </c>
      <c r="W2929" s="4"/>
    </row>
    <row r="2930" spans="6:23" ht="24" customHeight="1">
      <c r="F2930" s="110"/>
      <c r="G2930" s="111"/>
      <c r="H2930" s="115" t="s">
        <v>1455</v>
      </c>
      <c r="I2930" s="116"/>
      <c r="J2930" s="115" t="s">
        <v>736</v>
      </c>
      <c r="K2930" s="116">
        <f>SUM(K2927:K2929)</f>
        <v>1491.44</v>
      </c>
      <c r="W2930" s="4"/>
    </row>
    <row r="2931" spans="6:23" ht="24" customHeight="1">
      <c r="F2931" s="136"/>
      <c r="G2931" s="111"/>
      <c r="H2931" s="115" t="s">
        <v>1858</v>
      </c>
      <c r="I2931" s="110"/>
      <c r="J2931" s="115" t="s">
        <v>736</v>
      </c>
      <c r="K2931" s="116">
        <f>K2930/2.1</f>
        <v>710.21</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2190</v>
      </c>
      <c r="H2936" s="110" t="s">
        <v>1712</v>
      </c>
      <c r="I2936" s="110">
        <f>K2914</f>
        <v>7696.79</v>
      </c>
      <c r="J2936" s="111" t="s">
        <v>2190</v>
      </c>
      <c r="K2936" s="110">
        <f>F2936*I2936</f>
        <v>277.08</v>
      </c>
      <c r="W2936" s="4"/>
    </row>
    <row r="2937" spans="6:23" ht="56.25" customHeight="1">
      <c r="F2937" s="129">
        <v>3.0649999999999999</v>
      </c>
      <c r="G2937" s="111" t="s">
        <v>929</v>
      </c>
      <c r="H2937" s="142" t="s">
        <v>1713</v>
      </c>
      <c r="I2937" s="110">
        <f>K1582/1000</f>
        <v>92.26</v>
      </c>
      <c r="J2937" s="111" t="s">
        <v>929</v>
      </c>
      <c r="K2937" s="110">
        <f>F2937*I2937</f>
        <v>282.77999999999997</v>
      </c>
      <c r="W2937" s="4"/>
    </row>
    <row r="2938" spans="6:23" ht="24" customHeight="1">
      <c r="F2938" s="129">
        <v>0.79800000000000004</v>
      </c>
      <c r="G2938" s="111" t="s">
        <v>236</v>
      </c>
      <c r="H2938" s="110" t="s">
        <v>1454</v>
      </c>
      <c r="I2938" s="110">
        <f>I2358</f>
        <v>1178.5</v>
      </c>
      <c r="J2938" s="111" t="s">
        <v>236</v>
      </c>
      <c r="K2938" s="110">
        <f>F2938*I2938</f>
        <v>940.44</v>
      </c>
      <c r="W2938" s="4"/>
    </row>
    <row r="2939" spans="6:23" ht="24" customHeight="1">
      <c r="F2939" s="110"/>
      <c r="G2939" s="111"/>
      <c r="H2939" s="115" t="s">
        <v>1455</v>
      </c>
      <c r="I2939" s="116"/>
      <c r="J2939" s="115" t="s">
        <v>736</v>
      </c>
      <c r="K2939" s="116">
        <f>SUM(K2936:K2938)</f>
        <v>1500.3</v>
      </c>
      <c r="W2939" s="4"/>
    </row>
    <row r="2940" spans="6:23" ht="24" customHeight="1">
      <c r="F2940" s="136"/>
      <c r="G2940" s="111"/>
      <c r="H2940" s="115" t="s">
        <v>1858</v>
      </c>
      <c r="I2940" s="110"/>
      <c r="J2940" s="115" t="s">
        <v>736</v>
      </c>
      <c r="K2940" s="116">
        <f>K2939/2.1</f>
        <v>714.43</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1633</v>
      </c>
      <c r="I2945" s="110"/>
      <c r="J2945" s="134"/>
      <c r="K2945" s="110"/>
      <c r="W2945" s="4"/>
    </row>
    <row r="2946" spans="6:23" ht="24" customHeight="1">
      <c r="F2946" s="136">
        <v>3.5999999999999997E-2</v>
      </c>
      <c r="G2946" s="111" t="s">
        <v>2190</v>
      </c>
      <c r="H2946" s="110" t="s">
        <v>1712</v>
      </c>
      <c r="I2946" s="110">
        <f>K2915</f>
        <v>7942.97</v>
      </c>
      <c r="J2946" s="111" t="s">
        <v>2190</v>
      </c>
      <c r="K2946" s="110">
        <f>F2946*I2946</f>
        <v>285.95</v>
      </c>
      <c r="W2946" s="4"/>
    </row>
    <row r="2947" spans="6:23" ht="24" customHeight="1">
      <c r="F2947" s="129">
        <v>3.0649999999999999</v>
      </c>
      <c r="G2947" s="111" t="s">
        <v>929</v>
      </c>
      <c r="H2947" s="142" t="s">
        <v>1713</v>
      </c>
      <c r="I2947" s="110">
        <f>I2928</f>
        <v>92.26</v>
      </c>
      <c r="J2947" s="111" t="s">
        <v>929</v>
      </c>
      <c r="K2947" s="110">
        <f>F2947*I2947</f>
        <v>282.77999999999997</v>
      </c>
      <c r="W2947" s="4"/>
    </row>
    <row r="2948" spans="6:23" ht="24" customHeight="1">
      <c r="F2948" s="129">
        <v>0.79800000000000004</v>
      </c>
      <c r="G2948" s="111" t="s">
        <v>236</v>
      </c>
      <c r="H2948" s="110" t="s">
        <v>1454</v>
      </c>
      <c r="I2948" s="110">
        <f>I2929</f>
        <v>1178.5</v>
      </c>
      <c r="J2948" s="111" t="s">
        <v>236</v>
      </c>
      <c r="K2948" s="110">
        <f>F2948*I2948</f>
        <v>940.44</v>
      </c>
      <c r="W2948" s="4"/>
    </row>
    <row r="2949" spans="6:23" ht="24" customHeight="1">
      <c r="F2949" s="110"/>
      <c r="G2949" s="111"/>
      <c r="H2949" s="115" t="s">
        <v>1455</v>
      </c>
      <c r="I2949" s="116"/>
      <c r="J2949" s="115" t="s">
        <v>736</v>
      </c>
      <c r="K2949" s="116">
        <f>SUM(K2946:K2948)</f>
        <v>1509.17</v>
      </c>
      <c r="W2949" s="4"/>
    </row>
    <row r="2950" spans="6:23" ht="24" customHeight="1">
      <c r="F2950" s="136"/>
      <c r="G2950" s="111"/>
      <c r="H2950" s="115" t="s">
        <v>1858</v>
      </c>
      <c r="I2950" s="110"/>
      <c r="J2950" s="115" t="s">
        <v>736</v>
      </c>
      <c r="K2950" s="116">
        <f>K2949/2.1</f>
        <v>718.65</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2190</v>
      </c>
      <c r="H2955" s="110" t="s">
        <v>1712</v>
      </c>
      <c r="I2955" s="110">
        <f>K2916</f>
        <v>8189.15</v>
      </c>
      <c r="J2955" s="111" t="s">
        <v>2190</v>
      </c>
      <c r="K2955" s="110">
        <f>F2955*I2955</f>
        <v>294.81</v>
      </c>
      <c r="W2955" s="4"/>
    </row>
    <row r="2956" spans="6:23" ht="24" customHeight="1">
      <c r="F2956" s="129">
        <v>3.0649999999999999</v>
      </c>
      <c r="G2956" s="111" t="s">
        <v>929</v>
      </c>
      <c r="H2956" s="142" t="s">
        <v>1713</v>
      </c>
      <c r="I2956" s="110">
        <f>I2947</f>
        <v>92.26</v>
      </c>
      <c r="J2956" s="111" t="s">
        <v>929</v>
      </c>
      <c r="K2956" s="110">
        <f>F2956*I2956</f>
        <v>282.77999999999997</v>
      </c>
      <c r="W2956" s="4"/>
    </row>
    <row r="2957" spans="6:23" ht="24" customHeight="1">
      <c r="F2957" s="129">
        <v>0.79800000000000004</v>
      </c>
      <c r="G2957" s="111" t="s">
        <v>236</v>
      </c>
      <c r="H2957" s="110" t="s">
        <v>1454</v>
      </c>
      <c r="I2957" s="110">
        <f>I2948</f>
        <v>1178.5</v>
      </c>
      <c r="J2957" s="111" t="s">
        <v>236</v>
      </c>
      <c r="K2957" s="110">
        <f>F2957*I2957</f>
        <v>940.44</v>
      </c>
      <c r="W2957" s="4"/>
    </row>
    <row r="2958" spans="6:23" ht="24" customHeight="1">
      <c r="F2958" s="110"/>
      <c r="G2958" s="111"/>
      <c r="H2958" s="115" t="s">
        <v>1455</v>
      </c>
      <c r="I2958" s="116"/>
      <c r="J2958" s="115" t="s">
        <v>736</v>
      </c>
      <c r="K2958" s="116">
        <f>SUM(K2955:K2957)</f>
        <v>1518.03</v>
      </c>
      <c r="W2958" s="4"/>
    </row>
    <row r="2959" spans="6:23" ht="24" customHeight="1">
      <c r="F2959" s="136"/>
      <c r="G2959" s="111"/>
      <c r="H2959" s="115" t="s">
        <v>1858</v>
      </c>
      <c r="I2959" s="110"/>
      <c r="J2959" s="115" t="s">
        <v>736</v>
      </c>
      <c r="K2959" s="116">
        <f>K2958/2.1</f>
        <v>722.87</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574</v>
      </c>
      <c r="G2964" s="118" t="s">
        <v>2290</v>
      </c>
      <c r="H2964" s="119" t="s">
        <v>1802</v>
      </c>
      <c r="I2964" s="110">
        <f>148*10.76</f>
        <v>1592.48</v>
      </c>
      <c r="J2964" s="113"/>
      <c r="K2964" s="110"/>
      <c r="W2964" s="4"/>
    </row>
    <row r="2965" spans="6:23" ht="24" customHeight="1">
      <c r="F2965" s="110"/>
      <c r="G2965" s="111"/>
      <c r="H2965" s="119" t="s">
        <v>259</v>
      </c>
      <c r="I2965" s="110"/>
      <c r="J2965" s="113"/>
      <c r="K2965" s="110"/>
      <c r="W2965" s="4"/>
    </row>
    <row r="2966" spans="6:23" ht="24" customHeight="1">
      <c r="F2966" s="110"/>
      <c r="G2966" s="111"/>
      <c r="H2966" s="119" t="s">
        <v>1497</v>
      </c>
      <c r="I2966" s="110"/>
      <c r="J2966" s="113"/>
      <c r="K2966" s="110"/>
      <c r="W2966" s="4"/>
    </row>
    <row r="2967" spans="6:23" ht="24" customHeight="1">
      <c r="F2967" s="110"/>
      <c r="G2967" s="111"/>
      <c r="H2967" s="120" t="s">
        <v>1615</v>
      </c>
      <c r="I2967" s="136">
        <f>1.4*2.025</f>
        <v>2.835</v>
      </c>
      <c r="J2967" s="113"/>
      <c r="K2967" s="110"/>
      <c r="W2967" s="4"/>
    </row>
    <row r="2968" spans="6:23" ht="24" customHeight="1">
      <c r="F2968" s="110"/>
      <c r="G2968" s="111"/>
      <c r="H2968" s="119" t="s">
        <v>1960</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621</v>
      </c>
      <c r="H2970" s="126" t="s">
        <v>756</v>
      </c>
      <c r="I2970" s="509">
        <f>I2834</f>
        <v>2180</v>
      </c>
      <c r="J2970" s="117" t="s">
        <v>621</v>
      </c>
      <c r="K2970" s="110">
        <f>F2971*I2970</f>
        <v>3575.2</v>
      </c>
      <c r="W2970" s="4"/>
    </row>
    <row r="2971" spans="6:23" ht="44.25" customHeight="1">
      <c r="F2971" s="133">
        <v>1.64</v>
      </c>
      <c r="G2971" s="118" t="s">
        <v>621</v>
      </c>
      <c r="H2971" s="119" t="s">
        <v>453</v>
      </c>
      <c r="I2971" s="110">
        <f t="shared" ref="I2971:I2977" si="288">I2835</f>
        <v>223.3</v>
      </c>
      <c r="J2971" s="117" t="s">
        <v>621</v>
      </c>
      <c r="K2971" s="121">
        <f t="shared" ref="K2971:K2977" si="289">(F2971*I2971)</f>
        <v>366.21</v>
      </c>
      <c r="O2971" s="119" t="s">
        <v>1802</v>
      </c>
      <c r="W2971" s="4"/>
    </row>
    <row r="2972" spans="6:23" ht="24" customHeight="1">
      <c r="F2972" s="121">
        <v>2</v>
      </c>
      <c r="G2972" s="118" t="s">
        <v>785</v>
      </c>
      <c r="H2972" s="119" t="s">
        <v>1489</v>
      </c>
      <c r="I2972" s="110">
        <f t="shared" si="288"/>
        <v>57.65</v>
      </c>
      <c r="J2972" s="117" t="s">
        <v>884</v>
      </c>
      <c r="K2972" s="121">
        <f t="shared" si="289"/>
        <v>115.3</v>
      </c>
      <c r="O2972" s="119" t="s">
        <v>259</v>
      </c>
      <c r="W2972" s="4"/>
    </row>
    <row r="2973" spans="6:23" ht="24" customHeight="1">
      <c r="F2973" s="121">
        <v>3</v>
      </c>
      <c r="G2973" s="118" t="s">
        <v>884</v>
      </c>
      <c r="H2973" s="119" t="s">
        <v>1490</v>
      </c>
      <c r="I2973" s="110">
        <f t="shared" si="288"/>
        <v>89.6</v>
      </c>
      <c r="J2973" s="117" t="s">
        <v>884</v>
      </c>
      <c r="K2973" s="121">
        <f t="shared" si="289"/>
        <v>268.8</v>
      </c>
      <c r="O2973" s="119" t="s">
        <v>1963</v>
      </c>
      <c r="W2973" s="4"/>
    </row>
    <row r="2974" spans="6:23" ht="24" customHeight="1">
      <c r="F2974" s="121">
        <v>2</v>
      </c>
      <c r="G2974" s="118" t="s">
        <v>884</v>
      </c>
      <c r="H2974" s="119" t="s">
        <v>1491</v>
      </c>
      <c r="I2974" s="110">
        <f t="shared" si="288"/>
        <v>64.8</v>
      </c>
      <c r="J2974" s="117" t="s">
        <v>884</v>
      </c>
      <c r="K2974" s="121">
        <f t="shared" si="289"/>
        <v>129.6</v>
      </c>
      <c r="O2974" s="120" t="s">
        <v>1615</v>
      </c>
      <c r="W2974" s="4"/>
    </row>
    <row r="2975" spans="6:23" ht="24" customHeight="1">
      <c r="F2975" s="121">
        <v>1</v>
      </c>
      <c r="G2975" s="118" t="s">
        <v>884</v>
      </c>
      <c r="H2975" s="119" t="s">
        <v>1492</v>
      </c>
      <c r="I2975" s="110">
        <f t="shared" si="288"/>
        <v>181</v>
      </c>
      <c r="J2975" s="117" t="s">
        <v>884</v>
      </c>
      <c r="K2975" s="121">
        <f t="shared" si="289"/>
        <v>181</v>
      </c>
      <c r="L2975" t="s">
        <v>992</v>
      </c>
      <c r="O2975" s="119" t="s">
        <v>1964</v>
      </c>
      <c r="W2975" s="4"/>
    </row>
    <row r="2976" spans="6:23" ht="24" customHeight="1">
      <c r="F2976" s="121">
        <v>1</v>
      </c>
      <c r="G2976" s="118" t="s">
        <v>884</v>
      </c>
      <c r="H2976" s="119" t="s">
        <v>1493</v>
      </c>
      <c r="I2976" s="110">
        <f t="shared" si="288"/>
        <v>7.3</v>
      </c>
      <c r="J2976" s="117" t="s">
        <v>884</v>
      </c>
      <c r="K2976" s="121">
        <f t="shared" si="289"/>
        <v>7.3</v>
      </c>
      <c r="W2976" s="4"/>
    </row>
    <row r="2977" spans="6:23" ht="24" customHeight="1">
      <c r="F2977" s="121">
        <v>1</v>
      </c>
      <c r="G2977" s="118" t="s">
        <v>884</v>
      </c>
      <c r="H2977" s="119" t="s">
        <v>2018</v>
      </c>
      <c r="I2977" s="110">
        <f t="shared" si="288"/>
        <v>49.55</v>
      </c>
      <c r="J2977" s="117" t="s">
        <v>884</v>
      </c>
      <c r="K2977" s="121">
        <f t="shared" si="289"/>
        <v>49.55</v>
      </c>
      <c r="M2977" s="129">
        <v>2.2549999999999999</v>
      </c>
      <c r="N2977" s="118" t="s">
        <v>621</v>
      </c>
      <c r="O2977" s="126" t="s">
        <v>756</v>
      </c>
      <c r="P2977" s="110">
        <f>I2970</f>
        <v>2180</v>
      </c>
      <c r="Q2977" s="117" t="s">
        <v>621</v>
      </c>
      <c r="R2977" s="110">
        <f>M2978*P2977</f>
        <v>4915.8999999999996</v>
      </c>
      <c r="W2977" s="4"/>
    </row>
    <row r="2978" spans="6:23" ht="39.75" customHeight="1">
      <c r="F2978" s="110"/>
      <c r="G2978" s="111"/>
      <c r="H2978" s="110"/>
      <c r="I2978" s="110"/>
      <c r="J2978" s="113"/>
      <c r="K2978" s="124">
        <v>0.63</v>
      </c>
      <c r="M2978" s="133">
        <v>2.2549999999999999</v>
      </c>
      <c r="N2978" s="118" t="s">
        <v>621</v>
      </c>
      <c r="O2978" s="119" t="s">
        <v>453</v>
      </c>
      <c r="P2978" s="110">
        <f t="shared" ref="P2978:P2984" si="290">I2971</f>
        <v>223.3</v>
      </c>
      <c r="Q2978" s="117" t="s">
        <v>621</v>
      </c>
      <c r="R2978" s="121">
        <f t="shared" ref="R2978:R2984" si="291">(M2978*P2978)</f>
        <v>503.54</v>
      </c>
      <c r="W2978" s="4"/>
    </row>
    <row r="2979" spans="6:23" ht="24" customHeight="1">
      <c r="F2979" s="110"/>
      <c r="G2979" s="111"/>
      <c r="H2979" s="119" t="s">
        <v>1961</v>
      </c>
      <c r="I2979" s="110"/>
      <c r="J2979" s="113"/>
      <c r="K2979" s="121">
        <f>SUM(K2970:K2978)</f>
        <v>4693.59</v>
      </c>
      <c r="M2979" s="121">
        <v>2</v>
      </c>
      <c r="N2979" s="118" t="s">
        <v>785</v>
      </c>
      <c r="O2979" s="119" t="s">
        <v>1489</v>
      </c>
      <c r="P2979" s="110">
        <f t="shared" si="290"/>
        <v>57.65</v>
      </c>
      <c r="Q2979" s="117" t="s">
        <v>884</v>
      </c>
      <c r="R2979" s="121">
        <f t="shared" si="291"/>
        <v>115.3</v>
      </c>
      <c r="W2979" s="4"/>
    </row>
    <row r="2980" spans="6:23" ht="24" customHeight="1">
      <c r="F2980" s="110"/>
      <c r="G2980" s="111"/>
      <c r="H2980" s="110"/>
      <c r="I2980" s="110"/>
      <c r="J2980" s="113"/>
      <c r="K2980" s="120" t="s">
        <v>1615</v>
      </c>
      <c r="M2980" s="121">
        <v>3</v>
      </c>
      <c r="N2980" s="118" t="s">
        <v>884</v>
      </c>
      <c r="O2980" s="119" t="s">
        <v>1490</v>
      </c>
      <c r="P2980" s="110">
        <f t="shared" si="290"/>
        <v>89.6</v>
      </c>
      <c r="Q2980" s="117" t="s">
        <v>884</v>
      </c>
      <c r="R2980" s="121">
        <f t="shared" si="291"/>
        <v>268.8</v>
      </c>
      <c r="W2980" s="4"/>
    </row>
    <row r="2981" spans="6:23" ht="24" customHeight="1">
      <c r="F2981" s="110"/>
      <c r="G2981" s="111"/>
      <c r="H2981" s="119" t="s">
        <v>562</v>
      </c>
      <c r="I2981" s="110"/>
      <c r="J2981" s="113"/>
      <c r="K2981" s="121">
        <f>K2979/F2971</f>
        <v>2861.95</v>
      </c>
      <c r="M2981" s="121">
        <v>2</v>
      </c>
      <c r="N2981" s="118" t="s">
        <v>884</v>
      </c>
      <c r="O2981" s="119" t="s">
        <v>1491</v>
      </c>
      <c r="P2981" s="110">
        <f t="shared" si="290"/>
        <v>64.8</v>
      </c>
      <c r="Q2981" s="117" t="s">
        <v>884</v>
      </c>
      <c r="R2981" s="121">
        <f t="shared" si="291"/>
        <v>129.6</v>
      </c>
      <c r="W2981" s="4"/>
    </row>
    <row r="2982" spans="6:23" ht="24" customHeight="1">
      <c r="F2982" s="119" t="s">
        <v>992</v>
      </c>
      <c r="G2982" s="111"/>
      <c r="H2982" s="110"/>
      <c r="I2982" s="110"/>
      <c r="J2982" s="113"/>
      <c r="K2982" s="110"/>
      <c r="M2982" s="121">
        <v>1</v>
      </c>
      <c r="N2982" s="118" t="s">
        <v>884</v>
      </c>
      <c r="O2982" s="119" t="s">
        <v>1492</v>
      </c>
      <c r="P2982" s="110">
        <f t="shared" si="290"/>
        <v>181</v>
      </c>
      <c r="Q2982" s="117" t="s">
        <v>884</v>
      </c>
      <c r="R2982" s="121">
        <f t="shared" si="291"/>
        <v>181</v>
      </c>
      <c r="W2982" s="4"/>
    </row>
    <row r="2983" spans="6:23" ht="24" customHeight="1">
      <c r="F2983" s="110"/>
      <c r="G2983" s="111"/>
      <c r="H2983" s="110"/>
      <c r="I2983" s="110"/>
      <c r="J2983" s="113"/>
      <c r="K2983" s="110"/>
      <c r="M2983" s="121">
        <v>1</v>
      </c>
      <c r="N2983" s="118" t="s">
        <v>884</v>
      </c>
      <c r="O2983" s="119" t="s">
        <v>1493</v>
      </c>
      <c r="P2983" s="110">
        <f t="shared" si="290"/>
        <v>7.3</v>
      </c>
      <c r="Q2983" s="117" t="s">
        <v>884</v>
      </c>
      <c r="R2983" s="121">
        <f t="shared" si="291"/>
        <v>7.3</v>
      </c>
      <c r="W2983" s="4"/>
    </row>
    <row r="2984" spans="6:23" ht="24" customHeight="1">
      <c r="F2984" s="143" t="s">
        <v>1452</v>
      </c>
      <c r="G2984" s="144"/>
      <c r="H2984" s="143"/>
      <c r="I2984" s="143"/>
      <c r="J2984" s="145"/>
      <c r="K2984" s="143"/>
      <c r="M2984" s="121">
        <v>1</v>
      </c>
      <c r="N2984" s="118" t="s">
        <v>884</v>
      </c>
      <c r="O2984" s="119" t="s">
        <v>2018</v>
      </c>
      <c r="P2984" s="110">
        <f t="shared" si="290"/>
        <v>49.55</v>
      </c>
      <c r="Q2984" s="117" t="s">
        <v>884</v>
      </c>
      <c r="R2984" s="121">
        <f t="shared" si="291"/>
        <v>49.55</v>
      </c>
      <c r="W2984" s="4"/>
    </row>
    <row r="2985" spans="6:23" ht="24" customHeight="1">
      <c r="F2985" s="143"/>
      <c r="G2985" s="144"/>
      <c r="H2985" s="143"/>
      <c r="I2985" s="143"/>
      <c r="J2985" s="145"/>
      <c r="K2985" s="143"/>
      <c r="M2985" s="110"/>
      <c r="N2985" s="111"/>
      <c r="O2985" s="110"/>
      <c r="P2985" s="110"/>
      <c r="Q2985" s="113"/>
      <c r="R2985" s="120" t="s">
        <v>1615</v>
      </c>
      <c r="W2985" s="4"/>
    </row>
    <row r="2986" spans="6:23" ht="24" customHeight="1">
      <c r="F2986" s="143" t="s">
        <v>1453</v>
      </c>
      <c r="G2986" s="144"/>
      <c r="H2986" s="143"/>
      <c r="I2986" s="143"/>
      <c r="J2986" s="145"/>
      <c r="K2986" s="143"/>
      <c r="M2986" s="110"/>
      <c r="N2986" s="111"/>
      <c r="O2986" s="119" t="s">
        <v>1965</v>
      </c>
      <c r="P2986" s="110"/>
      <c r="Q2986" s="113"/>
      <c r="R2986" s="121">
        <f>SUM(R2977:R2984)+0.17</f>
        <v>6171.16</v>
      </c>
      <c r="W2986" s="4"/>
    </row>
    <row r="2987" spans="6:23" ht="24" customHeight="1">
      <c r="F2987" s="143"/>
      <c r="G2987" s="144"/>
      <c r="H2987" s="143"/>
      <c r="I2987" s="143"/>
      <c r="J2987" s="145"/>
      <c r="K2987" s="143"/>
      <c r="M2987" s="110"/>
      <c r="N2987" s="111"/>
      <c r="O2987" s="110"/>
      <c r="P2987" s="110"/>
      <c r="Q2987" s="113"/>
      <c r="R2987" s="120" t="s">
        <v>1615</v>
      </c>
      <c r="W2987" s="4"/>
    </row>
    <row r="2988" spans="6:23" ht="24" customHeight="1">
      <c r="F2988" s="143"/>
      <c r="G2988" s="146">
        <v>0.99350000000000005</v>
      </c>
      <c r="H2988" s="143" t="s">
        <v>2190</v>
      </c>
      <c r="I2988" s="143"/>
      <c r="J2988" s="145"/>
      <c r="K2988" s="143"/>
      <c r="M2988" s="110"/>
      <c r="N2988" s="111"/>
      <c r="O2988" s="119" t="s">
        <v>562</v>
      </c>
      <c r="P2988" s="110"/>
      <c r="Q2988" s="113"/>
      <c r="R2988" s="121">
        <f>R2986/M2978</f>
        <v>2736.66</v>
      </c>
      <c r="W2988" s="4"/>
    </row>
    <row r="2989" spans="6:23" ht="24" customHeight="1">
      <c r="F2989" s="143"/>
      <c r="G2989" s="144"/>
      <c r="H2989" s="143"/>
      <c r="I2989" s="143"/>
      <c r="J2989" s="145"/>
      <c r="K2989" s="143"/>
      <c r="W2989" s="4"/>
    </row>
    <row r="2990" spans="6:23" ht="24" customHeight="1">
      <c r="F2990" s="147" t="s">
        <v>469</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2190</v>
      </c>
      <c r="H2992" s="143" t="s">
        <v>470</v>
      </c>
      <c r="I2992" s="143">
        <f>K817</f>
        <v>8610.3700000000008</v>
      </c>
      <c r="J2992" s="149" t="s">
        <v>2190</v>
      </c>
      <c r="K2992" s="143">
        <f>F2992*I2992</f>
        <v>3616.36</v>
      </c>
      <c r="W2992" s="4"/>
    </row>
    <row r="2993" spans="6:23" ht="24" customHeight="1">
      <c r="F2993" s="143">
        <v>0.25</v>
      </c>
      <c r="G2993" s="144" t="s">
        <v>1419</v>
      </c>
      <c r="H2993" s="143" t="s">
        <v>471</v>
      </c>
      <c r="I2993" s="143">
        <f>C11</f>
        <v>972.4</v>
      </c>
      <c r="J2993" s="149" t="s">
        <v>1423</v>
      </c>
      <c r="K2993" s="143">
        <f>F2993*I2993</f>
        <v>243.1</v>
      </c>
      <c r="W2993" s="4"/>
    </row>
    <row r="2994" spans="6:23" ht="24" customHeight="1">
      <c r="F2994" s="143">
        <v>3.5</v>
      </c>
      <c r="G2994" s="144" t="s">
        <v>1457</v>
      </c>
      <c r="H2994" s="143" t="s">
        <v>353</v>
      </c>
      <c r="I2994" s="143">
        <f>C12</f>
        <v>679.8</v>
      </c>
      <c r="J2994" s="149" t="s">
        <v>1423</v>
      </c>
      <c r="K2994" s="143">
        <f>F2994*I2994</f>
        <v>2379.3000000000002</v>
      </c>
      <c r="W2994" s="4"/>
    </row>
    <row r="2995" spans="6:23" ht="24" customHeight="1">
      <c r="F2995" s="150">
        <v>32.1</v>
      </c>
      <c r="G2995" s="151" t="s">
        <v>1676</v>
      </c>
      <c r="H2995" s="150" t="s">
        <v>1622</v>
      </c>
      <c r="I2995" s="143"/>
      <c r="J2995" s="149"/>
      <c r="K2995" s="143">
        <f>(F2995*I2995)/1000</f>
        <v>0</v>
      </c>
      <c r="W2995" s="4"/>
    </row>
    <row r="2996" spans="6:23" ht="24" customHeight="1">
      <c r="F2996" s="143"/>
      <c r="G2996" s="143" t="s">
        <v>472</v>
      </c>
      <c r="H2996" s="143" t="s">
        <v>967</v>
      </c>
      <c r="I2996" s="143"/>
      <c r="J2996" s="149" t="s">
        <v>69</v>
      </c>
      <c r="K2996" s="143">
        <f>(K2993+K2994)*10%</f>
        <v>262.24</v>
      </c>
      <c r="W2996" s="4"/>
    </row>
    <row r="2997" spans="6:23" ht="24" customHeight="1">
      <c r="F2997" s="143"/>
      <c r="G2997" s="144"/>
      <c r="H2997" s="143"/>
      <c r="I2997" s="143"/>
      <c r="J2997" s="145"/>
      <c r="K2997" s="143" t="s">
        <v>968</v>
      </c>
      <c r="W2997" s="4"/>
    </row>
    <row r="2998" spans="6:23" ht="24" customHeight="1">
      <c r="F2998" s="143"/>
      <c r="G2998" s="144"/>
      <c r="H2998" s="143"/>
      <c r="I2998" s="143"/>
      <c r="J2998" s="145"/>
      <c r="K2998" s="143"/>
      <c r="W2998" s="4"/>
    </row>
    <row r="2999" spans="6:23" ht="24" customHeight="1">
      <c r="F2999" s="143"/>
      <c r="G2999" s="144"/>
      <c r="H2999" s="143"/>
      <c r="I2999" s="143" t="s">
        <v>1068</v>
      </c>
      <c r="J2999" s="145"/>
      <c r="K2999" s="143">
        <f>SUM(K2992:K2996)</f>
        <v>6501</v>
      </c>
      <c r="W2999" s="4"/>
    </row>
    <row r="3000" spans="6:23" ht="24" customHeight="1">
      <c r="F3000" s="143"/>
      <c r="G3000" s="144"/>
      <c r="H3000" s="143"/>
      <c r="I3000" s="143"/>
      <c r="J3000" s="145"/>
      <c r="K3000" s="143"/>
      <c r="W3000" s="4"/>
    </row>
    <row r="3001" spans="6:23" ht="24" customHeight="1">
      <c r="F3001" s="143"/>
      <c r="G3001" s="144"/>
      <c r="H3001" s="143"/>
      <c r="I3001" s="143" t="s">
        <v>1915</v>
      </c>
      <c r="J3001" s="145"/>
      <c r="K3001" s="143">
        <f>K2999/3.5</f>
        <v>1857.43</v>
      </c>
      <c r="W3001" s="4"/>
    </row>
    <row r="3002" spans="6:23" ht="24" customHeight="1">
      <c r="F3002" s="143"/>
      <c r="G3002" s="152" t="s">
        <v>1069</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2190</v>
      </c>
      <c r="H3004" s="110" t="s">
        <v>210</v>
      </c>
      <c r="I3004" s="110">
        <f>AC38</f>
        <v>366.57</v>
      </c>
      <c r="J3004" s="149" t="s">
        <v>2190</v>
      </c>
      <c r="K3004" s="143">
        <f>F3004*I3004</f>
        <v>366.57</v>
      </c>
      <c r="W3004" s="4"/>
    </row>
    <row r="3005" spans="6:23" ht="42" customHeight="1">
      <c r="F3005" s="110">
        <v>1</v>
      </c>
      <c r="G3005" s="144" t="s">
        <v>2190</v>
      </c>
      <c r="H3005" s="110" t="s">
        <v>1070</v>
      </c>
      <c r="I3005" s="110">
        <f>AE28</f>
        <v>40.65</v>
      </c>
      <c r="J3005" s="149" t="s">
        <v>2190</v>
      </c>
      <c r="K3005" s="143">
        <f>F3005*I3005</f>
        <v>40.65</v>
      </c>
      <c r="W3005" s="4"/>
    </row>
    <row r="3006" spans="6:23" ht="24" customHeight="1">
      <c r="F3006" s="110"/>
      <c r="G3006" s="111"/>
      <c r="H3006" s="110"/>
      <c r="I3006" s="110"/>
      <c r="J3006" s="113"/>
      <c r="K3006" s="116">
        <f>SUM(K3004:K3005)</f>
        <v>407.22</v>
      </c>
      <c r="W3006" s="4"/>
    </row>
    <row r="3007" spans="6:23" ht="24" customHeight="1">
      <c r="W3007" s="4"/>
    </row>
    <row r="3008" spans="6:23" ht="24" customHeight="1">
      <c r="H3008" s="3" t="s">
        <v>1943</v>
      </c>
      <c r="I3008" s="27"/>
      <c r="J3008" s="4"/>
      <c r="W3008" s="4"/>
    </row>
    <row r="3009" spans="8:23" ht="24" customHeight="1">
      <c r="H3009" s="27" t="s">
        <v>5714</v>
      </c>
      <c r="I3009" s="110">
        <v>1020</v>
      </c>
      <c r="J3009" s="4" t="s">
        <v>1746</v>
      </c>
      <c r="K3009" s="431">
        <f>I3009</f>
        <v>1020</v>
      </c>
      <c r="W3009" s="4"/>
    </row>
    <row r="3010" spans="8:23" ht="32.25" customHeight="1">
      <c r="J3010" s="4"/>
      <c r="K3010" s="162"/>
      <c r="W3010" s="4"/>
    </row>
    <row r="3011" spans="8:23" ht="24" customHeight="1">
      <c r="J3011" s="4"/>
      <c r="K3011" s="162"/>
      <c r="W3011" s="4"/>
    </row>
    <row r="3012" spans="8:23" ht="24" customHeight="1">
      <c r="H3012" t="s">
        <v>5715</v>
      </c>
      <c r="I3012" s="532">
        <v>494.7</v>
      </c>
      <c r="J3012" s="4" t="s">
        <v>1746</v>
      </c>
      <c r="K3012" s="431">
        <f>I3012</f>
        <v>494.7</v>
      </c>
      <c r="W3012" s="4"/>
    </row>
    <row r="3013" spans="8:23" ht="24" customHeight="1">
      <c r="I3013" s="431"/>
      <c r="J3013" s="4"/>
      <c r="K3013" s="431"/>
      <c r="W3013" s="4"/>
    </row>
    <row r="3014" spans="8:23" ht="24" customHeight="1">
      <c r="H3014" t="s">
        <v>5716</v>
      </c>
      <c r="I3014" s="532">
        <v>398.3</v>
      </c>
      <c r="J3014" s="4" t="s">
        <v>1746</v>
      </c>
      <c r="K3014" s="431">
        <f>I3014</f>
        <v>398.3</v>
      </c>
      <c r="W3014" s="4"/>
    </row>
    <row r="3015" spans="8:23" ht="24" customHeight="1">
      <c r="J3015" s="4"/>
      <c r="K3015" s="431"/>
      <c r="W3015" s="4"/>
    </row>
    <row r="3016" spans="8:23" ht="24" customHeight="1">
      <c r="H3016" t="s">
        <v>1315</v>
      </c>
      <c r="J3016" s="4"/>
      <c r="K3016" s="162"/>
      <c r="W3016" s="4"/>
    </row>
    <row r="3017" spans="8:23" ht="24" customHeight="1">
      <c r="H3017" t="s">
        <v>5717</v>
      </c>
      <c r="I3017" s="532">
        <v>995</v>
      </c>
      <c r="J3017" s="4" t="s">
        <v>1746</v>
      </c>
      <c r="K3017" s="431">
        <f>I3017</f>
        <v>995</v>
      </c>
      <c r="W3017" s="4"/>
    </row>
    <row r="3018" spans="8:23" ht="24" customHeight="1">
      <c r="H3018" s="1" t="s">
        <v>1088</v>
      </c>
      <c r="I3018" s="165">
        <f>K2291</f>
        <v>2150</v>
      </c>
      <c r="J3018" s="4"/>
      <c r="K3018" s="165">
        <f>I3018</f>
        <v>2150</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2"/>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1029</v>
      </c>
      <c r="W3030" s="4"/>
    </row>
    <row r="3031" spans="8:23" ht="24" customHeight="1">
      <c r="H3031" t="s">
        <v>1030</v>
      </c>
      <c r="J3031" s="10" t="s">
        <v>1423</v>
      </c>
      <c r="K3031" s="528">
        <v>130</v>
      </c>
      <c r="W3031" s="4"/>
    </row>
    <row r="3032" spans="8:23" ht="24" customHeight="1">
      <c r="K3032" s="438"/>
      <c r="W3032" s="4"/>
    </row>
    <row r="3033" spans="8:23" ht="24" customHeight="1">
      <c r="H3033" t="s">
        <v>1031</v>
      </c>
      <c r="J3033" s="10" t="s">
        <v>1423</v>
      </c>
      <c r="K3033" s="528">
        <v>170</v>
      </c>
      <c r="W3033" s="4"/>
    </row>
    <row r="3034" spans="8:23" ht="24" customHeight="1">
      <c r="K3034" s="438"/>
      <c r="W3034" s="4"/>
    </row>
    <row r="3035" spans="8:23" ht="24" customHeight="1">
      <c r="K3035" s="438"/>
      <c r="W3035" s="4"/>
    </row>
    <row r="3036" spans="8:23" ht="24" customHeight="1">
      <c r="H3036" s="1" t="s">
        <v>1282</v>
      </c>
      <c r="J3036" s="10" t="s">
        <v>1423</v>
      </c>
      <c r="K3036" s="529">
        <v>443</v>
      </c>
      <c r="W3036" s="4"/>
    </row>
    <row r="3037" spans="8:23" ht="24" customHeight="1">
      <c r="K3037" s="438"/>
      <c r="W3037" s="4"/>
    </row>
    <row r="3038" spans="8:23" ht="24" customHeight="1">
      <c r="H3038" s="22" t="s">
        <v>202</v>
      </c>
      <c r="J3038" s="10" t="s">
        <v>1423</v>
      </c>
      <c r="K3038" s="439">
        <f>[8]Elec.Data!K936</f>
        <v>1552.7</v>
      </c>
      <c r="W3038" s="4"/>
    </row>
    <row r="3039" spans="8:23" ht="45" customHeight="1">
      <c r="W3039" s="4"/>
    </row>
    <row r="3040" spans="8:23" ht="24" customHeight="1">
      <c r="W3040" s="4"/>
    </row>
    <row r="3041" spans="6:23" ht="41.25" customHeight="1">
      <c r="H3041" t="s">
        <v>1315</v>
      </c>
      <c r="J3041" s="10" t="s">
        <v>1423</v>
      </c>
      <c r="K3041" s="162">
        <f>K3017</f>
        <v>995</v>
      </c>
      <c r="W3041" s="4"/>
    </row>
    <row r="3042" spans="6:23" ht="24" customHeight="1">
      <c r="H3042" t="s">
        <v>1316</v>
      </c>
      <c r="W3042" s="4"/>
    </row>
    <row r="3043" spans="6:23" ht="24" customHeight="1">
      <c r="W3043" s="4"/>
    </row>
    <row r="3044" spans="6:23" ht="24" customHeight="1">
      <c r="F3044">
        <v>0.5</v>
      </c>
      <c r="H3044" t="s">
        <v>1902</v>
      </c>
      <c r="J3044" s="10">
        <f>C15</f>
        <v>903.1</v>
      </c>
      <c r="K3044">
        <f>J3044*F3044</f>
        <v>451.55</v>
      </c>
      <c r="W3044" s="4"/>
    </row>
    <row r="3045" spans="6:23" ht="24" customHeight="1">
      <c r="F3045">
        <v>0.5</v>
      </c>
      <c r="H3045" t="s">
        <v>353</v>
      </c>
      <c r="J3045" s="10">
        <f>C12</f>
        <v>679.8</v>
      </c>
      <c r="K3045">
        <f>J3045*F3045</f>
        <v>339.9</v>
      </c>
      <c r="W3045" s="4"/>
    </row>
    <row r="3046" spans="6:23" ht="24" customHeight="1">
      <c r="I3046" s="1586" t="s">
        <v>1083</v>
      </c>
      <c r="J3046" s="1586"/>
      <c r="K3046" s="36">
        <f>SUM(K3041:K3045)</f>
        <v>1786.45</v>
      </c>
      <c r="W3046" s="4"/>
    </row>
    <row r="3047" spans="6:23" ht="24" customHeight="1">
      <c r="W3047" s="4"/>
    </row>
    <row r="3048" spans="6:23" ht="24" customHeight="1">
      <c r="W3048" s="4"/>
    </row>
    <row r="3049" spans="6:23" ht="24" customHeight="1">
      <c r="F3049" s="117" t="s">
        <v>574</v>
      </c>
      <c r="G3049" s="118" t="s">
        <v>2290</v>
      </c>
      <c r="H3049" s="119" t="s">
        <v>1802</v>
      </c>
      <c r="I3049" s="110"/>
      <c r="J3049" s="113"/>
      <c r="K3049" s="110"/>
      <c r="W3049" s="4"/>
    </row>
    <row r="3050" spans="6:23" ht="24" customHeight="1">
      <c r="F3050" s="110"/>
      <c r="G3050" s="111"/>
      <c r="H3050" s="119" t="s">
        <v>259</v>
      </c>
      <c r="I3050" s="110"/>
      <c r="J3050" s="113"/>
      <c r="K3050" s="110"/>
      <c r="W3050" s="4"/>
    </row>
    <row r="3051" spans="6:23" ht="24" customHeight="1">
      <c r="F3051" s="110"/>
      <c r="G3051" s="111"/>
      <c r="H3051" s="119" t="s">
        <v>1438</v>
      </c>
      <c r="I3051" s="110"/>
      <c r="J3051" s="113"/>
      <c r="K3051" s="110"/>
      <c r="W3051" s="4"/>
    </row>
    <row r="3052" spans="6:23" ht="24" customHeight="1">
      <c r="F3052" s="110"/>
      <c r="G3052" s="111"/>
      <c r="H3052" s="120" t="s">
        <v>1615</v>
      </c>
      <c r="I3052" s="110"/>
      <c r="J3052" s="113"/>
      <c r="K3052" s="110"/>
      <c r="W3052" s="4"/>
    </row>
    <row r="3053" spans="6:23" ht="24" customHeight="1">
      <c r="F3053" s="110"/>
      <c r="G3053" s="111"/>
      <c r="H3053" s="119" t="s">
        <v>773</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621</v>
      </c>
      <c r="H3055" s="126" t="s">
        <v>756</v>
      </c>
      <c r="I3055" s="110">
        <f>I2834</f>
        <v>2180</v>
      </c>
      <c r="J3055" s="117" t="s">
        <v>621</v>
      </c>
      <c r="K3055" s="110">
        <f>F3056*I3055</f>
        <v>4855.95</v>
      </c>
      <c r="W3055" s="4"/>
    </row>
    <row r="3056" spans="6:23" ht="38.25" customHeight="1">
      <c r="F3056" s="132">
        <f>F3055</f>
        <v>2.2275</v>
      </c>
      <c r="G3056" s="118" t="s">
        <v>621</v>
      </c>
      <c r="H3056" s="498" t="s">
        <v>453</v>
      </c>
      <c r="I3056" s="124">
        <f>I2867</f>
        <v>344.3</v>
      </c>
      <c r="J3056" s="117" t="s">
        <v>621</v>
      </c>
      <c r="K3056" s="121">
        <f t="shared" ref="K3056:K3062" si="292">(F3056*I3056)</f>
        <v>766.93</v>
      </c>
      <c r="M3056" s="117" t="s">
        <v>574</v>
      </c>
      <c r="N3056" s="118" t="s">
        <v>2290</v>
      </c>
      <c r="O3056" s="119" t="s">
        <v>1802</v>
      </c>
      <c r="P3056" s="110"/>
      <c r="Q3056" s="113"/>
      <c r="R3056" s="110"/>
      <c r="W3056" s="4"/>
    </row>
    <row r="3057" spans="6:23" ht="24" customHeight="1">
      <c r="F3057" s="121">
        <v>4</v>
      </c>
      <c r="G3057" s="118" t="s">
        <v>785</v>
      </c>
      <c r="H3057" s="119" t="s">
        <v>1489</v>
      </c>
      <c r="I3057" s="163">
        <f t="shared" ref="I3057:I3062" si="293">I2972</f>
        <v>57.65</v>
      </c>
      <c r="J3057" s="117" t="s">
        <v>884</v>
      </c>
      <c r="K3057" s="121">
        <f t="shared" si="292"/>
        <v>230.6</v>
      </c>
      <c r="M3057" s="110"/>
      <c r="N3057" s="111"/>
      <c r="O3057" s="119" t="s">
        <v>259</v>
      </c>
      <c r="P3057" s="110"/>
      <c r="Q3057" s="113"/>
      <c r="R3057" s="110"/>
      <c r="W3057" s="4"/>
    </row>
    <row r="3058" spans="6:23" ht="24" customHeight="1">
      <c r="F3058" s="121">
        <v>6</v>
      </c>
      <c r="G3058" s="118" t="s">
        <v>884</v>
      </c>
      <c r="H3058" s="119" t="s">
        <v>1490</v>
      </c>
      <c r="I3058" s="163">
        <f t="shared" si="293"/>
        <v>89.6</v>
      </c>
      <c r="J3058" s="117" t="s">
        <v>884</v>
      </c>
      <c r="K3058" s="121">
        <f t="shared" si="292"/>
        <v>537.6</v>
      </c>
      <c r="M3058" s="110"/>
      <c r="N3058" s="111"/>
      <c r="O3058" s="119" t="s">
        <v>84</v>
      </c>
      <c r="P3058" s="110"/>
      <c r="Q3058" s="113"/>
      <c r="R3058" s="110"/>
      <c r="W3058" s="4"/>
    </row>
    <row r="3059" spans="6:23" ht="24" customHeight="1">
      <c r="F3059" s="121">
        <v>4</v>
      </c>
      <c r="G3059" s="118" t="s">
        <v>884</v>
      </c>
      <c r="H3059" s="119" t="s">
        <v>1491</v>
      </c>
      <c r="I3059" s="163">
        <f t="shared" si="293"/>
        <v>64.8</v>
      </c>
      <c r="J3059" s="117" t="s">
        <v>884</v>
      </c>
      <c r="K3059" s="121">
        <f t="shared" si="292"/>
        <v>259.2</v>
      </c>
      <c r="M3059" s="110"/>
      <c r="N3059" s="111"/>
      <c r="O3059" s="120" t="s">
        <v>1615</v>
      </c>
      <c r="P3059" s="110"/>
      <c r="Q3059" s="113"/>
      <c r="R3059" s="110"/>
      <c r="W3059" s="4"/>
    </row>
    <row r="3060" spans="6:23" ht="24" customHeight="1">
      <c r="F3060" s="121">
        <v>1</v>
      </c>
      <c r="G3060" s="118" t="s">
        <v>884</v>
      </c>
      <c r="H3060" s="119" t="s">
        <v>1492</v>
      </c>
      <c r="I3060" s="163">
        <f t="shared" si="293"/>
        <v>181</v>
      </c>
      <c r="J3060" s="117" t="s">
        <v>884</v>
      </c>
      <c r="K3060" s="121">
        <f t="shared" si="292"/>
        <v>181</v>
      </c>
      <c r="M3060" s="110"/>
      <c r="N3060" s="111"/>
      <c r="O3060" s="119" t="s">
        <v>369</v>
      </c>
      <c r="P3060" s="110"/>
      <c r="Q3060" s="113"/>
      <c r="R3060" s="110"/>
      <c r="W3060" s="4"/>
    </row>
    <row r="3061" spans="6:23" ht="24" customHeight="1">
      <c r="F3061" s="121">
        <v>2</v>
      </c>
      <c r="G3061" s="118" t="s">
        <v>884</v>
      </c>
      <c r="H3061" s="119" t="s">
        <v>1493</v>
      </c>
      <c r="I3061" s="163">
        <f t="shared" si="293"/>
        <v>7.3</v>
      </c>
      <c r="J3061" s="117" t="s">
        <v>884</v>
      </c>
      <c r="K3061" s="121">
        <f t="shared" si="292"/>
        <v>14.6</v>
      </c>
      <c r="M3061" s="110"/>
      <c r="N3061" s="111"/>
      <c r="O3061" s="110"/>
      <c r="P3061" s="110"/>
      <c r="Q3061" s="113"/>
      <c r="R3061" s="110"/>
      <c r="W3061" s="4"/>
    </row>
    <row r="3062" spans="6:23" ht="24" customHeight="1">
      <c r="F3062" s="121">
        <v>2</v>
      </c>
      <c r="G3062" s="118" t="s">
        <v>884</v>
      </c>
      <c r="H3062" s="119" t="s">
        <v>2018</v>
      </c>
      <c r="I3062" s="163">
        <f t="shared" si="293"/>
        <v>49.55</v>
      </c>
      <c r="J3062" s="117" t="s">
        <v>884</v>
      </c>
      <c r="K3062" s="121">
        <f t="shared" si="292"/>
        <v>99.1</v>
      </c>
      <c r="M3062" s="129">
        <v>3.29</v>
      </c>
      <c r="N3062" s="118" t="s">
        <v>621</v>
      </c>
      <c r="O3062" s="126" t="s">
        <v>756</v>
      </c>
      <c r="P3062" s="110">
        <f>I3055</f>
        <v>2180</v>
      </c>
      <c r="Q3062" s="117" t="s">
        <v>621</v>
      </c>
      <c r="R3062" s="110">
        <f>M3063*P3062</f>
        <v>7172.2</v>
      </c>
      <c r="W3062" s="4"/>
    </row>
    <row r="3063" spans="6:23" ht="33.75" customHeight="1">
      <c r="F3063" s="110"/>
      <c r="G3063" s="111"/>
      <c r="H3063" s="110"/>
      <c r="I3063" s="110"/>
      <c r="J3063" s="113"/>
      <c r="K3063" s="124">
        <v>0.2</v>
      </c>
      <c r="M3063" s="133">
        <v>3.29</v>
      </c>
      <c r="N3063" s="118" t="s">
        <v>621</v>
      </c>
      <c r="O3063" s="119" t="s">
        <v>453</v>
      </c>
      <c r="P3063" s="110">
        <f t="shared" ref="P3063:P3069" si="294">I3056</f>
        <v>344.3</v>
      </c>
      <c r="Q3063" s="117" t="s">
        <v>621</v>
      </c>
      <c r="R3063" s="121">
        <f t="shared" ref="R3063:R3069" si="295">(M3063*P3063)</f>
        <v>1132.75</v>
      </c>
      <c r="W3063" s="4"/>
    </row>
    <row r="3064" spans="6:23" ht="33.75" customHeight="1">
      <c r="F3064" s="110"/>
      <c r="G3064" s="111"/>
      <c r="H3064" s="119" t="s">
        <v>774</v>
      </c>
      <c r="I3064" s="110"/>
      <c r="J3064" s="113"/>
      <c r="K3064" s="121">
        <f>SUM(K3055:K3063)</f>
        <v>6945.18</v>
      </c>
      <c r="M3064" s="121">
        <v>4</v>
      </c>
      <c r="N3064" s="118" t="s">
        <v>785</v>
      </c>
      <c r="O3064" s="119" t="s">
        <v>1489</v>
      </c>
      <c r="P3064" s="110">
        <f t="shared" si="294"/>
        <v>57.65</v>
      </c>
      <c r="Q3064" s="117" t="s">
        <v>884</v>
      </c>
      <c r="R3064" s="121">
        <f t="shared" si="295"/>
        <v>230.6</v>
      </c>
      <c r="W3064" s="4"/>
    </row>
    <row r="3065" spans="6:23" ht="24" customHeight="1">
      <c r="F3065" s="110"/>
      <c r="G3065" s="111"/>
      <c r="H3065" s="110"/>
      <c r="I3065" s="110"/>
      <c r="J3065" s="113"/>
      <c r="K3065" s="120" t="s">
        <v>1615</v>
      </c>
      <c r="M3065" s="121">
        <v>6</v>
      </c>
      <c r="N3065" s="118" t="s">
        <v>884</v>
      </c>
      <c r="O3065" s="119" t="s">
        <v>1490</v>
      </c>
      <c r="P3065" s="110">
        <f t="shared" si="294"/>
        <v>89.6</v>
      </c>
      <c r="Q3065" s="117" t="s">
        <v>884</v>
      </c>
      <c r="R3065" s="121">
        <f t="shared" si="295"/>
        <v>537.6</v>
      </c>
      <c r="W3065" s="4"/>
    </row>
    <row r="3066" spans="6:23" ht="24" customHeight="1">
      <c r="F3066" s="110"/>
      <c r="G3066" s="111"/>
      <c r="H3066" s="119" t="s">
        <v>562</v>
      </c>
      <c r="I3066" s="110"/>
      <c r="J3066" s="113"/>
      <c r="K3066" s="121">
        <f>K3064/F3056</f>
        <v>3117.93</v>
      </c>
      <c r="M3066" s="121">
        <v>4</v>
      </c>
      <c r="N3066" s="118" t="s">
        <v>884</v>
      </c>
      <c r="O3066" s="119" t="s">
        <v>1491</v>
      </c>
      <c r="P3066" s="110">
        <f t="shared" si="294"/>
        <v>64.8</v>
      </c>
      <c r="Q3066" s="117" t="s">
        <v>884</v>
      </c>
      <c r="R3066" s="121">
        <f t="shared" si="295"/>
        <v>259.2</v>
      </c>
      <c r="W3066" s="4"/>
    </row>
    <row r="3067" spans="6:23" ht="24" customHeight="1">
      <c r="M3067" s="121">
        <v>1</v>
      </c>
      <c r="N3067" s="118" t="s">
        <v>884</v>
      </c>
      <c r="O3067" s="119" t="s">
        <v>1492</v>
      </c>
      <c r="P3067" s="110">
        <f t="shared" si="294"/>
        <v>181</v>
      </c>
      <c r="Q3067" s="117" t="s">
        <v>884</v>
      </c>
      <c r="R3067" s="121">
        <f t="shared" si="295"/>
        <v>181</v>
      </c>
      <c r="W3067" s="4"/>
    </row>
    <row r="3068" spans="6:23" ht="24" customHeight="1">
      <c r="F3068" s="117" t="s">
        <v>574</v>
      </c>
      <c r="G3068" s="118" t="s">
        <v>2290</v>
      </c>
      <c r="H3068" s="119" t="s">
        <v>1802</v>
      </c>
      <c r="I3068" s="110"/>
      <c r="J3068" s="113"/>
      <c r="K3068" s="110"/>
      <c r="M3068" s="121">
        <v>2</v>
      </c>
      <c r="N3068" s="118" t="s">
        <v>884</v>
      </c>
      <c r="O3068" s="119" t="s">
        <v>1493</v>
      </c>
      <c r="P3068" s="110">
        <f t="shared" si="294"/>
        <v>7.3</v>
      </c>
      <c r="Q3068" s="117" t="s">
        <v>884</v>
      </c>
      <c r="R3068" s="121">
        <f t="shared" si="295"/>
        <v>14.6</v>
      </c>
      <c r="W3068" s="4"/>
    </row>
    <row r="3069" spans="6:23" ht="24" customHeight="1">
      <c r="F3069" s="110"/>
      <c r="G3069" s="111"/>
      <c r="H3069" s="119" t="s">
        <v>259</v>
      </c>
      <c r="I3069" s="110"/>
      <c r="J3069" s="113"/>
      <c r="K3069" s="110"/>
      <c r="M3069" s="121">
        <v>2</v>
      </c>
      <c r="N3069" s="118" t="s">
        <v>884</v>
      </c>
      <c r="O3069" s="119" t="s">
        <v>2018</v>
      </c>
      <c r="P3069" s="110">
        <f t="shared" si="294"/>
        <v>49.55</v>
      </c>
      <c r="Q3069" s="117" t="s">
        <v>884</v>
      </c>
      <c r="R3069" s="121">
        <f t="shared" si="295"/>
        <v>99.1</v>
      </c>
      <c r="W3069" s="4"/>
    </row>
    <row r="3070" spans="6:23" ht="24" customHeight="1">
      <c r="F3070" s="110"/>
      <c r="G3070" s="111"/>
      <c r="H3070" s="119" t="s">
        <v>1962</v>
      </c>
      <c r="I3070" s="110"/>
      <c r="J3070" s="113"/>
      <c r="K3070" s="110"/>
      <c r="M3070" s="110"/>
      <c r="N3070" s="111"/>
      <c r="O3070" s="110"/>
      <c r="P3070" s="110"/>
      <c r="Q3070" s="113"/>
      <c r="R3070" s="120" t="s">
        <v>1615</v>
      </c>
      <c r="W3070" s="4"/>
    </row>
    <row r="3071" spans="6:23" ht="24" customHeight="1">
      <c r="F3071" s="110"/>
      <c r="G3071" s="111"/>
      <c r="H3071" s="120" t="s">
        <v>1615</v>
      </c>
      <c r="I3071" s="110"/>
      <c r="J3071" s="113"/>
      <c r="K3071" s="110"/>
      <c r="M3071" s="110"/>
      <c r="N3071" s="111"/>
      <c r="O3071" s="119" t="s">
        <v>370</v>
      </c>
      <c r="P3071" s="110"/>
      <c r="Q3071" s="113"/>
      <c r="R3071" s="121">
        <f>SUM(R3062:R3070)+0.5</f>
        <v>9627.5499999999993</v>
      </c>
      <c r="W3071" s="4"/>
    </row>
    <row r="3072" spans="6:23" ht="24" customHeight="1">
      <c r="F3072" s="110"/>
      <c r="G3072" s="111"/>
      <c r="H3072" s="119" t="s">
        <v>105</v>
      </c>
      <c r="I3072" s="110"/>
      <c r="J3072" s="113"/>
      <c r="K3072" s="110"/>
      <c r="M3072" s="110"/>
      <c r="N3072" s="111"/>
      <c r="O3072" s="110"/>
      <c r="P3072" s="110"/>
      <c r="Q3072" s="113"/>
      <c r="R3072" s="120" t="s">
        <v>1615</v>
      </c>
      <c r="W3072" s="4"/>
    </row>
    <row r="3073" spans="6:23" ht="24" customHeight="1">
      <c r="F3073" s="110"/>
      <c r="G3073" s="111"/>
      <c r="H3073" s="110"/>
      <c r="I3073" s="110"/>
      <c r="J3073" s="113"/>
      <c r="K3073" s="110"/>
      <c r="M3073" s="110"/>
      <c r="N3073" s="111"/>
      <c r="O3073" s="119" t="s">
        <v>562</v>
      </c>
      <c r="P3073" s="110"/>
      <c r="Q3073" s="113"/>
      <c r="R3073" s="121">
        <f>R3071/M3062</f>
        <v>2926.31</v>
      </c>
      <c r="W3073" s="4"/>
    </row>
    <row r="3074" spans="6:23" ht="24" customHeight="1">
      <c r="F3074" s="129">
        <v>2.87</v>
      </c>
      <c r="G3074" s="118" t="s">
        <v>621</v>
      </c>
      <c r="H3074" s="126" t="s">
        <v>756</v>
      </c>
      <c r="I3074" s="163">
        <f>I3055</f>
        <v>2180</v>
      </c>
      <c r="J3074" s="117" t="s">
        <v>621</v>
      </c>
      <c r="K3074" s="110">
        <f>F3075*I3074</f>
        <v>6256.6</v>
      </c>
      <c r="N3074" s="3"/>
      <c r="Q3074" s="10"/>
      <c r="W3074" s="4"/>
    </row>
    <row r="3075" spans="6:23" ht="24" customHeight="1">
      <c r="F3075" s="133">
        <f>F3074</f>
        <v>2.87</v>
      </c>
      <c r="G3075" s="118" t="s">
        <v>621</v>
      </c>
      <c r="H3075" s="498" t="s">
        <v>453</v>
      </c>
      <c r="I3075" s="124">
        <f t="shared" ref="I3075:I3081" si="296">I3056</f>
        <v>344.3</v>
      </c>
      <c r="J3075" s="117" t="s">
        <v>621</v>
      </c>
      <c r="K3075" s="121">
        <f t="shared" ref="K3075:K3081" si="297">(F3075*I3075)</f>
        <v>988.14</v>
      </c>
      <c r="W3075" s="4"/>
    </row>
    <row r="3076" spans="6:23" ht="24" customHeight="1">
      <c r="F3076" s="121">
        <v>4</v>
      </c>
      <c r="G3076" s="118" t="s">
        <v>785</v>
      </c>
      <c r="H3076" s="119" t="s">
        <v>1489</v>
      </c>
      <c r="I3076" s="163">
        <f t="shared" si="296"/>
        <v>57.65</v>
      </c>
      <c r="J3076" s="117" t="s">
        <v>884</v>
      </c>
      <c r="K3076" s="121">
        <f t="shared" si="297"/>
        <v>230.6</v>
      </c>
      <c r="W3076" s="4"/>
    </row>
    <row r="3077" spans="6:23" ht="24" customHeight="1">
      <c r="F3077" s="121">
        <v>6</v>
      </c>
      <c r="G3077" s="118" t="s">
        <v>884</v>
      </c>
      <c r="H3077" s="119" t="s">
        <v>1490</v>
      </c>
      <c r="I3077" s="163">
        <f t="shared" si="296"/>
        <v>89.6</v>
      </c>
      <c r="J3077" s="117" t="s">
        <v>884</v>
      </c>
      <c r="K3077" s="121">
        <f t="shared" si="297"/>
        <v>537.6</v>
      </c>
      <c r="W3077" s="4"/>
    </row>
    <row r="3078" spans="6:23" ht="24" customHeight="1">
      <c r="F3078" s="121">
        <v>4</v>
      </c>
      <c r="G3078" s="118" t="s">
        <v>884</v>
      </c>
      <c r="H3078" s="119" t="s">
        <v>1491</v>
      </c>
      <c r="I3078" s="163">
        <f t="shared" si="296"/>
        <v>64.8</v>
      </c>
      <c r="J3078" s="117" t="s">
        <v>884</v>
      </c>
      <c r="K3078" s="121">
        <f t="shared" si="297"/>
        <v>259.2</v>
      </c>
      <c r="W3078" s="4"/>
    </row>
    <row r="3079" spans="6:23" ht="24" customHeight="1">
      <c r="F3079" s="121">
        <v>1</v>
      </c>
      <c r="G3079" s="118" t="s">
        <v>884</v>
      </c>
      <c r="H3079" s="119" t="s">
        <v>1492</v>
      </c>
      <c r="I3079" s="163">
        <f t="shared" si="296"/>
        <v>181</v>
      </c>
      <c r="J3079" s="117" t="s">
        <v>884</v>
      </c>
      <c r="K3079" s="121">
        <f t="shared" si="297"/>
        <v>181</v>
      </c>
      <c r="W3079" s="4"/>
    </row>
    <row r="3080" spans="6:23" ht="24" customHeight="1">
      <c r="F3080" s="121">
        <v>2</v>
      </c>
      <c r="G3080" s="118" t="s">
        <v>884</v>
      </c>
      <c r="H3080" s="119" t="s">
        <v>1493</v>
      </c>
      <c r="I3080" s="163">
        <f t="shared" si="296"/>
        <v>7.3</v>
      </c>
      <c r="J3080" s="117" t="s">
        <v>884</v>
      </c>
      <c r="K3080" s="121">
        <f t="shared" si="297"/>
        <v>14.6</v>
      </c>
      <c r="W3080" s="4"/>
    </row>
    <row r="3081" spans="6:23" ht="24" customHeight="1">
      <c r="F3081" s="121">
        <v>2</v>
      </c>
      <c r="G3081" s="118" t="s">
        <v>884</v>
      </c>
      <c r="H3081" s="119" t="s">
        <v>2018</v>
      </c>
      <c r="I3081" s="163">
        <f t="shared" si="296"/>
        <v>49.55</v>
      </c>
      <c r="J3081" s="117" t="s">
        <v>884</v>
      </c>
      <c r="K3081" s="121">
        <f t="shared" si="297"/>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8568.19</v>
      </c>
      <c r="W3083" s="4"/>
    </row>
    <row r="3084" spans="6:23" ht="24" customHeight="1">
      <c r="F3084" s="110"/>
      <c r="G3084" s="111"/>
      <c r="H3084" s="110"/>
      <c r="I3084" s="110"/>
      <c r="J3084" s="113"/>
      <c r="K3084" s="120" t="s">
        <v>1615</v>
      </c>
      <c r="W3084" s="4"/>
    </row>
    <row r="3085" spans="6:23" ht="24" customHeight="1">
      <c r="F3085" s="110"/>
      <c r="G3085" s="111"/>
      <c r="H3085" s="119" t="s">
        <v>562</v>
      </c>
      <c r="I3085" s="110"/>
      <c r="J3085" s="113"/>
      <c r="K3085" s="121">
        <f>K3083/F3075</f>
        <v>2985.43</v>
      </c>
      <c r="W3085" s="4"/>
    </row>
    <row r="3086" spans="6:23" ht="24" customHeight="1">
      <c r="W3086" s="4"/>
    </row>
    <row r="3087" spans="6:23" ht="24" customHeight="1">
      <c r="F3087" s="77" t="s">
        <v>896</v>
      </c>
      <c r="G3087" s="78"/>
      <c r="H3087" s="79" t="s">
        <v>1254</v>
      </c>
      <c r="I3087" s="46"/>
      <c r="J3087" s="99"/>
      <c r="K3087" s="46"/>
      <c r="W3087" s="4"/>
    </row>
    <row r="3088" spans="6:23" ht="24" customHeight="1">
      <c r="F3088" s="46"/>
      <c r="G3088" s="78"/>
      <c r="H3088" s="80" t="s">
        <v>1615</v>
      </c>
      <c r="I3088" s="80" t="s">
        <v>1615</v>
      </c>
      <c r="J3088" s="79" t="s">
        <v>1615</v>
      </c>
      <c r="K3088" s="46"/>
      <c r="W3088" s="4"/>
    </row>
    <row r="3089" spans="6:42" ht="24" customHeight="1">
      <c r="F3089" s="46"/>
      <c r="G3089" s="78"/>
      <c r="H3089" s="46"/>
      <c r="I3089" s="46"/>
      <c r="J3089" s="99"/>
      <c r="K3089" s="46"/>
      <c r="W3089" s="4"/>
    </row>
    <row r="3090" spans="6:42" ht="24" customHeight="1">
      <c r="F3090" s="46"/>
      <c r="G3090" s="78"/>
      <c r="H3090" s="79" t="s">
        <v>2036</v>
      </c>
      <c r="I3090" s="46"/>
      <c r="J3090" s="99"/>
      <c r="K3090" s="46"/>
      <c r="W3090" s="4"/>
    </row>
    <row r="3091" spans="6:42" ht="24" customHeight="1">
      <c r="F3091" s="46"/>
      <c r="G3091" s="78"/>
      <c r="H3091" s="79"/>
      <c r="I3091" s="46"/>
      <c r="J3091" s="99"/>
      <c r="K3091" s="46"/>
      <c r="W3091" s="4"/>
    </row>
    <row r="3092" spans="6:42" ht="24" customHeight="1">
      <c r="F3092" s="46"/>
      <c r="G3092" s="78"/>
      <c r="H3092" s="79" t="s">
        <v>2037</v>
      </c>
      <c r="I3092" s="46"/>
      <c r="J3092" s="99"/>
      <c r="K3092" s="46"/>
      <c r="W3092" s="4"/>
    </row>
    <row r="3093" spans="6:42" ht="24" customHeight="1">
      <c r="F3093" s="46"/>
      <c r="G3093" s="78"/>
      <c r="H3093" s="79" t="s">
        <v>460</v>
      </c>
      <c r="I3093" s="46"/>
      <c r="J3093" s="99"/>
      <c r="K3093" s="46"/>
      <c r="W3093" s="4"/>
    </row>
    <row r="3094" spans="6:42" ht="24" customHeight="1">
      <c r="F3094" s="46"/>
      <c r="G3094" s="78"/>
      <c r="H3094" s="79" t="s">
        <v>461</v>
      </c>
      <c r="I3094" s="46"/>
      <c r="J3094" s="99"/>
      <c r="K3094" s="46"/>
      <c r="S3094" s="2"/>
      <c r="T3094" s="7"/>
      <c r="U3094" s="1"/>
      <c r="W3094" s="4"/>
    </row>
    <row r="3095" spans="6:42" ht="24" customHeight="1">
      <c r="F3095" s="46"/>
      <c r="G3095" s="78"/>
      <c r="H3095" s="79" t="s">
        <v>462</v>
      </c>
      <c r="I3095" s="46"/>
      <c r="J3095" s="99"/>
      <c r="K3095" s="46"/>
      <c r="S3095"/>
      <c r="U3095" s="1"/>
      <c r="W3095" s="4"/>
    </row>
    <row r="3096" spans="6:42" ht="24" customHeight="1">
      <c r="F3096" s="46"/>
      <c r="G3096" s="78"/>
      <c r="H3096" s="79" t="s">
        <v>897</v>
      </c>
      <c r="I3096" s="46"/>
      <c r="J3096" s="79" t="s">
        <v>992</v>
      </c>
      <c r="K3096" s="82">
        <v>3.7699999999999997E-2</v>
      </c>
      <c r="S3096"/>
      <c r="T3096" s="3"/>
      <c r="U3096" s="1"/>
      <c r="W3096" s="4"/>
    </row>
    <row r="3097" spans="6:42" ht="24" customHeight="1">
      <c r="F3097" s="46"/>
      <c r="G3097" s="78"/>
      <c r="H3097" s="217" t="s">
        <v>458</v>
      </c>
      <c r="I3097" s="46"/>
      <c r="J3097" s="83" t="s">
        <v>992</v>
      </c>
      <c r="K3097" s="83" t="s">
        <v>992</v>
      </c>
      <c r="S3097"/>
      <c r="T3097" s="3"/>
      <c r="U3097" s="1"/>
      <c r="W3097" s="4"/>
    </row>
    <row r="3098" spans="6:42" ht="24" customHeight="1">
      <c r="F3098" s="46"/>
      <c r="G3098" s="78"/>
      <c r="H3098" s="79" t="s">
        <v>1864</v>
      </c>
      <c r="I3098" s="46"/>
      <c r="J3098" s="99"/>
      <c r="K3098" s="83" t="s">
        <v>992</v>
      </c>
      <c r="S3098"/>
      <c r="T3098" s="3"/>
      <c r="U3098" s="1"/>
      <c r="W3098" s="4"/>
    </row>
    <row r="3099" spans="6:42" ht="24" customHeight="1">
      <c r="F3099" s="46"/>
      <c r="G3099" s="78"/>
      <c r="H3099" s="46"/>
      <c r="I3099" s="46"/>
      <c r="J3099" s="99"/>
      <c r="K3099" s="46"/>
      <c r="S3099"/>
      <c r="T3099" s="3"/>
      <c r="U3099" s="3" t="s">
        <v>3621</v>
      </c>
      <c r="W3099" s="4"/>
    </row>
    <row r="3100" spans="6:42" ht="31.5" customHeight="1">
      <c r="F3100" s="84">
        <v>1.18E-2</v>
      </c>
      <c r="G3100" s="85" t="s">
        <v>885</v>
      </c>
      <c r="H3100" s="79" t="s">
        <v>705</v>
      </c>
      <c r="I3100" s="86">
        <f>I2662</f>
        <v>111600</v>
      </c>
      <c r="J3100" s="79" t="s">
        <v>885</v>
      </c>
      <c r="K3100" s="86">
        <f t="shared" ref="K3100:K3108" si="298">(F3100*I3100)</f>
        <v>1316.88</v>
      </c>
      <c r="S3100"/>
      <c r="T3100" s="3"/>
      <c r="U3100" s="41"/>
      <c r="W3100" s="4"/>
    </row>
    <row r="3101" spans="6:42" ht="24.75" customHeight="1">
      <c r="F3101" s="84">
        <v>3.7699999999999997E-2</v>
      </c>
      <c r="G3101" s="85" t="s">
        <v>885</v>
      </c>
      <c r="H3101" s="79" t="s">
        <v>706</v>
      </c>
      <c r="I3101" s="86">
        <f t="shared" ref="I3101:I3108" si="299">I2663</f>
        <v>99400</v>
      </c>
      <c r="J3101" s="79" t="s">
        <v>885</v>
      </c>
      <c r="K3101" s="86">
        <f t="shared" si="298"/>
        <v>3747.38</v>
      </c>
      <c r="S3101"/>
      <c r="T3101" s="3"/>
      <c r="U3101" s="1" t="s">
        <v>3622</v>
      </c>
      <c r="V3101" s="381">
        <f xml:space="preserve"> 3.08*2.1</f>
        <v>6.468</v>
      </c>
      <c r="W3101" s="4" t="s">
        <v>236</v>
      </c>
      <c r="X3101" t="s">
        <v>236</v>
      </c>
    </row>
    <row r="3102" spans="6:42" ht="36" customHeight="1">
      <c r="F3102" s="84">
        <v>1.8550000000000001E-2</v>
      </c>
      <c r="G3102" s="85" t="s">
        <v>885</v>
      </c>
      <c r="H3102" s="79" t="s">
        <v>902</v>
      </c>
      <c r="I3102" s="86">
        <f t="shared" si="299"/>
        <v>14278</v>
      </c>
      <c r="J3102" s="79" t="s">
        <v>885</v>
      </c>
      <c r="K3102" s="86">
        <f t="shared" si="298"/>
        <v>264.86</v>
      </c>
      <c r="S3102"/>
      <c r="T3102" s="543"/>
      <c r="U3102" s="542" t="s">
        <v>3911</v>
      </c>
      <c r="V3102" s="544">
        <f>4*2.05*0.075*0.0375</f>
        <v>2.3060000000000001E-2</v>
      </c>
      <c r="W3102" s="1019" t="s">
        <v>1365</v>
      </c>
      <c r="X3102" s="545"/>
      <c r="AE3102" s="36" t="s">
        <v>3732</v>
      </c>
      <c r="AP3102" s="36" t="s">
        <v>4418</v>
      </c>
    </row>
    <row r="3103" spans="6:42" ht="45" customHeight="1">
      <c r="F3103" s="84">
        <v>1.36</v>
      </c>
      <c r="G3103" s="85" t="s">
        <v>621</v>
      </c>
      <c r="H3103" s="79" t="s">
        <v>1255</v>
      </c>
      <c r="I3103" s="86">
        <f>I1055</f>
        <v>387.4</v>
      </c>
      <c r="J3103" s="79" t="s">
        <v>621</v>
      </c>
      <c r="K3103" s="86">
        <f t="shared" si="298"/>
        <v>526.86</v>
      </c>
      <c r="S3103"/>
      <c r="T3103" s="543"/>
      <c r="U3103" s="545"/>
      <c r="V3103" s="545"/>
      <c r="W3103" s="1020" t="s">
        <v>1615</v>
      </c>
      <c r="X3103" s="545"/>
      <c r="AE3103" t="s">
        <v>3289</v>
      </c>
      <c r="AP3103" t="s">
        <v>3289</v>
      </c>
    </row>
    <row r="3104" spans="6:42" ht="31.5" customHeight="1">
      <c r="F3104" s="84">
        <v>2.0499999999999998</v>
      </c>
      <c r="G3104" s="85" t="s">
        <v>621</v>
      </c>
      <c r="H3104" s="79" t="s">
        <v>1532</v>
      </c>
      <c r="I3104" s="86">
        <f t="shared" si="299"/>
        <v>1336.5</v>
      </c>
      <c r="J3104" s="79" t="s">
        <v>621</v>
      </c>
      <c r="K3104" s="86">
        <f t="shared" si="298"/>
        <v>2739.83</v>
      </c>
      <c r="S3104"/>
      <c r="T3104" s="543"/>
      <c r="U3104" s="542" t="s">
        <v>3912</v>
      </c>
      <c r="V3104" s="544">
        <f>2*3*0.55*0.15*0.0375</f>
        <v>1.856E-2</v>
      </c>
      <c r="W3104" s="1019" t="s">
        <v>1365</v>
      </c>
      <c r="X3104" s="545"/>
      <c r="AE3104" t="s">
        <v>3733</v>
      </c>
      <c r="AP3104" t="s">
        <v>3733</v>
      </c>
    </row>
    <row r="3105" spans="6:47" ht="31.5" customHeight="1">
      <c r="F3105" s="86">
        <v>2</v>
      </c>
      <c r="G3105" s="85" t="s">
        <v>884</v>
      </c>
      <c r="H3105" s="79" t="s">
        <v>5718</v>
      </c>
      <c r="I3105" s="533">
        <v>57</v>
      </c>
      <c r="J3105" s="79" t="s">
        <v>884</v>
      </c>
      <c r="K3105" s="86">
        <f t="shared" si="298"/>
        <v>114</v>
      </c>
      <c r="S3105"/>
      <c r="T3105" s="543"/>
      <c r="U3105" s="542" t="s">
        <v>992</v>
      </c>
      <c r="V3105" s="542" t="s">
        <v>992</v>
      </c>
      <c r="W3105" s="1019"/>
      <c r="X3105" s="546" t="s">
        <v>992</v>
      </c>
      <c r="AC3105">
        <v>0.1</v>
      </c>
      <c r="AD3105" t="s">
        <v>1457</v>
      </c>
      <c r="AE3105" t="s">
        <v>665</v>
      </c>
      <c r="AF3105">
        <f>AE17</f>
        <v>919.6</v>
      </c>
      <c r="AG3105" t="s">
        <v>1423</v>
      </c>
      <c r="AH3105">
        <f>AC3105*AF3105</f>
        <v>91.96</v>
      </c>
      <c r="AM3105">
        <v>0.1</v>
      </c>
      <c r="AN3105" t="s">
        <v>1457</v>
      </c>
      <c r="AP3105" t="s">
        <v>665</v>
      </c>
      <c r="AQ3105">
        <f>AF3105</f>
        <v>919.6</v>
      </c>
      <c r="AR3105" t="s">
        <v>1423</v>
      </c>
      <c r="AS3105">
        <f>AQ3105*AM3105</f>
        <v>91.96</v>
      </c>
    </row>
    <row r="3106" spans="6:47" ht="36" customHeight="1">
      <c r="F3106" s="86">
        <v>6</v>
      </c>
      <c r="G3106" s="85" t="s">
        <v>884</v>
      </c>
      <c r="H3106" s="79" t="s">
        <v>1367</v>
      </c>
      <c r="I3106" s="86">
        <f t="shared" si="299"/>
        <v>49.35</v>
      </c>
      <c r="J3106" s="79" t="s">
        <v>884</v>
      </c>
      <c r="K3106" s="86">
        <f t="shared" si="298"/>
        <v>296.10000000000002</v>
      </c>
      <c r="S3106"/>
      <c r="T3106" s="543"/>
      <c r="U3106" s="545"/>
      <c r="V3106" s="545"/>
      <c r="W3106" s="1020" t="s">
        <v>992</v>
      </c>
      <c r="X3106" s="542" t="s">
        <v>992</v>
      </c>
      <c r="AC3106">
        <v>0.1</v>
      </c>
      <c r="AD3106" t="s">
        <v>3734</v>
      </c>
      <c r="AE3106" t="s">
        <v>353</v>
      </c>
      <c r="AF3106">
        <f>AE11</f>
        <v>679.8</v>
      </c>
      <c r="AG3106" t="s">
        <v>1423</v>
      </c>
      <c r="AH3106">
        <f>AC3106*AF3106</f>
        <v>67.98</v>
      </c>
      <c r="AM3106">
        <v>0.1</v>
      </c>
      <c r="AN3106" t="s">
        <v>3734</v>
      </c>
      <c r="AP3106" t="s">
        <v>353</v>
      </c>
      <c r="AQ3106">
        <f>AF3106</f>
        <v>679.8</v>
      </c>
      <c r="AR3106" t="s">
        <v>1423</v>
      </c>
      <c r="AS3106">
        <f>AQ3106*AM3106</f>
        <v>67.98</v>
      </c>
    </row>
    <row r="3107" spans="6:47" ht="24.75" customHeight="1">
      <c r="F3107" s="86">
        <v>2</v>
      </c>
      <c r="G3107" s="85" t="s">
        <v>884</v>
      </c>
      <c r="H3107" s="79" t="s">
        <v>1415</v>
      </c>
      <c r="I3107" s="86">
        <f t="shared" si="299"/>
        <v>60.9</v>
      </c>
      <c r="J3107" s="79" t="s">
        <v>884</v>
      </c>
      <c r="K3107" s="86">
        <f t="shared" si="298"/>
        <v>121.8</v>
      </c>
      <c r="S3107"/>
      <c r="T3107" s="543"/>
      <c r="U3107" s="542" t="s">
        <v>2485</v>
      </c>
      <c r="V3107" s="545">
        <f>2*0.625*0.425</f>
        <v>0.53</v>
      </c>
      <c r="W3107" s="1021" t="s">
        <v>992</v>
      </c>
      <c r="X3107" s="546" t="s">
        <v>992</v>
      </c>
      <c r="AC3107">
        <v>10</v>
      </c>
      <c r="AD3107" t="s">
        <v>3735</v>
      </c>
      <c r="AE3107" t="s">
        <v>5158</v>
      </c>
      <c r="AF3107" s="431">
        <v>18.45</v>
      </c>
      <c r="AG3107" t="s">
        <v>3736</v>
      </c>
      <c r="AH3107">
        <f>(AC3107*AF3107)/100</f>
        <v>1.85</v>
      </c>
      <c r="AM3107">
        <v>10</v>
      </c>
      <c r="AN3107" t="s">
        <v>3735</v>
      </c>
      <c r="AP3107" t="s">
        <v>4524</v>
      </c>
      <c r="AQ3107" s="438">
        <f>AF3107</f>
        <v>18.45</v>
      </c>
      <c r="AR3107" t="s">
        <v>3736</v>
      </c>
      <c r="AS3107">
        <f>(AQ3107*AM3107)/100</f>
        <v>1.85</v>
      </c>
    </row>
    <row r="3108" spans="6:47" ht="29.25" customHeight="1">
      <c r="F3108" s="86">
        <v>1</v>
      </c>
      <c r="G3108" s="85" t="s">
        <v>884</v>
      </c>
      <c r="H3108" s="79" t="s">
        <v>1442</v>
      </c>
      <c r="I3108" s="696">
        <f t="shared" si="299"/>
        <v>63.2</v>
      </c>
      <c r="J3108" s="79" t="s">
        <v>884</v>
      </c>
      <c r="K3108" s="86">
        <f t="shared" si="298"/>
        <v>63.2</v>
      </c>
      <c r="S3108"/>
      <c r="T3108" s="543"/>
      <c r="U3108" s="542" t="s">
        <v>2486</v>
      </c>
      <c r="V3108" s="545">
        <f>2*0.425*1.025</f>
        <v>0.87</v>
      </c>
      <c r="W3108" s="1019"/>
      <c r="X3108" s="546">
        <v>1.26</v>
      </c>
      <c r="AC3108">
        <v>0.25</v>
      </c>
      <c r="AD3108" t="s">
        <v>1457</v>
      </c>
      <c r="AE3108" t="s">
        <v>5159</v>
      </c>
      <c r="AF3108" s="431">
        <v>3.6</v>
      </c>
      <c r="AG3108" t="s">
        <v>1423</v>
      </c>
      <c r="AH3108">
        <v>1</v>
      </c>
      <c r="AM3108">
        <v>0.25</v>
      </c>
      <c r="AN3108" t="s">
        <v>1457</v>
      </c>
      <c r="AP3108" t="s">
        <v>4525</v>
      </c>
      <c r="AQ3108" s="438">
        <f>AF3108</f>
        <v>3.6</v>
      </c>
      <c r="AR3108" t="s">
        <v>1423</v>
      </c>
      <c r="AS3108">
        <f>AQ3108*AM3108</f>
        <v>0.9</v>
      </c>
      <c r="AU3108">
        <f>3.09/0.25</f>
        <v>12.36</v>
      </c>
    </row>
    <row r="3109" spans="6:47" ht="24" customHeight="1">
      <c r="F3109" s="86">
        <v>6.55</v>
      </c>
      <c r="G3109" s="85" t="s">
        <v>621</v>
      </c>
      <c r="H3109" s="79" t="s">
        <v>1369</v>
      </c>
      <c r="I3109" s="86">
        <f>K1540</f>
        <v>240.31</v>
      </c>
      <c r="J3109" s="79" t="s">
        <v>621</v>
      </c>
      <c r="K3109" s="86">
        <f>(F3109*I3109)</f>
        <v>1574.03</v>
      </c>
      <c r="S3109"/>
      <c r="T3109" s="543"/>
      <c r="U3109" s="545"/>
      <c r="V3109" s="547">
        <f>SUM(V3107:V3108)</f>
        <v>1.4</v>
      </c>
      <c r="W3109" s="1019" t="s">
        <v>236</v>
      </c>
      <c r="X3109" s="542" t="s">
        <v>992</v>
      </c>
      <c r="AF3109" t="s">
        <v>3737</v>
      </c>
      <c r="AH3109">
        <f>SUM(AH3105:AH3108)</f>
        <v>162.79</v>
      </c>
      <c r="AQ3109" t="s">
        <v>3737</v>
      </c>
      <c r="AS3109">
        <f>SUM(AS3105:AS3108)</f>
        <v>162.69</v>
      </c>
    </row>
    <row r="3110" spans="6:47" ht="27.75" customHeight="1">
      <c r="F3110" s="46">
        <v>50</v>
      </c>
      <c r="G3110" s="78" t="s">
        <v>1457</v>
      </c>
      <c r="H3110" s="79" t="s">
        <v>1359</v>
      </c>
      <c r="I3110" s="530">
        <f>I961</f>
        <v>2.41</v>
      </c>
      <c r="J3110" s="99"/>
      <c r="K3110" s="86">
        <f>(F3110*I3110)</f>
        <v>120.5</v>
      </c>
      <c r="S3110"/>
      <c r="T3110" s="3"/>
      <c r="W3110" s="4"/>
      <c r="X3110" s="17" t="s">
        <v>992</v>
      </c>
    </row>
    <row r="3111" spans="6:47" ht="24" customHeight="1">
      <c r="F3111" s="46"/>
      <c r="G3111" s="78"/>
      <c r="H3111" s="87"/>
      <c r="I3111" s="87"/>
      <c r="J3111" s="100"/>
      <c r="K3111" s="88" t="s">
        <v>1615</v>
      </c>
      <c r="S3111"/>
      <c r="T3111" s="3"/>
      <c r="W3111" s="4"/>
      <c r="X3111" s="1" t="s">
        <v>992</v>
      </c>
      <c r="AE3111" s="455" t="s">
        <v>469</v>
      </c>
      <c r="AF3111" t="s">
        <v>3738</v>
      </c>
      <c r="AG3111" s="455" t="s">
        <v>3738</v>
      </c>
      <c r="AH3111" s="455" t="s">
        <v>3739</v>
      </c>
      <c r="AP3111" s="455" t="s">
        <v>469</v>
      </c>
      <c r="AQ3111" s="36" t="s">
        <v>3738</v>
      </c>
      <c r="AR3111" s="548" t="s">
        <v>3739</v>
      </c>
    </row>
    <row r="3112" spans="6:47" ht="26.25" customHeight="1">
      <c r="F3112" s="46"/>
      <c r="G3112" s="78"/>
      <c r="H3112" s="89" t="s">
        <v>1440</v>
      </c>
      <c r="I3112" s="87"/>
      <c r="J3112" s="100"/>
      <c r="K3112" s="90">
        <f>SUM(K3100:K3110)</f>
        <v>10885.44</v>
      </c>
      <c r="S3112" s="2" t="s">
        <v>1499</v>
      </c>
      <c r="T3112" s="7"/>
      <c r="U3112" s="33" t="s">
        <v>3628</v>
      </c>
      <c r="W3112" s="4"/>
      <c r="X3112" s="1" t="s">
        <v>992</v>
      </c>
      <c r="AE3112" s="455"/>
      <c r="AF3112" s="607">
        <v>331</v>
      </c>
      <c r="AG3112" s="607">
        <v>331</v>
      </c>
      <c r="AH3112" s="607">
        <v>283</v>
      </c>
      <c r="AP3112" s="455"/>
      <c r="AR3112" s="455"/>
      <c r="AS3112" s="455"/>
    </row>
    <row r="3113" spans="6:47" ht="24" customHeight="1">
      <c r="F3113" s="46"/>
      <c r="G3113" s="85" t="s">
        <v>992</v>
      </c>
      <c r="H3113" s="87"/>
      <c r="I3113" s="87"/>
      <c r="J3113" s="100"/>
      <c r="K3113" s="88" t="s">
        <v>1615</v>
      </c>
      <c r="S3113"/>
      <c r="T3113" s="3"/>
      <c r="U3113" s="5" t="s">
        <v>1615</v>
      </c>
      <c r="W3113" s="4"/>
      <c r="AE3113" s="455" t="s">
        <v>3740</v>
      </c>
      <c r="AF3113">
        <f>AH3109</f>
        <v>162.79</v>
      </c>
      <c r="AG3113" s="455">
        <f>AH3109</f>
        <v>162.79</v>
      </c>
      <c r="AH3113" s="455">
        <f>AH3109</f>
        <v>162.79</v>
      </c>
      <c r="AP3113" s="455" t="s">
        <v>3740</v>
      </c>
      <c r="AQ3113" s="691">
        <v>96</v>
      </c>
      <c r="AR3113" s="691">
        <v>85</v>
      </c>
      <c r="AS3113" s="691">
        <v>85</v>
      </c>
    </row>
    <row r="3114" spans="6:47" ht="24" customHeight="1">
      <c r="F3114" s="46"/>
      <c r="G3114" s="78"/>
      <c r="H3114" s="89" t="s">
        <v>562</v>
      </c>
      <c r="I3114" s="87"/>
      <c r="J3114" s="100"/>
      <c r="K3114" s="90">
        <f>K3112/2.52</f>
        <v>4319.62</v>
      </c>
      <c r="S3114" s="14">
        <v>7.0699999999999999E-2</v>
      </c>
      <c r="T3114" s="7" t="s">
        <v>885</v>
      </c>
      <c r="U3114" s="1" t="s">
        <v>3623</v>
      </c>
      <c r="V3114" s="8">
        <f>P3154</f>
        <v>99400</v>
      </c>
      <c r="W3114" s="2" t="s">
        <v>885</v>
      </c>
      <c r="X3114" s="8">
        <f>V3114*S3114</f>
        <v>7027.58</v>
      </c>
      <c r="AE3114" s="455" t="s">
        <v>1856</v>
      </c>
      <c r="AF3114">
        <f>SUM(AF3112:AF3113)</f>
        <v>493.79</v>
      </c>
      <c r="AG3114" s="455">
        <f>SUM(AG3112:AG3113)</f>
        <v>493.79</v>
      </c>
      <c r="AH3114" s="455">
        <f>SUM(AH3112:AH3113)</f>
        <v>445.79</v>
      </c>
      <c r="AP3114" s="455" t="s">
        <v>1856</v>
      </c>
      <c r="AQ3114">
        <f>AS3109</f>
        <v>162.69</v>
      </c>
      <c r="AR3114" s="455">
        <f>AS3109</f>
        <v>162.69</v>
      </c>
      <c r="AS3114" s="455"/>
    </row>
    <row r="3115" spans="6:47" ht="21" customHeight="1">
      <c r="F3115" s="46"/>
      <c r="G3115" s="78"/>
      <c r="H3115" s="87"/>
      <c r="I3115" s="87"/>
      <c r="J3115" s="100"/>
      <c r="K3115" s="88" t="s">
        <v>2091</v>
      </c>
      <c r="S3115" s="14">
        <v>3.6659999999999999</v>
      </c>
      <c r="T3115" s="7" t="s">
        <v>621</v>
      </c>
      <c r="U3115" s="1" t="s">
        <v>3624</v>
      </c>
      <c r="V3115" s="8">
        <f>I1176</f>
        <v>306.89999999999998</v>
      </c>
      <c r="W3115" s="2" t="s">
        <v>885</v>
      </c>
      <c r="X3115" s="8">
        <f t="shared" ref="X3115:X3122" si="300">V3115*S3115</f>
        <v>1125.0999999999999</v>
      </c>
      <c r="AE3115" s="455"/>
      <c r="AF3115">
        <f>ROUNDUP(AF3114,0)</f>
        <v>494</v>
      </c>
      <c r="AG3115">
        <f>ROUNDUP(AG3114,0)</f>
        <v>494</v>
      </c>
      <c r="AH3115">
        <f>ROUNDUP(AH3114,0)</f>
        <v>446</v>
      </c>
      <c r="AP3115" s="455"/>
      <c r="AQ3115" s="36">
        <f>SUM(AQ3112:AQ3114)</f>
        <v>258.69</v>
      </c>
      <c r="AR3115" s="36">
        <f>SUM(AR3112:AR3114)</f>
        <v>247.69</v>
      </c>
    </row>
    <row r="3116" spans="6:47" ht="23.25" customHeight="1">
      <c r="S3116" s="15">
        <v>5.16</v>
      </c>
      <c r="T3116" s="7" t="s">
        <v>621</v>
      </c>
      <c r="U3116" s="1" t="s">
        <v>2129</v>
      </c>
      <c r="V3116" s="8">
        <f>AE32</f>
        <v>1498.2</v>
      </c>
      <c r="W3116" s="2" t="s">
        <v>621</v>
      </c>
      <c r="X3116" s="8">
        <f t="shared" si="300"/>
        <v>7730.71</v>
      </c>
      <c r="AE3116" s="455"/>
      <c r="AF3116" s="455"/>
      <c r="AG3116" s="455"/>
      <c r="AH3116" s="455"/>
      <c r="AQ3116">
        <f>ROUNDUP(AQ3115,0)</f>
        <v>259</v>
      </c>
      <c r="AR3116">
        <f>ROUNDUP(AR3115,0)</f>
        <v>248</v>
      </c>
    </row>
    <row r="3117" spans="6:47" ht="39" customHeight="1">
      <c r="S3117" s="15">
        <v>22.66</v>
      </c>
      <c r="T3117" s="7" t="s">
        <v>3629</v>
      </c>
      <c r="U3117" s="1" t="s">
        <v>3625</v>
      </c>
      <c r="V3117" s="419">
        <v>15.45</v>
      </c>
      <c r="W3117" s="2" t="s">
        <v>4937</v>
      </c>
      <c r="X3117" s="8">
        <f t="shared" si="300"/>
        <v>350.1</v>
      </c>
    </row>
    <row r="3118" spans="6:47" ht="39" customHeight="1">
      <c r="H3118" s="36" t="s">
        <v>1256</v>
      </c>
      <c r="N3118" s="3"/>
      <c r="O3118" s="36" t="s">
        <v>3771</v>
      </c>
      <c r="Q3118" s="10"/>
      <c r="S3118" s="8">
        <v>15</v>
      </c>
      <c r="T3118" s="7" t="s">
        <v>884</v>
      </c>
      <c r="U3118" s="1" t="s">
        <v>1543</v>
      </c>
      <c r="V3118" s="8">
        <f>C279</f>
        <v>89.6</v>
      </c>
      <c r="W3118" s="2" t="s">
        <v>884</v>
      </c>
      <c r="X3118" s="8">
        <f t="shared" si="300"/>
        <v>1344</v>
      </c>
    </row>
    <row r="3119" spans="6:47" ht="39" customHeight="1">
      <c r="F3119">
        <v>1</v>
      </c>
      <c r="H3119" t="s">
        <v>459</v>
      </c>
      <c r="I3119" s="499">
        <v>143.97999999999999</v>
      </c>
      <c r="J3119" s="10" t="s">
        <v>1423</v>
      </c>
      <c r="K3119">
        <f>I3119</f>
        <v>143.97999999999999</v>
      </c>
      <c r="M3119">
        <v>1</v>
      </c>
      <c r="N3119" s="3"/>
      <c r="O3119" t="s">
        <v>4808</v>
      </c>
      <c r="P3119" s="431">
        <v>17.2</v>
      </c>
      <c r="Q3119" s="10" t="s">
        <v>1423</v>
      </c>
      <c r="R3119">
        <f>P3119</f>
        <v>17.2</v>
      </c>
      <c r="S3119" s="8">
        <v>10</v>
      </c>
      <c r="T3119" s="7" t="s">
        <v>884</v>
      </c>
      <c r="U3119" s="1" t="s">
        <v>3626</v>
      </c>
      <c r="V3119" s="419">
        <v>82.25</v>
      </c>
      <c r="W3119" s="2" t="s">
        <v>884</v>
      </c>
      <c r="X3119" s="8">
        <f t="shared" si="300"/>
        <v>822.5</v>
      </c>
    </row>
    <row r="3120" spans="6:47" ht="39" customHeight="1">
      <c r="F3120">
        <v>1</v>
      </c>
      <c r="H3120" s="54" t="s">
        <v>1257</v>
      </c>
      <c r="I3120" s="499">
        <v>49.2</v>
      </c>
      <c r="J3120" s="10" t="s">
        <v>1423</v>
      </c>
      <c r="K3120">
        <f>I3120</f>
        <v>49.2</v>
      </c>
      <c r="M3120">
        <v>1</v>
      </c>
      <c r="N3120" s="3"/>
      <c r="O3120" t="s">
        <v>4807</v>
      </c>
      <c r="P3120" s="431">
        <v>8.5</v>
      </c>
      <c r="Q3120" s="10" t="s">
        <v>1423</v>
      </c>
      <c r="R3120">
        <f>P3120</f>
        <v>8.5</v>
      </c>
      <c r="S3120" s="8">
        <v>5</v>
      </c>
      <c r="T3120" s="7" t="s">
        <v>884</v>
      </c>
      <c r="U3120" s="1" t="s">
        <v>3627</v>
      </c>
      <c r="V3120" s="8">
        <f>P3161</f>
        <v>57.65</v>
      </c>
      <c r="W3120" s="2" t="s">
        <v>884</v>
      </c>
      <c r="X3120" s="8">
        <f t="shared" si="300"/>
        <v>288.25</v>
      </c>
    </row>
    <row r="3121" spans="6:24" ht="39" customHeight="1">
      <c r="F3121" s="50">
        <v>0.125</v>
      </c>
      <c r="H3121" s="54" t="s">
        <v>1258</v>
      </c>
      <c r="I3121">
        <f>C15</f>
        <v>903.1</v>
      </c>
      <c r="J3121" s="10" t="s">
        <v>1423</v>
      </c>
      <c r="K3121">
        <f>F3121*I3121</f>
        <v>112.89</v>
      </c>
      <c r="M3121" s="50">
        <v>0.125</v>
      </c>
      <c r="N3121" s="3"/>
      <c r="O3121" s="54" t="s">
        <v>1258</v>
      </c>
      <c r="P3121" s="438">
        <f>I3121</f>
        <v>903.1</v>
      </c>
      <c r="Q3121" s="10" t="s">
        <v>1423</v>
      </c>
      <c r="R3121">
        <f>M3121*P3121</f>
        <v>112.89</v>
      </c>
      <c r="S3121" s="8">
        <v>5</v>
      </c>
      <c r="T3121" s="7" t="s">
        <v>884</v>
      </c>
      <c r="U3121" s="1" t="s">
        <v>2016</v>
      </c>
      <c r="V3121" s="8">
        <f>P3160</f>
        <v>7.3</v>
      </c>
      <c r="W3121" s="2" t="s">
        <v>884</v>
      </c>
      <c r="X3121" s="8">
        <f t="shared" si="300"/>
        <v>36.5</v>
      </c>
    </row>
    <row r="3122" spans="6:24" ht="39" customHeight="1">
      <c r="F3122" s="50"/>
      <c r="H3122" s="54" t="s">
        <v>2310</v>
      </c>
      <c r="K3122">
        <v>2.11</v>
      </c>
      <c r="M3122" s="50"/>
      <c r="N3122" s="3"/>
      <c r="O3122" s="54" t="s">
        <v>2310</v>
      </c>
      <c r="Q3122" s="10"/>
      <c r="R3122">
        <v>4.37</v>
      </c>
      <c r="S3122" s="8">
        <v>10</v>
      </c>
      <c r="T3122" s="7" t="s">
        <v>884</v>
      </c>
      <c r="U3122" s="1" t="s">
        <v>1360</v>
      </c>
      <c r="V3122" s="8">
        <f>I3110</f>
        <v>2.41</v>
      </c>
      <c r="W3122" s="2" t="s">
        <v>884</v>
      </c>
      <c r="X3122" s="8">
        <f t="shared" si="300"/>
        <v>24.1</v>
      </c>
    </row>
    <row r="3123" spans="6:24" ht="39" customHeight="1">
      <c r="H3123" s="91" t="s">
        <v>523</v>
      </c>
      <c r="I3123" s="36"/>
      <c r="J3123" s="98"/>
      <c r="K3123" s="36">
        <f>SUM(K3119:K3122)</f>
        <v>308.18</v>
      </c>
      <c r="N3123" s="3"/>
      <c r="O3123" s="54" t="s">
        <v>2310</v>
      </c>
      <c r="P3123" s="36"/>
      <c r="Q3123" s="98"/>
      <c r="R3123" s="36">
        <f>SUM(R3119:R3122)</f>
        <v>142.96</v>
      </c>
      <c r="S3123" s="8"/>
      <c r="T3123" s="7">
        <f>R3123-90</f>
        <v>52.96</v>
      </c>
      <c r="U3123" s="1"/>
      <c r="V3123" s="8"/>
      <c r="W3123" s="2" t="s">
        <v>884</v>
      </c>
      <c r="X3123" s="5" t="s">
        <v>1615</v>
      </c>
    </row>
    <row r="3124" spans="6:24" ht="24" customHeight="1">
      <c r="R3124">
        <f>R3123-87</f>
        <v>55.96</v>
      </c>
      <c r="S3124" s="8"/>
      <c r="T3124" s="3"/>
      <c r="U3124" s="2" t="s">
        <v>3630</v>
      </c>
      <c r="W3124" s="4"/>
      <c r="X3124" s="8">
        <f>SUM(X3114:X3122)</f>
        <v>18748.84</v>
      </c>
    </row>
    <row r="3125" spans="6:24" ht="24" customHeight="1">
      <c r="S3125"/>
      <c r="T3125" s="3"/>
      <c r="W3125" s="4"/>
      <c r="X3125" s="5" t="s">
        <v>1615</v>
      </c>
    </row>
    <row r="3126" spans="6:24" ht="24" customHeight="1">
      <c r="F3126" s="2" t="s">
        <v>468</v>
      </c>
      <c r="G3126" s="7" t="s">
        <v>2290</v>
      </c>
      <c r="H3126" s="1" t="s">
        <v>2216</v>
      </c>
      <c r="S3126"/>
      <c r="T3126" s="7" t="s">
        <v>992</v>
      </c>
      <c r="U3126" s="58" t="s">
        <v>562</v>
      </c>
      <c r="W3126" s="4"/>
      <c r="X3126" s="38">
        <f>X3124/S3116</f>
        <v>3633.5</v>
      </c>
    </row>
    <row r="3127" spans="6:24" ht="24" customHeight="1">
      <c r="H3127" s="1" t="s">
        <v>2218</v>
      </c>
      <c r="S3127"/>
      <c r="T3127" s="3"/>
      <c r="W3127" s="4"/>
      <c r="X3127" s="5" t="s">
        <v>2091</v>
      </c>
    </row>
    <row r="3128" spans="6:24" ht="24" customHeight="1">
      <c r="H3128" s="1" t="s">
        <v>2219</v>
      </c>
      <c r="S3128"/>
      <c r="T3128" s="3"/>
      <c r="W3128" s="4"/>
    </row>
    <row r="3129" spans="6:24" ht="24" customHeight="1">
      <c r="H3129" s="1" t="s">
        <v>2220</v>
      </c>
      <c r="S3129" s="2"/>
      <c r="T3129" s="7"/>
      <c r="U3129" s="1" t="s">
        <v>3631</v>
      </c>
      <c r="W3129" s="4"/>
      <c r="X3129" s="1" t="s">
        <v>992</v>
      </c>
    </row>
    <row r="3130" spans="6:24" ht="24" customHeight="1">
      <c r="H3130" s="1" t="s">
        <v>2221</v>
      </c>
      <c r="S3130"/>
      <c r="T3130" s="3"/>
      <c r="U3130" s="5" t="s">
        <v>1615</v>
      </c>
      <c r="W3130" s="4"/>
    </row>
    <row r="3131" spans="6:24" ht="24" customHeight="1">
      <c r="H3131" s="1" t="s">
        <v>2222</v>
      </c>
      <c r="S3131" s="14">
        <v>2.7400000000000001E-2</v>
      </c>
      <c r="T3131" s="7" t="s">
        <v>885</v>
      </c>
      <c r="U3131" s="1" t="s">
        <v>3623</v>
      </c>
      <c r="V3131" s="8">
        <f>V3114</f>
        <v>99400</v>
      </c>
      <c r="W3131" s="2" t="s">
        <v>885</v>
      </c>
      <c r="X3131" s="8">
        <f>V3131*S3131</f>
        <v>2723.56</v>
      </c>
    </row>
    <row r="3132" spans="6:24" ht="24" customHeight="1">
      <c r="H3132" s="5" t="s">
        <v>1615</v>
      </c>
      <c r="S3132" s="14">
        <v>1.1599999999999999</v>
      </c>
      <c r="T3132" s="7" t="s">
        <v>621</v>
      </c>
      <c r="U3132" s="1" t="s">
        <v>3624</v>
      </c>
      <c r="V3132" s="8">
        <f t="shared" ref="V3132:V3139" si="301">V3115</f>
        <v>306.89999999999998</v>
      </c>
      <c r="W3132" s="2" t="s">
        <v>885</v>
      </c>
      <c r="X3132" s="8">
        <f t="shared" ref="X3132:X3139" si="302">V3132*S3132</f>
        <v>356</v>
      </c>
    </row>
    <row r="3133" spans="6:24" ht="24" customHeight="1">
      <c r="H3133" s="1" t="s">
        <v>1834</v>
      </c>
      <c r="M3133" s="2" t="s">
        <v>468</v>
      </c>
      <c r="N3133" s="7" t="s">
        <v>2290</v>
      </c>
      <c r="O3133" s="1" t="s">
        <v>2216</v>
      </c>
      <c r="Q3133" s="10"/>
      <c r="S3133" s="15">
        <v>1.74</v>
      </c>
      <c r="T3133" s="7" t="s">
        <v>621</v>
      </c>
      <c r="U3133" s="1" t="s">
        <v>2129</v>
      </c>
      <c r="V3133" s="8">
        <f t="shared" si="301"/>
        <v>1498.2</v>
      </c>
      <c r="W3133" s="2" t="s">
        <v>621</v>
      </c>
      <c r="X3133" s="8">
        <f t="shared" si="302"/>
        <v>2606.87</v>
      </c>
    </row>
    <row r="3134" spans="6:24" ht="24" customHeight="1">
      <c r="H3134" s="1" t="s">
        <v>2223</v>
      </c>
      <c r="N3134" s="3"/>
      <c r="O3134" s="1" t="s">
        <v>2218</v>
      </c>
      <c r="Q3134" s="10"/>
      <c r="S3134" s="15">
        <v>8.74</v>
      </c>
      <c r="T3134" s="7" t="s">
        <v>3629</v>
      </c>
      <c r="U3134" s="1" t="s">
        <v>3625</v>
      </c>
      <c r="V3134" s="8">
        <f t="shared" si="301"/>
        <v>15.45</v>
      </c>
      <c r="W3134" s="2" t="s">
        <v>621</v>
      </c>
      <c r="X3134" s="8">
        <f t="shared" si="302"/>
        <v>135.03</v>
      </c>
    </row>
    <row r="3135" spans="6:24" ht="24" customHeight="1">
      <c r="J3135" s="1" t="s">
        <v>1615</v>
      </c>
      <c r="N3135" s="3"/>
      <c r="O3135" s="1" t="s">
        <v>2219</v>
      </c>
      <c r="Q3135" s="10"/>
      <c r="S3135" s="8">
        <v>6</v>
      </c>
      <c r="T3135" s="7" t="s">
        <v>884</v>
      </c>
      <c r="U3135" s="1" t="s">
        <v>1543</v>
      </c>
      <c r="V3135" s="8">
        <f t="shared" si="301"/>
        <v>89.6</v>
      </c>
      <c r="W3135" s="2" t="s">
        <v>884</v>
      </c>
      <c r="X3135" s="8">
        <f t="shared" si="302"/>
        <v>537.6</v>
      </c>
    </row>
    <row r="3136" spans="6:24" ht="24" customHeight="1">
      <c r="H3136" s="1" t="s">
        <v>1281</v>
      </c>
      <c r="N3136" s="3"/>
      <c r="O3136" s="1" t="s">
        <v>2220</v>
      </c>
      <c r="Q3136" s="10"/>
      <c r="S3136" s="8">
        <v>4</v>
      </c>
      <c r="T3136" s="7" t="s">
        <v>884</v>
      </c>
      <c r="U3136" s="1" t="s">
        <v>3626</v>
      </c>
      <c r="V3136" s="8">
        <f t="shared" si="301"/>
        <v>82.25</v>
      </c>
      <c r="W3136" s="2" t="s">
        <v>884</v>
      </c>
      <c r="X3136" s="8">
        <f t="shared" si="302"/>
        <v>329</v>
      </c>
    </row>
    <row r="3137" spans="6:24" ht="24" customHeight="1">
      <c r="H3137" s="1" t="s">
        <v>992</v>
      </c>
      <c r="I3137" s="1" t="s">
        <v>992</v>
      </c>
      <c r="K3137" s="17" t="s">
        <v>992</v>
      </c>
      <c r="N3137" s="3"/>
      <c r="O3137" s="1" t="s">
        <v>2221</v>
      </c>
      <c r="Q3137" s="10"/>
      <c r="S3137" s="8">
        <v>2</v>
      </c>
      <c r="T3137" s="7" t="s">
        <v>884</v>
      </c>
      <c r="U3137" s="1" t="s">
        <v>3627</v>
      </c>
      <c r="V3137" s="8">
        <f t="shared" si="301"/>
        <v>57.65</v>
      </c>
      <c r="W3137" s="2" t="s">
        <v>884</v>
      </c>
      <c r="X3137" s="8">
        <f t="shared" si="302"/>
        <v>115.3</v>
      </c>
    </row>
    <row r="3138" spans="6:24" ht="24" customHeight="1">
      <c r="J3138" s="1" t="s">
        <v>992</v>
      </c>
      <c r="K3138" s="1" t="s">
        <v>992</v>
      </c>
      <c r="N3138" s="3"/>
      <c r="O3138" s="1" t="s">
        <v>2222</v>
      </c>
      <c r="Q3138" s="10"/>
      <c r="S3138" s="8">
        <v>2</v>
      </c>
      <c r="T3138" s="7" t="s">
        <v>884</v>
      </c>
      <c r="U3138" s="1" t="s">
        <v>2016</v>
      </c>
      <c r="V3138" s="8">
        <f t="shared" si="301"/>
        <v>7.3</v>
      </c>
      <c r="W3138" s="2" t="s">
        <v>884</v>
      </c>
      <c r="X3138" s="8">
        <f t="shared" si="302"/>
        <v>14.6</v>
      </c>
    </row>
    <row r="3139" spans="6:24" ht="24" customHeight="1">
      <c r="H3139" s="1" t="s">
        <v>3106</v>
      </c>
      <c r="J3139" s="17" t="s">
        <v>992</v>
      </c>
      <c r="K3139" s="17" t="s">
        <v>992</v>
      </c>
      <c r="N3139" s="3"/>
      <c r="O3139" s="41" t="s">
        <v>2483</v>
      </c>
      <c r="Q3139" s="10"/>
      <c r="S3139" s="8">
        <v>10</v>
      </c>
      <c r="T3139" s="7" t="s">
        <v>884</v>
      </c>
      <c r="U3139" s="1" t="s">
        <v>1360</v>
      </c>
      <c r="V3139" s="8">
        <f t="shared" si="301"/>
        <v>2.41</v>
      </c>
      <c r="W3139" s="2" t="s">
        <v>884</v>
      </c>
      <c r="X3139" s="8">
        <f t="shared" si="302"/>
        <v>24.1</v>
      </c>
    </row>
    <row r="3140" spans="6:24" ht="24" customHeight="1">
      <c r="H3140" s="1" t="s">
        <v>3107</v>
      </c>
      <c r="K3140" s="17">
        <v>1.26</v>
      </c>
      <c r="N3140" s="3"/>
      <c r="O3140" s="1" t="s">
        <v>2484</v>
      </c>
      <c r="P3140" s="381">
        <f>1.1*2.05</f>
        <v>2.2549999999999999</v>
      </c>
      <c r="Q3140" s="10" t="s">
        <v>236</v>
      </c>
      <c r="S3140" s="8"/>
      <c r="T3140" s="7"/>
      <c r="U3140" s="1"/>
      <c r="V3140" s="8"/>
      <c r="W3140" s="2" t="s">
        <v>884</v>
      </c>
      <c r="X3140" s="5" t="s">
        <v>1615</v>
      </c>
    </row>
    <row r="3141" spans="6:24" ht="24" customHeight="1">
      <c r="K3141" s="1" t="s">
        <v>992</v>
      </c>
      <c r="N3141" s="3"/>
      <c r="O3141" s="1" t="s">
        <v>3872</v>
      </c>
      <c r="P3141" s="168">
        <f>2*2.05*0.075*0.0375</f>
        <v>1.153E-2</v>
      </c>
      <c r="Q3141" s="10" t="s">
        <v>1365</v>
      </c>
      <c r="S3141" s="8"/>
      <c r="T3141" s="3"/>
      <c r="U3141" s="2" t="s">
        <v>3632</v>
      </c>
      <c r="W3141" s="4"/>
      <c r="X3141" s="8">
        <f>SUM(X3131:X3139)</f>
        <v>6842.06</v>
      </c>
    </row>
    <row r="3142" spans="6:24" ht="24" customHeight="1">
      <c r="K3142" s="17" t="s">
        <v>992</v>
      </c>
      <c r="N3142" s="3"/>
      <c r="Q3142" s="1" t="s">
        <v>1615</v>
      </c>
      <c r="S3142"/>
      <c r="T3142" s="3"/>
      <c r="W3142" s="4"/>
      <c r="X3142" s="5" t="s">
        <v>1615</v>
      </c>
    </row>
    <row r="3143" spans="6:24" ht="24" customHeight="1">
      <c r="K3143" s="1" t="s">
        <v>992</v>
      </c>
      <c r="N3143" s="3"/>
      <c r="O3143" s="1" t="s">
        <v>3873</v>
      </c>
      <c r="P3143" s="168">
        <f>1*3*1.1*0.15*0.0375</f>
        <v>1.856E-2</v>
      </c>
      <c r="Q3143" s="10" t="s">
        <v>1365</v>
      </c>
      <c r="S3143"/>
      <c r="T3143" s="7" t="s">
        <v>992</v>
      </c>
      <c r="U3143" s="58" t="s">
        <v>562</v>
      </c>
      <c r="W3143" s="4"/>
      <c r="X3143" s="38">
        <f>X3141/S3133</f>
        <v>3932.22</v>
      </c>
    </row>
    <row r="3144" spans="6:24" ht="24" customHeight="1">
      <c r="F3144" s="2" t="s">
        <v>1499</v>
      </c>
      <c r="G3144" s="7"/>
      <c r="H3144" s="1" t="s">
        <v>1848</v>
      </c>
      <c r="K3144" s="1" t="s">
        <v>992</v>
      </c>
      <c r="N3144" s="3"/>
      <c r="O3144" s="1" t="s">
        <v>992</v>
      </c>
      <c r="P3144" s="1" t="s">
        <v>992</v>
      </c>
      <c r="Q3144" s="10"/>
      <c r="R3144" s="17" t="s">
        <v>992</v>
      </c>
      <c r="S3144"/>
      <c r="T3144" s="3"/>
      <c r="W3144" s="4"/>
      <c r="X3144" s="5" t="s">
        <v>2091</v>
      </c>
    </row>
    <row r="3145" spans="6:24" ht="24" customHeight="1">
      <c r="H3145" s="5" t="s">
        <v>1615</v>
      </c>
      <c r="N3145" s="3"/>
      <c r="Q3145" s="1" t="s">
        <v>992</v>
      </c>
      <c r="R3145" s="1" t="s">
        <v>992</v>
      </c>
      <c r="W3145" s="4"/>
    </row>
    <row r="3146" spans="6:24" ht="24" customHeight="1">
      <c r="F3146" s="14">
        <v>1.153E-2</v>
      </c>
      <c r="G3146" s="7" t="s">
        <v>885</v>
      </c>
      <c r="H3146" s="1" t="s">
        <v>705</v>
      </c>
      <c r="I3146" s="8">
        <f>AC26</f>
        <v>111600</v>
      </c>
      <c r="J3146" s="1" t="s">
        <v>885</v>
      </c>
      <c r="K3146" s="8">
        <f>I3146*F3146</f>
        <v>1286.75</v>
      </c>
      <c r="N3146" s="3"/>
      <c r="O3146" s="1" t="s">
        <v>3874</v>
      </c>
      <c r="P3146">
        <f>1*0.625*0.975</f>
        <v>0.61</v>
      </c>
      <c r="Q3146" s="17" t="s">
        <v>992</v>
      </c>
      <c r="R3146" s="17" t="s">
        <v>992</v>
      </c>
      <c r="W3146" s="4"/>
    </row>
    <row r="3147" spans="6:24" ht="24" customHeight="1">
      <c r="F3147" s="15">
        <v>1.52E-2</v>
      </c>
      <c r="G3147" s="7" t="s">
        <v>885</v>
      </c>
      <c r="H3147" s="1" t="s">
        <v>706</v>
      </c>
      <c r="I3147" s="8">
        <f>AC27</f>
        <v>99400</v>
      </c>
      <c r="J3147" s="1" t="s">
        <v>885</v>
      </c>
      <c r="K3147" s="8">
        <f t="shared" ref="K3147:K3155" si="303">I3147*F3147</f>
        <v>1510.88</v>
      </c>
      <c r="N3147" s="3"/>
      <c r="O3147" s="1" t="s">
        <v>2486</v>
      </c>
      <c r="P3147">
        <f>1*0.975*1.025</f>
        <v>1</v>
      </c>
      <c r="Q3147" s="10"/>
      <c r="R3147" s="17">
        <v>1.26</v>
      </c>
      <c r="U3147" s="33" t="s">
        <v>4514</v>
      </c>
      <c r="W3147" s="4"/>
    </row>
    <row r="3148" spans="6:24" ht="24" customHeight="1">
      <c r="F3148" s="15">
        <f>K3140</f>
        <v>1.26</v>
      </c>
      <c r="G3148" s="7" t="s">
        <v>621</v>
      </c>
      <c r="H3148" s="1" t="s">
        <v>2128</v>
      </c>
      <c r="I3148" s="8">
        <f>C783</f>
        <v>387.4</v>
      </c>
      <c r="J3148" s="1" t="s">
        <v>621</v>
      </c>
      <c r="K3148" s="8">
        <f t="shared" si="303"/>
        <v>488.12</v>
      </c>
      <c r="N3148" s="3"/>
      <c r="P3148" s="36">
        <f>SUM(P3146:P3147)</f>
        <v>1.61</v>
      </c>
      <c r="Q3148" s="10" t="s">
        <v>236</v>
      </c>
      <c r="R3148" s="1" t="s">
        <v>992</v>
      </c>
      <c r="S3148" s="1587" t="s">
        <v>4515</v>
      </c>
      <c r="T3148" s="1587"/>
      <c r="U3148" s="50">
        <f>2*2*0.075*0.0375*1.95</f>
        <v>2.1999999999999999E-2</v>
      </c>
      <c r="W3148" s="4"/>
    </row>
    <row r="3149" spans="6:24" ht="24" customHeight="1">
      <c r="F3149" s="15">
        <v>1.845</v>
      </c>
      <c r="G3149" s="7" t="s">
        <v>621</v>
      </c>
      <c r="H3149" s="1" t="s">
        <v>2129</v>
      </c>
      <c r="I3149" s="8">
        <f>D30</f>
        <v>1336.5</v>
      </c>
      <c r="J3149" s="1" t="s">
        <v>621</v>
      </c>
      <c r="K3149" s="8">
        <f t="shared" si="303"/>
        <v>2465.84</v>
      </c>
      <c r="N3149" s="3"/>
      <c r="Q3149" s="10"/>
      <c r="R3149" s="17" t="s">
        <v>992</v>
      </c>
      <c r="S3149" s="722" t="s">
        <v>4516</v>
      </c>
      <c r="T3149" s="3"/>
      <c r="U3149" s="168">
        <f>2*2*0.065*0.075*0.375</f>
        <v>7.3099999999999997E-3</v>
      </c>
      <c r="W3149" s="4"/>
    </row>
    <row r="3150" spans="6:24" ht="24" customHeight="1">
      <c r="F3150" s="8">
        <v>2</v>
      </c>
      <c r="G3150" s="7" t="s">
        <v>884</v>
      </c>
      <c r="H3150" s="1" t="s">
        <v>2130</v>
      </c>
      <c r="I3150" s="8">
        <f>C284</f>
        <v>64.8</v>
      </c>
      <c r="J3150" s="1" t="s">
        <v>884</v>
      </c>
      <c r="K3150" s="8">
        <f t="shared" si="303"/>
        <v>129.6</v>
      </c>
      <c r="N3150" s="3"/>
      <c r="Q3150" s="10"/>
      <c r="R3150" s="1" t="s">
        <v>992</v>
      </c>
      <c r="S3150" s="722"/>
      <c r="T3150" s="3"/>
      <c r="U3150" s="156">
        <f>SUM(U3148:U3149)</f>
        <v>2.93E-2</v>
      </c>
      <c r="V3150" t="s">
        <v>4517</v>
      </c>
      <c r="W3150" s="4"/>
    </row>
    <row r="3151" spans="6:24" ht="24" customHeight="1">
      <c r="F3151" s="8">
        <v>3</v>
      </c>
      <c r="G3151" s="7" t="s">
        <v>884</v>
      </c>
      <c r="H3151" s="1" t="s">
        <v>1543</v>
      </c>
      <c r="I3151" s="8">
        <f>C279</f>
        <v>89.6</v>
      </c>
      <c r="J3151" s="1" t="s">
        <v>884</v>
      </c>
      <c r="K3151" s="8">
        <f t="shared" si="303"/>
        <v>268.8</v>
      </c>
      <c r="M3151" s="2" t="s">
        <v>1499</v>
      </c>
      <c r="N3151" s="7"/>
      <c r="O3151" s="1" t="s">
        <v>2487</v>
      </c>
      <c r="Q3151" s="10"/>
      <c r="R3151" s="1" t="s">
        <v>992</v>
      </c>
      <c r="S3151" s="722" t="s">
        <v>4518</v>
      </c>
      <c r="T3151" s="3"/>
      <c r="U3151" s="50">
        <f>2*0.65*1.95</f>
        <v>2.5350000000000001</v>
      </c>
      <c r="V3151" t="s">
        <v>931</v>
      </c>
      <c r="W3151" s="4"/>
    </row>
    <row r="3152" spans="6:24" ht="24" customHeight="1">
      <c r="F3152" s="8">
        <v>1</v>
      </c>
      <c r="G3152" s="7" t="s">
        <v>884</v>
      </c>
      <c r="H3152" s="1" t="s">
        <v>2015</v>
      </c>
      <c r="I3152" s="8">
        <f>C286</f>
        <v>181</v>
      </c>
      <c r="J3152" s="1" t="s">
        <v>884</v>
      </c>
      <c r="K3152" s="8">
        <f t="shared" si="303"/>
        <v>181</v>
      </c>
      <c r="N3152" s="3"/>
      <c r="O3152" s="5" t="s">
        <v>1615</v>
      </c>
      <c r="Q3152" s="10"/>
      <c r="S3152" s="722" t="s">
        <v>4519</v>
      </c>
      <c r="T3152" s="3"/>
      <c r="U3152" s="50">
        <f>1*2*0.525*1.825</f>
        <v>1.9159999999999999</v>
      </c>
      <c r="V3152" t="s">
        <v>4520</v>
      </c>
      <c r="W3152" s="4"/>
    </row>
    <row r="3153" spans="6:24" ht="24" customHeight="1">
      <c r="F3153" s="8">
        <v>1</v>
      </c>
      <c r="G3153" s="7" t="s">
        <v>884</v>
      </c>
      <c r="H3153" s="1" t="s">
        <v>2016</v>
      </c>
      <c r="I3153" s="8">
        <f>C288</f>
        <v>7.3</v>
      </c>
      <c r="J3153" s="1" t="s">
        <v>884</v>
      </c>
      <c r="K3153" s="8">
        <f t="shared" si="303"/>
        <v>7.3</v>
      </c>
      <c r="M3153" s="14">
        <f>P3141</f>
        <v>1.153E-2</v>
      </c>
      <c r="N3153" s="7" t="s">
        <v>885</v>
      </c>
      <c r="O3153" s="1" t="s">
        <v>705</v>
      </c>
      <c r="P3153" s="8">
        <f>I3146</f>
        <v>111600</v>
      </c>
      <c r="Q3153" s="1" t="s">
        <v>885</v>
      </c>
      <c r="R3153" s="8">
        <f>P3153*M3153</f>
        <v>1286.75</v>
      </c>
      <c r="S3153" s="722" t="s">
        <v>4521</v>
      </c>
      <c r="T3153" s="3"/>
      <c r="U3153" s="50">
        <f>2*2*(0.525+1.825)</f>
        <v>9.4</v>
      </c>
      <c r="V3153" t="s">
        <v>4522</v>
      </c>
      <c r="W3153" s="4"/>
    </row>
    <row r="3154" spans="6:24" ht="24" customHeight="1">
      <c r="F3154" s="8">
        <v>1</v>
      </c>
      <c r="G3154" s="7" t="s">
        <v>884</v>
      </c>
      <c r="H3154" s="1" t="s">
        <v>2017</v>
      </c>
      <c r="I3154" s="8">
        <f>C598</f>
        <v>57.65</v>
      </c>
      <c r="J3154" s="1" t="s">
        <v>884</v>
      </c>
      <c r="K3154" s="8">
        <f t="shared" si="303"/>
        <v>57.65</v>
      </c>
      <c r="M3154" s="14">
        <f>P3143</f>
        <v>1.856E-2</v>
      </c>
      <c r="N3154" s="7" t="s">
        <v>885</v>
      </c>
      <c r="O3154" s="1" t="s">
        <v>706</v>
      </c>
      <c r="P3154" s="8">
        <f t="shared" ref="P3154:P3162" si="304">I3147</f>
        <v>99400</v>
      </c>
      <c r="Q3154" s="1" t="s">
        <v>885</v>
      </c>
      <c r="R3154" s="8">
        <f t="shared" ref="R3154:R3163" si="305">P3154*M3154</f>
        <v>1844.86</v>
      </c>
      <c r="S3154" s="2"/>
      <c r="T3154" s="7"/>
      <c r="W3154" s="4"/>
      <c r="X3154" s="1" t="s">
        <v>992</v>
      </c>
    </row>
    <row r="3155" spans="6:24" ht="24" customHeight="1">
      <c r="F3155" s="8">
        <v>1</v>
      </c>
      <c r="G3155" s="7" t="s">
        <v>884</v>
      </c>
      <c r="H3155" s="1" t="s">
        <v>2018</v>
      </c>
      <c r="I3155" s="8">
        <f>D598</f>
        <v>49.55</v>
      </c>
      <c r="J3155" s="1" t="s">
        <v>884</v>
      </c>
      <c r="K3155" s="8">
        <f t="shared" si="303"/>
        <v>49.55</v>
      </c>
      <c r="M3155" s="15">
        <f>P3148</f>
        <v>1.61</v>
      </c>
      <c r="N3155" s="7" t="s">
        <v>621</v>
      </c>
      <c r="O3155" s="1" t="s">
        <v>2128</v>
      </c>
      <c r="P3155" s="8">
        <f t="shared" si="304"/>
        <v>387.4</v>
      </c>
      <c r="Q3155" s="1" t="s">
        <v>621</v>
      </c>
      <c r="R3155" s="8">
        <f t="shared" si="305"/>
        <v>623.71</v>
      </c>
      <c r="S3155"/>
      <c r="T3155" s="3"/>
      <c r="U3155" s="5" t="s">
        <v>1615</v>
      </c>
      <c r="W3155" s="4"/>
    </row>
    <row r="3156" spans="6:24" ht="24" customHeight="1">
      <c r="H3156" s="110" t="s">
        <v>1360</v>
      </c>
      <c r="K3156" s="6">
        <f>10*2.18</f>
        <v>21.8</v>
      </c>
      <c r="M3156" s="15">
        <f>P3140</f>
        <v>2.2549999999999999</v>
      </c>
      <c r="N3156" s="7" t="s">
        <v>621</v>
      </c>
      <c r="O3156" s="1" t="s">
        <v>2129</v>
      </c>
      <c r="P3156" s="8">
        <f t="shared" si="304"/>
        <v>1336.5</v>
      </c>
      <c r="Q3156" s="1" t="s">
        <v>621</v>
      </c>
      <c r="R3156" s="8">
        <f t="shared" si="305"/>
        <v>3013.81</v>
      </c>
      <c r="S3156" s="14">
        <v>9.2099999999999994E-3</v>
      </c>
      <c r="T3156" s="7" t="s">
        <v>885</v>
      </c>
      <c r="U3156" s="1" t="s">
        <v>3623</v>
      </c>
      <c r="V3156" s="8">
        <f>V3131</f>
        <v>99400</v>
      </c>
      <c r="W3156" s="2" t="s">
        <v>885</v>
      </c>
      <c r="X3156" s="8">
        <f>V3156*S3156</f>
        <v>915.47</v>
      </c>
    </row>
    <row r="3157" spans="6:24" ht="24" customHeight="1">
      <c r="H3157" s="2" t="s">
        <v>463</v>
      </c>
      <c r="K3157" s="8">
        <f>SUM(K3146:K3156)</f>
        <v>6467.29</v>
      </c>
      <c r="M3157" s="8">
        <v>2</v>
      </c>
      <c r="N3157" s="7" t="s">
        <v>884</v>
      </c>
      <c r="O3157" s="1" t="s">
        <v>2130</v>
      </c>
      <c r="P3157" s="8">
        <f t="shared" si="304"/>
        <v>64.8</v>
      </c>
      <c r="Q3157" s="1" t="s">
        <v>884</v>
      </c>
      <c r="R3157" s="8">
        <f t="shared" si="305"/>
        <v>129.6</v>
      </c>
      <c r="S3157" s="14">
        <v>0.65249999999999997</v>
      </c>
      <c r="T3157" s="7" t="s">
        <v>621</v>
      </c>
      <c r="U3157" s="1" t="s">
        <v>3624</v>
      </c>
      <c r="V3157" s="8">
        <f>V3132</f>
        <v>306.89999999999998</v>
      </c>
      <c r="W3157" s="2" t="s">
        <v>885</v>
      </c>
      <c r="X3157" s="8">
        <f t="shared" ref="X3157:X3164" si="306">V3157*S3157</f>
        <v>200.25</v>
      </c>
    </row>
    <row r="3158" spans="6:24" ht="24" customHeight="1">
      <c r="G3158" s="7" t="s">
        <v>992</v>
      </c>
      <c r="K3158" s="5" t="s">
        <v>1615</v>
      </c>
      <c r="M3158" s="8">
        <v>3</v>
      </c>
      <c r="N3158" s="7" t="s">
        <v>884</v>
      </c>
      <c r="O3158" s="1" t="s">
        <v>1543</v>
      </c>
      <c r="P3158" s="8">
        <f t="shared" si="304"/>
        <v>89.6</v>
      </c>
      <c r="Q3158" s="1" t="s">
        <v>884</v>
      </c>
      <c r="R3158" s="8">
        <f t="shared" si="305"/>
        <v>268.8</v>
      </c>
      <c r="S3158" s="15">
        <v>0.879</v>
      </c>
      <c r="T3158" s="7" t="s">
        <v>621</v>
      </c>
      <c r="U3158" s="1" t="s">
        <v>2129</v>
      </c>
      <c r="V3158" s="8">
        <f t="shared" ref="V3158:V3163" si="307">V3133</f>
        <v>1498.2</v>
      </c>
      <c r="W3158" s="2" t="s">
        <v>621</v>
      </c>
      <c r="X3158" s="8">
        <f t="shared" si="306"/>
        <v>1316.92</v>
      </c>
    </row>
    <row r="3159" spans="6:24" ht="24" customHeight="1">
      <c r="H3159" s="58" t="s">
        <v>562</v>
      </c>
      <c r="K3159" s="38">
        <f>K3157/F3149</f>
        <v>3505.31</v>
      </c>
      <c r="M3159" s="8">
        <v>1</v>
      </c>
      <c r="N3159" s="7" t="s">
        <v>884</v>
      </c>
      <c r="O3159" s="1" t="s">
        <v>2015</v>
      </c>
      <c r="P3159" s="8">
        <f t="shared" si="304"/>
        <v>181</v>
      </c>
      <c r="Q3159" s="1" t="s">
        <v>884</v>
      </c>
      <c r="R3159" s="8">
        <f t="shared" si="305"/>
        <v>181</v>
      </c>
      <c r="S3159" s="15">
        <v>4.3250000000000002</v>
      </c>
      <c r="T3159" s="7" t="s">
        <v>3629</v>
      </c>
      <c r="U3159" s="1" t="s">
        <v>3625</v>
      </c>
      <c r="V3159" s="8">
        <f t="shared" si="307"/>
        <v>15.45</v>
      </c>
      <c r="W3159" s="2" t="s">
        <v>621</v>
      </c>
      <c r="X3159" s="8">
        <f t="shared" si="306"/>
        <v>66.819999999999993</v>
      </c>
    </row>
    <row r="3160" spans="6:24" ht="24" customHeight="1">
      <c r="K3160" s="5" t="s">
        <v>2091</v>
      </c>
      <c r="M3160" s="8">
        <v>1</v>
      </c>
      <c r="N3160" s="7" t="s">
        <v>884</v>
      </c>
      <c r="O3160" s="1" t="s">
        <v>2016</v>
      </c>
      <c r="P3160" s="8">
        <f t="shared" si="304"/>
        <v>7.3</v>
      </c>
      <c r="Q3160" s="1" t="s">
        <v>884</v>
      </c>
      <c r="R3160" s="8">
        <f t="shared" si="305"/>
        <v>7.3</v>
      </c>
      <c r="S3160" s="8">
        <v>3</v>
      </c>
      <c r="T3160" s="7" t="s">
        <v>884</v>
      </c>
      <c r="U3160" s="1" t="s">
        <v>1543</v>
      </c>
      <c r="V3160" s="8">
        <f t="shared" si="307"/>
        <v>89.6</v>
      </c>
      <c r="W3160" s="2" t="s">
        <v>884</v>
      </c>
      <c r="X3160" s="8">
        <f t="shared" si="306"/>
        <v>268.8</v>
      </c>
    </row>
    <row r="3161" spans="6:24" ht="24" customHeight="1">
      <c r="M3161" s="8">
        <v>1</v>
      </c>
      <c r="N3161" s="7" t="s">
        <v>884</v>
      </c>
      <c r="O3161" s="1" t="s">
        <v>2017</v>
      </c>
      <c r="P3161" s="8">
        <f t="shared" si="304"/>
        <v>57.65</v>
      </c>
      <c r="Q3161" s="1" t="s">
        <v>884</v>
      </c>
      <c r="R3161" s="8">
        <f t="shared" si="305"/>
        <v>57.65</v>
      </c>
      <c r="S3161" s="8">
        <v>2</v>
      </c>
      <c r="T3161" s="7" t="s">
        <v>884</v>
      </c>
      <c r="U3161" s="1" t="s">
        <v>3626</v>
      </c>
      <c r="V3161" s="8">
        <f t="shared" si="307"/>
        <v>82.25</v>
      </c>
      <c r="W3161" s="2" t="s">
        <v>884</v>
      </c>
      <c r="X3161" s="8">
        <f t="shared" si="306"/>
        <v>164.5</v>
      </c>
    </row>
    <row r="3162" spans="6:24" ht="24" customHeight="1">
      <c r="M3162" s="8">
        <v>1</v>
      </c>
      <c r="N3162" s="7" t="s">
        <v>884</v>
      </c>
      <c r="O3162" s="1" t="s">
        <v>2018</v>
      </c>
      <c r="P3162" s="8">
        <f t="shared" si="304"/>
        <v>49.55</v>
      </c>
      <c r="Q3162" s="1" t="s">
        <v>884</v>
      </c>
      <c r="R3162" s="8">
        <f t="shared" si="305"/>
        <v>49.55</v>
      </c>
      <c r="S3162" s="8">
        <v>1</v>
      </c>
      <c r="T3162" s="7" t="s">
        <v>884</v>
      </c>
      <c r="U3162" s="1" t="s">
        <v>3627</v>
      </c>
      <c r="V3162" s="8">
        <f t="shared" si="307"/>
        <v>57.65</v>
      </c>
      <c r="W3162" s="2" t="s">
        <v>884</v>
      </c>
      <c r="X3162" s="8">
        <f t="shared" si="306"/>
        <v>57.65</v>
      </c>
    </row>
    <row r="3163" spans="6:24" ht="24" customHeight="1">
      <c r="M3163" s="8">
        <v>58</v>
      </c>
      <c r="N3163" s="3"/>
      <c r="O3163" s="110" t="s">
        <v>1360</v>
      </c>
      <c r="P3163">
        <f>P2864</f>
        <v>2.41</v>
      </c>
      <c r="Q3163" s="10"/>
      <c r="R3163" s="8">
        <f t="shared" si="305"/>
        <v>139.78</v>
      </c>
      <c r="S3163" s="8">
        <v>1</v>
      </c>
      <c r="T3163" s="7" t="s">
        <v>884</v>
      </c>
      <c r="U3163" s="1" t="s">
        <v>2016</v>
      </c>
      <c r="V3163" s="8">
        <f t="shared" si="307"/>
        <v>7.3</v>
      </c>
      <c r="W3163" s="2" t="s">
        <v>884</v>
      </c>
      <c r="X3163" s="8">
        <f t="shared" si="306"/>
        <v>7.3</v>
      </c>
    </row>
    <row r="3164" spans="6:24" ht="24" customHeight="1">
      <c r="N3164" s="3"/>
      <c r="O3164" s="2" t="s">
        <v>3470</v>
      </c>
      <c r="Q3164" s="10"/>
      <c r="R3164" s="8">
        <f>SUM(R3153:R3163)</f>
        <v>7602.81</v>
      </c>
      <c r="S3164" s="8">
        <v>36</v>
      </c>
      <c r="T3164" s="7" t="s">
        <v>884</v>
      </c>
      <c r="U3164" s="1" t="s">
        <v>1360</v>
      </c>
      <c r="V3164" s="8">
        <f>V3139</f>
        <v>2.41</v>
      </c>
      <c r="W3164" s="2" t="s">
        <v>884</v>
      </c>
      <c r="X3164" s="8">
        <f t="shared" si="306"/>
        <v>86.76</v>
      </c>
    </row>
    <row r="3165" spans="6:24" ht="24" customHeight="1">
      <c r="N3165" s="7" t="s">
        <v>992</v>
      </c>
      <c r="Q3165" s="10"/>
      <c r="R3165" s="5" t="s">
        <v>1615</v>
      </c>
      <c r="S3165" s="8"/>
      <c r="T3165" s="7"/>
      <c r="U3165" s="1"/>
      <c r="V3165" s="8"/>
      <c r="W3165" s="2" t="s">
        <v>884</v>
      </c>
      <c r="X3165" s="5" t="s">
        <v>1615</v>
      </c>
    </row>
    <row r="3166" spans="6:24" ht="24" customHeight="1">
      <c r="H3166" t="s">
        <v>4424</v>
      </c>
      <c r="J3166"/>
      <c r="N3166" s="3"/>
      <c r="O3166" s="58" t="s">
        <v>562</v>
      </c>
      <c r="Q3166" s="10"/>
      <c r="R3166" s="38">
        <f>R3164/M3156</f>
        <v>3371.53</v>
      </c>
      <c r="S3166" s="8"/>
      <c r="T3166" s="3"/>
      <c r="U3166" s="58" t="s">
        <v>4523</v>
      </c>
      <c r="W3166" s="4"/>
      <c r="X3166" s="8">
        <f>SUM(X3156:X3164)</f>
        <v>3084.47</v>
      </c>
    </row>
    <row r="3167" spans="6:24" ht="24" customHeight="1">
      <c r="J3167"/>
      <c r="N3167" s="3"/>
      <c r="Q3167" s="10"/>
      <c r="R3167" s="5" t="s">
        <v>2091</v>
      </c>
      <c r="S3167"/>
      <c r="T3167" s="3"/>
      <c r="W3167" s="4"/>
      <c r="X3167" s="5" t="s">
        <v>1615</v>
      </c>
    </row>
    <row r="3168" spans="6:24" ht="24" customHeight="1">
      <c r="F3168">
        <v>3.23</v>
      </c>
      <c r="G3168" s="3" t="s">
        <v>929</v>
      </c>
      <c r="H3168" t="s">
        <v>3108</v>
      </c>
      <c r="I3168">
        <f>I1505</f>
        <v>49.85</v>
      </c>
      <c r="J3168" s="3" t="s">
        <v>929</v>
      </c>
      <c r="K3168">
        <f>I3168*F3168</f>
        <v>161.02000000000001</v>
      </c>
      <c r="S3168"/>
      <c r="T3168" s="7" t="s">
        <v>992</v>
      </c>
      <c r="U3168" s="58" t="s">
        <v>562</v>
      </c>
      <c r="W3168" s="4"/>
      <c r="X3168" s="38">
        <f>X3166/S3158</f>
        <v>3509.07</v>
      </c>
    </row>
    <row r="3169" spans="6:24" ht="24" customHeight="1">
      <c r="F3169">
        <v>0.5</v>
      </c>
      <c r="G3169" s="3" t="s">
        <v>262</v>
      </c>
      <c r="H3169" t="s">
        <v>3109</v>
      </c>
      <c r="I3169">
        <f>I1506</f>
        <v>831.6</v>
      </c>
      <c r="J3169" s="3" t="s">
        <v>262</v>
      </c>
      <c r="K3169">
        <f>I3169*F3169</f>
        <v>415.8</v>
      </c>
      <c r="S3169"/>
      <c r="T3169" s="3"/>
      <c r="W3169" s="4"/>
      <c r="X3169" s="5" t="s">
        <v>2091</v>
      </c>
    </row>
    <row r="3170" spans="6:24" ht="24" customHeight="1">
      <c r="F3170">
        <v>0.5</v>
      </c>
      <c r="G3170" s="3" t="s">
        <v>262</v>
      </c>
      <c r="H3170" s="1" t="s">
        <v>1937</v>
      </c>
      <c r="I3170">
        <f>I1507</f>
        <v>679.8</v>
      </c>
      <c r="J3170" s="3" t="s">
        <v>262</v>
      </c>
      <c r="K3170">
        <f>I3170*F3170</f>
        <v>339.9</v>
      </c>
      <c r="M3170" s="117"/>
      <c r="N3170" s="118" t="s">
        <v>2290</v>
      </c>
      <c r="O3170" s="119" t="s">
        <v>2876</v>
      </c>
      <c r="P3170" s="110"/>
      <c r="Q3170" s="113"/>
      <c r="R3170" s="110"/>
      <c r="W3170" s="4"/>
    </row>
    <row r="3171" spans="6:24" ht="24" customHeight="1">
      <c r="F3171">
        <v>0.8</v>
      </c>
      <c r="G3171" s="3" t="s">
        <v>262</v>
      </c>
      <c r="H3171" s="1" t="s">
        <v>325</v>
      </c>
      <c r="I3171">
        <f>I1508</f>
        <v>557.70000000000005</v>
      </c>
      <c r="J3171" s="3" t="s">
        <v>262</v>
      </c>
      <c r="K3171">
        <f>I3171*F3171</f>
        <v>446.16</v>
      </c>
      <c r="M3171" s="110"/>
      <c r="N3171" s="111"/>
      <c r="O3171" s="119" t="s">
        <v>259</v>
      </c>
      <c r="P3171" s="110"/>
      <c r="Q3171" s="113"/>
      <c r="R3171" s="110"/>
      <c r="W3171" s="4"/>
    </row>
    <row r="3172" spans="6:24" ht="24" customHeight="1">
      <c r="F3172">
        <v>10</v>
      </c>
      <c r="G3172" s="3" t="s">
        <v>2322</v>
      </c>
      <c r="H3172" s="1" t="s">
        <v>3951</v>
      </c>
      <c r="I3172">
        <f>C460</f>
        <v>4.4000000000000004</v>
      </c>
      <c r="J3172" s="3" t="s">
        <v>2322</v>
      </c>
      <c r="K3172">
        <f>I3172*F3172</f>
        <v>44</v>
      </c>
      <c r="M3172" s="110"/>
      <c r="N3172" s="111"/>
      <c r="O3172" s="382" t="s">
        <v>2877</v>
      </c>
      <c r="P3172" s="110"/>
      <c r="Q3172" s="113"/>
      <c r="R3172" s="110"/>
      <c r="W3172" s="4"/>
    </row>
    <row r="3173" spans="6:24" ht="24" customHeight="1">
      <c r="H3173" s="1" t="s">
        <v>3111</v>
      </c>
      <c r="I3173" s="32" t="s">
        <v>669</v>
      </c>
      <c r="J3173" s="4"/>
      <c r="K3173">
        <v>1.75</v>
      </c>
      <c r="M3173" s="110"/>
      <c r="N3173" s="111"/>
      <c r="O3173" s="120" t="s">
        <v>1615</v>
      </c>
      <c r="P3173" s="110"/>
      <c r="Q3173" s="113"/>
      <c r="R3173" s="110"/>
      <c r="W3173" s="4"/>
    </row>
    <row r="3174" spans="6:24" ht="24" customHeight="1">
      <c r="J3174" s="4"/>
      <c r="K3174">
        <f>SUM(K3168:K3173)</f>
        <v>1408.63</v>
      </c>
      <c r="M3174" s="110"/>
      <c r="N3174" s="111"/>
      <c r="O3174" s="119" t="s">
        <v>3331</v>
      </c>
      <c r="P3174" s="114" t="s">
        <v>2091</v>
      </c>
      <c r="Q3174" s="383">
        <v>3.1219999999999999</v>
      </c>
      <c r="R3174" s="110" t="s">
        <v>2322</v>
      </c>
      <c r="W3174" s="4"/>
    </row>
    <row r="3175" spans="6:24" ht="24" customHeight="1">
      <c r="J3175" s="4"/>
      <c r="K3175">
        <f>K3174/10</f>
        <v>140.86000000000001</v>
      </c>
      <c r="M3175" s="110"/>
      <c r="N3175" s="111"/>
      <c r="O3175" s="119"/>
      <c r="P3175" s="114"/>
      <c r="Q3175" s="383"/>
      <c r="R3175" s="110"/>
      <c r="W3175" s="4"/>
    </row>
    <row r="3176" spans="6:24" ht="24" customHeight="1">
      <c r="G3176"/>
      <c r="J3176"/>
      <c r="L3176">
        <f>K3210</f>
        <v>317.74</v>
      </c>
      <c r="M3176" s="110"/>
      <c r="N3176" s="111"/>
      <c r="O3176" s="119" t="s">
        <v>2879</v>
      </c>
      <c r="P3176" s="114" t="s">
        <v>2091</v>
      </c>
      <c r="Q3176" s="384">
        <v>5.1999999999999998E-2</v>
      </c>
      <c r="R3176" s="110" t="s">
        <v>2190</v>
      </c>
      <c r="W3176" s="4"/>
    </row>
    <row r="3177" spans="6:24" ht="24" customHeight="1">
      <c r="G3177"/>
      <c r="J3177"/>
      <c r="L3177">
        <f>K3211</f>
        <v>582.12</v>
      </c>
      <c r="M3177" s="110"/>
      <c r="N3177" s="111"/>
      <c r="O3177" s="119" t="s">
        <v>3332</v>
      </c>
      <c r="Q3177" s="385"/>
      <c r="R3177" s="110"/>
      <c r="W3177" s="4"/>
    </row>
    <row r="3178" spans="6:24" ht="24" customHeight="1">
      <c r="G3178"/>
      <c r="J3178"/>
      <c r="M3178" s="110"/>
      <c r="N3178" s="111"/>
      <c r="O3178" s="119" t="s">
        <v>3333</v>
      </c>
      <c r="P3178" s="114" t="s">
        <v>2091</v>
      </c>
      <c r="Q3178" s="386">
        <v>2.2780000000000002E-2</v>
      </c>
      <c r="R3178" s="110"/>
      <c r="W3178" s="4"/>
    </row>
    <row r="3179" spans="6:24" ht="24" customHeight="1">
      <c r="H3179" t="s">
        <v>4425</v>
      </c>
      <c r="J3179"/>
      <c r="L3179">
        <v>1.5</v>
      </c>
      <c r="M3179" s="110"/>
      <c r="N3179" s="111"/>
      <c r="O3179" s="119" t="s">
        <v>2878</v>
      </c>
      <c r="P3179" s="114" t="s">
        <v>2091</v>
      </c>
      <c r="Q3179" s="386">
        <v>1.013E-2</v>
      </c>
      <c r="R3179" s="130"/>
      <c r="W3179" s="4"/>
    </row>
    <row r="3180" spans="6:24" ht="24" customHeight="1">
      <c r="J3180"/>
      <c r="L3180">
        <f>SUM(L3176:L3179)</f>
        <v>901.36</v>
      </c>
      <c r="M3180" s="110"/>
      <c r="N3180" s="111"/>
      <c r="O3180" s="110"/>
      <c r="P3180" s="110"/>
      <c r="Q3180" s="120" t="s">
        <v>1615</v>
      </c>
      <c r="W3180" s="4"/>
    </row>
    <row r="3181" spans="6:24" ht="24" customHeight="1">
      <c r="F3181">
        <v>1.8</v>
      </c>
      <c r="G3181" s="3" t="s">
        <v>929</v>
      </c>
      <c r="H3181" t="s">
        <v>3108</v>
      </c>
      <c r="I3181">
        <f>I3168</f>
        <v>49.85</v>
      </c>
      <c r="J3181" s="3" t="s">
        <v>929</v>
      </c>
      <c r="K3181">
        <f>I3181*F3181</f>
        <v>89.73</v>
      </c>
      <c r="M3181" s="110"/>
      <c r="N3181" s="111"/>
      <c r="O3181" s="110"/>
      <c r="P3181" s="110"/>
      <c r="Q3181" s="388">
        <v>3.2910000000000002E-2</v>
      </c>
      <c r="R3181" t="s">
        <v>2190</v>
      </c>
      <c r="W3181" s="4"/>
    </row>
    <row r="3182" spans="6:24" ht="24" customHeight="1">
      <c r="F3182">
        <v>0.25</v>
      </c>
      <c r="G3182" s="3" t="s">
        <v>262</v>
      </c>
      <c r="H3182" t="s">
        <v>3109</v>
      </c>
      <c r="I3182">
        <f>I3169</f>
        <v>831.6</v>
      </c>
      <c r="J3182" s="3" t="s">
        <v>262</v>
      </c>
      <c r="K3182">
        <f>I3182*F3182</f>
        <v>207.9</v>
      </c>
      <c r="L3182">
        <f>L3180/10</f>
        <v>90.14</v>
      </c>
      <c r="M3182" s="110"/>
      <c r="N3182" s="111"/>
      <c r="O3182" s="110"/>
      <c r="P3182" s="110"/>
      <c r="Q3182" s="120" t="s">
        <v>1615</v>
      </c>
      <c r="W3182" s="4"/>
    </row>
    <row r="3183" spans="6:24" ht="24" customHeight="1">
      <c r="F3183">
        <v>0.25</v>
      </c>
      <c r="G3183" s="3" t="s">
        <v>262</v>
      </c>
      <c r="H3183" s="1" t="s">
        <v>1937</v>
      </c>
      <c r="I3183">
        <f>I3170</f>
        <v>679.8</v>
      </c>
      <c r="J3183" s="3" t="s">
        <v>262</v>
      </c>
      <c r="K3183">
        <f>I3183*F3183</f>
        <v>169.95</v>
      </c>
      <c r="M3183" s="110"/>
      <c r="N3183" s="111"/>
      <c r="O3183" s="119" t="s">
        <v>3334</v>
      </c>
      <c r="P3183" s="110"/>
      <c r="Q3183" s="389">
        <v>1.7600000000000001E-2</v>
      </c>
      <c r="R3183" s="130"/>
      <c r="W3183" s="4"/>
    </row>
    <row r="3184" spans="6:24" ht="24" customHeight="1">
      <c r="F3184">
        <v>0.4</v>
      </c>
      <c r="G3184" s="3" t="s">
        <v>262</v>
      </c>
      <c r="H3184" s="1" t="s">
        <v>325</v>
      </c>
      <c r="I3184">
        <f>I3171</f>
        <v>557.70000000000005</v>
      </c>
      <c r="J3184" s="3" t="s">
        <v>262</v>
      </c>
      <c r="K3184">
        <f>I3184*F3184</f>
        <v>223.08</v>
      </c>
      <c r="M3184" s="110"/>
      <c r="N3184" s="111"/>
      <c r="O3184" s="119" t="s">
        <v>3335</v>
      </c>
      <c r="P3184" s="110"/>
      <c r="Q3184" s="390">
        <v>8.3999999999999995E-3</v>
      </c>
      <c r="R3184" s="130"/>
      <c r="W3184" s="4"/>
    </row>
    <row r="3185" spans="6:23" ht="24" customHeight="1">
      <c r="F3185">
        <v>10</v>
      </c>
      <c r="G3185" s="3" t="s">
        <v>2322</v>
      </c>
      <c r="H3185" s="1" t="s">
        <v>3110</v>
      </c>
      <c r="I3185">
        <f>I3172</f>
        <v>4.4000000000000004</v>
      </c>
      <c r="J3185" s="3" t="s">
        <v>2322</v>
      </c>
      <c r="K3185">
        <f>I3185*F3185</f>
        <v>44</v>
      </c>
      <c r="M3185" s="110"/>
      <c r="N3185" s="111"/>
      <c r="O3185" s="119"/>
      <c r="P3185" s="110"/>
      <c r="Q3185" s="120" t="s">
        <v>1615</v>
      </c>
      <c r="R3185" s="130"/>
      <c r="W3185" s="4"/>
    </row>
    <row r="3186" spans="6:23" ht="24" customHeight="1">
      <c r="H3186" s="1" t="s">
        <v>3111</v>
      </c>
      <c r="I3186" s="32" t="s">
        <v>3112</v>
      </c>
      <c r="J3186" s="4"/>
      <c r="K3186">
        <v>1.6</v>
      </c>
      <c r="M3186" s="110"/>
      <c r="N3186" s="111"/>
      <c r="O3186" s="119"/>
      <c r="P3186" s="110"/>
      <c r="Q3186" s="391">
        <v>2.5999999999999999E-2</v>
      </c>
      <c r="R3186" s="130" t="s">
        <v>2190</v>
      </c>
      <c r="W3186" s="4"/>
    </row>
    <row r="3187" spans="6:23" ht="24" customHeight="1">
      <c r="J3187" s="4"/>
      <c r="K3187">
        <f>SUM(K3181:K3186)</f>
        <v>736.26</v>
      </c>
      <c r="M3187" s="110"/>
      <c r="N3187" s="111"/>
      <c r="O3187" s="110"/>
      <c r="P3187" s="110"/>
      <c r="Q3187" s="120" t="s">
        <v>1615</v>
      </c>
      <c r="R3187" s="120"/>
      <c r="W3187" s="4"/>
    </row>
    <row r="3188" spans="6:23" ht="24" customHeight="1">
      <c r="J3188" s="4"/>
      <c r="K3188">
        <f>K3187/10</f>
        <v>73.63</v>
      </c>
      <c r="M3188" s="130">
        <v>5.1999999999999998E-2</v>
      </c>
      <c r="N3188" s="118" t="s">
        <v>885</v>
      </c>
      <c r="O3188" s="119" t="s">
        <v>313</v>
      </c>
      <c r="P3188" s="121">
        <f>AC26</f>
        <v>111600</v>
      </c>
      <c r="Q3188" s="117" t="s">
        <v>885</v>
      </c>
      <c r="R3188" s="121">
        <f>P3188*M3188</f>
        <v>5803.2</v>
      </c>
      <c r="W3188" s="4"/>
    </row>
    <row r="3189" spans="6:23" ht="24" customHeight="1">
      <c r="G3189"/>
      <c r="J3189"/>
      <c r="M3189" s="130">
        <v>3.2910000000000002E-2</v>
      </c>
      <c r="N3189" s="118" t="s">
        <v>885</v>
      </c>
      <c r="O3189" s="119" t="s">
        <v>314</v>
      </c>
      <c r="P3189" s="121">
        <f>AC27</f>
        <v>99400</v>
      </c>
      <c r="Q3189" s="117" t="s">
        <v>885</v>
      </c>
      <c r="R3189" s="121">
        <f t="shared" ref="R3189:R3199" si="308">P3189*M3189</f>
        <v>3271.25</v>
      </c>
      <c r="W3189" s="4"/>
    </row>
    <row r="3190" spans="6:23" ht="24" customHeight="1">
      <c r="G3190"/>
      <c r="J3190"/>
      <c r="M3190" s="130">
        <v>2.5999999999999999E-2</v>
      </c>
      <c r="N3190" s="118" t="s">
        <v>885</v>
      </c>
      <c r="O3190" s="119" t="s">
        <v>3336</v>
      </c>
      <c r="P3190" s="444">
        <v>107000</v>
      </c>
      <c r="Q3190" s="117" t="s">
        <v>885</v>
      </c>
      <c r="R3190" s="121">
        <f t="shared" si="308"/>
        <v>2782</v>
      </c>
      <c r="W3190" s="4"/>
    </row>
    <row r="3191" spans="6:23" ht="24" customHeight="1">
      <c r="G3191"/>
      <c r="J3191"/>
      <c r="L3191">
        <f>K3225</f>
        <v>530.36</v>
      </c>
      <c r="M3191" s="132"/>
      <c r="N3191" s="111"/>
      <c r="O3191" s="119" t="s">
        <v>3995</v>
      </c>
      <c r="P3191" s="121"/>
      <c r="Q3191" s="113"/>
      <c r="R3191" s="121">
        <f t="shared" si="308"/>
        <v>0</v>
      </c>
      <c r="W3191" s="4"/>
    </row>
    <row r="3192" spans="6:23" ht="24" customHeight="1">
      <c r="H3192" t="s">
        <v>3113</v>
      </c>
      <c r="J3192"/>
      <c r="L3192">
        <f>K3226</f>
        <v>997.92</v>
      </c>
      <c r="M3192" s="132">
        <v>3.1219999999999999</v>
      </c>
      <c r="N3192" s="118" t="s">
        <v>621</v>
      </c>
      <c r="O3192" s="119" t="s">
        <v>453</v>
      </c>
      <c r="P3192" s="121">
        <f>I954</f>
        <v>1602.7</v>
      </c>
      <c r="Q3192" s="117" t="s">
        <v>621</v>
      </c>
      <c r="R3192" s="121">
        <f t="shared" si="308"/>
        <v>5003.63</v>
      </c>
      <c r="W3192" s="4"/>
    </row>
    <row r="3193" spans="6:23" ht="24" customHeight="1">
      <c r="H3193" t="s">
        <v>1066</v>
      </c>
      <c r="J3193"/>
      <c r="M3193" s="121">
        <v>4</v>
      </c>
      <c r="N3193" s="118" t="s">
        <v>785</v>
      </c>
      <c r="O3193" s="119" t="s">
        <v>3337</v>
      </c>
      <c r="P3193" s="121">
        <f>I2637</f>
        <v>254.5</v>
      </c>
      <c r="Q3193" s="117" t="s">
        <v>884</v>
      </c>
      <c r="R3193" s="121">
        <f t="shared" si="308"/>
        <v>1018</v>
      </c>
      <c r="W3193" s="4"/>
    </row>
    <row r="3194" spans="6:23" ht="24" customHeight="1">
      <c r="H3194" t="s">
        <v>1261</v>
      </c>
      <c r="J3194"/>
      <c r="L3194">
        <f>K3228</f>
        <v>6.65</v>
      </c>
      <c r="M3194" s="121">
        <v>8</v>
      </c>
      <c r="N3194" s="118" t="s">
        <v>884</v>
      </c>
      <c r="O3194" s="119" t="s">
        <v>1490</v>
      </c>
      <c r="P3194" s="121">
        <f>P3158</f>
        <v>89.6</v>
      </c>
      <c r="Q3194" s="117" t="s">
        <v>884</v>
      </c>
      <c r="R3194" s="121">
        <f t="shared" si="308"/>
        <v>716.8</v>
      </c>
      <c r="W3194" s="4"/>
    </row>
    <row r="3195" spans="6:23" ht="24" customHeight="1">
      <c r="J3195"/>
      <c r="L3195">
        <f>SUM(L3191:L3194)</f>
        <v>1534.93</v>
      </c>
      <c r="M3195" s="121">
        <v>4</v>
      </c>
      <c r="N3195" s="118" t="s">
        <v>884</v>
      </c>
      <c r="O3195" s="779" t="s">
        <v>5160</v>
      </c>
      <c r="P3195" s="444">
        <v>97.85</v>
      </c>
      <c r="Q3195" s="117" t="s">
        <v>884</v>
      </c>
      <c r="R3195" s="121">
        <f t="shared" si="308"/>
        <v>391.4</v>
      </c>
      <c r="W3195" s="4"/>
    </row>
    <row r="3196" spans="6:23" ht="24" customHeight="1">
      <c r="F3196">
        <v>1.1100000000000001</v>
      </c>
      <c r="G3196" s="3" t="s">
        <v>2618</v>
      </c>
      <c r="H3196" t="s">
        <v>1202</v>
      </c>
      <c r="I3196">
        <f>I1547</f>
        <v>227.6</v>
      </c>
      <c r="J3196" s="3" t="s">
        <v>2618</v>
      </c>
      <c r="K3196">
        <f>I3196*F3196</f>
        <v>252.64</v>
      </c>
      <c r="M3196" s="121">
        <v>1</v>
      </c>
      <c r="N3196" s="118" t="s">
        <v>884</v>
      </c>
      <c r="O3196" s="779" t="s">
        <v>5161</v>
      </c>
      <c r="P3196" s="444">
        <v>209.9</v>
      </c>
      <c r="Q3196" s="117" t="s">
        <v>884</v>
      </c>
      <c r="R3196" s="121">
        <f t="shared" si="308"/>
        <v>209.9</v>
      </c>
      <c r="W3196" s="4"/>
    </row>
    <row r="3197" spans="6:23" ht="24" customHeight="1">
      <c r="F3197">
        <v>0.7</v>
      </c>
      <c r="G3197" s="3" t="s">
        <v>262</v>
      </c>
      <c r="H3197" t="s">
        <v>1201</v>
      </c>
      <c r="I3197">
        <f>I3182</f>
        <v>831.6</v>
      </c>
      <c r="J3197" s="3" t="s">
        <v>262</v>
      </c>
      <c r="K3197">
        <f>I3197*F3197</f>
        <v>582.12</v>
      </c>
      <c r="L3197">
        <f>L3195/10</f>
        <v>153.49</v>
      </c>
      <c r="M3197" s="121">
        <v>2</v>
      </c>
      <c r="N3197" s="118" t="s">
        <v>884</v>
      </c>
      <c r="O3197" s="779" t="s">
        <v>5162</v>
      </c>
      <c r="P3197" s="444">
        <v>23.1</v>
      </c>
      <c r="Q3197" s="117" t="s">
        <v>884</v>
      </c>
      <c r="R3197" s="121">
        <f t="shared" si="308"/>
        <v>46.2</v>
      </c>
      <c r="W3197" s="4"/>
    </row>
    <row r="3198" spans="6:23" ht="24" customHeight="1">
      <c r="F3198">
        <v>10</v>
      </c>
      <c r="G3198" s="3" t="s">
        <v>2322</v>
      </c>
      <c r="H3198" s="494" t="s">
        <v>5163</v>
      </c>
      <c r="I3198" s="105">
        <f>AE54</f>
        <v>9.52</v>
      </c>
      <c r="J3198" s="3" t="s">
        <v>2322</v>
      </c>
      <c r="K3198">
        <f>I3198*F3198</f>
        <v>95.2</v>
      </c>
      <c r="M3198" s="121">
        <v>2</v>
      </c>
      <c r="N3198" s="118" t="s">
        <v>884</v>
      </c>
      <c r="O3198" s="779" t="s">
        <v>5164</v>
      </c>
      <c r="P3198" s="444">
        <v>49.55</v>
      </c>
      <c r="Q3198" s="117" t="s">
        <v>884</v>
      </c>
      <c r="R3198" s="121">
        <f t="shared" si="308"/>
        <v>99.1</v>
      </c>
      <c r="S3198" s="50">
        <f>0.42*3.122</f>
        <v>1.3109999999999999</v>
      </c>
      <c r="T3198">
        <f>S3198+19.79</f>
        <v>21.1</v>
      </c>
      <c r="W3198" s="4"/>
    </row>
    <row r="3199" spans="6:23" ht="24" customHeight="1">
      <c r="H3199" s="1" t="s">
        <v>3111</v>
      </c>
      <c r="I3199" t="s">
        <v>669</v>
      </c>
      <c r="J3199" s="4"/>
      <c r="K3199">
        <v>2.8</v>
      </c>
      <c r="M3199" s="121">
        <v>118</v>
      </c>
      <c r="N3199" s="118" t="s">
        <v>884</v>
      </c>
      <c r="O3199" s="110" t="s">
        <v>1360</v>
      </c>
      <c r="P3199" s="110">
        <f>I961</f>
        <v>2.41</v>
      </c>
      <c r="Q3199" s="117" t="s">
        <v>884</v>
      </c>
      <c r="R3199" s="121">
        <f t="shared" si="308"/>
        <v>284.38</v>
      </c>
      <c r="W3199" s="4"/>
    </row>
    <row r="3200" spans="6:23" ht="24" customHeight="1">
      <c r="H3200" t="s">
        <v>447</v>
      </c>
      <c r="J3200" s="4"/>
      <c r="K3200">
        <f>SUM(K3196:K3199)</f>
        <v>932.76</v>
      </c>
      <c r="M3200" s="110"/>
      <c r="N3200" s="111"/>
      <c r="O3200" s="110"/>
      <c r="P3200" s="110"/>
      <c r="Q3200" s="113"/>
      <c r="R3200" s="120" t="s">
        <v>1615</v>
      </c>
      <c r="W3200" s="4"/>
    </row>
    <row r="3201" spans="6:23" ht="24" customHeight="1">
      <c r="J3201" s="4"/>
      <c r="M3201" s="110"/>
      <c r="N3201" s="111"/>
      <c r="O3201" s="119" t="s">
        <v>3342</v>
      </c>
      <c r="P3201" s="110"/>
      <c r="Q3201" s="113"/>
      <c r="R3201" s="121">
        <f>SUM(R3188:R3199)</f>
        <v>19625.86</v>
      </c>
      <c r="W3201" s="4"/>
    </row>
    <row r="3202" spans="6:23" ht="24" customHeight="1">
      <c r="H3202" t="s">
        <v>562</v>
      </c>
      <c r="J3202" s="4"/>
      <c r="K3202">
        <f>K3200/10</f>
        <v>93.28</v>
      </c>
      <c r="M3202" s="110"/>
      <c r="N3202" s="111"/>
      <c r="O3202" s="110"/>
      <c r="P3202" s="110"/>
      <c r="Q3202" s="113"/>
      <c r="R3202" s="120" t="s">
        <v>1615</v>
      </c>
      <c r="W3202" s="4"/>
    </row>
    <row r="3203" spans="6:23" ht="24" customHeight="1">
      <c r="J3203" s="4"/>
      <c r="M3203" s="110"/>
      <c r="N3203" s="111"/>
      <c r="O3203" s="108" t="s">
        <v>562</v>
      </c>
      <c r="P3203" s="110"/>
      <c r="Q3203" s="115" t="s">
        <v>736</v>
      </c>
      <c r="R3203" s="109">
        <f>R3201/M3192</f>
        <v>6286.31</v>
      </c>
      <c r="W3203" s="4"/>
    </row>
    <row r="3204" spans="6:23" ht="24" customHeight="1">
      <c r="J3204" s="4"/>
      <c r="M3204" s="117"/>
      <c r="N3204" s="118" t="s">
        <v>2290</v>
      </c>
      <c r="O3204" s="119" t="s">
        <v>3343</v>
      </c>
      <c r="P3204" s="110"/>
      <c r="Q3204" s="113"/>
      <c r="R3204" s="110"/>
      <c r="W3204" s="4"/>
    </row>
    <row r="3205" spans="6:23" ht="24" customHeight="1">
      <c r="J3205" s="4"/>
      <c r="M3205" s="110"/>
      <c r="N3205" s="111"/>
      <c r="O3205" s="119" t="s">
        <v>259</v>
      </c>
      <c r="P3205" s="110"/>
      <c r="Q3205" s="113"/>
      <c r="R3205" s="110"/>
      <c r="W3205" s="4"/>
    </row>
    <row r="3206" spans="6:23" ht="24" customHeight="1">
      <c r="H3206" t="s">
        <v>3113</v>
      </c>
      <c r="J3206" s="4"/>
      <c r="M3206" s="110"/>
      <c r="N3206" s="111"/>
      <c r="O3206" s="382" t="s">
        <v>2877</v>
      </c>
      <c r="P3206" s="110"/>
      <c r="Q3206" s="113"/>
      <c r="R3206" s="110"/>
      <c r="W3206" s="4"/>
    </row>
    <row r="3207" spans="6:23" ht="24" customHeight="1">
      <c r="H3207" t="s">
        <v>1400</v>
      </c>
      <c r="J3207" s="4"/>
      <c r="L3207">
        <f>K3241</f>
        <v>430.16</v>
      </c>
      <c r="M3207" s="110"/>
      <c r="N3207" s="111"/>
      <c r="O3207" s="120" t="s">
        <v>1615</v>
      </c>
      <c r="P3207" s="110"/>
      <c r="Q3207" s="113"/>
      <c r="R3207" s="110"/>
      <c r="W3207" s="4"/>
    </row>
    <row r="3208" spans="6:23" ht="24" customHeight="1">
      <c r="H3208" t="s">
        <v>1261</v>
      </c>
      <c r="J3208" s="4"/>
      <c r="L3208">
        <f>K3242</f>
        <v>914.76</v>
      </c>
      <c r="M3208" s="110"/>
      <c r="N3208" s="111"/>
      <c r="O3208" s="119" t="s">
        <v>3331</v>
      </c>
      <c r="P3208" s="114" t="s">
        <v>2091</v>
      </c>
      <c r="Q3208" s="383">
        <v>3.1219999999999999</v>
      </c>
      <c r="R3208" s="134" t="s">
        <v>2322</v>
      </c>
      <c r="W3208" s="4"/>
    </row>
    <row r="3209" spans="6:23" ht="24" customHeight="1">
      <c r="J3209" s="4"/>
      <c r="M3209" s="110"/>
      <c r="N3209" s="111"/>
      <c r="O3209" s="119"/>
      <c r="P3209" s="114"/>
      <c r="Q3209" s="383"/>
      <c r="R3209" s="134"/>
      <c r="W3209" s="4"/>
    </row>
    <row r="3210" spans="6:23" ht="24" customHeight="1">
      <c r="F3210">
        <v>1.33</v>
      </c>
      <c r="G3210" s="3" t="s">
        <v>2618</v>
      </c>
      <c r="H3210" t="s">
        <v>1202</v>
      </c>
      <c r="I3210">
        <f>I1534</f>
        <v>238.9</v>
      </c>
      <c r="J3210" s="3" t="s">
        <v>2618</v>
      </c>
      <c r="K3210">
        <f>I3210*F3210</f>
        <v>317.74</v>
      </c>
      <c r="L3210">
        <f>K3244</f>
        <v>1.9</v>
      </c>
      <c r="M3210" s="110"/>
      <c r="N3210" s="111"/>
      <c r="O3210" s="119" t="s">
        <v>2879</v>
      </c>
      <c r="P3210" s="114" t="s">
        <v>2091</v>
      </c>
      <c r="Q3210" s="384">
        <v>5.1999999999999998E-2</v>
      </c>
      <c r="R3210" s="134" t="s">
        <v>2190</v>
      </c>
      <c r="W3210" s="4"/>
    </row>
    <row r="3211" spans="6:23" ht="24" customHeight="1">
      <c r="F3211">
        <v>0.7</v>
      </c>
      <c r="G3211" s="3" t="s">
        <v>262</v>
      </c>
      <c r="H3211" t="s">
        <v>1201</v>
      </c>
      <c r="I3211">
        <f>I3197</f>
        <v>831.6</v>
      </c>
      <c r="J3211" s="3" t="s">
        <v>262</v>
      </c>
      <c r="K3211">
        <f>I3211*F3211</f>
        <v>582.12</v>
      </c>
      <c r="L3211">
        <f>SUM(L3207:L3210)</f>
        <v>1346.82</v>
      </c>
      <c r="M3211" s="110"/>
      <c r="N3211" s="111"/>
      <c r="O3211" s="119" t="s">
        <v>3332</v>
      </c>
      <c r="Q3211" s="385"/>
      <c r="R3211" s="134"/>
      <c r="W3211" s="4"/>
    </row>
    <row r="3212" spans="6:23" ht="24" customHeight="1">
      <c r="F3212">
        <v>10</v>
      </c>
      <c r="G3212" s="3" t="s">
        <v>2322</v>
      </c>
      <c r="H3212" s="482" t="s">
        <v>4801</v>
      </c>
      <c r="I3212" s="105">
        <f>AE55</f>
        <v>10.29</v>
      </c>
      <c r="J3212" s="3" t="s">
        <v>2322</v>
      </c>
      <c r="K3212">
        <f>I3212*F3212</f>
        <v>102.9</v>
      </c>
      <c r="M3212" s="110"/>
      <c r="N3212" s="111"/>
      <c r="O3212" s="119" t="s">
        <v>3460</v>
      </c>
      <c r="P3212" s="114" t="s">
        <v>2091</v>
      </c>
      <c r="Q3212" s="386">
        <v>2.2780000000000002E-2</v>
      </c>
      <c r="R3212" s="134"/>
      <c r="W3212" s="4"/>
    </row>
    <row r="3213" spans="6:23" ht="24" customHeight="1">
      <c r="H3213" t="s">
        <v>3111</v>
      </c>
      <c r="I3213" t="s">
        <v>669</v>
      </c>
      <c r="J3213" s="4"/>
      <c r="K3213">
        <v>3.43</v>
      </c>
      <c r="M3213" s="110"/>
      <c r="N3213" s="111"/>
      <c r="O3213" s="119" t="s">
        <v>2878</v>
      </c>
      <c r="P3213" s="114" t="s">
        <v>2091</v>
      </c>
      <c r="Q3213" s="386">
        <v>1.013E-2</v>
      </c>
      <c r="R3213" s="135"/>
      <c r="W3213" s="4"/>
    </row>
    <row r="3214" spans="6:23" ht="24" customHeight="1">
      <c r="H3214" t="s">
        <v>447</v>
      </c>
      <c r="J3214" s="4"/>
      <c r="K3214">
        <f>SUM(K3210:K3213)</f>
        <v>1006.19</v>
      </c>
      <c r="M3214" s="110"/>
      <c r="N3214" s="111"/>
      <c r="O3214" s="110"/>
      <c r="P3214" s="110"/>
      <c r="Q3214" s="393" t="s">
        <v>3126</v>
      </c>
      <c r="R3214" s="10"/>
      <c r="W3214" s="4"/>
    </row>
    <row r="3215" spans="6:23" ht="24" customHeight="1">
      <c r="J3215" s="4"/>
      <c r="M3215" s="110"/>
      <c r="N3215" s="111"/>
      <c r="O3215" s="110"/>
      <c r="P3215" s="110"/>
      <c r="Q3215" s="388">
        <v>3.2910000000000002E-2</v>
      </c>
      <c r="R3215" s="10" t="s">
        <v>2190</v>
      </c>
      <c r="W3215" s="4"/>
    </row>
    <row r="3216" spans="6:23" ht="24" customHeight="1">
      <c r="H3216" t="s">
        <v>562</v>
      </c>
      <c r="J3216" s="4"/>
      <c r="K3216">
        <f>K3214/10</f>
        <v>100.62</v>
      </c>
      <c r="M3216" s="110"/>
      <c r="N3216" s="111"/>
      <c r="O3216" s="110"/>
      <c r="P3216" s="110"/>
      <c r="Q3216" s="393" t="s">
        <v>3126</v>
      </c>
      <c r="R3216" s="10"/>
      <c r="W3216" s="4"/>
    </row>
    <row r="3217" spans="6:23" ht="24" customHeight="1">
      <c r="J3217" s="4"/>
      <c r="M3217" s="110"/>
      <c r="N3217" s="111"/>
      <c r="O3217" s="119" t="s">
        <v>3345</v>
      </c>
      <c r="P3217" s="110"/>
      <c r="Q3217" s="157">
        <v>0.94</v>
      </c>
      <c r="R3217" s="135" t="s">
        <v>2322</v>
      </c>
      <c r="W3217" s="4"/>
    </row>
    <row r="3218" spans="6:23" ht="24" customHeight="1">
      <c r="J3218" s="4"/>
      <c r="M3218" s="110"/>
      <c r="N3218" s="111"/>
      <c r="O3218" s="119" t="s">
        <v>3344</v>
      </c>
      <c r="P3218" s="110"/>
      <c r="Q3218" s="391">
        <v>8.3999999999999995E-3</v>
      </c>
      <c r="R3218" s="135" t="s">
        <v>2190</v>
      </c>
      <c r="W3218" s="4"/>
    </row>
    <row r="3219" spans="6:23" ht="24" customHeight="1">
      <c r="J3219" s="4"/>
      <c r="M3219" s="110"/>
      <c r="N3219" s="111"/>
      <c r="O3219" s="119" t="s">
        <v>3347</v>
      </c>
      <c r="P3219" s="110"/>
      <c r="Q3219" s="391">
        <v>7.9</v>
      </c>
      <c r="R3219" s="135" t="s">
        <v>842</v>
      </c>
      <c r="W3219" s="4"/>
    </row>
    <row r="3220" spans="6:23" ht="24" customHeight="1">
      <c r="J3220" s="4"/>
      <c r="M3220" s="110"/>
      <c r="N3220" s="111"/>
      <c r="O3220" s="110"/>
      <c r="P3220" s="110"/>
      <c r="Q3220" s="120"/>
      <c r="R3220" s="120"/>
      <c r="W3220" s="4"/>
    </row>
    <row r="3221" spans="6:23" ht="24" customHeight="1">
      <c r="H3221" t="s">
        <v>2619</v>
      </c>
      <c r="J3221" s="4"/>
      <c r="M3221" s="130">
        <v>5.1999999999999998E-2</v>
      </c>
      <c r="N3221" s="118" t="s">
        <v>885</v>
      </c>
      <c r="O3221" s="119" t="s">
        <v>313</v>
      </c>
      <c r="P3221" s="121">
        <f>P3188</f>
        <v>111600</v>
      </c>
      <c r="Q3221" s="117" t="s">
        <v>885</v>
      </c>
      <c r="R3221" s="121">
        <f>P3221*M3221</f>
        <v>5803.2</v>
      </c>
      <c r="W3221" s="4"/>
    </row>
    <row r="3222" spans="6:23" ht="24" customHeight="1">
      <c r="H3222" t="s">
        <v>1400</v>
      </c>
      <c r="J3222" s="4"/>
      <c r="M3222" s="130">
        <v>3.2910000000000002E-2</v>
      </c>
      <c r="N3222" s="118" t="s">
        <v>885</v>
      </c>
      <c r="O3222" s="119" t="s">
        <v>314</v>
      </c>
      <c r="P3222" s="121">
        <f>P3189</f>
        <v>99400</v>
      </c>
      <c r="Q3222" s="117" t="s">
        <v>885</v>
      </c>
      <c r="R3222" s="121">
        <f t="shared" ref="R3222:R3234" si="309">P3222*M3222</f>
        <v>3271.25</v>
      </c>
      <c r="W3222" s="4"/>
    </row>
    <row r="3223" spans="6:23" ht="24" customHeight="1">
      <c r="H3223" t="s">
        <v>1261</v>
      </c>
      <c r="J3223" s="4"/>
      <c r="M3223" s="130">
        <v>8.3999999999999995E-3</v>
      </c>
      <c r="N3223" s="118" t="s">
        <v>885</v>
      </c>
      <c r="O3223" s="515" t="s">
        <v>3336</v>
      </c>
      <c r="P3223" s="121">
        <f>P3190</f>
        <v>107000</v>
      </c>
      <c r="Q3223" s="117" t="s">
        <v>885</v>
      </c>
      <c r="R3223" s="121">
        <f t="shared" si="309"/>
        <v>898.8</v>
      </c>
      <c r="W3223" s="4"/>
    </row>
    <row r="3224" spans="6:23" ht="24" customHeight="1">
      <c r="J3224" s="4"/>
      <c r="M3224" s="132"/>
      <c r="N3224" s="111"/>
      <c r="O3224" s="119" t="s">
        <v>3608</v>
      </c>
      <c r="P3224" s="121"/>
      <c r="Q3224" s="113"/>
      <c r="R3224" s="121">
        <f t="shared" si="309"/>
        <v>0</v>
      </c>
      <c r="W3224" s="4"/>
    </row>
    <row r="3225" spans="6:23" ht="24" customHeight="1">
      <c r="F3225">
        <v>2.2200000000000002</v>
      </c>
      <c r="G3225" s="3" t="s">
        <v>2618</v>
      </c>
      <c r="H3225" t="s">
        <v>1202</v>
      </c>
      <c r="I3225">
        <f>I3210</f>
        <v>238.9</v>
      </c>
      <c r="J3225" s="3" t="s">
        <v>2618</v>
      </c>
      <c r="K3225">
        <f>I3225*F3225</f>
        <v>530.36</v>
      </c>
      <c r="M3225" s="132">
        <v>0.94</v>
      </c>
      <c r="N3225" s="118" t="s">
        <v>621</v>
      </c>
      <c r="O3225" s="515" t="s">
        <v>5165</v>
      </c>
      <c r="P3225" s="444">
        <v>562.5</v>
      </c>
      <c r="Q3225" s="113" t="s">
        <v>621</v>
      </c>
      <c r="R3225" s="121">
        <f t="shared" si="309"/>
        <v>528.75</v>
      </c>
      <c r="W3225" s="4"/>
    </row>
    <row r="3226" spans="6:23" ht="24" customHeight="1">
      <c r="F3226">
        <v>1.2</v>
      </c>
      <c r="G3226" s="3" t="s">
        <v>262</v>
      </c>
      <c r="H3226" t="s">
        <v>1201</v>
      </c>
      <c r="I3226">
        <f>I3211</f>
        <v>831.6</v>
      </c>
      <c r="J3226" s="3" t="s">
        <v>262</v>
      </c>
      <c r="K3226">
        <f>I3226*F3226</f>
        <v>997.92</v>
      </c>
      <c r="M3226" s="132">
        <v>7.9</v>
      </c>
      <c r="N3226" s="118" t="s">
        <v>1805</v>
      </c>
      <c r="O3226" s="515" t="s">
        <v>5166</v>
      </c>
      <c r="P3226" s="444">
        <v>15.45</v>
      </c>
      <c r="Q3226" s="113" t="s">
        <v>842</v>
      </c>
      <c r="R3226" s="121">
        <f t="shared" si="309"/>
        <v>122.06</v>
      </c>
      <c r="W3226" s="4"/>
    </row>
    <row r="3227" spans="6:23" ht="24" customHeight="1">
      <c r="F3227">
        <v>10</v>
      </c>
      <c r="G3227" s="3" t="s">
        <v>2322</v>
      </c>
      <c r="H3227" t="s">
        <v>3110</v>
      </c>
      <c r="I3227">
        <f>I3212</f>
        <v>10.29</v>
      </c>
      <c r="J3227" s="3" t="s">
        <v>2322</v>
      </c>
      <c r="K3227">
        <f>I3227*F3227</f>
        <v>102.9</v>
      </c>
      <c r="M3227" s="132">
        <v>3.1219999999999999</v>
      </c>
      <c r="N3227" s="118" t="s">
        <v>621</v>
      </c>
      <c r="O3227" s="515" t="s">
        <v>4809</v>
      </c>
      <c r="P3227" s="444">
        <f>AE58</f>
        <v>1498.2</v>
      </c>
      <c r="Q3227" s="117" t="s">
        <v>621</v>
      </c>
      <c r="R3227" s="121">
        <f t="shared" si="309"/>
        <v>4677.38</v>
      </c>
      <c r="W3227" s="4"/>
    </row>
    <row r="3228" spans="6:23" ht="24" customHeight="1">
      <c r="H3228" t="s">
        <v>3111</v>
      </c>
      <c r="I3228" t="s">
        <v>669</v>
      </c>
      <c r="J3228" s="4"/>
      <c r="K3228">
        <v>6.65</v>
      </c>
      <c r="M3228" s="121">
        <v>4</v>
      </c>
      <c r="N3228" s="118" t="s">
        <v>785</v>
      </c>
      <c r="O3228" s="119" t="s">
        <v>3953</v>
      </c>
      <c r="P3228" s="121">
        <f>C598</f>
        <v>57.65</v>
      </c>
      <c r="Q3228" s="117" t="s">
        <v>884</v>
      </c>
      <c r="R3228" s="121">
        <f t="shared" si="309"/>
        <v>230.6</v>
      </c>
      <c r="W3228" s="4"/>
    </row>
    <row r="3229" spans="6:23" ht="24" customHeight="1">
      <c r="H3229" t="s">
        <v>447</v>
      </c>
      <c r="J3229" s="4"/>
      <c r="K3229">
        <f>SUM(K3225:K3228)</f>
        <v>1637.83</v>
      </c>
      <c r="M3229" s="121">
        <v>8</v>
      </c>
      <c r="N3229" s="118" t="s">
        <v>884</v>
      </c>
      <c r="O3229" s="119" t="s">
        <v>3954</v>
      </c>
      <c r="P3229" s="121">
        <f>C279</f>
        <v>89.6</v>
      </c>
      <c r="Q3229" s="117" t="s">
        <v>884</v>
      </c>
      <c r="R3229" s="121">
        <f t="shared" si="309"/>
        <v>716.8</v>
      </c>
      <c r="W3229" s="4"/>
    </row>
    <row r="3230" spans="6:23" ht="24" customHeight="1">
      <c r="J3230" s="4"/>
      <c r="M3230" s="121">
        <v>4</v>
      </c>
      <c r="N3230" s="118" t="s">
        <v>884</v>
      </c>
      <c r="O3230" s="119" t="s">
        <v>3338</v>
      </c>
      <c r="P3230" s="121">
        <f>P3195</f>
        <v>97.85</v>
      </c>
      <c r="Q3230" s="117" t="s">
        <v>884</v>
      </c>
      <c r="R3230" s="121">
        <f t="shared" si="309"/>
        <v>391.4</v>
      </c>
      <c r="W3230" s="4"/>
    </row>
    <row r="3231" spans="6:23" ht="24" customHeight="1">
      <c r="H3231" t="s">
        <v>562</v>
      </c>
      <c r="J3231" s="4"/>
      <c r="K3231">
        <f>K3229/10</f>
        <v>163.78</v>
      </c>
      <c r="M3231" s="121">
        <v>1</v>
      </c>
      <c r="N3231" s="118" t="s">
        <v>884</v>
      </c>
      <c r="O3231" s="119" t="s">
        <v>3339</v>
      </c>
      <c r="P3231" s="121">
        <f>P3196</f>
        <v>209.9</v>
      </c>
      <c r="Q3231" s="117" t="s">
        <v>884</v>
      </c>
      <c r="R3231" s="121">
        <f t="shared" si="309"/>
        <v>209.9</v>
      </c>
      <c r="W3231" s="4"/>
    </row>
    <row r="3232" spans="6:23" ht="24" customHeight="1">
      <c r="J3232" s="4"/>
      <c r="L3232">
        <f>K3266</f>
        <v>284.39999999999998</v>
      </c>
      <c r="M3232" s="121">
        <v>2</v>
      </c>
      <c r="N3232" s="118" t="s">
        <v>884</v>
      </c>
      <c r="O3232" s="119" t="s">
        <v>3340</v>
      </c>
      <c r="P3232" s="121">
        <f>P3197</f>
        <v>23.1</v>
      </c>
      <c r="Q3232" s="117" t="s">
        <v>884</v>
      </c>
      <c r="R3232" s="121">
        <f t="shared" si="309"/>
        <v>46.2</v>
      </c>
      <c r="W3232" s="4"/>
    </row>
    <row r="3233" spans="6:24" ht="24" customHeight="1">
      <c r="J3233" s="4"/>
      <c r="L3233">
        <f>K3267</f>
        <v>207.9</v>
      </c>
      <c r="M3233" s="121">
        <v>2</v>
      </c>
      <c r="N3233" s="118" t="s">
        <v>884</v>
      </c>
      <c r="O3233" s="119" t="s">
        <v>3341</v>
      </c>
      <c r="P3233" s="121">
        <f>P3198</f>
        <v>49.55</v>
      </c>
      <c r="Q3233" s="117" t="s">
        <v>884</v>
      </c>
      <c r="R3233" s="121">
        <f t="shared" si="309"/>
        <v>99.1</v>
      </c>
      <c r="W3233" s="4"/>
    </row>
    <row r="3234" spans="6:24" ht="24" customHeight="1">
      <c r="J3234" s="4"/>
      <c r="L3234">
        <f>K3268</f>
        <v>169.95</v>
      </c>
      <c r="M3234" s="121">
        <v>118</v>
      </c>
      <c r="N3234" s="118" t="s">
        <v>884</v>
      </c>
      <c r="O3234" s="110" t="s">
        <v>1360</v>
      </c>
      <c r="P3234" s="110">
        <f>P3199</f>
        <v>2.41</v>
      </c>
      <c r="Q3234" s="117" t="s">
        <v>884</v>
      </c>
      <c r="R3234" s="121">
        <f t="shared" si="309"/>
        <v>284.38</v>
      </c>
      <c r="W3234" s="4"/>
    </row>
    <row r="3235" spans="6:24" ht="24" customHeight="1">
      <c r="J3235" s="4"/>
      <c r="L3235">
        <f>K3269</f>
        <v>223.08</v>
      </c>
      <c r="M3235" s="110"/>
      <c r="N3235" s="111"/>
      <c r="O3235" s="110"/>
      <c r="P3235" s="110"/>
      <c r="Q3235" s="113"/>
      <c r="R3235" s="120" t="s">
        <v>1615</v>
      </c>
      <c r="W3235" s="4"/>
    </row>
    <row r="3236" spans="6:24" ht="24" customHeight="1">
      <c r="J3236" s="4"/>
      <c r="L3236">
        <f>K3270</f>
        <v>1.65</v>
      </c>
      <c r="M3236" s="110"/>
      <c r="N3236" s="111"/>
      <c r="O3236" s="119" t="s">
        <v>3342</v>
      </c>
      <c r="P3236" s="110"/>
      <c r="Q3236" s="113"/>
      <c r="R3236" s="121">
        <f>SUM(R3221:R3234)</f>
        <v>17279.82</v>
      </c>
      <c r="W3236" s="4"/>
    </row>
    <row r="3237" spans="6:24" ht="24" customHeight="1">
      <c r="H3237" t="s">
        <v>2619</v>
      </c>
      <c r="J3237" s="4"/>
      <c r="M3237" s="110"/>
      <c r="N3237" s="111"/>
      <c r="O3237" s="110"/>
      <c r="P3237" s="110"/>
      <c r="Q3237" s="113"/>
      <c r="R3237" s="120" t="s">
        <v>1615</v>
      </c>
      <c r="W3237" s="4"/>
    </row>
    <row r="3238" spans="6:24" ht="24" customHeight="1">
      <c r="H3238" t="s">
        <v>1066</v>
      </c>
      <c r="J3238" s="4"/>
      <c r="M3238" s="110"/>
      <c r="N3238" s="111"/>
      <c r="O3238" s="108" t="s">
        <v>562</v>
      </c>
      <c r="P3238" s="110"/>
      <c r="Q3238" s="115" t="s">
        <v>736</v>
      </c>
      <c r="R3238" s="109">
        <f>R3236/M3227</f>
        <v>5534.86</v>
      </c>
      <c r="W3238" s="4"/>
    </row>
    <row r="3239" spans="6:24" ht="24" customHeight="1">
      <c r="H3239" t="s">
        <v>1261</v>
      </c>
      <c r="J3239" s="4"/>
      <c r="L3239">
        <f>SUM(L3232:L3238)</f>
        <v>886.98</v>
      </c>
      <c r="M3239" s="117"/>
      <c r="N3239" s="118" t="s">
        <v>2290</v>
      </c>
      <c r="O3239" s="119" t="s">
        <v>2876</v>
      </c>
      <c r="P3239" s="110"/>
      <c r="Q3239" s="113"/>
      <c r="R3239" s="110"/>
      <c r="W3239" s="4"/>
    </row>
    <row r="3240" spans="6:24" ht="24" customHeight="1">
      <c r="J3240" s="4"/>
      <c r="M3240" s="110"/>
      <c r="N3240" s="111"/>
      <c r="O3240" s="119" t="s">
        <v>259</v>
      </c>
      <c r="P3240" s="110"/>
      <c r="Q3240" s="113"/>
      <c r="R3240" s="110"/>
      <c r="W3240" s="4"/>
    </row>
    <row r="3241" spans="6:24" ht="24" customHeight="1">
      <c r="F3241">
        <v>1.89</v>
      </c>
      <c r="G3241" s="3" t="s">
        <v>2618</v>
      </c>
      <c r="H3241" t="s">
        <v>1202</v>
      </c>
      <c r="I3241">
        <f>I3196</f>
        <v>227.6</v>
      </c>
      <c r="J3241" s="3" t="s">
        <v>2618</v>
      </c>
      <c r="K3241">
        <f>I3241*F3241</f>
        <v>430.16</v>
      </c>
      <c r="L3241">
        <f>L3239/10</f>
        <v>88.7</v>
      </c>
      <c r="M3241" s="110"/>
      <c r="N3241" s="111"/>
      <c r="O3241" s="382" t="s">
        <v>3349</v>
      </c>
      <c r="P3241" s="110"/>
      <c r="Q3241" s="113"/>
      <c r="R3241" s="110"/>
      <c r="W3241" s="4"/>
    </row>
    <row r="3242" spans="6:24" ht="24" customHeight="1">
      <c r="F3242">
        <v>1.1000000000000001</v>
      </c>
      <c r="G3242" s="3" t="s">
        <v>262</v>
      </c>
      <c r="H3242" t="s">
        <v>1201</v>
      </c>
      <c r="I3242">
        <f>I3197</f>
        <v>831.6</v>
      </c>
      <c r="J3242" s="3" t="s">
        <v>262</v>
      </c>
      <c r="K3242">
        <f>I3242*F3242</f>
        <v>914.76</v>
      </c>
      <c r="M3242" s="110"/>
      <c r="N3242" s="111"/>
      <c r="O3242" s="120" t="s">
        <v>1615</v>
      </c>
      <c r="P3242" s="110"/>
      <c r="Q3242" s="113"/>
      <c r="R3242" s="110"/>
      <c r="W3242" s="4"/>
    </row>
    <row r="3243" spans="6:24" ht="24" customHeight="1">
      <c r="F3243">
        <v>10</v>
      </c>
      <c r="G3243" s="3" t="s">
        <v>2322</v>
      </c>
      <c r="H3243" s="1" t="s">
        <v>3110</v>
      </c>
      <c r="I3243" s="105">
        <f>I3198</f>
        <v>9.52</v>
      </c>
      <c r="J3243" s="3" t="s">
        <v>2322</v>
      </c>
      <c r="K3243">
        <f>I3243*F3243</f>
        <v>95.2</v>
      </c>
      <c r="M3243" s="110"/>
      <c r="N3243" s="111"/>
      <c r="O3243" s="119" t="s">
        <v>3350</v>
      </c>
      <c r="P3243" s="114" t="s">
        <v>2091</v>
      </c>
      <c r="Q3243" s="383">
        <v>2.4279999999999999</v>
      </c>
      <c r="R3243" s="110" t="s">
        <v>2322</v>
      </c>
      <c r="W3243" s="4"/>
    </row>
    <row r="3244" spans="6:24" ht="30" customHeight="1">
      <c r="H3244" s="1" t="s">
        <v>3111</v>
      </c>
      <c r="I3244" t="s">
        <v>669</v>
      </c>
      <c r="J3244" s="4"/>
      <c r="K3244">
        <v>1.9</v>
      </c>
      <c r="M3244" s="110"/>
      <c r="N3244" s="111"/>
      <c r="O3244" s="119"/>
      <c r="P3244" s="114"/>
      <c r="Q3244" s="383"/>
      <c r="R3244" s="110"/>
      <c r="W3244" s="4"/>
    </row>
    <row r="3245" spans="6:24" ht="30" customHeight="1">
      <c r="H3245" t="s">
        <v>447</v>
      </c>
      <c r="J3245" s="4"/>
      <c r="K3245">
        <f>SUM(K3241:K3244)</f>
        <v>1442.02</v>
      </c>
      <c r="M3245" s="110"/>
      <c r="N3245" s="111"/>
      <c r="O3245" s="119" t="s">
        <v>2879</v>
      </c>
      <c r="P3245" s="114" t="s">
        <v>2091</v>
      </c>
      <c r="Q3245" s="384">
        <v>5.1999999999999998E-2</v>
      </c>
      <c r="R3245" s="110" t="s">
        <v>2190</v>
      </c>
      <c r="T3245" s="36" t="s">
        <v>691</v>
      </c>
      <c r="W3245" s="4"/>
    </row>
    <row r="3246" spans="6:24" ht="30" customHeight="1">
      <c r="J3246" s="4"/>
      <c r="M3246" s="110"/>
      <c r="N3246" s="111"/>
      <c r="O3246" s="119" t="s">
        <v>3332</v>
      </c>
      <c r="Q3246" s="385"/>
      <c r="R3246" s="110"/>
      <c r="T3246" s="36" t="s">
        <v>1922</v>
      </c>
      <c r="W3246" s="4"/>
    </row>
    <row r="3247" spans="6:24" ht="30" customHeight="1">
      <c r="H3247" t="s">
        <v>562</v>
      </c>
      <c r="J3247" s="4"/>
      <c r="K3247">
        <f>K3245/10</f>
        <v>144.19999999999999</v>
      </c>
      <c r="M3247" s="110"/>
      <c r="N3247" s="111"/>
      <c r="O3247" s="119" t="s">
        <v>3351</v>
      </c>
      <c r="P3247" s="114" t="s">
        <v>2091</v>
      </c>
      <c r="Q3247" s="387">
        <v>1.7718999999999999E-2</v>
      </c>
      <c r="R3247" s="110"/>
      <c r="S3247" s="415">
        <v>6.3E-2</v>
      </c>
      <c r="T3247" s="72" t="s">
        <v>885</v>
      </c>
      <c r="U3247" s="36" t="s">
        <v>3197</v>
      </c>
      <c r="V3247" s="36">
        <f>P3291</f>
        <v>111600</v>
      </c>
      <c r="W3247" s="39" t="s">
        <v>885</v>
      </c>
      <c r="X3247" s="36">
        <f>V3247*S3247</f>
        <v>7030.8</v>
      </c>
    </row>
    <row r="3248" spans="6:24" ht="30" customHeight="1">
      <c r="G3248"/>
      <c r="J3248"/>
      <c r="M3248" s="110"/>
      <c r="N3248" s="111"/>
      <c r="O3248" s="119" t="s">
        <v>3352</v>
      </c>
      <c r="P3248" s="114" t="s">
        <v>2091</v>
      </c>
      <c r="Q3248" s="387">
        <v>7.8750000000000001E-3</v>
      </c>
      <c r="R3248" s="130"/>
      <c r="S3248" s="415">
        <v>4.8000000000000001E-2</v>
      </c>
      <c r="T3248" s="72" t="s">
        <v>885</v>
      </c>
      <c r="U3248" s="36" t="s">
        <v>2500</v>
      </c>
      <c r="V3248" s="36">
        <f>I3280</f>
        <v>99400</v>
      </c>
      <c r="W3248" s="39" t="s">
        <v>885</v>
      </c>
      <c r="X3248" s="36">
        <f>V3248*S3248</f>
        <v>4771.2</v>
      </c>
    </row>
    <row r="3249" spans="6:24" ht="30" customHeight="1">
      <c r="G3249"/>
      <c r="H3249" s="1" t="s">
        <v>1958</v>
      </c>
      <c r="J3249"/>
      <c r="M3249" s="110"/>
      <c r="N3249" s="111"/>
      <c r="O3249" s="110"/>
      <c r="P3249" s="110"/>
      <c r="Q3249" s="120" t="s">
        <v>1615</v>
      </c>
      <c r="S3249" s="415">
        <v>1.54</v>
      </c>
      <c r="T3249" s="72" t="s">
        <v>621</v>
      </c>
      <c r="U3249" s="36" t="s">
        <v>1923</v>
      </c>
      <c r="V3249" s="36">
        <f t="shared" ref="V3249:V3258" si="310">I3281</f>
        <v>2152</v>
      </c>
      <c r="W3249" s="39" t="s">
        <v>2322</v>
      </c>
      <c r="X3249" s="36">
        <f t="shared" ref="X3249:X3258" si="311">V3249*S3249</f>
        <v>3314.08</v>
      </c>
    </row>
    <row r="3250" spans="6:24" ht="30" customHeight="1">
      <c r="G3250"/>
      <c r="H3250" s="1" t="s">
        <v>2620</v>
      </c>
      <c r="J3250"/>
      <c r="M3250" s="110"/>
      <c r="N3250" s="111"/>
      <c r="O3250" s="110"/>
      <c r="P3250" s="110"/>
      <c r="Q3250" s="388">
        <v>2.5590000000000002E-2</v>
      </c>
      <c r="R3250" t="s">
        <v>2190</v>
      </c>
      <c r="S3250" s="415">
        <v>3.9E-2</v>
      </c>
      <c r="T3250" s="72" t="s">
        <v>885</v>
      </c>
      <c r="U3250" s="408" t="s">
        <v>953</v>
      </c>
      <c r="V3250" s="36">
        <f t="shared" si="310"/>
        <v>95000</v>
      </c>
      <c r="W3250" s="39" t="s">
        <v>885</v>
      </c>
      <c r="X3250" s="36">
        <f t="shared" si="311"/>
        <v>3705</v>
      </c>
    </row>
    <row r="3251" spans="6:24" ht="30" customHeight="1">
      <c r="G3251"/>
      <c r="J3251"/>
      <c r="M3251" s="110"/>
      <c r="N3251" s="111"/>
      <c r="O3251" s="110"/>
      <c r="P3251" s="110"/>
      <c r="Q3251" s="120" t="s">
        <v>1615</v>
      </c>
      <c r="S3251" s="415">
        <v>3.488</v>
      </c>
      <c r="T3251" s="72" t="s">
        <v>621</v>
      </c>
      <c r="U3251" s="408" t="s">
        <v>899</v>
      </c>
      <c r="V3251" s="36">
        <f t="shared" si="310"/>
        <v>1602.7</v>
      </c>
      <c r="W3251" s="39" t="s">
        <v>621</v>
      </c>
      <c r="X3251" s="36">
        <f t="shared" si="311"/>
        <v>5590.22</v>
      </c>
    </row>
    <row r="3252" spans="6:24" ht="30" customHeight="1">
      <c r="F3252" s="8">
        <v>0.22</v>
      </c>
      <c r="G3252" s="7" t="s">
        <v>885</v>
      </c>
      <c r="H3252" s="1" t="s">
        <v>1656</v>
      </c>
      <c r="I3252" s="8">
        <f>K49</f>
        <v>3469.22</v>
      </c>
      <c r="J3252" s="2" t="s">
        <v>885</v>
      </c>
      <c r="K3252" s="8">
        <f>(F3252*I3252)</f>
        <v>763.23</v>
      </c>
      <c r="M3252" s="110"/>
      <c r="N3252" s="111"/>
      <c r="O3252" s="119" t="s">
        <v>3353</v>
      </c>
      <c r="P3252" s="110"/>
      <c r="Q3252" s="389">
        <v>1.0999999999999999E-2</v>
      </c>
      <c r="R3252" s="130"/>
      <c r="S3252" s="415">
        <v>6</v>
      </c>
      <c r="T3252" s="72" t="s">
        <v>1907</v>
      </c>
      <c r="U3252" s="36" t="s">
        <v>1924</v>
      </c>
      <c r="V3252" s="36">
        <f t="shared" si="310"/>
        <v>214.1</v>
      </c>
      <c r="W3252" s="39" t="s">
        <v>1423</v>
      </c>
      <c r="X3252" s="36">
        <f t="shared" si="311"/>
        <v>1284.5999999999999</v>
      </c>
    </row>
    <row r="3253" spans="6:24" ht="30" customHeight="1">
      <c r="F3253" s="8">
        <v>2.2000000000000002</v>
      </c>
      <c r="G3253" s="7" t="s">
        <v>785</v>
      </c>
      <c r="H3253" s="1" t="s">
        <v>2045</v>
      </c>
      <c r="I3253" s="8">
        <f>AE9</f>
        <v>1041.7</v>
      </c>
      <c r="J3253" s="2" t="s">
        <v>785</v>
      </c>
      <c r="K3253" s="8">
        <f>(F3253*I3253)</f>
        <v>2291.7399999999998</v>
      </c>
      <c r="M3253" s="110"/>
      <c r="N3253" s="111"/>
      <c r="O3253" s="119" t="s">
        <v>3354</v>
      </c>
      <c r="P3253" s="110"/>
      <c r="Q3253" s="390">
        <v>5.3E-3</v>
      </c>
      <c r="R3253" s="130"/>
      <c r="S3253" s="415">
        <v>1</v>
      </c>
      <c r="T3253" s="72" t="s">
        <v>1907</v>
      </c>
      <c r="U3253" s="36" t="s">
        <v>1925</v>
      </c>
      <c r="V3253" s="36">
        <f t="shared" si="310"/>
        <v>1020</v>
      </c>
      <c r="W3253" s="39" t="s">
        <v>1423</v>
      </c>
      <c r="X3253" s="36">
        <f t="shared" si="311"/>
        <v>1020</v>
      </c>
    </row>
    <row r="3254" spans="6:24" ht="30" customHeight="1">
      <c r="F3254" s="8">
        <v>0.5</v>
      </c>
      <c r="G3254" s="7" t="s">
        <v>785</v>
      </c>
      <c r="H3254" s="1" t="s">
        <v>950</v>
      </c>
      <c r="I3254" s="8">
        <f>I3183</f>
        <v>679.8</v>
      </c>
      <c r="J3254" s="2" t="s">
        <v>785</v>
      </c>
      <c r="K3254" s="8">
        <f>(F3254*I3254)</f>
        <v>339.9</v>
      </c>
      <c r="M3254" s="110"/>
      <c r="N3254" s="111"/>
      <c r="O3254" s="119"/>
      <c r="P3254" s="110"/>
      <c r="Q3254" s="120" t="s">
        <v>1615</v>
      </c>
      <c r="R3254" s="130"/>
      <c r="S3254" s="415">
        <v>2</v>
      </c>
      <c r="T3254" s="72" t="s">
        <v>1907</v>
      </c>
      <c r="U3254" s="36" t="s">
        <v>1926</v>
      </c>
      <c r="V3254" s="36">
        <f t="shared" si="310"/>
        <v>540</v>
      </c>
      <c r="W3254" s="39" t="s">
        <v>1423</v>
      </c>
      <c r="X3254" s="36">
        <f t="shared" si="311"/>
        <v>1080</v>
      </c>
    </row>
    <row r="3255" spans="6:24" ht="30" customHeight="1">
      <c r="F3255" s="8">
        <v>3.2</v>
      </c>
      <c r="G3255" s="7" t="s">
        <v>785</v>
      </c>
      <c r="H3255" s="1" t="s">
        <v>325</v>
      </c>
      <c r="I3255" s="8">
        <f>I3184</f>
        <v>557.70000000000005</v>
      </c>
      <c r="J3255" s="2" t="s">
        <v>785</v>
      </c>
      <c r="K3255" s="8">
        <f>(F3255*I3255)</f>
        <v>1784.64</v>
      </c>
      <c r="M3255" s="110"/>
      <c r="N3255" s="111"/>
      <c r="O3255" s="119"/>
      <c r="P3255" s="110"/>
      <c r="Q3255" s="391">
        <v>1.6299999999999999E-2</v>
      </c>
      <c r="R3255" s="130" t="s">
        <v>2190</v>
      </c>
      <c r="S3255" s="415">
        <v>2</v>
      </c>
      <c r="T3255" s="72" t="s">
        <v>1907</v>
      </c>
      <c r="U3255" s="36" t="s">
        <v>1927</v>
      </c>
      <c r="V3255" s="36">
        <f t="shared" si="310"/>
        <v>764</v>
      </c>
      <c r="W3255" s="39" t="s">
        <v>1423</v>
      </c>
      <c r="X3255" s="36">
        <f t="shared" si="311"/>
        <v>1528</v>
      </c>
    </row>
    <row r="3256" spans="6:24" ht="30" customHeight="1">
      <c r="F3256" s="8">
        <v>10</v>
      </c>
      <c r="G3256" s="7" t="s">
        <v>236</v>
      </c>
      <c r="H3256" s="556" t="s">
        <v>5167</v>
      </c>
      <c r="I3256" s="437">
        <f>AE56</f>
        <v>10.67</v>
      </c>
      <c r="J3256" s="2" t="s">
        <v>236</v>
      </c>
      <c r="K3256" s="8">
        <f>(F3256*I3256)</f>
        <v>106.7</v>
      </c>
      <c r="M3256" s="110"/>
      <c r="N3256" s="111"/>
      <c r="O3256" s="110"/>
      <c r="P3256" s="110"/>
      <c r="Q3256" s="120" t="s">
        <v>1615</v>
      </c>
      <c r="R3256" s="120"/>
      <c r="S3256" s="415">
        <v>1</v>
      </c>
      <c r="T3256" s="72" t="s">
        <v>1907</v>
      </c>
      <c r="U3256" s="36" t="s">
        <v>1928</v>
      </c>
      <c r="V3256" s="36">
        <f t="shared" si="310"/>
        <v>985</v>
      </c>
      <c r="W3256" s="39" t="s">
        <v>1423</v>
      </c>
      <c r="X3256" s="36">
        <f t="shared" si="311"/>
        <v>985</v>
      </c>
    </row>
    <row r="3257" spans="6:24" ht="39.75" customHeight="1">
      <c r="J3257" s="4"/>
      <c r="K3257" s="5" t="s">
        <v>1615</v>
      </c>
      <c r="M3257" s="130">
        <v>5.1999999999999998E-2</v>
      </c>
      <c r="N3257" s="118" t="s">
        <v>885</v>
      </c>
      <c r="O3257" s="119" t="s">
        <v>313</v>
      </c>
      <c r="P3257" s="121">
        <f>P3188</f>
        <v>111600</v>
      </c>
      <c r="Q3257" s="117" t="s">
        <v>885</v>
      </c>
      <c r="R3257" s="121">
        <f>P3257*M3257</f>
        <v>5803.2</v>
      </c>
      <c r="S3257" s="415">
        <v>2</v>
      </c>
      <c r="T3257" s="72" t="s">
        <v>1907</v>
      </c>
      <c r="U3257" s="36" t="s">
        <v>1929</v>
      </c>
      <c r="V3257" s="36">
        <f t="shared" si="310"/>
        <v>450</v>
      </c>
      <c r="W3257" s="39" t="s">
        <v>1423</v>
      </c>
      <c r="X3257" s="36">
        <f t="shared" si="311"/>
        <v>900</v>
      </c>
    </row>
    <row r="3258" spans="6:24" ht="30" customHeight="1">
      <c r="H3258" s="1" t="s">
        <v>447</v>
      </c>
      <c r="J3258" s="4"/>
      <c r="K3258" s="8">
        <f>SUM(K3252:K3257)</f>
        <v>5286.21</v>
      </c>
      <c r="M3258" s="130">
        <v>2.5590000000000002E-2</v>
      </c>
      <c r="N3258" s="118" t="s">
        <v>885</v>
      </c>
      <c r="O3258" s="119" t="s">
        <v>314</v>
      </c>
      <c r="P3258" s="121">
        <f>P3189</f>
        <v>99400</v>
      </c>
      <c r="Q3258" s="117" t="s">
        <v>885</v>
      </c>
      <c r="R3258" s="121">
        <f t="shared" ref="R3258:R3268" si="312">P3258*M3258</f>
        <v>2543.65</v>
      </c>
      <c r="S3258" s="415">
        <v>0</v>
      </c>
      <c r="T3258" s="72" t="s">
        <v>1457</v>
      </c>
      <c r="U3258" s="36" t="s">
        <v>690</v>
      </c>
      <c r="V3258" s="36">
        <f t="shared" si="310"/>
        <v>2.41</v>
      </c>
      <c r="W3258" s="39" t="s">
        <v>1423</v>
      </c>
      <c r="X3258" s="407">
        <f t="shared" si="311"/>
        <v>0</v>
      </c>
    </row>
    <row r="3259" spans="6:24" ht="30" customHeight="1">
      <c r="J3259" s="4"/>
      <c r="K3259" s="5" t="s">
        <v>1615</v>
      </c>
      <c r="M3259" s="130">
        <v>1.6299999999999999E-2</v>
      </c>
      <c r="N3259" s="118" t="s">
        <v>885</v>
      </c>
      <c r="O3259" s="515" t="s">
        <v>3355</v>
      </c>
      <c r="P3259" s="121">
        <f>AC28</f>
        <v>95000</v>
      </c>
      <c r="Q3259" s="117" t="s">
        <v>885</v>
      </c>
      <c r="R3259" s="121">
        <f t="shared" si="312"/>
        <v>1548.5</v>
      </c>
      <c r="S3259" s="415"/>
      <c r="T3259" s="72"/>
      <c r="U3259" s="36" t="s">
        <v>1930</v>
      </c>
      <c r="V3259" s="36"/>
      <c r="W3259" s="39"/>
      <c r="X3259" s="36">
        <f>SUM(X3247:X3258)</f>
        <v>31208.9</v>
      </c>
    </row>
    <row r="3260" spans="6:24" ht="30" customHeight="1">
      <c r="H3260" s="1" t="s">
        <v>562</v>
      </c>
      <c r="J3260" s="4"/>
      <c r="K3260" s="8">
        <f>(K3258/10)</f>
        <v>528.62</v>
      </c>
      <c r="M3260" s="132"/>
      <c r="N3260" s="111"/>
      <c r="O3260" s="119" t="s">
        <v>961</v>
      </c>
      <c r="P3260" s="121"/>
      <c r="Q3260" s="113"/>
      <c r="R3260" s="121">
        <f t="shared" si="312"/>
        <v>0</v>
      </c>
      <c r="S3260" s="415"/>
      <c r="T3260" s="72"/>
      <c r="U3260" s="36"/>
      <c r="V3260" s="36"/>
      <c r="W3260" s="39"/>
      <c r="X3260" s="407" t="s">
        <v>148</v>
      </c>
    </row>
    <row r="3261" spans="6:24" ht="30" customHeight="1">
      <c r="J3261" s="4"/>
      <c r="K3261" s="5" t="s">
        <v>2091</v>
      </c>
      <c r="M3261" s="132">
        <v>2.4279999999999999</v>
      </c>
      <c r="N3261" s="118" t="s">
        <v>621</v>
      </c>
      <c r="O3261" s="119" t="s">
        <v>453</v>
      </c>
      <c r="P3261" s="121">
        <f t="shared" ref="P3261:P3267" si="313">P3192</f>
        <v>1602.7</v>
      </c>
      <c r="Q3261" s="117" t="s">
        <v>621</v>
      </c>
      <c r="R3261" s="121">
        <f t="shared" si="312"/>
        <v>3891.36</v>
      </c>
      <c r="S3261" s="415"/>
      <c r="T3261" s="72"/>
      <c r="U3261" s="36" t="s">
        <v>1931</v>
      </c>
      <c r="V3261" s="36"/>
      <c r="W3261" s="39"/>
      <c r="X3261" s="36">
        <f>X3259/S3251</f>
        <v>8947.51</v>
      </c>
    </row>
    <row r="3262" spans="6:24" ht="24" customHeight="1">
      <c r="G3262"/>
      <c r="J3262"/>
      <c r="K3262">
        <f>54000+7000</f>
        <v>61000</v>
      </c>
      <c r="M3262" s="121">
        <v>4</v>
      </c>
      <c r="N3262" s="118" t="s">
        <v>785</v>
      </c>
      <c r="O3262" s="119" t="s">
        <v>3337</v>
      </c>
      <c r="P3262" s="121">
        <f>P3228</f>
        <v>57.65</v>
      </c>
      <c r="Q3262" s="117" t="s">
        <v>884</v>
      </c>
      <c r="R3262" s="121">
        <f t="shared" si="312"/>
        <v>230.6</v>
      </c>
      <c r="S3262" s="415"/>
      <c r="T3262" s="72"/>
      <c r="U3262" s="36"/>
      <c r="V3262" s="36"/>
      <c r="W3262" s="39"/>
      <c r="X3262" s="407" t="s">
        <v>148</v>
      </c>
    </row>
    <row r="3263" spans="6:24" ht="24" customHeight="1">
      <c r="G3263"/>
      <c r="J3263"/>
      <c r="M3263" s="121">
        <v>8</v>
      </c>
      <c r="N3263" s="118" t="s">
        <v>884</v>
      </c>
      <c r="O3263" s="119" t="s">
        <v>1490</v>
      </c>
      <c r="P3263" s="121">
        <f>P3229</f>
        <v>89.6</v>
      </c>
      <c r="Q3263" s="117" t="s">
        <v>884</v>
      </c>
      <c r="R3263" s="121">
        <f t="shared" si="312"/>
        <v>716.8</v>
      </c>
      <c r="W3263" s="4"/>
    </row>
    <row r="3264" spans="6:24" ht="24" customHeight="1">
      <c r="F3264" s="2" t="s">
        <v>32</v>
      </c>
      <c r="G3264" s="7" t="s">
        <v>2290</v>
      </c>
      <c r="H3264" s="2" t="s">
        <v>3466</v>
      </c>
      <c r="J3264" s="4"/>
      <c r="M3264" s="121">
        <v>4</v>
      </c>
      <c r="N3264" s="118" t="s">
        <v>884</v>
      </c>
      <c r="O3264" s="119" t="s">
        <v>3338</v>
      </c>
      <c r="P3264" s="121">
        <f t="shared" si="313"/>
        <v>97.85</v>
      </c>
      <c r="Q3264" s="117" t="s">
        <v>884</v>
      </c>
      <c r="R3264" s="121">
        <f t="shared" si="312"/>
        <v>391.4</v>
      </c>
      <c r="W3264" s="4"/>
    </row>
    <row r="3265" spans="6:23" ht="24" customHeight="1">
      <c r="H3265" s="2" t="s">
        <v>34</v>
      </c>
      <c r="J3265" s="4"/>
      <c r="M3265" s="121">
        <v>1</v>
      </c>
      <c r="N3265" s="118" t="s">
        <v>884</v>
      </c>
      <c r="O3265" s="119" t="s">
        <v>3339</v>
      </c>
      <c r="P3265" s="121">
        <f t="shared" si="313"/>
        <v>209.9</v>
      </c>
      <c r="Q3265" s="117" t="s">
        <v>884</v>
      </c>
      <c r="R3265" s="121">
        <f t="shared" si="312"/>
        <v>209.9</v>
      </c>
      <c r="W3265" s="4"/>
    </row>
    <row r="3266" spans="6:23" ht="24" customHeight="1">
      <c r="F3266" s="8">
        <v>1.8</v>
      </c>
      <c r="G3266" s="7" t="s">
        <v>1394</v>
      </c>
      <c r="H3266" s="1" t="s">
        <v>33</v>
      </c>
      <c r="I3266" s="8">
        <f>E271</f>
        <v>158</v>
      </c>
      <c r="J3266" s="2" t="s">
        <v>1394</v>
      </c>
      <c r="K3266" s="8">
        <f>(F3266*I3266)</f>
        <v>284.39999999999998</v>
      </c>
      <c r="M3266" s="121">
        <v>2</v>
      </c>
      <c r="N3266" s="118" t="s">
        <v>884</v>
      </c>
      <c r="O3266" s="119" t="s">
        <v>3340</v>
      </c>
      <c r="P3266" s="121">
        <f t="shared" si="313"/>
        <v>23.1</v>
      </c>
      <c r="Q3266" s="117" t="s">
        <v>884</v>
      </c>
      <c r="R3266" s="121">
        <f t="shared" si="312"/>
        <v>46.2</v>
      </c>
      <c r="W3266" s="4"/>
    </row>
    <row r="3267" spans="6:23" ht="24" customHeight="1">
      <c r="F3267" s="8">
        <v>0.25</v>
      </c>
      <c r="G3267" s="7" t="s">
        <v>570</v>
      </c>
      <c r="H3267" s="1" t="s">
        <v>1395</v>
      </c>
      <c r="I3267" s="8">
        <f>I3242</f>
        <v>831.6</v>
      </c>
      <c r="J3267" s="2" t="s">
        <v>570</v>
      </c>
      <c r="K3267" s="8">
        <f>(F3267*I3267)</f>
        <v>207.9</v>
      </c>
      <c r="M3267" s="121">
        <v>2</v>
      </c>
      <c r="N3267" s="118" t="s">
        <v>884</v>
      </c>
      <c r="O3267" s="119" t="s">
        <v>3341</v>
      </c>
      <c r="P3267" s="121">
        <f t="shared" si="313"/>
        <v>49.55</v>
      </c>
      <c r="Q3267" s="117" t="s">
        <v>884</v>
      </c>
      <c r="R3267" s="121">
        <f t="shared" si="312"/>
        <v>99.1</v>
      </c>
      <c r="W3267" s="4"/>
    </row>
    <row r="3268" spans="6:23" ht="24" customHeight="1">
      <c r="F3268" s="8">
        <v>0.25</v>
      </c>
      <c r="G3268" s="7" t="s">
        <v>570</v>
      </c>
      <c r="H3268" s="1" t="s">
        <v>839</v>
      </c>
      <c r="I3268" s="8">
        <f>I3183</f>
        <v>679.8</v>
      </c>
      <c r="J3268" s="2" t="s">
        <v>570</v>
      </c>
      <c r="K3268" s="8">
        <f>(F3268*I3268)</f>
        <v>169.95</v>
      </c>
      <c r="M3268" s="110">
        <v>118</v>
      </c>
      <c r="N3268" s="118" t="s">
        <v>884</v>
      </c>
      <c r="O3268" s="110" t="s">
        <v>1360</v>
      </c>
      <c r="P3268" s="110">
        <f>P3234</f>
        <v>2.41</v>
      </c>
      <c r="Q3268" s="113"/>
      <c r="R3268" s="121">
        <f t="shared" si="312"/>
        <v>284.38</v>
      </c>
      <c r="W3268" s="4"/>
    </row>
    <row r="3269" spans="6:23" ht="24" customHeight="1">
      <c r="F3269" s="8">
        <v>0.4</v>
      </c>
      <c r="G3269" s="7" t="s">
        <v>570</v>
      </c>
      <c r="H3269" s="1" t="s">
        <v>1396</v>
      </c>
      <c r="I3269" s="8">
        <f>I3184</f>
        <v>557.70000000000005</v>
      </c>
      <c r="J3269" s="2" t="s">
        <v>570</v>
      </c>
      <c r="K3269" s="8">
        <f>(F3269*I3269)</f>
        <v>223.08</v>
      </c>
      <c r="M3269" s="110"/>
      <c r="N3269" s="111"/>
      <c r="O3269" s="110"/>
      <c r="P3269" s="110"/>
      <c r="Q3269" s="113"/>
      <c r="R3269" s="120" t="s">
        <v>1615</v>
      </c>
      <c r="W3269" s="4"/>
    </row>
    <row r="3270" spans="6:23" ht="24" customHeight="1">
      <c r="G3270" s="7" t="s">
        <v>455</v>
      </c>
      <c r="H3270" s="1" t="s">
        <v>1870</v>
      </c>
      <c r="J3270" s="2" t="s">
        <v>455</v>
      </c>
      <c r="K3270" s="8">
        <v>1.65</v>
      </c>
      <c r="M3270" s="110"/>
      <c r="N3270" s="111"/>
      <c r="O3270" s="119" t="s">
        <v>3356</v>
      </c>
      <c r="P3270" s="110"/>
      <c r="Q3270" s="113"/>
      <c r="R3270" s="121">
        <f>SUM(R3257:R3268)</f>
        <v>15765.09</v>
      </c>
      <c r="W3270" s="4"/>
    </row>
    <row r="3271" spans="6:23" ht="24" customHeight="1">
      <c r="F3271">
        <v>10</v>
      </c>
      <c r="H3271" s="1" t="s">
        <v>3467</v>
      </c>
      <c r="I3271">
        <f>I3172</f>
        <v>4.4000000000000004</v>
      </c>
      <c r="J3271" s="4" t="s">
        <v>236</v>
      </c>
      <c r="K3271" s="8">
        <f>I3271*F3271</f>
        <v>44</v>
      </c>
      <c r="M3271" s="110"/>
      <c r="N3271" s="111"/>
      <c r="O3271" s="110"/>
      <c r="P3271" s="110"/>
      <c r="Q3271" s="113"/>
      <c r="R3271" s="120" t="s">
        <v>1615</v>
      </c>
      <c r="W3271" s="4"/>
    </row>
    <row r="3272" spans="6:23" ht="24" customHeight="1">
      <c r="J3272" s="4"/>
      <c r="K3272" s="5" t="s">
        <v>1615</v>
      </c>
      <c r="M3272" s="110"/>
      <c r="N3272" s="111"/>
      <c r="O3272" s="108" t="s">
        <v>562</v>
      </c>
      <c r="P3272" s="110"/>
      <c r="Q3272" s="115" t="s">
        <v>736</v>
      </c>
      <c r="R3272" s="109">
        <f>R3270/M3261</f>
        <v>6493.04</v>
      </c>
      <c r="W3272" s="4"/>
    </row>
    <row r="3273" spans="6:23" ht="24" customHeight="1">
      <c r="H3273" s="2" t="s">
        <v>1397</v>
      </c>
      <c r="J3273" s="4"/>
      <c r="K3273" s="8">
        <f>SUM(K3266:K3272)</f>
        <v>930.98</v>
      </c>
      <c r="M3273" s="117"/>
      <c r="N3273" s="118" t="s">
        <v>2290</v>
      </c>
      <c r="O3273" s="119" t="s">
        <v>3359</v>
      </c>
      <c r="P3273" s="110"/>
      <c r="Q3273" s="113"/>
      <c r="R3273" s="110"/>
      <c r="W3273" s="4"/>
    </row>
    <row r="3274" spans="6:23" ht="24" customHeight="1">
      <c r="J3274" s="4"/>
      <c r="K3274" s="5" t="s">
        <v>1615</v>
      </c>
      <c r="M3274" s="110"/>
      <c r="N3274" s="111"/>
      <c r="O3274" s="119" t="s">
        <v>259</v>
      </c>
      <c r="P3274" s="110"/>
      <c r="Q3274" s="113"/>
      <c r="R3274" s="110"/>
      <c r="W3274" s="4"/>
    </row>
    <row r="3275" spans="6:23" ht="24" customHeight="1">
      <c r="F3275" s="1" t="s">
        <v>992</v>
      </c>
      <c r="G3275" s="7" t="s">
        <v>992</v>
      </c>
      <c r="H3275" s="2" t="s">
        <v>1727</v>
      </c>
      <c r="I3275" s="1" t="s">
        <v>992</v>
      </c>
      <c r="J3275" s="2" t="s">
        <v>992</v>
      </c>
      <c r="K3275" s="8">
        <f>K3273/10</f>
        <v>93.1</v>
      </c>
      <c r="M3275" s="110"/>
      <c r="N3275" s="111"/>
      <c r="O3275" s="382" t="s">
        <v>3349</v>
      </c>
      <c r="P3275" s="110"/>
      <c r="Q3275" s="113"/>
      <c r="R3275" s="110"/>
      <c r="W3275" s="4"/>
    </row>
    <row r="3276" spans="6:23" ht="24" customHeight="1">
      <c r="J3276" s="4"/>
      <c r="K3276" s="5" t="s">
        <v>2091</v>
      </c>
      <c r="M3276" s="110"/>
      <c r="N3276" s="111"/>
      <c r="O3276" s="120" t="s">
        <v>1615</v>
      </c>
      <c r="P3276" s="110"/>
      <c r="Q3276" s="113"/>
      <c r="R3276" s="110"/>
      <c r="W3276" s="4"/>
    </row>
    <row r="3277" spans="6:23" ht="24" customHeight="1">
      <c r="G3277" s="36" t="s">
        <v>1921</v>
      </c>
      <c r="J3277"/>
      <c r="M3277" s="110"/>
      <c r="N3277" s="111"/>
      <c r="O3277" s="119" t="s">
        <v>3350</v>
      </c>
      <c r="P3277" s="114" t="s">
        <v>2091</v>
      </c>
      <c r="Q3277" s="383">
        <v>2.4279999999999999</v>
      </c>
      <c r="R3277" s="110" t="s">
        <v>2322</v>
      </c>
      <c r="W3277" s="4"/>
    </row>
    <row r="3278" spans="6:23" ht="24" customHeight="1">
      <c r="G3278" s="36" t="s">
        <v>1922</v>
      </c>
      <c r="J3278"/>
      <c r="M3278" s="110"/>
      <c r="N3278" s="111"/>
      <c r="O3278" s="119"/>
      <c r="P3278" s="114"/>
      <c r="Q3278" s="383"/>
      <c r="R3278" s="110"/>
      <c r="W3278" s="4"/>
    </row>
    <row r="3279" spans="6:23" ht="24" customHeight="1">
      <c r="G3279"/>
      <c r="J3279"/>
      <c r="M3279" s="110"/>
      <c r="N3279" s="111"/>
      <c r="O3279" s="119" t="s">
        <v>2879</v>
      </c>
      <c r="P3279" s="114" t="s">
        <v>2091</v>
      </c>
      <c r="Q3279" s="384">
        <v>5.1999999999999998E-2</v>
      </c>
      <c r="R3279" s="110" t="s">
        <v>2190</v>
      </c>
      <c r="W3279" s="4"/>
    </row>
    <row r="3280" spans="6:23" ht="24" customHeight="1">
      <c r="F3280" s="405">
        <v>0.10299999999999999</v>
      </c>
      <c r="G3280" s="72" t="s">
        <v>885</v>
      </c>
      <c r="H3280" s="36" t="s">
        <v>2500</v>
      </c>
      <c r="I3280" s="36">
        <f>I1102</f>
        <v>99400</v>
      </c>
      <c r="J3280" s="98" t="s">
        <v>885</v>
      </c>
      <c r="K3280" s="36">
        <f>I3280*F3280</f>
        <v>10238.200000000001</v>
      </c>
      <c r="M3280" s="110"/>
      <c r="N3280" s="111"/>
      <c r="O3280" s="119" t="s">
        <v>3332</v>
      </c>
      <c r="Q3280" s="385"/>
      <c r="R3280" s="110"/>
      <c r="W3280" s="4"/>
    </row>
    <row r="3281" spans="6:23" ht="24" customHeight="1">
      <c r="F3281" s="405">
        <v>1.32</v>
      </c>
      <c r="G3281" s="72" t="s">
        <v>621</v>
      </c>
      <c r="H3281" s="36" t="s">
        <v>1923</v>
      </c>
      <c r="I3281" s="500">
        <v>2152</v>
      </c>
      <c r="J3281" s="98" t="s">
        <v>2322</v>
      </c>
      <c r="K3281" s="36">
        <f t="shared" ref="K3281:K3290" si="314">I3281*F3281</f>
        <v>2840.64</v>
      </c>
      <c r="M3281" s="110"/>
      <c r="N3281" s="111"/>
      <c r="O3281" s="119" t="s">
        <v>3351</v>
      </c>
      <c r="P3281" s="114" t="s">
        <v>2091</v>
      </c>
      <c r="Q3281" s="387">
        <v>1.7718999999999999E-2</v>
      </c>
      <c r="R3281" s="110"/>
      <c r="W3281" s="4"/>
    </row>
    <row r="3282" spans="6:23" ht="24" customHeight="1">
      <c r="F3282" s="406">
        <v>3.3000000000000002E-2</v>
      </c>
      <c r="G3282" s="72" t="s">
        <v>885</v>
      </c>
      <c r="H3282" s="408" t="s">
        <v>953</v>
      </c>
      <c r="I3282" s="36">
        <f>AC28</f>
        <v>95000</v>
      </c>
      <c r="J3282" s="98" t="s">
        <v>885</v>
      </c>
      <c r="K3282" s="36">
        <f t="shared" si="314"/>
        <v>3135</v>
      </c>
      <c r="M3282" s="110"/>
      <c r="N3282" s="111"/>
      <c r="O3282" s="119" t="s">
        <v>3352</v>
      </c>
      <c r="P3282" s="114" t="s">
        <v>2091</v>
      </c>
      <c r="Q3282" s="387">
        <v>7.8750000000000001E-3</v>
      </c>
      <c r="R3282" s="130"/>
      <c r="W3282" s="4"/>
    </row>
    <row r="3283" spans="6:23" ht="24" customHeight="1">
      <c r="F3283" s="406">
        <v>3.0225</v>
      </c>
      <c r="G3283" s="72" t="s">
        <v>621</v>
      </c>
      <c r="H3283" s="408" t="s">
        <v>899</v>
      </c>
      <c r="I3283" s="36">
        <f>AE30</f>
        <v>1602.7</v>
      </c>
      <c r="J3283" s="98" t="s">
        <v>621</v>
      </c>
      <c r="K3283" s="36">
        <f t="shared" si="314"/>
        <v>4844.16</v>
      </c>
      <c r="M3283" s="110"/>
      <c r="N3283" s="111"/>
      <c r="O3283" s="110"/>
      <c r="P3283" s="110"/>
      <c r="Q3283" s="120" t="s">
        <v>1615</v>
      </c>
      <c r="W3283" s="4"/>
    </row>
    <row r="3284" spans="6:23" ht="24" customHeight="1">
      <c r="F3284" s="36">
        <v>6</v>
      </c>
      <c r="G3284" s="72" t="s">
        <v>1907</v>
      </c>
      <c r="H3284" s="36" t="s">
        <v>5719</v>
      </c>
      <c r="I3284" s="1022">
        <v>214.1</v>
      </c>
      <c r="J3284" s="98" t="s">
        <v>1423</v>
      </c>
      <c r="K3284" s="36">
        <f t="shared" si="314"/>
        <v>1284.5999999999999</v>
      </c>
      <c r="M3284" s="110"/>
      <c r="N3284" s="111"/>
      <c r="O3284" s="110"/>
      <c r="P3284" s="110"/>
      <c r="Q3284" s="388">
        <v>2.5590000000000002E-2</v>
      </c>
      <c r="R3284" t="s">
        <v>2190</v>
      </c>
      <c r="W3284" s="4"/>
    </row>
    <row r="3285" spans="6:23" ht="24" customHeight="1">
      <c r="F3285" s="36">
        <v>1</v>
      </c>
      <c r="G3285" s="72" t="s">
        <v>1907</v>
      </c>
      <c r="H3285" s="36" t="s">
        <v>5720</v>
      </c>
      <c r="I3285" s="443">
        <v>1020</v>
      </c>
      <c r="J3285" s="98" t="s">
        <v>1423</v>
      </c>
      <c r="K3285" s="36">
        <f t="shared" si="314"/>
        <v>1020</v>
      </c>
      <c r="M3285" s="110"/>
      <c r="N3285" s="111"/>
      <c r="O3285" s="110"/>
      <c r="P3285" s="110"/>
      <c r="Q3285" s="120" t="s">
        <v>1615</v>
      </c>
      <c r="W3285" s="4"/>
    </row>
    <row r="3286" spans="6:23" ht="24" customHeight="1">
      <c r="F3286" s="36">
        <v>2</v>
      </c>
      <c r="G3286" s="72" t="s">
        <v>1907</v>
      </c>
      <c r="H3286" s="36" t="s">
        <v>1926</v>
      </c>
      <c r="I3286" s="443">
        <v>540</v>
      </c>
      <c r="J3286" s="98" t="s">
        <v>1423</v>
      </c>
      <c r="K3286" s="36">
        <f t="shared" si="314"/>
        <v>1080</v>
      </c>
      <c r="M3286" s="110"/>
      <c r="N3286" s="111"/>
      <c r="O3286" s="119" t="s">
        <v>3357</v>
      </c>
      <c r="P3286" s="110"/>
      <c r="Q3286" s="389">
        <v>0.58750000000000002</v>
      </c>
      <c r="R3286" s="130"/>
      <c r="W3286" s="4"/>
    </row>
    <row r="3287" spans="6:23" ht="24" customHeight="1">
      <c r="F3287" s="36">
        <v>2</v>
      </c>
      <c r="G3287" s="72" t="s">
        <v>1907</v>
      </c>
      <c r="H3287" s="36" t="s">
        <v>1927</v>
      </c>
      <c r="I3287" s="443">
        <v>764</v>
      </c>
      <c r="J3287" s="98" t="s">
        <v>1423</v>
      </c>
      <c r="K3287" s="36">
        <f t="shared" si="314"/>
        <v>1528</v>
      </c>
      <c r="M3287" s="110"/>
      <c r="N3287" s="111"/>
      <c r="O3287" s="119" t="s">
        <v>3358</v>
      </c>
      <c r="P3287" s="110"/>
      <c r="Q3287" s="390">
        <v>0.28129999999999999</v>
      </c>
      <c r="R3287" s="130"/>
      <c r="W3287" s="4"/>
    </row>
    <row r="3288" spans="6:23" ht="24" customHeight="1">
      <c r="F3288" s="36">
        <v>1</v>
      </c>
      <c r="G3288" s="72" t="s">
        <v>1907</v>
      </c>
      <c r="H3288" s="36" t="s">
        <v>1928</v>
      </c>
      <c r="I3288" s="691">
        <v>985</v>
      </c>
      <c r="J3288" s="98" t="s">
        <v>1423</v>
      </c>
      <c r="K3288" s="36">
        <f t="shared" si="314"/>
        <v>985</v>
      </c>
      <c r="M3288" s="110"/>
      <c r="N3288" s="111"/>
      <c r="O3288" s="119"/>
      <c r="P3288" s="110"/>
      <c r="Q3288" s="120" t="s">
        <v>1615</v>
      </c>
      <c r="R3288" s="130"/>
      <c r="W3288" s="4"/>
    </row>
    <row r="3289" spans="6:23" ht="24" customHeight="1">
      <c r="F3289" s="36">
        <v>2</v>
      </c>
      <c r="G3289" s="72" t="s">
        <v>1907</v>
      </c>
      <c r="H3289" s="36" t="s">
        <v>1929</v>
      </c>
      <c r="I3289" s="691">
        <v>450</v>
      </c>
      <c r="J3289" s="98" t="s">
        <v>1423</v>
      </c>
      <c r="K3289" s="36">
        <f t="shared" si="314"/>
        <v>900</v>
      </c>
      <c r="M3289" s="110"/>
      <c r="N3289" s="111"/>
      <c r="O3289" s="119"/>
      <c r="P3289" s="110"/>
      <c r="Q3289" s="390">
        <v>0.86880000000000002</v>
      </c>
      <c r="R3289" s="116" t="s">
        <v>2322</v>
      </c>
      <c r="W3289" s="4"/>
    </row>
    <row r="3290" spans="6:23" ht="24" customHeight="1">
      <c r="F3290" s="36">
        <v>0</v>
      </c>
      <c r="G3290" s="72" t="s">
        <v>1457</v>
      </c>
      <c r="H3290" s="36" t="s">
        <v>690</v>
      </c>
      <c r="I3290" s="36">
        <f>I961</f>
        <v>2.41</v>
      </c>
      <c r="J3290" s="98" t="s">
        <v>1423</v>
      </c>
      <c r="K3290" s="407">
        <f t="shared" si="314"/>
        <v>0</v>
      </c>
      <c r="M3290" s="110"/>
      <c r="N3290" s="111"/>
      <c r="O3290" s="110"/>
      <c r="P3290" s="110"/>
      <c r="Q3290" s="120" t="s">
        <v>1615</v>
      </c>
      <c r="R3290" s="120"/>
      <c r="W3290" s="4"/>
    </row>
    <row r="3291" spans="6:23" ht="24" customHeight="1">
      <c r="F3291" s="36"/>
      <c r="G3291" s="72"/>
      <c r="H3291" s="36" t="s">
        <v>1930</v>
      </c>
      <c r="I3291" s="36"/>
      <c r="J3291" s="98"/>
      <c r="K3291" s="36">
        <f>SUM(K3280:K3290)</f>
        <v>27855.599999999999</v>
      </c>
      <c r="M3291" s="130">
        <v>5.1999999999999998E-2</v>
      </c>
      <c r="N3291" s="118" t="s">
        <v>885</v>
      </c>
      <c r="O3291" s="119" t="s">
        <v>313</v>
      </c>
      <c r="P3291" s="121">
        <f>P3188</f>
        <v>111600</v>
      </c>
      <c r="Q3291" s="117" t="s">
        <v>885</v>
      </c>
      <c r="R3291" s="121">
        <f>P3291*M3291</f>
        <v>5803.2</v>
      </c>
      <c r="W3291" s="4"/>
    </row>
    <row r="3292" spans="6:23" ht="24" customHeight="1">
      <c r="F3292" s="36"/>
      <c r="G3292" s="72"/>
      <c r="H3292" s="36"/>
      <c r="I3292" s="36"/>
      <c r="J3292" s="98"/>
      <c r="K3292" s="407" t="s">
        <v>148</v>
      </c>
      <c r="M3292" s="130">
        <v>2.5590000000000002E-2</v>
      </c>
      <c r="N3292" s="118" t="s">
        <v>885</v>
      </c>
      <c r="O3292" s="119" t="s">
        <v>314</v>
      </c>
      <c r="P3292" s="121">
        <f>P3189</f>
        <v>99400</v>
      </c>
      <c r="Q3292" s="117" t="s">
        <v>885</v>
      </c>
      <c r="R3292" s="121">
        <f t="shared" ref="R3292:R3300" si="315">P3292*M3292</f>
        <v>2543.65</v>
      </c>
      <c r="W3292" s="4"/>
    </row>
    <row r="3293" spans="6:23" ht="24" customHeight="1">
      <c r="F3293" s="36"/>
      <c r="G3293" s="72"/>
      <c r="H3293" s="36" t="s">
        <v>1931</v>
      </c>
      <c r="I3293" s="36"/>
      <c r="J3293" s="98"/>
      <c r="K3293" s="36">
        <f>K3291/F3283</f>
        <v>9216.08</v>
      </c>
      <c r="M3293" s="121">
        <v>0.87</v>
      </c>
      <c r="N3293" s="118" t="s">
        <v>621</v>
      </c>
      <c r="O3293" s="1" t="s">
        <v>2128</v>
      </c>
      <c r="P3293" s="121">
        <f>C783</f>
        <v>387.4</v>
      </c>
      <c r="Q3293" s="117" t="s">
        <v>885</v>
      </c>
      <c r="R3293" s="121">
        <f t="shared" si="315"/>
        <v>337.04</v>
      </c>
      <c r="W3293" s="4"/>
    </row>
    <row r="3294" spans="6:23" ht="24" customHeight="1">
      <c r="F3294" s="36"/>
      <c r="G3294" s="72"/>
      <c r="H3294" s="36"/>
      <c r="I3294" s="36"/>
      <c r="J3294" s="98"/>
      <c r="K3294" s="407" t="s">
        <v>148</v>
      </c>
      <c r="M3294" s="132">
        <v>2.4279999999999999</v>
      </c>
      <c r="N3294" s="118" t="s">
        <v>621</v>
      </c>
      <c r="O3294" s="119" t="s">
        <v>453</v>
      </c>
      <c r="P3294" s="121">
        <f>D30</f>
        <v>1336.5</v>
      </c>
      <c r="Q3294" s="117" t="s">
        <v>621</v>
      </c>
      <c r="R3294" s="121">
        <f t="shared" si="315"/>
        <v>3245.02</v>
      </c>
      <c r="W3294" s="4"/>
    </row>
    <row r="3295" spans="6:23" ht="24" customHeight="1">
      <c r="G3295"/>
      <c r="J3295"/>
      <c r="M3295" s="121">
        <v>4</v>
      </c>
      <c r="N3295" s="118" t="s">
        <v>785</v>
      </c>
      <c r="O3295" s="119" t="s">
        <v>3337</v>
      </c>
      <c r="P3295" s="121">
        <f t="shared" ref="P3295:P3300" si="316">P3228</f>
        <v>57.65</v>
      </c>
      <c r="Q3295" s="117" t="s">
        <v>884</v>
      </c>
      <c r="R3295" s="121">
        <f t="shared" si="315"/>
        <v>230.6</v>
      </c>
      <c r="W3295" s="4"/>
    </row>
    <row r="3296" spans="6:23" ht="24" customHeight="1">
      <c r="G3296"/>
      <c r="J3296"/>
      <c r="M3296" s="121">
        <v>8</v>
      </c>
      <c r="N3296" s="118" t="s">
        <v>884</v>
      </c>
      <c r="O3296" s="119" t="s">
        <v>1490</v>
      </c>
      <c r="P3296" s="121">
        <f t="shared" si="316"/>
        <v>89.6</v>
      </c>
      <c r="Q3296" s="117" t="s">
        <v>884</v>
      </c>
      <c r="R3296" s="121">
        <f t="shared" si="315"/>
        <v>716.8</v>
      </c>
      <c r="W3296" s="4"/>
    </row>
    <row r="3297" spans="6:23" ht="24" customHeight="1">
      <c r="G3297" s="7" t="s">
        <v>321</v>
      </c>
      <c r="H3297" s="2" t="s">
        <v>1777</v>
      </c>
      <c r="M3297" s="121">
        <v>4</v>
      </c>
      <c r="N3297" s="118" t="s">
        <v>884</v>
      </c>
      <c r="O3297" s="119" t="s">
        <v>3338</v>
      </c>
      <c r="P3297" s="121">
        <f t="shared" si="316"/>
        <v>97.85</v>
      </c>
      <c r="Q3297" s="117" t="s">
        <v>884</v>
      </c>
      <c r="R3297" s="121">
        <f t="shared" si="315"/>
        <v>391.4</v>
      </c>
      <c r="W3297" s="4"/>
    </row>
    <row r="3298" spans="6:23" ht="24" customHeight="1">
      <c r="H3298" s="2" t="s">
        <v>1815</v>
      </c>
      <c r="M3298" s="121">
        <v>1</v>
      </c>
      <c r="N3298" s="118" t="s">
        <v>884</v>
      </c>
      <c r="O3298" s="119" t="s">
        <v>3339</v>
      </c>
      <c r="P3298" s="121">
        <f t="shared" si="316"/>
        <v>209.9</v>
      </c>
      <c r="Q3298" s="117" t="s">
        <v>884</v>
      </c>
      <c r="R3298" s="121">
        <f t="shared" si="315"/>
        <v>209.9</v>
      </c>
      <c r="W3298" s="4"/>
    </row>
    <row r="3299" spans="6:23" ht="24" customHeight="1">
      <c r="F3299" s="14">
        <v>6.5000000000000002E-2</v>
      </c>
      <c r="G3299" s="7" t="s">
        <v>885</v>
      </c>
      <c r="H3299" s="1" t="s">
        <v>2110</v>
      </c>
      <c r="I3299" s="8">
        <f>I859</f>
        <v>8472.39</v>
      </c>
      <c r="J3299" s="1" t="s">
        <v>885</v>
      </c>
      <c r="K3299" s="8">
        <f>I3299*F3299</f>
        <v>550.71</v>
      </c>
      <c r="M3299" s="121">
        <v>2</v>
      </c>
      <c r="N3299" s="118" t="s">
        <v>884</v>
      </c>
      <c r="O3299" s="119" t="s">
        <v>3340</v>
      </c>
      <c r="P3299" s="121">
        <f t="shared" si="316"/>
        <v>23.1</v>
      </c>
      <c r="Q3299" s="117" t="s">
        <v>884</v>
      </c>
      <c r="R3299" s="121">
        <f t="shared" si="315"/>
        <v>46.2</v>
      </c>
      <c r="W3299" s="4"/>
    </row>
    <row r="3300" spans="6:23" ht="24" customHeight="1">
      <c r="F3300" s="403">
        <v>8.4499999999999993</v>
      </c>
      <c r="G3300" s="7" t="s">
        <v>1676</v>
      </c>
      <c r="H3300" s="1" t="s">
        <v>2111</v>
      </c>
      <c r="I3300" s="8">
        <f t="shared" ref="I3300:I3310" si="317">I860</f>
        <v>90172</v>
      </c>
      <c r="J3300" s="1" t="s">
        <v>877</v>
      </c>
      <c r="K3300" s="8">
        <f>I3300*F3300/1000</f>
        <v>761.95</v>
      </c>
      <c r="M3300" s="121">
        <v>2</v>
      </c>
      <c r="N3300" s="118" t="s">
        <v>884</v>
      </c>
      <c r="O3300" s="119" t="s">
        <v>3341</v>
      </c>
      <c r="P3300" s="121">
        <f t="shared" si="316"/>
        <v>49.55</v>
      </c>
      <c r="Q3300" s="117" t="s">
        <v>884</v>
      </c>
      <c r="R3300" s="121">
        <f t="shared" si="315"/>
        <v>99.1</v>
      </c>
      <c r="W3300" s="4"/>
    </row>
    <row r="3301" spans="6:23" ht="24" customHeight="1">
      <c r="F3301" s="8">
        <v>3</v>
      </c>
      <c r="G3301" s="7" t="s">
        <v>884</v>
      </c>
      <c r="H3301" s="1" t="s">
        <v>1208</v>
      </c>
      <c r="I3301" s="8">
        <f t="shared" si="317"/>
        <v>14.8</v>
      </c>
      <c r="J3301" s="1" t="s">
        <v>884</v>
      </c>
      <c r="K3301" s="8">
        <f t="shared" ref="K3301:K3308" si="318">I3301*F3301</f>
        <v>44.4</v>
      </c>
      <c r="M3301" s="110"/>
      <c r="N3301" s="111"/>
      <c r="O3301" s="110" t="s">
        <v>1360</v>
      </c>
      <c r="P3301" s="110"/>
      <c r="Q3301" s="113"/>
      <c r="R3301" s="124">
        <f>R3199</f>
        <v>284.38</v>
      </c>
      <c r="W3301" s="4"/>
    </row>
    <row r="3302" spans="6:23" ht="24" customHeight="1">
      <c r="F3302" s="8">
        <v>12</v>
      </c>
      <c r="G3302" s="7" t="s">
        <v>884</v>
      </c>
      <c r="H3302" s="1" t="s">
        <v>1209</v>
      </c>
      <c r="I3302" s="8">
        <f t="shared" si="317"/>
        <v>2</v>
      </c>
      <c r="J3302" s="1" t="s">
        <v>884</v>
      </c>
      <c r="K3302" s="8">
        <f t="shared" si="318"/>
        <v>24</v>
      </c>
      <c r="M3302" s="110"/>
      <c r="N3302" s="111"/>
      <c r="O3302" s="110"/>
      <c r="P3302" s="110"/>
      <c r="Q3302" s="113"/>
      <c r="R3302" s="120" t="s">
        <v>1615</v>
      </c>
      <c r="W3302" s="4"/>
    </row>
    <row r="3303" spans="6:23" ht="24" customHeight="1">
      <c r="F3303" s="8">
        <v>2</v>
      </c>
      <c r="G3303" s="7" t="s">
        <v>884</v>
      </c>
      <c r="H3303" s="1" t="s">
        <v>1210</v>
      </c>
      <c r="I3303" s="8">
        <f t="shared" si="317"/>
        <v>4.9000000000000004</v>
      </c>
      <c r="J3303" s="1" t="s">
        <v>884</v>
      </c>
      <c r="K3303" s="8">
        <f t="shared" si="318"/>
        <v>9.8000000000000007</v>
      </c>
      <c r="M3303" s="110"/>
      <c r="N3303" s="111"/>
      <c r="O3303" s="119" t="s">
        <v>3356</v>
      </c>
      <c r="P3303" s="110"/>
      <c r="Q3303" s="113"/>
      <c r="R3303" s="121">
        <f>SUM(R3291:R3301)</f>
        <v>13907.29</v>
      </c>
      <c r="W3303" s="4"/>
    </row>
    <row r="3304" spans="6:23" ht="24" customHeight="1">
      <c r="F3304" s="8">
        <v>6</v>
      </c>
      <c r="G3304" s="7" t="s">
        <v>884</v>
      </c>
      <c r="H3304" s="1" t="s">
        <v>2259</v>
      </c>
      <c r="I3304" s="8">
        <f t="shared" si="317"/>
        <v>4.45</v>
      </c>
      <c r="J3304" s="1" t="s">
        <v>884</v>
      </c>
      <c r="K3304" s="8">
        <f t="shared" si="318"/>
        <v>26.7</v>
      </c>
      <c r="M3304" s="110"/>
      <c r="N3304" s="111"/>
      <c r="O3304" s="110"/>
      <c r="P3304" s="110"/>
      <c r="Q3304" s="113"/>
      <c r="R3304" s="120" t="s">
        <v>1615</v>
      </c>
      <c r="W3304" s="4"/>
    </row>
    <row r="3305" spans="6:23" ht="24" customHeight="1">
      <c r="F3305" s="8">
        <v>1</v>
      </c>
      <c r="G3305" s="7" t="s">
        <v>884</v>
      </c>
      <c r="H3305" s="1" t="s">
        <v>1215</v>
      </c>
      <c r="I3305" s="8">
        <f t="shared" si="317"/>
        <v>1041.7</v>
      </c>
      <c r="J3305" s="1" t="s">
        <v>884</v>
      </c>
      <c r="K3305" s="8">
        <f t="shared" si="318"/>
        <v>1041.7</v>
      </c>
      <c r="M3305" s="110"/>
      <c r="N3305" s="111"/>
      <c r="O3305" s="108" t="s">
        <v>562</v>
      </c>
      <c r="P3305" s="110"/>
      <c r="Q3305" s="115" t="s">
        <v>736</v>
      </c>
      <c r="R3305" s="109">
        <f>R3303/M3294</f>
        <v>5727.88</v>
      </c>
      <c r="W3305" s="4"/>
    </row>
    <row r="3306" spans="6:23" ht="24" customHeight="1">
      <c r="F3306" s="8">
        <v>1</v>
      </c>
      <c r="G3306" s="7" t="s">
        <v>884</v>
      </c>
      <c r="H3306" s="1" t="s">
        <v>1216</v>
      </c>
      <c r="I3306" s="8">
        <f t="shared" si="317"/>
        <v>679.8</v>
      </c>
      <c r="J3306" s="1" t="s">
        <v>884</v>
      </c>
      <c r="K3306" s="8">
        <f t="shared" si="318"/>
        <v>679.8</v>
      </c>
      <c r="M3306" s="117"/>
      <c r="N3306" s="118" t="s">
        <v>2290</v>
      </c>
      <c r="O3306" s="119" t="s">
        <v>2420</v>
      </c>
      <c r="P3306" s="110"/>
      <c r="Q3306" s="113"/>
      <c r="R3306" s="110"/>
      <c r="W3306" s="4"/>
    </row>
    <row r="3307" spans="6:23" ht="24" customHeight="1">
      <c r="F3307" s="8">
        <v>1</v>
      </c>
      <c r="G3307" s="7" t="s">
        <v>884</v>
      </c>
      <c r="H3307" s="1" t="s">
        <v>1217</v>
      </c>
      <c r="I3307" s="8">
        <f t="shared" si="317"/>
        <v>25</v>
      </c>
      <c r="J3307" s="1" t="s">
        <v>884</v>
      </c>
      <c r="K3307" s="8">
        <f t="shared" si="318"/>
        <v>25</v>
      </c>
      <c r="M3307" s="110"/>
      <c r="N3307" s="111"/>
      <c r="O3307" s="119" t="s">
        <v>259</v>
      </c>
      <c r="P3307" s="110"/>
      <c r="Q3307" s="113"/>
      <c r="R3307" s="110"/>
      <c r="W3307" s="4"/>
    </row>
    <row r="3308" spans="6:23" ht="24" customHeight="1">
      <c r="F3308" s="8">
        <v>0.5</v>
      </c>
      <c r="G3308" s="7" t="s">
        <v>884</v>
      </c>
      <c r="H3308" s="1" t="s">
        <v>1218</v>
      </c>
      <c r="I3308" s="8">
        <f t="shared" si="317"/>
        <v>557.70000000000005</v>
      </c>
      <c r="J3308" s="1" t="s">
        <v>884</v>
      </c>
      <c r="K3308" s="8">
        <f t="shared" si="318"/>
        <v>278.85000000000002</v>
      </c>
      <c r="M3308" s="110"/>
      <c r="N3308" s="111"/>
      <c r="O3308" s="382" t="s">
        <v>2877</v>
      </c>
      <c r="P3308" s="110"/>
      <c r="Q3308" s="113"/>
      <c r="R3308" s="110"/>
      <c r="W3308" s="4"/>
    </row>
    <row r="3309" spans="6:23" ht="24" customHeight="1">
      <c r="G3309" s="7" t="s">
        <v>455</v>
      </c>
      <c r="H3309" s="1" t="s">
        <v>2177</v>
      </c>
      <c r="I3309" s="8">
        <f t="shared" si="317"/>
        <v>0</v>
      </c>
      <c r="J3309" s="1" t="s">
        <v>455</v>
      </c>
      <c r="K3309" s="8">
        <v>2.1</v>
      </c>
      <c r="M3309" s="110"/>
      <c r="N3309" s="111"/>
      <c r="O3309" s="120" t="s">
        <v>1615</v>
      </c>
      <c r="P3309" s="110"/>
      <c r="Q3309" s="113"/>
      <c r="R3309" s="110"/>
      <c r="W3309" s="4"/>
    </row>
    <row r="3310" spans="6:23" ht="24" customHeight="1">
      <c r="I3310" s="8">
        <f t="shared" si="317"/>
        <v>0</v>
      </c>
      <c r="K3310" s="5" t="s">
        <v>1615</v>
      </c>
      <c r="M3310" s="110"/>
      <c r="N3310" s="111"/>
      <c r="O3310" s="119" t="s">
        <v>3331</v>
      </c>
      <c r="P3310" s="114" t="s">
        <v>2091</v>
      </c>
      <c r="Q3310" s="383">
        <v>3.1219999999999999</v>
      </c>
      <c r="R3310" s="134" t="s">
        <v>2322</v>
      </c>
      <c r="W3310" s="4"/>
    </row>
    <row r="3311" spans="6:23" ht="24" customHeight="1">
      <c r="H3311" s="58" t="s">
        <v>287</v>
      </c>
      <c r="K3311" s="404">
        <f>SUM(K3299:K3310)</f>
        <v>3445.01</v>
      </c>
      <c r="M3311" s="110"/>
      <c r="N3311" s="111"/>
      <c r="O3311" s="119"/>
      <c r="P3311" s="114"/>
      <c r="Q3311" s="383"/>
      <c r="R3311" s="134"/>
      <c r="W3311" s="4"/>
    </row>
    <row r="3312" spans="6:23" ht="24" customHeight="1">
      <c r="K3312" s="5" t="s">
        <v>1615</v>
      </c>
      <c r="M3312" s="110"/>
      <c r="N3312" s="111"/>
      <c r="O3312" s="119" t="s">
        <v>2879</v>
      </c>
      <c r="P3312" s="114" t="s">
        <v>2091</v>
      </c>
      <c r="Q3312" s="384">
        <v>5.1999999999999998E-2</v>
      </c>
      <c r="R3312" s="134" t="s">
        <v>2190</v>
      </c>
      <c r="W3312" s="4"/>
    </row>
    <row r="3313" spans="6:23" ht="24" customHeight="1">
      <c r="G3313"/>
      <c r="J3313"/>
      <c r="M3313" s="110"/>
      <c r="N3313" s="111"/>
      <c r="O3313" s="119" t="s">
        <v>3332</v>
      </c>
      <c r="Q3313" s="385"/>
      <c r="R3313" s="134"/>
      <c r="W3313" s="4"/>
    </row>
    <row r="3314" spans="6:23" ht="24" customHeight="1">
      <c r="G3314"/>
      <c r="J3314"/>
      <c r="M3314" s="110"/>
      <c r="N3314" s="111"/>
      <c r="O3314" s="119" t="s">
        <v>3333</v>
      </c>
      <c r="P3314" s="114" t="s">
        <v>2091</v>
      </c>
      <c r="Q3314" s="386">
        <v>2.2780000000000002E-2</v>
      </c>
      <c r="R3314" s="134"/>
      <c r="W3314" s="4"/>
    </row>
    <row r="3315" spans="6:23" ht="24" customHeight="1">
      <c r="G3315" s="36" t="s">
        <v>1778</v>
      </c>
      <c r="J3315"/>
      <c r="M3315" s="110"/>
      <c r="N3315" s="111"/>
      <c r="O3315" s="119" t="s">
        <v>2878</v>
      </c>
      <c r="P3315" s="114" t="s">
        <v>2091</v>
      </c>
      <c r="Q3315" s="387">
        <v>1.0125E-2</v>
      </c>
      <c r="R3315" s="135"/>
      <c r="W3315" s="4"/>
    </row>
    <row r="3316" spans="6:23" ht="24" customHeight="1">
      <c r="G3316" s="36" t="s">
        <v>1779</v>
      </c>
      <c r="J3316"/>
      <c r="M3316" s="110"/>
      <c r="N3316" s="111"/>
      <c r="O3316" s="110"/>
      <c r="P3316" s="110"/>
      <c r="Q3316" s="393" t="s">
        <v>3126</v>
      </c>
      <c r="R3316" s="10"/>
      <c r="W3316" s="4"/>
    </row>
    <row r="3317" spans="6:23" ht="24" customHeight="1">
      <c r="G3317"/>
      <c r="J3317"/>
      <c r="M3317" s="110"/>
      <c r="N3317" s="111"/>
      <c r="O3317" s="110"/>
      <c r="P3317" s="110"/>
      <c r="Q3317" s="388">
        <v>3.2910000000000002E-2</v>
      </c>
      <c r="R3317" s="10" t="s">
        <v>2190</v>
      </c>
      <c r="W3317" s="4"/>
    </row>
    <row r="3318" spans="6:23" ht="24" customHeight="1">
      <c r="F3318" s="406">
        <v>2.5999999999999999E-2</v>
      </c>
      <c r="G3318" s="72" t="s">
        <v>885</v>
      </c>
      <c r="H3318" s="36" t="s">
        <v>3197</v>
      </c>
      <c r="I3318" s="36">
        <f>AC26</f>
        <v>111600</v>
      </c>
      <c r="J3318" s="98" t="s">
        <v>885</v>
      </c>
      <c r="K3318" s="36">
        <f>I3318*F3318</f>
        <v>2901.6</v>
      </c>
      <c r="M3318" s="110"/>
      <c r="N3318" s="111"/>
      <c r="O3318" s="110"/>
      <c r="P3318" s="110"/>
      <c r="Q3318" s="393" t="s">
        <v>3126</v>
      </c>
      <c r="R3318" s="10"/>
      <c r="W3318" s="4"/>
    </row>
    <row r="3319" spans="6:23" ht="24" customHeight="1">
      <c r="F3319" s="406">
        <v>4.2999999999999997E-2</v>
      </c>
      <c r="G3319" s="72" t="s">
        <v>885</v>
      </c>
      <c r="H3319" s="36" t="s">
        <v>2536</v>
      </c>
      <c r="I3319" s="36">
        <f>AC27</f>
        <v>99400</v>
      </c>
      <c r="J3319" s="98" t="s">
        <v>885</v>
      </c>
      <c r="K3319" s="36">
        <f t="shared" ref="K3319:K3328" si="319">I3319*F3319</f>
        <v>4274.2</v>
      </c>
      <c r="M3319" s="110"/>
      <c r="N3319" s="111"/>
      <c r="O3319" s="119" t="s">
        <v>3345</v>
      </c>
      <c r="P3319" s="110"/>
      <c r="Q3319" s="157">
        <v>0.94</v>
      </c>
      <c r="R3319" s="135" t="s">
        <v>2322</v>
      </c>
      <c r="W3319" s="4"/>
    </row>
    <row r="3320" spans="6:23" ht="31.5" customHeight="1">
      <c r="F3320" s="1023">
        <v>4.9399999999999999E-2</v>
      </c>
      <c r="G3320" s="823" t="s">
        <v>885</v>
      </c>
      <c r="H3320" s="1024" t="s">
        <v>5721</v>
      </c>
      <c r="I3320" s="1025">
        <v>107000</v>
      </c>
      <c r="J3320" s="1026" t="s">
        <v>885</v>
      </c>
      <c r="K3320" s="823">
        <f t="shared" si="319"/>
        <v>5285.8</v>
      </c>
      <c r="M3320" s="110"/>
      <c r="N3320" s="111"/>
      <c r="O3320" s="119" t="s">
        <v>3360</v>
      </c>
      <c r="P3320" s="110"/>
      <c r="Q3320" s="391">
        <v>0.45</v>
      </c>
      <c r="R3320" s="135" t="s">
        <v>2190</v>
      </c>
      <c r="W3320" s="4"/>
    </row>
    <row r="3321" spans="6:23" ht="24" customHeight="1">
      <c r="F3321" s="406">
        <v>3.931</v>
      </c>
      <c r="G3321" s="72" t="s">
        <v>621</v>
      </c>
      <c r="H3321" s="36" t="s">
        <v>899</v>
      </c>
      <c r="I3321" s="36">
        <f>P3261</f>
        <v>1602.7</v>
      </c>
      <c r="J3321" s="98" t="s">
        <v>621</v>
      </c>
      <c r="K3321" s="36">
        <f t="shared" si="319"/>
        <v>6300.21</v>
      </c>
      <c r="M3321" s="110"/>
      <c r="N3321" s="111"/>
      <c r="O3321" s="119" t="s">
        <v>3347</v>
      </c>
      <c r="P3321" s="110"/>
      <c r="Q3321" s="391">
        <v>7.9</v>
      </c>
      <c r="R3321" s="135" t="s">
        <v>842</v>
      </c>
      <c r="W3321" s="4"/>
    </row>
    <row r="3322" spans="6:23" ht="24" customHeight="1">
      <c r="F3322" s="36">
        <v>4</v>
      </c>
      <c r="G3322" s="72" t="s">
        <v>1907</v>
      </c>
      <c r="H3322" s="36" t="s">
        <v>2161</v>
      </c>
      <c r="I3322" s="36">
        <v>254.5</v>
      </c>
      <c r="J3322" s="98" t="s">
        <v>1423</v>
      </c>
      <c r="K3322" s="36">
        <f t="shared" si="319"/>
        <v>1018</v>
      </c>
      <c r="M3322" s="110"/>
      <c r="N3322" s="111"/>
      <c r="O3322" s="110"/>
      <c r="P3322" s="110"/>
      <c r="Q3322" s="120"/>
      <c r="R3322" s="120"/>
      <c r="W3322" s="4"/>
    </row>
    <row r="3323" spans="6:23" ht="24" customHeight="1">
      <c r="F3323" s="36">
        <v>8</v>
      </c>
      <c r="G3323" s="72" t="s">
        <v>1907</v>
      </c>
      <c r="H3323" s="36" t="s">
        <v>1119</v>
      </c>
      <c r="I3323" s="36">
        <v>214.1</v>
      </c>
      <c r="J3323" s="98" t="s">
        <v>1423</v>
      </c>
      <c r="K3323" s="36">
        <f t="shared" si="319"/>
        <v>1712.8</v>
      </c>
      <c r="M3323" s="130">
        <v>5.1999999999999998E-2</v>
      </c>
      <c r="N3323" s="118" t="s">
        <v>885</v>
      </c>
      <c r="O3323" s="119" t="s">
        <v>313</v>
      </c>
      <c r="P3323" s="121">
        <f>P3221</f>
        <v>111600</v>
      </c>
      <c r="Q3323" s="117" t="s">
        <v>885</v>
      </c>
      <c r="R3323" s="121">
        <f>P3323*M3323</f>
        <v>5803.2</v>
      </c>
      <c r="W3323" s="4"/>
    </row>
    <row r="3324" spans="6:23" ht="24" customHeight="1">
      <c r="F3324" s="36">
        <v>4</v>
      </c>
      <c r="G3324" s="72" t="s">
        <v>1907</v>
      </c>
      <c r="H3324" s="36" t="s">
        <v>1372</v>
      </c>
      <c r="I3324" s="36">
        <v>408</v>
      </c>
      <c r="J3324" s="98" t="s">
        <v>1423</v>
      </c>
      <c r="K3324" s="36">
        <f t="shared" si="319"/>
        <v>1632</v>
      </c>
      <c r="M3324" s="130">
        <v>3.2910000000000002E-2</v>
      </c>
      <c r="N3324" s="118" t="s">
        <v>885</v>
      </c>
      <c r="O3324" s="119" t="s">
        <v>314</v>
      </c>
      <c r="P3324" s="121">
        <f>P3222</f>
        <v>99400</v>
      </c>
      <c r="Q3324" s="117" t="s">
        <v>885</v>
      </c>
      <c r="R3324" s="121">
        <f t="shared" ref="R3324:R3335" si="320">P3324*M3324</f>
        <v>3271.25</v>
      </c>
      <c r="W3324" s="4"/>
    </row>
    <row r="3325" spans="6:23" ht="24" customHeight="1">
      <c r="F3325" s="36">
        <v>1</v>
      </c>
      <c r="G3325" s="72" t="s">
        <v>1907</v>
      </c>
      <c r="H3325" s="36" t="s">
        <v>1373</v>
      </c>
      <c r="I3325" s="36">
        <v>836</v>
      </c>
      <c r="J3325" s="98" t="s">
        <v>1423</v>
      </c>
      <c r="K3325" s="36">
        <f t="shared" si="319"/>
        <v>836</v>
      </c>
      <c r="M3325" s="130">
        <v>0.45</v>
      </c>
      <c r="N3325" s="118" t="s">
        <v>621</v>
      </c>
      <c r="O3325" s="1" t="s">
        <v>2128</v>
      </c>
      <c r="P3325" s="121">
        <f>P3293</f>
        <v>387.4</v>
      </c>
      <c r="Q3325" s="117" t="s">
        <v>885</v>
      </c>
      <c r="R3325" s="121">
        <f t="shared" si="320"/>
        <v>174.33</v>
      </c>
      <c r="W3325" s="4"/>
    </row>
    <row r="3326" spans="6:23" ht="24" customHeight="1">
      <c r="F3326" s="36">
        <v>2</v>
      </c>
      <c r="G3326" s="72" t="s">
        <v>1907</v>
      </c>
      <c r="H3326" s="36" t="s">
        <v>3824</v>
      </c>
      <c r="I3326" s="36">
        <v>7.3</v>
      </c>
      <c r="J3326" s="98" t="s">
        <v>1423</v>
      </c>
      <c r="K3326" s="36">
        <f t="shared" si="319"/>
        <v>14.6</v>
      </c>
      <c r="M3326" s="132">
        <v>0.94</v>
      </c>
      <c r="N3326" s="118" t="s">
        <v>621</v>
      </c>
      <c r="O3326" s="119" t="s">
        <v>3346</v>
      </c>
      <c r="P3326" s="121">
        <f t="shared" ref="P3326:P3334" si="321">P3225</f>
        <v>562.5</v>
      </c>
      <c r="Q3326" s="113" t="s">
        <v>621</v>
      </c>
      <c r="R3326" s="121">
        <f t="shared" si="320"/>
        <v>528.75</v>
      </c>
      <c r="W3326" s="4"/>
    </row>
    <row r="3327" spans="6:23" ht="24" customHeight="1">
      <c r="F3327" s="36">
        <v>2</v>
      </c>
      <c r="G3327" s="72" t="s">
        <v>1907</v>
      </c>
      <c r="H3327" s="36" t="s">
        <v>2018</v>
      </c>
      <c r="I3327" s="36">
        <v>49.55</v>
      </c>
      <c r="J3327" s="98" t="s">
        <v>1423</v>
      </c>
      <c r="K3327" s="36">
        <f t="shared" si="319"/>
        <v>99.1</v>
      </c>
      <c r="M3327" s="132">
        <v>7.9</v>
      </c>
      <c r="N3327" s="118" t="s">
        <v>1805</v>
      </c>
      <c r="O3327" s="119" t="s">
        <v>3348</v>
      </c>
      <c r="P3327" s="121">
        <f t="shared" si="321"/>
        <v>15.45</v>
      </c>
      <c r="Q3327" s="113"/>
      <c r="R3327" s="121">
        <f t="shared" si="320"/>
        <v>122.06</v>
      </c>
      <c r="W3327" s="4"/>
    </row>
    <row r="3328" spans="6:23" ht="24" customHeight="1">
      <c r="F3328" s="36">
        <v>118</v>
      </c>
      <c r="G3328" s="72"/>
      <c r="H3328" s="501" t="s">
        <v>1934</v>
      </c>
      <c r="I3328" s="36">
        <f>I3290</f>
        <v>2.41</v>
      </c>
      <c r="J3328" s="98"/>
      <c r="K3328" s="36">
        <f t="shared" si="319"/>
        <v>284.38</v>
      </c>
      <c r="M3328" s="132">
        <v>3.1219999999999999</v>
      </c>
      <c r="N3328" s="118" t="s">
        <v>621</v>
      </c>
      <c r="O3328" s="119" t="s">
        <v>453</v>
      </c>
      <c r="P3328" s="121">
        <f t="shared" si="321"/>
        <v>1498.2</v>
      </c>
      <c r="Q3328" s="117" t="s">
        <v>621</v>
      </c>
      <c r="R3328" s="121">
        <f t="shared" si="320"/>
        <v>4677.38</v>
      </c>
      <c r="W3328" s="4"/>
    </row>
    <row r="3329" spans="6:23" ht="24" customHeight="1">
      <c r="F3329" s="36"/>
      <c r="G3329" s="72"/>
      <c r="H3329" s="36" t="s">
        <v>5868</v>
      </c>
      <c r="I3329" s="36"/>
      <c r="J3329" s="98"/>
      <c r="K3329" s="36">
        <f>SUM(K3318:K3328)</f>
        <v>24358.69</v>
      </c>
      <c r="M3329" s="121">
        <v>4</v>
      </c>
      <c r="N3329" s="118" t="s">
        <v>785</v>
      </c>
      <c r="O3329" s="119" t="s">
        <v>3337</v>
      </c>
      <c r="P3329" s="121">
        <f t="shared" si="321"/>
        <v>57.65</v>
      </c>
      <c r="Q3329" s="117" t="s">
        <v>884</v>
      </c>
      <c r="R3329" s="121">
        <f t="shared" si="320"/>
        <v>230.6</v>
      </c>
      <c r="W3329" s="4"/>
    </row>
    <row r="3330" spans="6:23" ht="24" customHeight="1">
      <c r="F3330" s="36"/>
      <c r="G3330" s="72"/>
      <c r="H3330" s="36"/>
      <c r="I3330" s="36"/>
      <c r="J3330" s="98"/>
      <c r="K3330" s="407" t="s">
        <v>148</v>
      </c>
      <c r="M3330" s="121">
        <v>8</v>
      </c>
      <c r="N3330" s="118" t="s">
        <v>884</v>
      </c>
      <c r="O3330" s="119" t="s">
        <v>1490</v>
      </c>
      <c r="P3330" s="121">
        <f t="shared" si="321"/>
        <v>89.6</v>
      </c>
      <c r="Q3330" s="117" t="s">
        <v>884</v>
      </c>
      <c r="R3330" s="121">
        <f t="shared" si="320"/>
        <v>716.8</v>
      </c>
      <c r="W3330" s="4"/>
    </row>
    <row r="3331" spans="6:23" ht="24" customHeight="1">
      <c r="F3331" s="36"/>
      <c r="G3331" s="72"/>
      <c r="H3331" s="36" t="s">
        <v>562</v>
      </c>
      <c r="I3331" s="36"/>
      <c r="J3331" s="98"/>
      <c r="K3331" s="36">
        <f>K3329/F3321</f>
        <v>6196.56</v>
      </c>
      <c r="M3331" s="121">
        <v>4</v>
      </c>
      <c r="N3331" s="118" t="s">
        <v>884</v>
      </c>
      <c r="O3331" s="119" t="s">
        <v>3338</v>
      </c>
      <c r="P3331" s="121">
        <f t="shared" si="321"/>
        <v>97.85</v>
      </c>
      <c r="Q3331" s="117" t="s">
        <v>884</v>
      </c>
      <c r="R3331" s="121">
        <f t="shared" si="320"/>
        <v>391.4</v>
      </c>
      <c r="W3331" s="4"/>
    </row>
    <row r="3332" spans="6:23" ht="24" customHeight="1">
      <c r="F3332" s="36"/>
      <c r="G3332" s="72"/>
      <c r="H3332" s="36"/>
      <c r="I3332" s="36"/>
      <c r="J3332" s="98"/>
      <c r="K3332" s="407" t="s">
        <v>148</v>
      </c>
      <c r="M3332" s="121">
        <v>1</v>
      </c>
      <c r="N3332" s="118" t="s">
        <v>884</v>
      </c>
      <c r="O3332" s="119" t="s">
        <v>3339</v>
      </c>
      <c r="P3332" s="121">
        <f t="shared" si="321"/>
        <v>209.9</v>
      </c>
      <c r="Q3332" s="117" t="s">
        <v>884</v>
      </c>
      <c r="R3332" s="121">
        <f t="shared" si="320"/>
        <v>209.9</v>
      </c>
      <c r="W3332" s="4"/>
    </row>
    <row r="3333" spans="6:23" ht="24" customHeight="1">
      <c r="G3333"/>
      <c r="J3333"/>
      <c r="M3333" s="121">
        <v>2</v>
      </c>
      <c r="N3333" s="118" t="s">
        <v>884</v>
      </c>
      <c r="O3333" s="119" t="s">
        <v>3340</v>
      </c>
      <c r="P3333" s="121">
        <f t="shared" si="321"/>
        <v>23.1</v>
      </c>
      <c r="Q3333" s="117" t="s">
        <v>884</v>
      </c>
      <c r="R3333" s="121">
        <f t="shared" si="320"/>
        <v>46.2</v>
      </c>
      <c r="W3333" s="4"/>
    </row>
    <row r="3334" spans="6:23" ht="24" customHeight="1">
      <c r="G3334"/>
      <c r="J3334"/>
      <c r="M3334" s="121">
        <v>2</v>
      </c>
      <c r="N3334" s="118" t="s">
        <v>884</v>
      </c>
      <c r="O3334" s="119" t="s">
        <v>3341</v>
      </c>
      <c r="P3334" s="121">
        <f t="shared" si="321"/>
        <v>49.55</v>
      </c>
      <c r="Q3334" s="117" t="s">
        <v>884</v>
      </c>
      <c r="R3334" s="121">
        <f t="shared" si="320"/>
        <v>99.1</v>
      </c>
      <c r="W3334" s="4"/>
    </row>
    <row r="3335" spans="6:23" ht="24" customHeight="1">
      <c r="G3335"/>
      <c r="J3335"/>
      <c r="M3335" s="110">
        <v>118</v>
      </c>
      <c r="N3335" s="118" t="s">
        <v>884</v>
      </c>
      <c r="O3335" s="110" t="s">
        <v>1360</v>
      </c>
      <c r="P3335" s="110">
        <f>P3268</f>
        <v>2.41</v>
      </c>
      <c r="Q3335" s="117" t="s">
        <v>884</v>
      </c>
      <c r="R3335" s="121">
        <f t="shared" si="320"/>
        <v>284.38</v>
      </c>
      <c r="W3335" s="4"/>
    </row>
    <row r="3336" spans="6:23" ht="24" customHeight="1">
      <c r="F3336" s="2"/>
      <c r="G3336" s="7" t="s">
        <v>2290</v>
      </c>
      <c r="H3336" s="1" t="s">
        <v>1932</v>
      </c>
      <c r="J3336" s="4"/>
      <c r="M3336" s="110"/>
      <c r="N3336" s="111"/>
      <c r="O3336" s="110"/>
      <c r="P3336" s="110"/>
      <c r="Q3336" s="113"/>
      <c r="R3336" s="120" t="s">
        <v>1615</v>
      </c>
      <c r="W3336" s="4"/>
    </row>
    <row r="3337" spans="6:23" ht="24" customHeight="1">
      <c r="H3337" s="1" t="s">
        <v>1551</v>
      </c>
      <c r="J3337" s="4"/>
      <c r="M3337" s="110"/>
      <c r="N3337" s="111"/>
      <c r="O3337" s="119" t="s">
        <v>3342</v>
      </c>
      <c r="P3337" s="110"/>
      <c r="Q3337" s="113"/>
      <c r="R3337" s="121">
        <f>SUM(R3323:R3335)</f>
        <v>16555.349999999999</v>
      </c>
      <c r="W3337" s="4"/>
    </row>
    <row r="3338" spans="6:23" ht="24" customHeight="1">
      <c r="H3338" s="33" t="s">
        <v>1933</v>
      </c>
      <c r="J3338" s="4"/>
      <c r="M3338" s="110"/>
      <c r="N3338" s="111"/>
      <c r="O3338" s="110"/>
      <c r="P3338" s="110"/>
      <c r="Q3338" s="113"/>
      <c r="R3338" s="120" t="s">
        <v>1615</v>
      </c>
      <c r="W3338" s="4"/>
    </row>
    <row r="3339" spans="6:23" ht="24" customHeight="1">
      <c r="H3339" s="5" t="s">
        <v>1615</v>
      </c>
      <c r="J3339" s="4"/>
      <c r="M3339" s="110"/>
      <c r="N3339" s="111"/>
      <c r="O3339" s="108" t="s">
        <v>562</v>
      </c>
      <c r="P3339" s="110"/>
      <c r="Q3339" s="115" t="s">
        <v>736</v>
      </c>
      <c r="R3339" s="109">
        <f>R3337/M3328</f>
        <v>5302.8</v>
      </c>
      <c r="W3339" s="4"/>
    </row>
    <row r="3340" spans="6:23" ht="24" customHeight="1">
      <c r="F3340" s="8">
        <v>1.34</v>
      </c>
      <c r="G3340" s="7" t="s">
        <v>1676</v>
      </c>
      <c r="H3340" s="494" t="s">
        <v>5168</v>
      </c>
      <c r="I3340" s="419">
        <v>73.8</v>
      </c>
      <c r="J3340" s="1" t="s">
        <v>1676</v>
      </c>
      <c r="K3340" s="8">
        <f>(F3340*I3340)</f>
        <v>98.89</v>
      </c>
      <c r="W3340" s="4"/>
    </row>
    <row r="3341" spans="6:23" ht="24" customHeight="1">
      <c r="F3341" s="8">
        <v>0.5</v>
      </c>
      <c r="G3341" s="7" t="s">
        <v>785</v>
      </c>
      <c r="H3341" s="1" t="s">
        <v>1201</v>
      </c>
      <c r="I3341" s="8">
        <f>AE13</f>
        <v>831.6</v>
      </c>
      <c r="J3341" s="7" t="s">
        <v>785</v>
      </c>
      <c r="K3341" s="8">
        <f>(F3341*I3341)</f>
        <v>415.8</v>
      </c>
      <c r="W3341" s="4"/>
    </row>
    <row r="3342" spans="6:23" ht="24" customHeight="1">
      <c r="F3342" s="8">
        <v>0.5</v>
      </c>
      <c r="G3342" s="7" t="s">
        <v>785</v>
      </c>
      <c r="H3342" s="1" t="s">
        <v>1937</v>
      </c>
      <c r="I3342" s="8">
        <f>AE11</f>
        <v>679.8</v>
      </c>
      <c r="J3342" s="7" t="s">
        <v>785</v>
      </c>
      <c r="K3342" s="8">
        <f>(F3342*I3342)</f>
        <v>339.9</v>
      </c>
      <c r="M3342" s="117"/>
      <c r="N3342" s="118" t="s">
        <v>2290</v>
      </c>
      <c r="O3342" s="119" t="s">
        <v>3362</v>
      </c>
      <c r="P3342" s="110"/>
      <c r="Q3342" s="113"/>
      <c r="R3342" s="110"/>
      <c r="W3342" s="4"/>
    </row>
    <row r="3343" spans="6:23" ht="24" customHeight="1">
      <c r="F3343" s="8">
        <v>0.8</v>
      </c>
      <c r="G3343" s="7" t="s">
        <v>785</v>
      </c>
      <c r="H3343" s="1" t="s">
        <v>325</v>
      </c>
      <c r="I3343" s="8">
        <f>AE12</f>
        <v>557.70000000000005</v>
      </c>
      <c r="J3343" s="7" t="s">
        <v>785</v>
      </c>
      <c r="K3343" s="8">
        <f>(F3343*I3343)</f>
        <v>446.16</v>
      </c>
      <c r="M3343" s="110"/>
      <c r="N3343" s="111"/>
      <c r="O3343" s="119" t="s">
        <v>259</v>
      </c>
      <c r="P3343" s="110"/>
      <c r="Q3343" s="113"/>
      <c r="R3343" s="110"/>
      <c r="W3343" s="4"/>
    </row>
    <row r="3344" spans="6:23" ht="24" customHeight="1">
      <c r="G3344" s="7" t="s">
        <v>455</v>
      </c>
      <c r="H3344" s="1" t="s">
        <v>1203</v>
      </c>
      <c r="I3344" s="1" t="s">
        <v>992</v>
      </c>
      <c r="J3344" s="2" t="s">
        <v>455</v>
      </c>
      <c r="K3344" s="8">
        <v>2.6</v>
      </c>
      <c r="M3344" s="110"/>
      <c r="N3344" s="111"/>
      <c r="O3344" s="382" t="s">
        <v>3361</v>
      </c>
      <c r="P3344" s="110"/>
      <c r="Q3344" s="113"/>
      <c r="R3344" s="110"/>
      <c r="W3344" s="4"/>
    </row>
    <row r="3345" spans="6:23" ht="24" customHeight="1">
      <c r="J3345" s="4"/>
      <c r="K3345" s="5" t="s">
        <v>1615</v>
      </c>
      <c r="M3345" s="110"/>
      <c r="N3345" s="111"/>
      <c r="O3345" s="120" t="s">
        <v>1615</v>
      </c>
      <c r="P3345" s="110"/>
      <c r="Q3345" s="113"/>
      <c r="R3345" s="110"/>
      <c r="W3345" s="4"/>
    </row>
    <row r="3346" spans="6:23" ht="24" customHeight="1">
      <c r="H3346" s="1" t="s">
        <v>447</v>
      </c>
      <c r="J3346" s="4"/>
      <c r="K3346" s="8">
        <f>SUM(K3340:K3345)</f>
        <v>1303.3499999999999</v>
      </c>
      <c r="M3346" s="110"/>
      <c r="N3346" s="111"/>
      <c r="O3346" s="119" t="s">
        <v>3461</v>
      </c>
      <c r="P3346" s="114" t="s">
        <v>2091</v>
      </c>
      <c r="Q3346" s="383">
        <v>1.734</v>
      </c>
      <c r="R3346" s="110" t="s">
        <v>2322</v>
      </c>
      <c r="W3346" s="4"/>
    </row>
    <row r="3347" spans="6:23" ht="24" customHeight="1">
      <c r="J3347" s="4"/>
      <c r="K3347" s="5" t="s">
        <v>1615</v>
      </c>
      <c r="M3347" s="110"/>
      <c r="N3347" s="111"/>
      <c r="O3347" s="119"/>
      <c r="P3347" s="114"/>
      <c r="Q3347" s="383"/>
      <c r="R3347" s="110"/>
      <c r="W3347" s="4"/>
    </row>
    <row r="3348" spans="6:23" ht="24" customHeight="1">
      <c r="H3348" s="33" t="s">
        <v>562</v>
      </c>
      <c r="J3348" s="4"/>
      <c r="K3348" s="38">
        <f>(K3346/10)</f>
        <v>130.34</v>
      </c>
      <c r="M3348" s="110"/>
      <c r="N3348" s="111"/>
      <c r="O3348" s="119" t="s">
        <v>2819</v>
      </c>
      <c r="P3348" s="114" t="s">
        <v>2091</v>
      </c>
      <c r="Q3348" s="384">
        <v>3.9E-2</v>
      </c>
      <c r="R3348" s="110" t="s">
        <v>2190</v>
      </c>
      <c r="W3348" s="4"/>
    </row>
    <row r="3349" spans="6:23" ht="24" customHeight="1">
      <c r="F3349" s="1" t="s">
        <v>992</v>
      </c>
      <c r="J3349" s="4"/>
      <c r="M3349" s="110"/>
      <c r="N3349" s="111"/>
      <c r="O3349" s="119" t="s">
        <v>3332</v>
      </c>
      <c r="Q3349" s="385"/>
      <c r="R3349" s="110"/>
      <c r="W3349" s="4"/>
    </row>
    <row r="3350" spans="6:23" ht="24" customHeight="1">
      <c r="G3350"/>
      <c r="J3350"/>
      <c r="M3350" s="110"/>
      <c r="N3350" s="111"/>
      <c r="O3350" s="119" t="s">
        <v>2820</v>
      </c>
      <c r="P3350" s="114" t="s">
        <v>2091</v>
      </c>
      <c r="Q3350" s="386">
        <v>1.2659999999999999E-2</v>
      </c>
      <c r="R3350" s="110"/>
      <c r="W3350" s="4"/>
    </row>
    <row r="3351" spans="6:23" ht="24" customHeight="1">
      <c r="H3351" s="36" t="s">
        <v>4426</v>
      </c>
      <c r="J3351"/>
      <c r="M3351" s="110"/>
      <c r="N3351" s="111"/>
      <c r="O3351" s="119" t="s">
        <v>2827</v>
      </c>
      <c r="P3351" s="114" t="s">
        <v>2091</v>
      </c>
      <c r="Q3351" s="387">
        <v>5.6249999999999998E-3</v>
      </c>
      <c r="R3351" s="130"/>
      <c r="W3351" s="4"/>
    </row>
    <row r="3352" spans="6:23" ht="24" customHeight="1">
      <c r="J3352"/>
      <c r="M3352" s="110"/>
      <c r="N3352" s="111"/>
      <c r="O3352" s="110"/>
      <c r="P3352" s="110"/>
      <c r="Q3352" s="120" t="s">
        <v>1615</v>
      </c>
      <c r="W3352" s="4"/>
    </row>
    <row r="3353" spans="6:23" ht="24" customHeight="1">
      <c r="F3353">
        <v>1.4</v>
      </c>
      <c r="G3353" s="7" t="s">
        <v>1262</v>
      </c>
      <c r="H3353" t="s">
        <v>1223</v>
      </c>
      <c r="I3353" s="32">
        <f>I3366</f>
        <v>295.60000000000002</v>
      </c>
      <c r="J3353" s="7" t="s">
        <v>1262</v>
      </c>
      <c r="K3353">
        <f>I3353*F3353</f>
        <v>413.84</v>
      </c>
      <c r="M3353" s="110"/>
      <c r="N3353" s="111"/>
      <c r="O3353" s="110"/>
      <c r="P3353" s="110"/>
      <c r="Q3353" s="388">
        <v>1.8290000000000001E-2</v>
      </c>
      <c r="R3353" t="s">
        <v>2190</v>
      </c>
      <c r="W3353" s="4"/>
    </row>
    <row r="3354" spans="6:23" ht="24" customHeight="1">
      <c r="F3354">
        <v>1.5</v>
      </c>
      <c r="G3354" s="7" t="s">
        <v>785</v>
      </c>
      <c r="H3354" t="s">
        <v>4428</v>
      </c>
      <c r="I3354" s="32">
        <f>I3367</f>
        <v>831.6</v>
      </c>
      <c r="J3354" s="7" t="s">
        <v>785</v>
      </c>
      <c r="K3354">
        <f>I3354*F3354</f>
        <v>1247.4000000000001</v>
      </c>
      <c r="M3354" s="110"/>
      <c r="N3354" s="111"/>
      <c r="O3354" s="110"/>
      <c r="P3354" s="110"/>
      <c r="Q3354" s="120" t="s">
        <v>1615</v>
      </c>
      <c r="W3354" s="4"/>
    </row>
    <row r="3355" spans="6:23" ht="24" customHeight="1">
      <c r="F3355">
        <v>10</v>
      </c>
      <c r="G3355" s="3" t="s">
        <v>2322</v>
      </c>
      <c r="H3355" s="1" t="s">
        <v>3951</v>
      </c>
      <c r="I3355" s="32">
        <f>I3368</f>
        <v>4.4000000000000004</v>
      </c>
      <c r="J3355" s="3" t="s">
        <v>2322</v>
      </c>
      <c r="K3355">
        <f>I3355*F3355</f>
        <v>44</v>
      </c>
      <c r="M3355" s="110"/>
      <c r="N3355" s="111"/>
      <c r="O3355" s="119" t="s">
        <v>2821</v>
      </c>
      <c r="P3355" s="110"/>
      <c r="Q3355" s="389">
        <v>0.4113</v>
      </c>
      <c r="R3355" s="130"/>
      <c r="W3355" s="4"/>
    </row>
    <row r="3356" spans="6:23" ht="24" customHeight="1">
      <c r="H3356" s="1" t="s">
        <v>3111</v>
      </c>
      <c r="I3356" s="32" t="s">
        <v>3112</v>
      </c>
      <c r="J3356" s="4"/>
      <c r="K3356">
        <v>4.33</v>
      </c>
      <c r="M3356" s="110"/>
      <c r="N3356" s="111"/>
      <c r="O3356" s="119" t="s">
        <v>2822</v>
      </c>
      <c r="P3356" s="110"/>
      <c r="Q3356" s="390">
        <v>0.19689999999999999</v>
      </c>
      <c r="R3356" s="130"/>
      <c r="W3356" s="4"/>
    </row>
    <row r="3357" spans="6:23" ht="24" customHeight="1">
      <c r="H3357" s="1" t="s">
        <v>447</v>
      </c>
      <c r="J3357" s="4"/>
      <c r="K3357">
        <f>SUM(K3353:K3356)</f>
        <v>1709.57</v>
      </c>
      <c r="M3357" s="110"/>
      <c r="N3357" s="111"/>
      <c r="O3357" s="119"/>
      <c r="P3357" s="110"/>
      <c r="Q3357" s="120" t="s">
        <v>1615</v>
      </c>
      <c r="R3357" s="130"/>
      <c r="W3357" s="4"/>
    </row>
    <row r="3358" spans="6:23" ht="24" customHeight="1">
      <c r="H3358" s="33" t="s">
        <v>562</v>
      </c>
      <c r="J3358" s="4"/>
      <c r="K3358">
        <f>K3357/10</f>
        <v>170.96</v>
      </c>
      <c r="M3358" s="110"/>
      <c r="N3358" s="111"/>
      <c r="O3358" s="119"/>
      <c r="P3358" s="110"/>
      <c r="Q3358" s="391">
        <v>0.60819999999999996</v>
      </c>
      <c r="R3358" s="116"/>
      <c r="W3358" s="4"/>
    </row>
    <row r="3359" spans="6:23" ht="24" customHeight="1">
      <c r="J3359" s="4"/>
      <c r="M3359" s="110"/>
      <c r="N3359" s="111"/>
      <c r="O3359" s="110"/>
      <c r="P3359" s="110"/>
      <c r="Q3359" s="120" t="s">
        <v>1615</v>
      </c>
      <c r="R3359" s="120"/>
      <c r="W3359" s="4"/>
    </row>
    <row r="3360" spans="6:23" ht="24" customHeight="1">
      <c r="J3360" s="4"/>
      <c r="M3360" s="130">
        <v>3.9E-2</v>
      </c>
      <c r="N3360" s="118" t="s">
        <v>885</v>
      </c>
      <c r="O3360" s="119" t="s">
        <v>313</v>
      </c>
      <c r="P3360" s="121">
        <f>P3291</f>
        <v>111600</v>
      </c>
      <c r="Q3360" s="117" t="s">
        <v>885</v>
      </c>
      <c r="R3360" s="121">
        <f>P3360*M3360</f>
        <v>4352.3999999999996</v>
      </c>
      <c r="W3360" s="4"/>
    </row>
    <row r="3361" spans="6:23" ht="24" customHeight="1">
      <c r="G3361"/>
      <c r="J3361"/>
      <c r="M3361" s="130">
        <v>1.8290000000000001E-2</v>
      </c>
      <c r="N3361" s="118" t="s">
        <v>885</v>
      </c>
      <c r="O3361" s="119" t="s">
        <v>314</v>
      </c>
      <c r="P3361" s="121">
        <f>P3292</f>
        <v>99400</v>
      </c>
      <c r="Q3361" s="117" t="s">
        <v>885</v>
      </c>
      <c r="R3361" s="121">
        <f t="shared" ref="R3361:R3370" si="322">P3361*M3361</f>
        <v>1818.03</v>
      </c>
      <c r="W3361" s="4"/>
    </row>
    <row r="3362" spans="6:23" ht="24" customHeight="1">
      <c r="G3362"/>
      <c r="J3362"/>
      <c r="M3362" s="130">
        <v>0.60819999999999996</v>
      </c>
      <c r="N3362" s="118" t="s">
        <v>621</v>
      </c>
      <c r="O3362" s="1" t="s">
        <v>2128</v>
      </c>
      <c r="P3362" s="121">
        <f>P3325</f>
        <v>387.4</v>
      </c>
      <c r="Q3362" s="117" t="s">
        <v>885</v>
      </c>
      <c r="R3362" s="121">
        <f t="shared" si="322"/>
        <v>235.62</v>
      </c>
      <c r="W3362" s="4"/>
    </row>
    <row r="3363" spans="6:23" ht="24" customHeight="1">
      <c r="G3363"/>
      <c r="J3363"/>
      <c r="M3363" s="132">
        <v>1.734</v>
      </c>
      <c r="N3363" s="118" t="s">
        <v>621</v>
      </c>
      <c r="O3363" s="119" t="s">
        <v>453</v>
      </c>
      <c r="P3363" s="121">
        <f>P3328</f>
        <v>1498.2</v>
      </c>
      <c r="Q3363" s="117" t="s">
        <v>621</v>
      </c>
      <c r="R3363" s="121">
        <f t="shared" si="322"/>
        <v>2597.88</v>
      </c>
      <c r="W3363" s="4"/>
    </row>
    <row r="3364" spans="6:23" ht="24" customHeight="1">
      <c r="H3364" s="36" t="s">
        <v>4427</v>
      </c>
      <c r="J3364"/>
      <c r="M3364" s="121">
        <v>2</v>
      </c>
      <c r="N3364" s="118" t="s">
        <v>785</v>
      </c>
      <c r="O3364" s="119" t="s">
        <v>3337</v>
      </c>
      <c r="P3364" s="121">
        <f t="shared" ref="P3364:P3369" si="323">P3295</f>
        <v>57.65</v>
      </c>
      <c r="Q3364" s="117" t="s">
        <v>884</v>
      </c>
      <c r="R3364" s="121">
        <f t="shared" si="322"/>
        <v>115.3</v>
      </c>
      <c r="W3364" s="4"/>
    </row>
    <row r="3365" spans="6:23" ht="24" customHeight="1">
      <c r="J3365"/>
      <c r="M3365" s="121">
        <v>4</v>
      </c>
      <c r="N3365" s="118" t="s">
        <v>884</v>
      </c>
      <c r="O3365" s="119" t="s">
        <v>1490</v>
      </c>
      <c r="P3365" s="121">
        <f t="shared" si="323"/>
        <v>89.6</v>
      </c>
      <c r="Q3365" s="117" t="s">
        <v>884</v>
      </c>
      <c r="R3365" s="121">
        <f t="shared" si="322"/>
        <v>358.4</v>
      </c>
      <c r="W3365" s="4"/>
    </row>
    <row r="3366" spans="6:23" ht="24" customHeight="1">
      <c r="F3366">
        <v>0.8</v>
      </c>
      <c r="G3366" s="7" t="s">
        <v>1262</v>
      </c>
      <c r="H3366" t="s">
        <v>1223</v>
      </c>
      <c r="I3366" s="32">
        <f>P1319</f>
        <v>295.60000000000002</v>
      </c>
      <c r="J3366" s="7" t="s">
        <v>1262</v>
      </c>
      <c r="K3366">
        <f>I3366*F3366</f>
        <v>236.48</v>
      </c>
      <c r="M3366" s="121">
        <v>2</v>
      </c>
      <c r="N3366" s="118" t="s">
        <v>884</v>
      </c>
      <c r="O3366" s="119" t="s">
        <v>3338</v>
      </c>
      <c r="P3366" s="121">
        <f t="shared" si="323"/>
        <v>97.85</v>
      </c>
      <c r="Q3366" s="117" t="s">
        <v>884</v>
      </c>
      <c r="R3366" s="121">
        <f t="shared" si="322"/>
        <v>195.7</v>
      </c>
      <c r="W3366" s="4"/>
    </row>
    <row r="3367" spans="6:23" ht="24" customHeight="1">
      <c r="F3367">
        <v>0.7</v>
      </c>
      <c r="G3367" s="7" t="s">
        <v>785</v>
      </c>
      <c r="H3367" t="s">
        <v>4428</v>
      </c>
      <c r="I3367">
        <f>I3341</f>
        <v>831.6</v>
      </c>
      <c r="J3367" s="7" t="s">
        <v>785</v>
      </c>
      <c r="K3367">
        <f>I3367*F3367</f>
        <v>582.12</v>
      </c>
      <c r="M3367" s="121">
        <v>1</v>
      </c>
      <c r="N3367" s="118" t="s">
        <v>884</v>
      </c>
      <c r="O3367" s="119" t="s">
        <v>3339</v>
      </c>
      <c r="P3367" s="121">
        <f t="shared" si="323"/>
        <v>209.9</v>
      </c>
      <c r="Q3367" s="117" t="s">
        <v>884</v>
      </c>
      <c r="R3367" s="121">
        <f t="shared" si="322"/>
        <v>209.9</v>
      </c>
      <c r="W3367" s="4"/>
    </row>
    <row r="3368" spans="6:23" ht="24" customHeight="1">
      <c r="F3368">
        <v>10</v>
      </c>
      <c r="G3368" s="3" t="s">
        <v>2322</v>
      </c>
      <c r="H3368" s="1" t="s">
        <v>3951</v>
      </c>
      <c r="I3368">
        <f>I3185</f>
        <v>4.4000000000000004</v>
      </c>
      <c r="J3368" s="3" t="s">
        <v>2322</v>
      </c>
      <c r="K3368">
        <f>I3368*F3368</f>
        <v>44</v>
      </c>
      <c r="M3368" s="121">
        <v>1</v>
      </c>
      <c r="N3368" s="118" t="s">
        <v>884</v>
      </c>
      <c r="O3368" s="119" t="s">
        <v>3340</v>
      </c>
      <c r="P3368" s="121">
        <f t="shared" si="323"/>
        <v>23.1</v>
      </c>
      <c r="Q3368" s="117" t="s">
        <v>884</v>
      </c>
      <c r="R3368" s="121">
        <f t="shared" si="322"/>
        <v>23.1</v>
      </c>
      <c r="W3368" s="4"/>
    </row>
    <row r="3369" spans="6:23" ht="24" customHeight="1">
      <c r="H3369" s="1" t="s">
        <v>3111</v>
      </c>
      <c r="I3369" s="32" t="s">
        <v>3112</v>
      </c>
      <c r="J3369" s="4"/>
      <c r="K3369">
        <v>1.6</v>
      </c>
      <c r="M3369" s="121">
        <v>1</v>
      </c>
      <c r="N3369" s="118" t="s">
        <v>884</v>
      </c>
      <c r="O3369" s="119" t="s">
        <v>3341</v>
      </c>
      <c r="P3369" s="121">
        <f t="shared" si="323"/>
        <v>49.55</v>
      </c>
      <c r="Q3369" s="117" t="s">
        <v>884</v>
      </c>
      <c r="R3369" s="121">
        <f t="shared" si="322"/>
        <v>49.55</v>
      </c>
      <c r="W3369" s="4"/>
    </row>
    <row r="3370" spans="6:23" ht="24" customHeight="1">
      <c r="H3370" s="1" t="s">
        <v>447</v>
      </c>
      <c r="J3370" s="4"/>
      <c r="K3370">
        <f>SUM(K3366:K3369)</f>
        <v>864.2</v>
      </c>
      <c r="M3370" s="121">
        <v>58</v>
      </c>
      <c r="N3370" s="118" t="s">
        <v>884</v>
      </c>
      <c r="O3370" s="110" t="s">
        <v>1360</v>
      </c>
      <c r="P3370" s="110">
        <f>P3335</f>
        <v>2.41</v>
      </c>
      <c r="Q3370" s="117" t="s">
        <v>884</v>
      </c>
      <c r="R3370" s="121">
        <f t="shared" si="322"/>
        <v>139.78</v>
      </c>
      <c r="W3370" s="4"/>
    </row>
    <row r="3371" spans="6:23" ht="24" customHeight="1">
      <c r="H3371" s="33" t="s">
        <v>562</v>
      </c>
      <c r="J3371" s="4"/>
      <c r="K3371">
        <f>K3370/10</f>
        <v>86.42</v>
      </c>
      <c r="M3371" s="110"/>
      <c r="N3371" s="111"/>
      <c r="O3371" s="110"/>
      <c r="P3371" s="110"/>
      <c r="Q3371" s="113"/>
      <c r="R3371" s="120" t="s">
        <v>1615</v>
      </c>
      <c r="W3371" s="4"/>
    </row>
    <row r="3372" spans="6:23" ht="24" customHeight="1">
      <c r="M3372" s="110"/>
      <c r="N3372" s="111"/>
      <c r="O3372" s="119" t="s">
        <v>2823</v>
      </c>
      <c r="P3372" s="110"/>
      <c r="Q3372" s="113"/>
      <c r="R3372" s="121">
        <f>SUM(R3360:R3370)</f>
        <v>10095.66</v>
      </c>
      <c r="W3372" s="4"/>
    </row>
    <row r="3373" spans="6:23" ht="24" customHeight="1">
      <c r="M3373" s="110"/>
      <c r="N3373" s="111"/>
      <c r="O3373" s="110"/>
      <c r="P3373" s="110"/>
      <c r="Q3373" s="113"/>
      <c r="R3373" s="120" t="s">
        <v>1615</v>
      </c>
      <c r="W3373" s="4"/>
    </row>
    <row r="3374" spans="6:23" ht="24" customHeight="1">
      <c r="F3374" s="110"/>
      <c r="G3374" s="111"/>
      <c r="H3374" s="119"/>
      <c r="I3374" s="114"/>
      <c r="J3374" s="383"/>
      <c r="K3374" s="110"/>
      <c r="M3374" s="110"/>
      <c r="N3374" s="111"/>
      <c r="O3374" s="108" t="s">
        <v>562</v>
      </c>
      <c r="P3374" s="110"/>
      <c r="Q3374" s="115" t="s">
        <v>736</v>
      </c>
      <c r="R3374" s="109">
        <f>R3372/M3363</f>
        <v>5822.18</v>
      </c>
      <c r="W3374" s="4"/>
    </row>
    <row r="3375" spans="6:23" ht="24" customHeight="1">
      <c r="F3375" s="110"/>
      <c r="G3375" s="111"/>
      <c r="H3375" s="119" t="s">
        <v>2819</v>
      </c>
      <c r="I3375" s="114" t="s">
        <v>2091</v>
      </c>
      <c r="J3375" s="384">
        <v>3.9E-2</v>
      </c>
      <c r="K3375" s="110" t="s">
        <v>2190</v>
      </c>
      <c r="N3375" s="3"/>
      <c r="Q3375" s="10"/>
      <c r="R3375" s="5" t="s">
        <v>2091</v>
      </c>
      <c r="W3375" s="4"/>
    </row>
    <row r="3376" spans="6:23" ht="24" customHeight="1">
      <c r="F3376" s="110"/>
      <c r="G3376" s="111"/>
      <c r="H3376" s="119" t="s">
        <v>3332</v>
      </c>
      <c r="J3376" s="385"/>
      <c r="K3376" s="110"/>
      <c r="M3376" s="117"/>
      <c r="N3376" s="118" t="s">
        <v>2290</v>
      </c>
      <c r="O3376" s="119" t="s">
        <v>3362</v>
      </c>
      <c r="P3376" s="110"/>
      <c r="Q3376" s="113"/>
      <c r="R3376" s="110"/>
      <c r="W3376" s="4"/>
    </row>
    <row r="3377" spans="6:23" ht="24" customHeight="1">
      <c r="F3377" s="110"/>
      <c r="G3377" s="111"/>
      <c r="H3377" s="119" t="s">
        <v>2826</v>
      </c>
      <c r="I3377" s="114" t="s">
        <v>2091</v>
      </c>
      <c r="J3377" s="386">
        <v>1.519E-2</v>
      </c>
      <c r="K3377" s="110"/>
      <c r="M3377" s="110"/>
      <c r="N3377" s="111"/>
      <c r="O3377" s="119" t="s">
        <v>259</v>
      </c>
      <c r="P3377" s="110"/>
      <c r="Q3377" s="113"/>
      <c r="R3377" s="110"/>
      <c r="W3377" s="4"/>
    </row>
    <row r="3378" spans="6:23" ht="24" customHeight="1">
      <c r="F3378" s="110"/>
      <c r="G3378" s="111"/>
      <c r="H3378" s="119" t="s">
        <v>2828</v>
      </c>
      <c r="I3378" s="114" t="s">
        <v>2091</v>
      </c>
      <c r="J3378" s="387">
        <v>6.7499999999999999E-3</v>
      </c>
      <c r="K3378" s="130"/>
      <c r="M3378" s="110"/>
      <c r="N3378" s="111"/>
      <c r="O3378" s="382" t="s">
        <v>2824</v>
      </c>
      <c r="P3378" s="110"/>
      <c r="Q3378" s="113"/>
      <c r="R3378" s="110"/>
      <c r="W3378" s="4"/>
    </row>
    <row r="3379" spans="6:23" ht="24" customHeight="1">
      <c r="F3379" s="110"/>
      <c r="G3379" s="111"/>
      <c r="H3379" s="110"/>
      <c r="I3379" s="110"/>
      <c r="J3379" s="120" t="s">
        <v>1615</v>
      </c>
      <c r="M3379" s="110"/>
      <c r="N3379" s="111"/>
      <c r="O3379" s="120" t="s">
        <v>1615</v>
      </c>
      <c r="P3379" s="110"/>
      <c r="Q3379" s="113"/>
      <c r="R3379" s="110"/>
      <c r="W3379" s="4"/>
    </row>
    <row r="3380" spans="6:23" ht="24" customHeight="1">
      <c r="F3380" s="110"/>
      <c r="G3380" s="111"/>
      <c r="H3380" s="110"/>
      <c r="I3380" s="110"/>
      <c r="J3380" s="388">
        <v>2.1940000000000001E-2</v>
      </c>
      <c r="K3380" t="s">
        <v>2190</v>
      </c>
      <c r="M3380" s="110"/>
      <c r="N3380" s="111"/>
      <c r="O3380" s="119" t="s">
        <v>2825</v>
      </c>
      <c r="P3380" s="114" t="s">
        <v>2091</v>
      </c>
      <c r="Q3380" s="383">
        <v>2.081</v>
      </c>
      <c r="R3380" s="110" t="s">
        <v>2322</v>
      </c>
      <c r="W3380" s="4"/>
    </row>
    <row r="3381" spans="6:23" ht="24" customHeight="1">
      <c r="F3381" s="110"/>
      <c r="G3381" s="111"/>
      <c r="H3381" s="110"/>
      <c r="I3381" s="110"/>
      <c r="J3381" s="120" t="s">
        <v>1615</v>
      </c>
      <c r="M3381" s="110"/>
      <c r="N3381" s="111"/>
      <c r="O3381" s="119"/>
      <c r="P3381" s="114"/>
      <c r="Q3381" s="383"/>
      <c r="R3381" s="110"/>
      <c r="W3381" s="4"/>
    </row>
    <row r="3382" spans="6:23" ht="24" customHeight="1">
      <c r="F3382" s="110"/>
      <c r="G3382" s="111"/>
      <c r="H3382" s="119" t="s">
        <v>3357</v>
      </c>
      <c r="I3382" s="110"/>
      <c r="J3382" s="389">
        <v>0.58750000000000002</v>
      </c>
      <c r="K3382" s="130"/>
      <c r="M3382" s="110"/>
      <c r="N3382" s="111"/>
      <c r="O3382" s="119" t="s">
        <v>2819</v>
      </c>
      <c r="P3382" s="114" t="s">
        <v>2091</v>
      </c>
      <c r="Q3382" s="384">
        <v>3.9E-2</v>
      </c>
      <c r="R3382" s="110" t="s">
        <v>2190</v>
      </c>
      <c r="W3382" s="4"/>
    </row>
    <row r="3383" spans="6:23" ht="24" customHeight="1">
      <c r="F3383" s="110"/>
      <c r="G3383" s="111"/>
      <c r="H3383" s="119" t="s">
        <v>3358</v>
      </c>
      <c r="I3383" s="110"/>
      <c r="J3383" s="390">
        <v>0.28129999999999999</v>
      </c>
      <c r="K3383" s="130"/>
      <c r="M3383" s="110"/>
      <c r="N3383" s="111"/>
      <c r="O3383" s="119" t="s">
        <v>3332</v>
      </c>
      <c r="Q3383" s="385"/>
      <c r="R3383" s="110"/>
      <c r="W3383" s="4"/>
    </row>
    <row r="3384" spans="6:23" ht="24" customHeight="1">
      <c r="F3384" s="110"/>
      <c r="G3384" s="111"/>
      <c r="H3384" s="119"/>
      <c r="I3384" s="110"/>
      <c r="J3384" s="120" t="s">
        <v>1615</v>
      </c>
      <c r="K3384" s="130"/>
      <c r="M3384" s="110"/>
      <c r="N3384" s="111"/>
      <c r="O3384" s="119" t="s">
        <v>2826</v>
      </c>
      <c r="P3384" s="114" t="s">
        <v>2091</v>
      </c>
      <c r="Q3384" s="386">
        <v>1.519E-2</v>
      </c>
      <c r="R3384" s="110"/>
      <c r="W3384" s="4"/>
    </row>
    <row r="3385" spans="6:23" ht="24" customHeight="1">
      <c r="F3385" s="110"/>
      <c r="G3385" s="111"/>
      <c r="H3385" s="119"/>
      <c r="I3385" s="110"/>
      <c r="J3385" s="391">
        <v>0.86880000000000002</v>
      </c>
      <c r="K3385" s="116"/>
      <c r="M3385" s="110"/>
      <c r="N3385" s="111"/>
      <c r="O3385" s="119" t="s">
        <v>2828</v>
      </c>
      <c r="P3385" s="114" t="s">
        <v>2091</v>
      </c>
      <c r="Q3385" s="387">
        <v>6.7499999999999999E-3</v>
      </c>
      <c r="R3385" s="130"/>
      <c r="W3385" s="4"/>
    </row>
    <row r="3386" spans="6:23" ht="24" customHeight="1">
      <c r="F3386" s="110"/>
      <c r="G3386" s="111"/>
      <c r="H3386" s="110"/>
      <c r="I3386" s="110"/>
      <c r="J3386" s="120" t="s">
        <v>1615</v>
      </c>
      <c r="K3386" s="120"/>
      <c r="M3386" s="110"/>
      <c r="N3386" s="111"/>
      <c r="O3386" s="110"/>
      <c r="P3386" s="110"/>
      <c r="Q3386" s="120" t="s">
        <v>1615</v>
      </c>
      <c r="W3386" s="4"/>
    </row>
    <row r="3387" spans="6:23" ht="24" customHeight="1">
      <c r="F3387" s="130">
        <v>3.9E-2</v>
      </c>
      <c r="G3387" s="118" t="s">
        <v>885</v>
      </c>
      <c r="H3387" s="119" t="s">
        <v>313</v>
      </c>
      <c r="I3387" s="121">
        <f>C88</f>
        <v>111600</v>
      </c>
      <c r="J3387" s="117" t="s">
        <v>885</v>
      </c>
      <c r="K3387" s="121">
        <v>2868.26</v>
      </c>
      <c r="M3387" s="110"/>
      <c r="N3387" s="111"/>
      <c r="O3387" s="110"/>
      <c r="P3387" s="110"/>
      <c r="Q3387" s="388">
        <v>2.1940000000000001E-2</v>
      </c>
      <c r="R3387" t="s">
        <v>2190</v>
      </c>
      <c r="W3387" s="4"/>
    </row>
    <row r="3388" spans="6:23" ht="24" customHeight="1">
      <c r="F3388" s="130">
        <v>2.1940000000000001E-2</v>
      </c>
      <c r="G3388" s="118" t="s">
        <v>885</v>
      </c>
      <c r="H3388" s="119" t="s">
        <v>314</v>
      </c>
      <c r="I3388" s="121">
        <f>C89</f>
        <v>99400</v>
      </c>
      <c r="J3388" s="117" t="s">
        <v>885</v>
      </c>
      <c r="K3388" s="121">
        <v>1435.86</v>
      </c>
      <c r="M3388" s="110"/>
      <c r="N3388" s="111"/>
      <c r="O3388" s="110"/>
      <c r="P3388" s="110"/>
      <c r="Q3388" s="120" t="s">
        <v>1615</v>
      </c>
      <c r="W3388" s="4"/>
    </row>
    <row r="3389" spans="6:23" ht="24" customHeight="1">
      <c r="F3389" s="130">
        <v>0.86880000000000002</v>
      </c>
      <c r="G3389" s="118" t="s">
        <v>621</v>
      </c>
      <c r="H3389" s="1" t="s">
        <v>2128</v>
      </c>
      <c r="I3389" s="121">
        <f>C783</f>
        <v>387.4</v>
      </c>
      <c r="J3389" s="117" t="s">
        <v>885</v>
      </c>
      <c r="K3389" s="121">
        <v>336.66</v>
      </c>
      <c r="M3389" s="110"/>
      <c r="N3389" s="111"/>
      <c r="O3389" s="119" t="s">
        <v>3357</v>
      </c>
      <c r="P3389" s="110"/>
      <c r="Q3389" s="389">
        <v>0.58750000000000002</v>
      </c>
      <c r="R3389" s="130"/>
      <c r="W3389" s="4"/>
    </row>
    <row r="3390" spans="6:23" ht="24" customHeight="1">
      <c r="F3390" s="132">
        <v>2.081</v>
      </c>
      <c r="G3390" s="118" t="s">
        <v>621</v>
      </c>
      <c r="H3390" s="119" t="s">
        <v>453</v>
      </c>
      <c r="I3390" s="502">
        <v>363</v>
      </c>
      <c r="J3390" s="117" t="s">
        <v>621</v>
      </c>
      <c r="K3390" s="121">
        <v>755.4</v>
      </c>
      <c r="M3390" s="110"/>
      <c r="N3390" s="111"/>
      <c r="O3390" s="119" t="s">
        <v>3358</v>
      </c>
      <c r="P3390" s="110"/>
      <c r="Q3390" s="390">
        <v>0.28129999999999999</v>
      </c>
      <c r="R3390" s="130"/>
      <c r="W3390" s="4"/>
    </row>
    <row r="3391" spans="6:23" ht="24" customHeight="1">
      <c r="F3391" s="121">
        <v>2</v>
      </c>
      <c r="G3391" s="118" t="s">
        <v>785</v>
      </c>
      <c r="H3391" s="498" t="s">
        <v>3603</v>
      </c>
      <c r="I3391" s="121">
        <f t="shared" ref="I3391:I3396" si="324">I3322</f>
        <v>254.5</v>
      </c>
      <c r="J3391" s="117" t="s">
        <v>884</v>
      </c>
      <c r="K3391" s="121">
        <v>84</v>
      </c>
      <c r="M3391" s="110"/>
      <c r="N3391" s="111"/>
      <c r="O3391" s="119"/>
      <c r="P3391" s="110"/>
      <c r="Q3391" s="120" t="s">
        <v>1615</v>
      </c>
      <c r="R3391" s="130"/>
      <c r="W3391" s="4"/>
    </row>
    <row r="3392" spans="6:23" ht="24" customHeight="1">
      <c r="F3392" s="121">
        <v>4</v>
      </c>
      <c r="G3392" s="118" t="s">
        <v>884</v>
      </c>
      <c r="H3392" s="498" t="s">
        <v>3604</v>
      </c>
      <c r="I3392" s="121">
        <f t="shared" si="324"/>
        <v>214.1</v>
      </c>
      <c r="J3392" s="117" t="s">
        <v>884</v>
      </c>
      <c r="K3392" s="121">
        <v>232</v>
      </c>
      <c r="M3392" s="110"/>
      <c r="N3392" s="111"/>
      <c r="O3392" s="119"/>
      <c r="P3392" s="110"/>
      <c r="Q3392" s="391">
        <v>0.86880000000000002</v>
      </c>
      <c r="R3392" s="116"/>
      <c r="W3392" s="4"/>
    </row>
    <row r="3393" spans="6:23" ht="24" customHeight="1">
      <c r="F3393" s="121">
        <v>2</v>
      </c>
      <c r="G3393" s="118" t="s">
        <v>884</v>
      </c>
      <c r="H3393" s="498" t="s">
        <v>3605</v>
      </c>
      <c r="I3393" s="121">
        <f t="shared" si="324"/>
        <v>408</v>
      </c>
      <c r="J3393" s="117" t="s">
        <v>884</v>
      </c>
      <c r="K3393" s="121">
        <v>126</v>
      </c>
      <c r="M3393" s="110"/>
      <c r="N3393" s="111"/>
      <c r="O3393" s="110"/>
      <c r="P3393" s="110"/>
      <c r="Q3393" s="120" t="s">
        <v>1615</v>
      </c>
      <c r="R3393" s="120"/>
      <c r="W3393" s="4"/>
    </row>
    <row r="3394" spans="6:23" ht="24" customHeight="1">
      <c r="F3394" s="121">
        <v>1</v>
      </c>
      <c r="G3394" s="118" t="s">
        <v>884</v>
      </c>
      <c r="H3394" s="498" t="s">
        <v>3606</v>
      </c>
      <c r="I3394" s="121">
        <f t="shared" si="324"/>
        <v>836</v>
      </c>
      <c r="J3394" s="117" t="s">
        <v>884</v>
      </c>
      <c r="K3394" s="121">
        <v>152</v>
      </c>
      <c r="M3394" s="130">
        <v>3.9E-2</v>
      </c>
      <c r="N3394" s="118" t="s">
        <v>885</v>
      </c>
      <c r="O3394" s="119" t="s">
        <v>313</v>
      </c>
      <c r="P3394" s="121">
        <f>P3291</f>
        <v>111600</v>
      </c>
      <c r="Q3394" s="117" t="s">
        <v>885</v>
      </c>
      <c r="R3394" s="121">
        <f>P3394*M3394</f>
        <v>4352.3999999999996</v>
      </c>
      <c r="W3394" s="4"/>
    </row>
    <row r="3395" spans="6:23" ht="24" customHeight="1">
      <c r="F3395" s="121">
        <v>1</v>
      </c>
      <c r="G3395" s="118" t="s">
        <v>884</v>
      </c>
      <c r="H3395" s="498" t="s">
        <v>3340</v>
      </c>
      <c r="I3395" s="121">
        <f t="shared" si="324"/>
        <v>7.3</v>
      </c>
      <c r="J3395" s="117" t="s">
        <v>884</v>
      </c>
      <c r="K3395" s="121">
        <v>20</v>
      </c>
      <c r="M3395" s="130">
        <v>2.1940000000000001E-2</v>
      </c>
      <c r="N3395" s="118" t="s">
        <v>885</v>
      </c>
      <c r="O3395" s="119" t="s">
        <v>314</v>
      </c>
      <c r="P3395" s="121">
        <f>P3292</f>
        <v>99400</v>
      </c>
      <c r="Q3395" s="117" t="s">
        <v>885</v>
      </c>
      <c r="R3395" s="121">
        <f t="shared" ref="R3395:R3404" si="325">P3395*M3395</f>
        <v>2180.84</v>
      </c>
      <c r="W3395" s="4"/>
    </row>
    <row r="3396" spans="6:23" ht="24" customHeight="1">
      <c r="F3396" s="121">
        <v>1</v>
      </c>
      <c r="G3396" s="118" t="s">
        <v>884</v>
      </c>
      <c r="H3396" s="498" t="s">
        <v>3341</v>
      </c>
      <c r="I3396" s="121">
        <f t="shared" si="324"/>
        <v>49.55</v>
      </c>
      <c r="J3396" s="117" t="s">
        <v>884</v>
      </c>
      <c r="K3396" s="121">
        <v>37</v>
      </c>
      <c r="M3396" s="130">
        <v>0.86880000000000002</v>
      </c>
      <c r="N3396" s="118" t="s">
        <v>621</v>
      </c>
      <c r="O3396" s="1" t="s">
        <v>2128</v>
      </c>
      <c r="P3396" s="121">
        <f>P3362</f>
        <v>387.4</v>
      </c>
      <c r="Q3396" s="117" t="s">
        <v>885</v>
      </c>
      <c r="R3396" s="121">
        <f t="shared" si="325"/>
        <v>336.57</v>
      </c>
      <c r="W3396" s="4"/>
    </row>
    <row r="3397" spans="6:23" ht="24" customHeight="1">
      <c r="F3397" s="110"/>
      <c r="G3397" s="111"/>
      <c r="H3397" s="110" t="s">
        <v>1360</v>
      </c>
      <c r="I3397" s="110"/>
      <c r="J3397" s="113"/>
      <c r="K3397" s="392"/>
      <c r="M3397" s="132">
        <v>2.081</v>
      </c>
      <c r="N3397" s="118" t="s">
        <v>621</v>
      </c>
      <c r="O3397" s="119" t="s">
        <v>453</v>
      </c>
      <c r="P3397" s="121">
        <f>P3294</f>
        <v>1336.5</v>
      </c>
      <c r="Q3397" s="117" t="s">
        <v>621</v>
      </c>
      <c r="R3397" s="121">
        <f t="shared" si="325"/>
        <v>2781.26</v>
      </c>
      <c r="W3397" s="4"/>
    </row>
    <row r="3398" spans="6:23" ht="24" customHeight="1">
      <c r="F3398" s="110"/>
      <c r="G3398" s="111"/>
      <c r="H3398" s="110"/>
      <c r="I3398" s="110"/>
      <c r="J3398" s="113"/>
      <c r="K3398" s="120" t="s">
        <v>1615</v>
      </c>
      <c r="M3398" s="121">
        <v>2</v>
      </c>
      <c r="N3398" s="118" t="s">
        <v>785</v>
      </c>
      <c r="O3398" s="119" t="s">
        <v>3337</v>
      </c>
      <c r="P3398" s="121">
        <f t="shared" ref="P3398:P3403" si="326">P3295</f>
        <v>57.65</v>
      </c>
      <c r="Q3398" s="117" t="s">
        <v>884</v>
      </c>
      <c r="R3398" s="121">
        <f t="shared" si="325"/>
        <v>115.3</v>
      </c>
      <c r="W3398" s="4"/>
    </row>
    <row r="3399" spans="6:23" ht="24" customHeight="1">
      <c r="F3399" s="110"/>
      <c r="G3399" s="111"/>
      <c r="H3399" s="119" t="s">
        <v>2829</v>
      </c>
      <c r="I3399" s="110"/>
      <c r="J3399" s="113"/>
      <c r="K3399" s="121">
        <v>6067.81</v>
      </c>
      <c r="M3399" s="121">
        <v>4</v>
      </c>
      <c r="N3399" s="118" t="s">
        <v>884</v>
      </c>
      <c r="O3399" s="119" t="s">
        <v>1490</v>
      </c>
      <c r="P3399" s="121">
        <f t="shared" si="326"/>
        <v>89.6</v>
      </c>
      <c r="Q3399" s="117" t="s">
        <v>884</v>
      </c>
      <c r="R3399" s="121">
        <f t="shared" si="325"/>
        <v>358.4</v>
      </c>
      <c r="W3399" s="4"/>
    </row>
    <row r="3400" spans="6:23" ht="24" customHeight="1">
      <c r="F3400" s="110"/>
      <c r="G3400" s="111"/>
      <c r="H3400" s="110"/>
      <c r="I3400" s="110"/>
      <c r="J3400" s="113"/>
      <c r="K3400" s="120" t="s">
        <v>1615</v>
      </c>
      <c r="M3400" s="121">
        <v>2</v>
      </c>
      <c r="N3400" s="118" t="s">
        <v>884</v>
      </c>
      <c r="O3400" s="119" t="s">
        <v>3338</v>
      </c>
      <c r="P3400" s="121">
        <f t="shared" si="326"/>
        <v>97.85</v>
      </c>
      <c r="Q3400" s="117" t="s">
        <v>884</v>
      </c>
      <c r="R3400" s="121">
        <f t="shared" si="325"/>
        <v>195.7</v>
      </c>
      <c r="W3400" s="4"/>
    </row>
    <row r="3401" spans="6:23" ht="24" customHeight="1">
      <c r="F3401" s="110"/>
      <c r="G3401" s="111"/>
      <c r="H3401" s="108" t="s">
        <v>562</v>
      </c>
      <c r="I3401" s="110"/>
      <c r="J3401" s="115" t="s">
        <v>736</v>
      </c>
      <c r="K3401" s="109">
        <v>2915.81</v>
      </c>
      <c r="M3401" s="121">
        <v>1</v>
      </c>
      <c r="N3401" s="118" t="s">
        <v>884</v>
      </c>
      <c r="O3401" s="119" t="s">
        <v>3339</v>
      </c>
      <c r="P3401" s="121">
        <f t="shared" si="326"/>
        <v>209.9</v>
      </c>
      <c r="Q3401" s="117" t="s">
        <v>884</v>
      </c>
      <c r="R3401" s="121">
        <f t="shared" si="325"/>
        <v>209.9</v>
      </c>
      <c r="W3401" s="4"/>
    </row>
    <row r="3402" spans="6:23" ht="24" customHeight="1">
      <c r="K3402" s="5" t="s">
        <v>2091</v>
      </c>
      <c r="M3402" s="121">
        <v>1</v>
      </c>
      <c r="N3402" s="118" t="s">
        <v>884</v>
      </c>
      <c r="O3402" s="119" t="s">
        <v>3340</v>
      </c>
      <c r="P3402" s="121">
        <f t="shared" si="326"/>
        <v>23.1</v>
      </c>
      <c r="Q3402" s="117" t="s">
        <v>884</v>
      </c>
      <c r="R3402" s="121">
        <f t="shared" si="325"/>
        <v>23.1</v>
      </c>
      <c r="W3402" s="4"/>
    </row>
    <row r="3403" spans="6:23" ht="24" customHeight="1">
      <c r="M3403" s="121">
        <v>1</v>
      </c>
      <c r="N3403" s="118" t="s">
        <v>884</v>
      </c>
      <c r="O3403" s="119" t="s">
        <v>3341</v>
      </c>
      <c r="P3403" s="121">
        <f t="shared" si="326"/>
        <v>49.55</v>
      </c>
      <c r="Q3403" s="117" t="s">
        <v>884</v>
      </c>
      <c r="R3403" s="121">
        <f t="shared" si="325"/>
        <v>49.55</v>
      </c>
      <c r="W3403" s="4"/>
    </row>
    <row r="3404" spans="6:23" ht="24" customHeight="1">
      <c r="M3404" s="121">
        <v>58</v>
      </c>
      <c r="N3404" s="118" t="s">
        <v>884</v>
      </c>
      <c r="O3404" s="110" t="s">
        <v>1360</v>
      </c>
      <c r="P3404" s="110">
        <f>P3370</f>
        <v>2.41</v>
      </c>
      <c r="Q3404" s="113"/>
      <c r="R3404" s="121">
        <f t="shared" si="325"/>
        <v>139.78</v>
      </c>
      <c r="W3404" s="4"/>
    </row>
    <row r="3405" spans="6:23" ht="24" customHeight="1">
      <c r="M3405" s="110"/>
      <c r="N3405" s="111"/>
      <c r="O3405" s="110"/>
      <c r="P3405" s="110"/>
      <c r="Q3405" s="113"/>
      <c r="R3405" s="120" t="s">
        <v>1615</v>
      </c>
      <c r="W3405" s="4"/>
    </row>
    <row r="3406" spans="6:23" ht="24" customHeight="1">
      <c r="F3406" s="54"/>
      <c r="G3406" s="53"/>
      <c r="H3406" s="39" t="s">
        <v>4038</v>
      </c>
      <c r="I3406" s="39"/>
      <c r="J3406" s="71"/>
      <c r="K3406" s="54"/>
      <c r="M3406" s="110"/>
      <c r="N3406" s="111"/>
      <c r="O3406" s="119" t="s">
        <v>2829</v>
      </c>
      <c r="P3406" s="110"/>
      <c r="Q3406" s="113"/>
      <c r="R3406" s="121">
        <f>SUM(R3394:R3404)</f>
        <v>10742.8</v>
      </c>
      <c r="W3406" s="4"/>
    </row>
    <row r="3407" spans="6:23" ht="24" customHeight="1">
      <c r="F3407" s="54"/>
      <c r="G3407" s="53"/>
      <c r="H3407" s="54"/>
      <c r="I3407" s="54"/>
      <c r="J3407" s="71"/>
      <c r="K3407" s="54"/>
      <c r="M3407" s="110"/>
      <c r="N3407" s="111"/>
      <c r="O3407" s="110"/>
      <c r="P3407" s="110"/>
      <c r="Q3407" s="113"/>
      <c r="R3407" s="120" t="s">
        <v>1615</v>
      </c>
      <c r="W3407" s="4"/>
    </row>
    <row r="3408" spans="6:23" ht="24" customHeight="1">
      <c r="F3408" t="s">
        <v>4039</v>
      </c>
      <c r="G3408" s="53"/>
      <c r="H3408" s="54"/>
      <c r="I3408" s="156">
        <f>2*0.95*2.325</f>
        <v>4.4175000000000004</v>
      </c>
      <c r="J3408" s="71"/>
      <c r="K3408" s="54"/>
      <c r="M3408" s="110"/>
      <c r="N3408" s="111"/>
      <c r="O3408" s="108" t="s">
        <v>562</v>
      </c>
      <c r="P3408" s="110"/>
      <c r="Q3408" s="115" t="s">
        <v>736</v>
      </c>
      <c r="R3408" s="109">
        <f>R3406/M3397</f>
        <v>5162.33</v>
      </c>
      <c r="W3408" s="4"/>
    </row>
    <row r="3409" spans="6:23" ht="24" customHeight="1">
      <c r="F3409" t="s">
        <v>4040</v>
      </c>
      <c r="G3409" s="53"/>
      <c r="H3409" s="54"/>
      <c r="I3409" s="156">
        <f>2*2*2.325*0.075*0.0375</f>
        <v>2.6200000000000001E-2</v>
      </c>
      <c r="J3409" s="71"/>
      <c r="K3409" s="54"/>
      <c r="N3409" s="3"/>
      <c r="Q3409" s="10"/>
      <c r="R3409" s="5" t="s">
        <v>2091</v>
      </c>
      <c r="W3409" s="4"/>
    </row>
    <row r="3410" spans="6:23" ht="24" customHeight="1">
      <c r="F3410" s="54" t="s">
        <v>2057</v>
      </c>
      <c r="G3410" s="53"/>
      <c r="H3410" s="54"/>
      <c r="I3410" s="75">
        <f>2*3*0.95*0.15*0.0375</f>
        <v>3.2099999999999997E-2</v>
      </c>
      <c r="J3410" s="71"/>
      <c r="K3410" s="54"/>
      <c r="W3410" s="4"/>
    </row>
    <row r="3411" spans="6:23" ht="24" customHeight="1">
      <c r="F3411" s="438" t="s">
        <v>4041</v>
      </c>
      <c r="G3411" s="3" t="s">
        <v>4042</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4043</v>
      </c>
      <c r="G3415" s="53"/>
      <c r="H3415" s="54"/>
      <c r="I3415" s="75">
        <f>2*4*0.825*0.36*0.01875</f>
        <v>4.4600000000000001E-2</v>
      </c>
      <c r="J3415" s="71"/>
      <c r="K3415" s="54"/>
      <c r="W3415" s="4"/>
    </row>
    <row r="3416" spans="6:23" ht="24" customHeight="1">
      <c r="F3416" t="s">
        <v>4044</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1653</v>
      </c>
      <c r="I3418" s="54"/>
      <c r="J3418" s="71"/>
      <c r="K3418" s="54"/>
      <c r="M3418" s="117"/>
      <c r="N3418" s="118" t="s">
        <v>2290</v>
      </c>
      <c r="O3418" s="119" t="s">
        <v>3343</v>
      </c>
      <c r="P3418" s="110"/>
      <c r="Q3418" s="113"/>
      <c r="R3418" s="110"/>
      <c r="W3418" s="4"/>
    </row>
    <row r="3419" spans="6:23" ht="24" customHeight="1">
      <c r="F3419" s="54"/>
      <c r="G3419" s="53"/>
      <c r="H3419" s="54"/>
      <c r="I3419" s="54"/>
      <c r="J3419" s="71"/>
      <c r="K3419" s="54"/>
      <c r="M3419" s="110"/>
      <c r="N3419" s="111"/>
      <c r="O3419" s="119" t="s">
        <v>259</v>
      </c>
      <c r="P3419" s="110"/>
      <c r="Q3419" s="113"/>
      <c r="R3419" s="110"/>
      <c r="W3419" s="4"/>
    </row>
    <row r="3420" spans="6:23" ht="24" customHeight="1">
      <c r="F3420" s="75">
        <f>I3409</f>
        <v>2.6200000000000001E-2</v>
      </c>
      <c r="G3420" s="53" t="s">
        <v>885</v>
      </c>
      <c r="H3420" s="54" t="s">
        <v>2535</v>
      </c>
      <c r="I3420" s="54">
        <f>I2633</f>
        <v>111600</v>
      </c>
      <c r="J3420" s="71" t="s">
        <v>885</v>
      </c>
      <c r="K3420" s="54">
        <f>F3420*I3420</f>
        <v>2923.92</v>
      </c>
      <c r="M3420" s="110"/>
      <c r="N3420" s="111"/>
      <c r="O3420" s="382" t="s">
        <v>3349</v>
      </c>
      <c r="P3420" s="110"/>
      <c r="Q3420" s="113"/>
      <c r="R3420" s="110"/>
      <c r="W3420" s="4"/>
    </row>
    <row r="3421" spans="6:23" ht="24" customHeight="1">
      <c r="F3421" s="75">
        <f>I3412</f>
        <v>4.2799999999999998E-2</v>
      </c>
      <c r="G3421" s="53" t="s">
        <v>885</v>
      </c>
      <c r="H3421" s="54" t="s">
        <v>2536</v>
      </c>
      <c r="I3421" s="54">
        <f>I2634</f>
        <v>99400</v>
      </c>
      <c r="J3421" s="71" t="s">
        <v>885</v>
      </c>
      <c r="K3421" s="54">
        <f t="shared" ref="K3421:K3430" si="327">F3421*I3421</f>
        <v>4254.32</v>
      </c>
      <c r="M3421" s="110"/>
      <c r="N3421" s="111"/>
      <c r="O3421" s="120" t="s">
        <v>1615</v>
      </c>
      <c r="P3421" s="110"/>
      <c r="Q3421" s="113"/>
      <c r="R3421" s="110"/>
      <c r="W3421" s="4"/>
    </row>
    <row r="3422" spans="6:23" ht="24" customHeight="1">
      <c r="F3422" s="76">
        <f>I3417</f>
        <v>5.57E-2</v>
      </c>
      <c r="G3422" s="53" t="s">
        <v>885</v>
      </c>
      <c r="H3422" t="s">
        <v>4045</v>
      </c>
      <c r="I3422" s="54">
        <f>I2635</f>
        <v>107000</v>
      </c>
      <c r="J3422" s="71" t="s">
        <v>885</v>
      </c>
      <c r="K3422" s="54">
        <f t="shared" si="327"/>
        <v>5959.9</v>
      </c>
      <c r="M3422" s="110"/>
      <c r="N3422" s="111"/>
      <c r="O3422" s="119" t="s">
        <v>3350</v>
      </c>
      <c r="P3422" s="114" t="s">
        <v>2091</v>
      </c>
      <c r="Q3422" s="383">
        <v>2.4279999999999999</v>
      </c>
      <c r="R3422" s="110" t="s">
        <v>2322</v>
      </c>
      <c r="W3422" s="4"/>
    </row>
    <row r="3423" spans="6:23" ht="24" customHeight="1">
      <c r="F3423" s="75">
        <f>I3408</f>
        <v>4.4175000000000004</v>
      </c>
      <c r="G3423" s="53" t="s">
        <v>621</v>
      </c>
      <c r="H3423" s="54" t="s">
        <v>899</v>
      </c>
      <c r="I3423" s="54">
        <f>I2636</f>
        <v>1602.7</v>
      </c>
      <c r="J3423" s="71" t="s">
        <v>621</v>
      </c>
      <c r="K3423" s="54">
        <f t="shared" si="327"/>
        <v>7079.93</v>
      </c>
      <c r="M3423" s="110"/>
      <c r="N3423" s="111"/>
      <c r="O3423" s="119"/>
      <c r="P3423" s="114"/>
      <c r="Q3423" s="383"/>
      <c r="R3423" s="110"/>
      <c r="W3423" s="4"/>
    </row>
    <row r="3424" spans="6:23" ht="24" customHeight="1">
      <c r="F3424" s="54">
        <v>2</v>
      </c>
      <c r="G3424" s="53" t="s">
        <v>1907</v>
      </c>
      <c r="H3424" t="s">
        <v>3817</v>
      </c>
      <c r="I3424" s="607">
        <v>450</v>
      </c>
      <c r="J3424" s="71" t="s">
        <v>1423</v>
      </c>
      <c r="K3424" s="54">
        <f t="shared" si="327"/>
        <v>900</v>
      </c>
      <c r="M3424" s="110"/>
      <c r="N3424" s="111"/>
      <c r="O3424" s="119" t="s">
        <v>2879</v>
      </c>
      <c r="P3424" s="114" t="s">
        <v>2091</v>
      </c>
      <c r="Q3424" s="384">
        <v>5.1999999999999998E-2</v>
      </c>
      <c r="R3424" s="110" t="s">
        <v>2190</v>
      </c>
      <c r="W3424" s="4"/>
    </row>
    <row r="3425" spans="6:23" ht="24" customHeight="1">
      <c r="F3425" s="54">
        <v>6</v>
      </c>
      <c r="G3425" s="53" t="s">
        <v>1907</v>
      </c>
      <c r="H3425" t="s">
        <v>3818</v>
      </c>
      <c r="I3425" s="607">
        <v>79</v>
      </c>
      <c r="J3425" s="71" t="s">
        <v>1423</v>
      </c>
      <c r="K3425" s="54">
        <f t="shared" si="327"/>
        <v>474</v>
      </c>
      <c r="M3425" s="110"/>
      <c r="N3425" s="111"/>
      <c r="O3425" s="119" t="s">
        <v>3332</v>
      </c>
      <c r="Q3425" s="385"/>
      <c r="R3425" s="110"/>
      <c r="W3425" s="4"/>
    </row>
    <row r="3426" spans="6:23" ht="24" customHeight="1">
      <c r="F3426" s="54">
        <v>4</v>
      </c>
      <c r="G3426" s="53" t="s">
        <v>1907</v>
      </c>
      <c r="H3426" t="s">
        <v>3819</v>
      </c>
      <c r="I3426" s="607">
        <v>130</v>
      </c>
      <c r="J3426" s="71" t="s">
        <v>1423</v>
      </c>
      <c r="K3426" s="54">
        <f t="shared" si="327"/>
        <v>520</v>
      </c>
      <c r="M3426" s="110"/>
      <c r="N3426" s="111"/>
      <c r="O3426" s="119" t="s">
        <v>3351</v>
      </c>
      <c r="P3426" s="114" t="s">
        <v>2091</v>
      </c>
      <c r="Q3426" s="386">
        <v>1.772E-2</v>
      </c>
      <c r="R3426" s="110"/>
      <c r="W3426" s="4"/>
    </row>
    <row r="3427" spans="6:23" ht="24" customHeight="1">
      <c r="F3427" s="54">
        <v>1</v>
      </c>
      <c r="G3427" s="53" t="s">
        <v>1907</v>
      </c>
      <c r="H3427" t="s">
        <v>3820</v>
      </c>
      <c r="I3427" s="607">
        <v>985</v>
      </c>
      <c r="J3427" s="71" t="s">
        <v>1423</v>
      </c>
      <c r="K3427" s="54">
        <f t="shared" si="327"/>
        <v>985</v>
      </c>
      <c r="M3427" s="110"/>
      <c r="N3427" s="111"/>
      <c r="O3427" s="119" t="s">
        <v>3352</v>
      </c>
      <c r="P3427" s="114" t="s">
        <v>2091</v>
      </c>
      <c r="Q3427" s="387">
        <v>7.8750000000000001E-3</v>
      </c>
      <c r="R3427" s="130"/>
      <c r="W3427" s="4"/>
    </row>
    <row r="3428" spans="6:23" ht="24" customHeight="1">
      <c r="F3428" s="54">
        <v>2</v>
      </c>
      <c r="G3428" s="53" t="s">
        <v>1907</v>
      </c>
      <c r="H3428" t="s">
        <v>3812</v>
      </c>
      <c r="I3428" s="438">
        <f>I3395</f>
        <v>7.3</v>
      </c>
      <c r="J3428" s="71" t="s">
        <v>1423</v>
      </c>
      <c r="K3428" s="54">
        <f t="shared" si="327"/>
        <v>14.6</v>
      </c>
      <c r="M3428" s="110"/>
      <c r="N3428" s="111"/>
      <c r="O3428" s="110"/>
      <c r="P3428" s="110"/>
      <c r="Q3428" s="120" t="s">
        <v>1615</v>
      </c>
      <c r="W3428" s="4"/>
    </row>
    <row r="3429" spans="6:23" ht="24" customHeight="1">
      <c r="F3429" s="54">
        <v>2</v>
      </c>
      <c r="G3429" s="53" t="s">
        <v>1907</v>
      </c>
      <c r="H3429" s="54" t="s">
        <v>2018</v>
      </c>
      <c r="I3429" s="54">
        <f>I3396</f>
        <v>49.55</v>
      </c>
      <c r="J3429" s="71" t="s">
        <v>1423</v>
      </c>
      <c r="K3429" s="54">
        <f t="shared" si="327"/>
        <v>99.1</v>
      </c>
      <c r="M3429" s="110"/>
      <c r="N3429" s="111"/>
      <c r="O3429" s="110"/>
      <c r="P3429" s="110"/>
      <c r="Q3429" s="388">
        <v>2.5600000000000001E-2</v>
      </c>
      <c r="R3429" t="s">
        <v>2190</v>
      </c>
      <c r="W3429" s="4"/>
    </row>
    <row r="3430" spans="6:23" ht="24" customHeight="1">
      <c r="F3430" s="73">
        <v>130</v>
      </c>
      <c r="G3430" s="53" t="s">
        <v>1907</v>
      </c>
      <c r="H3430" s="438" t="s">
        <v>1163</v>
      </c>
      <c r="I3430" s="518">
        <f>I3328</f>
        <v>2.41</v>
      </c>
      <c r="J3430" s="71"/>
      <c r="K3430" s="54">
        <f t="shared" si="327"/>
        <v>313.3</v>
      </c>
      <c r="M3430" s="110"/>
      <c r="N3430" s="111"/>
      <c r="O3430" s="110"/>
      <c r="P3430" s="110"/>
      <c r="Q3430" s="120" t="s">
        <v>1615</v>
      </c>
      <c r="W3430" s="4"/>
    </row>
    <row r="3431" spans="6:23" ht="24" customHeight="1">
      <c r="F3431" s="54"/>
      <c r="G3431" s="53"/>
      <c r="H3431" s="54"/>
      <c r="I3431" s="54"/>
      <c r="J3431" s="71"/>
      <c r="K3431" s="56"/>
      <c r="M3431" s="110"/>
      <c r="N3431" s="111"/>
      <c r="O3431" s="119" t="s">
        <v>2421</v>
      </c>
      <c r="P3431" s="110"/>
      <c r="Q3431" s="157">
        <v>0.58750000000000002</v>
      </c>
      <c r="R3431" s="135" t="s">
        <v>2322</v>
      </c>
      <c r="W3431" s="4"/>
    </row>
    <row r="3432" spans="6:23" ht="24" customHeight="1">
      <c r="F3432" s="54"/>
      <c r="G3432" s="72"/>
      <c r="H3432" s="36" t="s">
        <v>4046</v>
      </c>
      <c r="I3432" s="54"/>
      <c r="J3432" s="71"/>
      <c r="K3432" s="36">
        <f>SUM(K3420:K3431)</f>
        <v>23524.07</v>
      </c>
      <c r="M3432" s="110"/>
      <c r="N3432" s="111"/>
      <c r="O3432" s="119" t="s">
        <v>2422</v>
      </c>
      <c r="P3432" s="110"/>
      <c r="Q3432" s="391">
        <v>5.3E-3</v>
      </c>
      <c r="R3432" s="135" t="s">
        <v>2190</v>
      </c>
      <c r="W3432" s="4"/>
    </row>
    <row r="3433" spans="6:23" ht="24" customHeight="1">
      <c r="F3433" s="54"/>
      <c r="G3433" s="72"/>
      <c r="I3433" s="54"/>
      <c r="J3433" s="71"/>
      <c r="K3433" s="56" t="s">
        <v>148</v>
      </c>
      <c r="M3433" s="110"/>
      <c r="N3433" s="111"/>
      <c r="O3433" s="119" t="s">
        <v>2423</v>
      </c>
      <c r="P3433" s="110"/>
      <c r="Q3433" s="391">
        <v>6.7</v>
      </c>
      <c r="R3433" s="135" t="s">
        <v>842</v>
      </c>
      <c r="W3433" s="4"/>
    </row>
    <row r="3434" spans="6:23" ht="24" customHeight="1">
      <c r="F3434" s="54"/>
      <c r="G3434" s="72"/>
      <c r="H3434" s="36" t="s">
        <v>562</v>
      </c>
      <c r="I3434" s="54"/>
      <c r="J3434" s="71"/>
      <c r="K3434" s="36">
        <f>K3432/F3423</f>
        <v>5325.2</v>
      </c>
      <c r="M3434" s="110"/>
      <c r="N3434" s="111"/>
      <c r="O3434" s="110"/>
      <c r="P3434" s="110"/>
      <c r="Q3434" s="120"/>
      <c r="R3434" s="120"/>
      <c r="W3434" s="4"/>
    </row>
    <row r="3435" spans="6:23" ht="24" customHeight="1">
      <c r="G3435"/>
      <c r="J3435"/>
      <c r="M3435" s="130">
        <v>5.1999999999999998E-2</v>
      </c>
      <c r="N3435" s="118" t="s">
        <v>885</v>
      </c>
      <c r="O3435" s="119" t="s">
        <v>313</v>
      </c>
      <c r="P3435" s="121">
        <f>P3221</f>
        <v>111600</v>
      </c>
      <c r="Q3435" s="117" t="s">
        <v>885</v>
      </c>
      <c r="R3435" s="121">
        <f>P3435*M3435</f>
        <v>5803.2</v>
      </c>
      <c r="W3435" s="4"/>
    </row>
    <row r="3436" spans="6:23" ht="24" customHeight="1">
      <c r="M3436" s="130">
        <v>2.5600000000000001E-2</v>
      </c>
      <c r="N3436" s="118" t="s">
        <v>885</v>
      </c>
      <c r="O3436" s="119" t="s">
        <v>314</v>
      </c>
      <c r="P3436" s="121">
        <f>P3222</f>
        <v>99400</v>
      </c>
      <c r="Q3436" s="117" t="s">
        <v>885</v>
      </c>
      <c r="R3436" s="121">
        <f t="shared" ref="R3436:R3448" si="328">P3436*M3436</f>
        <v>2544.64</v>
      </c>
      <c r="W3436" s="4"/>
    </row>
    <row r="3437" spans="6:23" ht="24" customHeight="1">
      <c r="M3437" s="130">
        <v>5.3E-3</v>
      </c>
      <c r="N3437" s="118" t="s">
        <v>885</v>
      </c>
      <c r="O3437" s="119" t="s">
        <v>3336</v>
      </c>
      <c r="P3437" s="121">
        <f>P3223</f>
        <v>107000</v>
      </c>
      <c r="Q3437" s="117" t="s">
        <v>885</v>
      </c>
      <c r="R3437" s="121">
        <f t="shared" si="328"/>
        <v>567.1</v>
      </c>
      <c r="W3437" s="4"/>
    </row>
    <row r="3438" spans="6:23" ht="24" customHeight="1">
      <c r="M3438" s="132"/>
      <c r="N3438" s="111"/>
      <c r="O3438" s="119" t="s">
        <v>961</v>
      </c>
      <c r="P3438" s="121"/>
      <c r="Q3438" s="113"/>
      <c r="R3438" s="121">
        <f t="shared" si="328"/>
        <v>0</v>
      </c>
      <c r="W3438" s="4"/>
    </row>
    <row r="3439" spans="6:23" ht="24" customHeight="1">
      <c r="M3439" s="132">
        <v>0.58750000000000002</v>
      </c>
      <c r="N3439" s="118" t="s">
        <v>621</v>
      </c>
      <c r="O3439" s="119" t="s">
        <v>3346</v>
      </c>
      <c r="P3439" s="121">
        <f>P3225</f>
        <v>562.5</v>
      </c>
      <c r="Q3439" s="113" t="s">
        <v>621</v>
      </c>
      <c r="R3439" s="121">
        <f t="shared" si="328"/>
        <v>330.47</v>
      </c>
      <c r="W3439" s="4"/>
    </row>
    <row r="3440" spans="6:23" ht="24" customHeight="1">
      <c r="M3440" s="132">
        <v>6.7</v>
      </c>
      <c r="N3440" s="118" t="s">
        <v>1805</v>
      </c>
      <c r="O3440" s="119" t="s">
        <v>3348</v>
      </c>
      <c r="P3440" s="121">
        <f>P3226</f>
        <v>15.45</v>
      </c>
      <c r="Q3440" s="113" t="s">
        <v>842</v>
      </c>
      <c r="R3440" s="121">
        <f t="shared" si="328"/>
        <v>103.52</v>
      </c>
      <c r="W3440" s="4"/>
    </row>
    <row r="3441" spans="6:23" ht="24" customHeight="1">
      <c r="M3441" s="132">
        <v>2.4279999999999999</v>
      </c>
      <c r="N3441" s="118" t="s">
        <v>621</v>
      </c>
      <c r="O3441" s="119" t="s">
        <v>453</v>
      </c>
      <c r="P3441" s="121">
        <f>P3227</f>
        <v>1498.2</v>
      </c>
      <c r="Q3441" s="117" t="s">
        <v>621</v>
      </c>
      <c r="R3441" s="121">
        <f t="shared" si="328"/>
        <v>3637.63</v>
      </c>
      <c r="W3441" s="4"/>
    </row>
    <row r="3442" spans="6:23" ht="24" customHeight="1">
      <c r="M3442" s="121">
        <v>4</v>
      </c>
      <c r="N3442" s="118" t="s">
        <v>785</v>
      </c>
      <c r="O3442" s="119" t="s">
        <v>3337</v>
      </c>
      <c r="P3442" s="121">
        <f t="shared" ref="P3442:P3447" si="329">P3228</f>
        <v>57.65</v>
      </c>
      <c r="Q3442" s="117" t="s">
        <v>884</v>
      </c>
      <c r="R3442" s="121">
        <f t="shared" si="328"/>
        <v>230.6</v>
      </c>
      <c r="W3442" s="4"/>
    </row>
    <row r="3443" spans="6:23" ht="55.5" customHeight="1">
      <c r="M3443" s="121">
        <v>8</v>
      </c>
      <c r="N3443" s="118" t="s">
        <v>884</v>
      </c>
      <c r="O3443" s="119" t="s">
        <v>1490</v>
      </c>
      <c r="P3443" s="121">
        <f t="shared" si="329"/>
        <v>89.6</v>
      </c>
      <c r="Q3443" s="117" t="s">
        <v>884</v>
      </c>
      <c r="R3443" s="121">
        <f t="shared" si="328"/>
        <v>716.8</v>
      </c>
      <c r="W3443" s="4"/>
    </row>
    <row r="3444" spans="6:23" ht="24" customHeight="1">
      <c r="M3444" s="121">
        <v>4</v>
      </c>
      <c r="N3444" s="118" t="s">
        <v>884</v>
      </c>
      <c r="O3444" s="119" t="s">
        <v>3338</v>
      </c>
      <c r="P3444" s="121">
        <f t="shared" si="329"/>
        <v>97.85</v>
      </c>
      <c r="Q3444" s="117" t="s">
        <v>884</v>
      </c>
      <c r="R3444" s="121">
        <f t="shared" si="328"/>
        <v>391.4</v>
      </c>
      <c r="W3444" s="4"/>
    </row>
    <row r="3445" spans="6:23" ht="24" customHeight="1">
      <c r="M3445" s="121">
        <v>1</v>
      </c>
      <c r="N3445" s="118" t="s">
        <v>884</v>
      </c>
      <c r="O3445" s="119" t="s">
        <v>3339</v>
      </c>
      <c r="P3445" s="121">
        <f t="shared" si="329"/>
        <v>209.9</v>
      </c>
      <c r="Q3445" s="117" t="s">
        <v>884</v>
      </c>
      <c r="R3445" s="121">
        <f t="shared" si="328"/>
        <v>209.9</v>
      </c>
      <c r="W3445" s="4"/>
    </row>
    <row r="3446" spans="6:23" ht="24" customHeight="1">
      <c r="M3446" s="121">
        <v>2</v>
      </c>
      <c r="N3446" s="118" t="s">
        <v>884</v>
      </c>
      <c r="O3446" s="119" t="s">
        <v>3340</v>
      </c>
      <c r="P3446" s="121">
        <f t="shared" si="329"/>
        <v>23.1</v>
      </c>
      <c r="Q3446" s="117" t="s">
        <v>884</v>
      </c>
      <c r="R3446" s="121">
        <f t="shared" si="328"/>
        <v>46.2</v>
      </c>
      <c r="W3446" s="4"/>
    </row>
    <row r="3447" spans="6:23" ht="24" customHeight="1">
      <c r="M3447" s="121">
        <v>2</v>
      </c>
      <c r="N3447" s="118" t="s">
        <v>884</v>
      </c>
      <c r="O3447" s="119" t="s">
        <v>3341</v>
      </c>
      <c r="P3447" s="121">
        <f t="shared" si="329"/>
        <v>49.55</v>
      </c>
      <c r="Q3447" s="117" t="s">
        <v>884</v>
      </c>
      <c r="R3447" s="121">
        <f t="shared" si="328"/>
        <v>99.1</v>
      </c>
      <c r="W3447" s="4"/>
    </row>
    <row r="3448" spans="6:23" ht="24" customHeight="1">
      <c r="M3448" s="110">
        <v>118</v>
      </c>
      <c r="N3448" s="118" t="s">
        <v>884</v>
      </c>
      <c r="O3448" s="110" t="s">
        <v>1360</v>
      </c>
      <c r="P3448" s="110">
        <f>P3404</f>
        <v>2.41</v>
      </c>
      <c r="Q3448" s="117" t="s">
        <v>884</v>
      </c>
      <c r="R3448" s="121">
        <f t="shared" si="328"/>
        <v>284.38</v>
      </c>
      <c r="W3448" s="4"/>
    </row>
    <row r="3449" spans="6:23" ht="24" customHeight="1">
      <c r="M3449" s="110"/>
      <c r="N3449" s="111"/>
      <c r="O3449" s="110"/>
      <c r="P3449" s="110"/>
      <c r="Q3449" s="113"/>
      <c r="R3449" s="120" t="s">
        <v>1615</v>
      </c>
      <c r="W3449" s="4"/>
    </row>
    <row r="3450" spans="6:23" ht="24" customHeight="1">
      <c r="F3450" s="24">
        <v>29.5</v>
      </c>
      <c r="G3450" s="7" t="s">
        <v>2290</v>
      </c>
      <c r="H3450" s="1" t="s">
        <v>3174</v>
      </c>
      <c r="J3450" s="4"/>
      <c r="M3450" s="110"/>
      <c r="N3450" s="111"/>
      <c r="O3450" s="119" t="s">
        <v>3356</v>
      </c>
      <c r="P3450" s="110"/>
      <c r="Q3450" s="113"/>
      <c r="R3450" s="121">
        <f>SUM(R3435:R3449)</f>
        <v>14964.94</v>
      </c>
      <c r="W3450" s="4"/>
    </row>
    <row r="3451" spans="6:23" ht="24" customHeight="1">
      <c r="H3451" s="1" t="s">
        <v>3175</v>
      </c>
      <c r="J3451" s="4"/>
      <c r="M3451" s="110"/>
      <c r="N3451" s="111"/>
      <c r="O3451" s="110"/>
      <c r="P3451" s="110"/>
      <c r="Q3451" s="113"/>
      <c r="R3451" s="120" t="s">
        <v>1615</v>
      </c>
      <c r="W3451" s="4"/>
    </row>
    <row r="3452" spans="6:23" ht="24" customHeight="1">
      <c r="H3452" s="1" t="s">
        <v>1972</v>
      </c>
      <c r="J3452" s="4"/>
      <c r="M3452" s="110"/>
      <c r="N3452" s="111"/>
      <c r="O3452" s="108" t="s">
        <v>562</v>
      </c>
      <c r="P3452" s="110"/>
      <c r="Q3452" s="115" t="s">
        <v>736</v>
      </c>
      <c r="R3452" s="109">
        <f>R3450/M3441</f>
        <v>6163.48</v>
      </c>
      <c r="W3452" s="4"/>
    </row>
    <row r="3453" spans="6:23" ht="24" customHeight="1">
      <c r="H3453" s="5" t="s">
        <v>1615</v>
      </c>
      <c r="I3453" s="5" t="s">
        <v>1615</v>
      </c>
      <c r="J3453" s="4"/>
      <c r="K3453" s="8"/>
      <c r="W3453" s="4"/>
    </row>
    <row r="3454" spans="6:23" ht="24" customHeight="1">
      <c r="F3454" s="8">
        <v>10</v>
      </c>
      <c r="G3454" s="7" t="s">
        <v>621</v>
      </c>
      <c r="H3454" s="33" t="s">
        <v>3507</v>
      </c>
      <c r="I3454" s="1027">
        <v>416</v>
      </c>
      <c r="J3454" s="2" t="s">
        <v>621</v>
      </c>
      <c r="K3454" s="8">
        <f>F3454*I3454</f>
        <v>4160</v>
      </c>
      <c r="W3454" s="4"/>
    </row>
    <row r="3455" spans="6:23" ht="24" customHeight="1">
      <c r="F3455" s="8">
        <v>0.21</v>
      </c>
      <c r="G3455" s="7" t="s">
        <v>885</v>
      </c>
      <c r="H3455" s="1" t="s">
        <v>1910</v>
      </c>
      <c r="I3455" s="8">
        <f>K32</f>
        <v>4628.8999999999996</v>
      </c>
      <c r="J3455" s="2" t="s">
        <v>885</v>
      </c>
      <c r="K3455" s="8">
        <f>(F3455*I3455)</f>
        <v>972.07</v>
      </c>
      <c r="W3455" s="4"/>
    </row>
    <row r="3456" spans="6:23" ht="24" customHeight="1">
      <c r="H3456" s="1" t="s">
        <v>1911</v>
      </c>
      <c r="I3456" s="8"/>
      <c r="J3456" s="4"/>
      <c r="K3456" s="1" t="s">
        <v>992</v>
      </c>
      <c r="M3456" s="24">
        <v>29.5</v>
      </c>
      <c r="N3456" s="7" t="s">
        <v>2290</v>
      </c>
      <c r="O3456" s="1" t="s">
        <v>3174</v>
      </c>
      <c r="Q3456" s="4"/>
      <c r="W3456" s="4"/>
    </row>
    <row r="3457" spans="6:23" ht="24" customHeight="1">
      <c r="F3457" s="8">
        <v>1.1000000000000001</v>
      </c>
      <c r="G3457" s="7" t="s">
        <v>785</v>
      </c>
      <c r="H3457" s="1" t="s">
        <v>2045</v>
      </c>
      <c r="I3457" s="8">
        <f>C10</f>
        <v>1041.7</v>
      </c>
      <c r="J3457" s="2" t="s">
        <v>785</v>
      </c>
      <c r="K3457" s="8">
        <f>(F3457*I3457)</f>
        <v>1145.8699999999999</v>
      </c>
      <c r="N3457" s="3"/>
      <c r="O3457" s="1" t="s">
        <v>3175</v>
      </c>
      <c r="Q3457" s="4"/>
      <c r="W3457" s="4"/>
    </row>
    <row r="3458" spans="6:23" ht="24" customHeight="1">
      <c r="F3458" s="8">
        <v>1.1000000000000001</v>
      </c>
      <c r="G3458" s="7" t="s">
        <v>785</v>
      </c>
      <c r="H3458" s="1" t="s">
        <v>1744</v>
      </c>
      <c r="I3458" s="8">
        <f>C11</f>
        <v>972.4</v>
      </c>
      <c r="J3458" s="2" t="s">
        <v>785</v>
      </c>
      <c r="K3458" s="8">
        <f>(F3458*I3458)</f>
        <v>1069.6400000000001</v>
      </c>
      <c r="N3458" s="3"/>
      <c r="O3458" s="1" t="s">
        <v>1972</v>
      </c>
      <c r="Q3458" s="4"/>
      <c r="W3458" s="4"/>
    </row>
    <row r="3459" spans="6:23" ht="24" customHeight="1">
      <c r="F3459" s="8">
        <v>2.2000000000000002</v>
      </c>
      <c r="G3459" s="7" t="s">
        <v>785</v>
      </c>
      <c r="H3459" s="1" t="s">
        <v>1937</v>
      </c>
      <c r="I3459" s="8">
        <f>C12</f>
        <v>679.8</v>
      </c>
      <c r="J3459" s="2" t="s">
        <v>785</v>
      </c>
      <c r="K3459" s="8">
        <f>(F3459*I3459)</f>
        <v>1495.56</v>
      </c>
      <c r="N3459" s="3"/>
      <c r="O3459" s="5" t="s">
        <v>1615</v>
      </c>
      <c r="P3459" s="5" t="s">
        <v>1615</v>
      </c>
      <c r="Q3459" s="4"/>
      <c r="R3459" s="8"/>
      <c r="W3459" s="4"/>
    </row>
    <row r="3460" spans="6:23" ht="24" customHeight="1">
      <c r="F3460" s="8">
        <v>2.2000000000000002</v>
      </c>
      <c r="G3460" s="7" t="s">
        <v>785</v>
      </c>
      <c r="H3460" s="1" t="s">
        <v>325</v>
      </c>
      <c r="I3460" s="8">
        <f>C13</f>
        <v>557.70000000000005</v>
      </c>
      <c r="J3460" s="2" t="s">
        <v>785</v>
      </c>
      <c r="K3460" s="8">
        <f>(F3460*I3460)</f>
        <v>1226.94</v>
      </c>
      <c r="M3460" s="8">
        <v>10</v>
      </c>
      <c r="N3460" s="7" t="s">
        <v>621</v>
      </c>
      <c r="O3460" s="33" t="s">
        <v>3507</v>
      </c>
      <c r="P3460" s="516">
        <f>I3454</f>
        <v>416</v>
      </c>
      <c r="Q3460" s="2" t="s">
        <v>621</v>
      </c>
      <c r="R3460" s="8">
        <f>P3460*M3460</f>
        <v>4160</v>
      </c>
      <c r="W3460" s="4"/>
    </row>
    <row r="3461" spans="6:23" ht="24" customHeight="1">
      <c r="F3461" s="12">
        <v>20</v>
      </c>
      <c r="G3461" s="7" t="s">
        <v>1676</v>
      </c>
      <c r="H3461" s="1" t="s">
        <v>878</v>
      </c>
      <c r="I3461" s="8">
        <f>AC31</f>
        <v>6040</v>
      </c>
      <c r="J3461" s="2" t="s">
        <v>877</v>
      </c>
      <c r="K3461" s="8">
        <f>(F3461*I3461)/1000</f>
        <v>120.8</v>
      </c>
      <c r="M3461" s="8">
        <v>0.21</v>
      </c>
      <c r="N3461" s="7" t="s">
        <v>885</v>
      </c>
      <c r="O3461" s="1" t="s">
        <v>1910</v>
      </c>
      <c r="P3461" s="402">
        <f t="shared" ref="P3461:P3471" si="330">I3455</f>
        <v>4628.8999999999996</v>
      </c>
      <c r="Q3461" s="2" t="s">
        <v>885</v>
      </c>
      <c r="R3461" s="8">
        <f t="shared" ref="R3461:R3471" si="331">P3461*M3461</f>
        <v>972.07</v>
      </c>
      <c r="W3461" s="4"/>
    </row>
    <row r="3462" spans="6:23" ht="24" customHeight="1">
      <c r="F3462" s="12">
        <v>2</v>
      </c>
      <c r="G3462" s="7" t="s">
        <v>1676</v>
      </c>
      <c r="H3462" s="1" t="s">
        <v>2118</v>
      </c>
      <c r="I3462" s="8">
        <f>I1256</f>
        <v>36.1</v>
      </c>
      <c r="J3462" s="2" t="s">
        <v>1676</v>
      </c>
      <c r="K3462" s="8">
        <f>(F3462*I3462)</f>
        <v>72.2</v>
      </c>
      <c r="N3462" s="3"/>
      <c r="O3462" s="1" t="s">
        <v>1911</v>
      </c>
      <c r="P3462" s="402">
        <f t="shared" si="330"/>
        <v>0</v>
      </c>
      <c r="Q3462" s="4"/>
      <c r="R3462" s="8">
        <f t="shared" si="331"/>
        <v>0</v>
      </c>
      <c r="W3462" s="4"/>
    </row>
    <row r="3463" spans="6:23" ht="24" customHeight="1">
      <c r="F3463" s="8">
        <v>1.6</v>
      </c>
      <c r="G3463" s="7" t="s">
        <v>785</v>
      </c>
      <c r="H3463" s="1" t="s">
        <v>1744</v>
      </c>
      <c r="I3463" s="8">
        <f>I3458</f>
        <v>972.4</v>
      </c>
      <c r="J3463" s="2" t="s">
        <v>785</v>
      </c>
      <c r="K3463" s="8">
        <f>(F3463*I3463)</f>
        <v>1555.84</v>
      </c>
      <c r="M3463" s="8">
        <v>1.1000000000000001</v>
      </c>
      <c r="N3463" s="7" t="s">
        <v>785</v>
      </c>
      <c r="O3463" s="1" t="s">
        <v>2045</v>
      </c>
      <c r="P3463" s="402">
        <f t="shared" si="330"/>
        <v>1041.7</v>
      </c>
      <c r="Q3463" s="2" t="s">
        <v>785</v>
      </c>
      <c r="R3463" s="8">
        <f t="shared" si="331"/>
        <v>1145.8699999999999</v>
      </c>
      <c r="W3463" s="4"/>
    </row>
    <row r="3464" spans="6:23" ht="24" customHeight="1">
      <c r="F3464" s="8">
        <v>0.5</v>
      </c>
      <c r="G3464" s="7" t="s">
        <v>785</v>
      </c>
      <c r="H3464" s="1" t="s">
        <v>1937</v>
      </c>
      <c r="I3464" s="8">
        <f>I3459</f>
        <v>679.8</v>
      </c>
      <c r="J3464" s="2" t="s">
        <v>785</v>
      </c>
      <c r="K3464" s="8">
        <f>(F3464*I3464)</f>
        <v>339.9</v>
      </c>
      <c r="M3464" s="8">
        <v>1.1000000000000001</v>
      </c>
      <c r="N3464" s="7" t="s">
        <v>785</v>
      </c>
      <c r="O3464" s="1" t="s">
        <v>1744</v>
      </c>
      <c r="P3464" s="402">
        <f t="shared" si="330"/>
        <v>972.4</v>
      </c>
      <c r="Q3464" s="2" t="s">
        <v>785</v>
      </c>
      <c r="R3464" s="8">
        <f t="shared" si="331"/>
        <v>1069.6400000000001</v>
      </c>
      <c r="W3464" s="4"/>
    </row>
    <row r="3465" spans="6:23" ht="24" customHeight="1">
      <c r="F3465" s="8">
        <v>1.1000000000000001</v>
      </c>
      <c r="G3465" s="7" t="s">
        <v>785</v>
      </c>
      <c r="H3465" s="1" t="s">
        <v>325</v>
      </c>
      <c r="I3465" s="8">
        <f>I3460</f>
        <v>557.70000000000005</v>
      </c>
      <c r="J3465" s="2" t="s">
        <v>785</v>
      </c>
      <c r="K3465" s="8">
        <f>(F3465*I3465)</f>
        <v>613.47</v>
      </c>
      <c r="M3465" s="8">
        <v>2.2000000000000002</v>
      </c>
      <c r="N3465" s="7" t="s">
        <v>785</v>
      </c>
      <c r="O3465" s="1" t="s">
        <v>1937</v>
      </c>
      <c r="P3465" s="402">
        <f t="shared" si="330"/>
        <v>679.8</v>
      </c>
      <c r="Q3465" s="2" t="s">
        <v>785</v>
      </c>
      <c r="R3465" s="8">
        <f t="shared" si="331"/>
        <v>1495.56</v>
      </c>
      <c r="W3465" s="4"/>
    </row>
    <row r="3466" spans="6:23" ht="24" customHeight="1">
      <c r="G3466" s="7" t="s">
        <v>455</v>
      </c>
      <c r="H3466" s="1" t="s">
        <v>456</v>
      </c>
      <c r="I3466" s="8">
        <f>I1262</f>
        <v>0</v>
      </c>
      <c r="J3466" s="2" t="s">
        <v>455</v>
      </c>
      <c r="K3466" s="8">
        <v>0</v>
      </c>
      <c r="M3466" s="8">
        <v>2.2000000000000002</v>
      </c>
      <c r="N3466" s="7" t="s">
        <v>785</v>
      </c>
      <c r="O3466" s="1" t="s">
        <v>325</v>
      </c>
      <c r="P3466" s="402">
        <f t="shared" si="330"/>
        <v>557.70000000000005</v>
      </c>
      <c r="Q3466" s="2" t="s">
        <v>785</v>
      </c>
      <c r="R3466" s="8">
        <f t="shared" si="331"/>
        <v>1226.94</v>
      </c>
      <c r="W3466" s="4"/>
    </row>
    <row r="3467" spans="6:23" ht="24" customHeight="1">
      <c r="J3467" s="4"/>
      <c r="K3467" s="5" t="s">
        <v>1615</v>
      </c>
      <c r="M3467" s="12">
        <v>20</v>
      </c>
      <c r="N3467" s="7" t="s">
        <v>1676</v>
      </c>
      <c r="O3467" s="1" t="s">
        <v>878</v>
      </c>
      <c r="P3467" s="402">
        <f t="shared" si="330"/>
        <v>6040</v>
      </c>
      <c r="Q3467" s="2" t="s">
        <v>877</v>
      </c>
      <c r="R3467" s="8">
        <f>P3467*M3467/1000</f>
        <v>120.8</v>
      </c>
      <c r="W3467" s="4"/>
    </row>
    <row r="3468" spans="6:23" ht="24" customHeight="1">
      <c r="H3468" s="1" t="s">
        <v>447</v>
      </c>
      <c r="J3468" s="4"/>
      <c r="K3468" s="8">
        <f>SUM(K3454:K3466)</f>
        <v>12772.29</v>
      </c>
      <c r="M3468" s="12">
        <v>2</v>
      </c>
      <c r="N3468" s="7" t="s">
        <v>1676</v>
      </c>
      <c r="O3468" s="1" t="s">
        <v>2969</v>
      </c>
      <c r="P3468" s="402">
        <f>I3644</f>
        <v>24.93</v>
      </c>
      <c r="Q3468" s="2" t="s">
        <v>1676</v>
      </c>
      <c r="R3468" s="8">
        <f t="shared" si="331"/>
        <v>49.86</v>
      </c>
      <c r="W3468" s="4"/>
    </row>
    <row r="3469" spans="6:23" ht="24" customHeight="1">
      <c r="J3469" s="4"/>
      <c r="K3469" s="5" t="s">
        <v>1615</v>
      </c>
      <c r="M3469" s="8">
        <v>1.6</v>
      </c>
      <c r="N3469" s="7" t="s">
        <v>785</v>
      </c>
      <c r="O3469" s="1" t="s">
        <v>1744</v>
      </c>
      <c r="P3469" s="402">
        <f t="shared" si="330"/>
        <v>972.4</v>
      </c>
      <c r="Q3469" s="2" t="s">
        <v>785</v>
      </c>
      <c r="R3469" s="8">
        <f t="shared" si="331"/>
        <v>1555.84</v>
      </c>
      <c r="W3469" s="4"/>
    </row>
    <row r="3470" spans="6:23" ht="24" customHeight="1">
      <c r="H3470" s="1" t="s">
        <v>562</v>
      </c>
      <c r="J3470" s="4"/>
      <c r="K3470" s="38">
        <f>(K3468/10)</f>
        <v>1277.23</v>
      </c>
      <c r="M3470" s="8">
        <v>0.5</v>
      </c>
      <c r="N3470" s="7" t="s">
        <v>785</v>
      </c>
      <c r="O3470" s="1" t="s">
        <v>1937</v>
      </c>
      <c r="P3470" s="402">
        <f t="shared" si="330"/>
        <v>679.8</v>
      </c>
      <c r="Q3470" s="2" t="s">
        <v>785</v>
      </c>
      <c r="R3470" s="8">
        <f t="shared" si="331"/>
        <v>339.9</v>
      </c>
      <c r="W3470" s="4"/>
    </row>
    <row r="3471" spans="6:23" ht="24" customHeight="1">
      <c r="J3471" s="4"/>
      <c r="K3471" s="5" t="s">
        <v>2091</v>
      </c>
      <c r="M3471" s="8">
        <v>1.1000000000000001</v>
      </c>
      <c r="N3471" s="7" t="s">
        <v>785</v>
      </c>
      <c r="O3471" s="1" t="s">
        <v>325</v>
      </c>
      <c r="P3471" s="402">
        <f t="shared" si="330"/>
        <v>557.70000000000005</v>
      </c>
      <c r="Q3471" s="2" t="s">
        <v>785</v>
      </c>
      <c r="R3471" s="8">
        <f t="shared" si="331"/>
        <v>613.47</v>
      </c>
      <c r="W3471" s="4"/>
    </row>
    <row r="3472" spans="6:23" ht="24" customHeight="1">
      <c r="N3472" s="7" t="s">
        <v>455</v>
      </c>
      <c r="O3472" s="1" t="s">
        <v>456</v>
      </c>
      <c r="P3472" s="8">
        <v>0</v>
      </c>
      <c r="Q3472" s="2" t="s">
        <v>455</v>
      </c>
      <c r="R3472" s="8">
        <v>0</v>
      </c>
      <c r="W3472" s="4"/>
    </row>
    <row r="3473" spans="6:23" ht="24" customHeight="1">
      <c r="N3473" s="3"/>
      <c r="Q3473" s="4"/>
      <c r="R3473" s="5" t="s">
        <v>1615</v>
      </c>
      <c r="W3473" s="4"/>
    </row>
    <row r="3474" spans="6:23" ht="24" customHeight="1">
      <c r="N3474" s="3"/>
      <c r="O3474" s="1" t="s">
        <v>447</v>
      </c>
      <c r="Q3474" s="4"/>
      <c r="R3474" s="8">
        <f>SUM(R3460:R3473)</f>
        <v>12749.95</v>
      </c>
      <c r="W3474" s="4"/>
    </row>
    <row r="3475" spans="6:23" ht="24" customHeight="1">
      <c r="N3475" s="3"/>
      <c r="Q3475" s="4"/>
      <c r="R3475" s="5" t="s">
        <v>1615</v>
      </c>
      <c r="W3475" s="4"/>
    </row>
    <row r="3476" spans="6:23" ht="24" customHeight="1">
      <c r="G3476" s="397">
        <v>90</v>
      </c>
      <c r="H3476" s="154" t="s">
        <v>2498</v>
      </c>
      <c r="N3476" s="3"/>
      <c r="O3476" s="1" t="s">
        <v>562</v>
      </c>
      <c r="Q3476" s="4"/>
      <c r="R3476" s="38">
        <f>R3474/10</f>
        <v>1275</v>
      </c>
      <c r="W3476" s="4"/>
    </row>
    <row r="3477" spans="6:23" ht="57.75" customHeight="1">
      <c r="F3477" s="381">
        <v>3.8100000000000002E-2</v>
      </c>
      <c r="G3477" s="53" t="s">
        <v>885</v>
      </c>
      <c r="H3477" s="54" t="s">
        <v>2499</v>
      </c>
      <c r="I3477">
        <f>I3387</f>
        <v>111600</v>
      </c>
      <c r="J3477">
        <f>J2279</f>
        <v>0</v>
      </c>
      <c r="K3477">
        <f>F3477*I3477</f>
        <v>4251.96</v>
      </c>
      <c r="N3477" s="3"/>
      <c r="Q3477" s="4"/>
      <c r="R3477" s="5" t="s">
        <v>2091</v>
      </c>
      <c r="W3477" s="4"/>
    </row>
    <row r="3478" spans="6:23" ht="24" customHeight="1">
      <c r="F3478" s="50">
        <v>2.4E-2</v>
      </c>
      <c r="G3478" s="53" t="s">
        <v>885</v>
      </c>
      <c r="H3478" s="54" t="s">
        <v>2500</v>
      </c>
      <c r="I3478">
        <f>I3388</f>
        <v>99400</v>
      </c>
      <c r="J3478">
        <f>J2280</f>
        <v>0</v>
      </c>
      <c r="K3478">
        <f t="shared" ref="K3478:K3491" si="332">F3478*I3478</f>
        <v>2385.6</v>
      </c>
      <c r="W3478" s="4"/>
    </row>
    <row r="3479" spans="6:23" ht="24" customHeight="1">
      <c r="F3479">
        <v>0.01</v>
      </c>
      <c r="G3479" s="53" t="s">
        <v>885</v>
      </c>
      <c r="H3479" s="1" t="s">
        <v>315</v>
      </c>
      <c r="I3479">
        <f>I2815</f>
        <v>95000</v>
      </c>
      <c r="J3479">
        <f>J2281</f>
        <v>0</v>
      </c>
      <c r="K3479">
        <f t="shared" si="332"/>
        <v>950</v>
      </c>
      <c r="W3479" s="4"/>
    </row>
    <row r="3480" spans="6:23" ht="24" customHeight="1">
      <c r="H3480" s="1" t="s">
        <v>452</v>
      </c>
      <c r="W3480" s="4"/>
    </row>
    <row r="3481" spans="6:23" ht="24" customHeight="1">
      <c r="F3481">
        <v>1.05</v>
      </c>
      <c r="G3481" s="7" t="s">
        <v>621</v>
      </c>
      <c r="H3481" s="482" t="s">
        <v>5722</v>
      </c>
      <c r="I3481" s="431">
        <v>362.5</v>
      </c>
      <c r="J3481" s="10" t="s">
        <v>621</v>
      </c>
      <c r="K3481">
        <f t="shared" si="332"/>
        <v>380.63</v>
      </c>
      <c r="W3481" s="4"/>
    </row>
    <row r="3482" spans="6:23" ht="24" customHeight="1">
      <c r="F3482">
        <v>12</v>
      </c>
      <c r="G3482" s="7" t="s">
        <v>364</v>
      </c>
      <c r="H3482" t="s">
        <v>2501</v>
      </c>
      <c r="I3482">
        <f>I2537</f>
        <v>70.150000000000006</v>
      </c>
      <c r="J3482" s="10" t="s">
        <v>364</v>
      </c>
      <c r="K3482">
        <f t="shared" si="332"/>
        <v>841.8</v>
      </c>
      <c r="S3482" s="415" t="s">
        <v>3571</v>
      </c>
      <c r="W3482" s="4"/>
    </row>
    <row r="3483" spans="6:23" ht="24" customHeight="1">
      <c r="F3483">
        <v>2.85</v>
      </c>
      <c r="G3483" s="7" t="s">
        <v>621</v>
      </c>
      <c r="H3483" t="s">
        <v>2502</v>
      </c>
      <c r="I3483">
        <f>D31</f>
        <v>1498.2</v>
      </c>
      <c r="J3483" s="10" t="s">
        <v>621</v>
      </c>
      <c r="K3483">
        <f t="shared" si="332"/>
        <v>4269.87</v>
      </c>
      <c r="W3483" s="4"/>
    </row>
    <row r="3484" spans="6:23" ht="24" customHeight="1">
      <c r="F3484">
        <v>6</v>
      </c>
      <c r="G3484" s="7" t="s">
        <v>1419</v>
      </c>
      <c r="H3484" s="1" t="s">
        <v>1490</v>
      </c>
      <c r="I3484">
        <f>I2819</f>
        <v>214.1</v>
      </c>
      <c r="J3484" s="10" t="s">
        <v>785</v>
      </c>
      <c r="K3484">
        <f t="shared" si="332"/>
        <v>1284.5999999999999</v>
      </c>
      <c r="W3484" s="4"/>
    </row>
    <row r="3485" spans="6:23" ht="24" customHeight="1">
      <c r="F3485">
        <v>1</v>
      </c>
      <c r="G3485" s="7" t="s">
        <v>1419</v>
      </c>
      <c r="H3485" t="s">
        <v>2503</v>
      </c>
      <c r="I3485">
        <f>I2821</f>
        <v>836</v>
      </c>
      <c r="J3485" s="10" t="s">
        <v>785</v>
      </c>
      <c r="K3485">
        <f t="shared" si="332"/>
        <v>836</v>
      </c>
      <c r="W3485" s="4"/>
    </row>
    <row r="3486" spans="6:23" ht="24" customHeight="1">
      <c r="F3486">
        <v>3</v>
      </c>
      <c r="G3486" s="7" t="s">
        <v>1419</v>
      </c>
      <c r="H3486" s="1" t="s">
        <v>1491</v>
      </c>
      <c r="I3486">
        <f>I2820</f>
        <v>408</v>
      </c>
      <c r="J3486" s="10" t="s">
        <v>785</v>
      </c>
      <c r="K3486">
        <f t="shared" si="332"/>
        <v>1224</v>
      </c>
      <c r="W3486" s="4"/>
    </row>
    <row r="3487" spans="6:23" ht="24" customHeight="1">
      <c r="F3487">
        <v>2</v>
      </c>
      <c r="G3487" s="7" t="s">
        <v>1419</v>
      </c>
      <c r="H3487" s="1" t="s">
        <v>2507</v>
      </c>
      <c r="I3487">
        <f>I2820</f>
        <v>408</v>
      </c>
      <c r="J3487" s="10" t="s">
        <v>785</v>
      </c>
      <c r="K3487">
        <f t="shared" si="332"/>
        <v>816</v>
      </c>
      <c r="W3487" s="4"/>
    </row>
    <row r="3488" spans="6:23" ht="24" customHeight="1">
      <c r="F3488">
        <v>2</v>
      </c>
      <c r="G3488" s="7" t="s">
        <v>1419</v>
      </c>
      <c r="H3488" s="1" t="s">
        <v>2018</v>
      </c>
      <c r="I3488">
        <f>I2823</f>
        <v>49.55</v>
      </c>
      <c r="J3488" s="10" t="s">
        <v>785</v>
      </c>
      <c r="K3488">
        <f t="shared" si="332"/>
        <v>99.1</v>
      </c>
      <c r="W3488" s="4"/>
    </row>
    <row r="3489" spans="6:23" ht="24" customHeight="1">
      <c r="F3489">
        <v>2</v>
      </c>
      <c r="G3489" s="7" t="s">
        <v>1419</v>
      </c>
      <c r="H3489" s="1" t="s">
        <v>1493</v>
      </c>
      <c r="I3489">
        <f>I2822</f>
        <v>7.3</v>
      </c>
      <c r="J3489" s="10" t="s">
        <v>785</v>
      </c>
      <c r="K3489">
        <f t="shared" si="332"/>
        <v>14.6</v>
      </c>
      <c r="W3489" s="4"/>
    </row>
    <row r="3490" spans="6:23" ht="24" customHeight="1">
      <c r="F3490">
        <v>1.05</v>
      </c>
      <c r="G3490" s="7" t="s">
        <v>621</v>
      </c>
      <c r="H3490" s="1" t="s">
        <v>2504</v>
      </c>
      <c r="I3490">
        <f>K1553</f>
        <v>142.15</v>
      </c>
      <c r="J3490" s="10" t="s">
        <v>621</v>
      </c>
      <c r="K3490">
        <f t="shared" si="332"/>
        <v>149.26</v>
      </c>
      <c r="W3490" s="4"/>
    </row>
    <row r="3491" spans="6:23" ht="24" customHeight="1">
      <c r="F3491" s="398">
        <v>3.15</v>
      </c>
      <c r="G3491" s="7" t="s">
        <v>621</v>
      </c>
      <c r="H3491" s="1" t="s">
        <v>2505</v>
      </c>
      <c r="I3491">
        <f>K1167</f>
        <v>201.2</v>
      </c>
      <c r="J3491" s="10" t="s">
        <v>621</v>
      </c>
      <c r="K3491">
        <f t="shared" si="332"/>
        <v>633.78</v>
      </c>
      <c r="W3491" s="4"/>
    </row>
    <row r="3492" spans="6:23" ht="24" customHeight="1">
      <c r="G3492" s="7"/>
      <c r="H3492" s="1" t="s">
        <v>3617</v>
      </c>
      <c r="I3492" s="1588" t="s">
        <v>455</v>
      </c>
      <c r="J3492" s="1588"/>
      <c r="K3492">
        <f>R3199</f>
        <v>284.38</v>
      </c>
      <c r="W3492" s="4"/>
    </row>
    <row r="3493" spans="6:23" ht="24" customHeight="1">
      <c r="K3493" s="328" t="s">
        <v>2091</v>
      </c>
      <c r="W3493" s="4"/>
    </row>
    <row r="3494" spans="6:23" ht="24" customHeight="1">
      <c r="H3494" s="33" t="s">
        <v>2506</v>
      </c>
      <c r="I3494" s="36"/>
      <c r="J3494" s="98"/>
      <c r="K3494" s="36">
        <f>SUM(K3477:K3493)</f>
        <v>18421.580000000002</v>
      </c>
      <c r="W3494" s="4"/>
    </row>
    <row r="3495" spans="6:23" ht="24" customHeight="1">
      <c r="K3495" s="328" t="s">
        <v>2091</v>
      </c>
      <c r="W3495" s="4"/>
    </row>
    <row r="3496" spans="6:23" ht="24" customHeight="1">
      <c r="W3496" s="4"/>
    </row>
    <row r="3497" spans="6:23" ht="24" customHeight="1">
      <c r="J3497" s="4"/>
      <c r="W3497" s="4"/>
    </row>
    <row r="3498" spans="6:23" ht="24" customHeight="1">
      <c r="G3498" s="10" t="s">
        <v>3572</v>
      </c>
      <c r="J3498" s="4"/>
      <c r="W3498" s="4"/>
    </row>
    <row r="3499" spans="6:23" ht="24" customHeight="1">
      <c r="J3499" s="4"/>
      <c r="W3499" s="4"/>
    </row>
    <row r="3500" spans="6:23" ht="24" customHeight="1">
      <c r="F3500" s="381">
        <v>1.8</v>
      </c>
      <c r="G3500" s="3" t="s">
        <v>885</v>
      </c>
      <c r="H3500" t="s">
        <v>3574</v>
      </c>
      <c r="I3500" s="431">
        <f>((505+583)/2)+Z15</f>
        <v>781.69</v>
      </c>
      <c r="J3500" s="4" t="s">
        <v>885</v>
      </c>
      <c r="K3500" s="32">
        <f>I3500*F3500</f>
        <v>1407.04</v>
      </c>
      <c r="W3500" s="4"/>
    </row>
    <row r="3501" spans="6:23" ht="24" customHeight="1">
      <c r="I3501" s="431"/>
      <c r="J3501" s="4"/>
      <c r="K3501" s="32"/>
      <c r="W3501" s="4"/>
    </row>
    <row r="3502" spans="6:23" ht="24" customHeight="1">
      <c r="F3502" s="381">
        <v>1.2</v>
      </c>
      <c r="G3502" s="3" t="s">
        <v>885</v>
      </c>
      <c r="H3502" t="s">
        <v>3575</v>
      </c>
      <c r="I3502" s="431">
        <f>((1054+906+1467+1362+1001)/5)+Z15</f>
        <v>1395.69</v>
      </c>
      <c r="J3502" s="4" t="s">
        <v>885</v>
      </c>
      <c r="K3502" s="32">
        <f t="shared" ref="K3502:K3510" si="333">I3502*F3502</f>
        <v>1674.83</v>
      </c>
      <c r="W3502" s="4"/>
    </row>
    <row r="3503" spans="6:23" ht="24" customHeight="1">
      <c r="J3503" s="4"/>
      <c r="K3503" s="32"/>
      <c r="W3503" s="4"/>
    </row>
    <row r="3504" spans="6:23" ht="24" customHeight="1">
      <c r="F3504" s="381">
        <v>0.6</v>
      </c>
      <c r="G3504" s="3" t="s">
        <v>885</v>
      </c>
      <c r="H3504" t="s">
        <v>3576</v>
      </c>
      <c r="I3504">
        <f>AC16</f>
        <v>1608.7</v>
      </c>
      <c r="J3504" s="4" t="s">
        <v>885</v>
      </c>
      <c r="K3504" s="32">
        <f t="shared" si="333"/>
        <v>965.22</v>
      </c>
      <c r="O3504" s="36" t="s">
        <v>3562</v>
      </c>
      <c r="W3504" s="4"/>
    </row>
    <row r="3505" spans="6:24" ht="24" customHeight="1">
      <c r="J3505" s="4"/>
      <c r="K3505" s="32"/>
      <c r="W3505" s="4"/>
    </row>
    <row r="3506" spans="6:24" ht="24" customHeight="1">
      <c r="F3506" s="381">
        <v>3</v>
      </c>
      <c r="G3506" s="3" t="s">
        <v>885</v>
      </c>
      <c r="H3506" t="s">
        <v>3566</v>
      </c>
      <c r="I3506">
        <f>R3519</f>
        <v>2164.64</v>
      </c>
      <c r="J3506" s="4" t="s">
        <v>885</v>
      </c>
      <c r="K3506" s="32">
        <f t="shared" si="333"/>
        <v>6493.92</v>
      </c>
      <c r="W3506" s="4"/>
    </row>
    <row r="3507" spans="6:24" ht="24" customHeight="1">
      <c r="F3507" s="381"/>
      <c r="J3507" s="4"/>
      <c r="K3507" s="32"/>
      <c r="M3507">
        <f>(1.08/8)</f>
        <v>0.14000000000000001</v>
      </c>
      <c r="N3507" t="s">
        <v>885</v>
      </c>
      <c r="O3507" t="s">
        <v>1937</v>
      </c>
      <c r="P3507">
        <f>P3515</f>
        <v>679.8</v>
      </c>
      <c r="Q3507" t="s">
        <v>885</v>
      </c>
      <c r="R3507">
        <f>P3507*M3507</f>
        <v>95.17</v>
      </c>
      <c r="W3507" s="4"/>
    </row>
    <row r="3508" spans="6:24" ht="24" customHeight="1">
      <c r="F3508" s="381">
        <v>3</v>
      </c>
      <c r="G3508" s="3" t="s">
        <v>885</v>
      </c>
      <c r="H3508" t="s">
        <v>3573</v>
      </c>
      <c r="I3508">
        <f>AG67</f>
        <v>40.65</v>
      </c>
      <c r="J3508" s="4" t="s">
        <v>885</v>
      </c>
      <c r="K3508" s="32">
        <f t="shared" si="333"/>
        <v>121.95</v>
      </c>
      <c r="L3508" s="809"/>
      <c r="W3508" s="4"/>
    </row>
    <row r="3509" spans="6:24" ht="24" customHeight="1">
      <c r="F3509" s="381"/>
      <c r="J3509" s="4"/>
      <c r="K3509" s="32"/>
      <c r="O3509" s="32" t="s">
        <v>3563</v>
      </c>
      <c r="R3509">
        <f>R3507</f>
        <v>95.17</v>
      </c>
      <c r="W3509" s="4"/>
    </row>
    <row r="3510" spans="6:24" ht="24" customHeight="1">
      <c r="F3510" s="381">
        <v>3</v>
      </c>
      <c r="G3510" s="3" t="s">
        <v>885</v>
      </c>
      <c r="H3510" t="s">
        <v>3568</v>
      </c>
      <c r="I3510">
        <f>AE26</f>
        <v>72.819999999999993</v>
      </c>
      <c r="J3510" s="4" t="s">
        <v>885</v>
      </c>
      <c r="K3510" s="32">
        <f t="shared" si="333"/>
        <v>218.46</v>
      </c>
      <c r="O3510" s="32" t="s">
        <v>3564</v>
      </c>
      <c r="R3510">
        <f>R3509/0.75</f>
        <v>126.89</v>
      </c>
      <c r="W3510" s="4"/>
    </row>
    <row r="3511" spans="6:24" ht="24" customHeight="1">
      <c r="J3511" s="4"/>
      <c r="K3511" s="32"/>
      <c r="W3511" s="4"/>
    </row>
    <row r="3512" spans="6:24" ht="24" customHeight="1">
      <c r="H3512" t="s">
        <v>3570</v>
      </c>
      <c r="J3512" s="4" t="s">
        <v>455</v>
      </c>
      <c r="K3512" s="32">
        <v>1.84</v>
      </c>
      <c r="O3512" s="36" t="s">
        <v>3565</v>
      </c>
      <c r="W3512" s="4"/>
    </row>
    <row r="3513" spans="6:24" ht="24" customHeight="1">
      <c r="J3513" s="4"/>
      <c r="K3513" s="32"/>
      <c r="W3513" s="4"/>
    </row>
    <row r="3514" spans="6:24" ht="24" customHeight="1">
      <c r="H3514" s="32" t="s">
        <v>3577</v>
      </c>
      <c r="J3514" s="4"/>
      <c r="K3514" s="91">
        <f>SUM(K3500:K3513)</f>
        <v>10883.26</v>
      </c>
      <c r="M3514">
        <v>1.8</v>
      </c>
      <c r="N3514" t="s">
        <v>1457</v>
      </c>
      <c r="O3514" t="s">
        <v>3567</v>
      </c>
      <c r="P3514">
        <f>AE10</f>
        <v>972.4</v>
      </c>
      <c r="Q3514" t="s">
        <v>1423</v>
      </c>
      <c r="R3514">
        <f>P3514*M3514</f>
        <v>1750.32</v>
      </c>
      <c r="W3514" s="4"/>
    </row>
    <row r="3515" spans="6:24" ht="24" customHeight="1">
      <c r="H3515" s="32" t="s">
        <v>3578</v>
      </c>
      <c r="J3515" s="4"/>
      <c r="K3515" s="36">
        <f>K3514/F3506</f>
        <v>3627.75</v>
      </c>
      <c r="M3515">
        <v>17.7</v>
      </c>
      <c r="N3515" t="s">
        <v>1457</v>
      </c>
      <c r="O3515" t="s">
        <v>2835</v>
      </c>
      <c r="P3515">
        <f>AE11</f>
        <v>679.8</v>
      </c>
      <c r="Q3515" t="s">
        <v>1423</v>
      </c>
      <c r="R3515">
        <f>P3515*M3515</f>
        <v>12032.46</v>
      </c>
      <c r="W3515" s="4"/>
    </row>
    <row r="3516" spans="6:24" ht="24" customHeight="1">
      <c r="J3516" s="4"/>
      <c r="K3516" s="328" t="s">
        <v>2091</v>
      </c>
      <c r="M3516">
        <v>14.1</v>
      </c>
      <c r="N3516" t="s">
        <v>1457</v>
      </c>
      <c r="O3516" t="s">
        <v>2836</v>
      </c>
      <c r="P3516">
        <f>AE12</f>
        <v>557.70000000000005</v>
      </c>
      <c r="Q3516" t="s">
        <v>1423</v>
      </c>
      <c r="R3516">
        <f>P3516*M3516</f>
        <v>7863.57</v>
      </c>
      <c r="S3516" s="448"/>
      <c r="T3516" s="449"/>
      <c r="U3516" s="448" t="s">
        <v>3842</v>
      </c>
      <c r="V3516" s="448"/>
      <c r="W3516" s="1028"/>
    </row>
    <row r="3517" spans="6:24" ht="24" customHeight="1">
      <c r="S3517"/>
      <c r="T3517" s="3"/>
      <c r="U3517" s="448" t="s">
        <v>5501</v>
      </c>
      <c r="V3517">
        <f>1.1*2.325</f>
        <v>2.56</v>
      </c>
      <c r="W3517" s="4"/>
    </row>
    <row r="3518" spans="6:24" ht="24" customHeight="1">
      <c r="O3518" s="32" t="s">
        <v>3569</v>
      </c>
      <c r="R3518">
        <f>SUM(R3514:R3517)</f>
        <v>21646.35</v>
      </c>
      <c r="S3518" s="448">
        <f>V3517</f>
        <v>2.56</v>
      </c>
      <c r="T3518" s="449" t="s">
        <v>621</v>
      </c>
      <c r="U3518" s="448" t="s">
        <v>3712</v>
      </c>
      <c r="V3518" s="448">
        <f>V3538</f>
        <v>2255</v>
      </c>
      <c r="W3518" s="1028" t="s">
        <v>621</v>
      </c>
      <c r="X3518" s="448">
        <f>V3518*S3518</f>
        <v>5772.8</v>
      </c>
    </row>
    <row r="3519" spans="6:24" ht="24" customHeight="1">
      <c r="O3519" s="32" t="s">
        <v>3564</v>
      </c>
      <c r="R3519">
        <f>R3518/10</f>
        <v>2164.64</v>
      </c>
      <c r="S3519" s="448">
        <f>V3517</f>
        <v>2.56</v>
      </c>
      <c r="T3519" s="449" t="s">
        <v>621</v>
      </c>
      <c r="U3519" s="448" t="s">
        <v>3713</v>
      </c>
      <c r="V3519" s="448">
        <f t="shared" ref="V3519:V3527" si="334">V3539</f>
        <v>223.3</v>
      </c>
      <c r="W3519" s="1028" t="s">
        <v>621</v>
      </c>
      <c r="X3519" s="448">
        <f t="shared" ref="X3519:X3526" si="335">V3519*S3519</f>
        <v>571.65</v>
      </c>
    </row>
    <row r="3520" spans="6:24" ht="24" customHeight="1">
      <c r="F3520" s="448"/>
      <c r="G3520" s="449"/>
      <c r="H3520" s="448" t="s">
        <v>3724</v>
      </c>
      <c r="I3520" s="448"/>
      <c r="J3520" s="450"/>
      <c r="O3520" s="32"/>
      <c r="S3520" s="448">
        <v>2</v>
      </c>
      <c r="T3520" s="449" t="s">
        <v>785</v>
      </c>
      <c r="U3520" s="448" t="s">
        <v>3714</v>
      </c>
      <c r="V3520" s="448">
        <f t="shared" si="334"/>
        <v>57.65</v>
      </c>
      <c r="W3520" s="1028" t="s">
        <v>785</v>
      </c>
      <c r="X3520" s="448">
        <f t="shared" si="335"/>
        <v>115.3</v>
      </c>
    </row>
    <row r="3521" spans="6:32" ht="24" customHeight="1">
      <c r="H3521" s="452" t="s">
        <v>3725</v>
      </c>
      <c r="I3521" s="448">
        <f>1.1*2.325</f>
        <v>2.56</v>
      </c>
      <c r="O3521" s="36" t="s">
        <v>3965</v>
      </c>
      <c r="R3521" s="36">
        <f>AF67</f>
        <v>36.950000000000003</v>
      </c>
      <c r="S3521" s="448">
        <v>4</v>
      </c>
      <c r="T3521" s="449" t="s">
        <v>785</v>
      </c>
      <c r="U3521" s="448" t="s">
        <v>3715</v>
      </c>
      <c r="V3521" s="448">
        <f t="shared" si="334"/>
        <v>89.6</v>
      </c>
      <c r="W3521" s="1028" t="s">
        <v>785</v>
      </c>
      <c r="X3521" s="448">
        <f t="shared" si="335"/>
        <v>358.4</v>
      </c>
    </row>
    <row r="3522" spans="6:32" ht="24" customHeight="1">
      <c r="F3522" s="448">
        <f>I3521</f>
        <v>2.56</v>
      </c>
      <c r="G3522" s="449" t="s">
        <v>621</v>
      </c>
      <c r="H3522" s="448" t="s">
        <v>5169</v>
      </c>
      <c r="I3522" s="527">
        <v>2255</v>
      </c>
      <c r="J3522" s="449" t="s">
        <v>621</v>
      </c>
      <c r="K3522" s="448">
        <f>I3522*F3522</f>
        <v>5772.8</v>
      </c>
      <c r="S3522" s="448">
        <v>2</v>
      </c>
      <c r="T3522" s="449" t="s">
        <v>785</v>
      </c>
      <c r="U3522" s="448" t="s">
        <v>3716</v>
      </c>
      <c r="V3522" s="448">
        <f t="shared" si="334"/>
        <v>64.8</v>
      </c>
      <c r="W3522" s="1028" t="s">
        <v>785</v>
      </c>
      <c r="X3522" s="448">
        <f t="shared" si="335"/>
        <v>129.6</v>
      </c>
    </row>
    <row r="3523" spans="6:32" ht="24" customHeight="1">
      <c r="F3523" s="448">
        <f>F3522</f>
        <v>2.56</v>
      </c>
      <c r="G3523" s="449" t="s">
        <v>621</v>
      </c>
      <c r="H3523" s="448" t="s">
        <v>4802</v>
      </c>
      <c r="I3523" s="448">
        <f>AE53</f>
        <v>344.3</v>
      </c>
      <c r="J3523" s="449" t="s">
        <v>621</v>
      </c>
      <c r="K3523" s="448">
        <f t="shared" ref="K3523:K3530" si="336">I3523*F3523</f>
        <v>881.41</v>
      </c>
      <c r="S3523" s="448">
        <v>1</v>
      </c>
      <c r="T3523" s="449" t="s">
        <v>785</v>
      </c>
      <c r="U3523" s="448" t="s">
        <v>2503</v>
      </c>
      <c r="V3523" s="448">
        <f t="shared" si="334"/>
        <v>181</v>
      </c>
      <c r="W3523" s="1028" t="s">
        <v>785</v>
      </c>
      <c r="X3523" s="448">
        <f t="shared" si="335"/>
        <v>181</v>
      </c>
    </row>
    <row r="3524" spans="6:32" ht="24" customHeight="1">
      <c r="F3524" s="448">
        <v>4</v>
      </c>
      <c r="G3524" s="449" t="s">
        <v>785</v>
      </c>
      <c r="H3524" s="448" t="s">
        <v>3956</v>
      </c>
      <c r="I3524" s="448">
        <f>P3228</f>
        <v>57.65</v>
      </c>
      <c r="J3524" s="449" t="s">
        <v>785</v>
      </c>
      <c r="K3524" s="448">
        <f t="shared" si="336"/>
        <v>230.6</v>
      </c>
      <c r="M3524" s="448"/>
      <c r="N3524" s="449"/>
      <c r="O3524" s="524" t="s">
        <v>3832</v>
      </c>
      <c r="P3524" s="448"/>
      <c r="Q3524" s="450"/>
      <c r="S3524" s="448">
        <v>92</v>
      </c>
      <c r="T3524" s="449" t="s">
        <v>785</v>
      </c>
      <c r="U3524" s="448" t="s">
        <v>3717</v>
      </c>
      <c r="V3524" s="448">
        <f t="shared" si="334"/>
        <v>2.41</v>
      </c>
      <c r="W3524" s="1028" t="s">
        <v>785</v>
      </c>
      <c r="X3524" s="448">
        <f t="shared" si="335"/>
        <v>221.72</v>
      </c>
    </row>
    <row r="3525" spans="6:32" ht="24" customHeight="1">
      <c r="F3525" s="448">
        <v>8</v>
      </c>
      <c r="G3525" s="449" t="s">
        <v>785</v>
      </c>
      <c r="H3525" s="448" t="s">
        <v>3957</v>
      </c>
      <c r="I3525" s="448">
        <f>P3229</f>
        <v>89.6</v>
      </c>
      <c r="J3525" s="449" t="s">
        <v>785</v>
      </c>
      <c r="K3525" s="448">
        <f t="shared" si="336"/>
        <v>716.8</v>
      </c>
      <c r="N3525" s="3"/>
      <c r="O3525" s="523" t="s">
        <v>3833</v>
      </c>
      <c r="P3525" s="523">
        <f>1.4*2.325</f>
        <v>3.26</v>
      </c>
      <c r="Q3525" s="10"/>
      <c r="S3525" s="448">
        <v>1</v>
      </c>
      <c r="T3525" s="449" t="s">
        <v>785</v>
      </c>
      <c r="U3525" s="448" t="s">
        <v>3718</v>
      </c>
      <c r="V3525" s="448">
        <f t="shared" si="334"/>
        <v>23.1</v>
      </c>
      <c r="W3525" s="1028" t="s">
        <v>785</v>
      </c>
      <c r="X3525" s="448">
        <f t="shared" si="335"/>
        <v>23.1</v>
      </c>
    </row>
    <row r="3526" spans="6:32" ht="24" customHeight="1">
      <c r="F3526" s="448">
        <v>4</v>
      </c>
      <c r="G3526" s="449" t="s">
        <v>785</v>
      </c>
      <c r="H3526" s="448" t="s">
        <v>3958</v>
      </c>
      <c r="I3526" s="448">
        <f>C284</f>
        <v>64.8</v>
      </c>
      <c r="J3526" s="449" t="s">
        <v>785</v>
      </c>
      <c r="K3526" s="448">
        <f t="shared" si="336"/>
        <v>259.2</v>
      </c>
      <c r="M3526" s="448">
        <f>P3525</f>
        <v>3.26</v>
      </c>
      <c r="N3526" s="449" t="s">
        <v>621</v>
      </c>
      <c r="O3526" s="448" t="s">
        <v>4510</v>
      </c>
      <c r="P3526" s="448">
        <f>I3522</f>
        <v>2255</v>
      </c>
      <c r="Q3526" s="449" t="s">
        <v>621</v>
      </c>
      <c r="R3526" s="448">
        <f t="shared" ref="R3526:R3534" si="337">P3526*M3526</f>
        <v>7351.3</v>
      </c>
      <c r="S3526" s="448">
        <v>1</v>
      </c>
      <c r="T3526" s="449" t="s">
        <v>785</v>
      </c>
      <c r="U3526" s="448" t="s">
        <v>3719</v>
      </c>
      <c r="V3526" s="448">
        <f t="shared" si="334"/>
        <v>49.55</v>
      </c>
      <c r="W3526" s="1028" t="s">
        <v>785</v>
      </c>
      <c r="X3526" s="448">
        <f t="shared" si="335"/>
        <v>49.55</v>
      </c>
    </row>
    <row r="3527" spans="6:32" ht="24" customHeight="1">
      <c r="F3527" s="448">
        <v>1</v>
      </c>
      <c r="G3527" s="449" t="s">
        <v>785</v>
      </c>
      <c r="H3527" s="448" t="s">
        <v>3959</v>
      </c>
      <c r="I3527" s="448">
        <f>C286</f>
        <v>181</v>
      </c>
      <c r="J3527" s="449" t="s">
        <v>785</v>
      </c>
      <c r="K3527" s="448">
        <f t="shared" si="336"/>
        <v>181</v>
      </c>
      <c r="M3527" s="448">
        <f>M3526</f>
        <v>3.26</v>
      </c>
      <c r="N3527" s="449" t="s">
        <v>621</v>
      </c>
      <c r="O3527" s="448" t="s">
        <v>3966</v>
      </c>
      <c r="P3527" s="448">
        <f t="shared" ref="P3527:P3534" si="338">I3523</f>
        <v>344.3</v>
      </c>
      <c r="Q3527" s="449" t="s">
        <v>621</v>
      </c>
      <c r="R3527" s="448">
        <f t="shared" si="337"/>
        <v>1122.42</v>
      </c>
      <c r="S3527" s="525">
        <v>0.39</v>
      </c>
      <c r="T3527" s="526" t="s">
        <v>621</v>
      </c>
      <c r="U3527" s="527" t="s">
        <v>3841</v>
      </c>
      <c r="V3527" s="448">
        <f t="shared" si="334"/>
        <v>240.31</v>
      </c>
      <c r="W3527" s="1029" t="s">
        <v>621</v>
      </c>
      <c r="X3527" s="527"/>
    </row>
    <row r="3528" spans="6:32" ht="24" customHeight="1">
      <c r="F3528" s="448">
        <v>118</v>
      </c>
      <c r="G3528" s="449" t="s">
        <v>785</v>
      </c>
      <c r="H3528" s="448" t="s">
        <v>3717</v>
      </c>
      <c r="I3528" s="448">
        <f>P3448</f>
        <v>2.41</v>
      </c>
      <c r="J3528" s="449" t="s">
        <v>785</v>
      </c>
      <c r="K3528" s="448">
        <f t="shared" si="336"/>
        <v>284.38</v>
      </c>
      <c r="M3528" s="448">
        <v>4</v>
      </c>
      <c r="N3528" s="449" t="s">
        <v>785</v>
      </c>
      <c r="O3528" s="448" t="s">
        <v>3714</v>
      </c>
      <c r="P3528" s="448">
        <f t="shared" si="338"/>
        <v>57.65</v>
      </c>
      <c r="Q3528" s="449" t="s">
        <v>785</v>
      </c>
      <c r="R3528" s="448">
        <f t="shared" si="337"/>
        <v>230.6</v>
      </c>
      <c r="S3528" s="448"/>
      <c r="T3528" s="449"/>
      <c r="U3528" s="448" t="s">
        <v>3843</v>
      </c>
      <c r="V3528" s="448"/>
      <c r="W3528" s="1028"/>
      <c r="X3528" s="448">
        <f>SUM(X3518:X3527)</f>
        <v>7423.12</v>
      </c>
    </row>
    <row r="3529" spans="6:32" ht="24" customHeight="1">
      <c r="F3529" s="448">
        <v>2</v>
      </c>
      <c r="G3529" s="449" t="s">
        <v>785</v>
      </c>
      <c r="H3529" s="448" t="s">
        <v>3960</v>
      </c>
      <c r="I3529" s="448">
        <f>P3197</f>
        <v>23.1</v>
      </c>
      <c r="J3529" s="449" t="s">
        <v>785</v>
      </c>
      <c r="K3529" s="448">
        <f t="shared" si="336"/>
        <v>46.2</v>
      </c>
      <c r="M3529" s="448">
        <v>10</v>
      </c>
      <c r="N3529" s="449" t="s">
        <v>785</v>
      </c>
      <c r="O3529" s="448" t="s">
        <v>3715</v>
      </c>
      <c r="P3529" s="448">
        <f t="shared" si="338"/>
        <v>89.6</v>
      </c>
      <c r="Q3529" s="449" t="s">
        <v>785</v>
      </c>
      <c r="R3529" s="448">
        <f t="shared" si="337"/>
        <v>896</v>
      </c>
      <c r="S3529" s="448"/>
      <c r="T3529" s="449"/>
      <c r="U3529" s="448" t="s">
        <v>3298</v>
      </c>
      <c r="V3529" s="448"/>
      <c r="W3529" s="1028"/>
      <c r="X3529" s="448">
        <f>X3528/S3519</f>
        <v>2899.66</v>
      </c>
    </row>
    <row r="3530" spans="6:32" ht="24" customHeight="1">
      <c r="F3530" s="448">
        <v>2</v>
      </c>
      <c r="G3530" s="449" t="s">
        <v>785</v>
      </c>
      <c r="H3530" s="448" t="s">
        <v>3719</v>
      </c>
      <c r="I3530" s="448">
        <f>P3403</f>
        <v>49.55</v>
      </c>
      <c r="J3530" s="449" t="s">
        <v>785</v>
      </c>
      <c r="K3530" s="448">
        <f t="shared" si="336"/>
        <v>99.1</v>
      </c>
      <c r="M3530" s="448">
        <v>3</v>
      </c>
      <c r="N3530" s="449" t="s">
        <v>785</v>
      </c>
      <c r="O3530" s="448" t="s">
        <v>3716</v>
      </c>
      <c r="P3530" s="448">
        <f t="shared" si="338"/>
        <v>64.8</v>
      </c>
      <c r="Q3530" s="449" t="s">
        <v>785</v>
      </c>
      <c r="R3530" s="448">
        <f t="shared" si="337"/>
        <v>194.4</v>
      </c>
      <c r="W3530" s="4"/>
    </row>
    <row r="3531" spans="6:32" ht="24" customHeight="1">
      <c r="F3531" s="451">
        <v>0.41099999999999998</v>
      </c>
      <c r="G3531" s="449" t="s">
        <v>621</v>
      </c>
      <c r="H3531" s="448" t="s">
        <v>3720</v>
      </c>
      <c r="I3531" s="448">
        <f>I1136</f>
        <v>201.2</v>
      </c>
      <c r="J3531" s="449" t="s">
        <v>621</v>
      </c>
      <c r="K3531" s="448"/>
      <c r="M3531" s="448">
        <v>1</v>
      </c>
      <c r="N3531" s="449" t="s">
        <v>785</v>
      </c>
      <c r="O3531" s="448" t="s">
        <v>2503</v>
      </c>
      <c r="P3531" s="448">
        <f t="shared" si="338"/>
        <v>181</v>
      </c>
      <c r="Q3531" s="449" t="s">
        <v>785</v>
      </c>
      <c r="R3531" s="448">
        <f t="shared" si="337"/>
        <v>181</v>
      </c>
      <c r="W3531" s="4"/>
    </row>
    <row r="3532" spans="6:32" ht="24" customHeight="1">
      <c r="F3532" s="448"/>
      <c r="G3532" s="449"/>
      <c r="H3532" s="448" t="s">
        <v>3837</v>
      </c>
      <c r="I3532" s="448"/>
      <c r="J3532" s="450"/>
      <c r="K3532" s="448">
        <f>SUM(K3522:K3531)</f>
        <v>8471.49</v>
      </c>
      <c r="M3532" s="448">
        <v>162</v>
      </c>
      <c r="N3532" s="449" t="s">
        <v>785</v>
      </c>
      <c r="O3532" s="448" t="s">
        <v>3717</v>
      </c>
      <c r="P3532" s="448">
        <f t="shared" si="338"/>
        <v>2.41</v>
      </c>
      <c r="Q3532" s="449" t="s">
        <v>785</v>
      </c>
      <c r="R3532" s="448">
        <f t="shared" si="337"/>
        <v>390.42</v>
      </c>
      <c r="W3532" s="4"/>
    </row>
    <row r="3533" spans="6:32" ht="24" customHeight="1">
      <c r="F3533" s="448"/>
      <c r="G3533" s="449"/>
      <c r="H3533" s="448" t="s">
        <v>3298</v>
      </c>
      <c r="I3533" s="448"/>
      <c r="J3533" s="450"/>
      <c r="K3533" s="448">
        <f>K3532/F3523</f>
        <v>3309.18</v>
      </c>
      <c r="M3533" s="448">
        <v>2</v>
      </c>
      <c r="N3533" s="449" t="s">
        <v>785</v>
      </c>
      <c r="O3533" s="448" t="s">
        <v>3718</v>
      </c>
      <c r="P3533" s="448">
        <f t="shared" si="338"/>
        <v>23.1</v>
      </c>
      <c r="Q3533" s="449" t="s">
        <v>785</v>
      </c>
      <c r="R3533" s="448">
        <f t="shared" si="337"/>
        <v>46.2</v>
      </c>
      <c r="W3533" s="4"/>
    </row>
    <row r="3534" spans="6:32" ht="24" customHeight="1">
      <c r="H3534" s="448"/>
      <c r="K3534" s="448"/>
      <c r="M3534" s="448">
        <v>2</v>
      </c>
      <c r="N3534" s="449" t="s">
        <v>785</v>
      </c>
      <c r="O3534" s="448" t="s">
        <v>3719</v>
      </c>
      <c r="P3534" s="448">
        <f t="shared" si="338"/>
        <v>49.55</v>
      </c>
      <c r="Q3534" s="449" t="s">
        <v>785</v>
      </c>
      <c r="R3534" s="448">
        <f t="shared" si="337"/>
        <v>99.1</v>
      </c>
      <c r="W3534" s="4"/>
    </row>
    <row r="3535" spans="6:32" ht="24" customHeight="1">
      <c r="M3535" s="451">
        <v>0</v>
      </c>
      <c r="N3535" s="449" t="s">
        <v>621</v>
      </c>
      <c r="O3535" s="448" t="s">
        <v>3720</v>
      </c>
      <c r="P3535" s="448">
        <f>I3531</f>
        <v>201.2</v>
      </c>
      <c r="Q3535" s="449" t="s">
        <v>621</v>
      </c>
      <c r="R3535" s="448">
        <f>P3535*M3535</f>
        <v>0</v>
      </c>
      <c r="W3535" s="4"/>
    </row>
    <row r="3536" spans="6:32" ht="24" customHeight="1">
      <c r="F3536" s="448"/>
      <c r="G3536" s="449"/>
      <c r="H3536" s="448" t="s">
        <v>3722</v>
      </c>
      <c r="I3536" s="448"/>
      <c r="J3536" s="450"/>
      <c r="M3536" s="448"/>
      <c r="N3536" s="449"/>
      <c r="O3536" s="448" t="s">
        <v>3834</v>
      </c>
      <c r="P3536" s="448"/>
      <c r="Q3536" s="450"/>
      <c r="R3536" s="448">
        <f>SUM(R3526:R3535)</f>
        <v>10511.44</v>
      </c>
      <c r="S3536" s="448"/>
      <c r="T3536" s="449"/>
      <c r="U3536" s="448" t="s">
        <v>3842</v>
      </c>
      <c r="V3536" s="448"/>
      <c r="W3536" s="1028"/>
      <c r="AB3536" s="448"/>
      <c r="AC3536" s="449"/>
      <c r="AD3536" s="448" t="s">
        <v>4542</v>
      </c>
      <c r="AE3536" s="448"/>
      <c r="AF3536" s="450"/>
    </row>
    <row r="3537" spans="6:33" ht="24" customHeight="1">
      <c r="H3537" s="448" t="s">
        <v>3849</v>
      </c>
      <c r="I3537">
        <f>0.9*2.025</f>
        <v>1.82</v>
      </c>
      <c r="M3537" s="448"/>
      <c r="N3537" s="449"/>
      <c r="O3537" s="448" t="s">
        <v>3298</v>
      </c>
      <c r="P3537" s="448"/>
      <c r="Q3537" s="450"/>
      <c r="R3537" s="448">
        <f>R3536/M3527</f>
        <v>3224.37</v>
      </c>
      <c r="S3537"/>
      <c r="T3537" s="3"/>
      <c r="U3537" s="448" t="s">
        <v>3850</v>
      </c>
      <c r="V3537">
        <f>0.9*2.325</f>
        <v>2.09</v>
      </c>
      <c r="W3537" s="4"/>
      <c r="AC3537" s="3"/>
      <c r="AD3537" s="448" t="s">
        <v>4841</v>
      </c>
      <c r="AE3537">
        <f>0.8*2.025</f>
        <v>1.62</v>
      </c>
      <c r="AF3537" s="10"/>
    </row>
    <row r="3538" spans="6:33" ht="24" customHeight="1">
      <c r="F3538" s="448">
        <f>I3537</f>
        <v>1.82</v>
      </c>
      <c r="G3538" s="449" t="s">
        <v>621</v>
      </c>
      <c r="H3538" s="448" t="s">
        <v>3712</v>
      </c>
      <c r="I3538" s="527">
        <f>I3522</f>
        <v>2255</v>
      </c>
      <c r="J3538" s="449" t="s">
        <v>621</v>
      </c>
      <c r="K3538" s="448">
        <f>I3538*F3538</f>
        <v>4104.1000000000004</v>
      </c>
      <c r="Q3538" s="449"/>
      <c r="R3538" s="524"/>
      <c r="S3538" s="448">
        <f>V3537</f>
        <v>2.09</v>
      </c>
      <c r="T3538" s="449" t="s">
        <v>621</v>
      </c>
      <c r="U3538" s="448" t="s">
        <v>3712</v>
      </c>
      <c r="V3538" s="448">
        <f>I3538</f>
        <v>2255</v>
      </c>
      <c r="W3538" s="1028" t="s">
        <v>621</v>
      </c>
      <c r="X3538" s="448">
        <f>V3538*S3538</f>
        <v>4712.95</v>
      </c>
      <c r="AB3538" s="448">
        <f>AE3537</f>
        <v>1.62</v>
      </c>
      <c r="AC3538" s="449" t="s">
        <v>621</v>
      </c>
      <c r="AD3538" s="448" t="s">
        <v>4544</v>
      </c>
      <c r="AE3538" s="527">
        <f>I3522</f>
        <v>2255</v>
      </c>
      <c r="AF3538" s="449" t="s">
        <v>621</v>
      </c>
      <c r="AG3538" s="448">
        <f>AE3538*AB3538</f>
        <v>3653.1</v>
      </c>
    </row>
    <row r="3539" spans="6:33" ht="24" customHeight="1">
      <c r="F3539" s="448">
        <f>I3537</f>
        <v>1.82</v>
      </c>
      <c r="G3539" s="449" t="s">
        <v>621</v>
      </c>
      <c r="H3539" s="448" t="s">
        <v>4803</v>
      </c>
      <c r="I3539" s="527">
        <f>AE52</f>
        <v>223.3</v>
      </c>
      <c r="J3539" s="449" t="s">
        <v>621</v>
      </c>
      <c r="K3539" s="448">
        <f t="shared" ref="K3539:K3546" si="339">I3539*F3539</f>
        <v>406.41</v>
      </c>
      <c r="S3539" s="448">
        <f>V3537</f>
        <v>2.09</v>
      </c>
      <c r="T3539" s="449" t="s">
        <v>621</v>
      </c>
      <c r="U3539" s="448" t="s">
        <v>3713</v>
      </c>
      <c r="V3539" s="448">
        <f t="shared" ref="V3539:V3547" si="340">I3539</f>
        <v>223.3</v>
      </c>
      <c r="W3539" s="1028" t="s">
        <v>621</v>
      </c>
      <c r="X3539" s="448">
        <f t="shared" ref="X3539:X3546" si="341">V3539*S3539</f>
        <v>466.7</v>
      </c>
      <c r="AB3539" s="448">
        <f>AE3537</f>
        <v>1.62</v>
      </c>
      <c r="AC3539" s="449" t="s">
        <v>621</v>
      </c>
      <c r="AD3539" s="448" t="s">
        <v>3955</v>
      </c>
      <c r="AE3539" s="527">
        <f>I3539</f>
        <v>223.3</v>
      </c>
      <c r="AF3539" s="449" t="s">
        <v>621</v>
      </c>
      <c r="AG3539" s="448">
        <f t="shared" ref="AG3539:AG3546" si="342">AE3539*AB3539</f>
        <v>361.75</v>
      </c>
    </row>
    <row r="3540" spans="6:33" ht="24" customHeight="1">
      <c r="F3540" s="448">
        <v>2</v>
      </c>
      <c r="G3540" s="449" t="s">
        <v>785</v>
      </c>
      <c r="H3540" s="448" t="s">
        <v>3714</v>
      </c>
      <c r="I3540" s="448">
        <f t="shared" ref="I3540:I3546" si="343">I3524</f>
        <v>57.65</v>
      </c>
      <c r="J3540" s="449" t="s">
        <v>785</v>
      </c>
      <c r="K3540" s="448">
        <f t="shared" si="339"/>
        <v>115.3</v>
      </c>
      <c r="M3540" s="448"/>
      <c r="N3540" s="449"/>
      <c r="O3540" s="448" t="s">
        <v>3835</v>
      </c>
      <c r="P3540" s="448"/>
      <c r="Q3540" s="450"/>
      <c r="S3540" s="448">
        <v>2</v>
      </c>
      <c r="T3540" s="449" t="s">
        <v>785</v>
      </c>
      <c r="U3540" s="448" t="s">
        <v>3714</v>
      </c>
      <c r="V3540" s="448">
        <f t="shared" si="340"/>
        <v>57.65</v>
      </c>
      <c r="W3540" s="1028" t="s">
        <v>785</v>
      </c>
      <c r="X3540" s="448">
        <f t="shared" si="341"/>
        <v>115.3</v>
      </c>
      <c r="AB3540" s="448">
        <v>2</v>
      </c>
      <c r="AC3540" s="449" t="s">
        <v>785</v>
      </c>
      <c r="AD3540" s="448" t="s">
        <v>3714</v>
      </c>
      <c r="AE3540" s="527">
        <f t="shared" ref="AE3540:AE3547" si="344">I3540</f>
        <v>57.65</v>
      </c>
      <c r="AF3540" s="449" t="s">
        <v>785</v>
      </c>
      <c r="AG3540" s="448">
        <f t="shared" si="342"/>
        <v>115.3</v>
      </c>
    </row>
    <row r="3541" spans="6:33" ht="24" customHeight="1">
      <c r="F3541" s="448">
        <v>3</v>
      </c>
      <c r="G3541" s="449" t="s">
        <v>785</v>
      </c>
      <c r="H3541" s="448" t="s">
        <v>3715</v>
      </c>
      <c r="I3541" s="448">
        <f t="shared" si="343"/>
        <v>89.6</v>
      </c>
      <c r="J3541" s="449" t="s">
        <v>785</v>
      </c>
      <c r="K3541" s="448">
        <f t="shared" si="339"/>
        <v>268.8</v>
      </c>
      <c r="N3541" s="3"/>
      <c r="O3541" s="523" t="s">
        <v>3836</v>
      </c>
      <c r="P3541" s="523">
        <f>1.1*2.325</f>
        <v>2.56</v>
      </c>
      <c r="Q3541" s="10"/>
      <c r="S3541" s="448">
        <v>4</v>
      </c>
      <c r="T3541" s="449" t="s">
        <v>785</v>
      </c>
      <c r="U3541" s="448" t="s">
        <v>3715</v>
      </c>
      <c r="V3541" s="448">
        <f t="shared" si="340"/>
        <v>89.6</v>
      </c>
      <c r="W3541" s="1028" t="s">
        <v>785</v>
      </c>
      <c r="X3541" s="448">
        <f t="shared" si="341"/>
        <v>358.4</v>
      </c>
      <c r="AB3541" s="448">
        <v>3</v>
      </c>
      <c r="AC3541" s="449" t="s">
        <v>785</v>
      </c>
      <c r="AD3541" s="448" t="s">
        <v>3715</v>
      </c>
      <c r="AE3541" s="527">
        <f t="shared" si="344"/>
        <v>89.6</v>
      </c>
      <c r="AF3541" s="449" t="s">
        <v>785</v>
      </c>
      <c r="AG3541" s="448">
        <f t="shared" si="342"/>
        <v>268.8</v>
      </c>
    </row>
    <row r="3542" spans="6:33" ht="24" customHeight="1">
      <c r="F3542" s="448">
        <v>2</v>
      </c>
      <c r="G3542" s="449" t="s">
        <v>785</v>
      </c>
      <c r="H3542" s="448" t="s">
        <v>3716</v>
      </c>
      <c r="I3542" s="448">
        <f t="shared" si="343"/>
        <v>64.8</v>
      </c>
      <c r="J3542" s="449" t="s">
        <v>785</v>
      </c>
      <c r="K3542" s="448">
        <f t="shared" si="339"/>
        <v>129.6</v>
      </c>
      <c r="M3542" s="448">
        <f>P3541</f>
        <v>2.56</v>
      </c>
      <c r="N3542" s="449" t="s">
        <v>621</v>
      </c>
      <c r="O3542" s="448" t="s">
        <v>3712</v>
      </c>
      <c r="P3542" s="448">
        <f>I3538</f>
        <v>2255</v>
      </c>
      <c r="Q3542" s="449" t="s">
        <v>621</v>
      </c>
      <c r="R3542" s="448">
        <f>P3542*M3542</f>
        <v>5772.8</v>
      </c>
      <c r="S3542" s="448">
        <v>2</v>
      </c>
      <c r="T3542" s="449" t="s">
        <v>785</v>
      </c>
      <c r="U3542" s="448" t="s">
        <v>3716</v>
      </c>
      <c r="V3542" s="448">
        <f t="shared" si="340"/>
        <v>64.8</v>
      </c>
      <c r="W3542" s="1028" t="s">
        <v>785</v>
      </c>
      <c r="X3542" s="448">
        <f t="shared" si="341"/>
        <v>129.6</v>
      </c>
      <c r="AB3542" s="448">
        <v>2</v>
      </c>
      <c r="AC3542" s="449" t="s">
        <v>785</v>
      </c>
      <c r="AD3542" s="448" t="s">
        <v>3716</v>
      </c>
      <c r="AE3542" s="527">
        <f t="shared" si="344"/>
        <v>64.8</v>
      </c>
      <c r="AF3542" s="449" t="s">
        <v>785</v>
      </c>
      <c r="AG3542" s="448">
        <f t="shared" si="342"/>
        <v>129.6</v>
      </c>
    </row>
    <row r="3543" spans="6:33" ht="24" customHeight="1">
      <c r="F3543" s="448">
        <v>1</v>
      </c>
      <c r="G3543" s="449" t="s">
        <v>785</v>
      </c>
      <c r="H3543" s="448" t="s">
        <v>2503</v>
      </c>
      <c r="I3543" s="448">
        <f t="shared" si="343"/>
        <v>181</v>
      </c>
      <c r="J3543" s="449" t="s">
        <v>785</v>
      </c>
      <c r="K3543" s="448">
        <f t="shared" si="339"/>
        <v>181</v>
      </c>
      <c r="M3543" s="448">
        <f>P3541</f>
        <v>2.56</v>
      </c>
      <c r="N3543" s="449" t="s">
        <v>621</v>
      </c>
      <c r="O3543" s="448" t="s">
        <v>4452</v>
      </c>
      <c r="P3543" s="448">
        <f t="shared" ref="P3543:P3551" si="345">I3539</f>
        <v>223.3</v>
      </c>
      <c r="Q3543" s="449" t="s">
        <v>621</v>
      </c>
      <c r="R3543" s="448">
        <f t="shared" ref="R3543:R3551" si="346">P3543*M3543</f>
        <v>571.65</v>
      </c>
      <c r="S3543" s="448">
        <v>1</v>
      </c>
      <c r="T3543" s="449" t="s">
        <v>785</v>
      </c>
      <c r="U3543" s="448" t="s">
        <v>2503</v>
      </c>
      <c r="V3543" s="448">
        <f t="shared" si="340"/>
        <v>181</v>
      </c>
      <c r="W3543" s="1028" t="s">
        <v>785</v>
      </c>
      <c r="X3543" s="448">
        <f t="shared" si="341"/>
        <v>181</v>
      </c>
      <c r="AB3543" s="448">
        <v>1</v>
      </c>
      <c r="AC3543" s="449" t="s">
        <v>785</v>
      </c>
      <c r="AD3543" s="448" t="s">
        <v>2503</v>
      </c>
      <c r="AE3543" s="527">
        <f t="shared" si="344"/>
        <v>181</v>
      </c>
      <c r="AF3543" s="449" t="s">
        <v>785</v>
      </c>
      <c r="AG3543" s="448">
        <f t="shared" si="342"/>
        <v>181</v>
      </c>
    </row>
    <row r="3544" spans="6:33" ht="24" customHeight="1">
      <c r="F3544" s="448">
        <v>92</v>
      </c>
      <c r="G3544" s="449" t="s">
        <v>785</v>
      </c>
      <c r="H3544" s="448" t="s">
        <v>3717</v>
      </c>
      <c r="I3544" s="448">
        <f t="shared" si="343"/>
        <v>2.41</v>
      </c>
      <c r="J3544" s="449" t="s">
        <v>785</v>
      </c>
      <c r="K3544" s="448">
        <f t="shared" si="339"/>
        <v>221.72</v>
      </c>
      <c r="M3544" s="448">
        <f>F3540</f>
        <v>2</v>
      </c>
      <c r="N3544" s="449" t="s">
        <v>785</v>
      </c>
      <c r="O3544" s="448" t="s">
        <v>3714</v>
      </c>
      <c r="P3544" s="448">
        <f t="shared" si="345"/>
        <v>57.65</v>
      </c>
      <c r="Q3544" s="449" t="s">
        <v>785</v>
      </c>
      <c r="R3544" s="448">
        <f t="shared" si="346"/>
        <v>115.3</v>
      </c>
      <c r="S3544" s="448">
        <v>92</v>
      </c>
      <c r="T3544" s="449" t="s">
        <v>785</v>
      </c>
      <c r="U3544" s="448" t="s">
        <v>3717</v>
      </c>
      <c r="V3544" s="448">
        <f t="shared" si="340"/>
        <v>2.41</v>
      </c>
      <c r="W3544" s="1028" t="s">
        <v>785</v>
      </c>
      <c r="X3544" s="448">
        <f t="shared" si="341"/>
        <v>221.72</v>
      </c>
      <c r="AB3544" s="448">
        <v>92</v>
      </c>
      <c r="AC3544" s="449" t="s">
        <v>785</v>
      </c>
      <c r="AD3544" s="448" t="s">
        <v>3717</v>
      </c>
      <c r="AE3544" s="527">
        <f t="shared" si="344"/>
        <v>2.41</v>
      </c>
      <c r="AF3544" s="449" t="s">
        <v>785</v>
      </c>
      <c r="AG3544" s="448">
        <f t="shared" si="342"/>
        <v>221.72</v>
      </c>
    </row>
    <row r="3545" spans="6:33" ht="24" customHeight="1">
      <c r="F3545" s="448">
        <v>1</v>
      </c>
      <c r="G3545" s="449" t="s">
        <v>785</v>
      </c>
      <c r="H3545" s="448" t="s">
        <v>3718</v>
      </c>
      <c r="I3545" s="448">
        <f t="shared" si="343"/>
        <v>23.1</v>
      </c>
      <c r="J3545" s="449" t="s">
        <v>785</v>
      </c>
      <c r="K3545" s="448">
        <f t="shared" si="339"/>
        <v>23.1</v>
      </c>
      <c r="M3545" s="448">
        <f t="shared" ref="M3545:M3550" si="347">F3541</f>
        <v>3</v>
      </c>
      <c r="N3545" s="449" t="s">
        <v>785</v>
      </c>
      <c r="O3545" s="448" t="s">
        <v>3715</v>
      </c>
      <c r="P3545" s="448">
        <f t="shared" si="345"/>
        <v>89.6</v>
      </c>
      <c r="Q3545" s="449" t="s">
        <v>785</v>
      </c>
      <c r="R3545" s="448">
        <f t="shared" si="346"/>
        <v>268.8</v>
      </c>
      <c r="S3545" s="448">
        <v>1</v>
      </c>
      <c r="T3545" s="449" t="s">
        <v>785</v>
      </c>
      <c r="U3545" s="448" t="s">
        <v>3718</v>
      </c>
      <c r="V3545" s="448">
        <f t="shared" si="340"/>
        <v>23.1</v>
      </c>
      <c r="W3545" s="1028" t="s">
        <v>785</v>
      </c>
      <c r="X3545" s="448">
        <f t="shared" si="341"/>
        <v>23.1</v>
      </c>
      <c r="AB3545" s="448">
        <v>1</v>
      </c>
      <c r="AC3545" s="449" t="s">
        <v>785</v>
      </c>
      <c r="AD3545" s="448" t="s">
        <v>3718</v>
      </c>
      <c r="AE3545" s="527">
        <f t="shared" si="344"/>
        <v>23.1</v>
      </c>
      <c r="AF3545" s="449" t="s">
        <v>785</v>
      </c>
      <c r="AG3545" s="448">
        <f t="shared" si="342"/>
        <v>23.1</v>
      </c>
    </row>
    <row r="3546" spans="6:33" ht="24" customHeight="1">
      <c r="F3546" s="448">
        <v>1</v>
      </c>
      <c r="G3546" s="449" t="s">
        <v>785</v>
      </c>
      <c r="H3546" s="448" t="s">
        <v>3719</v>
      </c>
      <c r="I3546" s="448">
        <f t="shared" si="343"/>
        <v>49.55</v>
      </c>
      <c r="J3546" s="449" t="s">
        <v>785</v>
      </c>
      <c r="K3546" s="448">
        <f t="shared" si="339"/>
        <v>49.55</v>
      </c>
      <c r="M3546" s="448">
        <f t="shared" si="347"/>
        <v>2</v>
      </c>
      <c r="N3546" s="449" t="s">
        <v>785</v>
      </c>
      <c r="O3546" s="448" t="s">
        <v>3716</v>
      </c>
      <c r="P3546" s="448">
        <f t="shared" si="345"/>
        <v>64.8</v>
      </c>
      <c r="Q3546" s="449" t="s">
        <v>785</v>
      </c>
      <c r="R3546" s="448">
        <f t="shared" si="346"/>
        <v>129.6</v>
      </c>
      <c r="S3546" s="448">
        <v>1</v>
      </c>
      <c r="T3546" s="449" t="s">
        <v>785</v>
      </c>
      <c r="U3546" s="448" t="s">
        <v>3719</v>
      </c>
      <c r="V3546" s="448">
        <f t="shared" si="340"/>
        <v>49.55</v>
      </c>
      <c r="W3546" s="1028" t="s">
        <v>785</v>
      </c>
      <c r="X3546" s="448">
        <f t="shared" si="341"/>
        <v>49.55</v>
      </c>
      <c r="AB3546" s="448">
        <v>1</v>
      </c>
      <c r="AC3546" s="449" t="s">
        <v>785</v>
      </c>
      <c r="AD3546" s="448" t="s">
        <v>3719</v>
      </c>
      <c r="AE3546" s="527">
        <f t="shared" si="344"/>
        <v>49.55</v>
      </c>
      <c r="AF3546" s="449" t="s">
        <v>785</v>
      </c>
      <c r="AG3546" s="448">
        <f t="shared" si="342"/>
        <v>49.55</v>
      </c>
    </row>
    <row r="3547" spans="6:33" ht="24" customHeight="1">
      <c r="F3547" s="525">
        <v>0.35</v>
      </c>
      <c r="G3547" s="526" t="s">
        <v>621</v>
      </c>
      <c r="H3547" s="527" t="s">
        <v>3841</v>
      </c>
      <c r="I3547" s="527">
        <f>K1540</f>
        <v>240.31</v>
      </c>
      <c r="J3547" s="526" t="s">
        <v>621</v>
      </c>
      <c r="K3547" s="527"/>
      <c r="M3547" s="448">
        <f t="shared" si="347"/>
        <v>1</v>
      </c>
      <c r="N3547" s="449" t="s">
        <v>785</v>
      </c>
      <c r="O3547" s="448" t="s">
        <v>2503</v>
      </c>
      <c r="P3547" s="448">
        <f t="shared" si="345"/>
        <v>181</v>
      </c>
      <c r="Q3547" s="449" t="s">
        <v>785</v>
      </c>
      <c r="R3547" s="448">
        <f t="shared" si="346"/>
        <v>181</v>
      </c>
      <c r="S3547" s="525">
        <v>0.39</v>
      </c>
      <c r="T3547" s="526" t="s">
        <v>621</v>
      </c>
      <c r="U3547" s="527" t="s">
        <v>3841</v>
      </c>
      <c r="V3547" s="448">
        <f t="shared" si="340"/>
        <v>240.31</v>
      </c>
      <c r="W3547" s="1029" t="s">
        <v>621</v>
      </c>
      <c r="X3547" s="527"/>
      <c r="AB3547" s="525">
        <v>0.35</v>
      </c>
      <c r="AC3547" s="526" t="s">
        <v>621</v>
      </c>
      <c r="AD3547" s="527" t="s">
        <v>3841</v>
      </c>
      <c r="AE3547" s="527">
        <f t="shared" si="344"/>
        <v>240.31</v>
      </c>
      <c r="AF3547" s="526" t="s">
        <v>621</v>
      </c>
      <c r="AG3547" s="448"/>
    </row>
    <row r="3548" spans="6:33" ht="24" customHeight="1">
      <c r="F3548" s="448"/>
      <c r="G3548" s="449"/>
      <c r="H3548" s="448" t="s">
        <v>3723</v>
      </c>
      <c r="I3548" s="448"/>
      <c r="J3548" s="450"/>
      <c r="K3548" s="448">
        <f>SUM(K3538:K3547)</f>
        <v>5499.58</v>
      </c>
      <c r="M3548" s="448">
        <f t="shared" si="347"/>
        <v>92</v>
      </c>
      <c r="N3548" s="449" t="s">
        <v>785</v>
      </c>
      <c r="O3548" s="448" t="s">
        <v>3717</v>
      </c>
      <c r="P3548" s="448">
        <f t="shared" si="345"/>
        <v>2.41</v>
      </c>
      <c r="Q3548" s="449" t="s">
        <v>785</v>
      </c>
      <c r="R3548" s="448">
        <f t="shared" si="346"/>
        <v>221.72</v>
      </c>
      <c r="S3548" s="448"/>
      <c r="T3548" s="449"/>
      <c r="U3548" s="448" t="s">
        <v>3843</v>
      </c>
      <c r="V3548" s="448"/>
      <c r="W3548" s="1028"/>
      <c r="X3548" s="448">
        <f>SUM(X3538:X3547)</f>
        <v>6258.32</v>
      </c>
      <c r="AB3548" s="448"/>
      <c r="AC3548" s="449"/>
      <c r="AD3548" s="448" t="s">
        <v>4543</v>
      </c>
      <c r="AE3548" s="448"/>
      <c r="AF3548" s="450"/>
      <c r="AG3548" s="448">
        <f>SUM(AG3538:AG3547)</f>
        <v>5003.92</v>
      </c>
    </row>
    <row r="3549" spans="6:33" ht="24" customHeight="1">
      <c r="F3549" s="448"/>
      <c r="G3549" s="449"/>
      <c r="H3549" s="448" t="s">
        <v>3298</v>
      </c>
      <c r="I3549" s="448"/>
      <c r="J3549" s="450"/>
      <c r="K3549" s="448">
        <f>K3548/F3539</f>
        <v>3021.75</v>
      </c>
      <c r="M3549" s="448">
        <f t="shared" si="347"/>
        <v>1</v>
      </c>
      <c r="N3549" s="449" t="s">
        <v>785</v>
      </c>
      <c r="O3549" s="448" t="s">
        <v>3718</v>
      </c>
      <c r="P3549" s="448">
        <f t="shared" si="345"/>
        <v>23.1</v>
      </c>
      <c r="Q3549" s="449" t="s">
        <v>785</v>
      </c>
      <c r="R3549" s="448">
        <f t="shared" si="346"/>
        <v>23.1</v>
      </c>
      <c r="S3549" s="448"/>
      <c r="T3549" s="449"/>
      <c r="U3549" s="448" t="s">
        <v>3298</v>
      </c>
      <c r="V3549" s="448"/>
      <c r="W3549" s="1028"/>
      <c r="X3549" s="448">
        <f>X3548/S3539</f>
        <v>2994.41</v>
      </c>
      <c r="AB3549" s="448"/>
      <c r="AC3549" s="449"/>
      <c r="AD3549" s="448" t="s">
        <v>3298</v>
      </c>
      <c r="AE3549" s="448"/>
      <c r="AF3549" s="450"/>
      <c r="AG3549" s="448">
        <f>AG3548/AB3539</f>
        <v>3088.84</v>
      </c>
    </row>
    <row r="3550" spans="6:33" ht="24" customHeight="1">
      <c r="M3550" s="448">
        <f t="shared" si="347"/>
        <v>1</v>
      </c>
      <c r="N3550" s="449" t="s">
        <v>785</v>
      </c>
      <c r="O3550" s="448" t="s">
        <v>3719</v>
      </c>
      <c r="P3550" s="448">
        <f t="shared" si="345"/>
        <v>49.55</v>
      </c>
      <c r="Q3550" s="449" t="s">
        <v>785</v>
      </c>
      <c r="R3550" s="448">
        <f t="shared" si="346"/>
        <v>49.55</v>
      </c>
      <c r="W3550" s="4"/>
      <c r="AC3550" s="3"/>
      <c r="AF3550" s="10"/>
    </row>
    <row r="3551" spans="6:33" ht="24" customHeight="1">
      <c r="M3551" s="451"/>
      <c r="N3551" s="449" t="s">
        <v>621</v>
      </c>
      <c r="O3551" s="448" t="s">
        <v>3720</v>
      </c>
      <c r="P3551" s="448">
        <f t="shared" si="345"/>
        <v>240.31</v>
      </c>
      <c r="Q3551" s="449" t="s">
        <v>621</v>
      </c>
      <c r="R3551" s="448">
        <f t="shared" si="346"/>
        <v>0</v>
      </c>
      <c r="W3551" s="4"/>
    </row>
    <row r="3552" spans="6:33" ht="24" customHeight="1">
      <c r="F3552" s="24"/>
      <c r="G3552" s="7" t="s">
        <v>2290</v>
      </c>
      <c r="H3552" s="1" t="s">
        <v>2258</v>
      </c>
      <c r="M3552" s="448"/>
      <c r="N3552" s="449"/>
      <c r="O3552" s="448" t="s">
        <v>3837</v>
      </c>
      <c r="P3552" s="448"/>
      <c r="Q3552" s="450"/>
      <c r="R3552" s="448">
        <f>SUM(R3542:R3551)</f>
        <v>7333.52</v>
      </c>
      <c r="S3552" s="448"/>
      <c r="T3552" s="449"/>
      <c r="U3552" s="448" t="s">
        <v>3844</v>
      </c>
      <c r="V3552" s="448"/>
      <c r="W3552" s="1028"/>
      <c r="AB3552" s="448"/>
      <c r="AC3552" s="449"/>
      <c r="AD3552" s="448" t="s">
        <v>4838</v>
      </c>
      <c r="AE3552" s="448"/>
      <c r="AF3552" s="450"/>
    </row>
    <row r="3553" spans="6:33" ht="24" customHeight="1">
      <c r="H3553" s="33" t="s">
        <v>3742</v>
      </c>
      <c r="M3553" s="448"/>
      <c r="N3553" s="449"/>
      <c r="O3553" s="448" t="s">
        <v>3298</v>
      </c>
      <c r="P3553" s="448"/>
      <c r="Q3553" s="450"/>
      <c r="R3553" s="448">
        <f>R3552/M3543</f>
        <v>2864.66</v>
      </c>
      <c r="S3553"/>
      <c r="T3553" s="3"/>
      <c r="U3553" s="448" t="s">
        <v>3847</v>
      </c>
      <c r="V3553">
        <f>1.4*2.025</f>
        <v>2.84</v>
      </c>
      <c r="W3553" s="4"/>
      <c r="AC3553" s="3"/>
      <c r="AD3553" s="448" t="s">
        <v>4839</v>
      </c>
      <c r="AE3553">
        <f>0.8*2.325</f>
        <v>1.86</v>
      </c>
      <c r="AF3553" s="10"/>
    </row>
    <row r="3554" spans="6:33" ht="24" customHeight="1">
      <c r="H3554" s="1" t="s">
        <v>1164</v>
      </c>
      <c r="N3554" s="3"/>
      <c r="Q3554" s="10"/>
      <c r="S3554" s="448">
        <f>V3553</f>
        <v>2.84</v>
      </c>
      <c r="T3554" s="449" t="s">
        <v>621</v>
      </c>
      <c r="U3554" s="448" t="s">
        <v>3712</v>
      </c>
      <c r="V3554" s="448">
        <f>P3526</f>
        <v>2255</v>
      </c>
      <c r="W3554" s="1028" t="s">
        <v>621</v>
      </c>
      <c r="X3554" s="448">
        <f>V3554*S3554</f>
        <v>6404.2</v>
      </c>
      <c r="AB3554" s="448">
        <f>AE3553</f>
        <v>1.86</v>
      </c>
      <c r="AC3554" s="449" t="s">
        <v>621</v>
      </c>
      <c r="AD3554" s="448" t="s">
        <v>3712</v>
      </c>
      <c r="AE3554" s="448">
        <f>AE3538</f>
        <v>2255</v>
      </c>
      <c r="AF3554" s="449" t="s">
        <v>621</v>
      </c>
      <c r="AG3554" s="448">
        <f>AE3554*AB3554</f>
        <v>4194.3</v>
      </c>
    </row>
    <row r="3555" spans="6:33" ht="24" customHeight="1">
      <c r="H3555" s="1" t="s">
        <v>1165</v>
      </c>
      <c r="M3555" s="24"/>
      <c r="N3555" s="7" t="s">
        <v>2290</v>
      </c>
      <c r="O3555" s="1" t="s">
        <v>2258</v>
      </c>
      <c r="Q3555" s="10"/>
      <c r="S3555" s="448">
        <f>V3553</f>
        <v>2.84</v>
      </c>
      <c r="T3555" s="449" t="s">
        <v>621</v>
      </c>
      <c r="U3555" s="448" t="s">
        <v>3713</v>
      </c>
      <c r="V3555" s="448">
        <f>P3527</f>
        <v>344.3</v>
      </c>
      <c r="W3555" s="1028" t="s">
        <v>621</v>
      </c>
      <c r="X3555" s="448">
        <f t="shared" ref="X3555:X3562" si="348">V3555*S3555</f>
        <v>977.81</v>
      </c>
      <c r="AB3555" s="448">
        <f>AE3553</f>
        <v>1.86</v>
      </c>
      <c r="AC3555" s="449" t="s">
        <v>621</v>
      </c>
      <c r="AD3555" s="448" t="s">
        <v>3713</v>
      </c>
      <c r="AE3555" s="448">
        <f t="shared" ref="AE3555:AE3563" si="349">AE3539</f>
        <v>223.3</v>
      </c>
      <c r="AF3555" s="449" t="s">
        <v>621</v>
      </c>
      <c r="AG3555" s="448">
        <f t="shared" ref="AG3555:AG3562" si="350">AE3555*AB3555</f>
        <v>415.34</v>
      </c>
    </row>
    <row r="3556" spans="6:33" ht="24" customHeight="1">
      <c r="H3556" s="5" t="s">
        <v>1615</v>
      </c>
      <c r="N3556" s="3"/>
      <c r="O3556" s="33" t="s">
        <v>3742</v>
      </c>
      <c r="Q3556" s="10"/>
      <c r="S3556" s="448">
        <v>4</v>
      </c>
      <c r="T3556" s="449" t="s">
        <v>785</v>
      </c>
      <c r="U3556" s="448" t="s">
        <v>3714</v>
      </c>
      <c r="V3556" s="448">
        <f t="shared" ref="V3556:V3563" si="351">V3540</f>
        <v>57.65</v>
      </c>
      <c r="W3556" s="1028" t="s">
        <v>785</v>
      </c>
      <c r="X3556" s="448">
        <f t="shared" si="348"/>
        <v>230.6</v>
      </c>
      <c r="AB3556" s="448">
        <v>2</v>
      </c>
      <c r="AC3556" s="449" t="s">
        <v>785</v>
      </c>
      <c r="AD3556" s="448" t="s">
        <v>3714</v>
      </c>
      <c r="AE3556" s="448">
        <f t="shared" si="349"/>
        <v>57.65</v>
      </c>
      <c r="AF3556" s="449" t="s">
        <v>785</v>
      </c>
      <c r="AG3556" s="448">
        <f t="shared" si="350"/>
        <v>115.3</v>
      </c>
    </row>
    <row r="3557" spans="6:33" ht="46.5" customHeight="1">
      <c r="F3557" s="21">
        <v>1</v>
      </c>
      <c r="G3557" s="21" t="s">
        <v>884</v>
      </c>
      <c r="H3557" s="22" t="s">
        <v>4804</v>
      </c>
      <c r="I3557" s="716">
        <v>1672</v>
      </c>
      <c r="J3557" s="97" t="s">
        <v>884</v>
      </c>
      <c r="K3557" s="21">
        <f>(F3557*I3557)</f>
        <v>1672</v>
      </c>
      <c r="N3557" s="3"/>
      <c r="O3557" s="1" t="s">
        <v>1164</v>
      </c>
      <c r="Q3557" s="10"/>
      <c r="S3557" s="448">
        <v>6</v>
      </c>
      <c r="T3557" s="449" t="s">
        <v>785</v>
      </c>
      <c r="U3557" s="448" t="s">
        <v>3715</v>
      </c>
      <c r="V3557" s="448">
        <f t="shared" si="351"/>
        <v>89.6</v>
      </c>
      <c r="W3557" s="1028" t="s">
        <v>785</v>
      </c>
      <c r="X3557" s="448">
        <f t="shared" si="348"/>
        <v>537.6</v>
      </c>
      <c r="AB3557" s="448">
        <v>4</v>
      </c>
      <c r="AC3557" s="449" t="s">
        <v>785</v>
      </c>
      <c r="AD3557" s="448" t="s">
        <v>3715</v>
      </c>
      <c r="AE3557" s="448">
        <f t="shared" si="349"/>
        <v>89.6</v>
      </c>
      <c r="AF3557" s="449" t="s">
        <v>785</v>
      </c>
      <c r="AG3557" s="448">
        <f t="shared" si="350"/>
        <v>358.4</v>
      </c>
    </row>
    <row r="3558" spans="6:33" ht="33.75" customHeight="1">
      <c r="F3558" s="8"/>
      <c r="G3558" s="7"/>
      <c r="H3558" s="61"/>
      <c r="I3558" s="8"/>
      <c r="J3558" s="1"/>
      <c r="K3558" s="8"/>
      <c r="N3558" s="3"/>
      <c r="O3558" s="1" t="s">
        <v>1165</v>
      </c>
      <c r="Q3558" s="10"/>
      <c r="S3558" s="448">
        <v>4</v>
      </c>
      <c r="T3558" s="449" t="s">
        <v>785</v>
      </c>
      <c r="U3558" s="448" t="s">
        <v>3716</v>
      </c>
      <c r="V3558" s="448">
        <f t="shared" si="351"/>
        <v>64.8</v>
      </c>
      <c r="W3558" s="1028" t="s">
        <v>785</v>
      </c>
      <c r="X3558" s="448">
        <f t="shared" si="348"/>
        <v>259.2</v>
      </c>
      <c r="AB3558" s="448">
        <v>2</v>
      </c>
      <c r="AC3558" s="449" t="s">
        <v>785</v>
      </c>
      <c r="AD3558" s="448" t="s">
        <v>3716</v>
      </c>
      <c r="AE3558" s="448">
        <f t="shared" si="349"/>
        <v>64.8</v>
      </c>
      <c r="AF3558" s="449" t="s">
        <v>785</v>
      </c>
      <c r="AG3558" s="448">
        <f t="shared" si="350"/>
        <v>129.6</v>
      </c>
    </row>
    <row r="3559" spans="6:33" ht="24" customHeight="1">
      <c r="F3559" s="8"/>
      <c r="G3559" s="7"/>
      <c r="H3559" s="61"/>
      <c r="I3559" s="8"/>
      <c r="J3559" s="2"/>
      <c r="K3559" s="8"/>
      <c r="N3559" s="3"/>
      <c r="O3559" s="5" t="s">
        <v>1615</v>
      </c>
      <c r="Q3559" s="10"/>
      <c r="S3559" s="448">
        <v>1</v>
      </c>
      <c r="T3559" s="449" t="s">
        <v>785</v>
      </c>
      <c r="U3559" s="448" t="s">
        <v>2503</v>
      </c>
      <c r="V3559" s="448">
        <f t="shared" si="351"/>
        <v>181</v>
      </c>
      <c r="W3559" s="1028" t="s">
        <v>785</v>
      </c>
      <c r="X3559" s="448">
        <f t="shared" si="348"/>
        <v>181</v>
      </c>
      <c r="AB3559" s="448">
        <v>1</v>
      </c>
      <c r="AC3559" s="449" t="s">
        <v>785</v>
      </c>
      <c r="AD3559" s="448" t="s">
        <v>2503</v>
      </c>
      <c r="AE3559" s="448">
        <f t="shared" si="349"/>
        <v>181</v>
      </c>
      <c r="AF3559" s="449" t="s">
        <v>785</v>
      </c>
      <c r="AG3559" s="448">
        <f t="shared" si="350"/>
        <v>181</v>
      </c>
    </row>
    <row r="3560" spans="6:33" ht="24" customHeight="1">
      <c r="F3560" s="160">
        <v>1</v>
      </c>
      <c r="G3560" s="160" t="s">
        <v>884</v>
      </c>
      <c r="H3560" s="61" t="s">
        <v>2170</v>
      </c>
      <c r="I3560" s="489">
        <f>I1939</f>
        <v>-169</v>
      </c>
      <c r="J3560" s="61" t="s">
        <v>884</v>
      </c>
      <c r="K3560" s="160">
        <f>(F3560*I3560)</f>
        <v>-169</v>
      </c>
      <c r="M3560" s="21">
        <v>1</v>
      </c>
      <c r="N3560" s="21" t="s">
        <v>884</v>
      </c>
      <c r="O3560" s="22" t="s">
        <v>4804</v>
      </c>
      <c r="P3560" s="716">
        <v>1672</v>
      </c>
      <c r="Q3560" s="97" t="s">
        <v>884</v>
      </c>
      <c r="R3560" s="21">
        <f>(M3560*P3560)</f>
        <v>1672</v>
      </c>
      <c r="S3560" s="448">
        <v>118</v>
      </c>
      <c r="T3560" s="449" t="s">
        <v>785</v>
      </c>
      <c r="U3560" s="448" t="s">
        <v>3717</v>
      </c>
      <c r="V3560" s="448">
        <f t="shared" si="351"/>
        <v>2.41</v>
      </c>
      <c r="W3560" s="1028" t="s">
        <v>785</v>
      </c>
      <c r="X3560" s="448">
        <f t="shared" si="348"/>
        <v>284.38</v>
      </c>
      <c r="AB3560" s="448">
        <v>92</v>
      </c>
      <c r="AC3560" s="449" t="s">
        <v>785</v>
      </c>
      <c r="AD3560" s="448" t="s">
        <v>3717</v>
      </c>
      <c r="AE3560" s="448">
        <f t="shared" si="349"/>
        <v>2.41</v>
      </c>
      <c r="AF3560" s="449" t="s">
        <v>785</v>
      </c>
      <c r="AG3560" s="448">
        <f t="shared" si="350"/>
        <v>221.72</v>
      </c>
    </row>
    <row r="3561" spans="6:33" ht="24" customHeight="1">
      <c r="F3561" s="63"/>
      <c r="G3561" s="64"/>
      <c r="H3561" s="61"/>
      <c r="I3561" s="63"/>
      <c r="J3561" s="60"/>
      <c r="K3561" s="63"/>
      <c r="M3561" s="8"/>
      <c r="N3561" s="7"/>
      <c r="O3561" s="61"/>
      <c r="P3561" s="8"/>
      <c r="Q3561" s="1"/>
      <c r="R3561" s="8"/>
      <c r="S3561" s="448">
        <v>2</v>
      </c>
      <c r="T3561" s="449" t="s">
        <v>785</v>
      </c>
      <c r="U3561" s="448" t="s">
        <v>3718</v>
      </c>
      <c r="V3561" s="448">
        <f t="shared" si="351"/>
        <v>23.1</v>
      </c>
      <c r="W3561" s="1028" t="s">
        <v>785</v>
      </c>
      <c r="X3561" s="448">
        <f t="shared" si="348"/>
        <v>46.2</v>
      </c>
      <c r="AB3561" s="448">
        <v>1</v>
      </c>
      <c r="AC3561" s="449" t="s">
        <v>785</v>
      </c>
      <c r="AD3561" s="448" t="s">
        <v>3718</v>
      </c>
      <c r="AE3561" s="448">
        <f t="shared" si="349"/>
        <v>23.1</v>
      </c>
      <c r="AF3561" s="449" t="s">
        <v>785</v>
      </c>
      <c r="AG3561" s="448">
        <f t="shared" si="350"/>
        <v>23.1</v>
      </c>
    </row>
    <row r="3562" spans="6:33" ht="24" customHeight="1">
      <c r="F3562" s="63">
        <v>1</v>
      </c>
      <c r="G3562" s="64" t="s">
        <v>884</v>
      </c>
      <c r="H3562" s="61" t="s">
        <v>2171</v>
      </c>
      <c r="I3562" s="490">
        <v>250</v>
      </c>
      <c r="J3562" s="61" t="s">
        <v>884</v>
      </c>
      <c r="K3562" s="170">
        <f>(F3562*I3562)</f>
        <v>250</v>
      </c>
      <c r="M3562" s="8"/>
      <c r="N3562" s="7"/>
      <c r="O3562" s="61"/>
      <c r="P3562" s="8"/>
      <c r="Q3562" s="2"/>
      <c r="R3562" s="8"/>
      <c r="S3562" s="448">
        <v>2</v>
      </c>
      <c r="T3562" s="449" t="s">
        <v>785</v>
      </c>
      <c r="U3562" s="448" t="s">
        <v>3719</v>
      </c>
      <c r="V3562" s="448">
        <f t="shared" si="351"/>
        <v>49.55</v>
      </c>
      <c r="W3562" s="1028" t="s">
        <v>785</v>
      </c>
      <c r="X3562" s="448">
        <f t="shared" si="348"/>
        <v>99.1</v>
      </c>
      <c r="AB3562" s="448">
        <v>1</v>
      </c>
      <c r="AC3562" s="449" t="s">
        <v>785</v>
      </c>
      <c r="AD3562" s="448" t="s">
        <v>3719</v>
      </c>
      <c r="AE3562" s="448">
        <f t="shared" si="349"/>
        <v>49.55</v>
      </c>
      <c r="AF3562" s="449" t="s">
        <v>785</v>
      </c>
      <c r="AG3562" s="448">
        <f t="shared" si="350"/>
        <v>49.55</v>
      </c>
    </row>
    <row r="3563" spans="6:33" ht="24" customHeight="1">
      <c r="F3563" s="8"/>
      <c r="G3563" s="7"/>
      <c r="H3563" s="1"/>
      <c r="I3563" s="8"/>
      <c r="J3563" s="1"/>
      <c r="K3563" s="8"/>
      <c r="M3563" s="160">
        <v>1</v>
      </c>
      <c r="N3563" s="160" t="s">
        <v>884</v>
      </c>
      <c r="O3563" s="61" t="s">
        <v>2170</v>
      </c>
      <c r="P3563" s="489">
        <f>I3560</f>
        <v>-169</v>
      </c>
      <c r="Q3563" s="61" t="s">
        <v>884</v>
      </c>
      <c r="R3563" s="160">
        <f>(M3563*P3563)</f>
        <v>-169</v>
      </c>
      <c r="S3563" s="525">
        <v>0.65</v>
      </c>
      <c r="T3563" s="526" t="s">
        <v>621</v>
      </c>
      <c r="U3563" s="527" t="s">
        <v>3841</v>
      </c>
      <c r="V3563" s="448">
        <f t="shared" si="351"/>
        <v>240.31</v>
      </c>
      <c r="W3563" s="1029" t="s">
        <v>621</v>
      </c>
      <c r="X3563" s="527"/>
      <c r="AB3563" s="525">
        <v>0.39</v>
      </c>
      <c r="AC3563" s="526" t="s">
        <v>621</v>
      </c>
      <c r="AD3563" s="527" t="s">
        <v>3841</v>
      </c>
      <c r="AE3563" s="448">
        <f t="shared" si="349"/>
        <v>240.31</v>
      </c>
      <c r="AF3563" s="526" t="s">
        <v>621</v>
      </c>
      <c r="AG3563" s="527"/>
    </row>
    <row r="3564" spans="6:33" ht="24" customHeight="1">
      <c r="F3564" s="8">
        <v>0.5</v>
      </c>
      <c r="G3564" s="7" t="s">
        <v>884</v>
      </c>
      <c r="H3564" s="1" t="s">
        <v>2140</v>
      </c>
      <c r="I3564" s="8">
        <f>I1943</f>
        <v>903.1</v>
      </c>
      <c r="J3564" s="1" t="s">
        <v>884</v>
      </c>
      <c r="K3564" s="8">
        <f>(F3564*I3564)</f>
        <v>451.55</v>
      </c>
      <c r="M3564" s="63"/>
      <c r="N3564" s="64"/>
      <c r="O3564" s="61"/>
      <c r="P3564" s="63"/>
      <c r="Q3564" s="60"/>
      <c r="R3564" s="63"/>
      <c r="S3564" s="448"/>
      <c r="T3564" s="449"/>
      <c r="U3564" s="448" t="s">
        <v>3848</v>
      </c>
      <c r="V3564" s="448"/>
      <c r="W3564" s="1028"/>
      <c r="X3564" s="448">
        <f>SUM(X3554:X3563)</f>
        <v>9020.09</v>
      </c>
      <c r="AB3564" s="448"/>
      <c r="AC3564" s="449"/>
      <c r="AD3564" s="448" t="s">
        <v>4840</v>
      </c>
      <c r="AE3564" s="448"/>
      <c r="AF3564" s="450"/>
      <c r="AG3564" s="448">
        <f>SUM(AG3554:AG3563)</f>
        <v>5688.31</v>
      </c>
    </row>
    <row r="3565" spans="6:33" ht="24" customHeight="1">
      <c r="F3565" s="8">
        <v>1</v>
      </c>
      <c r="G3565" s="7" t="s">
        <v>884</v>
      </c>
      <c r="H3565" s="1" t="s">
        <v>1937</v>
      </c>
      <c r="I3565" s="8">
        <f>I1944</f>
        <v>679.8</v>
      </c>
      <c r="J3565" s="1" t="s">
        <v>884</v>
      </c>
      <c r="K3565" s="8">
        <f>(F3565*I3565)</f>
        <v>679.8</v>
      </c>
      <c r="M3565" s="63">
        <v>1</v>
      </c>
      <c r="N3565" s="64" t="s">
        <v>884</v>
      </c>
      <c r="O3565" s="61" t="s">
        <v>2171</v>
      </c>
      <c r="P3565" s="490">
        <v>250</v>
      </c>
      <c r="Q3565" s="61" t="s">
        <v>884</v>
      </c>
      <c r="R3565" s="170">
        <f>(M3565*P3565)</f>
        <v>250</v>
      </c>
      <c r="S3565" s="448"/>
      <c r="T3565" s="449"/>
      <c r="U3565" s="448" t="s">
        <v>3298</v>
      </c>
      <c r="V3565" s="448"/>
      <c r="W3565" s="1028"/>
      <c r="X3565" s="448">
        <f>X3564/S3555</f>
        <v>3176.09</v>
      </c>
      <c r="AB3565" s="448"/>
      <c r="AC3565" s="449"/>
      <c r="AD3565" s="448" t="s">
        <v>3298</v>
      </c>
      <c r="AE3565" s="448"/>
      <c r="AF3565" s="450"/>
      <c r="AG3565" s="448">
        <f>AG3564/AB3555</f>
        <v>3058.23</v>
      </c>
    </row>
    <row r="3566" spans="6:33" ht="24" customHeight="1">
      <c r="F3566" s="8">
        <v>0.5</v>
      </c>
      <c r="G3566" s="7" t="s">
        <v>884</v>
      </c>
      <c r="H3566" s="1" t="s">
        <v>2045</v>
      </c>
      <c r="I3566" s="8">
        <f>I1945</f>
        <v>1041.7</v>
      </c>
      <c r="J3566" s="1" t="s">
        <v>884</v>
      </c>
      <c r="K3566" s="8">
        <f>(F3566*I3566)</f>
        <v>520.85</v>
      </c>
      <c r="M3566" s="8"/>
      <c r="N3566" s="7"/>
      <c r="O3566" s="1"/>
      <c r="P3566" s="8"/>
      <c r="Q3566" s="1"/>
      <c r="R3566" s="8"/>
      <c r="W3566" s="4"/>
    </row>
    <row r="3567" spans="6:33" ht="24" customHeight="1">
      <c r="G3567" s="7" t="s">
        <v>455</v>
      </c>
      <c r="H3567" s="1" t="s">
        <v>1166</v>
      </c>
      <c r="J3567" s="1" t="s">
        <v>455</v>
      </c>
      <c r="K3567" s="8">
        <v>0.82</v>
      </c>
      <c r="M3567" s="8">
        <v>0.5</v>
      </c>
      <c r="N3567" s="7" t="s">
        <v>884</v>
      </c>
      <c r="O3567" s="1" t="s">
        <v>2140</v>
      </c>
      <c r="P3567" s="8">
        <f>I3564</f>
        <v>903.1</v>
      </c>
      <c r="Q3567" s="1" t="s">
        <v>884</v>
      </c>
      <c r="R3567" s="8">
        <f>(M3567*P3567)</f>
        <v>451.55</v>
      </c>
      <c r="W3567" s="4"/>
    </row>
    <row r="3568" spans="6:33" ht="24" customHeight="1">
      <c r="K3568" s="5" t="s">
        <v>1615</v>
      </c>
      <c r="M3568" s="8">
        <v>1</v>
      </c>
      <c r="N3568" s="7" t="s">
        <v>884</v>
      </c>
      <c r="O3568" s="1" t="s">
        <v>1937</v>
      </c>
      <c r="P3568" s="8">
        <f>I3565</f>
        <v>679.8</v>
      </c>
      <c r="Q3568" s="1" t="s">
        <v>884</v>
      </c>
      <c r="R3568" s="8">
        <f>(M3568*P3568)</f>
        <v>679.8</v>
      </c>
      <c r="S3568" s="448"/>
      <c r="T3568" s="449"/>
      <c r="U3568" s="448" t="s">
        <v>3845</v>
      </c>
      <c r="V3568" s="448"/>
      <c r="W3568" s="1028"/>
    </row>
    <row r="3569" spans="1:119" ht="24" customHeight="1">
      <c r="H3569" s="1" t="s">
        <v>1785</v>
      </c>
      <c r="K3569" s="38">
        <f>SUM(K3557:K3567)</f>
        <v>3406.02</v>
      </c>
      <c r="M3569" s="8">
        <v>0.5</v>
      </c>
      <c r="N3569" s="7" t="s">
        <v>884</v>
      </c>
      <c r="O3569" s="1" t="s">
        <v>2045</v>
      </c>
      <c r="P3569" s="8">
        <f>I3566</f>
        <v>1041.7</v>
      </c>
      <c r="Q3569" s="1" t="s">
        <v>884</v>
      </c>
      <c r="R3569" s="8">
        <f>(M3569*P3569)</f>
        <v>520.85</v>
      </c>
      <c r="S3569"/>
      <c r="T3569" s="3"/>
      <c r="U3569" s="448" t="s">
        <v>3846</v>
      </c>
      <c r="V3569">
        <f>1.4*2.325</f>
        <v>3.26</v>
      </c>
      <c r="W3569" s="4"/>
    </row>
    <row r="3570" spans="1:119" ht="24" customHeight="1">
      <c r="K3570" s="5" t="s">
        <v>1615</v>
      </c>
      <c r="N3570" s="7" t="s">
        <v>455</v>
      </c>
      <c r="O3570" s="1" t="s">
        <v>1166</v>
      </c>
      <c r="Q3570" s="1" t="s">
        <v>455</v>
      </c>
      <c r="R3570" s="8">
        <v>0.82</v>
      </c>
      <c r="S3570" s="448">
        <f>V3569</f>
        <v>3.26</v>
      </c>
      <c r="T3570" s="449" t="s">
        <v>621</v>
      </c>
      <c r="U3570" s="448" t="s">
        <v>3712</v>
      </c>
      <c r="V3570" s="448">
        <f>V3554</f>
        <v>2255</v>
      </c>
      <c r="W3570" s="1028" t="s">
        <v>621</v>
      </c>
      <c r="X3570" s="448">
        <f>V3570*S3570</f>
        <v>7351.3</v>
      </c>
    </row>
    <row r="3571" spans="1:119" ht="24" customHeight="1">
      <c r="G3571"/>
      <c r="I3571" s="50"/>
      <c r="J3571"/>
      <c r="N3571" s="3"/>
      <c r="Q3571" s="10"/>
      <c r="R3571" s="5" t="s">
        <v>1615</v>
      </c>
      <c r="S3571" s="448">
        <f>V3569</f>
        <v>3.26</v>
      </c>
      <c r="T3571" s="449" t="s">
        <v>621</v>
      </c>
      <c r="U3571" s="448" t="s">
        <v>3713</v>
      </c>
      <c r="V3571" s="448">
        <f t="shared" ref="V3571:V3579" si="352">V3555</f>
        <v>344.3</v>
      </c>
      <c r="W3571" s="1028" t="s">
        <v>621</v>
      </c>
      <c r="X3571" s="448">
        <f t="shared" ref="X3571:X3578" si="353">V3571*S3571</f>
        <v>1122.42</v>
      </c>
    </row>
    <row r="3572" spans="1:119" ht="24" customHeight="1">
      <c r="G3572"/>
      <c r="H3572" s="325" t="s">
        <v>3809</v>
      </c>
      <c r="I3572" s="50"/>
      <c r="J3572"/>
      <c r="N3572" s="3"/>
      <c r="O3572" s="1" t="s">
        <v>1785</v>
      </c>
      <c r="Q3572" s="10"/>
      <c r="R3572" s="38">
        <f>SUM(R3560:R3570)</f>
        <v>3406.02</v>
      </c>
      <c r="S3572" s="448">
        <v>4</v>
      </c>
      <c r="T3572" s="449" t="s">
        <v>785</v>
      </c>
      <c r="U3572" s="448" t="s">
        <v>3714</v>
      </c>
      <c r="V3572" s="448">
        <f t="shared" si="352"/>
        <v>57.65</v>
      </c>
      <c r="W3572" s="1028" t="s">
        <v>785</v>
      </c>
      <c r="X3572" s="448">
        <f t="shared" si="353"/>
        <v>230.6</v>
      </c>
    </row>
    <row r="3573" spans="1:119" ht="35.1" customHeight="1">
      <c r="F3573">
        <v>70</v>
      </c>
      <c r="G3573" s="3" t="s">
        <v>842</v>
      </c>
      <c r="H3573" s="482" t="s">
        <v>4196</v>
      </c>
      <c r="I3573" s="438">
        <f>P1353</f>
        <v>33</v>
      </c>
      <c r="J3573" s="10" t="s">
        <v>2404</v>
      </c>
      <c r="K3573">
        <f>I3573*F3573</f>
        <v>2310</v>
      </c>
      <c r="N3573" s="3"/>
      <c r="Q3573" s="10"/>
      <c r="R3573" s="5" t="s">
        <v>1615</v>
      </c>
      <c r="S3573" s="448">
        <v>6</v>
      </c>
      <c r="T3573" s="449" t="s">
        <v>785</v>
      </c>
      <c r="U3573" s="448" t="s">
        <v>3715</v>
      </c>
      <c r="V3573" s="448">
        <f t="shared" si="352"/>
        <v>89.6</v>
      </c>
      <c r="W3573" s="1028" t="s">
        <v>785</v>
      </c>
      <c r="X3573" s="448">
        <f t="shared" si="353"/>
        <v>537.6</v>
      </c>
    </row>
    <row r="3574" spans="1:119" ht="35.1" customHeight="1">
      <c r="F3574">
        <v>0.3</v>
      </c>
      <c r="G3574" s="3" t="s">
        <v>1365</v>
      </c>
      <c r="H3574" s="482" t="s">
        <v>4197</v>
      </c>
      <c r="I3574" s="438">
        <f>P1355</f>
        <v>17600</v>
      </c>
      <c r="J3574" s="10" t="s">
        <v>3773</v>
      </c>
      <c r="K3574">
        <f>I3574*F3574</f>
        <v>5280</v>
      </c>
      <c r="S3574" s="448">
        <v>4</v>
      </c>
      <c r="T3574" s="449" t="s">
        <v>785</v>
      </c>
      <c r="U3574" s="448" t="s">
        <v>3716</v>
      </c>
      <c r="V3574" s="448">
        <f t="shared" si="352"/>
        <v>64.8</v>
      </c>
      <c r="W3574" s="1028" t="s">
        <v>785</v>
      </c>
      <c r="X3574" s="448">
        <f t="shared" si="353"/>
        <v>259.2</v>
      </c>
    </row>
    <row r="3575" spans="1:119" ht="35.1" customHeight="1">
      <c r="H3575" t="s">
        <v>3790</v>
      </c>
      <c r="K3575">
        <f>SUM(K3573:K3574)</f>
        <v>7590</v>
      </c>
      <c r="S3575" s="448">
        <v>1</v>
      </c>
      <c r="T3575" s="449" t="s">
        <v>785</v>
      </c>
      <c r="U3575" s="448" t="s">
        <v>2503</v>
      </c>
      <c r="V3575" s="448">
        <f t="shared" si="352"/>
        <v>181</v>
      </c>
      <c r="W3575" s="1028" t="s">
        <v>785</v>
      </c>
      <c r="X3575" s="448">
        <f t="shared" si="353"/>
        <v>181</v>
      </c>
    </row>
    <row r="3576" spans="1:119" ht="35.1" customHeight="1">
      <c r="H3576" s="36" t="s">
        <v>3791</v>
      </c>
      <c r="I3576" s="36"/>
      <c r="J3576" s="98"/>
      <c r="K3576" s="36">
        <f>K3575/10</f>
        <v>759</v>
      </c>
      <c r="S3576" s="448">
        <v>118</v>
      </c>
      <c r="T3576" s="449" t="s">
        <v>785</v>
      </c>
      <c r="U3576" s="448" t="s">
        <v>3717</v>
      </c>
      <c r="V3576" s="448">
        <f t="shared" si="352"/>
        <v>2.41</v>
      </c>
      <c r="W3576" s="1028" t="s">
        <v>785</v>
      </c>
      <c r="X3576" s="448">
        <f t="shared" si="353"/>
        <v>284.38</v>
      </c>
    </row>
    <row r="3577" spans="1:119" ht="35.1" customHeight="1">
      <c r="F3577">
        <v>1</v>
      </c>
      <c r="G3577" s="3" t="s">
        <v>3792</v>
      </c>
      <c r="H3577" t="s">
        <v>3793</v>
      </c>
      <c r="I3577">
        <f>K3576</f>
        <v>759</v>
      </c>
      <c r="J3577" s="10" t="s">
        <v>3792</v>
      </c>
      <c r="K3577">
        <f>I3577*F3577</f>
        <v>759</v>
      </c>
      <c r="S3577" s="448">
        <v>2</v>
      </c>
      <c r="T3577" s="449" t="s">
        <v>785</v>
      </c>
      <c r="U3577" s="448" t="s">
        <v>3718</v>
      </c>
      <c r="V3577" s="448">
        <f t="shared" si="352"/>
        <v>23.1</v>
      </c>
      <c r="W3577" s="1028" t="s">
        <v>785</v>
      </c>
      <c r="X3577" s="448">
        <f t="shared" si="353"/>
        <v>46.2</v>
      </c>
    </row>
    <row r="3578" spans="1:119" ht="35.1" customHeight="1">
      <c r="F3578">
        <v>2</v>
      </c>
      <c r="G3578" s="3" t="s">
        <v>1457</v>
      </c>
      <c r="H3578" s="482" t="s">
        <v>146</v>
      </c>
      <c r="I3578" s="438">
        <f>I2349</f>
        <v>679.8</v>
      </c>
      <c r="J3578" s="10" t="s">
        <v>1423</v>
      </c>
      <c r="K3578">
        <f>I3578*F3578</f>
        <v>1359.6</v>
      </c>
      <c r="S3578" s="448">
        <v>2</v>
      </c>
      <c r="T3578" s="449" t="s">
        <v>785</v>
      </c>
      <c r="U3578" s="448" t="s">
        <v>3719</v>
      </c>
      <c r="V3578" s="448">
        <f t="shared" si="352"/>
        <v>49.55</v>
      </c>
      <c r="W3578" s="1028" t="s">
        <v>785</v>
      </c>
      <c r="X3578" s="448">
        <f t="shared" si="353"/>
        <v>99.1</v>
      </c>
    </row>
    <row r="3579" spans="1:119" ht="35.1" customHeight="1">
      <c r="H3579" t="s">
        <v>3794</v>
      </c>
      <c r="K3579">
        <v>10.3</v>
      </c>
      <c r="S3579" s="525">
        <v>0.73</v>
      </c>
      <c r="T3579" s="526" t="s">
        <v>621</v>
      </c>
      <c r="U3579" s="527" t="s">
        <v>3841</v>
      </c>
      <c r="V3579" s="448">
        <f t="shared" si="352"/>
        <v>240.31</v>
      </c>
      <c r="W3579" s="1029" t="s">
        <v>621</v>
      </c>
      <c r="X3579" s="527"/>
    </row>
    <row r="3580" spans="1:119" ht="35.1" customHeight="1">
      <c r="H3580" t="s">
        <v>3796</v>
      </c>
      <c r="K3580">
        <f>SUM(K3577:K3579)</f>
        <v>2128.9</v>
      </c>
      <c r="S3580" s="448"/>
      <c r="T3580" s="449"/>
      <c r="U3580" s="448" t="s">
        <v>3834</v>
      </c>
      <c r="V3580" s="448"/>
      <c r="W3580" s="1028"/>
      <c r="X3580" s="448">
        <f>SUM(X3570:X3579)</f>
        <v>10111.799999999999</v>
      </c>
    </row>
    <row r="3581" spans="1:119" ht="35.1" customHeight="1">
      <c r="A3581" s="36"/>
      <c r="B3581" s="36"/>
      <c r="C3581" s="36"/>
      <c r="D3581" s="36"/>
      <c r="E3581" s="36"/>
      <c r="F3581" s="36"/>
      <c r="G3581" s="72"/>
      <c r="H3581" s="36" t="s">
        <v>3795</v>
      </c>
      <c r="I3581" s="36"/>
      <c r="J3581" s="98"/>
      <c r="K3581" s="36">
        <f>K3580/6</f>
        <v>354.82</v>
      </c>
      <c r="L3581" s="36"/>
      <c r="M3581" s="36"/>
      <c r="N3581" s="36"/>
      <c r="O3581" s="36"/>
      <c r="P3581" s="36"/>
      <c r="Q3581" s="36"/>
      <c r="R3581" s="36"/>
      <c r="S3581" s="448"/>
      <c r="T3581" s="449"/>
      <c r="U3581" s="448" t="s">
        <v>3298</v>
      </c>
      <c r="V3581" s="448"/>
      <c r="W3581" s="1028"/>
      <c r="X3581" s="448">
        <f>X3580/S3571</f>
        <v>3101.78</v>
      </c>
      <c r="Y3581" s="36"/>
      <c r="Z3581" s="36"/>
      <c r="AA3581" s="36"/>
      <c r="AB3581" s="36"/>
      <c r="AC3581" s="36"/>
      <c r="AD3581" s="3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3797</v>
      </c>
      <c r="I3582"/>
      <c r="J3582" s="10"/>
      <c r="K3582"/>
      <c r="L3582"/>
      <c r="M3582"/>
      <c r="N3582"/>
      <c r="O3582"/>
      <c r="P3582"/>
      <c r="Q3582"/>
      <c r="R3582"/>
      <c r="S3582" s="50"/>
      <c r="T3582"/>
      <c r="U3582"/>
      <c r="V3582"/>
      <c r="W3582" s="4"/>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3516</v>
      </c>
      <c r="H3583" t="s">
        <v>3798</v>
      </c>
      <c r="I3583">
        <f>I3573</f>
        <v>33</v>
      </c>
      <c r="J3583" s="10" t="s">
        <v>2404</v>
      </c>
      <c r="K3583">
        <f>F3583*I3583</f>
        <v>1617</v>
      </c>
      <c r="S3583" s="448"/>
      <c r="T3583" s="449"/>
      <c r="U3583" s="448" t="s">
        <v>4254</v>
      </c>
      <c r="V3583" s="448"/>
      <c r="W3583" s="1028"/>
    </row>
    <row r="3584" spans="1:119" ht="35.1" customHeight="1">
      <c r="F3584">
        <v>0.3</v>
      </c>
      <c r="G3584" s="3" t="s">
        <v>1365</v>
      </c>
      <c r="H3584" t="s">
        <v>3799</v>
      </c>
      <c r="I3584">
        <f>I3574</f>
        <v>17600</v>
      </c>
      <c r="J3584" s="10" t="s">
        <v>1365</v>
      </c>
      <c r="K3584">
        <f>F3584*I3584</f>
        <v>5280</v>
      </c>
      <c r="S3584"/>
      <c r="T3584" s="3"/>
      <c r="U3584" s="452" t="s">
        <v>4255</v>
      </c>
      <c r="V3584" s="448">
        <f>1.7*2.325</f>
        <v>3.95</v>
      </c>
      <c r="W3584" s="4"/>
    </row>
    <row r="3585" spans="1:119" ht="35.1" customHeight="1">
      <c r="H3585" s="36" t="s">
        <v>3800</v>
      </c>
      <c r="K3585" s="36">
        <f>SUM(K3583:K3584)</f>
        <v>6897</v>
      </c>
      <c r="S3585" s="448">
        <f>V3584</f>
        <v>3.95</v>
      </c>
      <c r="T3585" s="449" t="s">
        <v>621</v>
      </c>
      <c r="U3585" s="448" t="s">
        <v>3712</v>
      </c>
      <c r="V3585" s="448">
        <f>V3570</f>
        <v>2255</v>
      </c>
      <c r="W3585" s="1028" t="s">
        <v>621</v>
      </c>
      <c r="X3585" s="448">
        <f>V3585*S3585</f>
        <v>8907.25</v>
      </c>
    </row>
    <row r="3586" spans="1:119" ht="35.1" customHeight="1">
      <c r="H3586" s="36" t="s">
        <v>3791</v>
      </c>
      <c r="K3586" s="36">
        <f>K3585/10</f>
        <v>689.7</v>
      </c>
      <c r="S3586" s="448">
        <f>S3585</f>
        <v>3.95</v>
      </c>
      <c r="T3586" s="449" t="s">
        <v>621</v>
      </c>
      <c r="U3586" s="448" t="s">
        <v>3713</v>
      </c>
      <c r="V3586" s="448">
        <f t="shared" ref="V3586:V3593" si="354">V3571</f>
        <v>344.3</v>
      </c>
      <c r="W3586" s="1028" t="s">
        <v>621</v>
      </c>
      <c r="X3586" s="448">
        <f t="shared" ref="X3586:X3593" si="355">V3586*S3586</f>
        <v>1359.99</v>
      </c>
    </row>
    <row r="3587" spans="1:119" ht="35.1" customHeight="1">
      <c r="F3587">
        <v>2</v>
      </c>
      <c r="G3587" s="3" t="s">
        <v>262</v>
      </c>
      <c r="H3587" s="438" t="s">
        <v>146</v>
      </c>
      <c r="I3587">
        <f>I3578</f>
        <v>679.8</v>
      </c>
      <c r="J3587" s="10" t="s">
        <v>262</v>
      </c>
      <c r="K3587">
        <f>F3587*I3587</f>
        <v>1359.6</v>
      </c>
      <c r="S3587" s="448">
        <v>4</v>
      </c>
      <c r="T3587" s="449" t="s">
        <v>785</v>
      </c>
      <c r="U3587" s="448" t="s">
        <v>3714</v>
      </c>
      <c r="V3587" s="448">
        <f t="shared" si="354"/>
        <v>57.65</v>
      </c>
      <c r="W3587" s="1028" t="s">
        <v>785</v>
      </c>
      <c r="X3587" s="448">
        <f t="shared" si="355"/>
        <v>230.6</v>
      </c>
    </row>
    <row r="3588" spans="1:119" ht="35.1" customHeight="1">
      <c r="H3588" s="438" t="s">
        <v>3801</v>
      </c>
      <c r="K3588">
        <v>4.3499999999999996</v>
      </c>
      <c r="S3588" s="448">
        <v>8</v>
      </c>
      <c r="T3588" s="449" t="s">
        <v>785</v>
      </c>
      <c r="U3588" s="448" t="s">
        <v>3715</v>
      </c>
      <c r="V3588" s="448">
        <f t="shared" si="354"/>
        <v>89.6</v>
      </c>
      <c r="W3588" s="1028" t="s">
        <v>785</v>
      </c>
      <c r="X3588" s="448">
        <f t="shared" si="355"/>
        <v>716.8</v>
      </c>
    </row>
    <row r="3589" spans="1:119" ht="35.1" customHeight="1">
      <c r="H3589" s="438" t="s">
        <v>3802</v>
      </c>
      <c r="K3589">
        <f>SUM(K3586:K3588)</f>
        <v>2053.65</v>
      </c>
      <c r="S3589" s="448">
        <v>4</v>
      </c>
      <c r="T3589" s="449" t="s">
        <v>785</v>
      </c>
      <c r="U3589" s="448" t="s">
        <v>3716</v>
      </c>
      <c r="V3589" s="448">
        <f t="shared" si="354"/>
        <v>64.8</v>
      </c>
      <c r="W3589" s="1028" t="s">
        <v>785</v>
      </c>
      <c r="X3589" s="448">
        <f t="shared" si="355"/>
        <v>259.2</v>
      </c>
    </row>
    <row r="3590" spans="1:119" ht="35.1" customHeight="1">
      <c r="H3590" s="36" t="s">
        <v>3803</v>
      </c>
      <c r="I3590" s="36"/>
      <c r="J3590" s="98"/>
      <c r="K3590" s="36">
        <f>K3589/6</f>
        <v>342.28</v>
      </c>
      <c r="S3590" s="448">
        <v>1</v>
      </c>
      <c r="T3590" s="449" t="s">
        <v>785</v>
      </c>
      <c r="U3590" s="448" t="s">
        <v>2503</v>
      </c>
      <c r="V3590" s="448">
        <f t="shared" si="354"/>
        <v>181</v>
      </c>
      <c r="W3590" s="1028" t="s">
        <v>785</v>
      </c>
      <c r="X3590" s="448">
        <f t="shared" si="355"/>
        <v>181</v>
      </c>
    </row>
    <row r="3591" spans="1:119" ht="35.1" customHeight="1">
      <c r="A3591" s="36"/>
      <c r="B3591" s="36"/>
      <c r="C3591" s="36"/>
      <c r="D3591" s="36"/>
      <c r="E3591" s="36"/>
      <c r="F3591" s="36"/>
      <c r="G3591" s="72"/>
      <c r="H3591" s="438" t="s">
        <v>3804</v>
      </c>
      <c r="I3591" s="438"/>
      <c r="J3591" s="477"/>
      <c r="K3591" s="438">
        <f>K3581</f>
        <v>354.82</v>
      </c>
      <c r="L3591" s="36"/>
      <c r="M3591" s="36"/>
      <c r="N3591" s="36"/>
      <c r="O3591" s="36"/>
      <c r="P3591" s="36"/>
      <c r="Q3591" s="36"/>
      <c r="R3591" s="36"/>
      <c r="S3591" s="448">
        <v>118</v>
      </c>
      <c r="T3591" s="449" t="s">
        <v>785</v>
      </c>
      <c r="U3591" s="448" t="s">
        <v>3717</v>
      </c>
      <c r="V3591" s="448">
        <f t="shared" si="354"/>
        <v>2.41</v>
      </c>
      <c r="W3591" s="1028" t="s">
        <v>785</v>
      </c>
      <c r="X3591" s="448">
        <f t="shared" si="355"/>
        <v>284.38</v>
      </c>
      <c r="Z3591" s="36"/>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8" t="s">
        <v>3805</v>
      </c>
      <c r="I3592" s="438">
        <f>K3591</f>
        <v>354.82</v>
      </c>
      <c r="J3592" s="477">
        <f>K3590</f>
        <v>342.28</v>
      </c>
      <c r="K3592" s="438">
        <f>SUM(I3592:J3592)</f>
        <v>697.1</v>
      </c>
      <c r="S3592" s="448">
        <v>2</v>
      </c>
      <c r="T3592" s="449" t="s">
        <v>785</v>
      </c>
      <c r="U3592" s="448" t="s">
        <v>3718</v>
      </c>
      <c r="V3592" s="448">
        <f t="shared" si="354"/>
        <v>23.1</v>
      </c>
      <c r="W3592" s="1028" t="s">
        <v>785</v>
      </c>
      <c r="X3592" s="448">
        <f t="shared" si="355"/>
        <v>46.2</v>
      </c>
      <c r="Y3592"/>
    </row>
    <row r="3593" spans="1:119" s="36" customFormat="1" ht="35.1" customHeight="1">
      <c r="G3593" s="72"/>
      <c r="H3593" s="438" t="s">
        <v>3806</v>
      </c>
      <c r="I3593" s="438">
        <f>K3592</f>
        <v>697.1</v>
      </c>
      <c r="J3593" s="477">
        <f>J3592</f>
        <v>342.28</v>
      </c>
      <c r="K3593" s="438">
        <f>SUM(I3593:J3593)</f>
        <v>1039.3800000000001</v>
      </c>
      <c r="S3593" s="448">
        <v>2</v>
      </c>
      <c r="T3593" s="449" t="s">
        <v>785</v>
      </c>
      <c r="U3593" s="448" t="s">
        <v>3719</v>
      </c>
      <c r="V3593" s="448">
        <f t="shared" si="354"/>
        <v>49.55</v>
      </c>
      <c r="W3593" s="1028" t="s">
        <v>785</v>
      </c>
      <c r="X3593" s="448">
        <f t="shared" si="355"/>
        <v>99.1</v>
      </c>
      <c r="Y3593"/>
    </row>
    <row r="3594" spans="1:119" s="36" customFormat="1" ht="35.1" customHeight="1">
      <c r="G3594" s="72"/>
      <c r="H3594" s="438" t="s">
        <v>3807</v>
      </c>
      <c r="I3594" s="438">
        <f>K3593</f>
        <v>1039.3800000000001</v>
      </c>
      <c r="J3594" s="477">
        <f>J3593</f>
        <v>342.28</v>
      </c>
      <c r="K3594" s="438">
        <f>SUM(I3594:J3594)</f>
        <v>1381.66</v>
      </c>
      <c r="S3594" s="451"/>
      <c r="T3594" s="449"/>
      <c r="U3594" s="448"/>
      <c r="V3594" s="448"/>
      <c r="W3594" s="1028" t="s">
        <v>621</v>
      </c>
      <c r="X3594" s="448">
        <f>V3594*S3594</f>
        <v>0</v>
      </c>
      <c r="Y3594"/>
    </row>
    <row r="3595" spans="1:119" s="36" customFormat="1" ht="35.1" customHeight="1">
      <c r="G3595" s="72"/>
      <c r="H3595" s="438" t="s">
        <v>3808</v>
      </c>
      <c r="I3595" s="438">
        <f>K3594</f>
        <v>1381.66</v>
      </c>
      <c r="J3595" s="477">
        <f>J3594</f>
        <v>342.28</v>
      </c>
      <c r="K3595" s="438">
        <f>SUM(I3595:J3595)</f>
        <v>1723.94</v>
      </c>
      <c r="S3595" s="448"/>
      <c r="T3595" s="449"/>
      <c r="U3595" s="448" t="s">
        <v>4256</v>
      </c>
      <c r="V3595" s="448"/>
      <c r="W3595" s="1028"/>
      <c r="X3595" s="448">
        <f>SUM(X3585:X3594)</f>
        <v>12084.52</v>
      </c>
      <c r="Y3595"/>
    </row>
    <row r="3596" spans="1:119" s="36" customFormat="1" ht="35.1" customHeight="1">
      <c r="A3596"/>
      <c r="B3596"/>
      <c r="C3596"/>
      <c r="D3596"/>
      <c r="E3596"/>
      <c r="F3596"/>
      <c r="G3596" s="3"/>
      <c r="H3596"/>
      <c r="I3596"/>
      <c r="J3596" s="10"/>
      <c r="K3596"/>
      <c r="L3596"/>
      <c r="M3596"/>
      <c r="N3596"/>
      <c r="O3596"/>
      <c r="P3596"/>
      <c r="Q3596"/>
      <c r="R3596"/>
      <c r="S3596" s="448"/>
      <c r="T3596" s="449"/>
      <c r="U3596" s="448" t="s">
        <v>3298</v>
      </c>
      <c r="V3596" s="448"/>
      <c r="W3596" s="1028"/>
      <c r="X3596" s="448">
        <f>X3595/S3586</f>
        <v>3059.37</v>
      </c>
      <c r="Y3596">
        <f>[9]Data!X3597</f>
        <v>213.6</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2290</v>
      </c>
      <c r="H3597" s="33" t="s">
        <v>3894</v>
      </c>
      <c r="L3597" s="10"/>
      <c r="S3597"/>
      <c r="T3597" s="3"/>
      <c r="U3597" s="448"/>
      <c r="W3597" s="4"/>
      <c r="X3597" s="448"/>
    </row>
    <row r="3598" spans="1:119" ht="24" customHeight="1">
      <c r="H3598" s="33" t="s">
        <v>3895</v>
      </c>
      <c r="L3598" s="1"/>
      <c r="W3598" s="4"/>
    </row>
    <row r="3599" spans="1:119" ht="24" customHeight="1">
      <c r="H3599" s="5" t="s">
        <v>1615</v>
      </c>
      <c r="L3599" s="1"/>
      <c r="W3599" s="4"/>
    </row>
    <row r="3600" spans="1:119" ht="24" customHeight="1">
      <c r="F3600" s="18">
        <v>7.0699999999999999E-2</v>
      </c>
      <c r="G3600" s="7" t="s">
        <v>1365</v>
      </c>
      <c r="H3600" s="1" t="s">
        <v>1366</v>
      </c>
      <c r="I3600" s="8">
        <f>I2814</f>
        <v>99400</v>
      </c>
      <c r="J3600" s="1" t="s">
        <v>885</v>
      </c>
      <c r="K3600" s="8">
        <f t="shared" ref="K3600:K3608" si="356">(F3600*I3600)</f>
        <v>7027.58</v>
      </c>
      <c r="L3600" s="1"/>
      <c r="S3600" s="448"/>
      <c r="T3600" s="449"/>
      <c r="U3600" s="448" t="s">
        <v>4257</v>
      </c>
      <c r="V3600" s="448"/>
      <c r="W3600" s="1028"/>
    </row>
    <row r="3601" spans="6:29" ht="24" customHeight="1">
      <c r="F3601" s="18">
        <v>5.16</v>
      </c>
      <c r="G3601" s="7" t="s">
        <v>621</v>
      </c>
      <c r="H3601" s="1" t="s">
        <v>3896</v>
      </c>
      <c r="I3601" s="439">
        <f>AE57</f>
        <v>1613.7</v>
      </c>
      <c r="J3601" s="1" t="s">
        <v>885</v>
      </c>
      <c r="K3601" s="8">
        <f t="shared" si="356"/>
        <v>8326.69</v>
      </c>
      <c r="L3601" s="1"/>
      <c r="S3601"/>
      <c r="T3601" s="3"/>
      <c r="U3601" s="452" t="s">
        <v>4258</v>
      </c>
      <c r="V3601" s="448">
        <f>1.7*2.025</f>
        <v>3.44</v>
      </c>
      <c r="W3601" s="4"/>
    </row>
    <row r="3602" spans="6:29" ht="24" customHeight="1">
      <c r="F3602" s="18">
        <v>3.6659999999999999</v>
      </c>
      <c r="G3602" s="7" t="s">
        <v>621</v>
      </c>
      <c r="H3602" s="1" t="s">
        <v>3897</v>
      </c>
      <c r="I3602" s="439">
        <f>P1395</f>
        <v>306.89999999999998</v>
      </c>
      <c r="J3602" s="1" t="s">
        <v>621</v>
      </c>
      <c r="K3602" s="8">
        <f t="shared" si="356"/>
        <v>1125.0999999999999</v>
      </c>
      <c r="L3602" s="1"/>
      <c r="S3602" s="448">
        <f>V3601</f>
        <v>3.44</v>
      </c>
      <c r="T3602" s="449" t="s">
        <v>621</v>
      </c>
      <c r="U3602" s="448" t="s">
        <v>3712</v>
      </c>
      <c r="V3602" s="448">
        <f>V3585</f>
        <v>2255</v>
      </c>
      <c r="W3602" s="1028" t="s">
        <v>621</v>
      </c>
      <c r="X3602" s="448">
        <f>V3602*S3602</f>
        <v>7757.2</v>
      </c>
    </row>
    <row r="3603" spans="6:29" ht="24" customHeight="1">
      <c r="F3603" s="8">
        <v>22.66</v>
      </c>
      <c r="G3603" s="7" t="s">
        <v>842</v>
      </c>
      <c r="H3603" s="1" t="s">
        <v>5723</v>
      </c>
      <c r="I3603" s="419">
        <v>15.45</v>
      </c>
      <c r="J3603" s="7" t="s">
        <v>842</v>
      </c>
      <c r="K3603" s="8">
        <f t="shared" si="356"/>
        <v>350.1</v>
      </c>
      <c r="L3603" s="1"/>
      <c r="S3603" s="448">
        <f>S3602</f>
        <v>3.44</v>
      </c>
      <c r="T3603" s="449" t="s">
        <v>621</v>
      </c>
      <c r="U3603" s="448" t="s">
        <v>3713</v>
      </c>
      <c r="V3603" s="448">
        <f t="shared" ref="V3603:V3610" si="357">V3586</f>
        <v>344.3</v>
      </c>
      <c r="W3603" s="1028" t="s">
        <v>621</v>
      </c>
      <c r="X3603" s="448">
        <f t="shared" ref="X3603:X3610" si="358">V3603*S3603</f>
        <v>1184.3900000000001</v>
      </c>
    </row>
    <row r="3604" spans="6:29" ht="24" customHeight="1">
      <c r="F3604" s="8">
        <v>15</v>
      </c>
      <c r="G3604" s="7" t="s">
        <v>884</v>
      </c>
      <c r="H3604" s="1" t="s">
        <v>1543</v>
      </c>
      <c r="I3604" s="439">
        <f>C279</f>
        <v>89.6</v>
      </c>
      <c r="J3604" s="1" t="s">
        <v>884</v>
      </c>
      <c r="K3604" s="8">
        <f>(F3603*I3604)</f>
        <v>2030.34</v>
      </c>
      <c r="L3604" s="1"/>
      <c r="S3604" s="448">
        <v>4</v>
      </c>
      <c r="T3604" s="449" t="s">
        <v>785</v>
      </c>
      <c r="U3604" s="448" t="s">
        <v>3714</v>
      </c>
      <c r="V3604" s="448">
        <f t="shared" si="357"/>
        <v>57.65</v>
      </c>
      <c r="W3604" s="1028" t="s">
        <v>785</v>
      </c>
      <c r="X3604" s="448">
        <f t="shared" si="358"/>
        <v>230.6</v>
      </c>
    </row>
    <row r="3605" spans="6:29" ht="24" customHeight="1">
      <c r="F3605" s="8">
        <v>10</v>
      </c>
      <c r="G3605" s="7" t="s">
        <v>884</v>
      </c>
      <c r="H3605" s="1" t="s">
        <v>5724</v>
      </c>
      <c r="I3605" s="419">
        <v>82.25</v>
      </c>
      <c r="J3605" s="1" t="s">
        <v>884</v>
      </c>
      <c r="K3605" s="8">
        <f>(F3604*I3605)</f>
        <v>1233.75</v>
      </c>
      <c r="L3605" s="1"/>
      <c r="S3605" s="448">
        <v>6</v>
      </c>
      <c r="T3605" s="449" t="s">
        <v>785</v>
      </c>
      <c r="U3605" s="448" t="s">
        <v>3715</v>
      </c>
      <c r="V3605" s="448">
        <f t="shared" si="357"/>
        <v>89.6</v>
      </c>
      <c r="W3605" s="1028" t="s">
        <v>785</v>
      </c>
      <c r="X3605" s="448">
        <f t="shared" si="358"/>
        <v>537.6</v>
      </c>
    </row>
    <row r="3606" spans="6:29" ht="24" customHeight="1">
      <c r="F3606" s="8">
        <v>5</v>
      </c>
      <c r="G3606" s="7" t="s">
        <v>884</v>
      </c>
      <c r="H3606" s="1" t="s">
        <v>3898</v>
      </c>
      <c r="I3606" s="419">
        <v>57.65</v>
      </c>
      <c r="J3606" s="1" t="s">
        <v>884</v>
      </c>
      <c r="K3606" s="8">
        <f>(F3607*I3606)</f>
        <v>288.25</v>
      </c>
      <c r="L3606" s="10"/>
      <c r="S3606" s="448">
        <v>4</v>
      </c>
      <c r="T3606" s="449" t="s">
        <v>785</v>
      </c>
      <c r="U3606" s="448" t="s">
        <v>3716</v>
      </c>
      <c r="V3606" s="448">
        <f t="shared" si="357"/>
        <v>64.8</v>
      </c>
      <c r="W3606" s="1028" t="s">
        <v>785</v>
      </c>
      <c r="X3606" s="448">
        <f t="shared" si="358"/>
        <v>259.2</v>
      </c>
    </row>
    <row r="3607" spans="6:29" ht="24" customHeight="1">
      <c r="F3607" s="8">
        <v>5</v>
      </c>
      <c r="G3607" s="7" t="s">
        <v>884</v>
      </c>
      <c r="H3607" s="1" t="s">
        <v>2145</v>
      </c>
      <c r="I3607" s="536">
        <v>7.3</v>
      </c>
      <c r="J3607" s="1" t="s">
        <v>884</v>
      </c>
      <c r="K3607" s="8">
        <f>(F3605*I3607)</f>
        <v>73</v>
      </c>
      <c r="L3607" s="10"/>
      <c r="S3607" s="448">
        <v>1</v>
      </c>
      <c r="T3607" s="449" t="s">
        <v>785</v>
      </c>
      <c r="U3607" s="448" t="s">
        <v>2503</v>
      </c>
      <c r="V3607" s="448">
        <f t="shared" si="357"/>
        <v>181</v>
      </c>
      <c r="W3607" s="1028" t="s">
        <v>785</v>
      </c>
      <c r="X3607" s="448">
        <f t="shared" si="358"/>
        <v>181</v>
      </c>
    </row>
    <row r="3608" spans="6:29" ht="24" customHeight="1">
      <c r="F3608" s="8">
        <v>10</v>
      </c>
      <c r="H3608" s="1" t="s">
        <v>1163</v>
      </c>
      <c r="I3608" s="8">
        <f>I3430</f>
        <v>2.41</v>
      </c>
      <c r="J3608" s="1" t="s">
        <v>884</v>
      </c>
      <c r="K3608" s="8">
        <f t="shared" si="356"/>
        <v>24.1</v>
      </c>
      <c r="L3608" s="10"/>
      <c r="S3608" s="448">
        <v>118</v>
      </c>
      <c r="T3608" s="449" t="s">
        <v>785</v>
      </c>
      <c r="U3608" s="448" t="s">
        <v>3717</v>
      </c>
      <c r="V3608" s="448">
        <f t="shared" si="357"/>
        <v>2.41</v>
      </c>
      <c r="W3608" s="1028" t="s">
        <v>785</v>
      </c>
      <c r="X3608" s="448">
        <f t="shared" si="358"/>
        <v>284.38</v>
      </c>
    </row>
    <row r="3609" spans="6:29" ht="24" customHeight="1">
      <c r="K3609" s="5" t="s">
        <v>1615</v>
      </c>
      <c r="L3609" s="10"/>
      <c r="S3609" s="448">
        <v>2</v>
      </c>
      <c r="T3609" s="449" t="s">
        <v>785</v>
      </c>
      <c r="U3609" s="448" t="s">
        <v>3718</v>
      </c>
      <c r="V3609" s="448">
        <f t="shared" si="357"/>
        <v>23.1</v>
      </c>
      <c r="W3609" s="1028" t="s">
        <v>785</v>
      </c>
      <c r="X3609" s="448">
        <f t="shared" si="358"/>
        <v>46.2</v>
      </c>
    </row>
    <row r="3610" spans="6:29" ht="24" customHeight="1">
      <c r="H3610" s="2" t="s">
        <v>3899</v>
      </c>
      <c r="K3610" s="8">
        <f>SUM(K3596:K3608)</f>
        <v>20478.91</v>
      </c>
      <c r="L3610" s="10"/>
      <c r="S3610" s="448">
        <v>2</v>
      </c>
      <c r="T3610" s="449" t="s">
        <v>785</v>
      </c>
      <c r="U3610" s="448" t="s">
        <v>3719</v>
      </c>
      <c r="V3610" s="448">
        <f t="shared" si="357"/>
        <v>49.55</v>
      </c>
      <c r="W3610" s="1028" t="s">
        <v>785</v>
      </c>
      <c r="X3610" s="448">
        <f t="shared" si="358"/>
        <v>99.1</v>
      </c>
    </row>
    <row r="3611" spans="6:29" ht="24" customHeight="1">
      <c r="K3611" s="5" t="s">
        <v>1615</v>
      </c>
      <c r="L3611" s="10"/>
      <c r="S3611" s="451"/>
      <c r="T3611" s="449"/>
      <c r="U3611" s="448"/>
      <c r="V3611" s="448"/>
      <c r="W3611" s="1028" t="s">
        <v>621</v>
      </c>
      <c r="X3611" s="448">
        <f>V3611*S3611</f>
        <v>0</v>
      </c>
    </row>
    <row r="3612" spans="6:29" ht="24" customHeight="1">
      <c r="H3612" s="58" t="s">
        <v>562</v>
      </c>
      <c r="I3612" s="1" t="s">
        <v>992</v>
      </c>
      <c r="K3612" s="38">
        <f>K3610/F3601</f>
        <v>3968.78</v>
      </c>
      <c r="S3612" s="448"/>
      <c r="T3612" s="449"/>
      <c r="U3612" s="448" t="s">
        <v>4259</v>
      </c>
      <c r="V3612" s="448"/>
      <c r="W3612" s="1028"/>
      <c r="X3612" s="448">
        <f>SUM(X3602:X3611)</f>
        <v>10579.67</v>
      </c>
    </row>
    <row r="3613" spans="6:29" ht="24" customHeight="1">
      <c r="K3613" s="5" t="s">
        <v>2091</v>
      </c>
      <c r="S3613" s="448"/>
      <c r="T3613" s="449"/>
      <c r="U3613" s="448" t="s">
        <v>3298</v>
      </c>
      <c r="V3613" s="448"/>
      <c r="W3613" s="1028"/>
      <c r="X3613" s="448">
        <f>X3612/S3603</f>
        <v>3075.49</v>
      </c>
    </row>
    <row r="3614" spans="6:29" ht="24" customHeight="1">
      <c r="F3614" s="2" t="s">
        <v>1646</v>
      </c>
      <c r="G3614" s="7" t="s">
        <v>2290</v>
      </c>
      <c r="H3614" s="1" t="s">
        <v>3913</v>
      </c>
      <c r="S3614"/>
      <c r="W3614" s="4"/>
    </row>
    <row r="3615" spans="6:29" ht="24" customHeight="1">
      <c r="H3615" s="1" t="s">
        <v>3914</v>
      </c>
      <c r="S3615" s="448"/>
      <c r="T3615" s="449"/>
      <c r="U3615" s="448" t="s">
        <v>5170</v>
      </c>
      <c r="V3615" s="448"/>
      <c r="W3615" s="1028"/>
    </row>
    <row r="3616" spans="6:29" ht="24" customHeight="1">
      <c r="H3616" s="5" t="s">
        <v>1615</v>
      </c>
      <c r="S3616"/>
      <c r="T3616" s="3"/>
      <c r="U3616" s="452" t="s">
        <v>4842</v>
      </c>
      <c r="W3616" s="4">
        <f>1.1*2.025</f>
        <v>2.23</v>
      </c>
      <c r="Y3616" s="448"/>
      <c r="Z3616" s="449"/>
      <c r="AA3616" s="448" t="s">
        <v>5804</v>
      </c>
      <c r="AB3616" s="448"/>
      <c r="AC3616" s="450"/>
    </row>
    <row r="3617" spans="6:30" ht="18.75" customHeight="1">
      <c r="H3617" s="119" t="s">
        <v>3915</v>
      </c>
      <c r="I3617" s="114" t="s">
        <v>2091</v>
      </c>
      <c r="J3617" s="384">
        <f>0.65*0.65</f>
        <v>0.42249999999999999</v>
      </c>
      <c r="K3617" s="110" t="s">
        <v>2322</v>
      </c>
      <c r="S3617" s="448">
        <f>W3616</f>
        <v>2.23</v>
      </c>
      <c r="T3617" s="449" t="s">
        <v>621</v>
      </c>
      <c r="U3617" s="448" t="s">
        <v>3712</v>
      </c>
      <c r="V3617" s="448">
        <f>AE3554</f>
        <v>2255</v>
      </c>
      <c r="W3617" s="1028" t="s">
        <v>621</v>
      </c>
      <c r="X3617" s="448">
        <f>V3617*S3617</f>
        <v>5028.6499999999996</v>
      </c>
      <c r="Z3617" s="3"/>
      <c r="AA3617" s="452" t="s">
        <v>5805</v>
      </c>
      <c r="AC3617" s="10">
        <f>0.65*2.025</f>
        <v>1.32</v>
      </c>
    </row>
    <row r="3618" spans="6:30" ht="18.75" customHeight="1">
      <c r="H3618" s="119"/>
      <c r="I3618" s="114"/>
      <c r="J3618" s="383"/>
      <c r="K3618" s="110"/>
      <c r="S3618" s="448">
        <f>S3617</f>
        <v>2.23</v>
      </c>
      <c r="T3618" s="449" t="s">
        <v>621</v>
      </c>
      <c r="U3618" s="448" t="s">
        <v>3713</v>
      </c>
      <c r="V3618" s="448">
        <f>V3603</f>
        <v>344.3</v>
      </c>
      <c r="W3618" s="1028" t="s">
        <v>621</v>
      </c>
      <c r="X3618" s="448">
        <f t="shared" ref="X3618:X3625" si="359">V3618*S3618</f>
        <v>767.79</v>
      </c>
      <c r="Y3618" s="448">
        <f>AC3617</f>
        <v>1.32</v>
      </c>
      <c r="Z3618" s="449" t="s">
        <v>621</v>
      </c>
      <c r="AA3618" s="448" t="s">
        <v>3712</v>
      </c>
      <c r="AB3618" s="448">
        <f>V3618</f>
        <v>344.3</v>
      </c>
      <c r="AC3618" s="449" t="s">
        <v>621</v>
      </c>
      <c r="AD3618" s="448">
        <f>AB3618*Y3618</f>
        <v>454.48</v>
      </c>
    </row>
    <row r="3619" spans="6:30" ht="18.75" customHeight="1">
      <c r="H3619" s="119" t="s">
        <v>3917</v>
      </c>
      <c r="I3619" s="114" t="s">
        <v>2091</v>
      </c>
      <c r="J3619" s="384">
        <v>5.1999999999999998E-2</v>
      </c>
      <c r="K3619" s="110" t="s">
        <v>2190</v>
      </c>
      <c r="S3619" s="448">
        <v>4</v>
      </c>
      <c r="T3619" s="449" t="s">
        <v>785</v>
      </c>
      <c r="U3619" s="448" t="s">
        <v>3714</v>
      </c>
      <c r="V3619" s="448">
        <f t="shared" ref="V3619:V3625" si="360">AE3556</f>
        <v>57.65</v>
      </c>
      <c r="W3619" s="1028" t="s">
        <v>785</v>
      </c>
      <c r="X3619" s="448">
        <f t="shared" si="359"/>
        <v>230.6</v>
      </c>
      <c r="Y3619" s="448">
        <f>Y3618</f>
        <v>1.32</v>
      </c>
      <c r="Z3619" s="449" t="s">
        <v>621</v>
      </c>
      <c r="AA3619" s="448" t="s">
        <v>3713</v>
      </c>
      <c r="AB3619" s="448">
        <f t="shared" ref="AB3619:AB3626" si="361">V3619</f>
        <v>57.65</v>
      </c>
      <c r="AC3619" s="449" t="s">
        <v>621</v>
      </c>
      <c r="AD3619" s="448">
        <f t="shared" ref="AD3619:AD3627" si="362">AB3619*Y3619</f>
        <v>76.099999999999994</v>
      </c>
    </row>
    <row r="3620" spans="6:30" ht="18.75" customHeight="1">
      <c r="H3620" s="119" t="s">
        <v>3332</v>
      </c>
      <c r="J3620" s="385"/>
      <c r="K3620" s="110"/>
      <c r="S3620" s="448">
        <v>6</v>
      </c>
      <c r="T3620" s="449" t="s">
        <v>785</v>
      </c>
      <c r="U3620" s="448" t="s">
        <v>3715</v>
      </c>
      <c r="V3620" s="448">
        <f t="shared" si="360"/>
        <v>89.6</v>
      </c>
      <c r="W3620" s="1028" t="s">
        <v>785</v>
      </c>
      <c r="X3620" s="448">
        <f t="shared" si="359"/>
        <v>537.6</v>
      </c>
      <c r="Y3620" s="448">
        <v>2</v>
      </c>
      <c r="Z3620" s="449" t="s">
        <v>785</v>
      </c>
      <c r="AA3620" s="448" t="s">
        <v>3714</v>
      </c>
      <c r="AB3620" s="448">
        <f t="shared" si="361"/>
        <v>89.6</v>
      </c>
      <c r="AC3620" s="449" t="s">
        <v>785</v>
      </c>
      <c r="AD3620" s="448">
        <f t="shared" si="362"/>
        <v>179.2</v>
      </c>
    </row>
    <row r="3621" spans="6:30" ht="18.75" customHeight="1">
      <c r="H3621" s="119" t="s">
        <v>3916</v>
      </c>
      <c r="I3621" s="114" t="s">
        <v>2091</v>
      </c>
      <c r="J3621" s="386">
        <v>1.772E-2</v>
      </c>
      <c r="K3621" s="110"/>
      <c r="S3621" s="448">
        <v>4</v>
      </c>
      <c r="T3621" s="449" t="s">
        <v>785</v>
      </c>
      <c r="U3621" s="448" t="s">
        <v>3716</v>
      </c>
      <c r="V3621" s="448">
        <f t="shared" si="360"/>
        <v>64.8</v>
      </c>
      <c r="W3621" s="1028" t="s">
        <v>785</v>
      </c>
      <c r="X3621" s="448">
        <f t="shared" si="359"/>
        <v>259.2</v>
      </c>
      <c r="Y3621" s="448">
        <v>3</v>
      </c>
      <c r="Z3621" s="449" t="s">
        <v>785</v>
      </c>
      <c r="AA3621" s="448" t="s">
        <v>3715</v>
      </c>
      <c r="AB3621" s="448">
        <f t="shared" si="361"/>
        <v>64.8</v>
      </c>
      <c r="AC3621" s="449" t="s">
        <v>785</v>
      </c>
      <c r="AD3621" s="448">
        <f t="shared" si="362"/>
        <v>194.4</v>
      </c>
    </row>
    <row r="3622" spans="6:30" ht="18.75" customHeight="1">
      <c r="H3622" s="5"/>
      <c r="S3622" s="448">
        <v>1</v>
      </c>
      <c r="T3622" s="449" t="s">
        <v>785</v>
      </c>
      <c r="U3622" s="448" t="s">
        <v>2503</v>
      </c>
      <c r="V3622" s="448">
        <f t="shared" si="360"/>
        <v>181</v>
      </c>
      <c r="W3622" s="1028" t="s">
        <v>785</v>
      </c>
      <c r="X3622" s="448">
        <f t="shared" si="359"/>
        <v>181</v>
      </c>
      <c r="Y3622" s="448">
        <v>2</v>
      </c>
      <c r="Z3622" s="449" t="s">
        <v>785</v>
      </c>
      <c r="AA3622" s="448" t="s">
        <v>3716</v>
      </c>
      <c r="AB3622" s="448">
        <f t="shared" si="361"/>
        <v>181</v>
      </c>
      <c r="AC3622" s="449" t="s">
        <v>785</v>
      </c>
      <c r="AD3622" s="448">
        <f t="shared" si="362"/>
        <v>362</v>
      </c>
    </row>
    <row r="3623" spans="6:30" ht="18.75" customHeight="1">
      <c r="F3623" s="18">
        <v>5.3E-3</v>
      </c>
      <c r="G3623" s="7" t="s">
        <v>1365</v>
      </c>
      <c r="H3623" s="1" t="s">
        <v>1366</v>
      </c>
      <c r="I3623" s="8">
        <f>I3600</f>
        <v>99400</v>
      </c>
      <c r="J3623" s="1" t="s">
        <v>885</v>
      </c>
      <c r="K3623" s="8">
        <f t="shared" ref="K3623:K3629" si="363">(F3623*I3623)</f>
        <v>526.82000000000005</v>
      </c>
      <c r="S3623" s="448">
        <v>118</v>
      </c>
      <c r="T3623" s="449" t="s">
        <v>785</v>
      </c>
      <c r="U3623" s="448" t="s">
        <v>3717</v>
      </c>
      <c r="V3623" s="448">
        <f t="shared" si="360"/>
        <v>2.41</v>
      </c>
      <c r="W3623" s="1028" t="s">
        <v>785</v>
      </c>
      <c r="X3623" s="448">
        <f t="shared" si="359"/>
        <v>284.38</v>
      </c>
      <c r="Y3623" s="448">
        <v>1</v>
      </c>
      <c r="Z3623" s="449" t="s">
        <v>785</v>
      </c>
      <c r="AA3623" s="448" t="s">
        <v>2503</v>
      </c>
      <c r="AB3623" s="448">
        <f t="shared" si="361"/>
        <v>2.41</v>
      </c>
      <c r="AC3623" s="449" t="s">
        <v>785</v>
      </c>
      <c r="AD3623" s="448">
        <f t="shared" si="362"/>
        <v>2.41</v>
      </c>
    </row>
    <row r="3624" spans="6:30" ht="24" customHeight="1">
      <c r="F3624" s="18">
        <v>0.27450000000000002</v>
      </c>
      <c r="G3624" s="7" t="s">
        <v>621</v>
      </c>
      <c r="H3624" s="1" t="str">
        <f>H3602</f>
        <v>4 mm thicj frosted glass</v>
      </c>
      <c r="I3624" s="8">
        <f>I3602</f>
        <v>306.89999999999998</v>
      </c>
      <c r="J3624" s="1" t="s">
        <v>885</v>
      </c>
      <c r="K3624" s="8">
        <f t="shared" si="363"/>
        <v>84.24</v>
      </c>
      <c r="S3624" s="448">
        <v>2</v>
      </c>
      <c r="T3624" s="449" t="s">
        <v>785</v>
      </c>
      <c r="U3624" s="448" t="s">
        <v>3718</v>
      </c>
      <c r="V3624" s="448">
        <f t="shared" si="360"/>
        <v>23.1</v>
      </c>
      <c r="W3624" s="1028" t="s">
        <v>785</v>
      </c>
      <c r="X3624" s="448">
        <f t="shared" si="359"/>
        <v>46.2</v>
      </c>
      <c r="Y3624" s="448">
        <v>92</v>
      </c>
      <c r="Z3624" s="449" t="s">
        <v>785</v>
      </c>
      <c r="AA3624" s="448" t="s">
        <v>3717</v>
      </c>
      <c r="AB3624" s="448">
        <f t="shared" si="361"/>
        <v>23.1</v>
      </c>
      <c r="AC3624" s="449" t="s">
        <v>785</v>
      </c>
      <c r="AD3624" s="448">
        <f t="shared" si="362"/>
        <v>2125.1999999999998</v>
      </c>
    </row>
    <row r="3625" spans="6:30" ht="24" customHeight="1">
      <c r="F3625" s="18">
        <v>0.4</v>
      </c>
      <c r="G3625" s="7" t="s">
        <v>621</v>
      </c>
      <c r="H3625" s="1" t="s">
        <v>2129</v>
      </c>
      <c r="I3625" s="8">
        <f>AE34</f>
        <v>1248.5</v>
      </c>
      <c r="J3625" s="1" t="s">
        <v>621</v>
      </c>
      <c r="K3625" s="8">
        <f t="shared" si="363"/>
        <v>499.4</v>
      </c>
      <c r="S3625" s="448">
        <v>2</v>
      </c>
      <c r="T3625" s="449" t="s">
        <v>785</v>
      </c>
      <c r="U3625" s="448" t="s">
        <v>3719</v>
      </c>
      <c r="V3625" s="448">
        <f t="shared" si="360"/>
        <v>49.55</v>
      </c>
      <c r="W3625" s="1028" t="s">
        <v>785</v>
      </c>
      <c r="X3625" s="448">
        <f t="shared" si="359"/>
        <v>99.1</v>
      </c>
      <c r="Y3625" s="448">
        <v>1</v>
      </c>
      <c r="Z3625" s="449" t="s">
        <v>785</v>
      </c>
      <c r="AA3625" s="448" t="s">
        <v>3718</v>
      </c>
      <c r="AB3625" s="448">
        <f t="shared" si="361"/>
        <v>49.55</v>
      </c>
      <c r="AC3625" s="449" t="s">
        <v>785</v>
      </c>
      <c r="AD3625" s="448">
        <f t="shared" si="362"/>
        <v>49.55</v>
      </c>
    </row>
    <row r="3626" spans="6:30" ht="24" customHeight="1">
      <c r="F3626" s="8">
        <v>2</v>
      </c>
      <c r="G3626" s="7" t="s">
        <v>2031</v>
      </c>
      <c r="H3626" s="605" t="s">
        <v>2032</v>
      </c>
      <c r="I3626" s="536">
        <v>148</v>
      </c>
      <c r="J3626" s="1" t="s">
        <v>2031</v>
      </c>
      <c r="K3626" s="8">
        <f t="shared" si="363"/>
        <v>296</v>
      </c>
      <c r="S3626" s="451"/>
      <c r="T3626" s="449" t="s">
        <v>621</v>
      </c>
      <c r="U3626" s="448"/>
      <c r="W3626" s="1028" t="s">
        <v>621</v>
      </c>
      <c r="X3626" s="448">
        <f>V3625*S3626</f>
        <v>0</v>
      </c>
      <c r="Y3626" s="448">
        <v>1</v>
      </c>
      <c r="Z3626" s="449" t="s">
        <v>785</v>
      </c>
      <c r="AA3626" s="448" t="s">
        <v>3719</v>
      </c>
      <c r="AB3626" s="448">
        <f t="shared" si="361"/>
        <v>0</v>
      </c>
      <c r="AC3626" s="449" t="s">
        <v>785</v>
      </c>
      <c r="AD3626" s="448">
        <f t="shared" si="362"/>
        <v>0</v>
      </c>
    </row>
    <row r="3627" spans="6:30" ht="24" customHeight="1">
      <c r="F3627" s="8">
        <v>1</v>
      </c>
      <c r="G3627" s="7" t="s">
        <v>884</v>
      </c>
      <c r="H3627" s="1" t="s">
        <v>2033</v>
      </c>
      <c r="I3627" s="8">
        <f>C293</f>
        <v>6.1</v>
      </c>
      <c r="J3627" s="1" t="s">
        <v>884</v>
      </c>
      <c r="K3627" s="8">
        <f t="shared" si="363"/>
        <v>6.1</v>
      </c>
      <c r="S3627" s="448"/>
      <c r="T3627" s="449"/>
      <c r="U3627" s="448" t="s">
        <v>3721</v>
      </c>
      <c r="V3627" s="448"/>
      <c r="W3627" s="1028"/>
      <c r="X3627" s="448">
        <f>SUM(X3617:X3626)</f>
        <v>7434.52</v>
      </c>
      <c r="Y3627" s="525">
        <v>0.35</v>
      </c>
      <c r="Z3627" s="449" t="s">
        <v>621</v>
      </c>
      <c r="AA3627" s="448"/>
      <c r="AC3627" s="449" t="s">
        <v>621</v>
      </c>
      <c r="AD3627" s="448">
        <f t="shared" si="362"/>
        <v>0</v>
      </c>
    </row>
    <row r="3628" spans="6:30" ht="24" customHeight="1">
      <c r="F3628" s="8">
        <v>1</v>
      </c>
      <c r="G3628" s="7" t="s">
        <v>884</v>
      </c>
      <c r="H3628" s="1" t="s">
        <v>2034</v>
      </c>
      <c r="I3628" s="8">
        <f>C291</f>
        <v>11.8</v>
      </c>
      <c r="J3628" s="1" t="s">
        <v>884</v>
      </c>
      <c r="K3628" s="8">
        <f t="shared" si="363"/>
        <v>11.8</v>
      </c>
      <c r="S3628" s="448"/>
      <c r="T3628" s="449"/>
      <c r="U3628" s="448" t="s">
        <v>3298</v>
      </c>
      <c r="V3628" s="448"/>
      <c r="W3628" s="1028"/>
      <c r="X3628" s="448">
        <f>X3627/S3618</f>
        <v>3333.87</v>
      </c>
      <c r="Y3628" s="448"/>
      <c r="Z3628" s="449"/>
      <c r="AA3628" s="448" t="s">
        <v>3721</v>
      </c>
      <c r="AB3628" s="448"/>
      <c r="AC3628" s="450"/>
      <c r="AD3628" s="448">
        <f>SUM(AD3618:AD3627)</f>
        <v>3443.34</v>
      </c>
    </row>
    <row r="3629" spans="6:30" ht="24" customHeight="1">
      <c r="F3629" s="8">
        <v>10</v>
      </c>
      <c r="H3629" s="1" t="s">
        <v>1163</v>
      </c>
      <c r="I3629" s="8">
        <f>I3608</f>
        <v>2.41</v>
      </c>
      <c r="J3629" s="1" t="s">
        <v>884</v>
      </c>
      <c r="K3629" s="8">
        <f t="shared" si="363"/>
        <v>24.1</v>
      </c>
      <c r="W3629" s="4"/>
      <c r="Y3629" s="448"/>
      <c r="Z3629" s="449"/>
      <c r="AA3629" s="448" t="s">
        <v>3298</v>
      </c>
      <c r="AB3629" s="448"/>
      <c r="AC3629" s="450"/>
      <c r="AD3629" s="448">
        <f>AD3628/Y3619</f>
        <v>2608.59</v>
      </c>
    </row>
    <row r="3630" spans="6:30" ht="24" customHeight="1">
      <c r="K3630" s="5" t="s">
        <v>1615</v>
      </c>
      <c r="S3630"/>
      <c r="U3630" s="33" t="s">
        <v>1775</v>
      </c>
      <c r="W3630" s="4"/>
    </row>
    <row r="3631" spans="6:30" ht="24" customHeight="1">
      <c r="H3631" s="2" t="s">
        <v>36</v>
      </c>
      <c r="K3631" s="8">
        <f>SUM(K3613:K3629)</f>
        <v>1448.46</v>
      </c>
      <c r="S3631"/>
      <c r="U3631" s="39" t="s">
        <v>4000</v>
      </c>
      <c r="W3631" s="4"/>
    </row>
    <row r="3632" spans="6:30" ht="24" customHeight="1">
      <c r="K3632" s="5" t="s">
        <v>1615</v>
      </c>
      <c r="S3632"/>
      <c r="W3632" s="4"/>
    </row>
    <row r="3633" spans="6:33" ht="24" customHeight="1">
      <c r="H3633" s="58" t="s">
        <v>562</v>
      </c>
      <c r="I3633" s="1" t="s">
        <v>992</v>
      </c>
      <c r="K3633" s="38">
        <f>K3631/F3625</f>
        <v>3621.15</v>
      </c>
      <c r="S3633"/>
      <c r="W3633" s="4"/>
    </row>
    <row r="3634" spans="6:33" ht="24" customHeight="1">
      <c r="F3634" s="1" t="s">
        <v>992</v>
      </c>
      <c r="S3634" s="75">
        <v>2.2800000000000001E-2</v>
      </c>
      <c r="T3634" s="53" t="s">
        <v>885</v>
      </c>
      <c r="U3634" t="s">
        <v>3197</v>
      </c>
      <c r="V3634" s="54">
        <f>P1111</f>
        <v>111600</v>
      </c>
      <c r="W3634" s="342" t="s">
        <v>885</v>
      </c>
      <c r="X3634" s="54">
        <f>V3634*S3634</f>
        <v>2544.48</v>
      </c>
    </row>
    <row r="3635" spans="6:33" ht="24" customHeight="1">
      <c r="K3635" s="5" t="s">
        <v>2091</v>
      </c>
      <c r="S3635" s="75">
        <v>3.5400000000000001E-2</v>
      </c>
      <c r="T3635" s="53" t="s">
        <v>885</v>
      </c>
      <c r="U3635" s="54" t="s">
        <v>2536</v>
      </c>
      <c r="V3635" s="54">
        <f>P1112</f>
        <v>99400</v>
      </c>
      <c r="W3635" s="342" t="s">
        <v>885</v>
      </c>
      <c r="X3635" s="54">
        <f t="shared" ref="X3635:X3644" si="364">V3635*S3635</f>
        <v>3518.76</v>
      </c>
    </row>
    <row r="3636" spans="6:33" ht="24" customHeight="1">
      <c r="F3636">
        <v>45</v>
      </c>
      <c r="H3636" s="918" t="s">
        <v>4072</v>
      </c>
      <c r="I3636" s="918"/>
      <c r="J3636" s="918"/>
      <c r="S3636" s="76">
        <v>3.2300000000000002E-2</v>
      </c>
      <c r="T3636" s="53" t="s">
        <v>885</v>
      </c>
      <c r="U3636" s="54" t="s">
        <v>953</v>
      </c>
      <c r="V3636" s="54">
        <f>P1113</f>
        <v>95000</v>
      </c>
      <c r="W3636" s="342" t="s">
        <v>885</v>
      </c>
      <c r="X3636" s="54">
        <f t="shared" si="364"/>
        <v>3068.5</v>
      </c>
    </row>
    <row r="3637" spans="6:33" ht="24" customHeight="1">
      <c r="H3637" s="918"/>
      <c r="I3637" s="918"/>
      <c r="J3637" s="918"/>
      <c r="S3637" s="73">
        <v>2.835</v>
      </c>
      <c r="T3637" s="53" t="s">
        <v>621</v>
      </c>
      <c r="U3637" s="54" t="s">
        <v>899</v>
      </c>
      <c r="V3637" s="54">
        <f>P1114</f>
        <v>1602.7</v>
      </c>
      <c r="W3637" s="342" t="s">
        <v>621</v>
      </c>
      <c r="X3637" s="54">
        <f t="shared" si="364"/>
        <v>4543.6499999999996</v>
      </c>
    </row>
    <row r="3638" spans="6:33" ht="24" customHeight="1">
      <c r="S3638" s="54">
        <v>2</v>
      </c>
      <c r="T3638" s="53" t="s">
        <v>1907</v>
      </c>
      <c r="U3638" t="s">
        <v>3817</v>
      </c>
      <c r="V3638" s="431">
        <v>254.5</v>
      </c>
      <c r="W3638" s="342" t="s">
        <v>1423</v>
      </c>
      <c r="X3638" s="54">
        <f t="shared" si="364"/>
        <v>509</v>
      </c>
    </row>
    <row r="3639" spans="6:33" ht="24" customHeight="1">
      <c r="F3639" s="1030">
        <v>0.15</v>
      </c>
      <c r="G3639" s="226" t="s">
        <v>885</v>
      </c>
      <c r="H3639" s="327" t="s">
        <v>5725</v>
      </c>
      <c r="I3639" s="1031">
        <f>91.1/0.0354</f>
        <v>2573.4499999999998</v>
      </c>
      <c r="J3639" s="1032" t="s">
        <v>885</v>
      </c>
      <c r="K3639" s="226">
        <f t="shared" ref="K3639:K3644" si="365">I3639*F3639</f>
        <v>386.02</v>
      </c>
      <c r="L3639" s="226"/>
      <c r="S3639" s="54">
        <v>6</v>
      </c>
      <c r="T3639" s="53" t="s">
        <v>1907</v>
      </c>
      <c r="U3639" t="s">
        <v>3818</v>
      </c>
      <c r="V3639" s="431">
        <v>214.1</v>
      </c>
      <c r="W3639" s="342" t="s">
        <v>1423</v>
      </c>
      <c r="X3639" s="54">
        <f t="shared" si="364"/>
        <v>1284.5999999999999</v>
      </c>
    </row>
    <row r="3640" spans="6:33" ht="33" customHeight="1">
      <c r="F3640" s="15">
        <v>7.1999999999999995E-2</v>
      </c>
      <c r="G3640" s="3" t="s">
        <v>877</v>
      </c>
      <c r="H3640" t="s">
        <v>878</v>
      </c>
      <c r="I3640">
        <f>I1645</f>
        <v>6040</v>
      </c>
      <c r="J3640" s="10" t="s">
        <v>877</v>
      </c>
      <c r="K3640">
        <f t="shared" si="365"/>
        <v>434.88</v>
      </c>
      <c r="S3640" s="54">
        <v>4</v>
      </c>
      <c r="T3640" s="53" t="s">
        <v>1907</v>
      </c>
      <c r="U3640" t="s">
        <v>3819</v>
      </c>
      <c r="V3640" s="431">
        <v>408</v>
      </c>
      <c r="W3640" s="342" t="s">
        <v>1423</v>
      </c>
      <c r="X3640" s="54">
        <f t="shared" si="364"/>
        <v>1632</v>
      </c>
    </row>
    <row r="3641" spans="6:33" ht="24" customHeight="1">
      <c r="F3641" s="8">
        <v>1.6</v>
      </c>
      <c r="G3641" s="3" t="s">
        <v>785</v>
      </c>
      <c r="H3641" t="s">
        <v>2045</v>
      </c>
      <c r="I3641">
        <f>I1646</f>
        <v>1041.7</v>
      </c>
      <c r="J3641" s="10" t="s">
        <v>785</v>
      </c>
      <c r="K3641">
        <f t="shared" si="365"/>
        <v>1666.72</v>
      </c>
      <c r="S3641" s="54">
        <v>1</v>
      </c>
      <c r="T3641" s="53" t="s">
        <v>1907</v>
      </c>
      <c r="U3641" t="s">
        <v>3820</v>
      </c>
      <c r="V3641" s="607">
        <v>985</v>
      </c>
      <c r="W3641" s="342" t="s">
        <v>1423</v>
      </c>
      <c r="X3641" s="54">
        <f t="shared" si="364"/>
        <v>985</v>
      </c>
    </row>
    <row r="3642" spans="6:33" ht="24" customHeight="1">
      <c r="F3642" s="8">
        <v>0.5</v>
      </c>
      <c r="G3642" s="3" t="s">
        <v>785</v>
      </c>
      <c r="H3642" t="s">
        <v>1937</v>
      </c>
      <c r="I3642">
        <f>I1647</f>
        <v>679.8</v>
      </c>
      <c r="J3642" s="10" t="s">
        <v>785</v>
      </c>
      <c r="K3642">
        <f t="shared" si="365"/>
        <v>339.9</v>
      </c>
      <c r="S3642" s="54">
        <v>2</v>
      </c>
      <c r="T3642" s="53" t="s">
        <v>1907</v>
      </c>
      <c r="U3642" t="s">
        <v>3812</v>
      </c>
      <c r="V3642" s="607">
        <v>23.1</v>
      </c>
      <c r="W3642" s="342" t="s">
        <v>1423</v>
      </c>
      <c r="X3642" s="54">
        <f t="shared" si="364"/>
        <v>46.2</v>
      </c>
    </row>
    <row r="3643" spans="6:33" ht="24" customHeight="1">
      <c r="F3643" s="8">
        <v>1.1000000000000001</v>
      </c>
      <c r="G3643" s="3" t="s">
        <v>785</v>
      </c>
      <c r="H3643" t="s">
        <v>325</v>
      </c>
      <c r="I3643">
        <f>I1648</f>
        <v>557.70000000000005</v>
      </c>
      <c r="J3643" s="10" t="s">
        <v>785</v>
      </c>
      <c r="K3643">
        <f t="shared" si="365"/>
        <v>613.47</v>
      </c>
      <c r="S3643" s="54">
        <v>2</v>
      </c>
      <c r="T3643" s="53" t="s">
        <v>1907</v>
      </c>
      <c r="U3643" s="54" t="s">
        <v>2018</v>
      </c>
      <c r="V3643" s="54">
        <v>49.55</v>
      </c>
      <c r="W3643" s="342" t="s">
        <v>1423</v>
      </c>
      <c r="X3643" s="54">
        <f t="shared" si="364"/>
        <v>99.1</v>
      </c>
    </row>
    <row r="3644" spans="6:33" ht="24" customHeight="1">
      <c r="F3644" s="8">
        <v>14.5</v>
      </c>
      <c r="G3644" s="3" t="s">
        <v>364</v>
      </c>
      <c r="H3644" t="s">
        <v>4073</v>
      </c>
      <c r="I3644">
        <f>I3747</f>
        <v>24.93</v>
      </c>
      <c r="J3644" s="10" t="s">
        <v>364</v>
      </c>
      <c r="K3644">
        <f t="shared" si="365"/>
        <v>361.49</v>
      </c>
      <c r="S3644" s="438">
        <v>118</v>
      </c>
      <c r="T3644" s="72"/>
      <c r="U3644" s="438" t="s">
        <v>1163</v>
      </c>
      <c r="V3644" s="54">
        <v>2.41</v>
      </c>
      <c r="W3644" s="342"/>
      <c r="X3644" s="54">
        <f t="shared" si="364"/>
        <v>284.38</v>
      </c>
    </row>
    <row r="3645" spans="6:33" ht="24" customHeight="1">
      <c r="G3645" s="3" t="s">
        <v>669</v>
      </c>
      <c r="H3645" t="s">
        <v>456</v>
      </c>
      <c r="J3645" s="10" t="s">
        <v>669</v>
      </c>
      <c r="K3645">
        <v>7</v>
      </c>
      <c r="S3645"/>
      <c r="W3645" s="342"/>
      <c r="X3645" s="36">
        <f>SUM(X3634:X3644)</f>
        <v>18515.669999999998</v>
      </c>
    </row>
    <row r="3646" spans="6:33" ht="24" customHeight="1">
      <c r="S3646" s="54"/>
      <c r="T3646" s="72"/>
      <c r="U3646" s="36"/>
      <c r="V3646" s="54"/>
      <c r="W3646" s="342"/>
      <c r="X3646" s="56" t="s">
        <v>148</v>
      </c>
    </row>
    <row r="3647" spans="6:33" ht="24" customHeight="1">
      <c r="H3647" t="s">
        <v>447</v>
      </c>
      <c r="K3647">
        <f>SUM(K3639:K3646)</f>
        <v>3809.48</v>
      </c>
      <c r="S3647" s="54"/>
      <c r="T3647" s="72"/>
      <c r="U3647" s="36" t="s">
        <v>2119</v>
      </c>
      <c r="V3647" s="54"/>
      <c r="W3647" s="342"/>
      <c r="X3647" s="36">
        <f>X3645/2.835</f>
        <v>6531.1</v>
      </c>
    </row>
    <row r="3648" spans="6:33" ht="24" customHeight="1">
      <c r="H3648" t="s">
        <v>562</v>
      </c>
      <c r="K3648">
        <f>K3647/10</f>
        <v>380.95</v>
      </c>
      <c r="S3648" s="54"/>
      <c r="T3648" s="72"/>
      <c r="W3648" s="4"/>
      <c r="X3648" s="55" t="s">
        <v>148</v>
      </c>
      <c r="AB3648" s="1576" t="s">
        <v>5551</v>
      </c>
      <c r="AC3648" s="1576"/>
      <c r="AD3648" s="1576"/>
      <c r="AE3648" s="1576"/>
      <c r="AF3648" s="1576"/>
      <c r="AG3648" s="1576"/>
    </row>
    <row r="3649" spans="6:33" ht="24" customHeight="1">
      <c r="S3649"/>
      <c r="W3649" s="4"/>
      <c r="AB3649" s="1576"/>
      <c r="AC3649" s="1576"/>
      <c r="AD3649" s="1576"/>
      <c r="AE3649" s="1576"/>
      <c r="AF3649" s="1576"/>
      <c r="AG3649" s="1576"/>
    </row>
    <row r="3650" spans="6:33" ht="24" customHeight="1">
      <c r="K3650" t="s">
        <v>2091</v>
      </c>
      <c r="S3650" s="614" t="s">
        <v>4290</v>
      </c>
      <c r="T3650" s="614"/>
      <c r="U3650" s="614"/>
      <c r="V3650" s="614"/>
      <c r="W3650" s="561"/>
      <c r="X3650" s="561"/>
      <c r="Y3650" s="562"/>
      <c r="AB3650" s="566"/>
      <c r="AC3650" s="567"/>
      <c r="AD3650" s="574"/>
      <c r="AE3650" s="564"/>
      <c r="AF3650" s="567"/>
      <c r="AG3650" s="564"/>
    </row>
    <row r="3651" spans="6:33" ht="24" customHeight="1">
      <c r="S3651" s="566"/>
      <c r="T3651" s="567"/>
      <c r="U3651" s="574"/>
      <c r="V3651" s="564"/>
      <c r="W3651" s="1033"/>
      <c r="X3651" s="564"/>
      <c r="Y3651" s="562"/>
      <c r="AB3651" s="566"/>
      <c r="AC3651" s="567"/>
      <c r="AD3651" s="568"/>
      <c r="AE3651" s="862"/>
      <c r="AF3651" s="567"/>
      <c r="AG3651" s="564"/>
    </row>
    <row r="3652" spans="6:33" ht="24" customHeight="1">
      <c r="G3652"/>
      <c r="H3652" s="58" t="s">
        <v>3905</v>
      </c>
      <c r="J3652"/>
      <c r="S3652" s="566"/>
      <c r="T3652" s="567"/>
      <c r="U3652" s="568"/>
      <c r="V3652" s="862"/>
      <c r="W3652" s="1033"/>
      <c r="X3652" s="564"/>
      <c r="Y3652" s="562"/>
      <c r="AB3652" s="566">
        <v>38.86</v>
      </c>
      <c r="AC3652" s="567" t="s">
        <v>929</v>
      </c>
      <c r="AD3652" s="650" t="s">
        <v>4292</v>
      </c>
      <c r="AE3652" s="564">
        <f>V3653</f>
        <v>347.7</v>
      </c>
      <c r="AF3652" s="567" t="s">
        <v>929</v>
      </c>
      <c r="AG3652" s="564">
        <f>AE3652*AB3652</f>
        <v>13511.62</v>
      </c>
    </row>
    <row r="3653" spans="6:33" ht="24" customHeight="1">
      <c r="G3653"/>
      <c r="H3653" s="5" t="s">
        <v>1615</v>
      </c>
      <c r="J3653"/>
      <c r="S3653" s="566">
        <v>28.49</v>
      </c>
      <c r="T3653" s="567" t="s">
        <v>929</v>
      </c>
      <c r="U3653" s="650" t="s">
        <v>4292</v>
      </c>
      <c r="V3653" s="863">
        <f>I3781</f>
        <v>347.7</v>
      </c>
      <c r="W3653" s="1033" t="s">
        <v>929</v>
      </c>
      <c r="X3653" s="564">
        <f>V3653*S3653</f>
        <v>9905.9699999999993</v>
      </c>
      <c r="Y3653" s="562"/>
      <c r="AB3653" s="615">
        <v>34.65</v>
      </c>
      <c r="AC3653" s="567" t="s">
        <v>842</v>
      </c>
      <c r="AD3653" s="568" t="s">
        <v>4511</v>
      </c>
      <c r="AE3653" s="564">
        <f>V3654</f>
        <v>38.25</v>
      </c>
      <c r="AF3653" s="567" t="s">
        <v>842</v>
      </c>
      <c r="AG3653" s="564">
        <f t="shared" ref="AG3653:AG3660" si="366">AE3653*AB3653</f>
        <v>1325.36</v>
      </c>
    </row>
    <row r="3654" spans="6:33" ht="24" customHeight="1">
      <c r="G3654" s="1" t="s">
        <v>2290</v>
      </c>
      <c r="H3654" s="33" t="s">
        <v>3906</v>
      </c>
      <c r="J3654"/>
      <c r="S3654" s="615">
        <v>3.82</v>
      </c>
      <c r="T3654" s="567" t="s">
        <v>842</v>
      </c>
      <c r="U3654" s="568" t="s">
        <v>5726</v>
      </c>
      <c r="V3654" s="863">
        <v>38.25</v>
      </c>
      <c r="W3654" s="1033" t="s">
        <v>842</v>
      </c>
      <c r="X3654" s="564">
        <v>501.66</v>
      </c>
      <c r="Y3654" s="562"/>
      <c r="AB3654" s="566">
        <v>2.4300000000000002</v>
      </c>
      <c r="AC3654" s="567" t="s">
        <v>236</v>
      </c>
      <c r="AD3654" s="568" t="s">
        <v>4208</v>
      </c>
      <c r="AE3654" s="564">
        <f>V3655</f>
        <v>362.5</v>
      </c>
      <c r="AF3654" s="567" t="s">
        <v>236</v>
      </c>
      <c r="AG3654" s="564">
        <f t="shared" si="366"/>
        <v>880.88</v>
      </c>
    </row>
    <row r="3655" spans="6:33" ht="24" customHeight="1">
      <c r="G3655"/>
      <c r="H3655" s="33" t="s">
        <v>3907</v>
      </c>
      <c r="J3655"/>
      <c r="S3655" s="566">
        <v>1.52</v>
      </c>
      <c r="T3655" s="567" t="s">
        <v>236</v>
      </c>
      <c r="U3655" s="568" t="s">
        <v>4208</v>
      </c>
      <c r="V3655" s="863">
        <v>362.5</v>
      </c>
      <c r="W3655" s="1033" t="s">
        <v>236</v>
      </c>
      <c r="X3655" s="564">
        <f t="shared" ref="X3655:X3664" si="367">V3655*S3655</f>
        <v>551</v>
      </c>
      <c r="Y3655" s="562"/>
      <c r="AB3655" s="566">
        <v>4.8499999999999996</v>
      </c>
      <c r="AC3655" s="567" t="s">
        <v>236</v>
      </c>
      <c r="AD3655" s="568" t="s">
        <v>4209</v>
      </c>
      <c r="AE3655" s="564">
        <f>V3656</f>
        <v>695</v>
      </c>
      <c r="AF3655" s="567" t="s">
        <v>785</v>
      </c>
      <c r="AG3655" s="564">
        <f t="shared" si="366"/>
        <v>3370.75</v>
      </c>
    </row>
    <row r="3656" spans="6:33" ht="24" customHeight="1">
      <c r="G3656"/>
      <c r="H3656" s="33" t="s">
        <v>155</v>
      </c>
      <c r="J3656"/>
      <c r="S3656" s="566">
        <v>1.52</v>
      </c>
      <c r="T3656" s="567" t="s">
        <v>236</v>
      </c>
      <c r="U3656" s="568" t="s">
        <v>4209</v>
      </c>
      <c r="V3656" s="862">
        <v>695</v>
      </c>
      <c r="W3656" s="1033" t="s">
        <v>785</v>
      </c>
      <c r="X3656" s="564">
        <f t="shared" si="367"/>
        <v>1056.4000000000001</v>
      </c>
      <c r="Y3656" s="562"/>
      <c r="AB3656" s="616">
        <v>144</v>
      </c>
      <c r="AC3656" s="617" t="s">
        <v>1907</v>
      </c>
      <c r="AD3656" s="616" t="s">
        <v>5727</v>
      </c>
      <c r="AE3656" s="863">
        <v>2.41</v>
      </c>
      <c r="AF3656" s="619" t="s">
        <v>1419</v>
      </c>
      <c r="AG3656" s="564">
        <f>AE3656*AB3656</f>
        <v>347.04</v>
      </c>
    </row>
    <row r="3657" spans="6:33" ht="24" customHeight="1">
      <c r="G3657"/>
      <c r="H3657" s="5" t="s">
        <v>1615</v>
      </c>
      <c r="J3657"/>
      <c r="S3657" s="566">
        <v>3</v>
      </c>
      <c r="T3657" s="567" t="s">
        <v>225</v>
      </c>
      <c r="U3657" s="568" t="s">
        <v>5728</v>
      </c>
      <c r="V3657" s="863">
        <v>11.9</v>
      </c>
      <c r="W3657" s="1033" t="s">
        <v>225</v>
      </c>
      <c r="X3657" s="564">
        <f t="shared" si="367"/>
        <v>35.700000000000003</v>
      </c>
      <c r="Y3657" s="562"/>
      <c r="AB3657" s="616">
        <v>12</v>
      </c>
      <c r="AC3657" s="617" t="s">
        <v>1907</v>
      </c>
      <c r="AD3657" s="616" t="s">
        <v>5729</v>
      </c>
      <c r="AE3657" s="863">
        <v>4.88</v>
      </c>
      <c r="AF3657" s="619" t="s">
        <v>1419</v>
      </c>
      <c r="AG3657" s="564">
        <f>AE3657*AB3657</f>
        <v>58.56</v>
      </c>
    </row>
    <row r="3658" spans="6:33" ht="24" customHeight="1">
      <c r="G3658" s="1" t="s">
        <v>156</v>
      </c>
      <c r="H3658" s="541" t="s">
        <v>3908</v>
      </c>
      <c r="J3658"/>
      <c r="S3658" s="566">
        <v>4.2</v>
      </c>
      <c r="T3658" s="567" t="s">
        <v>1423</v>
      </c>
      <c r="U3658" s="568" t="s">
        <v>5171</v>
      </c>
      <c r="V3658" s="863">
        <v>7.95</v>
      </c>
      <c r="W3658" s="1033" t="s">
        <v>785</v>
      </c>
      <c r="X3658" s="564">
        <f t="shared" si="367"/>
        <v>33.39</v>
      </c>
      <c r="Y3658" s="562"/>
      <c r="AB3658" s="616">
        <v>12</v>
      </c>
      <c r="AC3658" s="617" t="s">
        <v>1907</v>
      </c>
      <c r="AD3658" s="616" t="s">
        <v>5552</v>
      </c>
      <c r="AE3658" s="863">
        <v>1.08</v>
      </c>
      <c r="AF3658" s="619" t="s">
        <v>1419</v>
      </c>
      <c r="AG3658" s="564">
        <f>AE3658*AB3658</f>
        <v>12.96</v>
      </c>
    </row>
    <row r="3659" spans="6:33" ht="24" customHeight="1">
      <c r="G3659"/>
      <c r="H3659" s="5" t="s">
        <v>1615</v>
      </c>
      <c r="J3659"/>
      <c r="S3659" s="566">
        <v>3.15</v>
      </c>
      <c r="T3659" s="567" t="s">
        <v>2322</v>
      </c>
      <c r="U3659" s="568" t="s">
        <v>4007</v>
      </c>
      <c r="V3659" s="562">
        <f>X3675</f>
        <v>2085.6</v>
      </c>
      <c r="W3659" s="1033" t="s">
        <v>2322</v>
      </c>
      <c r="X3659" s="564">
        <f t="shared" si="367"/>
        <v>6569.64</v>
      </c>
      <c r="Y3659" s="562"/>
      <c r="AB3659" s="566">
        <v>2</v>
      </c>
      <c r="AC3659" s="567" t="s">
        <v>225</v>
      </c>
      <c r="AD3659" s="568" t="s">
        <v>4293</v>
      </c>
      <c r="AE3659" s="863">
        <f>V3657</f>
        <v>11.9</v>
      </c>
      <c r="AF3659" s="567" t="s">
        <v>225</v>
      </c>
      <c r="AG3659" s="564">
        <f t="shared" si="366"/>
        <v>23.8</v>
      </c>
    </row>
    <row r="3660" spans="6:33" ht="24" customHeight="1">
      <c r="F3660" s="8">
        <v>18.899999999999999</v>
      </c>
      <c r="G3660" s="1" t="s">
        <v>885</v>
      </c>
      <c r="H3660" s="1" t="s">
        <v>629</v>
      </c>
      <c r="I3660" s="8">
        <f>P431</f>
        <v>233.76</v>
      </c>
      <c r="J3660" s="1" t="s">
        <v>885</v>
      </c>
      <c r="K3660" s="8">
        <f>(F3660*I3660)</f>
        <v>4418.0600000000004</v>
      </c>
      <c r="S3660" s="36">
        <v>1</v>
      </c>
      <c r="T3660" s="72" t="s">
        <v>1907</v>
      </c>
      <c r="U3660" s="36" t="s">
        <v>5172</v>
      </c>
      <c r="V3660" s="443">
        <v>49.55</v>
      </c>
      <c r="W3660" s="39" t="s">
        <v>1423</v>
      </c>
      <c r="X3660" s="36">
        <f t="shared" si="367"/>
        <v>49.55</v>
      </c>
      <c r="Y3660" s="562"/>
      <c r="AB3660" s="566">
        <v>6.6150000000000002</v>
      </c>
      <c r="AC3660" s="567" t="s">
        <v>2322</v>
      </c>
      <c r="AD3660" s="568" t="s">
        <v>4007</v>
      </c>
      <c r="AE3660" s="863">
        <f>V3659</f>
        <v>2085.6</v>
      </c>
      <c r="AF3660" s="567" t="s">
        <v>2322</v>
      </c>
      <c r="AG3660" s="564">
        <f t="shared" si="366"/>
        <v>13796.24</v>
      </c>
    </row>
    <row r="3661" spans="6:33" ht="24" customHeight="1">
      <c r="F3661" s="8">
        <v>18.63</v>
      </c>
      <c r="G3661" s="1" t="s">
        <v>885</v>
      </c>
      <c r="H3661" s="1" t="s">
        <v>2196</v>
      </c>
      <c r="I3661" s="8">
        <f>P432</f>
        <v>40.65</v>
      </c>
      <c r="J3661" s="1" t="s">
        <v>885</v>
      </c>
      <c r="K3661" s="8">
        <f>(F3661*I3661)</f>
        <v>757.31</v>
      </c>
      <c r="S3661" s="36">
        <v>1</v>
      </c>
      <c r="T3661" s="72" t="s">
        <v>1907</v>
      </c>
      <c r="U3661" s="36" t="s">
        <v>4294</v>
      </c>
      <c r="V3661" s="443">
        <v>1008</v>
      </c>
      <c r="W3661" s="39" t="s">
        <v>1423</v>
      </c>
      <c r="X3661" s="36">
        <f t="shared" si="367"/>
        <v>1008</v>
      </c>
      <c r="Y3661" s="562"/>
      <c r="AB3661" s="566"/>
      <c r="AC3661" s="567"/>
      <c r="AD3661" s="1" t="s">
        <v>4212</v>
      </c>
      <c r="AE3661" s="863"/>
      <c r="AF3661" s="567"/>
      <c r="AG3661" s="571">
        <f>SUM(AG3652:AG3660)</f>
        <v>33327.21</v>
      </c>
    </row>
    <row r="3662" spans="6:33" ht="40.5" customHeight="1">
      <c r="F3662" s="8">
        <v>30</v>
      </c>
      <c r="G3662" s="1" t="s">
        <v>1805</v>
      </c>
      <c r="H3662" s="37" t="s">
        <v>5795</v>
      </c>
      <c r="I3662" s="1034">
        <v>288</v>
      </c>
      <c r="J3662" s="1" t="s">
        <v>1805</v>
      </c>
      <c r="K3662" s="8">
        <f>(F3662*I3662)</f>
        <v>8640</v>
      </c>
      <c r="S3662" s="616">
        <v>45</v>
      </c>
      <c r="T3662" s="617" t="s">
        <v>1907</v>
      </c>
      <c r="U3662" s="616" t="s">
        <v>5173</v>
      </c>
      <c r="V3662" s="868">
        <v>2.21</v>
      </c>
      <c r="W3662" s="1035" t="s">
        <v>1419</v>
      </c>
      <c r="X3662" s="564">
        <f t="shared" si="367"/>
        <v>99.45</v>
      </c>
      <c r="Y3662" s="562"/>
      <c r="AB3662" s="566"/>
      <c r="AC3662" s="567"/>
      <c r="AD3662" s="1" t="s">
        <v>562</v>
      </c>
      <c r="AE3662" s="863"/>
      <c r="AF3662" s="561"/>
      <c r="AG3662" s="571">
        <f>AG3661/AB3660</f>
        <v>5038.13</v>
      </c>
    </row>
    <row r="3663" spans="6:33" ht="45.75" customHeight="1">
      <c r="G3663"/>
      <c r="J3663"/>
      <c r="S3663" s="616">
        <v>2</v>
      </c>
      <c r="T3663" s="617" t="s">
        <v>1907</v>
      </c>
      <c r="U3663" s="616" t="s">
        <v>5871</v>
      </c>
      <c r="V3663" s="868">
        <v>130.5</v>
      </c>
      <c r="W3663" s="39" t="s">
        <v>1423</v>
      </c>
      <c r="X3663" s="564">
        <f t="shared" si="367"/>
        <v>261</v>
      </c>
      <c r="Y3663" s="562"/>
      <c r="AB3663" s="562"/>
      <c r="AC3663" s="562"/>
      <c r="AD3663" s="575"/>
      <c r="AE3663" s="863"/>
      <c r="AF3663" s="562"/>
      <c r="AG3663" s="562"/>
    </row>
    <row r="3664" spans="6:33" ht="24" customHeight="1">
      <c r="F3664" s="8">
        <v>30</v>
      </c>
      <c r="G3664" s="1" t="s">
        <v>1805</v>
      </c>
      <c r="H3664" s="1" t="s">
        <v>2197</v>
      </c>
      <c r="I3664" s="1014">
        <f>19.1*1.1</f>
        <v>21.01</v>
      </c>
      <c r="J3664" s="1" t="s">
        <v>1805</v>
      </c>
      <c r="K3664" s="8">
        <f>(F3664*I3664)</f>
        <v>630.29999999999995</v>
      </c>
      <c r="S3664" s="616">
        <v>2</v>
      </c>
      <c r="T3664" s="617" t="s">
        <v>1907</v>
      </c>
      <c r="U3664" s="616" t="s">
        <v>5872</v>
      </c>
      <c r="V3664" s="868">
        <v>64.8</v>
      </c>
      <c r="W3664" s="39" t="s">
        <v>1423</v>
      </c>
      <c r="X3664" s="564">
        <f t="shared" si="367"/>
        <v>129.6</v>
      </c>
      <c r="Y3664" s="562"/>
      <c r="AB3664" s="564">
        <v>1</v>
      </c>
      <c r="AC3664" s="567" t="s">
        <v>884</v>
      </c>
      <c r="AD3664" s="568" t="s">
        <v>4013</v>
      </c>
      <c r="AE3664" s="863">
        <f>V3670</f>
        <v>919.6</v>
      </c>
      <c r="AF3664" s="568" t="s">
        <v>884</v>
      </c>
      <c r="AG3664" s="564">
        <f>AE3664*AB3664</f>
        <v>919.6</v>
      </c>
    </row>
    <row r="3665" spans="6:33" ht="24" customHeight="1">
      <c r="G3665"/>
      <c r="H3665" s="1" t="s">
        <v>2198</v>
      </c>
      <c r="J3665"/>
      <c r="S3665"/>
      <c r="W3665" s="4"/>
      <c r="X3665" s="50"/>
      <c r="Y3665" s="562"/>
      <c r="AB3665" s="564">
        <v>1</v>
      </c>
      <c r="AC3665" s="567" t="s">
        <v>884</v>
      </c>
      <c r="AD3665" s="568" t="s">
        <v>4014</v>
      </c>
      <c r="AE3665" s="863">
        <f>V3671</f>
        <v>679.8</v>
      </c>
      <c r="AF3665" s="568" t="s">
        <v>884</v>
      </c>
      <c r="AG3665" s="564">
        <f>AE3665*AB3665</f>
        <v>679.8</v>
      </c>
    </row>
    <row r="3666" spans="6:33" ht="24" customHeight="1">
      <c r="G3666"/>
      <c r="H3666" s="1" t="s">
        <v>2199</v>
      </c>
      <c r="J3666"/>
      <c r="S3666" s="566"/>
      <c r="T3666" s="567"/>
      <c r="U3666" s="568"/>
      <c r="V3666" s="562"/>
      <c r="W3666" s="563"/>
      <c r="X3666" s="564"/>
      <c r="Y3666" s="562"/>
      <c r="AB3666" s="564">
        <v>0.5</v>
      </c>
      <c r="AC3666" s="567" t="s">
        <v>884</v>
      </c>
      <c r="AD3666" s="568" t="s">
        <v>4015</v>
      </c>
      <c r="AE3666" s="863">
        <f>V3672</f>
        <v>972.4</v>
      </c>
      <c r="AF3666" s="568" t="s">
        <v>884</v>
      </c>
      <c r="AG3666" s="564">
        <f>AE3666*AB3666</f>
        <v>486.2</v>
      </c>
    </row>
    <row r="3667" spans="6:33" ht="24" customHeight="1">
      <c r="G3667"/>
      <c r="H3667" s="1" t="s">
        <v>2200</v>
      </c>
      <c r="J3667"/>
      <c r="S3667" s="566"/>
      <c r="T3667" s="567"/>
      <c r="U3667" s="1" t="s">
        <v>4285</v>
      </c>
      <c r="W3667" s="1033"/>
      <c r="X3667" s="564">
        <f>SUM(X3653:X3666)</f>
        <v>20201.36</v>
      </c>
      <c r="Y3667" s="562"/>
      <c r="AB3667" s="562"/>
      <c r="AC3667" s="567" t="s">
        <v>455</v>
      </c>
      <c r="AD3667" s="568"/>
      <c r="AE3667" s="863">
        <f>V3673</f>
        <v>0</v>
      </c>
      <c r="AF3667" s="568" t="s">
        <v>455</v>
      </c>
      <c r="AG3667" s="564"/>
    </row>
    <row r="3668" spans="6:33" ht="24" customHeight="1">
      <c r="G3668"/>
      <c r="H3668" s="1" t="s">
        <v>5796</v>
      </c>
      <c r="J3668"/>
      <c r="S3668" s="566"/>
      <c r="T3668" s="567"/>
      <c r="U3668" s="1" t="s">
        <v>562</v>
      </c>
      <c r="W3668" s="561"/>
      <c r="X3668" s="571">
        <f>X3667/3.15</f>
        <v>6413.13</v>
      </c>
      <c r="Y3668" s="572" t="s">
        <v>1423</v>
      </c>
      <c r="AB3668" s="562"/>
      <c r="AC3668" s="569"/>
      <c r="AD3668" s="562"/>
      <c r="AE3668" s="562"/>
      <c r="AF3668" s="576"/>
      <c r="AG3668" s="577" t="s">
        <v>1615</v>
      </c>
    </row>
    <row r="3669" spans="6:33" ht="24" customHeight="1">
      <c r="G3669"/>
      <c r="H3669" s="1"/>
      <c r="J3669"/>
      <c r="S3669" s="562"/>
      <c r="T3669" s="562"/>
      <c r="U3669" s="575"/>
      <c r="V3669" s="562"/>
      <c r="W3669" s="563"/>
      <c r="X3669" s="562"/>
      <c r="Y3669" s="562"/>
      <c r="AB3669" s="562"/>
      <c r="AC3669" s="569"/>
      <c r="AD3669" s="568" t="s">
        <v>4016</v>
      </c>
      <c r="AE3669" s="562"/>
      <c r="AF3669" s="576"/>
      <c r="AG3669" s="571">
        <f>SUM(AG3664:AG3668)</f>
        <v>2085.6</v>
      </c>
    </row>
    <row r="3670" spans="6:33" ht="24.75" customHeight="1">
      <c r="F3670" s="8">
        <v>5</v>
      </c>
      <c r="G3670" s="1" t="s">
        <v>785</v>
      </c>
      <c r="H3670" s="22" t="s">
        <v>5281</v>
      </c>
      <c r="I3670" s="419">
        <f>44.9*1.1</f>
        <v>49.39</v>
      </c>
      <c r="J3670" s="1" t="s">
        <v>785</v>
      </c>
      <c r="K3670" s="8">
        <f>(F3670*I3670)</f>
        <v>246.95</v>
      </c>
      <c r="L3670" s="795">
        <v>35.6</v>
      </c>
      <c r="S3670" s="564">
        <v>1</v>
      </c>
      <c r="T3670" s="567" t="s">
        <v>884</v>
      </c>
      <c r="U3670" s="568" t="s">
        <v>4013</v>
      </c>
      <c r="V3670" s="564">
        <f>AE17</f>
        <v>919.6</v>
      </c>
      <c r="W3670" s="1033" t="s">
        <v>884</v>
      </c>
      <c r="X3670" s="564">
        <f>V3670*S3670</f>
        <v>919.6</v>
      </c>
      <c r="Y3670" s="562"/>
      <c r="AB3670" s="562"/>
      <c r="AC3670" s="569"/>
      <c r="AD3670" s="562"/>
      <c r="AE3670" s="562"/>
      <c r="AF3670" s="576"/>
      <c r="AG3670" s="577" t="s">
        <v>1615</v>
      </c>
    </row>
    <row r="3671" spans="6:33" ht="30" customHeight="1">
      <c r="F3671" s="8">
        <v>1</v>
      </c>
      <c r="G3671" s="1" t="s">
        <v>455</v>
      </c>
      <c r="H3671" s="1" t="s">
        <v>1716</v>
      </c>
      <c r="I3671" s="8">
        <v>12.1</v>
      </c>
      <c r="J3671" s="1" t="s">
        <v>455</v>
      </c>
      <c r="K3671" s="8">
        <f>(F3671*I3671)</f>
        <v>12.1</v>
      </c>
      <c r="S3671" s="564">
        <v>1</v>
      </c>
      <c r="T3671" s="567" t="s">
        <v>884</v>
      </c>
      <c r="U3671" s="568" t="s">
        <v>4014</v>
      </c>
      <c r="V3671" s="564">
        <f>AE11</f>
        <v>679.8</v>
      </c>
      <c r="W3671" s="1033" t="s">
        <v>884</v>
      </c>
      <c r="X3671" s="564">
        <f>V3671*S3671</f>
        <v>679.8</v>
      </c>
      <c r="Y3671" s="562"/>
    </row>
    <row r="3672" spans="6:33" ht="24" customHeight="1">
      <c r="F3672" s="8"/>
      <c r="G3672" s="1" t="s">
        <v>455</v>
      </c>
      <c r="H3672" s="1" t="s">
        <v>456</v>
      </c>
      <c r="J3672" s="1" t="s">
        <v>455</v>
      </c>
      <c r="K3672" s="8">
        <v>17.78</v>
      </c>
      <c r="S3672" s="564">
        <v>0.5</v>
      </c>
      <c r="T3672" s="567" t="s">
        <v>884</v>
      </c>
      <c r="U3672" s="568" t="s">
        <v>4015</v>
      </c>
      <c r="V3672" s="564">
        <f>AE20</f>
        <v>972.4</v>
      </c>
      <c r="W3672" s="1033" t="s">
        <v>884</v>
      </c>
      <c r="X3672" s="564">
        <f>V3672*S3672</f>
        <v>486.2</v>
      </c>
      <c r="Y3672" s="562"/>
    </row>
    <row r="3673" spans="6:33" ht="24" customHeight="1">
      <c r="G3673"/>
      <c r="J3673"/>
      <c r="S3673" s="562"/>
      <c r="T3673" s="567" t="s">
        <v>455</v>
      </c>
      <c r="U3673" s="568"/>
      <c r="V3673" s="564"/>
      <c r="W3673" s="1033" t="s">
        <v>455</v>
      </c>
      <c r="X3673" s="564"/>
      <c r="Y3673" s="562"/>
    </row>
    <row r="3674" spans="6:33" ht="24" customHeight="1">
      <c r="G3674"/>
      <c r="J3674"/>
      <c r="K3674" s="5" t="s">
        <v>1615</v>
      </c>
      <c r="S3674" s="562"/>
      <c r="T3674" s="569"/>
      <c r="U3674" s="562"/>
      <c r="V3674" s="562"/>
      <c r="W3674" s="563"/>
      <c r="X3674" s="577" t="s">
        <v>1615</v>
      </c>
      <c r="Y3674" s="562"/>
    </row>
    <row r="3675" spans="6:33" ht="24" customHeight="1">
      <c r="G3675"/>
      <c r="H3675" s="1" t="s">
        <v>1572</v>
      </c>
      <c r="J3675"/>
      <c r="K3675" s="8">
        <f>SUM(K3660:K3672)</f>
        <v>14722.5</v>
      </c>
      <c r="L3675">
        <f>L3677-K3675</f>
        <v>0</v>
      </c>
      <c r="S3675" s="562"/>
      <c r="T3675" s="569"/>
      <c r="U3675" s="568" t="s">
        <v>4016</v>
      </c>
      <c r="V3675" s="562"/>
      <c r="W3675" s="563"/>
      <c r="X3675" s="571">
        <f>SUM(X3670:X3674)</f>
        <v>2085.6</v>
      </c>
      <c r="Y3675" s="562"/>
    </row>
    <row r="3676" spans="6:33" ht="24" customHeight="1">
      <c r="G3676"/>
      <c r="J3676"/>
      <c r="K3676" s="5" t="s">
        <v>1615</v>
      </c>
      <c r="S3676" s="562"/>
      <c r="T3676" s="569"/>
      <c r="U3676" s="562"/>
      <c r="V3676" s="562"/>
      <c r="W3676" s="563"/>
      <c r="X3676" s="577" t="s">
        <v>1615</v>
      </c>
      <c r="Y3676" s="562"/>
    </row>
    <row r="3677" spans="6:33" ht="24" customHeight="1">
      <c r="G3677"/>
      <c r="H3677" s="1" t="s">
        <v>1573</v>
      </c>
      <c r="J3677"/>
      <c r="K3677" s="38">
        <f>(K3675/30)</f>
        <v>490.75</v>
      </c>
      <c r="L3677">
        <f>490.75*30</f>
        <v>14722.5</v>
      </c>
      <c r="S3677"/>
      <c r="W3677" s="4"/>
    </row>
    <row r="3678" spans="6:33" ht="24" customHeight="1">
      <c r="G3678"/>
      <c r="J3678"/>
      <c r="K3678" s="5" t="s">
        <v>1615</v>
      </c>
      <c r="S3678"/>
      <c r="W3678" s="4"/>
    </row>
    <row r="3679" spans="6:33" ht="24" customHeight="1">
      <c r="G3679" s="1" t="s">
        <v>1583</v>
      </c>
      <c r="H3679" s="541" t="s">
        <v>3909</v>
      </c>
      <c r="J3679"/>
      <c r="S3679" s="612"/>
      <c r="T3679" s="612"/>
      <c r="U3679" s="612"/>
      <c r="V3679" s="612"/>
      <c r="W3679" s="1036"/>
      <c r="X3679" s="612"/>
    </row>
    <row r="3680" spans="6:33" ht="24" customHeight="1">
      <c r="G3680"/>
      <c r="H3680" s="5" t="s">
        <v>1615</v>
      </c>
      <c r="J3680"/>
      <c r="S3680" s="1566" t="s">
        <v>4291</v>
      </c>
      <c r="T3680" s="1566"/>
      <c r="U3680" s="1566"/>
      <c r="V3680" s="1566"/>
      <c r="W3680" s="561"/>
      <c r="X3680" s="561"/>
    </row>
    <row r="3681" spans="6:25" ht="24" customHeight="1">
      <c r="F3681" s="8">
        <f>F3660</f>
        <v>18.899999999999999</v>
      </c>
      <c r="G3681" s="1" t="s">
        <v>885</v>
      </c>
      <c r="H3681" s="1" t="str">
        <f>H3660</f>
        <v>E.W EXCLUDING REFILLING</v>
      </c>
      <c r="I3681" s="8">
        <f>I3660</f>
        <v>233.76</v>
      </c>
      <c r="J3681" s="1" t="s">
        <v>885</v>
      </c>
      <c r="K3681" s="8">
        <f>(F3681*I3681)</f>
        <v>4418.0600000000004</v>
      </c>
      <c r="S3681" s="566"/>
      <c r="T3681" s="567"/>
      <c r="U3681" s="574"/>
      <c r="V3681" s="564"/>
      <c r="W3681" s="1033"/>
      <c r="X3681" s="564"/>
    </row>
    <row r="3682" spans="6:25" ht="24" customHeight="1">
      <c r="F3682" s="8">
        <v>18.3</v>
      </c>
      <c r="G3682" s="1" t="s">
        <v>885</v>
      </c>
      <c r="H3682" s="1" t="str">
        <f>H3661</f>
        <v>REFILLING CHARGE</v>
      </c>
      <c r="I3682" s="8">
        <f>I3661</f>
        <v>40.65</v>
      </c>
      <c r="J3682" s="1" t="s">
        <v>885</v>
      </c>
      <c r="K3682" s="8">
        <f>(F3682*I3682)</f>
        <v>743.9</v>
      </c>
      <c r="S3682" s="566"/>
      <c r="T3682" s="567"/>
      <c r="U3682" s="568"/>
      <c r="V3682" s="564"/>
      <c r="W3682" s="1033"/>
      <c r="X3682" s="564"/>
    </row>
    <row r="3683" spans="6:25" ht="33.75" customHeight="1">
      <c r="F3683" s="8">
        <f>F3662</f>
        <v>30</v>
      </c>
      <c r="G3683" s="1" t="s">
        <v>1805</v>
      </c>
      <c r="H3683" s="37" t="s">
        <v>5795</v>
      </c>
      <c r="I3683" s="38">
        <v>604.5</v>
      </c>
      <c r="J3683" s="1" t="s">
        <v>1805</v>
      </c>
      <c r="K3683" s="8">
        <f>(F3683*I3683)</f>
        <v>18135</v>
      </c>
      <c r="S3683" s="566">
        <v>29.06</v>
      </c>
      <c r="T3683" s="567" t="s">
        <v>929</v>
      </c>
      <c r="U3683" s="650" t="s">
        <v>4292</v>
      </c>
      <c r="V3683" s="564">
        <f>V3653</f>
        <v>347.7</v>
      </c>
      <c r="W3683" s="1033" t="s">
        <v>929</v>
      </c>
      <c r="X3683" s="564">
        <f>V3683*S3683</f>
        <v>10104.16</v>
      </c>
    </row>
    <row r="3684" spans="6:25" ht="39" customHeight="1">
      <c r="F3684" s="8"/>
      <c r="G3684"/>
      <c r="H3684" s="1"/>
      <c r="I3684" s="8"/>
      <c r="J3684"/>
      <c r="K3684" s="8"/>
      <c r="S3684" s="615">
        <v>9.24</v>
      </c>
      <c r="T3684" s="567" t="s">
        <v>842</v>
      </c>
      <c r="U3684" s="568" t="s">
        <v>4210</v>
      </c>
      <c r="V3684" s="564">
        <f t="shared" ref="V3684:V3694" si="368">V3654</f>
        <v>38.25</v>
      </c>
      <c r="W3684" s="1033" t="s">
        <v>842</v>
      </c>
      <c r="X3684" s="564">
        <f t="shared" ref="X3684:X3694" si="369">V3684*S3684</f>
        <v>353.43</v>
      </c>
    </row>
    <row r="3685" spans="6:25" ht="24" customHeight="1">
      <c r="F3685" s="8">
        <f>F3664</f>
        <v>30</v>
      </c>
      <c r="G3685"/>
      <c r="H3685" s="1" t="str">
        <f>H3664</f>
        <v>CONVEYING,LOWERING  ANDLAYING</v>
      </c>
      <c r="I3685" s="8">
        <f>27*1.1</f>
        <v>29.7</v>
      </c>
      <c r="J3685" s="1" t="s">
        <v>1805</v>
      </c>
      <c r="K3685" s="8">
        <f>(F3685*I3685)</f>
        <v>891</v>
      </c>
      <c r="S3685" s="566">
        <v>1.49</v>
      </c>
      <c r="T3685" s="567" t="s">
        <v>236</v>
      </c>
      <c r="U3685" s="568" t="s">
        <v>4208</v>
      </c>
      <c r="V3685" s="564">
        <f t="shared" si="368"/>
        <v>362.5</v>
      </c>
      <c r="W3685" s="1033" t="s">
        <v>236</v>
      </c>
      <c r="X3685" s="564">
        <f t="shared" si="369"/>
        <v>540.13</v>
      </c>
    </row>
    <row r="3686" spans="6:25" ht="24" customHeight="1">
      <c r="F3686" s="8"/>
      <c r="G3686"/>
      <c r="H3686" s="1" t="str">
        <f>H3665</f>
        <v>TO PROPER GRADEAND</v>
      </c>
      <c r="I3686" s="8"/>
      <c r="J3686"/>
      <c r="S3686" s="566">
        <v>0.75</v>
      </c>
      <c r="T3686" s="567" t="s">
        <v>236</v>
      </c>
      <c r="U3686" s="568" t="s">
        <v>4209</v>
      </c>
      <c r="V3686" s="564">
        <f t="shared" si="368"/>
        <v>695</v>
      </c>
      <c r="W3686" s="1033" t="s">
        <v>785</v>
      </c>
      <c r="X3686" s="564">
        <f t="shared" si="369"/>
        <v>521.25</v>
      </c>
    </row>
    <row r="3687" spans="6:25" ht="24" customHeight="1">
      <c r="F3687" s="8"/>
      <c r="G3687"/>
      <c r="H3687" s="1" t="str">
        <f>H3666</f>
        <v>ALIGNMENT,JOINTING</v>
      </c>
      <c r="I3687" s="8"/>
      <c r="J3687"/>
      <c r="S3687" s="653">
        <v>2</v>
      </c>
      <c r="T3687" s="567" t="s">
        <v>225</v>
      </c>
      <c r="U3687" s="568" t="s">
        <v>4293</v>
      </c>
      <c r="V3687" s="564">
        <f t="shared" si="368"/>
        <v>11.9</v>
      </c>
      <c r="W3687" s="1033" t="s">
        <v>225</v>
      </c>
      <c r="X3687" s="564">
        <f t="shared" si="369"/>
        <v>23.8</v>
      </c>
    </row>
    <row r="3688" spans="6:25" ht="24" customHeight="1">
      <c r="F3688" s="8"/>
      <c r="G3688" s="1"/>
      <c r="H3688" s="1" t="str">
        <f>H3667</f>
        <v>ETC BUT EXCLUDING  COST OF</v>
      </c>
      <c r="I3688" s="8"/>
      <c r="J3688" s="1"/>
      <c r="K3688" s="8"/>
      <c r="S3688" s="566">
        <v>7.08</v>
      </c>
      <c r="T3688" s="567" t="s">
        <v>1423</v>
      </c>
      <c r="U3688" s="568" t="s">
        <v>4279</v>
      </c>
      <c r="V3688" s="564">
        <f t="shared" si="368"/>
        <v>7.95</v>
      </c>
      <c r="W3688" s="1033" t="s">
        <v>785</v>
      </c>
      <c r="X3688" s="564">
        <f t="shared" si="369"/>
        <v>56.29</v>
      </c>
    </row>
    <row r="3689" spans="6:25" ht="24" customHeight="1">
      <c r="F3689" s="8"/>
      <c r="G3689" s="1"/>
      <c r="H3689" s="1" t="s">
        <v>5796</v>
      </c>
      <c r="I3689" s="8"/>
      <c r="J3689" s="1"/>
      <c r="K3689" s="8"/>
      <c r="S3689" s="566">
        <v>2.1</v>
      </c>
      <c r="T3689" s="567" t="s">
        <v>2322</v>
      </c>
      <c r="U3689" s="568" t="s">
        <v>4007</v>
      </c>
      <c r="V3689" s="564">
        <f t="shared" si="368"/>
        <v>2085.6</v>
      </c>
      <c r="W3689" s="1033" t="s">
        <v>2322</v>
      </c>
      <c r="X3689" s="564">
        <f t="shared" si="369"/>
        <v>4379.76</v>
      </c>
    </row>
    <row r="3690" spans="6:25" ht="24" customHeight="1">
      <c r="F3690" s="8"/>
      <c r="G3690" s="1"/>
      <c r="H3690" s="1"/>
      <c r="I3690" s="8"/>
      <c r="J3690" s="1"/>
      <c r="K3690" s="8"/>
      <c r="S3690" s="647">
        <v>1</v>
      </c>
      <c r="T3690" s="651" t="s">
        <v>1907</v>
      </c>
      <c r="U3690" s="36" t="s">
        <v>4280</v>
      </c>
      <c r="V3690" s="564">
        <f t="shared" si="368"/>
        <v>49.55</v>
      </c>
      <c r="W3690" s="1037" t="s">
        <v>1423</v>
      </c>
      <c r="X3690" s="564">
        <f t="shared" si="369"/>
        <v>49.55</v>
      </c>
    </row>
    <row r="3691" spans="6:25" ht="24" customHeight="1">
      <c r="F3691" s="8">
        <f>F3670</f>
        <v>5</v>
      </c>
      <c r="G3691" s="1" t="s">
        <v>455</v>
      </c>
      <c r="H3691" s="1" t="str">
        <f>H3670</f>
        <v>CUTTING CHARGES ( P-32/141)</v>
      </c>
      <c r="I3691" s="419">
        <f>I3670</f>
        <v>49.39</v>
      </c>
      <c r="J3691" s="1" t="s">
        <v>785</v>
      </c>
      <c r="K3691" s="8">
        <f>(F3691*I3691)</f>
        <v>246.95</v>
      </c>
      <c r="S3691" s="647">
        <v>1</v>
      </c>
      <c r="T3691" s="651" t="s">
        <v>1907</v>
      </c>
      <c r="U3691" s="36" t="s">
        <v>4294</v>
      </c>
      <c r="V3691" s="564">
        <f t="shared" si="368"/>
        <v>1008</v>
      </c>
      <c r="W3691" s="1037" t="s">
        <v>1423</v>
      </c>
      <c r="X3691" s="564">
        <f t="shared" si="369"/>
        <v>1008</v>
      </c>
    </row>
    <row r="3692" spans="6:25" ht="24" customHeight="1">
      <c r="F3692" s="8">
        <f>F3671</f>
        <v>1</v>
      </c>
      <c r="G3692"/>
      <c r="H3692" s="1" t="str">
        <f>H3671</f>
        <v>COST OF JOINTING  MATERIALS</v>
      </c>
      <c r="I3692" s="8">
        <f>I3671</f>
        <v>12.1</v>
      </c>
      <c r="J3692" s="1" t="s">
        <v>455</v>
      </c>
      <c r="K3692" s="8">
        <f>(F3692*I3692)</f>
        <v>12.1</v>
      </c>
      <c r="S3692" s="616">
        <v>6</v>
      </c>
      <c r="T3692" s="617" t="s">
        <v>1907</v>
      </c>
      <c r="U3692" s="616" t="s">
        <v>4288</v>
      </c>
      <c r="V3692" s="564">
        <f t="shared" si="368"/>
        <v>2.21</v>
      </c>
      <c r="W3692" s="1035" t="s">
        <v>1419</v>
      </c>
      <c r="X3692" s="564">
        <f t="shared" si="369"/>
        <v>13.26</v>
      </c>
    </row>
    <row r="3693" spans="6:25" ht="24" customHeight="1">
      <c r="G3693"/>
      <c r="H3693" s="1" t="str">
        <f>H3672</f>
        <v>SUNDRIES</v>
      </c>
      <c r="J3693" s="1" t="s">
        <v>455</v>
      </c>
      <c r="K3693" s="8">
        <v>2.99</v>
      </c>
      <c r="S3693" s="616">
        <v>2</v>
      </c>
      <c r="T3693" s="617" t="s">
        <v>1907</v>
      </c>
      <c r="U3693" s="616" t="s">
        <v>4295</v>
      </c>
      <c r="V3693" s="564">
        <f t="shared" si="368"/>
        <v>130.5</v>
      </c>
      <c r="W3693" s="1037" t="s">
        <v>1423</v>
      </c>
      <c r="X3693" s="564">
        <f t="shared" si="369"/>
        <v>261</v>
      </c>
    </row>
    <row r="3694" spans="6:25" ht="24" customHeight="1">
      <c r="G3694"/>
      <c r="J3694"/>
      <c r="K3694" s="8"/>
      <c r="S3694" s="616">
        <v>2</v>
      </c>
      <c r="T3694" s="617" t="s">
        <v>1907</v>
      </c>
      <c r="U3694" s="616" t="s">
        <v>4284</v>
      </c>
      <c r="V3694" s="564">
        <f t="shared" si="368"/>
        <v>64.8</v>
      </c>
      <c r="W3694" s="1037" t="s">
        <v>1423</v>
      </c>
      <c r="X3694" s="564">
        <f t="shared" si="369"/>
        <v>129.6</v>
      </c>
    </row>
    <row r="3695" spans="6:25" ht="24" customHeight="1">
      <c r="G3695"/>
      <c r="H3695" s="1" t="s">
        <v>1572</v>
      </c>
      <c r="J3695"/>
      <c r="K3695" s="8">
        <f>SUM(K3681:K3694)</f>
        <v>24450</v>
      </c>
      <c r="S3695" s="579"/>
      <c r="T3695" s="579"/>
      <c r="U3695" s="1" t="s">
        <v>4296</v>
      </c>
      <c r="W3695" s="1033"/>
      <c r="X3695" s="564">
        <f>SUM(X3683:X3694)</f>
        <v>17440.23</v>
      </c>
      <c r="Y3695" s="562"/>
    </row>
    <row r="3696" spans="6:25" ht="24" customHeight="1">
      <c r="G3696"/>
      <c r="J3696"/>
      <c r="K3696" s="5" t="s">
        <v>1615</v>
      </c>
      <c r="S3696" s="612"/>
      <c r="T3696" s="612"/>
      <c r="U3696" s="1" t="s">
        <v>562</v>
      </c>
      <c r="W3696" s="561"/>
      <c r="X3696" s="571">
        <f>X3695/2.1</f>
        <v>8304.8700000000008</v>
      </c>
      <c r="Y3696" s="572"/>
    </row>
    <row r="3697" spans="6:26" ht="24" customHeight="1">
      <c r="G3697"/>
      <c r="H3697" s="1" t="s">
        <v>1573</v>
      </c>
      <c r="J3697"/>
      <c r="K3697" s="38">
        <f>(K3695/30)</f>
        <v>815</v>
      </c>
      <c r="S3697" s="612"/>
      <c r="T3697" s="612"/>
      <c r="U3697" s="612"/>
      <c r="V3697" s="612"/>
      <c r="W3697" s="1036"/>
      <c r="X3697" s="612"/>
    </row>
    <row r="3698" spans="6:26" ht="24" customHeight="1">
      <c r="G3698"/>
      <c r="J3698"/>
      <c r="S3698"/>
      <c r="U3698" s="36" t="s">
        <v>4396</v>
      </c>
      <c r="W3698" s="4"/>
    </row>
    <row r="3699" spans="6:26" ht="24" customHeight="1">
      <c r="S3699" s="614"/>
      <c r="T3699" s="614"/>
      <c r="U3699" s="690" t="s">
        <v>4395</v>
      </c>
      <c r="V3699" s="690"/>
      <c r="W3699" s="1038"/>
      <c r="X3699" s="690"/>
      <c r="Y3699" s="690"/>
      <c r="Z3699" s="690"/>
    </row>
    <row r="3700" spans="6:26" ht="240.75" customHeight="1">
      <c r="S3700" s="614"/>
      <c r="T3700" s="614"/>
      <c r="U3700" s="690"/>
      <c r="V3700" s="690"/>
      <c r="W3700" s="1038"/>
      <c r="X3700" s="690"/>
      <c r="Y3700" s="690"/>
      <c r="Z3700" s="690"/>
    </row>
    <row r="3701" spans="6:26" ht="25.5" customHeight="1">
      <c r="F3701" s="612"/>
      <c r="G3701" s="612"/>
      <c r="H3701" s="612"/>
      <c r="I3701" s="612"/>
      <c r="J3701" s="612"/>
      <c r="K3701" s="612"/>
      <c r="L3701" s="612"/>
      <c r="M3701" s="612"/>
      <c r="N3701" s="612"/>
      <c r="S3701" s="566">
        <v>17.440000000000001</v>
      </c>
      <c r="T3701" s="567" t="s">
        <v>929</v>
      </c>
      <c r="U3701" s="650" t="s">
        <v>4512</v>
      </c>
      <c r="V3701" s="564">
        <f>V3683</f>
        <v>347.7</v>
      </c>
      <c r="W3701" s="1033" t="s">
        <v>929</v>
      </c>
      <c r="X3701" s="564">
        <f>V3701*S3701</f>
        <v>6063.89</v>
      </c>
      <c r="Y3701" s="562"/>
    </row>
    <row r="3702" spans="6:26" ht="24" customHeight="1">
      <c r="F3702" s="612"/>
      <c r="G3702" s="612"/>
      <c r="H3702" s="620" t="s">
        <v>4213</v>
      </c>
      <c r="I3702" s="620"/>
      <c r="J3702" s="620"/>
      <c r="K3702" s="620"/>
      <c r="L3702" s="612"/>
      <c r="M3702" s="612"/>
      <c r="N3702" s="612"/>
      <c r="S3702" s="615">
        <v>13.56</v>
      </c>
      <c r="T3702" s="567" t="s">
        <v>842</v>
      </c>
      <c r="U3702" s="568" t="s">
        <v>5174</v>
      </c>
      <c r="V3702" s="863">
        <v>38.25</v>
      </c>
      <c r="W3702" s="1033" t="s">
        <v>842</v>
      </c>
      <c r="X3702" s="564">
        <v>501.66</v>
      </c>
      <c r="Y3702" s="562"/>
    </row>
    <row r="3703" spans="6:26" ht="24" customHeight="1">
      <c r="F3703" s="612">
        <v>11</v>
      </c>
      <c r="G3703" s="621" t="s">
        <v>2322</v>
      </c>
      <c r="H3703" s="612" t="s">
        <v>5282</v>
      </c>
      <c r="I3703" s="718">
        <v>434</v>
      </c>
      <c r="J3703" s="621" t="s">
        <v>2322</v>
      </c>
      <c r="K3703" s="94">
        <f>I3703*F3703</f>
        <v>4774</v>
      </c>
      <c r="L3703" s="612"/>
      <c r="M3703" s="612"/>
      <c r="N3703" s="612"/>
      <c r="S3703" s="566">
        <v>2.62</v>
      </c>
      <c r="T3703" s="567" t="s">
        <v>236</v>
      </c>
      <c r="U3703" s="568" t="s">
        <v>5175</v>
      </c>
      <c r="V3703" s="863">
        <v>306.89999999999998</v>
      </c>
      <c r="W3703" s="1033" t="s">
        <v>236</v>
      </c>
      <c r="X3703" s="564">
        <f>V3703*S3703</f>
        <v>804.08</v>
      </c>
      <c r="Y3703" s="562"/>
    </row>
    <row r="3704" spans="6:26" ht="24" customHeight="1">
      <c r="F3704" s="612">
        <v>2.2000000000000002</v>
      </c>
      <c r="G3704" s="612" t="s">
        <v>1423</v>
      </c>
      <c r="H3704" s="612" t="s">
        <v>4229</v>
      </c>
      <c r="I3704" s="579">
        <f>AE17</f>
        <v>919.6</v>
      </c>
      <c r="J3704" s="612" t="s">
        <v>1423</v>
      </c>
      <c r="K3704" s="94">
        <f>I3704*F3704</f>
        <v>2023.12</v>
      </c>
      <c r="L3704" s="612"/>
      <c r="M3704" s="612"/>
      <c r="N3704" s="612"/>
      <c r="S3704" s="566">
        <v>8</v>
      </c>
      <c r="T3704" s="567" t="s">
        <v>1457</v>
      </c>
      <c r="U3704" s="568" t="s">
        <v>5176</v>
      </c>
      <c r="V3704" s="863">
        <v>14.6</v>
      </c>
      <c r="W3704" s="1033" t="s">
        <v>1457</v>
      </c>
      <c r="X3704" s="564">
        <f>V3704*S3704</f>
        <v>116.8</v>
      </c>
      <c r="Y3704" s="562"/>
    </row>
    <row r="3705" spans="6:26" ht="24" customHeight="1">
      <c r="F3705" s="612">
        <v>1.1000000000000001</v>
      </c>
      <c r="G3705" s="612" t="s">
        <v>1423</v>
      </c>
      <c r="H3705" s="612" t="s">
        <v>4214</v>
      </c>
      <c r="I3705" s="579">
        <f>AE19</f>
        <v>1018.6</v>
      </c>
      <c r="J3705" s="612" t="s">
        <v>1423</v>
      </c>
      <c r="K3705" s="94">
        <f>I3705*F3705</f>
        <v>1120.46</v>
      </c>
      <c r="L3705" s="612"/>
      <c r="M3705" s="612"/>
      <c r="N3705" s="612"/>
      <c r="S3705" s="566">
        <v>3</v>
      </c>
      <c r="T3705" s="567" t="s">
        <v>1457</v>
      </c>
      <c r="U3705" s="568" t="s">
        <v>5177</v>
      </c>
      <c r="V3705" s="863">
        <v>71.099999999999994</v>
      </c>
      <c r="W3705" s="1033" t="s">
        <v>225</v>
      </c>
      <c r="X3705" s="564">
        <f>V3705*S3705</f>
        <v>213.3</v>
      </c>
      <c r="Y3705" s="562"/>
    </row>
    <row r="3706" spans="6:26" ht="24" customHeight="1">
      <c r="F3706" s="612">
        <v>3.2</v>
      </c>
      <c r="G3706" s="612" t="s">
        <v>1423</v>
      </c>
      <c r="H3706" s="623" t="s">
        <v>4215</v>
      </c>
      <c r="I3706" s="579">
        <f>AE11</f>
        <v>679.8</v>
      </c>
      <c r="J3706" s="612" t="s">
        <v>1423</v>
      </c>
      <c r="K3706" s="94">
        <f>I3706*F3706</f>
        <v>2175.36</v>
      </c>
      <c r="L3706" s="612"/>
      <c r="M3706" s="612"/>
      <c r="N3706" s="612"/>
      <c r="S3706" s="566">
        <v>4</v>
      </c>
      <c r="T3706" s="567" t="s">
        <v>1457</v>
      </c>
      <c r="U3706" s="568" t="s">
        <v>5178</v>
      </c>
      <c r="V3706" s="863">
        <v>35.299999999999997</v>
      </c>
      <c r="W3706" s="1033" t="s">
        <v>785</v>
      </c>
      <c r="X3706" s="564">
        <f>V3706*S3706</f>
        <v>141.19999999999999</v>
      </c>
      <c r="Y3706" s="562"/>
    </row>
    <row r="3707" spans="6:26" ht="24" customHeight="1">
      <c r="F3707" s="612"/>
      <c r="G3707" s="612" t="s">
        <v>4216</v>
      </c>
      <c r="H3707" s="612" t="s">
        <v>4217</v>
      </c>
      <c r="I3707" s="612" t="s">
        <v>4216</v>
      </c>
      <c r="J3707" s="612"/>
      <c r="K3707" s="612">
        <v>107.11</v>
      </c>
      <c r="L3707" s="612"/>
      <c r="M3707" s="612"/>
      <c r="N3707" s="612"/>
      <c r="S3707" s="566">
        <v>2.4300000000000002</v>
      </c>
      <c r="T3707" s="567" t="s">
        <v>2322</v>
      </c>
      <c r="U3707" s="568" t="s">
        <v>4007</v>
      </c>
      <c r="V3707" s="562">
        <f>X3675</f>
        <v>2085.6</v>
      </c>
      <c r="W3707" s="1033" t="s">
        <v>2322</v>
      </c>
      <c r="X3707" s="564">
        <f>V3707*S3707</f>
        <v>5068.01</v>
      </c>
      <c r="Y3707" s="562"/>
    </row>
    <row r="3708" spans="6:26" ht="24" customHeight="1">
      <c r="F3708" s="612"/>
      <c r="G3708" s="612"/>
      <c r="H3708" s="612" t="s">
        <v>4218</v>
      </c>
      <c r="I3708" s="612"/>
      <c r="J3708" s="612"/>
      <c r="K3708" s="94">
        <f>SUM(K3703:K3707)</f>
        <v>10200.049999999999</v>
      </c>
      <c r="L3708" s="612"/>
      <c r="M3708" s="612"/>
      <c r="N3708" s="612"/>
      <c r="S3708" s="36"/>
      <c r="T3708" s="72" t="s">
        <v>669</v>
      </c>
      <c r="U3708" s="36" t="s">
        <v>4390</v>
      </c>
      <c r="V3708" s="36"/>
      <c r="W3708" s="39" t="s">
        <v>669</v>
      </c>
      <c r="X3708" s="36">
        <v>130</v>
      </c>
      <c r="Y3708" s="562"/>
    </row>
    <row r="3709" spans="6:26" ht="24" customHeight="1">
      <c r="F3709" s="612"/>
      <c r="G3709" s="612"/>
      <c r="H3709" s="612" t="s">
        <v>4219</v>
      </c>
      <c r="I3709" s="612"/>
      <c r="J3709" s="612"/>
      <c r="K3709" s="624">
        <f>K3708/10</f>
        <v>1020.01</v>
      </c>
      <c r="L3709" s="612"/>
      <c r="M3709" s="612"/>
      <c r="N3709" s="612">
        <f>L3709</f>
        <v>0</v>
      </c>
      <c r="S3709" s="36"/>
      <c r="T3709" s="72"/>
      <c r="U3709" s="36"/>
      <c r="V3709" s="36"/>
      <c r="W3709" s="39"/>
      <c r="X3709" s="36">
        <f>SUM(X3701:X3708)</f>
        <v>13038.94</v>
      </c>
      <c r="Y3709" s="562"/>
    </row>
    <row r="3710" spans="6:26" ht="24" customHeight="1">
      <c r="F3710" s="612"/>
      <c r="G3710" s="612"/>
      <c r="H3710" s="612"/>
      <c r="I3710" s="612"/>
      <c r="J3710" s="612"/>
      <c r="K3710" s="612"/>
      <c r="L3710" s="612"/>
      <c r="M3710" s="612"/>
      <c r="N3710" s="612"/>
      <c r="W3710" s="4"/>
      <c r="X3710" s="36">
        <f>X3709/S3707</f>
        <v>5365.82</v>
      </c>
      <c r="Y3710" s="562" t="s">
        <v>2322</v>
      </c>
    </row>
    <row r="3711" spans="6:26" ht="69" customHeight="1">
      <c r="F3711" s="1570" t="s">
        <v>4230</v>
      </c>
      <c r="G3711" s="1570"/>
      <c r="H3711" s="1570"/>
      <c r="I3711" s="1570"/>
      <c r="J3711" s="1570"/>
      <c r="K3711" s="1570"/>
      <c r="L3711" s="1039"/>
      <c r="M3711" s="1039"/>
      <c r="N3711" s="612"/>
      <c r="O3711" s="1572" t="s">
        <v>4889</v>
      </c>
      <c r="P3711" s="1572"/>
      <c r="W3711" s="4" t="s">
        <v>4399</v>
      </c>
      <c r="X3711">
        <v>3584</v>
      </c>
      <c r="Y3711" s="562"/>
    </row>
    <row r="3712" spans="6:26" ht="52.5" customHeight="1">
      <c r="F3712" s="625"/>
      <c r="G3712" s="625"/>
      <c r="H3712" s="626" t="s">
        <v>4220</v>
      </c>
      <c r="I3712" s="626"/>
      <c r="J3712" s="626"/>
      <c r="K3712" s="626"/>
      <c r="L3712" s="625"/>
      <c r="M3712" s="629">
        <v>12.72</v>
      </c>
      <c r="N3712" s="625" t="s">
        <v>1676</v>
      </c>
      <c r="O3712" t="s">
        <v>4893</v>
      </c>
      <c r="P3712">
        <f>V3715</f>
        <v>347.7</v>
      </c>
      <c r="Q3712" s="625" t="s">
        <v>1676</v>
      </c>
      <c r="R3712" s="804">
        <f>P3712*M3712</f>
        <v>4422.74</v>
      </c>
      <c r="S3712"/>
      <c r="U3712" s="36" t="s">
        <v>4397</v>
      </c>
      <c r="W3712" s="4"/>
      <c r="Y3712" s="562"/>
    </row>
    <row r="3713" spans="6:25" ht="36.75" customHeight="1">
      <c r="F3713" s="627">
        <v>36</v>
      </c>
      <c r="G3713" s="625" t="s">
        <v>842</v>
      </c>
      <c r="H3713" s="628" t="s">
        <v>5730</v>
      </c>
      <c r="I3713" s="717">
        <v>34.6</v>
      </c>
      <c r="J3713" s="629" t="str">
        <f>G3713</f>
        <v>Rmt</v>
      </c>
      <c r="K3713" s="627">
        <f>I3713*F3713</f>
        <v>1245.5999999999999</v>
      </c>
      <c r="L3713" s="625"/>
      <c r="M3713" s="799">
        <v>9.4</v>
      </c>
      <c r="N3713" s="800" t="s">
        <v>2322</v>
      </c>
      <c r="O3713" s="801" t="s">
        <v>4891</v>
      </c>
      <c r="P3713" s="864">
        <v>807</v>
      </c>
      <c r="Q3713" s="800" t="s">
        <v>2322</v>
      </c>
      <c r="R3713" s="804">
        <f t="shared" ref="R3713:R3718" si="370">P3713*M3713</f>
        <v>7585.8</v>
      </c>
      <c r="S3713" s="614"/>
      <c r="T3713" s="614"/>
      <c r="U3713" s="690" t="s">
        <v>4398</v>
      </c>
      <c r="V3713" s="690"/>
      <c r="W3713" s="1038"/>
      <c r="X3713" s="690"/>
      <c r="Y3713" s="562"/>
    </row>
    <row r="3714" spans="6:25" ht="81" customHeight="1">
      <c r="F3714" s="627">
        <v>9</v>
      </c>
      <c r="G3714" s="629" t="s">
        <v>2322</v>
      </c>
      <c r="H3714" s="630" t="s">
        <v>4221</v>
      </c>
      <c r="I3714" s="865">
        <v>350</v>
      </c>
      <c r="J3714" s="629" t="str">
        <f>G3714</f>
        <v>Sqm</v>
      </c>
      <c r="K3714" s="627">
        <f>I3714*F3714</f>
        <v>3150</v>
      </c>
      <c r="L3714" s="625"/>
      <c r="M3714" s="627">
        <v>9.4</v>
      </c>
      <c r="N3714" s="629" t="s">
        <v>2322</v>
      </c>
      <c r="O3714" s="630" t="s">
        <v>5179</v>
      </c>
      <c r="P3714" s="717">
        <v>412</v>
      </c>
      <c r="Q3714" s="629" t="s">
        <v>2322</v>
      </c>
      <c r="R3714" s="804">
        <f t="shared" si="370"/>
        <v>3872.8</v>
      </c>
      <c r="S3714" s="614"/>
      <c r="T3714" s="614"/>
      <c r="U3714" s="690"/>
      <c r="V3714" s="690"/>
      <c r="W3714" s="1038"/>
      <c r="X3714" s="690"/>
      <c r="Y3714" s="562"/>
    </row>
    <row r="3715" spans="6:25" ht="36.75" customHeight="1">
      <c r="F3715" s="627">
        <v>9</v>
      </c>
      <c r="G3715" s="629" t="s">
        <v>2322</v>
      </c>
      <c r="H3715" s="630" t="s">
        <v>4222</v>
      </c>
      <c r="I3715" s="865">
        <v>860.8</v>
      </c>
      <c r="J3715" s="629" t="str">
        <f>G3715</f>
        <v>Sqm</v>
      </c>
      <c r="K3715" s="627">
        <f>I3715*F3715</f>
        <v>7747.2</v>
      </c>
      <c r="L3715" s="625"/>
      <c r="M3715" s="627">
        <v>40</v>
      </c>
      <c r="N3715" s="629" t="s">
        <v>262</v>
      </c>
      <c r="O3715" s="630" t="s">
        <v>4890</v>
      </c>
      <c r="P3715" s="865">
        <v>10</v>
      </c>
      <c r="Q3715" s="629" t="s">
        <v>262</v>
      </c>
      <c r="R3715" s="804">
        <f t="shared" si="370"/>
        <v>400</v>
      </c>
      <c r="S3715" s="566">
        <v>14.43</v>
      </c>
      <c r="T3715" s="567" t="s">
        <v>929</v>
      </c>
      <c r="U3715" s="650" t="s">
        <v>4292</v>
      </c>
      <c r="V3715" s="564">
        <f>V3701</f>
        <v>347.7</v>
      </c>
      <c r="W3715" s="1033" t="s">
        <v>929</v>
      </c>
      <c r="X3715" s="564">
        <f>V3715*S3715</f>
        <v>5017.3100000000004</v>
      </c>
      <c r="Y3715" s="562"/>
    </row>
    <row r="3716" spans="6:25" ht="36.75" customHeight="1">
      <c r="F3716" s="627">
        <v>9</v>
      </c>
      <c r="G3716" s="629" t="s">
        <v>2322</v>
      </c>
      <c r="H3716" s="628" t="s">
        <v>5180</v>
      </c>
      <c r="I3716" s="717">
        <v>648</v>
      </c>
      <c r="J3716" s="629" t="str">
        <f>G3716</f>
        <v>Sqm</v>
      </c>
      <c r="K3716" s="627">
        <f>I3716*F3716</f>
        <v>5832</v>
      </c>
      <c r="L3716" s="625"/>
      <c r="M3716" s="627">
        <v>2.25</v>
      </c>
      <c r="N3716" s="629" t="s">
        <v>1676</v>
      </c>
      <c r="O3716" s="628" t="s">
        <v>5181</v>
      </c>
      <c r="P3716" s="717">
        <v>199.75</v>
      </c>
      <c r="Q3716" s="629" t="s">
        <v>1676</v>
      </c>
      <c r="R3716" s="804">
        <f t="shared" si="370"/>
        <v>449.44</v>
      </c>
      <c r="S3716" s="615">
        <v>10.433999999999999</v>
      </c>
      <c r="T3716" s="567" t="s">
        <v>842</v>
      </c>
      <c r="U3716" s="568" t="s">
        <v>4210</v>
      </c>
      <c r="V3716" s="564">
        <f t="shared" ref="V3716:V3721" si="371">V3702</f>
        <v>38.25</v>
      </c>
      <c r="W3716" s="1033" t="s">
        <v>842</v>
      </c>
      <c r="X3716" s="564">
        <v>501.66</v>
      </c>
      <c r="Y3716" s="562"/>
    </row>
    <row r="3717" spans="6:25" ht="36.75" customHeight="1">
      <c r="F3717" s="627">
        <v>9</v>
      </c>
      <c r="G3717" s="629" t="s">
        <v>2322</v>
      </c>
      <c r="H3717" s="625" t="s">
        <v>4223</v>
      </c>
      <c r="I3717" s="627">
        <f>K3725</f>
        <v>1878.25</v>
      </c>
      <c r="J3717" s="629" t="str">
        <f>G3717</f>
        <v>Sqm</v>
      </c>
      <c r="K3717" s="627">
        <f>I3717*F3717</f>
        <v>16904.25</v>
      </c>
      <c r="L3717" s="625"/>
      <c r="M3717" s="798">
        <v>9.4</v>
      </c>
      <c r="N3717" s="629" t="s">
        <v>2322</v>
      </c>
      <c r="O3717" s="625" t="s">
        <v>4223</v>
      </c>
      <c r="P3717" s="627">
        <f>R3725</f>
        <v>2874.85</v>
      </c>
      <c r="Q3717" s="629" t="s">
        <v>2322</v>
      </c>
      <c r="R3717" s="804">
        <f t="shared" si="370"/>
        <v>27023.59</v>
      </c>
      <c r="S3717" s="566">
        <v>2.16</v>
      </c>
      <c r="T3717" s="567" t="s">
        <v>236</v>
      </c>
      <c r="U3717" s="568" t="s">
        <v>4391</v>
      </c>
      <c r="V3717" s="564">
        <f t="shared" si="371"/>
        <v>306.89999999999998</v>
      </c>
      <c r="W3717" s="1033" t="s">
        <v>236</v>
      </c>
      <c r="X3717" s="564">
        <f>V3717*S3717</f>
        <v>662.9</v>
      </c>
      <c r="Y3717" s="562"/>
    </row>
    <row r="3718" spans="6:25" ht="36.75" customHeight="1">
      <c r="F3718" s="625"/>
      <c r="G3718" s="625"/>
      <c r="H3718" s="625"/>
      <c r="I3718" s="625"/>
      <c r="J3718" s="625"/>
      <c r="K3718" s="627">
        <f>SUM(K3713:K3717)</f>
        <v>34879.050000000003</v>
      </c>
      <c r="L3718" s="625"/>
      <c r="M3718" s="798">
        <v>0.25</v>
      </c>
      <c r="N3718" s="802" t="s">
        <v>1676</v>
      </c>
      <c r="O3718" s="625" t="s">
        <v>5182</v>
      </c>
      <c r="P3718" s="866">
        <v>64</v>
      </c>
      <c r="Q3718" s="802" t="s">
        <v>1676</v>
      </c>
      <c r="R3718" s="804">
        <f t="shared" si="370"/>
        <v>16</v>
      </c>
      <c r="S3718" s="566">
        <v>6</v>
      </c>
      <c r="T3718" s="567" t="s">
        <v>1457</v>
      </c>
      <c r="U3718" s="568" t="s">
        <v>4393</v>
      </c>
      <c r="V3718" s="564">
        <f t="shared" si="371"/>
        <v>14.6</v>
      </c>
      <c r="W3718" s="1033" t="s">
        <v>1457</v>
      </c>
      <c r="X3718" s="564">
        <f>V3718*S3718</f>
        <v>87.6</v>
      </c>
      <c r="Y3718" s="572"/>
    </row>
    <row r="3719" spans="6:25" ht="36.75" customHeight="1">
      <c r="F3719" s="625"/>
      <c r="G3719" s="625"/>
      <c r="H3719" s="625" t="s">
        <v>4224</v>
      </c>
      <c r="I3719" s="625"/>
      <c r="J3719" s="629"/>
      <c r="K3719" s="627">
        <f>K3718/9</f>
        <v>3875.45</v>
      </c>
      <c r="L3719" s="625"/>
      <c r="M3719" s="625"/>
      <c r="N3719" s="625"/>
      <c r="O3719" s="625" t="s">
        <v>4892</v>
      </c>
      <c r="P3719" s="625"/>
      <c r="Q3719" s="629"/>
      <c r="R3719" s="627">
        <f>SUM(R3712:R3718)</f>
        <v>43770.37</v>
      </c>
      <c r="S3719" s="566">
        <v>2</v>
      </c>
      <c r="T3719" s="567" t="s">
        <v>1457</v>
      </c>
      <c r="U3719" s="568" t="s">
        <v>4392</v>
      </c>
      <c r="V3719" s="564">
        <f t="shared" si="371"/>
        <v>71.099999999999994</v>
      </c>
      <c r="W3719" s="1033" t="s">
        <v>225</v>
      </c>
      <c r="X3719" s="564">
        <f>V3719*S3719</f>
        <v>142.19999999999999</v>
      </c>
      <c r="Y3719" s="562"/>
    </row>
    <row r="3720" spans="6:25" ht="36.75" customHeight="1">
      <c r="F3720" s="625"/>
      <c r="G3720" s="625"/>
      <c r="H3720" s="631" t="s">
        <v>4225</v>
      </c>
      <c r="I3720" s="626" t="s">
        <v>4226</v>
      </c>
      <c r="J3720" s="625"/>
      <c r="K3720" s="632">
        <v>3282</v>
      </c>
      <c r="L3720" s="625"/>
      <c r="M3720" s="625"/>
      <c r="N3720" s="625"/>
      <c r="O3720" s="631" t="s">
        <v>4225</v>
      </c>
      <c r="P3720" s="626" t="s">
        <v>4226</v>
      </c>
      <c r="Q3720" s="625"/>
      <c r="R3720" s="632">
        <f>R3719/M3717</f>
        <v>4656.42</v>
      </c>
      <c r="S3720" s="566">
        <v>3</v>
      </c>
      <c r="T3720" s="567" t="s">
        <v>1457</v>
      </c>
      <c r="U3720" s="568" t="s">
        <v>4394</v>
      </c>
      <c r="V3720" s="564">
        <f t="shared" si="371"/>
        <v>35.299999999999997</v>
      </c>
      <c r="W3720" s="1033" t="s">
        <v>785</v>
      </c>
      <c r="X3720" s="564">
        <f>V3720*S3720</f>
        <v>105.9</v>
      </c>
      <c r="Y3720" s="562"/>
    </row>
    <row r="3721" spans="6:25" ht="24" customHeight="1">
      <c r="F3721" s="625"/>
      <c r="G3721" s="625"/>
      <c r="H3721" s="625" t="s">
        <v>4227</v>
      </c>
      <c r="I3721" s="625"/>
      <c r="J3721" s="625"/>
      <c r="K3721" s="625"/>
      <c r="L3721" s="625"/>
      <c r="M3721" s="625"/>
      <c r="N3721" s="625"/>
      <c r="O3721" s="625" t="s">
        <v>4227</v>
      </c>
      <c r="P3721" s="625"/>
      <c r="Q3721" s="625"/>
      <c r="R3721" s="625"/>
      <c r="S3721" s="566">
        <v>1.823</v>
      </c>
      <c r="T3721" s="567" t="s">
        <v>2322</v>
      </c>
      <c r="U3721" s="568" t="s">
        <v>4007</v>
      </c>
      <c r="V3721" s="564">
        <f t="shared" si="371"/>
        <v>2085.6</v>
      </c>
      <c r="W3721" s="1033" t="s">
        <v>2322</v>
      </c>
      <c r="X3721" s="564">
        <f>V3721*S3721</f>
        <v>3802.05</v>
      </c>
      <c r="Y3721" s="562"/>
    </row>
    <row r="3722" spans="6:25" ht="24" customHeight="1">
      <c r="F3722" s="627">
        <v>1</v>
      </c>
      <c r="G3722" s="629" t="s">
        <v>262</v>
      </c>
      <c r="H3722" s="627" t="s">
        <v>4228</v>
      </c>
      <c r="I3722" s="627">
        <f>AE17</f>
        <v>919.6</v>
      </c>
      <c r="J3722" s="629" t="s">
        <v>262</v>
      </c>
      <c r="K3722" s="625">
        <f>I3722*F3722</f>
        <v>919.6</v>
      </c>
      <c r="L3722" s="625"/>
      <c r="M3722" s="627">
        <v>1</v>
      </c>
      <c r="N3722" s="629" t="s">
        <v>262</v>
      </c>
      <c r="O3722" s="627" t="s">
        <v>4246</v>
      </c>
      <c r="P3722" s="627">
        <f>AE19</f>
        <v>1018.6</v>
      </c>
      <c r="Q3722" s="629" t="s">
        <v>262</v>
      </c>
      <c r="R3722" s="803">
        <f>P3722*M3722</f>
        <v>1018.6</v>
      </c>
      <c r="S3722" s="36"/>
      <c r="T3722" s="72" t="s">
        <v>669</v>
      </c>
      <c r="U3722" s="36" t="s">
        <v>4390</v>
      </c>
      <c r="V3722" s="36"/>
      <c r="W3722" s="39" t="s">
        <v>669</v>
      </c>
      <c r="X3722" s="36">
        <v>110</v>
      </c>
      <c r="Y3722" s="562"/>
    </row>
    <row r="3723" spans="6:25" ht="24" customHeight="1">
      <c r="F3723" s="627">
        <v>1</v>
      </c>
      <c r="G3723" s="629" t="s">
        <v>262</v>
      </c>
      <c r="H3723" s="628" t="s">
        <v>1937</v>
      </c>
      <c r="I3723" s="627">
        <f>AE11</f>
        <v>679.8</v>
      </c>
      <c r="J3723" s="629" t="s">
        <v>262</v>
      </c>
      <c r="K3723" s="625">
        <f>I3723*F3723</f>
        <v>679.8</v>
      </c>
      <c r="L3723" s="625"/>
      <c r="M3723" s="627">
        <v>1.5</v>
      </c>
      <c r="N3723" s="629" t="s">
        <v>262</v>
      </c>
      <c r="O3723" s="628" t="s">
        <v>1937</v>
      </c>
      <c r="P3723" s="627">
        <f>I3723</f>
        <v>679.8</v>
      </c>
      <c r="Q3723" s="629" t="s">
        <v>262</v>
      </c>
      <c r="R3723" s="803">
        <f>P3723*M3723</f>
        <v>1019.7</v>
      </c>
      <c r="S3723" s="36"/>
      <c r="T3723" s="72"/>
      <c r="U3723" s="36"/>
      <c r="V3723" s="36"/>
      <c r="W3723" s="39"/>
      <c r="X3723" s="36">
        <f>SUM(X3715:X3722)</f>
        <v>10429.620000000001</v>
      </c>
      <c r="Y3723" s="562"/>
    </row>
    <row r="3724" spans="6:25" ht="24" customHeight="1">
      <c r="F3724" s="627">
        <v>0.5</v>
      </c>
      <c r="G3724" s="629" t="s">
        <v>262</v>
      </c>
      <c r="H3724" s="628" t="s">
        <v>325</v>
      </c>
      <c r="I3724" s="627">
        <f>AE12</f>
        <v>557.70000000000005</v>
      </c>
      <c r="J3724" s="629" t="s">
        <v>262</v>
      </c>
      <c r="K3724" s="625">
        <f>I3724*F3724</f>
        <v>278.85000000000002</v>
      </c>
      <c r="L3724" s="625"/>
      <c r="M3724" s="627">
        <v>1.5</v>
      </c>
      <c r="N3724" s="629" t="s">
        <v>262</v>
      </c>
      <c r="O3724" s="628" t="s">
        <v>325</v>
      </c>
      <c r="P3724" s="627">
        <f>I3724</f>
        <v>557.70000000000005</v>
      </c>
      <c r="Q3724" s="629" t="s">
        <v>262</v>
      </c>
      <c r="R3724" s="803">
        <f>P3724*M3724</f>
        <v>836.55</v>
      </c>
      <c r="W3724" s="4"/>
      <c r="X3724" s="36">
        <f>X3723/S3721</f>
        <v>5721.13</v>
      </c>
      <c r="Y3724" s="562"/>
    </row>
    <row r="3725" spans="6:25" ht="24" customHeight="1">
      <c r="F3725" s="625"/>
      <c r="G3725" s="625"/>
      <c r="H3725" s="625"/>
      <c r="I3725" s="625"/>
      <c r="J3725" s="625"/>
      <c r="K3725" s="625">
        <f>SUM(K3722:K3724)</f>
        <v>1878.25</v>
      </c>
      <c r="L3725" s="625"/>
      <c r="M3725" s="625"/>
      <c r="N3725" s="625"/>
      <c r="O3725" s="625"/>
      <c r="P3725" s="625"/>
      <c r="Q3725" s="625"/>
      <c r="R3725" s="803">
        <f>SUM(R3722:R3724)</f>
        <v>2874.85</v>
      </c>
      <c r="W3725" s="4"/>
      <c r="X3725">
        <v>3873</v>
      </c>
      <c r="Y3725" s="562"/>
    </row>
    <row r="3726" spans="6:25" ht="24" customHeight="1">
      <c r="F3726" s="625"/>
      <c r="G3726" s="625"/>
      <c r="H3726" s="625"/>
      <c r="I3726" s="625"/>
      <c r="J3726" s="625"/>
      <c r="K3726" s="625"/>
      <c r="L3726" s="625"/>
      <c r="M3726" s="625"/>
      <c r="N3726" s="625"/>
      <c r="O3726" s="625"/>
      <c r="P3726" s="625"/>
      <c r="Q3726" s="625"/>
      <c r="R3726" s="625"/>
      <c r="S3726" s="562"/>
      <c r="T3726" s="569"/>
      <c r="U3726" s="562"/>
      <c r="V3726" s="562"/>
      <c r="W3726" s="563"/>
      <c r="X3726" s="577"/>
      <c r="Y3726" s="562"/>
    </row>
    <row r="3727" spans="6:25" ht="24" customHeight="1">
      <c r="F3727" s="612"/>
      <c r="G3727" s="612"/>
      <c r="H3727" s="612"/>
      <c r="I3727" s="612"/>
      <c r="J3727" s="612"/>
      <c r="K3727" s="612"/>
      <c r="L3727" s="612"/>
      <c r="M3727" s="612"/>
      <c r="N3727" s="612"/>
      <c r="S3727"/>
      <c r="W3727" s="4"/>
    </row>
    <row r="3728" spans="6:25" ht="24" customHeight="1">
      <c r="F3728" s="579"/>
      <c r="G3728" s="579"/>
      <c r="H3728" s="6"/>
      <c r="I3728" s="579"/>
      <c r="J3728" s="579"/>
      <c r="K3728" s="612"/>
      <c r="L3728" s="612"/>
      <c r="M3728" s="612"/>
      <c r="N3728" s="612"/>
      <c r="W3728" s="4"/>
    </row>
    <row r="3729" spans="6:23" ht="24" customHeight="1">
      <c r="F3729" s="612"/>
      <c r="G3729" s="612"/>
      <c r="H3729" s="633" t="s">
        <v>4231</v>
      </c>
      <c r="I3729" s="620"/>
      <c r="J3729" s="612"/>
      <c r="K3729" s="612"/>
      <c r="L3729" s="612"/>
      <c r="M3729" s="612"/>
      <c r="N3729" s="612"/>
      <c r="W3729" s="4"/>
    </row>
    <row r="3730" spans="6:23" ht="24" customHeight="1">
      <c r="F3730" s="612"/>
      <c r="G3730" s="612"/>
      <c r="H3730" s="612"/>
      <c r="I3730" s="612"/>
      <c r="J3730" s="612"/>
      <c r="K3730" s="612"/>
      <c r="L3730" s="612"/>
      <c r="M3730" s="612"/>
      <c r="N3730" s="612"/>
      <c r="W3730" s="4"/>
    </row>
    <row r="3731" spans="6:23" ht="24" customHeight="1">
      <c r="F3731" s="622"/>
      <c r="G3731" s="621"/>
      <c r="H3731" s="634" t="s">
        <v>4232</v>
      </c>
      <c r="I3731" s="622"/>
      <c r="J3731" s="622"/>
      <c r="K3731" s="612"/>
      <c r="L3731" s="612"/>
      <c r="M3731" s="612"/>
      <c r="N3731" s="612"/>
      <c r="W3731" s="4"/>
    </row>
    <row r="3732" spans="6:23" ht="24" customHeight="1">
      <c r="F3732" s="622"/>
      <c r="G3732" s="621"/>
      <c r="H3732" s="623"/>
      <c r="I3732" s="622"/>
      <c r="J3732" s="622"/>
      <c r="K3732" s="612"/>
      <c r="L3732" s="612"/>
      <c r="M3732" s="612"/>
      <c r="N3732" s="612"/>
      <c r="W3732" s="4"/>
    </row>
    <row r="3733" spans="6:23" ht="24" customHeight="1">
      <c r="F3733" s="612"/>
      <c r="G3733" s="612"/>
      <c r="H3733" s="108" t="s">
        <v>5183</v>
      </c>
      <c r="I3733" s="622"/>
      <c r="J3733" s="612"/>
      <c r="K3733" s="612"/>
      <c r="L3733" s="612"/>
      <c r="M3733" s="612"/>
      <c r="N3733" s="612"/>
      <c r="W3733" s="4"/>
    </row>
    <row r="3734" spans="6:23" ht="24" customHeight="1">
      <c r="F3734" s="622">
        <v>5</v>
      </c>
      <c r="G3734" s="621" t="s">
        <v>1676</v>
      </c>
      <c r="H3734" s="622" t="s">
        <v>5184</v>
      </c>
      <c r="I3734" s="718">
        <v>27.45</v>
      </c>
      <c r="J3734" s="621" t="s">
        <v>1676</v>
      </c>
      <c r="K3734" s="621">
        <f>I3734*F3734</f>
        <v>137.25</v>
      </c>
      <c r="L3734" s="612"/>
      <c r="M3734" s="612"/>
      <c r="N3734" s="612"/>
      <c r="W3734" s="4"/>
    </row>
    <row r="3735" spans="6:23" ht="24" customHeight="1">
      <c r="F3735" s="622">
        <v>1</v>
      </c>
      <c r="G3735" s="621" t="s">
        <v>1419</v>
      </c>
      <c r="H3735" s="622" t="s">
        <v>4233</v>
      </c>
      <c r="I3735" s="622">
        <f>AE13</f>
        <v>831.6</v>
      </c>
      <c r="J3735" s="621" t="s">
        <v>1419</v>
      </c>
      <c r="K3735" s="621">
        <f>I3735*F3735</f>
        <v>831.6</v>
      </c>
      <c r="L3735" s="612"/>
      <c r="M3735" s="612"/>
      <c r="N3735" s="612"/>
      <c r="W3735" s="4"/>
    </row>
    <row r="3736" spans="6:23" ht="24" customHeight="1">
      <c r="F3736" s="622"/>
      <c r="G3736" s="635" t="s">
        <v>669</v>
      </c>
      <c r="H3736" s="623" t="s">
        <v>3111</v>
      </c>
      <c r="I3736" s="612"/>
      <c r="J3736" s="635" t="s">
        <v>669</v>
      </c>
      <c r="K3736" s="621">
        <f>(121.1+90.9)/12</f>
        <v>17.670000000000002</v>
      </c>
      <c r="L3736" s="612"/>
      <c r="M3736" s="612"/>
      <c r="N3736" s="612"/>
      <c r="W3736" s="4"/>
    </row>
    <row r="3737" spans="6:23" ht="24" customHeight="1">
      <c r="F3737" s="612"/>
      <c r="G3737" s="612"/>
      <c r="H3737" s="623" t="s">
        <v>1485</v>
      </c>
      <c r="I3737" s="612"/>
      <c r="J3737" s="612"/>
      <c r="K3737" s="636">
        <f>SUM(K3734:K3736)</f>
        <v>986.52</v>
      </c>
      <c r="L3737" s="612"/>
      <c r="M3737" s="612"/>
      <c r="N3737" s="612"/>
      <c r="W3737" s="4"/>
    </row>
    <row r="3738" spans="6:23" ht="24" customHeight="1">
      <c r="F3738" s="612"/>
      <c r="G3738" s="612"/>
      <c r="H3738" s="623" t="s">
        <v>3298</v>
      </c>
      <c r="I3738" s="612"/>
      <c r="J3738" s="612"/>
      <c r="K3738" s="637">
        <f>K3737/10</f>
        <v>98.65</v>
      </c>
      <c r="L3738" s="612"/>
      <c r="M3738" s="612"/>
      <c r="N3738" s="612"/>
      <c r="W3738" s="4"/>
    </row>
    <row r="3739" spans="6:23" ht="24" customHeight="1">
      <c r="W3739" s="4"/>
    </row>
    <row r="3740" spans="6:23" ht="24" customHeight="1">
      <c r="W3740" s="4"/>
    </row>
    <row r="3741" spans="6:23" ht="24" customHeight="1">
      <c r="F3741" s="612"/>
      <c r="G3741" s="612"/>
      <c r="H3741" s="612"/>
      <c r="I3741" s="612"/>
      <c r="J3741" s="612"/>
      <c r="K3741" s="612"/>
      <c r="L3741" s="612"/>
      <c r="M3741" s="612"/>
      <c r="N3741" s="612"/>
      <c r="W3741" s="4"/>
    </row>
    <row r="3742" spans="6:23" ht="24" customHeight="1">
      <c r="F3742" s="622"/>
      <c r="G3742" s="621"/>
      <c r="H3742" s="634" t="s">
        <v>4234</v>
      </c>
      <c r="I3742" s="622"/>
      <c r="J3742" s="622"/>
      <c r="K3742" s="612"/>
      <c r="L3742" s="612"/>
      <c r="M3742" s="612"/>
      <c r="N3742" s="612"/>
      <c r="W3742" s="4"/>
    </row>
    <row r="3743" spans="6:23" ht="24" customHeight="1">
      <c r="F3743" s="622" t="s">
        <v>1059</v>
      </c>
      <c r="G3743" s="621" t="s">
        <v>225</v>
      </c>
      <c r="H3743" s="623"/>
      <c r="I3743" s="622" t="s">
        <v>99</v>
      </c>
      <c r="J3743" s="621" t="s">
        <v>225</v>
      </c>
      <c r="K3743" s="621" t="s">
        <v>991</v>
      </c>
      <c r="L3743" s="612"/>
      <c r="M3743" s="612"/>
      <c r="N3743" s="612"/>
      <c r="W3743" s="4"/>
    </row>
    <row r="3744" spans="6:23" ht="24" customHeight="1">
      <c r="F3744" s="622"/>
      <c r="G3744" s="621"/>
      <c r="H3744" s="623"/>
      <c r="I3744" s="622"/>
      <c r="J3744" s="622"/>
      <c r="K3744" s="612"/>
      <c r="L3744" s="612"/>
      <c r="M3744" s="612"/>
      <c r="N3744" s="612"/>
      <c r="W3744" s="4"/>
    </row>
    <row r="3745" spans="6:23" ht="24" customHeight="1">
      <c r="F3745" s="622">
        <v>0.15</v>
      </c>
      <c r="G3745" s="621" t="s">
        <v>2190</v>
      </c>
      <c r="H3745" s="1097" t="s">
        <v>4453</v>
      </c>
      <c r="I3745" s="718">
        <f>I3639</f>
        <v>2573.4499999999998</v>
      </c>
      <c r="J3745" s="621" t="s">
        <v>2190</v>
      </c>
      <c r="K3745" s="622">
        <f t="shared" ref="K3745:K3750" si="372">I3745*F3745</f>
        <v>386.02</v>
      </c>
      <c r="L3745" s="612"/>
      <c r="M3745" s="612"/>
      <c r="N3745" s="612"/>
      <c r="W3745" s="4"/>
    </row>
    <row r="3746" spans="6:23" ht="40.5" customHeight="1">
      <c r="F3746" s="638">
        <v>7.1999999999999995E-2</v>
      </c>
      <c r="G3746" s="621" t="s">
        <v>535</v>
      </c>
      <c r="H3746" s="623" t="s">
        <v>395</v>
      </c>
      <c r="I3746" s="622">
        <f>I9</f>
        <v>6040</v>
      </c>
      <c r="J3746" s="621" t="s">
        <v>535</v>
      </c>
      <c r="K3746" s="622">
        <f t="shared" si="372"/>
        <v>434.88</v>
      </c>
      <c r="L3746" s="612"/>
      <c r="M3746" s="612"/>
      <c r="N3746" s="612"/>
      <c r="W3746" s="4"/>
    </row>
    <row r="3747" spans="6:23" ht="24" customHeight="1">
      <c r="F3747" s="622">
        <v>14.5</v>
      </c>
      <c r="G3747" s="621" t="s">
        <v>929</v>
      </c>
      <c r="H3747" s="108" t="s">
        <v>4051</v>
      </c>
      <c r="I3747" s="718">
        <f>P2433</f>
        <v>24.93</v>
      </c>
      <c r="J3747" s="621" t="s">
        <v>929</v>
      </c>
      <c r="K3747" s="622">
        <f t="shared" si="372"/>
        <v>361.49</v>
      </c>
      <c r="L3747" s="612"/>
      <c r="M3747" s="612"/>
      <c r="N3747" s="612"/>
      <c r="W3747" s="4"/>
    </row>
    <row r="3748" spans="6:23" ht="24" customHeight="1">
      <c r="F3748" s="622">
        <v>1.6</v>
      </c>
      <c r="G3748" s="621" t="s">
        <v>262</v>
      </c>
      <c r="H3748" s="622" t="s">
        <v>4235</v>
      </c>
      <c r="I3748" s="622">
        <f>AE9</f>
        <v>1041.7</v>
      </c>
      <c r="J3748" s="621" t="s">
        <v>262</v>
      </c>
      <c r="K3748" s="622">
        <f t="shared" si="372"/>
        <v>1666.72</v>
      </c>
      <c r="L3748" s="612"/>
      <c r="M3748" s="612"/>
      <c r="N3748" s="612"/>
      <c r="W3748" s="4"/>
    </row>
    <row r="3749" spans="6:23" ht="24" customHeight="1">
      <c r="F3749" s="622">
        <v>0.5</v>
      </c>
      <c r="G3749" s="621" t="s">
        <v>262</v>
      </c>
      <c r="H3749" s="623" t="s">
        <v>1937</v>
      </c>
      <c r="I3749" s="622">
        <f>AE11</f>
        <v>679.8</v>
      </c>
      <c r="J3749" s="621" t="s">
        <v>262</v>
      </c>
      <c r="K3749" s="622">
        <f t="shared" si="372"/>
        <v>339.9</v>
      </c>
      <c r="L3749" s="612"/>
      <c r="M3749" s="612"/>
      <c r="N3749" s="612"/>
      <c r="W3749" s="4"/>
    </row>
    <row r="3750" spans="6:23" ht="24" customHeight="1">
      <c r="F3750" s="622">
        <v>1.1000000000000001</v>
      </c>
      <c r="G3750" s="621" t="s">
        <v>262</v>
      </c>
      <c r="H3750" s="623" t="s">
        <v>325</v>
      </c>
      <c r="I3750" s="622">
        <f>AE12</f>
        <v>557.70000000000005</v>
      </c>
      <c r="J3750" s="621" t="s">
        <v>262</v>
      </c>
      <c r="K3750" s="622">
        <f t="shared" si="372"/>
        <v>613.47</v>
      </c>
      <c r="L3750" s="612"/>
      <c r="M3750" s="612"/>
      <c r="N3750" s="612"/>
      <c r="W3750" s="4"/>
    </row>
    <row r="3751" spans="6:23" ht="24" customHeight="1">
      <c r="F3751" s="622"/>
      <c r="G3751" s="621"/>
      <c r="H3751" s="623" t="s">
        <v>3111</v>
      </c>
      <c r="I3751" s="639" t="s">
        <v>669</v>
      </c>
      <c r="J3751" s="621"/>
      <c r="K3751" s="622">
        <v>52.63</v>
      </c>
      <c r="L3751" s="612"/>
      <c r="M3751" s="612"/>
      <c r="N3751" s="612"/>
      <c r="W3751" s="4"/>
    </row>
    <row r="3752" spans="6:23" ht="24" customHeight="1">
      <c r="F3752" s="622"/>
      <c r="G3752" s="621"/>
      <c r="H3752" s="623" t="s">
        <v>1485</v>
      </c>
      <c r="I3752" s="612"/>
      <c r="J3752" s="612"/>
      <c r="K3752" s="622">
        <f>SUM(K3745:K3751)</f>
        <v>3855.11</v>
      </c>
      <c r="L3752" s="612"/>
      <c r="M3752" s="612"/>
      <c r="N3752" s="612"/>
      <c r="W3752" s="4"/>
    </row>
    <row r="3753" spans="6:23" ht="24" customHeight="1">
      <c r="F3753" s="612"/>
      <c r="G3753" s="612"/>
      <c r="H3753" s="623" t="s">
        <v>3298</v>
      </c>
      <c r="I3753" s="612"/>
      <c r="J3753" s="612"/>
      <c r="K3753" s="640">
        <f>K3752/10</f>
        <v>385.51</v>
      </c>
      <c r="L3753" s="612"/>
      <c r="M3753" s="612"/>
      <c r="N3753" s="612"/>
      <c r="W3753" s="4"/>
    </row>
    <row r="3754" spans="6:23" ht="24" customHeight="1">
      <c r="F3754" s="612"/>
      <c r="G3754" s="612"/>
      <c r="H3754" s="612"/>
      <c r="I3754" s="612"/>
      <c r="J3754" s="612"/>
      <c r="K3754" s="612"/>
      <c r="L3754" s="612"/>
      <c r="M3754" s="612"/>
      <c r="N3754" s="612"/>
      <c r="W3754" s="4"/>
    </row>
    <row r="3755" spans="6:23" ht="24" customHeight="1">
      <c r="F3755" s="11"/>
      <c r="G3755" s="7" t="s">
        <v>2290</v>
      </c>
      <c r="I3755" s="642"/>
      <c r="J3755" s="643"/>
      <c r="K3755" s="579"/>
      <c r="L3755" s="579"/>
      <c r="W3755" s="4"/>
    </row>
    <row r="3756" spans="6:23" ht="24" customHeight="1">
      <c r="F3756" s="579"/>
      <c r="G3756" s="644"/>
      <c r="H3756" s="1"/>
      <c r="I3756" s="579"/>
      <c r="J3756" s="645"/>
      <c r="K3756" s="579"/>
      <c r="L3756" s="579"/>
      <c r="W3756" s="4"/>
    </row>
    <row r="3757" spans="6:23" ht="24" customHeight="1">
      <c r="F3757" s="579"/>
      <c r="G3757" s="644"/>
      <c r="H3757" s="641" t="s">
        <v>4236</v>
      </c>
      <c r="I3757" s="579"/>
      <c r="J3757" s="645"/>
      <c r="K3757" s="579"/>
      <c r="L3757" s="579"/>
      <c r="W3757" s="4"/>
    </row>
    <row r="3758" spans="6:23" ht="24" customHeight="1">
      <c r="F3758" s="579"/>
      <c r="G3758" s="644"/>
      <c r="H3758" s="5" t="s">
        <v>1615</v>
      </c>
      <c r="I3758" s="579"/>
      <c r="J3758" s="645"/>
      <c r="K3758" s="579"/>
      <c r="L3758" s="579"/>
      <c r="W3758" s="4"/>
    </row>
    <row r="3759" spans="6:23" ht="24" customHeight="1">
      <c r="F3759" s="8">
        <v>21.55</v>
      </c>
      <c r="G3759" s="7" t="s">
        <v>1676</v>
      </c>
      <c r="H3759" s="1" t="s">
        <v>4237</v>
      </c>
      <c r="I3759" s="8">
        <f>I3781</f>
        <v>347.7</v>
      </c>
      <c r="J3759" s="7" t="s">
        <v>1676</v>
      </c>
      <c r="K3759" s="8">
        <f>I3759*F3759</f>
        <v>7492.94</v>
      </c>
      <c r="L3759" s="579"/>
      <c r="W3759" s="4"/>
    </row>
    <row r="3760" spans="6:23" ht="24" customHeight="1">
      <c r="F3760" s="8"/>
      <c r="G3760" s="7"/>
      <c r="H3760" s="1" t="s">
        <v>4238</v>
      </c>
      <c r="I3760" s="8"/>
      <c r="J3760" s="7"/>
      <c r="K3760" s="8">
        <f>K3759*10/100</f>
        <v>749.29</v>
      </c>
      <c r="L3760" s="579"/>
      <c r="W3760" s="4"/>
    </row>
    <row r="3761" spans="6:23" ht="24" customHeight="1">
      <c r="F3761" s="8">
        <v>3.7</v>
      </c>
      <c r="G3761" s="7" t="s">
        <v>1676</v>
      </c>
      <c r="H3761" s="1" t="s">
        <v>4239</v>
      </c>
      <c r="I3761" s="8">
        <f>Y32</f>
        <v>58000</v>
      </c>
      <c r="J3761" s="7" t="s">
        <v>535</v>
      </c>
      <c r="K3761" s="8">
        <f>I3761*F3761/10000</f>
        <v>21.46</v>
      </c>
      <c r="L3761" s="579"/>
      <c r="W3761" s="4"/>
    </row>
    <row r="3762" spans="6:23" ht="24" customHeight="1">
      <c r="F3762" s="612"/>
      <c r="G3762" s="612"/>
      <c r="H3762" s="1" t="s">
        <v>4240</v>
      </c>
      <c r="I3762" s="8"/>
      <c r="J3762" s="1"/>
      <c r="K3762" s="8">
        <f>K3761*5/100</f>
        <v>1.07</v>
      </c>
      <c r="L3762" s="579"/>
      <c r="W3762" s="4"/>
    </row>
    <row r="3763" spans="6:23" ht="24" customHeight="1">
      <c r="F3763" s="8">
        <v>18</v>
      </c>
      <c r="G3763" s="7" t="s">
        <v>1907</v>
      </c>
      <c r="H3763" s="1" t="s">
        <v>4241</v>
      </c>
      <c r="I3763" s="1093">
        <v>15</v>
      </c>
      <c r="J3763" s="7" t="s">
        <v>1457</v>
      </c>
      <c r="K3763" s="8">
        <f>I3763*F3763</f>
        <v>270</v>
      </c>
      <c r="L3763" s="579"/>
      <c r="W3763" s="4"/>
    </row>
    <row r="3764" spans="6:23" ht="24" customHeight="1">
      <c r="F3764" s="8"/>
      <c r="G3764" s="7"/>
      <c r="H3764" s="1" t="s">
        <v>4242</v>
      </c>
      <c r="I3764" s="8"/>
      <c r="J3764" s="1"/>
      <c r="K3764" s="8">
        <f>K3763*10/100</f>
        <v>27</v>
      </c>
      <c r="L3764" s="579"/>
      <c r="W3764" s="4"/>
    </row>
    <row r="3765" spans="6:23" ht="24" customHeight="1">
      <c r="F3765" s="8">
        <v>28</v>
      </c>
      <c r="G3765" s="7" t="s">
        <v>1907</v>
      </c>
      <c r="H3765" s="1" t="s">
        <v>4243</v>
      </c>
      <c r="I3765" s="1093">
        <v>1</v>
      </c>
      <c r="J3765" s="7" t="s">
        <v>1907</v>
      </c>
      <c r="K3765" s="8">
        <f>I3765*F3765</f>
        <v>28</v>
      </c>
      <c r="L3765" s="579"/>
      <c r="W3765" s="4"/>
    </row>
    <row r="3766" spans="6:23" ht="24" customHeight="1">
      <c r="F3766" s="8">
        <v>28</v>
      </c>
      <c r="G3766" s="7" t="s">
        <v>1907</v>
      </c>
      <c r="H3766" s="1" t="s">
        <v>4244</v>
      </c>
      <c r="I3766" s="1093">
        <v>2</v>
      </c>
      <c r="J3766" s="7" t="s">
        <v>1907</v>
      </c>
      <c r="K3766" s="8">
        <f>I3766*F3766</f>
        <v>56</v>
      </c>
      <c r="L3766" s="579"/>
      <c r="W3766" s="4"/>
    </row>
    <row r="3767" spans="6:23" ht="33" customHeight="1">
      <c r="F3767" s="8">
        <v>4</v>
      </c>
      <c r="G3767" s="7" t="s">
        <v>1907</v>
      </c>
      <c r="H3767" s="649" t="s">
        <v>4245</v>
      </c>
      <c r="I3767" s="8">
        <f>AE17</f>
        <v>919.6</v>
      </c>
      <c r="J3767" s="7" t="s">
        <v>1907</v>
      </c>
      <c r="K3767" s="8">
        <f>I3767*F3767</f>
        <v>3678.4</v>
      </c>
      <c r="L3767" s="579"/>
      <c r="W3767" s="4"/>
    </row>
    <row r="3768" spans="6:23" ht="36" customHeight="1">
      <c r="F3768" s="8">
        <v>2</v>
      </c>
      <c r="G3768" s="7" t="s">
        <v>1907</v>
      </c>
      <c r="H3768" s="646" t="s">
        <v>4246</v>
      </c>
      <c r="I3768" s="8">
        <f>AE19</f>
        <v>1018.6</v>
      </c>
      <c r="J3768" s="7" t="s">
        <v>1907</v>
      </c>
      <c r="K3768" s="8">
        <f>I3768*F3768</f>
        <v>2037.2</v>
      </c>
      <c r="L3768" s="579"/>
      <c r="W3768" s="4"/>
    </row>
    <row r="3769" spans="6:23" ht="24" customHeight="1">
      <c r="F3769" s="8">
        <v>6</v>
      </c>
      <c r="G3769" s="7" t="s">
        <v>1907</v>
      </c>
      <c r="H3769" s="646" t="s">
        <v>4247</v>
      </c>
      <c r="I3769" s="8">
        <f>AE11</f>
        <v>679.8</v>
      </c>
      <c r="J3769" s="7" t="s">
        <v>1907</v>
      </c>
      <c r="K3769" s="8">
        <f>I3769*F3769</f>
        <v>4078.8</v>
      </c>
      <c r="L3769" s="579"/>
      <c r="W3769" s="4"/>
    </row>
    <row r="3770" spans="6:23" ht="24" customHeight="1">
      <c r="F3770" s="8"/>
      <c r="G3770" s="7" t="s">
        <v>455</v>
      </c>
      <c r="H3770" s="1" t="s">
        <v>3111</v>
      </c>
      <c r="I3770" s="1" t="s">
        <v>992</v>
      </c>
      <c r="J3770" s="1" t="s">
        <v>455</v>
      </c>
      <c r="K3770" s="8">
        <v>5.38</v>
      </c>
      <c r="L3770" s="579"/>
      <c r="W3770" s="4"/>
    </row>
    <row r="3771" spans="6:23" ht="24" customHeight="1">
      <c r="F3771" s="8"/>
      <c r="G3771" s="7"/>
      <c r="H3771" s="1"/>
      <c r="I3771" s="8"/>
      <c r="J3771" s="7"/>
      <c r="K3771" s="8"/>
      <c r="L3771" s="579"/>
      <c r="W3771" s="4"/>
    </row>
    <row r="3772" spans="6:23" ht="24" customHeight="1">
      <c r="F3772" s="579"/>
      <c r="G3772" s="644"/>
      <c r="H3772" s="1" t="s">
        <v>4248</v>
      </c>
      <c r="I3772" s="579"/>
      <c r="J3772" s="645"/>
      <c r="K3772" s="8">
        <f>SUM(K3759:K3771)</f>
        <v>18445.54</v>
      </c>
      <c r="L3772" s="579"/>
      <c r="W3772" s="4"/>
    </row>
    <row r="3773" spans="6:23" ht="24" customHeight="1">
      <c r="F3773" s="579"/>
      <c r="G3773" s="644"/>
      <c r="H3773" s="579"/>
      <c r="I3773" s="579"/>
      <c r="J3773" s="645"/>
      <c r="K3773" s="5" t="s">
        <v>1615</v>
      </c>
      <c r="L3773" s="579"/>
      <c r="W3773" s="4"/>
    </row>
    <row r="3774" spans="6:23" ht="24" customHeight="1">
      <c r="F3774" s="579"/>
      <c r="G3774" s="644"/>
      <c r="H3774" s="41" t="s">
        <v>4249</v>
      </c>
      <c r="I3774" s="647"/>
      <c r="J3774" s="648" t="s">
        <v>736</v>
      </c>
      <c r="K3774" s="38">
        <f>K3772/18</f>
        <v>1024.75</v>
      </c>
      <c r="L3774" s="579"/>
      <c r="W3774" s="4"/>
    </row>
    <row r="3775" spans="6:23" ht="24" customHeight="1">
      <c r="F3775" s="579"/>
      <c r="G3775" s="644"/>
      <c r="H3775" s="41"/>
      <c r="I3775" s="647"/>
      <c r="J3775" s="648"/>
      <c r="K3775" s="5" t="s">
        <v>1615</v>
      </c>
      <c r="L3775" s="579"/>
      <c r="W3775" s="4"/>
    </row>
    <row r="3776" spans="6:23" ht="24" customHeight="1">
      <c r="F3776" s="579"/>
      <c r="G3776" s="644"/>
      <c r="H3776" s="41"/>
      <c r="I3776" s="647"/>
      <c r="J3776" s="648"/>
      <c r="K3776" s="38"/>
      <c r="L3776" s="579"/>
      <c r="W3776" s="4"/>
    </row>
    <row r="3777" spans="6:23" ht="24" customHeight="1">
      <c r="F3777" s="612"/>
      <c r="G3777" s="612"/>
      <c r="H3777" s="613" t="s">
        <v>4513</v>
      </c>
      <c r="I3777" s="612"/>
      <c r="J3777" s="612"/>
      <c r="K3777" s="612"/>
      <c r="L3777" s="612"/>
      <c r="W3777" s="4"/>
    </row>
    <row r="3778" spans="6:23" ht="24" customHeight="1">
      <c r="F3778" s="1267"/>
      <c r="G3778" s="614" t="s">
        <v>4207</v>
      </c>
      <c r="H3778" s="614"/>
      <c r="I3778" s="614"/>
      <c r="J3778" s="614"/>
      <c r="K3778" s="1250"/>
      <c r="L3778" s="561"/>
      <c r="M3778" s="579"/>
      <c r="N3778" s="614" t="s">
        <v>4207</v>
      </c>
      <c r="O3778" s="614"/>
      <c r="P3778" s="614"/>
      <c r="Q3778" s="614"/>
      <c r="R3778" s="1250"/>
      <c r="W3778" s="4"/>
    </row>
    <row r="3779" spans="6:23" ht="24" customHeight="1">
      <c r="F3779" s="1267"/>
      <c r="G3779" s="566"/>
      <c r="H3779" s="567"/>
      <c r="I3779" s="574"/>
      <c r="J3779" s="564"/>
      <c r="K3779" s="567"/>
      <c r="L3779" s="564"/>
      <c r="M3779" s="579"/>
      <c r="N3779" s="566"/>
      <c r="O3779" s="567"/>
      <c r="P3779" s="574"/>
      <c r="Q3779" s="564"/>
      <c r="R3779" s="567"/>
      <c r="W3779" s="4"/>
    </row>
    <row r="3780" spans="6:23" ht="24" customHeight="1">
      <c r="F3780" s="1267"/>
      <c r="G3780" s="566"/>
      <c r="H3780" s="567"/>
      <c r="I3780" s="568"/>
      <c r="J3780" s="564"/>
      <c r="K3780" s="567"/>
      <c r="L3780" s="564"/>
      <c r="M3780" s="579"/>
      <c r="N3780" s="566"/>
      <c r="O3780" s="567"/>
      <c r="P3780" s="568"/>
      <c r="Q3780" s="564"/>
      <c r="R3780" s="567"/>
      <c r="W3780" s="4"/>
    </row>
    <row r="3781" spans="6:23" ht="24" customHeight="1">
      <c r="F3781" s="566">
        <v>38.86</v>
      </c>
      <c r="G3781" s="567" t="s">
        <v>929</v>
      </c>
      <c r="H3781" s="568" t="s">
        <v>5185</v>
      </c>
      <c r="I3781" s="564">
        <v>347.7</v>
      </c>
      <c r="J3781" s="567" t="s">
        <v>929</v>
      </c>
      <c r="K3781" s="564">
        <f t="shared" ref="K3781:K3788" si="373">I3781*F3781</f>
        <v>13511.62</v>
      </c>
      <c r="L3781" s="562"/>
      <c r="M3781" s="566">
        <v>29.06</v>
      </c>
      <c r="N3781" s="567" t="s">
        <v>929</v>
      </c>
      <c r="O3781" s="568" t="s">
        <v>5185</v>
      </c>
      <c r="P3781" s="564">
        <v>347.7</v>
      </c>
      <c r="Q3781" s="567" t="s">
        <v>929</v>
      </c>
      <c r="R3781" s="564">
        <f>P3781*M3781</f>
        <v>10104.16</v>
      </c>
      <c r="W3781" s="4"/>
    </row>
    <row r="3782" spans="6:23" ht="24" customHeight="1">
      <c r="F3782" s="566">
        <v>2.4300000000000002</v>
      </c>
      <c r="G3782" s="1255" t="s">
        <v>236</v>
      </c>
      <c r="H3782" s="1256" t="s">
        <v>4208</v>
      </c>
      <c r="I3782" s="564">
        <v>362.5</v>
      </c>
      <c r="J3782" s="567" t="s">
        <v>236</v>
      </c>
      <c r="K3782" s="564">
        <f t="shared" si="373"/>
        <v>880.88</v>
      </c>
      <c r="L3782" s="562"/>
      <c r="M3782" s="566">
        <v>1.49</v>
      </c>
      <c r="N3782" s="1255" t="s">
        <v>236</v>
      </c>
      <c r="O3782" s="1256" t="s">
        <v>4208</v>
      </c>
      <c r="P3782" s="564">
        <v>362.5</v>
      </c>
      <c r="Q3782" s="567" t="s">
        <v>236</v>
      </c>
      <c r="R3782" s="564">
        <f t="shared" ref="R3782:R3788" si="374">P3782*M3782</f>
        <v>540.13</v>
      </c>
      <c r="W3782" s="4"/>
    </row>
    <row r="3783" spans="6:23" ht="24" customHeight="1">
      <c r="F3783" s="566">
        <v>4.8499999999999996</v>
      </c>
      <c r="G3783" s="1255" t="s">
        <v>236</v>
      </c>
      <c r="H3783" s="1256" t="s">
        <v>4209</v>
      </c>
      <c r="I3783" s="564">
        <v>695</v>
      </c>
      <c r="J3783" s="567" t="s">
        <v>785</v>
      </c>
      <c r="K3783" s="564">
        <f t="shared" si="373"/>
        <v>3370.75</v>
      </c>
      <c r="L3783" s="562"/>
      <c r="M3783" s="566">
        <v>0.75</v>
      </c>
      <c r="N3783" s="1255" t="s">
        <v>236</v>
      </c>
      <c r="O3783" s="1256" t="s">
        <v>4209</v>
      </c>
      <c r="P3783" s="564">
        <v>695</v>
      </c>
      <c r="Q3783" s="567" t="s">
        <v>785</v>
      </c>
      <c r="R3783" s="564">
        <f t="shared" si="374"/>
        <v>521.25</v>
      </c>
      <c r="W3783" s="4"/>
    </row>
    <row r="3784" spans="6:23" ht="24" customHeight="1">
      <c r="F3784" s="615">
        <v>34.65</v>
      </c>
      <c r="G3784" s="1255" t="s">
        <v>842</v>
      </c>
      <c r="H3784" s="1256" t="s">
        <v>5731</v>
      </c>
      <c r="I3784" s="564">
        <v>38.25</v>
      </c>
      <c r="J3784" s="567" t="s">
        <v>842</v>
      </c>
      <c r="K3784" s="564">
        <f t="shared" si="373"/>
        <v>1325.36</v>
      </c>
      <c r="L3784" s="562"/>
      <c r="M3784" s="615">
        <v>9.24</v>
      </c>
      <c r="N3784" s="1255" t="s">
        <v>842</v>
      </c>
      <c r="O3784" s="1256" t="s">
        <v>5731</v>
      </c>
      <c r="P3784" s="564">
        <v>38.25</v>
      </c>
      <c r="Q3784" s="567" t="s">
        <v>842</v>
      </c>
      <c r="R3784" s="564">
        <f t="shared" si="374"/>
        <v>353.43</v>
      </c>
      <c r="W3784" s="4"/>
    </row>
    <row r="3785" spans="6:23" ht="24" customHeight="1">
      <c r="F3785" s="616">
        <v>144</v>
      </c>
      <c r="G3785" s="1257" t="s">
        <v>1907</v>
      </c>
      <c r="H3785" s="1258" t="s">
        <v>5732</v>
      </c>
      <c r="I3785" s="618">
        <v>2.41</v>
      </c>
      <c r="J3785" s="619" t="s">
        <v>1419</v>
      </c>
      <c r="K3785" s="564">
        <f t="shared" si="373"/>
        <v>347.04</v>
      </c>
      <c r="L3785" s="562"/>
      <c r="M3785" s="566">
        <v>7.08</v>
      </c>
      <c r="N3785" s="1255" t="s">
        <v>1423</v>
      </c>
      <c r="O3785" s="1256" t="s">
        <v>5938</v>
      </c>
      <c r="P3785" s="564">
        <v>7.95</v>
      </c>
      <c r="Q3785" s="567" t="s">
        <v>1419</v>
      </c>
      <c r="R3785" s="564">
        <f t="shared" si="374"/>
        <v>56.29</v>
      </c>
      <c r="W3785" s="4"/>
    </row>
    <row r="3786" spans="6:23" ht="24" customHeight="1">
      <c r="F3786" s="616">
        <v>12</v>
      </c>
      <c r="G3786" s="1257" t="s">
        <v>1907</v>
      </c>
      <c r="H3786" s="1258" t="s">
        <v>5733</v>
      </c>
      <c r="I3786" s="618">
        <v>4.88</v>
      </c>
      <c r="J3786" s="619" t="s">
        <v>1419</v>
      </c>
      <c r="K3786" s="564">
        <f t="shared" si="373"/>
        <v>58.56</v>
      </c>
      <c r="L3786" s="562"/>
      <c r="M3786" s="566">
        <v>1</v>
      </c>
      <c r="N3786" s="1255" t="s">
        <v>1423</v>
      </c>
      <c r="O3786" s="1256" t="s">
        <v>3719</v>
      </c>
      <c r="P3786" s="564">
        <v>49.55</v>
      </c>
      <c r="Q3786" s="567" t="s">
        <v>1419</v>
      </c>
      <c r="R3786" s="564">
        <f t="shared" si="374"/>
        <v>49.55</v>
      </c>
      <c r="W3786" s="4"/>
    </row>
    <row r="3787" spans="6:23" ht="24" customHeight="1">
      <c r="F3787" s="616">
        <v>12</v>
      </c>
      <c r="G3787" s="1257" t="s">
        <v>1907</v>
      </c>
      <c r="H3787" s="1258" t="s">
        <v>5734</v>
      </c>
      <c r="I3787" s="618">
        <v>1.08</v>
      </c>
      <c r="J3787" s="619" t="s">
        <v>1419</v>
      </c>
      <c r="K3787" s="564">
        <f t="shared" si="373"/>
        <v>12.96</v>
      </c>
      <c r="L3787" s="562"/>
      <c r="M3787" s="566">
        <v>1</v>
      </c>
      <c r="N3787" s="1255" t="s">
        <v>1423</v>
      </c>
      <c r="O3787" s="1256" t="s">
        <v>5939</v>
      </c>
      <c r="P3787" s="564">
        <v>1008</v>
      </c>
      <c r="Q3787" s="567" t="s">
        <v>785</v>
      </c>
      <c r="R3787" s="564">
        <f t="shared" si="374"/>
        <v>1008</v>
      </c>
      <c r="W3787" s="4"/>
    </row>
    <row r="3788" spans="6:23" ht="24" customHeight="1">
      <c r="F3788" s="566">
        <v>2</v>
      </c>
      <c r="G3788" s="1255" t="s">
        <v>225</v>
      </c>
      <c r="H3788" s="1256" t="s">
        <v>5735</v>
      </c>
      <c r="I3788" s="564">
        <v>11.9</v>
      </c>
      <c r="J3788" s="567" t="s">
        <v>225</v>
      </c>
      <c r="K3788" s="564">
        <f t="shared" si="373"/>
        <v>23.8</v>
      </c>
      <c r="L3788" s="562"/>
      <c r="M3788" s="616">
        <v>6</v>
      </c>
      <c r="N3788" s="1257" t="s">
        <v>1907</v>
      </c>
      <c r="O3788" s="1258" t="s">
        <v>5940</v>
      </c>
      <c r="P3788" s="618">
        <v>2.21</v>
      </c>
      <c r="Q3788" s="619" t="s">
        <v>1419</v>
      </c>
      <c r="R3788" s="564">
        <f t="shared" si="374"/>
        <v>13.26</v>
      </c>
      <c r="W3788" s="4"/>
    </row>
    <row r="3789" spans="6:23" ht="24" customHeight="1">
      <c r="F3789" s="566">
        <v>6.6150000000000002</v>
      </c>
      <c r="G3789" s="1255" t="s">
        <v>2322</v>
      </c>
      <c r="H3789" s="1256" t="s">
        <v>4007</v>
      </c>
      <c r="I3789" s="562">
        <f>K3799</f>
        <v>2085.6</v>
      </c>
      <c r="J3789" s="567" t="s">
        <v>2322</v>
      </c>
      <c r="K3789" s="564">
        <f>1059.95*6.615</f>
        <v>7011.57</v>
      </c>
      <c r="L3789" s="562"/>
      <c r="M3789" s="566">
        <v>2</v>
      </c>
      <c r="N3789" s="1255" t="s">
        <v>1907</v>
      </c>
      <c r="O3789" s="1256" t="s">
        <v>5942</v>
      </c>
      <c r="P3789" s="564">
        <v>130.5</v>
      </c>
      <c r="Q3789" s="567" t="s">
        <v>785</v>
      </c>
      <c r="R3789" s="564">
        <f>P3789*M3789</f>
        <v>261</v>
      </c>
      <c r="W3789" s="4"/>
    </row>
    <row r="3790" spans="6:23" ht="24" customHeight="1">
      <c r="F3790" s="566"/>
      <c r="G3790" s="1255"/>
      <c r="H3790" s="1256"/>
      <c r="I3790" s="562"/>
      <c r="J3790" s="563"/>
      <c r="K3790" s="564"/>
      <c r="L3790" s="562"/>
      <c r="M3790" s="566">
        <v>2</v>
      </c>
      <c r="N3790" s="1255" t="s">
        <v>1907</v>
      </c>
      <c r="O3790" s="1256" t="s">
        <v>5941</v>
      </c>
      <c r="P3790" s="564">
        <v>64.8</v>
      </c>
      <c r="Q3790" s="567" t="s">
        <v>785</v>
      </c>
      <c r="R3790" s="564">
        <f>P3790*M3790</f>
        <v>129.6</v>
      </c>
      <c r="W3790" s="4"/>
    </row>
    <row r="3791" spans="6:23" ht="24" customHeight="1">
      <c r="F3791" s="566"/>
      <c r="G3791" s="1255"/>
      <c r="H3791" s="849" t="s">
        <v>4212</v>
      </c>
      <c r="I3791" s="1267"/>
      <c r="J3791" s="567"/>
      <c r="K3791" s="564">
        <f>SUM(K3781:K3790)</f>
        <v>26542.54</v>
      </c>
      <c r="L3791" s="562"/>
      <c r="M3791" s="566">
        <v>2</v>
      </c>
      <c r="N3791" s="1255" t="s">
        <v>225</v>
      </c>
      <c r="O3791" s="1256" t="s">
        <v>5735</v>
      </c>
      <c r="P3791" s="564">
        <v>11.9</v>
      </c>
      <c r="Q3791" s="567" t="s">
        <v>225</v>
      </c>
      <c r="R3791" s="564">
        <f>P3791*M3791</f>
        <v>23.8</v>
      </c>
      <c r="W3791" s="4"/>
    </row>
    <row r="3792" spans="6:23" ht="24" customHeight="1">
      <c r="F3792" s="566"/>
      <c r="G3792" s="1255"/>
      <c r="H3792" s="849" t="s">
        <v>562</v>
      </c>
      <c r="I3792" s="1267"/>
      <c r="J3792" s="1250"/>
      <c r="K3792" s="571">
        <f>K3791/6.615</f>
        <v>4012.48</v>
      </c>
      <c r="L3792" s="572" t="s">
        <v>1423</v>
      </c>
      <c r="M3792" s="566">
        <v>2.1</v>
      </c>
      <c r="N3792" s="1255" t="s">
        <v>2322</v>
      </c>
      <c r="O3792" s="1256" t="s">
        <v>4007</v>
      </c>
      <c r="P3792" s="562">
        <f>I3789</f>
        <v>2085.6</v>
      </c>
      <c r="Q3792" s="567" t="s">
        <v>2322</v>
      </c>
      <c r="R3792" s="564">
        <f>P3792*M3792</f>
        <v>4379.76</v>
      </c>
      <c r="W3792" s="4"/>
    </row>
    <row r="3793" spans="6:23" ht="24" customHeight="1">
      <c r="F3793" s="562"/>
      <c r="G3793" s="1268"/>
      <c r="H3793" s="1269"/>
      <c r="I3793" s="562"/>
      <c r="J3793" s="562"/>
      <c r="K3793" s="562"/>
      <c r="L3793" s="562"/>
      <c r="M3793" s="566"/>
      <c r="N3793" s="1255"/>
      <c r="O3793" s="1256"/>
      <c r="P3793" s="562"/>
      <c r="Q3793" s="563"/>
      <c r="R3793" s="564"/>
      <c r="W3793" s="4"/>
    </row>
    <row r="3794" spans="6:23" ht="24" customHeight="1">
      <c r="F3794" s="564">
        <v>1</v>
      </c>
      <c r="G3794" s="567" t="s">
        <v>884</v>
      </c>
      <c r="H3794" s="568" t="s">
        <v>4013</v>
      </c>
      <c r="I3794" s="564">
        <f>AE17</f>
        <v>919.6</v>
      </c>
      <c r="J3794" s="568" t="s">
        <v>884</v>
      </c>
      <c r="K3794" s="564">
        <f>I3794*F3794</f>
        <v>919.6</v>
      </c>
      <c r="L3794" s="562"/>
      <c r="M3794" s="566"/>
      <c r="N3794" s="867"/>
      <c r="O3794" s="1259" t="s">
        <v>5943</v>
      </c>
      <c r="P3794" s="579"/>
      <c r="Q3794" s="567"/>
      <c r="R3794" s="564">
        <f>SUM(R3781:R3793)</f>
        <v>17440.23</v>
      </c>
      <c r="W3794" s="4"/>
    </row>
    <row r="3795" spans="6:23" ht="24" customHeight="1">
      <c r="F3795" s="564">
        <v>1</v>
      </c>
      <c r="G3795" s="567" t="s">
        <v>884</v>
      </c>
      <c r="H3795" s="568" t="s">
        <v>4014</v>
      </c>
      <c r="I3795" s="564">
        <f>AE11</f>
        <v>679.8</v>
      </c>
      <c r="J3795" s="568" t="s">
        <v>884</v>
      </c>
      <c r="K3795" s="564">
        <f>I3795*F3795</f>
        <v>679.8</v>
      </c>
      <c r="L3795" s="562"/>
      <c r="M3795" s="566"/>
      <c r="N3795" s="867"/>
      <c r="O3795" s="1259" t="s">
        <v>562</v>
      </c>
      <c r="P3795" s="579"/>
      <c r="Q3795" s="1250"/>
      <c r="R3795" s="571">
        <f>R3794/M3792</f>
        <v>8304.8700000000008</v>
      </c>
      <c r="W3795" s="4"/>
    </row>
    <row r="3796" spans="6:23" ht="24" customHeight="1">
      <c r="F3796" s="564">
        <v>0.5</v>
      </c>
      <c r="G3796" s="567" t="s">
        <v>884</v>
      </c>
      <c r="H3796" s="568" t="s">
        <v>4015</v>
      </c>
      <c r="I3796" s="564">
        <f>AE20</f>
        <v>972.4</v>
      </c>
      <c r="J3796" s="568" t="s">
        <v>884</v>
      </c>
      <c r="K3796" s="564">
        <f>I3796*F3796</f>
        <v>486.2</v>
      </c>
      <c r="L3796" s="562"/>
      <c r="O3796" s="448"/>
      <c r="W3796" s="4"/>
    </row>
    <row r="3797" spans="6:23" ht="24" customHeight="1">
      <c r="F3797" s="562"/>
      <c r="G3797" s="567" t="s">
        <v>455</v>
      </c>
      <c r="H3797" s="568"/>
      <c r="I3797" s="564"/>
      <c r="J3797" s="568" t="s">
        <v>455</v>
      </c>
      <c r="K3797" s="564"/>
      <c r="L3797" s="562"/>
      <c r="W3797" s="4"/>
    </row>
    <row r="3798" spans="6:23" ht="24" customHeight="1">
      <c r="F3798" s="1267"/>
      <c r="G3798" s="562"/>
      <c r="H3798" s="569"/>
      <c r="I3798" s="562"/>
      <c r="J3798" s="562"/>
      <c r="K3798" s="577" t="s">
        <v>1615</v>
      </c>
      <c r="L3798" s="612"/>
      <c r="W3798" s="4"/>
    </row>
    <row r="3799" spans="6:23" ht="24" customHeight="1">
      <c r="F3799" s="1267"/>
      <c r="G3799" s="562"/>
      <c r="H3799" s="569"/>
      <c r="I3799" s="568" t="s">
        <v>4016</v>
      </c>
      <c r="J3799" s="562"/>
      <c r="K3799" s="571">
        <f>SUM(K3794:K3798)</f>
        <v>2085.6</v>
      </c>
      <c r="L3799" s="612"/>
      <c r="W3799" s="4"/>
    </row>
    <row r="3800" spans="6:23" ht="24" customHeight="1">
      <c r="F3800" s="1267"/>
      <c r="G3800" s="562"/>
      <c r="H3800" s="569"/>
      <c r="I3800" s="562"/>
      <c r="J3800" s="562"/>
      <c r="K3800" s="577" t="s">
        <v>1615</v>
      </c>
      <c r="L3800" s="612"/>
      <c r="W3800" s="4"/>
    </row>
    <row r="3801" spans="6:23" ht="24" customHeight="1">
      <c r="F3801" s="579"/>
      <c r="G3801" s="579"/>
      <c r="H3801" s="579"/>
      <c r="I3801" s="579"/>
      <c r="J3801" s="579"/>
      <c r="K3801" s="50"/>
      <c r="L3801" s="579"/>
      <c r="W3801" s="4"/>
    </row>
    <row r="3802" spans="6:23" ht="24" customHeight="1">
      <c r="F3802" s="24"/>
      <c r="G3802" s="7" t="s">
        <v>2290</v>
      </c>
      <c r="H3802" s="1" t="s">
        <v>3675</v>
      </c>
      <c r="W3802" s="4"/>
    </row>
    <row r="3803" spans="6:23" ht="24" customHeight="1">
      <c r="H3803" s="1"/>
      <c r="W3803" s="4"/>
    </row>
    <row r="3804" spans="6:23" ht="24" customHeight="1">
      <c r="H3804" s="5" t="s">
        <v>1615</v>
      </c>
      <c r="W3804" s="4"/>
    </row>
    <row r="3805" spans="6:23" ht="24" customHeight="1">
      <c r="F3805" s="8">
        <v>1.86</v>
      </c>
      <c r="G3805" s="7" t="s">
        <v>621</v>
      </c>
      <c r="H3805" s="1" t="s">
        <v>3683</v>
      </c>
      <c r="I3805" s="536">
        <v>699.4</v>
      </c>
      <c r="J3805" s="1" t="s">
        <v>621</v>
      </c>
      <c r="K3805" s="8">
        <f>(F3805*I3805)</f>
        <v>1300.8800000000001</v>
      </c>
      <c r="W3805" s="4"/>
    </row>
    <row r="3806" spans="6:23" ht="24" customHeight="1">
      <c r="F3806" s="8">
        <v>0.4</v>
      </c>
      <c r="G3806" s="7" t="s">
        <v>1676</v>
      </c>
      <c r="H3806" s="1" t="s">
        <v>2118</v>
      </c>
      <c r="I3806" s="529">
        <f>I3462</f>
        <v>36.1</v>
      </c>
      <c r="J3806" s="1" t="s">
        <v>1676</v>
      </c>
      <c r="K3806" s="8">
        <f>(F3806*I3806)</f>
        <v>14.44</v>
      </c>
      <c r="W3806" s="4"/>
    </row>
    <row r="3807" spans="6:23" ht="24" customHeight="1">
      <c r="F3807" s="8">
        <v>0.02</v>
      </c>
      <c r="G3807" s="7" t="s">
        <v>885</v>
      </c>
      <c r="H3807" s="1" t="s">
        <v>422</v>
      </c>
      <c r="I3807" s="8">
        <f>K23</f>
        <v>6078.5</v>
      </c>
      <c r="J3807" s="1" t="s">
        <v>885</v>
      </c>
      <c r="K3807" s="8">
        <f>(F3807*I3807)</f>
        <v>121.57</v>
      </c>
      <c r="W3807" s="4"/>
    </row>
    <row r="3808" spans="6:23" ht="24" customHeight="1">
      <c r="F3808" s="8">
        <v>1</v>
      </c>
      <c r="G3808" s="7" t="s">
        <v>785</v>
      </c>
      <c r="H3808" s="1" t="s">
        <v>2045</v>
      </c>
      <c r="I3808" s="8">
        <f>I3748</f>
        <v>1041.7</v>
      </c>
      <c r="J3808" s="1" t="s">
        <v>785</v>
      </c>
      <c r="K3808" s="8">
        <f>(F3808*I3808)</f>
        <v>1041.7</v>
      </c>
      <c r="W3808" s="4"/>
    </row>
    <row r="3809" spans="6:23" ht="24" customHeight="1">
      <c r="F3809" s="8">
        <v>1</v>
      </c>
      <c r="G3809" s="7" t="s">
        <v>785</v>
      </c>
      <c r="H3809" s="1" t="s">
        <v>1720</v>
      </c>
      <c r="I3809" s="8">
        <f>I3795</f>
        <v>679.8</v>
      </c>
      <c r="J3809" s="1" t="s">
        <v>785</v>
      </c>
      <c r="K3809" s="8">
        <f>(F3809*I3809)</f>
        <v>679.8</v>
      </c>
      <c r="W3809" s="4"/>
    </row>
    <row r="3810" spans="6:23" ht="24" customHeight="1">
      <c r="G3810" s="7" t="s">
        <v>455</v>
      </c>
      <c r="H3810" s="1" t="s">
        <v>456</v>
      </c>
      <c r="J3810" s="1" t="s">
        <v>455</v>
      </c>
      <c r="K3810" s="8"/>
      <c r="W3810" s="4"/>
    </row>
    <row r="3811" spans="6:23" ht="24" customHeight="1">
      <c r="K3811" s="5" t="s">
        <v>1615</v>
      </c>
      <c r="W3811" s="4"/>
    </row>
    <row r="3812" spans="6:23" ht="24" customHeight="1">
      <c r="H3812" s="1" t="s">
        <v>1721</v>
      </c>
      <c r="K3812" s="8">
        <f>SUM(K3805:K3810)</f>
        <v>3158.39</v>
      </c>
      <c r="W3812" s="4"/>
    </row>
    <row r="3813" spans="6:23" ht="24" customHeight="1">
      <c r="K3813" s="5" t="s">
        <v>1615</v>
      </c>
      <c r="W3813" s="4"/>
    </row>
    <row r="3814" spans="6:23" ht="24" customHeight="1">
      <c r="H3814" s="58" t="s">
        <v>562</v>
      </c>
      <c r="K3814" s="38">
        <f>(K3812/1.86)</f>
        <v>1698.06</v>
      </c>
      <c r="W3814" s="4"/>
    </row>
    <row r="3815" spans="6:23" ht="24" customHeight="1">
      <c r="K3815" s="5" t="s">
        <v>2091</v>
      </c>
      <c r="W3815" s="4"/>
    </row>
    <row r="3816" spans="6:23" ht="24" customHeight="1">
      <c r="W3816" s="4"/>
    </row>
    <row r="3817" spans="6:23" ht="24" customHeight="1">
      <c r="F3817" s="24"/>
      <c r="G3817" s="7" t="s">
        <v>2290</v>
      </c>
      <c r="H3817" s="1" t="s">
        <v>3674</v>
      </c>
      <c r="W3817" s="4"/>
    </row>
    <row r="3818" spans="6:23" ht="24" customHeight="1">
      <c r="H3818" s="1"/>
      <c r="W3818" s="4"/>
    </row>
    <row r="3819" spans="6:23" ht="24" customHeight="1">
      <c r="H3819" s="1"/>
      <c r="W3819" s="4"/>
    </row>
    <row r="3820" spans="6:23" ht="24" customHeight="1">
      <c r="H3820" s="5" t="s">
        <v>1615</v>
      </c>
      <c r="I3820" s="5" t="s">
        <v>1615</v>
      </c>
      <c r="W3820" s="4"/>
    </row>
    <row r="3821" spans="6:23" ht="24" customHeight="1">
      <c r="F3821" s="8">
        <v>10</v>
      </c>
      <c r="G3821" s="7" t="s">
        <v>621</v>
      </c>
      <c r="H3821" s="26" t="s">
        <v>3682</v>
      </c>
      <c r="I3821" s="536">
        <v>538.21</v>
      </c>
      <c r="J3821" s="1" t="s">
        <v>621</v>
      </c>
      <c r="K3821" s="8">
        <f>(F3821*I3821)</f>
        <v>5382.1</v>
      </c>
      <c r="W3821" s="4"/>
    </row>
    <row r="3822" spans="6:23" ht="36" customHeight="1">
      <c r="F3822" s="8">
        <v>0.21</v>
      </c>
      <c r="G3822" s="7" t="s">
        <v>885</v>
      </c>
      <c r="H3822" s="1" t="s">
        <v>1910</v>
      </c>
      <c r="I3822" s="63">
        <f>I3455</f>
        <v>4628.8999999999996</v>
      </c>
      <c r="J3822" s="1" t="s">
        <v>885</v>
      </c>
      <c r="K3822" s="8">
        <f>(F3822*I3822)</f>
        <v>972.07</v>
      </c>
      <c r="W3822" s="4"/>
    </row>
    <row r="3823" spans="6:23" ht="32.25" customHeight="1">
      <c r="H3823" s="1" t="s">
        <v>1911</v>
      </c>
      <c r="I3823" s="63"/>
      <c r="K3823" s="1" t="s">
        <v>992</v>
      </c>
      <c r="W3823" s="4"/>
    </row>
    <row r="3824" spans="6:23" ht="24" customHeight="1">
      <c r="F3824" s="8">
        <v>1.1000000000000001</v>
      </c>
      <c r="G3824" s="7" t="s">
        <v>785</v>
      </c>
      <c r="H3824" s="1" t="s">
        <v>2045</v>
      </c>
      <c r="I3824" s="63">
        <f>I3457</f>
        <v>1041.7</v>
      </c>
      <c r="J3824" s="1" t="s">
        <v>785</v>
      </c>
      <c r="K3824" s="8">
        <f>(F3824*I3824)</f>
        <v>1145.8699999999999</v>
      </c>
      <c r="W3824" s="4"/>
    </row>
    <row r="3825" spans="5:23" ht="24" customHeight="1">
      <c r="F3825" s="8">
        <v>1.1000000000000001</v>
      </c>
      <c r="G3825" s="7" t="s">
        <v>785</v>
      </c>
      <c r="H3825" s="1" t="s">
        <v>1744</v>
      </c>
      <c r="I3825" s="63">
        <f t="shared" ref="I3825:I3832" si="375">I3458</f>
        <v>972.4</v>
      </c>
      <c r="J3825" s="1" t="s">
        <v>785</v>
      </c>
      <c r="K3825" s="8">
        <f>(F3825*I3825)</f>
        <v>1069.6400000000001</v>
      </c>
      <c r="W3825" s="4"/>
    </row>
    <row r="3826" spans="5:23" ht="24" customHeight="1">
      <c r="F3826" s="8">
        <v>2.2000000000000002</v>
      </c>
      <c r="G3826" s="7" t="s">
        <v>785</v>
      </c>
      <c r="H3826" s="1" t="s">
        <v>1937</v>
      </c>
      <c r="I3826" s="63">
        <f t="shared" si="375"/>
        <v>679.8</v>
      </c>
      <c r="J3826" s="1" t="s">
        <v>785</v>
      </c>
      <c r="K3826" s="8">
        <f>(F3826*I3826)</f>
        <v>1495.56</v>
      </c>
      <c r="W3826" s="4"/>
    </row>
    <row r="3827" spans="5:23" ht="24" customHeight="1">
      <c r="F3827" s="8">
        <v>2.2000000000000002</v>
      </c>
      <c r="G3827" s="7" t="s">
        <v>785</v>
      </c>
      <c r="H3827" s="1" t="s">
        <v>325</v>
      </c>
      <c r="I3827" s="63">
        <f t="shared" si="375"/>
        <v>557.70000000000005</v>
      </c>
      <c r="J3827" s="1" t="s">
        <v>785</v>
      </c>
      <c r="K3827" s="8">
        <f>(F3827*I3827)</f>
        <v>1226.94</v>
      </c>
      <c r="W3827" s="4"/>
    </row>
    <row r="3828" spans="5:23" ht="24" customHeight="1">
      <c r="F3828" s="12">
        <v>20</v>
      </c>
      <c r="G3828" s="7" t="s">
        <v>1676</v>
      </c>
      <c r="H3828" s="1" t="s">
        <v>878</v>
      </c>
      <c r="I3828" s="63">
        <f t="shared" si="375"/>
        <v>6040</v>
      </c>
      <c r="J3828" s="1" t="s">
        <v>877</v>
      </c>
      <c r="K3828" s="8">
        <f>(F3828*I3828)/1000</f>
        <v>120.8</v>
      </c>
      <c r="W3828" s="4"/>
    </row>
    <row r="3829" spans="5:23" ht="24" customHeight="1">
      <c r="F3829" s="12">
        <v>2</v>
      </c>
      <c r="G3829" s="7" t="s">
        <v>1676</v>
      </c>
      <c r="H3829" s="1" t="s">
        <v>2118</v>
      </c>
      <c r="I3829" s="63">
        <f t="shared" si="375"/>
        <v>36.1</v>
      </c>
      <c r="J3829" s="1" t="s">
        <v>1676</v>
      </c>
      <c r="K3829" s="8">
        <f>(F3829*I3829)</f>
        <v>72.2</v>
      </c>
      <c r="W3829" s="4"/>
    </row>
    <row r="3830" spans="5:23" ht="24" customHeight="1">
      <c r="F3830" s="8">
        <v>1.6</v>
      </c>
      <c r="G3830" s="7" t="s">
        <v>785</v>
      </c>
      <c r="H3830" s="1" t="s">
        <v>1744</v>
      </c>
      <c r="I3830" s="63">
        <f t="shared" si="375"/>
        <v>972.4</v>
      </c>
      <c r="J3830" s="1" t="s">
        <v>785</v>
      </c>
      <c r="K3830" s="8">
        <f>(F3830*I3830)</f>
        <v>1555.84</v>
      </c>
      <c r="W3830" s="4"/>
    </row>
    <row r="3831" spans="5:23" ht="24" customHeight="1">
      <c r="F3831" s="8">
        <v>0.5</v>
      </c>
      <c r="G3831" s="7" t="s">
        <v>785</v>
      </c>
      <c r="H3831" s="1" t="s">
        <v>1937</v>
      </c>
      <c r="I3831" s="63">
        <f t="shared" si="375"/>
        <v>679.8</v>
      </c>
      <c r="J3831" s="1" t="s">
        <v>785</v>
      </c>
      <c r="K3831" s="8">
        <f>(F3831*I3831)</f>
        <v>339.9</v>
      </c>
      <c r="W3831" s="4"/>
    </row>
    <row r="3832" spans="5:23" ht="24" customHeight="1">
      <c r="F3832" s="8">
        <v>1.1000000000000001</v>
      </c>
      <c r="G3832" s="7" t="s">
        <v>785</v>
      </c>
      <c r="H3832" s="1" t="s">
        <v>325</v>
      </c>
      <c r="I3832" s="63">
        <f t="shared" si="375"/>
        <v>557.70000000000005</v>
      </c>
      <c r="J3832" s="1" t="s">
        <v>785</v>
      </c>
      <c r="K3832" s="8">
        <f>(F3832*I3832)</f>
        <v>613.47</v>
      </c>
      <c r="W3832" s="4"/>
    </row>
    <row r="3833" spans="5:23" ht="24" customHeight="1">
      <c r="G3833" s="7" t="s">
        <v>455</v>
      </c>
      <c r="H3833" s="1" t="s">
        <v>456</v>
      </c>
      <c r="J3833" s="1" t="s">
        <v>455</v>
      </c>
      <c r="K3833" s="8">
        <v>0</v>
      </c>
      <c r="W3833" s="4"/>
    </row>
    <row r="3834" spans="5:23" ht="24" customHeight="1">
      <c r="K3834" s="5" t="s">
        <v>1615</v>
      </c>
      <c r="W3834" s="4"/>
    </row>
    <row r="3835" spans="5:23" ht="24" customHeight="1">
      <c r="H3835" s="1" t="s">
        <v>447</v>
      </c>
      <c r="K3835" s="8">
        <f>SUM(K3821:K3833)</f>
        <v>13994.39</v>
      </c>
      <c r="W3835" s="4"/>
    </row>
    <row r="3836" spans="5:23" ht="24" customHeight="1">
      <c r="K3836" s="5" t="s">
        <v>1615</v>
      </c>
      <c r="W3836" s="4"/>
    </row>
    <row r="3837" spans="5:23" ht="24" customHeight="1">
      <c r="F3837" s="50"/>
      <c r="G3837"/>
      <c r="H3837" s="58" t="s">
        <v>562</v>
      </c>
      <c r="K3837" s="38">
        <f>(K3835/10)</f>
        <v>1399.44</v>
      </c>
      <c r="W3837" s="4"/>
    </row>
    <row r="3838" spans="5:23" ht="24" customHeight="1">
      <c r="F3838" s="50"/>
      <c r="G3838"/>
      <c r="K3838" s="5" t="s">
        <v>2091</v>
      </c>
      <c r="W3838" s="4"/>
    </row>
    <row r="3839" spans="5:23" ht="24" customHeight="1">
      <c r="W3839" s="4"/>
    </row>
    <row r="3840" spans="5:23" ht="24" customHeight="1">
      <c r="E3840" s="54"/>
      <c r="F3840" s="53"/>
      <c r="G3840" s="36" t="s">
        <v>4265</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4266</v>
      </c>
      <c r="F3842" s="71"/>
      <c r="G3842" s="71"/>
      <c r="H3842" s="73">
        <f>4*3.9</f>
        <v>15.6</v>
      </c>
      <c r="I3842" s="71" t="s">
        <v>364</v>
      </c>
      <c r="J3842" s="71"/>
      <c r="K3842" s="50"/>
      <c r="W3842" s="4"/>
    </row>
    <row r="3843" spans="5:23" ht="24" customHeight="1">
      <c r="E3843" t="s">
        <v>4267</v>
      </c>
      <c r="F3843" s="53"/>
      <c r="G3843" s="54"/>
      <c r="H3843" s="54">
        <f>11*0.8*3.14</f>
        <v>27.63</v>
      </c>
      <c r="I3843" s="71" t="s">
        <v>364</v>
      </c>
      <c r="J3843" s="71"/>
      <c r="K3843" s="50"/>
      <c r="W3843" s="4"/>
    </row>
    <row r="3844" spans="5:23" ht="24" customHeight="1">
      <c r="E3844" t="s">
        <v>4268</v>
      </c>
      <c r="F3844" s="53"/>
      <c r="G3844" s="54"/>
      <c r="H3844" s="54">
        <f>2*1.2*1.2</f>
        <v>2.88</v>
      </c>
      <c r="I3844" s="71" t="s">
        <v>364</v>
      </c>
      <c r="J3844" s="71"/>
      <c r="K3844" s="50"/>
      <c r="W3844" s="4"/>
    </row>
    <row r="3845" spans="5:23" ht="24" customHeight="1">
      <c r="E3845" t="s">
        <v>4269</v>
      </c>
      <c r="F3845" s="53"/>
      <c r="G3845" s="54"/>
      <c r="H3845" s="54">
        <f>3*0.8*1.2</f>
        <v>2.88</v>
      </c>
      <c r="I3845" s="71" t="s">
        <v>364</v>
      </c>
      <c r="J3845" s="71"/>
      <c r="K3845" s="50"/>
      <c r="W3845" s="4"/>
    </row>
    <row r="3846" spans="5:23" ht="24" customHeight="1">
      <c r="E3846" t="s">
        <v>4270</v>
      </c>
      <c r="F3846" s="53"/>
      <c r="G3846" s="54"/>
      <c r="H3846" s="54">
        <v>5</v>
      </c>
      <c r="I3846" s="71"/>
      <c r="J3846" s="71"/>
      <c r="K3846" s="50"/>
      <c r="W3846" s="4"/>
    </row>
    <row r="3847" spans="5:23" ht="24" customHeight="1">
      <c r="E3847" s="54"/>
      <c r="F3847" s="53"/>
      <c r="G3847" s="54"/>
      <c r="H3847" s="56" t="s">
        <v>895</v>
      </c>
      <c r="I3847" s="71"/>
      <c r="J3847" s="71"/>
      <c r="K3847" s="50"/>
      <c r="W3847" s="4"/>
    </row>
    <row r="3848" spans="5:23" ht="24" customHeight="1">
      <c r="E3848" s="54"/>
      <c r="F3848" s="53"/>
      <c r="G3848" s="54"/>
      <c r="H3848" s="75">
        <f>SUM(H3842:H3846)</f>
        <v>53.99</v>
      </c>
      <c r="I3848" s="71" t="s">
        <v>364</v>
      </c>
      <c r="J3848" s="71">
        <f>H3848-51.7</f>
        <v>2.29</v>
      </c>
      <c r="K3848" s="50"/>
      <c r="W3848" s="4"/>
    </row>
    <row r="3849" spans="5:23" ht="24" customHeight="1">
      <c r="E3849" s="54"/>
      <c r="F3849" s="53"/>
      <c r="G3849" s="54"/>
      <c r="H3849" s="56" t="s">
        <v>895</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1676</v>
      </c>
      <c r="G3852" s="54" t="s">
        <v>520</v>
      </c>
      <c r="H3852" s="54">
        <f>I2607</f>
        <v>70.150000000000006</v>
      </c>
      <c r="I3852" s="71" t="s">
        <v>1676</v>
      </c>
      <c r="J3852" s="54">
        <f>H3852*E3852</f>
        <v>3787.4</v>
      </c>
      <c r="K3852" s="50"/>
      <c r="W3852" s="4"/>
    </row>
    <row r="3853" spans="5:23" ht="24" customHeight="1">
      <c r="E3853" s="73">
        <v>0.96</v>
      </c>
      <c r="F3853" s="53" t="s">
        <v>2322</v>
      </c>
      <c r="G3853" s="54" t="s">
        <v>2160</v>
      </c>
      <c r="H3853" s="54">
        <f>I2608</f>
        <v>379.9</v>
      </c>
      <c r="I3853" s="71" t="s">
        <v>2322</v>
      </c>
      <c r="J3853" s="54">
        <f>H3853*E3853</f>
        <v>364.7</v>
      </c>
      <c r="K3853" s="50"/>
      <c r="W3853" s="4"/>
    </row>
    <row r="3854" spans="5:23" ht="24" customHeight="1">
      <c r="E3854" s="73">
        <v>0.96</v>
      </c>
      <c r="F3854" s="53" t="s">
        <v>2322</v>
      </c>
      <c r="G3854" s="54" t="s">
        <v>521</v>
      </c>
      <c r="H3854" s="54">
        <f>I2609</f>
        <v>40.65</v>
      </c>
      <c r="I3854" s="71" t="s">
        <v>2322</v>
      </c>
      <c r="J3854" s="54">
        <f>H3854*E3854</f>
        <v>39.020000000000003</v>
      </c>
      <c r="K3854" s="50"/>
      <c r="W3854" s="4"/>
    </row>
    <row r="3855" spans="5:23" ht="24" customHeight="1">
      <c r="E3855" s="54"/>
      <c r="F3855" s="53"/>
      <c r="G3855" s="54" t="s">
        <v>581</v>
      </c>
      <c r="H3855" s="54">
        <f>I2610</f>
        <v>266.81</v>
      </c>
      <c r="I3855" s="71" t="s">
        <v>455</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523</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2850</v>
      </c>
      <c r="H3859" s="54"/>
      <c r="I3859" s="71"/>
      <c r="J3859" s="36">
        <f>J3857/E3853</f>
        <v>4643.68</v>
      </c>
      <c r="K3859" s="50"/>
      <c r="W3859" s="4"/>
    </row>
    <row r="3860" spans="5:23" ht="24" customHeight="1">
      <c r="G3860"/>
      <c r="J3860"/>
      <c r="K3860" s="50"/>
      <c r="W3860" s="4"/>
    </row>
    <row r="3861" spans="5:23" ht="24" customHeight="1">
      <c r="E3861" s="54"/>
      <c r="F3861" s="53"/>
      <c r="G3861" s="36" t="s">
        <v>4271</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4272</v>
      </c>
      <c r="F3863" s="71"/>
      <c r="G3863" s="71"/>
      <c r="H3863" s="73">
        <f>3.6*3.9</f>
        <v>14.04</v>
      </c>
      <c r="I3863" s="71" t="s">
        <v>364</v>
      </c>
      <c r="J3863" s="71"/>
      <c r="K3863" s="50"/>
      <c r="W3863" s="4"/>
    </row>
    <row r="3864" spans="5:23" ht="24" customHeight="1">
      <c r="E3864" t="s">
        <v>4273</v>
      </c>
      <c r="F3864" s="53"/>
      <c r="G3864" s="54"/>
      <c r="H3864" s="54">
        <f>9*0.8*3.14</f>
        <v>22.61</v>
      </c>
      <c r="I3864" s="71" t="s">
        <v>364</v>
      </c>
      <c r="J3864" s="71"/>
      <c r="K3864" s="50"/>
      <c r="W3864" s="4"/>
    </row>
    <row r="3865" spans="5:23" ht="24" customHeight="1">
      <c r="E3865" t="s">
        <v>4274</v>
      </c>
      <c r="F3865" s="53"/>
      <c r="G3865" s="54"/>
      <c r="H3865" s="54">
        <f>2*1*1.2</f>
        <v>2.4</v>
      </c>
      <c r="I3865" s="71" t="s">
        <v>364</v>
      </c>
      <c r="J3865" s="71"/>
      <c r="K3865" s="50"/>
      <c r="W3865" s="4"/>
    </row>
    <row r="3866" spans="5:23" ht="24" customHeight="1">
      <c r="E3866" t="s">
        <v>4269</v>
      </c>
      <c r="F3866" s="53"/>
      <c r="G3866" s="54"/>
      <c r="H3866" s="54">
        <f>3*0.8*1.2</f>
        <v>2.88</v>
      </c>
      <c r="I3866" s="71" t="s">
        <v>364</v>
      </c>
      <c r="J3866" s="71"/>
      <c r="K3866" s="50"/>
      <c r="W3866" s="4"/>
    </row>
    <row r="3867" spans="5:23" ht="24" customHeight="1">
      <c r="E3867" t="s">
        <v>4270</v>
      </c>
      <c r="F3867" s="53"/>
      <c r="G3867" s="54"/>
      <c r="H3867" s="54">
        <v>5</v>
      </c>
      <c r="I3867" s="71"/>
      <c r="J3867" s="71"/>
      <c r="K3867" s="50"/>
      <c r="W3867" s="4"/>
    </row>
    <row r="3868" spans="5:23" ht="24" customHeight="1">
      <c r="E3868" s="54"/>
      <c r="F3868" s="53"/>
      <c r="G3868" s="54"/>
      <c r="H3868" s="56" t="s">
        <v>895</v>
      </c>
      <c r="I3868" s="71"/>
      <c r="J3868" s="71"/>
      <c r="K3868" s="50"/>
      <c r="W3868" s="4"/>
    </row>
    <row r="3869" spans="5:23" ht="24" customHeight="1">
      <c r="E3869" s="54"/>
      <c r="F3869" s="53"/>
      <c r="G3869" s="54"/>
      <c r="H3869" s="75">
        <f>SUM(H3863:H3867)</f>
        <v>46.93</v>
      </c>
      <c r="I3869" s="71" t="s">
        <v>364</v>
      </c>
      <c r="J3869" s="71"/>
      <c r="K3869" s="50"/>
      <c r="W3869" s="4"/>
    </row>
    <row r="3870" spans="5:23" ht="24" customHeight="1">
      <c r="E3870" s="54"/>
      <c r="F3870" s="53"/>
      <c r="G3870" s="54"/>
      <c r="H3870" s="56" t="s">
        <v>895</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1676</v>
      </c>
      <c r="G3873" s="54" t="s">
        <v>520</v>
      </c>
      <c r="H3873" s="54">
        <f>H3852</f>
        <v>70.150000000000006</v>
      </c>
      <c r="I3873" s="71" t="s">
        <v>1676</v>
      </c>
      <c r="J3873" s="54">
        <f>H3873*E3873</f>
        <v>3292.14</v>
      </c>
      <c r="K3873" s="50"/>
      <c r="W3873" s="4"/>
    </row>
    <row r="3874" spans="5:23" ht="24" customHeight="1">
      <c r="E3874" s="54">
        <v>0.8</v>
      </c>
      <c r="F3874" s="53" t="s">
        <v>2322</v>
      </c>
      <c r="G3874" s="54" t="s">
        <v>2160</v>
      </c>
      <c r="H3874" s="54">
        <f>H3853</f>
        <v>379.9</v>
      </c>
      <c r="I3874" s="71" t="s">
        <v>2322</v>
      </c>
      <c r="J3874" s="54">
        <f>H3874*E3874</f>
        <v>303.92</v>
      </c>
      <c r="K3874" s="50"/>
      <c r="W3874" s="4"/>
    </row>
    <row r="3875" spans="5:23" ht="24" customHeight="1">
      <c r="E3875" s="54">
        <v>0.8</v>
      </c>
      <c r="F3875" s="53" t="s">
        <v>2322</v>
      </c>
      <c r="G3875" s="54" t="s">
        <v>521</v>
      </c>
      <c r="H3875" s="54">
        <f>H3854</f>
        <v>40.65</v>
      </c>
      <c r="I3875" s="71" t="s">
        <v>2322</v>
      </c>
      <c r="J3875" s="54">
        <f>H3875*E3875</f>
        <v>32.520000000000003</v>
      </c>
      <c r="K3875" s="50"/>
      <c r="W3875" s="4"/>
    </row>
    <row r="3876" spans="5:23" ht="24" customHeight="1">
      <c r="E3876" s="54"/>
      <c r="F3876" s="53"/>
      <c r="G3876" s="54" t="s">
        <v>581</v>
      </c>
      <c r="H3876" s="54">
        <f>H3855</f>
        <v>266.81</v>
      </c>
      <c r="I3876" s="71" t="s">
        <v>455</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523</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2850</v>
      </c>
      <c r="H3880" s="54"/>
      <c r="I3880" s="71"/>
      <c r="J3880" s="36">
        <f>J3878/E3874</f>
        <v>4594.6000000000004</v>
      </c>
      <c r="K3880" s="50"/>
      <c r="W3880" s="4"/>
    </row>
    <row r="3881" spans="5:23" ht="24" customHeight="1">
      <c r="E3881" s="54" t="s">
        <v>518</v>
      </c>
      <c r="F3881" s="53"/>
      <c r="G3881" s="54"/>
      <c r="H3881" s="54">
        <v>3.24</v>
      </c>
      <c r="I3881" s="71" t="s">
        <v>364</v>
      </c>
      <c r="J3881" s="54"/>
      <c r="K3881" s="50"/>
      <c r="W3881" s="4"/>
    </row>
    <row r="3882" spans="5:23" ht="24" customHeight="1">
      <c r="E3882" s="54" t="s">
        <v>519</v>
      </c>
      <c r="F3882" s="53"/>
      <c r="G3882" s="54"/>
      <c r="H3882" s="54">
        <v>2.16</v>
      </c>
      <c r="I3882" s="71" t="s">
        <v>364</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1717</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1676</v>
      </c>
      <c r="G3889" s="54" t="s">
        <v>520</v>
      </c>
      <c r="H3889" s="54">
        <f>H3873</f>
        <v>70.150000000000006</v>
      </c>
      <c r="I3889" s="71" t="s">
        <v>1676</v>
      </c>
      <c r="J3889" s="54">
        <f>H3889*E3889</f>
        <v>3003.12</v>
      </c>
      <c r="K3889" s="50"/>
      <c r="W3889" s="4"/>
    </row>
    <row r="3890" spans="5:23" ht="24" customHeight="1">
      <c r="E3890" s="54">
        <v>0.77</v>
      </c>
      <c r="F3890" s="53" t="s">
        <v>2322</v>
      </c>
      <c r="G3890" s="54" t="s">
        <v>2497</v>
      </c>
      <c r="H3890" s="54">
        <f>H3874</f>
        <v>379.9</v>
      </c>
      <c r="I3890" s="71" t="s">
        <v>2322</v>
      </c>
      <c r="J3890" s="54">
        <f>H3890*E3890</f>
        <v>292.52</v>
      </c>
      <c r="K3890" s="50"/>
      <c r="W3890" s="4"/>
    </row>
    <row r="3891" spans="5:23" ht="24" customHeight="1">
      <c r="E3891" s="54">
        <v>0.77</v>
      </c>
      <c r="F3891" s="53" t="s">
        <v>2322</v>
      </c>
      <c r="G3891" s="514" t="s">
        <v>1987</v>
      </c>
      <c r="H3891" s="54">
        <f>H3875</f>
        <v>40.65</v>
      </c>
      <c r="I3891" s="71" t="s">
        <v>2322</v>
      </c>
      <c r="J3891" s="54">
        <f>H3891*E3891</f>
        <v>31.3</v>
      </c>
      <c r="K3891" s="50"/>
      <c r="W3891" s="4"/>
    </row>
    <row r="3892" spans="5:23" ht="24" customHeight="1">
      <c r="E3892" s="54"/>
      <c r="F3892" s="53"/>
      <c r="G3892" s="54" t="s">
        <v>522</v>
      </c>
      <c r="H3892" s="54">
        <f>H3876</f>
        <v>266.81</v>
      </c>
      <c r="I3892" s="71" t="s">
        <v>455</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523</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50">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4492</v>
      </c>
      <c r="J3901"/>
      <c r="K3901" s="50"/>
      <c r="W3901" s="4"/>
    </row>
    <row r="3902" spans="5:23" ht="24" customHeight="1">
      <c r="F3902" s="2" t="s">
        <v>1347</v>
      </c>
      <c r="G3902" s="7" t="s">
        <v>2290</v>
      </c>
      <c r="H3902" s="1" t="s">
        <v>2067</v>
      </c>
      <c r="W3902" s="4"/>
    </row>
    <row r="3903" spans="5:23" ht="24" customHeight="1">
      <c r="H3903" s="1" t="s">
        <v>2068</v>
      </c>
      <c r="W3903" s="4"/>
    </row>
    <row r="3904" spans="5:23" ht="24" customHeight="1">
      <c r="H3904" s="1" t="s">
        <v>2069</v>
      </c>
      <c r="W3904" s="4"/>
    </row>
    <row r="3905" spans="6:23" ht="24" customHeight="1">
      <c r="H3905" s="1" t="s">
        <v>907</v>
      </c>
      <c r="W3905" s="4"/>
    </row>
    <row r="3906" spans="6:23" ht="24" customHeight="1">
      <c r="H3906" s="1" t="s">
        <v>908</v>
      </c>
      <c r="W3906" s="4"/>
    </row>
    <row r="3907" spans="6:23" ht="24" customHeight="1">
      <c r="H3907" s="1" t="s">
        <v>1753</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2089</v>
      </c>
      <c r="W3912" s="4"/>
    </row>
    <row r="3913" spans="6:23" ht="24" customHeight="1">
      <c r="H3913" s="1" t="s">
        <v>1049</v>
      </c>
      <c r="W3913" s="4"/>
    </row>
    <row r="3914" spans="6:23" ht="24" customHeight="1">
      <c r="H3914" s="1" t="s">
        <v>1812</v>
      </c>
      <c r="W3914" s="4"/>
    </row>
    <row r="3915" spans="6:23" ht="24" customHeight="1">
      <c r="H3915" s="1" t="s">
        <v>1813</v>
      </c>
      <c r="W3915" s="4"/>
    </row>
    <row r="3916" spans="6:23" ht="24" customHeight="1">
      <c r="W3916" s="4"/>
    </row>
    <row r="3917" spans="6:23" ht="24" customHeight="1">
      <c r="W3917" s="4"/>
    </row>
    <row r="3918" spans="6:23" ht="24" customHeight="1">
      <c r="G3918" s="7" t="s">
        <v>321</v>
      </c>
      <c r="H3918" s="2" t="s">
        <v>1810</v>
      </c>
      <c r="W3918" s="4"/>
    </row>
    <row r="3919" spans="6:23" ht="24" customHeight="1">
      <c r="H3919" s="2" t="s">
        <v>1815</v>
      </c>
      <c r="W3919" s="4"/>
    </row>
    <row r="3920" spans="6:23" ht="24" customHeight="1">
      <c r="F3920" s="14">
        <v>3.8100000000000002E-2</v>
      </c>
      <c r="G3920" s="7" t="s">
        <v>885</v>
      </c>
      <c r="H3920" s="1" t="s">
        <v>2110</v>
      </c>
      <c r="I3920" s="8">
        <f>K821</f>
        <v>8708.7099999999991</v>
      </c>
      <c r="J3920" s="1" t="s">
        <v>885</v>
      </c>
      <c r="K3920" s="8">
        <f>F3920*I3920</f>
        <v>331.8</v>
      </c>
      <c r="W3920" s="4"/>
    </row>
    <row r="3921" spans="6:23" ht="24" customHeight="1">
      <c r="F3921" s="215">
        <v>5.01</v>
      </c>
      <c r="G3921" s="7" t="s">
        <v>1676</v>
      </c>
      <c r="H3921" s="1" t="s">
        <v>2111</v>
      </c>
      <c r="I3921" s="8">
        <f>K1608</f>
        <v>90172</v>
      </c>
      <c r="J3921" s="1" t="s">
        <v>877</v>
      </c>
      <c r="K3921" s="8">
        <f>F3921*I3921/1000</f>
        <v>451.76</v>
      </c>
      <c r="W3921" s="4"/>
    </row>
    <row r="3922" spans="6:23" ht="24" customHeight="1">
      <c r="F3922" s="8">
        <v>3</v>
      </c>
      <c r="G3922" s="7" t="s">
        <v>884</v>
      </c>
      <c r="H3922" s="1" t="s">
        <v>1208</v>
      </c>
      <c r="I3922" s="485">
        <v>14.8</v>
      </c>
      <c r="J3922" s="1" t="s">
        <v>884</v>
      </c>
      <c r="K3922" s="8">
        <f t="shared" ref="K3922:K3929" si="376">F3922*I3922</f>
        <v>44.4</v>
      </c>
      <c r="W3922" s="4"/>
    </row>
    <row r="3923" spans="6:23" ht="24" customHeight="1">
      <c r="F3923" s="8">
        <v>12</v>
      </c>
      <c r="G3923" s="7" t="s">
        <v>884</v>
      </c>
      <c r="H3923" s="1" t="s">
        <v>1209</v>
      </c>
      <c r="I3923" s="485">
        <v>2</v>
      </c>
      <c r="J3923" s="1" t="s">
        <v>884</v>
      </c>
      <c r="K3923" s="8">
        <f t="shared" si="376"/>
        <v>24</v>
      </c>
      <c r="W3923" s="4"/>
    </row>
    <row r="3924" spans="6:23" ht="24" customHeight="1">
      <c r="F3924" s="8">
        <v>2</v>
      </c>
      <c r="G3924" s="7" t="s">
        <v>884</v>
      </c>
      <c r="H3924" s="1" t="s">
        <v>1210</v>
      </c>
      <c r="I3924" s="485">
        <v>4.9000000000000004</v>
      </c>
      <c r="J3924" s="1" t="s">
        <v>884</v>
      </c>
      <c r="K3924" s="8">
        <f t="shared" si="376"/>
        <v>9.8000000000000007</v>
      </c>
      <c r="W3924" s="4"/>
    </row>
    <row r="3925" spans="6:23" ht="24" customHeight="1">
      <c r="F3925" s="8">
        <v>6</v>
      </c>
      <c r="G3925" s="7" t="s">
        <v>884</v>
      </c>
      <c r="H3925" s="1" t="s">
        <v>2259</v>
      </c>
      <c r="I3925" s="485">
        <v>4.45</v>
      </c>
      <c r="J3925" s="1" t="s">
        <v>884</v>
      </c>
      <c r="K3925" s="8">
        <f t="shared" si="376"/>
        <v>26.7</v>
      </c>
      <c r="W3925" s="4"/>
    </row>
    <row r="3926" spans="6:23" ht="24" customHeight="1">
      <c r="F3926" s="8">
        <v>1</v>
      </c>
      <c r="G3926" s="7" t="s">
        <v>884</v>
      </c>
      <c r="H3926" s="1" t="s">
        <v>1215</v>
      </c>
      <c r="I3926" s="8">
        <f>I865</f>
        <v>1041.7</v>
      </c>
      <c r="J3926" s="1" t="s">
        <v>884</v>
      </c>
      <c r="K3926" s="8">
        <f t="shared" si="376"/>
        <v>1041.7</v>
      </c>
      <c r="W3926" s="4"/>
    </row>
    <row r="3927" spans="6:23" ht="24" customHeight="1">
      <c r="F3927" s="8">
        <v>1</v>
      </c>
      <c r="G3927" s="7" t="s">
        <v>884</v>
      </c>
      <c r="H3927" s="1" t="s">
        <v>1216</v>
      </c>
      <c r="I3927" s="8">
        <f>I866</f>
        <v>679.8</v>
      </c>
      <c r="J3927" s="1" t="s">
        <v>884</v>
      </c>
      <c r="K3927" s="8">
        <f t="shared" si="376"/>
        <v>679.8</v>
      </c>
      <c r="W3927" s="4"/>
    </row>
    <row r="3928" spans="6:23" ht="24" customHeight="1">
      <c r="F3928" s="8">
        <v>1</v>
      </c>
      <c r="G3928" s="7" t="s">
        <v>884</v>
      </c>
      <c r="H3928" s="1" t="s">
        <v>1217</v>
      </c>
      <c r="I3928" s="485">
        <v>25</v>
      </c>
      <c r="J3928" s="1" t="s">
        <v>884</v>
      </c>
      <c r="K3928" s="8">
        <f t="shared" si="376"/>
        <v>25</v>
      </c>
      <c r="W3928" s="4"/>
    </row>
    <row r="3929" spans="6:23" ht="24" customHeight="1">
      <c r="F3929" s="8">
        <v>0.5</v>
      </c>
      <c r="G3929" s="7" t="s">
        <v>884</v>
      </c>
      <c r="H3929" s="1" t="s">
        <v>1218</v>
      </c>
      <c r="I3929" s="8">
        <f>I868</f>
        <v>557.70000000000005</v>
      </c>
      <c r="J3929" s="1" t="s">
        <v>884</v>
      </c>
      <c r="K3929" s="8">
        <f t="shared" si="376"/>
        <v>278.85000000000002</v>
      </c>
      <c r="W3929" s="4"/>
    </row>
    <row r="3930" spans="6:23" ht="24" customHeight="1">
      <c r="G3930" s="7" t="s">
        <v>455</v>
      </c>
      <c r="H3930" s="1" t="s">
        <v>2177</v>
      </c>
      <c r="J3930" s="1" t="s">
        <v>455</v>
      </c>
      <c r="K3930" s="8">
        <v>1.1299999999999999</v>
      </c>
      <c r="W3930" s="4"/>
    </row>
    <row r="3931" spans="6:23" ht="24" customHeight="1">
      <c r="K3931" s="5" t="s">
        <v>1615</v>
      </c>
      <c r="W3931" s="4"/>
    </row>
    <row r="3932" spans="6:23" ht="24" customHeight="1">
      <c r="H3932" s="58" t="s">
        <v>287</v>
      </c>
      <c r="K3932" s="38">
        <f>SUM(K3920:K3930)</f>
        <v>2914.94</v>
      </c>
      <c r="W3932" s="4"/>
    </row>
    <row r="3933" spans="6:23" ht="24" customHeight="1">
      <c r="K3933" s="5" t="s">
        <v>1615</v>
      </c>
      <c r="W3933" s="4"/>
    </row>
    <row r="3934" spans="6:23" ht="24" customHeight="1">
      <c r="W3934" s="4"/>
    </row>
    <row r="3935" spans="6:23" ht="24" customHeight="1">
      <c r="W3935" s="4"/>
    </row>
    <row r="3936" spans="6:23" ht="24" customHeight="1">
      <c r="G3936" s="7" t="s">
        <v>1942</v>
      </c>
      <c r="H3936" s="2" t="s">
        <v>1814</v>
      </c>
      <c r="W3936" s="4"/>
    </row>
    <row r="3937" spans="6:23" ht="24" customHeight="1">
      <c r="H3937" s="2" t="s">
        <v>1815</v>
      </c>
      <c r="W3937" s="4"/>
    </row>
    <row r="3938" spans="6:23" ht="24" customHeight="1">
      <c r="F3938" s="14">
        <v>3.6799999999999999E-2</v>
      </c>
      <c r="G3938" s="7" t="s">
        <v>885</v>
      </c>
      <c r="H3938" s="22" t="s">
        <v>4493</v>
      </c>
      <c r="I3938" s="8">
        <f t="shared" ref="I3938:I3945" si="377">I3920</f>
        <v>8708.7099999999991</v>
      </c>
      <c r="J3938" s="1" t="s">
        <v>885</v>
      </c>
      <c r="K3938" s="8">
        <f>F3938*I3938</f>
        <v>320.48</v>
      </c>
      <c r="W3938" s="4"/>
    </row>
    <row r="3939" spans="6:23" ht="46.5" customHeight="1">
      <c r="F3939" s="8">
        <v>4.87</v>
      </c>
      <c r="G3939" s="7" t="s">
        <v>1676</v>
      </c>
      <c r="H3939" s="1" t="s">
        <v>2111</v>
      </c>
      <c r="I3939" s="8">
        <f t="shared" si="377"/>
        <v>90172</v>
      </c>
      <c r="J3939" s="1" t="s">
        <v>877</v>
      </c>
      <c r="K3939" s="8">
        <f>F3939*I3939/1000</f>
        <v>439.14</v>
      </c>
      <c r="W3939" s="4"/>
    </row>
    <row r="3940" spans="6:23" ht="24" customHeight="1">
      <c r="F3940" s="8">
        <v>3</v>
      </c>
      <c r="G3940" s="7" t="s">
        <v>884</v>
      </c>
      <c r="H3940" s="1" t="s">
        <v>1208</v>
      </c>
      <c r="I3940" s="484">
        <f t="shared" si="377"/>
        <v>14.8</v>
      </c>
      <c r="J3940" s="1" t="s">
        <v>884</v>
      </c>
      <c r="K3940" s="8">
        <f t="shared" ref="K3940:K3947" si="378">F3940*I3940</f>
        <v>44.4</v>
      </c>
      <c r="W3940" s="4"/>
    </row>
    <row r="3941" spans="6:23" ht="24" customHeight="1">
      <c r="F3941" s="8">
        <v>12</v>
      </c>
      <c r="G3941" s="7" t="s">
        <v>884</v>
      </c>
      <c r="H3941" s="1" t="s">
        <v>1209</v>
      </c>
      <c r="I3941" s="484">
        <f t="shared" si="377"/>
        <v>2</v>
      </c>
      <c r="J3941" s="1" t="s">
        <v>884</v>
      </c>
      <c r="K3941" s="8">
        <f t="shared" si="378"/>
        <v>24</v>
      </c>
      <c r="W3941" s="4"/>
    </row>
    <row r="3942" spans="6:23" ht="24" customHeight="1">
      <c r="F3942" s="8">
        <v>2</v>
      </c>
      <c r="G3942" s="7" t="s">
        <v>884</v>
      </c>
      <c r="H3942" s="1" t="s">
        <v>1210</v>
      </c>
      <c r="I3942" s="484">
        <f t="shared" si="377"/>
        <v>4.9000000000000004</v>
      </c>
      <c r="J3942" s="1" t="s">
        <v>884</v>
      </c>
      <c r="K3942" s="8">
        <f t="shared" si="378"/>
        <v>9.8000000000000007</v>
      </c>
      <c r="W3942" s="4"/>
    </row>
    <row r="3943" spans="6:23" ht="24" customHeight="1">
      <c r="F3943" s="8">
        <v>6</v>
      </c>
      <c r="G3943" s="7" t="s">
        <v>884</v>
      </c>
      <c r="H3943" s="1" t="s">
        <v>2259</v>
      </c>
      <c r="I3943" s="484">
        <f t="shared" si="377"/>
        <v>4.45</v>
      </c>
      <c r="J3943" s="1" t="s">
        <v>884</v>
      </c>
      <c r="K3943" s="8">
        <f t="shared" si="378"/>
        <v>26.7</v>
      </c>
      <c r="W3943" s="4"/>
    </row>
    <row r="3944" spans="6:23" ht="24" customHeight="1">
      <c r="F3944" s="8">
        <v>1</v>
      </c>
      <c r="G3944" s="7" t="s">
        <v>884</v>
      </c>
      <c r="H3944" s="1" t="s">
        <v>1215</v>
      </c>
      <c r="I3944" s="8">
        <f t="shared" si="377"/>
        <v>1041.7</v>
      </c>
      <c r="J3944" s="1" t="s">
        <v>884</v>
      </c>
      <c r="K3944" s="8">
        <f t="shared" si="378"/>
        <v>1041.7</v>
      </c>
      <c r="W3944" s="4"/>
    </row>
    <row r="3945" spans="6:23" ht="24" customHeight="1">
      <c r="F3945" s="8">
        <v>1</v>
      </c>
      <c r="G3945" s="7" t="s">
        <v>884</v>
      </c>
      <c r="H3945" s="1" t="s">
        <v>1216</v>
      </c>
      <c r="I3945" s="8">
        <f t="shared" si="377"/>
        <v>679.8</v>
      </c>
      <c r="J3945" s="1" t="s">
        <v>884</v>
      </c>
      <c r="K3945" s="8">
        <f t="shared" si="378"/>
        <v>679.8</v>
      </c>
      <c r="W3945" s="4"/>
    </row>
    <row r="3946" spans="6:23" ht="24" customHeight="1">
      <c r="F3946" s="8">
        <v>1</v>
      </c>
      <c r="G3946" s="7" t="s">
        <v>884</v>
      </c>
      <c r="H3946" s="1" t="s">
        <v>1217</v>
      </c>
      <c r="I3946" s="480">
        <v>25</v>
      </c>
      <c r="J3946" s="1" t="s">
        <v>884</v>
      </c>
      <c r="K3946" s="8">
        <f t="shared" si="378"/>
        <v>25</v>
      </c>
      <c r="W3946" s="4"/>
    </row>
    <row r="3947" spans="6:23" ht="24" customHeight="1">
      <c r="F3947" s="8">
        <v>0.5</v>
      </c>
      <c r="G3947" s="7" t="s">
        <v>884</v>
      </c>
      <c r="H3947" s="1" t="s">
        <v>1218</v>
      </c>
      <c r="I3947" s="8">
        <f>I3929</f>
        <v>557.70000000000005</v>
      </c>
      <c r="J3947" s="1" t="s">
        <v>884</v>
      </c>
      <c r="K3947" s="8">
        <f t="shared" si="378"/>
        <v>278.85000000000002</v>
      </c>
      <c r="W3947" s="4"/>
    </row>
    <row r="3948" spans="6:23" ht="24" customHeight="1">
      <c r="G3948" s="7" t="s">
        <v>455</v>
      </c>
      <c r="H3948" s="1" t="s">
        <v>2177</v>
      </c>
      <c r="J3948" s="1" t="s">
        <v>455</v>
      </c>
      <c r="K3948" s="8">
        <f>1.9+0.08</f>
        <v>1.98</v>
      </c>
      <c r="W3948" s="4"/>
    </row>
    <row r="3949" spans="6:23" ht="24" customHeight="1">
      <c r="K3949" s="5" t="s">
        <v>1615</v>
      </c>
      <c r="W3949" s="4"/>
    </row>
    <row r="3950" spans="6:23" ht="24" customHeight="1">
      <c r="H3950" s="58" t="s">
        <v>287</v>
      </c>
      <c r="K3950" s="38">
        <f>SUM(K3938:K3948)</f>
        <v>2891.85</v>
      </c>
      <c r="L3950">
        <f>K3950-1729</f>
        <v>1162.8499999999999</v>
      </c>
      <c r="W3950" s="4"/>
    </row>
    <row r="3951" spans="6:23" ht="24" customHeight="1">
      <c r="K3951" s="5" t="s">
        <v>1615</v>
      </c>
      <c r="W3951" s="4"/>
    </row>
    <row r="3952" spans="6:23" ht="24" customHeight="1">
      <c r="F3952" s="2"/>
      <c r="G3952" s="7" t="s">
        <v>527</v>
      </c>
      <c r="H3952" s="2" t="s">
        <v>573</v>
      </c>
      <c r="W3952" s="4"/>
    </row>
    <row r="3953" spans="6:23" ht="24" customHeight="1">
      <c r="H3953" s="2" t="s">
        <v>1815</v>
      </c>
      <c r="W3953" s="4"/>
    </row>
    <row r="3954" spans="6:23" ht="24" customHeight="1">
      <c r="F3954" s="14">
        <v>3.5299999999999998E-2</v>
      </c>
      <c r="G3954" s="7" t="s">
        <v>885</v>
      </c>
      <c r="H3954" s="1" t="s">
        <v>2110</v>
      </c>
      <c r="I3954" s="8">
        <f t="shared" ref="I3954:I3959" si="379">I3938</f>
        <v>8708.7099999999991</v>
      </c>
      <c r="J3954" s="1" t="s">
        <v>885</v>
      </c>
      <c r="K3954" s="8">
        <f>F3954*I3954</f>
        <v>307.42</v>
      </c>
      <c r="W3954" s="4"/>
    </row>
    <row r="3955" spans="6:23" ht="24" customHeight="1">
      <c r="F3955" s="8">
        <v>4.59</v>
      </c>
      <c r="G3955" s="7" t="s">
        <v>1676</v>
      </c>
      <c r="H3955" s="1" t="s">
        <v>2111</v>
      </c>
      <c r="I3955" s="8">
        <f t="shared" si="379"/>
        <v>90172</v>
      </c>
      <c r="J3955" s="1" t="s">
        <v>877</v>
      </c>
      <c r="K3955" s="8">
        <f>F3955*I3955/1000</f>
        <v>413.89</v>
      </c>
      <c r="W3955" s="4"/>
    </row>
    <row r="3956" spans="6:23" ht="24" customHeight="1">
      <c r="F3956" s="8">
        <v>3</v>
      </c>
      <c r="G3956" s="7" t="s">
        <v>884</v>
      </c>
      <c r="H3956" s="1" t="s">
        <v>1208</v>
      </c>
      <c r="I3956" s="484">
        <f t="shared" si="379"/>
        <v>14.8</v>
      </c>
      <c r="J3956" s="1" t="s">
        <v>884</v>
      </c>
      <c r="K3956" s="8">
        <f t="shared" ref="K3956:K3963" si="380">F3956*I3956</f>
        <v>44.4</v>
      </c>
      <c r="W3956" s="4"/>
    </row>
    <row r="3957" spans="6:23" ht="24" customHeight="1">
      <c r="F3957" s="8">
        <v>12</v>
      </c>
      <c r="G3957" s="7" t="s">
        <v>884</v>
      </c>
      <c r="H3957" s="1" t="s">
        <v>1209</v>
      </c>
      <c r="I3957" s="484">
        <f t="shared" si="379"/>
        <v>2</v>
      </c>
      <c r="J3957" s="1" t="s">
        <v>884</v>
      </c>
      <c r="K3957" s="8">
        <f t="shared" si="380"/>
        <v>24</v>
      </c>
      <c r="W3957" s="4"/>
    </row>
    <row r="3958" spans="6:23" ht="24" customHeight="1">
      <c r="F3958" s="8">
        <v>2</v>
      </c>
      <c r="G3958" s="7" t="s">
        <v>884</v>
      </c>
      <c r="H3958" s="8" t="str">
        <f>H3942</f>
        <v>TOWER BOLT RECEIVER</v>
      </c>
      <c r="I3958" s="484">
        <f t="shared" si="379"/>
        <v>4.9000000000000004</v>
      </c>
      <c r="J3958" s="1" t="s">
        <v>884</v>
      </c>
      <c r="K3958" s="8">
        <f t="shared" si="380"/>
        <v>9.8000000000000007</v>
      </c>
      <c r="W3958" s="4"/>
    </row>
    <row r="3959" spans="6:23" ht="24" customHeight="1">
      <c r="F3959" s="8">
        <v>6</v>
      </c>
      <c r="G3959" s="7" t="s">
        <v>884</v>
      </c>
      <c r="H3959" s="1" t="s">
        <v>2259</v>
      </c>
      <c r="I3959" s="484">
        <f t="shared" si="379"/>
        <v>4.45</v>
      </c>
      <c r="J3959" s="1" t="s">
        <v>884</v>
      </c>
      <c r="K3959" s="8">
        <f t="shared" si="380"/>
        <v>26.7</v>
      </c>
      <c r="W3959" s="4"/>
    </row>
    <row r="3960" spans="6:23" ht="24" customHeight="1">
      <c r="F3960" s="8">
        <v>1</v>
      </c>
      <c r="G3960" s="7" t="s">
        <v>884</v>
      </c>
      <c r="H3960" s="1" t="s">
        <v>1215</v>
      </c>
      <c r="I3960" s="8">
        <f>I3944</f>
        <v>1041.7</v>
      </c>
      <c r="J3960" s="1" t="s">
        <v>884</v>
      </c>
      <c r="K3960" s="8">
        <f t="shared" si="380"/>
        <v>1041.7</v>
      </c>
      <c r="W3960" s="4"/>
    </row>
    <row r="3961" spans="6:23" ht="24" customHeight="1">
      <c r="F3961" s="8">
        <v>1</v>
      </c>
      <c r="G3961" s="7" t="s">
        <v>884</v>
      </c>
      <c r="H3961" s="1" t="s">
        <v>1216</v>
      </c>
      <c r="I3961" s="8">
        <f>I3945</f>
        <v>679.8</v>
      </c>
      <c r="J3961" s="1" t="s">
        <v>884</v>
      </c>
      <c r="K3961" s="8">
        <f t="shared" si="380"/>
        <v>679.8</v>
      </c>
      <c r="W3961" s="4"/>
    </row>
    <row r="3962" spans="6:23" ht="24" customHeight="1">
      <c r="F3962" s="8">
        <v>1</v>
      </c>
      <c r="G3962" s="7" t="s">
        <v>884</v>
      </c>
      <c r="H3962" s="8" t="str">
        <f>H3946</f>
        <v>MOULDING CHARGES</v>
      </c>
      <c r="I3962" s="8">
        <f>I3946</f>
        <v>25</v>
      </c>
      <c r="J3962" s="1" t="s">
        <v>884</v>
      </c>
      <c r="K3962" s="8">
        <f t="shared" si="380"/>
        <v>25</v>
      </c>
      <c r="W3962" s="4"/>
    </row>
    <row r="3963" spans="6:23" ht="24" customHeight="1">
      <c r="F3963" s="8">
        <v>0.5</v>
      </c>
      <c r="G3963" s="7" t="s">
        <v>884</v>
      </c>
      <c r="H3963" s="1" t="s">
        <v>1218</v>
      </c>
      <c r="I3963" s="8">
        <f>I3947</f>
        <v>557.70000000000005</v>
      </c>
      <c r="J3963" s="1" t="s">
        <v>884</v>
      </c>
      <c r="K3963" s="8">
        <f t="shared" si="380"/>
        <v>278.85000000000002</v>
      </c>
      <c r="W3963" s="4"/>
    </row>
    <row r="3964" spans="6:23" ht="24" customHeight="1">
      <c r="G3964" s="7" t="s">
        <v>455</v>
      </c>
      <c r="H3964" s="1" t="s">
        <v>2177</v>
      </c>
      <c r="I3964" s="8">
        <f>I3948</f>
        <v>0</v>
      </c>
      <c r="J3964" s="1" t="s">
        <v>455</v>
      </c>
      <c r="K3964" s="8">
        <v>1.39</v>
      </c>
      <c r="W3964" s="4"/>
    </row>
    <row r="3965" spans="6:23" ht="24" customHeight="1">
      <c r="K3965" s="5" t="s">
        <v>1615</v>
      </c>
      <c r="W3965" s="4"/>
    </row>
    <row r="3966" spans="6:23" ht="24" customHeight="1">
      <c r="H3966" s="58" t="s">
        <v>287</v>
      </c>
      <c r="K3966" s="38">
        <f>SUM(K3954:K3964)</f>
        <v>2852.95</v>
      </c>
      <c r="W3966" s="4"/>
    </row>
    <row r="3967" spans="6:23" ht="24" customHeight="1">
      <c r="K3967" s="5" t="s">
        <v>1615</v>
      </c>
      <c r="W3967" s="4"/>
    </row>
    <row r="3968" spans="6:23" ht="24" customHeight="1">
      <c r="W3968" s="4"/>
    </row>
    <row r="3969" spans="6:23" ht="24" customHeight="1">
      <c r="G3969"/>
      <c r="H3969" s="2" t="s">
        <v>1777</v>
      </c>
      <c r="J3969"/>
      <c r="K3969" s="5"/>
      <c r="W3969" s="4"/>
    </row>
    <row r="3970" spans="6:23" ht="24" customHeight="1">
      <c r="G3970"/>
      <c r="J3970"/>
      <c r="K3970" s="5"/>
      <c r="W3970" s="4"/>
    </row>
    <row r="3971" spans="6:23" ht="24" customHeight="1">
      <c r="F3971" s="14">
        <v>6.5000000000000002E-2</v>
      </c>
      <c r="G3971" s="7" t="s">
        <v>885</v>
      </c>
      <c r="H3971" s="1" t="s">
        <v>2110</v>
      </c>
      <c r="I3971" s="8">
        <f>I3954</f>
        <v>8708.7099999999991</v>
      </c>
      <c r="J3971" s="1" t="s">
        <v>885</v>
      </c>
      <c r="K3971" s="8">
        <f>I3971*F3971</f>
        <v>566.07000000000005</v>
      </c>
      <c r="W3971" s="4"/>
    </row>
    <row r="3972" spans="6:23" ht="24" customHeight="1">
      <c r="F3972" s="403">
        <v>8.4499999999999993</v>
      </c>
      <c r="G3972" s="7" t="s">
        <v>1676</v>
      </c>
      <c r="H3972" s="1" t="s">
        <v>2111</v>
      </c>
      <c r="I3972" s="8">
        <f t="shared" ref="I3972:I3981" si="381">I3955</f>
        <v>90172</v>
      </c>
      <c r="J3972" s="1" t="s">
        <v>877</v>
      </c>
      <c r="K3972" s="8">
        <f>I3972*F3972/1000</f>
        <v>761.95</v>
      </c>
      <c r="W3972" s="4"/>
    </row>
    <row r="3973" spans="6:23" ht="24" customHeight="1">
      <c r="F3973" s="8">
        <v>3</v>
      </c>
      <c r="G3973" s="7" t="s">
        <v>884</v>
      </c>
      <c r="H3973" s="1" t="s">
        <v>1208</v>
      </c>
      <c r="I3973" s="8">
        <f t="shared" si="381"/>
        <v>14.8</v>
      </c>
      <c r="J3973" s="1" t="s">
        <v>884</v>
      </c>
      <c r="K3973" s="8">
        <f t="shared" ref="K3973:K3980" si="382">I3973*F3973</f>
        <v>44.4</v>
      </c>
      <c r="W3973" s="4"/>
    </row>
    <row r="3974" spans="6:23" ht="24" customHeight="1">
      <c r="F3974" s="8">
        <v>12</v>
      </c>
      <c r="G3974" s="7" t="s">
        <v>884</v>
      </c>
      <c r="H3974" s="1" t="s">
        <v>1209</v>
      </c>
      <c r="I3974" s="8">
        <f t="shared" si="381"/>
        <v>2</v>
      </c>
      <c r="J3974" s="1" t="s">
        <v>884</v>
      </c>
      <c r="K3974" s="8">
        <f t="shared" si="382"/>
        <v>24</v>
      </c>
      <c r="W3974" s="4"/>
    </row>
    <row r="3975" spans="6:23" ht="24" customHeight="1">
      <c r="F3975" s="8">
        <v>2</v>
      </c>
      <c r="G3975" s="7" t="s">
        <v>884</v>
      </c>
      <c r="H3975" s="1" t="s">
        <v>1210</v>
      </c>
      <c r="I3975" s="8">
        <f t="shared" si="381"/>
        <v>4.9000000000000004</v>
      </c>
      <c r="J3975" s="1" t="s">
        <v>884</v>
      </c>
      <c r="K3975" s="8">
        <f t="shared" si="382"/>
        <v>9.8000000000000007</v>
      </c>
      <c r="W3975" s="4"/>
    </row>
    <row r="3976" spans="6:23" ht="24" customHeight="1">
      <c r="F3976" s="8">
        <v>6</v>
      </c>
      <c r="G3976" s="7" t="s">
        <v>884</v>
      </c>
      <c r="H3976" s="1" t="s">
        <v>2259</v>
      </c>
      <c r="I3976" s="8">
        <f t="shared" si="381"/>
        <v>4.45</v>
      </c>
      <c r="J3976" s="1" t="s">
        <v>884</v>
      </c>
      <c r="K3976" s="8">
        <f t="shared" si="382"/>
        <v>26.7</v>
      </c>
      <c r="W3976" s="4"/>
    </row>
    <row r="3977" spans="6:23" ht="24" customHeight="1">
      <c r="F3977" s="8">
        <v>1</v>
      </c>
      <c r="G3977" s="7" t="s">
        <v>884</v>
      </c>
      <c r="H3977" s="1" t="s">
        <v>1215</v>
      </c>
      <c r="I3977" s="8">
        <f t="shared" si="381"/>
        <v>1041.7</v>
      </c>
      <c r="J3977" s="1" t="s">
        <v>884</v>
      </c>
      <c r="K3977" s="8">
        <f t="shared" si="382"/>
        <v>1041.7</v>
      </c>
      <c r="W3977" s="4"/>
    </row>
    <row r="3978" spans="6:23" ht="24" customHeight="1">
      <c r="F3978" s="8">
        <v>1</v>
      </c>
      <c r="G3978" s="7" t="s">
        <v>884</v>
      </c>
      <c r="H3978" s="1" t="s">
        <v>1216</v>
      </c>
      <c r="I3978" s="8">
        <f t="shared" si="381"/>
        <v>679.8</v>
      </c>
      <c r="J3978" s="1" t="s">
        <v>884</v>
      </c>
      <c r="K3978" s="8">
        <f t="shared" si="382"/>
        <v>679.8</v>
      </c>
      <c r="W3978" s="4"/>
    </row>
    <row r="3979" spans="6:23" ht="24" customHeight="1">
      <c r="F3979" s="8">
        <v>1</v>
      </c>
      <c r="G3979" s="7" t="s">
        <v>884</v>
      </c>
      <c r="H3979" s="1" t="s">
        <v>1217</v>
      </c>
      <c r="I3979" s="8">
        <f t="shared" si="381"/>
        <v>25</v>
      </c>
      <c r="J3979" s="1" t="s">
        <v>884</v>
      </c>
      <c r="K3979" s="8">
        <f t="shared" si="382"/>
        <v>25</v>
      </c>
      <c r="W3979" s="4"/>
    </row>
    <row r="3980" spans="6:23" ht="24" customHeight="1">
      <c r="F3980" s="8">
        <v>0.5</v>
      </c>
      <c r="G3980" s="7" t="s">
        <v>884</v>
      </c>
      <c r="H3980" s="1" t="s">
        <v>1218</v>
      </c>
      <c r="I3980" s="8">
        <f t="shared" si="381"/>
        <v>557.70000000000005</v>
      </c>
      <c r="J3980" s="1" t="s">
        <v>884</v>
      </c>
      <c r="K3980" s="8">
        <f t="shared" si="382"/>
        <v>278.85000000000002</v>
      </c>
      <c r="W3980" s="4"/>
    </row>
    <row r="3981" spans="6:23" ht="24" customHeight="1">
      <c r="G3981" s="7" t="s">
        <v>455</v>
      </c>
      <c r="H3981" s="1" t="s">
        <v>2177</v>
      </c>
      <c r="I3981" s="8">
        <f t="shared" si="381"/>
        <v>0</v>
      </c>
      <c r="J3981" s="1" t="s">
        <v>455</v>
      </c>
      <c r="K3981" s="8">
        <v>2.1</v>
      </c>
      <c r="W3981" s="4"/>
    </row>
    <row r="3982" spans="6:23" ht="24" customHeight="1">
      <c r="K3982" s="5" t="s">
        <v>1615</v>
      </c>
      <c r="W3982" s="4"/>
    </row>
    <row r="3983" spans="6:23" ht="24" customHeight="1">
      <c r="H3983" s="58" t="s">
        <v>287</v>
      </c>
      <c r="K3983" s="404">
        <f>SUM(K3971:K3981)</f>
        <v>3460.37</v>
      </c>
      <c r="W3983" s="4"/>
    </row>
    <row r="3984" spans="6:23" ht="24" customHeight="1">
      <c r="K3984" s="5" t="s">
        <v>1615</v>
      </c>
      <c r="W3984" s="4"/>
    </row>
    <row r="3985" spans="6:23" ht="24" customHeight="1">
      <c r="F3985" s="1571" t="s">
        <v>4495</v>
      </c>
      <c r="G3985" s="1571"/>
      <c r="H3985" s="1571"/>
      <c r="I3985" s="578"/>
      <c r="J3985" s="578"/>
      <c r="W3985" s="4"/>
    </row>
    <row r="3986" spans="6:23" ht="24" customHeight="1">
      <c r="F3986" s="50"/>
      <c r="H3986" s="216" t="s">
        <v>4496</v>
      </c>
      <c r="W3986" s="4"/>
    </row>
    <row r="3987" spans="6:23" ht="24" customHeight="1">
      <c r="F3987" s="12">
        <v>4.88</v>
      </c>
      <c r="G3987" s="7" t="s">
        <v>929</v>
      </c>
      <c r="H3987" s="1" t="s">
        <v>1888</v>
      </c>
      <c r="I3987" s="8">
        <f>AB1350</f>
        <v>325</v>
      </c>
      <c r="J3987" s="7" t="s">
        <v>929</v>
      </c>
      <c r="K3987" s="8">
        <f t="shared" ref="K3987:K3996" si="383">I3987*F3987</f>
        <v>1586</v>
      </c>
      <c r="W3987" s="4"/>
    </row>
    <row r="3988" spans="6:23" ht="24" customHeight="1">
      <c r="F3988" s="12">
        <v>7.76</v>
      </c>
      <c r="G3988" s="7" t="s">
        <v>929</v>
      </c>
      <c r="H3988" s="1" t="s">
        <v>1888</v>
      </c>
      <c r="I3988" s="8">
        <f>I3987</f>
        <v>325</v>
      </c>
      <c r="J3988" s="7" t="s">
        <v>929</v>
      </c>
      <c r="K3988" s="8">
        <f t="shared" si="383"/>
        <v>2522</v>
      </c>
      <c r="W3988" s="4"/>
    </row>
    <row r="3989" spans="6:23" ht="24" customHeight="1">
      <c r="F3989" s="12">
        <v>3.03</v>
      </c>
      <c r="G3989" s="7" t="s">
        <v>929</v>
      </c>
      <c r="H3989" s="1" t="s">
        <v>1888</v>
      </c>
      <c r="I3989" s="8">
        <f>I3988</f>
        <v>325</v>
      </c>
      <c r="J3989" s="7" t="s">
        <v>929</v>
      </c>
      <c r="K3989" s="8">
        <f t="shared" si="383"/>
        <v>984.75</v>
      </c>
      <c r="W3989" s="4"/>
    </row>
    <row r="3990" spans="6:23" ht="24" customHeight="1">
      <c r="F3990" s="12">
        <v>1.45</v>
      </c>
      <c r="G3990" s="7" t="s">
        <v>929</v>
      </c>
      <c r="H3990" s="1" t="s">
        <v>1888</v>
      </c>
      <c r="I3990" s="8">
        <f>I3989</f>
        <v>325</v>
      </c>
      <c r="J3990" s="7" t="s">
        <v>929</v>
      </c>
      <c r="K3990" s="8">
        <f t="shared" si="383"/>
        <v>471.25</v>
      </c>
      <c r="W3990" s="4"/>
    </row>
    <row r="3991" spans="6:23" ht="24" customHeight="1">
      <c r="F3991" s="12">
        <v>2.4300000000000002</v>
      </c>
      <c r="G3991" s="7" t="s">
        <v>236</v>
      </c>
      <c r="H3991" s="1" t="s">
        <v>1889</v>
      </c>
      <c r="I3991" s="8">
        <f>AB1354</f>
        <v>306.89999999999998</v>
      </c>
      <c r="J3991" s="7" t="s">
        <v>236</v>
      </c>
      <c r="K3991" s="8">
        <f t="shared" si="383"/>
        <v>745.77</v>
      </c>
      <c r="W3991" s="4"/>
    </row>
    <row r="3992" spans="6:23" ht="24" customHeight="1">
      <c r="F3992" s="12">
        <v>11.7</v>
      </c>
      <c r="G3992" s="7" t="s">
        <v>842</v>
      </c>
      <c r="H3992" s="1" t="s">
        <v>1890</v>
      </c>
      <c r="I3992" s="8">
        <f>AB1355</f>
        <v>29.05</v>
      </c>
      <c r="J3992" s="7" t="s">
        <v>842</v>
      </c>
      <c r="K3992" s="8">
        <f t="shared" si="383"/>
        <v>339.89</v>
      </c>
      <c r="W3992" s="4"/>
    </row>
    <row r="3993" spans="6:23" ht="24" customHeight="1">
      <c r="F3993" s="12">
        <v>3</v>
      </c>
      <c r="G3993" s="7" t="s">
        <v>785</v>
      </c>
      <c r="H3993" s="1" t="s">
        <v>4497</v>
      </c>
      <c r="I3993" s="8">
        <v>350</v>
      </c>
      <c r="J3993" s="7" t="s">
        <v>785</v>
      </c>
      <c r="K3993" s="8">
        <f t="shared" si="383"/>
        <v>1050</v>
      </c>
      <c r="W3993" s="4"/>
    </row>
    <row r="3994" spans="6:23" ht="24" customHeight="1">
      <c r="F3994" s="12">
        <v>3</v>
      </c>
      <c r="G3994" s="7" t="s">
        <v>785</v>
      </c>
      <c r="H3994" s="1" t="s">
        <v>1892</v>
      </c>
      <c r="I3994" s="8">
        <f>V1359</f>
        <v>57.65</v>
      </c>
      <c r="J3994" s="7" t="s">
        <v>785</v>
      </c>
      <c r="K3994" s="8">
        <f t="shared" si="383"/>
        <v>172.95</v>
      </c>
      <c r="W3994" s="4"/>
    </row>
    <row r="3995" spans="6:23" ht="24" customHeight="1">
      <c r="F3995" s="12">
        <v>4</v>
      </c>
      <c r="G3995" s="7" t="s">
        <v>785</v>
      </c>
      <c r="H3995" s="1" t="s">
        <v>1895</v>
      </c>
      <c r="I3995" s="8">
        <f>AB1360</f>
        <v>15</v>
      </c>
      <c r="J3995" s="7" t="s">
        <v>785</v>
      </c>
      <c r="K3995" s="8">
        <f t="shared" si="383"/>
        <v>60</v>
      </c>
      <c r="W3995" s="4"/>
    </row>
    <row r="3996" spans="6:23" ht="24" customHeight="1">
      <c r="F3996" s="12">
        <v>2.4300000000000002</v>
      </c>
      <c r="G3996" s="7" t="s">
        <v>2322</v>
      </c>
      <c r="H3996" s="1" t="s">
        <v>1896</v>
      </c>
      <c r="I3996" s="8">
        <f>AB1361</f>
        <v>2085.6</v>
      </c>
      <c r="J3996" s="7" t="s">
        <v>785</v>
      </c>
      <c r="K3996" s="8">
        <f t="shared" si="383"/>
        <v>5068.01</v>
      </c>
      <c r="W3996" s="4"/>
    </row>
    <row r="3997" spans="6:23" ht="24" customHeight="1">
      <c r="F3997" s="50"/>
      <c r="H3997" s="1" t="s">
        <v>1897</v>
      </c>
      <c r="J3997" s="7"/>
      <c r="K3997" s="8"/>
      <c r="W3997" s="4"/>
    </row>
    <row r="3998" spans="6:23" ht="24" customHeight="1">
      <c r="F3998" s="50"/>
      <c r="G3998"/>
      <c r="H3998" s="41" t="s">
        <v>3615</v>
      </c>
      <c r="J3998"/>
      <c r="K3998" s="8">
        <f>SUM(K3987:K3997)</f>
        <v>13000.62</v>
      </c>
      <c r="W3998" s="4"/>
    </row>
    <row r="3999" spans="6:23" ht="24" customHeight="1">
      <c r="F3999" s="50"/>
      <c r="G3999"/>
      <c r="H3999" s="41" t="s">
        <v>4498</v>
      </c>
      <c r="J3999" s="7" t="s">
        <v>2322</v>
      </c>
      <c r="K3999" s="8">
        <f>K3998/F3996</f>
        <v>5350.05</v>
      </c>
      <c r="W3999" s="4"/>
    </row>
    <row r="4000" spans="6:23" ht="24" customHeight="1">
      <c r="F4000" s="50"/>
      <c r="G4000"/>
      <c r="J4000"/>
      <c r="K4000" s="38"/>
      <c r="W4000" s="4"/>
    </row>
    <row r="4001" spans="6:23" ht="24" customHeight="1">
      <c r="F4001" s="50"/>
      <c r="G4001"/>
      <c r="J4001"/>
      <c r="W4001" s="4"/>
    </row>
    <row r="4002" spans="6:23" ht="24" customHeight="1">
      <c r="F4002" s="579"/>
      <c r="G4002" s="644"/>
      <c r="H4002" s="1571" t="s">
        <v>4499</v>
      </c>
      <c r="I4002" s="1571"/>
      <c r="J4002" s="1571"/>
      <c r="K4002" s="1571"/>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929</v>
      </c>
      <c r="H4006" s="1" t="s">
        <v>1888</v>
      </c>
      <c r="I4006" s="8">
        <f>I3987</f>
        <v>325</v>
      </c>
      <c r="J4006" s="7" t="s">
        <v>929</v>
      </c>
      <c r="K4006" s="8">
        <f>I4006*F4006</f>
        <v>3926</v>
      </c>
      <c r="W4006" s="4"/>
    </row>
    <row r="4007" spans="6:23" ht="24" customHeight="1">
      <c r="F4007" s="15">
        <v>1.823</v>
      </c>
      <c r="G4007" s="7" t="s">
        <v>236</v>
      </c>
      <c r="H4007" s="1" t="s">
        <v>1889</v>
      </c>
      <c r="I4007" s="8">
        <f>I3991</f>
        <v>306.89999999999998</v>
      </c>
      <c r="J4007" s="7" t="s">
        <v>236</v>
      </c>
      <c r="K4007" s="8">
        <f t="shared" ref="K4007:K4012" si="384">I4007*F4007</f>
        <v>559.48</v>
      </c>
      <c r="W4007" s="4"/>
    </row>
    <row r="4008" spans="6:23" ht="24" customHeight="1">
      <c r="F4008" s="15">
        <v>8.1</v>
      </c>
      <c r="G4008" s="7" t="s">
        <v>842</v>
      </c>
      <c r="H4008" s="1" t="s">
        <v>1890</v>
      </c>
      <c r="I4008" s="8">
        <f>I3992</f>
        <v>29.05</v>
      </c>
      <c r="J4008" s="7" t="s">
        <v>842</v>
      </c>
      <c r="K4008" s="8">
        <f t="shared" si="384"/>
        <v>235.31</v>
      </c>
      <c r="W4008" s="4"/>
    </row>
    <row r="4009" spans="6:23" ht="24" customHeight="1">
      <c r="F4009" s="15">
        <v>2</v>
      </c>
      <c r="G4009" s="7" t="s">
        <v>4011</v>
      </c>
      <c r="H4009" s="1" t="s">
        <v>4500</v>
      </c>
      <c r="I4009" s="8">
        <f>I3993</f>
        <v>350</v>
      </c>
      <c r="J4009" s="7" t="s">
        <v>785</v>
      </c>
      <c r="K4009" s="8">
        <f t="shared" si="384"/>
        <v>700</v>
      </c>
      <c r="W4009" s="4"/>
    </row>
    <row r="4010" spans="6:23" ht="24" customHeight="1">
      <c r="F4010" s="15">
        <v>2</v>
      </c>
      <c r="G4010" s="7" t="s">
        <v>785</v>
      </c>
      <c r="H4010" s="1" t="s">
        <v>1892</v>
      </c>
      <c r="I4010" s="8">
        <f>I3994</f>
        <v>57.65</v>
      </c>
      <c r="J4010" s="7" t="s">
        <v>785</v>
      </c>
      <c r="K4010" s="8">
        <f t="shared" si="384"/>
        <v>115.3</v>
      </c>
      <c r="W4010" s="4"/>
    </row>
    <row r="4011" spans="6:23" ht="24" customHeight="1">
      <c r="F4011" s="15">
        <v>4</v>
      </c>
      <c r="G4011" s="7" t="s">
        <v>785</v>
      </c>
      <c r="H4011" s="1" t="s">
        <v>1895</v>
      </c>
      <c r="I4011" s="536">
        <v>15</v>
      </c>
      <c r="J4011" s="7" t="s">
        <v>785</v>
      </c>
      <c r="K4011" s="8">
        <f t="shared" si="384"/>
        <v>60</v>
      </c>
      <c r="W4011" s="4"/>
    </row>
    <row r="4012" spans="6:23" ht="24" customHeight="1">
      <c r="F4012" s="15">
        <v>1.823</v>
      </c>
      <c r="G4012" s="7" t="s">
        <v>2322</v>
      </c>
      <c r="H4012" s="1" t="s">
        <v>1896</v>
      </c>
      <c r="I4012" s="579">
        <f>I3996</f>
        <v>2085.6</v>
      </c>
      <c r="J4012" s="7" t="s">
        <v>2322</v>
      </c>
      <c r="K4012" s="8">
        <f t="shared" si="384"/>
        <v>3802.05</v>
      </c>
      <c r="W4012" s="4"/>
    </row>
    <row r="4013" spans="6:23" ht="24" customHeight="1">
      <c r="F4013" s="579"/>
      <c r="G4013" s="644"/>
      <c r="H4013" s="1"/>
      <c r="I4013" s="579"/>
      <c r="J4013" s="580"/>
      <c r="K4013" s="8"/>
      <c r="W4013" s="4"/>
    </row>
    <row r="4014" spans="6:23" ht="24" customHeight="1">
      <c r="F4014" s="579"/>
      <c r="G4014" s="579"/>
      <c r="H4014" s="6" t="s">
        <v>4501</v>
      </c>
      <c r="I4014" s="579"/>
      <c r="J4014" s="579"/>
      <c r="K4014" s="439">
        <f>SUM(K4006:K4013)</f>
        <v>9398.14</v>
      </c>
      <c r="W4014" s="4"/>
    </row>
    <row r="4015" spans="6:23" ht="24" customHeight="1">
      <c r="F4015" s="579"/>
      <c r="G4015" s="579"/>
      <c r="H4015" s="6" t="s">
        <v>4502</v>
      </c>
      <c r="I4015" s="579"/>
      <c r="J4015" s="579"/>
      <c r="K4015" s="647">
        <f>K4014/F4012</f>
        <v>5155.32</v>
      </c>
      <c r="W4015" s="4"/>
    </row>
    <row r="4016" spans="6:23" ht="24" customHeight="1">
      <c r="F4016" s="579"/>
      <c r="G4016" s="579"/>
      <c r="H4016" s="6"/>
      <c r="I4016" s="579"/>
      <c r="J4016" s="579"/>
      <c r="K4016" s="579"/>
      <c r="W4016" s="4"/>
    </row>
    <row r="4017" spans="6:23" ht="24" customHeight="1">
      <c r="F4017" s="50"/>
      <c r="H4017" s="216" t="s">
        <v>4503</v>
      </c>
      <c r="W4017" s="4"/>
    </row>
    <row r="4018" spans="6:23" ht="24" customHeight="1">
      <c r="F4018" s="12">
        <v>3.72</v>
      </c>
      <c r="G4018" s="7" t="s">
        <v>929</v>
      </c>
      <c r="H4018" s="1" t="s">
        <v>1888</v>
      </c>
      <c r="I4018" s="8">
        <f>I3987</f>
        <v>325</v>
      </c>
      <c r="J4018" s="7" t="s">
        <v>929</v>
      </c>
      <c r="K4018" s="8">
        <f>I4018*F4018</f>
        <v>1209</v>
      </c>
      <c r="W4018" s="4"/>
    </row>
    <row r="4019" spans="6:23" ht="24" customHeight="1">
      <c r="F4019" s="12">
        <v>4.57</v>
      </c>
      <c r="G4019" s="7" t="s">
        <v>929</v>
      </c>
      <c r="H4019" s="1" t="s">
        <v>1888</v>
      </c>
      <c r="I4019" s="8">
        <f>I4018</f>
        <v>325</v>
      </c>
      <c r="J4019" s="7" t="s">
        <v>929</v>
      </c>
      <c r="K4019" s="8">
        <f t="shared" ref="K4019:K4025" si="385">I4019*F4019</f>
        <v>1485.25</v>
      </c>
      <c r="W4019" s="4"/>
    </row>
    <row r="4020" spans="6:23" ht="24" customHeight="1">
      <c r="F4020" s="12">
        <v>1.18</v>
      </c>
      <c r="G4020" s="7" t="s">
        <v>929</v>
      </c>
      <c r="H4020" s="1" t="s">
        <v>1888</v>
      </c>
      <c r="I4020" s="8">
        <f>I4019</f>
        <v>325</v>
      </c>
      <c r="J4020" s="7" t="s">
        <v>929</v>
      </c>
      <c r="K4020" s="8">
        <f t="shared" si="385"/>
        <v>383.5</v>
      </c>
      <c r="W4020" s="4"/>
    </row>
    <row r="4021" spans="6:23" ht="24" customHeight="1">
      <c r="F4021" s="12">
        <v>0.86</v>
      </c>
      <c r="G4021" s="7" t="s">
        <v>929</v>
      </c>
      <c r="H4021" s="1" t="s">
        <v>1888</v>
      </c>
      <c r="I4021" s="8">
        <f>I4020</f>
        <v>325</v>
      </c>
      <c r="J4021" s="7" t="s">
        <v>929</v>
      </c>
      <c r="K4021" s="8">
        <f t="shared" si="385"/>
        <v>279.5</v>
      </c>
      <c r="W4021" s="4"/>
    </row>
    <row r="4022" spans="6:23" ht="24" customHeight="1">
      <c r="F4022" s="12">
        <v>1.42</v>
      </c>
      <c r="G4022" s="7" t="s">
        <v>236</v>
      </c>
      <c r="H4022" s="1" t="s">
        <v>1889</v>
      </c>
      <c r="I4022" s="8">
        <f t="shared" ref="I4022:I4027" si="386">I4007</f>
        <v>306.89999999999998</v>
      </c>
      <c r="J4022" s="7" t="s">
        <v>236</v>
      </c>
      <c r="K4022" s="8">
        <f t="shared" si="385"/>
        <v>435.8</v>
      </c>
      <c r="W4022" s="4"/>
    </row>
    <row r="4023" spans="6:23" ht="24" customHeight="1">
      <c r="F4023" s="12">
        <v>6.9</v>
      </c>
      <c r="G4023" s="7" t="s">
        <v>842</v>
      </c>
      <c r="H4023" s="1" t="s">
        <v>1890</v>
      </c>
      <c r="I4023" s="8">
        <f t="shared" si="386"/>
        <v>29.05</v>
      </c>
      <c r="J4023" s="7" t="s">
        <v>842</v>
      </c>
      <c r="K4023" s="8">
        <f t="shared" si="385"/>
        <v>200.45</v>
      </c>
      <c r="W4023" s="4"/>
    </row>
    <row r="4024" spans="6:23" ht="24" customHeight="1">
      <c r="F4024" s="12">
        <v>2</v>
      </c>
      <c r="G4024" s="7" t="s">
        <v>785</v>
      </c>
      <c r="H4024" s="1" t="s">
        <v>4500</v>
      </c>
      <c r="I4024" s="8">
        <f t="shared" si="386"/>
        <v>350</v>
      </c>
      <c r="J4024" s="7" t="s">
        <v>785</v>
      </c>
      <c r="K4024" s="8">
        <f t="shared" si="385"/>
        <v>700</v>
      </c>
      <c r="W4024" s="4"/>
    </row>
    <row r="4025" spans="6:23" ht="24" customHeight="1">
      <c r="F4025" s="12">
        <v>2</v>
      </c>
      <c r="G4025" s="7" t="s">
        <v>785</v>
      </c>
      <c r="H4025" s="1" t="s">
        <v>1892</v>
      </c>
      <c r="I4025" s="8">
        <f t="shared" si="386"/>
        <v>57.65</v>
      </c>
      <c r="J4025" s="7" t="s">
        <v>785</v>
      </c>
      <c r="K4025" s="8">
        <f t="shared" si="385"/>
        <v>115.3</v>
      </c>
      <c r="W4025" s="4"/>
    </row>
    <row r="4026" spans="6:23" ht="24" customHeight="1">
      <c r="F4026" s="12">
        <v>4</v>
      </c>
      <c r="G4026" s="7" t="s">
        <v>785</v>
      </c>
      <c r="H4026" s="1" t="s">
        <v>1895</v>
      </c>
      <c r="I4026" s="8">
        <f t="shared" si="386"/>
        <v>15</v>
      </c>
      <c r="J4026" s="7" t="s">
        <v>785</v>
      </c>
      <c r="K4026" s="8">
        <f>I4026*F4026</f>
        <v>60</v>
      </c>
      <c r="W4026" s="4"/>
    </row>
    <row r="4027" spans="6:23" ht="24" customHeight="1">
      <c r="F4027" s="12">
        <v>1.42</v>
      </c>
      <c r="G4027" s="7" t="s">
        <v>2322</v>
      </c>
      <c r="H4027" s="1" t="s">
        <v>1896</v>
      </c>
      <c r="I4027" s="8">
        <f t="shared" si="386"/>
        <v>2085.6</v>
      </c>
      <c r="J4027" s="7" t="s">
        <v>2322</v>
      </c>
      <c r="K4027" s="8">
        <f>I4027*F4027</f>
        <v>2961.55</v>
      </c>
      <c r="W4027" s="4"/>
    </row>
    <row r="4028" spans="6:23" ht="24" customHeight="1">
      <c r="F4028" s="50"/>
      <c r="H4028" s="1" t="s">
        <v>1897</v>
      </c>
      <c r="J4028" s="4"/>
      <c r="K4028" s="8"/>
      <c r="W4028" s="4"/>
    </row>
    <row r="4029" spans="6:23" ht="24" customHeight="1">
      <c r="F4029" s="50"/>
      <c r="G4029"/>
      <c r="H4029" s="41" t="s">
        <v>3615</v>
      </c>
      <c r="J4029"/>
      <c r="K4029" s="8">
        <f>SUM(K4018:K4028)</f>
        <v>7830.35</v>
      </c>
      <c r="W4029" s="4"/>
    </row>
    <row r="4030" spans="6:23" ht="24" customHeight="1">
      <c r="F4030" s="50"/>
      <c r="G4030"/>
      <c r="H4030" s="6" t="s">
        <v>4502</v>
      </c>
      <c r="J4030"/>
      <c r="K4030" s="36">
        <f>K4029/F4027</f>
        <v>5514.33</v>
      </c>
      <c r="W4030" s="4"/>
    </row>
    <row r="4031" spans="6:23" ht="24" customHeight="1">
      <c r="F4031" s="50"/>
      <c r="G4031"/>
      <c r="J4031"/>
      <c r="K4031" s="38"/>
      <c r="W4031" s="4"/>
    </row>
    <row r="4032" spans="6:23" ht="24" customHeight="1">
      <c r="F4032" s="50"/>
      <c r="G4032"/>
      <c r="H4032" s="216" t="s">
        <v>4504</v>
      </c>
      <c r="W4032" s="4"/>
    </row>
    <row r="4033" spans="6:23" ht="24" customHeight="1">
      <c r="F4033" s="566">
        <v>11.61</v>
      </c>
      <c r="G4033" s="567" t="s">
        <v>929</v>
      </c>
      <c r="H4033" s="568" t="s">
        <v>1888</v>
      </c>
      <c r="I4033" s="564">
        <f>I4018</f>
        <v>325</v>
      </c>
      <c r="J4033" s="567" t="s">
        <v>929</v>
      </c>
      <c r="K4033" s="564">
        <f>I4033*F4033</f>
        <v>3773.25</v>
      </c>
      <c r="W4033" s="4"/>
    </row>
    <row r="4034" spans="6:23" ht="24" customHeight="1">
      <c r="F4034" s="566">
        <v>7.8</v>
      </c>
      <c r="G4034" s="567" t="s">
        <v>842</v>
      </c>
      <c r="H4034" s="568" t="s">
        <v>4002</v>
      </c>
      <c r="I4034" s="564">
        <f>I4023</f>
        <v>29.05</v>
      </c>
      <c r="J4034" s="567" t="s">
        <v>842</v>
      </c>
      <c r="K4034" s="564">
        <f t="shared" ref="K4034:K4039" si="387">I4034*F4034</f>
        <v>226.59</v>
      </c>
      <c r="W4034" s="4"/>
    </row>
    <row r="4035" spans="6:23" ht="24" customHeight="1">
      <c r="F4035" s="566">
        <v>1.62</v>
      </c>
      <c r="G4035" s="567" t="s">
        <v>236</v>
      </c>
      <c r="H4035" s="568" t="s">
        <v>4003</v>
      </c>
      <c r="I4035" s="564">
        <f>I4022</f>
        <v>306.89999999999998</v>
      </c>
      <c r="J4035" s="567" t="s">
        <v>236</v>
      </c>
      <c r="K4035" s="564">
        <f t="shared" si="387"/>
        <v>497.18</v>
      </c>
      <c r="W4035" s="4"/>
    </row>
    <row r="4036" spans="6:23" ht="24" customHeight="1">
      <c r="F4036" s="566">
        <v>2</v>
      </c>
      <c r="G4036" s="567" t="s">
        <v>785</v>
      </c>
      <c r="H4036" s="568" t="s">
        <v>4004</v>
      </c>
      <c r="I4036" s="564">
        <f>I4025</f>
        <v>57.65</v>
      </c>
      <c r="J4036" s="567" t="s">
        <v>785</v>
      </c>
      <c r="K4036" s="564">
        <f t="shared" si="387"/>
        <v>115.3</v>
      </c>
      <c r="W4036" s="4"/>
    </row>
    <row r="4037" spans="6:23" ht="24" customHeight="1">
      <c r="F4037" s="566">
        <v>2</v>
      </c>
      <c r="G4037" s="567" t="s">
        <v>785</v>
      </c>
      <c r="H4037" s="568" t="s">
        <v>4505</v>
      </c>
      <c r="I4037" s="564">
        <f>I4024</f>
        <v>350</v>
      </c>
      <c r="J4037" s="567" t="s">
        <v>785</v>
      </c>
      <c r="K4037" s="564">
        <f t="shared" si="387"/>
        <v>700</v>
      </c>
      <c r="W4037" s="4"/>
    </row>
    <row r="4038" spans="6:23" ht="24" customHeight="1">
      <c r="F4038" s="566">
        <v>4</v>
      </c>
      <c r="G4038" s="567" t="s">
        <v>785</v>
      </c>
      <c r="H4038" s="568" t="s">
        <v>4006</v>
      </c>
      <c r="I4038" s="564">
        <f>I4026</f>
        <v>15</v>
      </c>
      <c r="J4038" s="567" t="s">
        <v>785</v>
      </c>
      <c r="K4038" s="564">
        <f t="shared" si="387"/>
        <v>60</v>
      </c>
      <c r="W4038" s="4"/>
    </row>
    <row r="4039" spans="6:23" ht="24" customHeight="1">
      <c r="F4039" s="566">
        <v>1.62</v>
      </c>
      <c r="G4039" s="567" t="s">
        <v>2322</v>
      </c>
      <c r="H4039" s="568" t="s">
        <v>4007</v>
      </c>
      <c r="I4039" s="564">
        <f>I4027</f>
        <v>2085.6</v>
      </c>
      <c r="J4039" s="567" t="s">
        <v>2322</v>
      </c>
      <c r="K4039" s="564">
        <f t="shared" si="387"/>
        <v>3378.67</v>
      </c>
      <c r="W4039" s="4"/>
    </row>
    <row r="4040" spans="6:23" ht="24" customHeight="1">
      <c r="F4040" s="562"/>
      <c r="G4040" s="569"/>
      <c r="H4040" s="568" t="s">
        <v>2310</v>
      </c>
      <c r="I4040" s="562"/>
      <c r="J4040" s="563"/>
      <c r="K4040" s="564"/>
      <c r="W4040" s="4"/>
    </row>
    <row r="4041" spans="6:23" ht="24" customHeight="1">
      <c r="F4041" s="562"/>
      <c r="G4041" s="562"/>
      <c r="H4041" s="41" t="s">
        <v>3615</v>
      </c>
      <c r="J4041"/>
      <c r="K4041" s="8">
        <f>SUM(K4033:K4040)</f>
        <v>8750.99</v>
      </c>
      <c r="W4041" s="4"/>
    </row>
    <row r="4042" spans="6:23" ht="24" customHeight="1">
      <c r="F4042" s="50"/>
      <c r="G4042"/>
      <c r="H4042" s="6" t="s">
        <v>4502</v>
      </c>
      <c r="J4042"/>
      <c r="K4042" s="36">
        <f>K4041/F4039</f>
        <v>5401.85</v>
      </c>
      <c r="W4042" s="4"/>
    </row>
    <row r="4043" spans="6:23" ht="24" customHeight="1">
      <c r="F4043" s="50"/>
      <c r="G4043"/>
      <c r="J4043"/>
      <c r="W4043" s="4"/>
    </row>
    <row r="4044" spans="6:23" ht="24" customHeight="1">
      <c r="W4044" s="4"/>
    </row>
    <row r="4045" spans="6:23" ht="24" customHeight="1">
      <c r="F4045" s="749"/>
      <c r="G4045" s="750"/>
      <c r="H4045" s="119" t="s">
        <v>4549</v>
      </c>
      <c r="I4045" s="749"/>
      <c r="J4045" s="751"/>
      <c r="K4045" s="749"/>
      <c r="L4045" s="50"/>
      <c r="M4045" s="50"/>
      <c r="W4045" s="4"/>
    </row>
    <row r="4046" spans="6:23" ht="24" customHeight="1">
      <c r="F4046" s="749"/>
      <c r="G4046" s="750"/>
      <c r="H4046" s="382" t="s">
        <v>4550</v>
      </c>
      <c r="I4046" s="749"/>
      <c r="J4046" s="751"/>
      <c r="K4046" s="749"/>
      <c r="L4046" s="50"/>
      <c r="M4046" s="50"/>
      <c r="W4046" s="4"/>
    </row>
    <row r="4047" spans="6:23" ht="24" customHeight="1">
      <c r="F4047" s="749"/>
      <c r="G4047" s="750"/>
      <c r="H4047" s="120" t="s">
        <v>1615</v>
      </c>
      <c r="I4047" s="749"/>
      <c r="J4047" s="751"/>
      <c r="K4047" s="749"/>
      <c r="L4047" s="50"/>
      <c r="M4047" s="50"/>
      <c r="W4047" s="4"/>
    </row>
    <row r="4048" spans="6:23" ht="24" customHeight="1">
      <c r="F4048" s="749"/>
      <c r="G4048" s="750"/>
      <c r="H4048" s="108" t="s">
        <v>4551</v>
      </c>
      <c r="I4048" s="579"/>
      <c r="J4048" s="579"/>
      <c r="K4048" s="579"/>
      <c r="L4048" s="50"/>
      <c r="M4048" s="50"/>
      <c r="W4048" s="4"/>
    </row>
    <row r="4049" spans="6:23" ht="24" customHeight="1">
      <c r="F4049" s="749"/>
      <c r="G4049" s="750"/>
      <c r="H4049" s="135" t="s">
        <v>4552</v>
      </c>
      <c r="I4049" s="612"/>
      <c r="J4049" s="384">
        <f>3*2*1.9*0.075*0.0375</f>
        <v>3.2099999999999997E-2</v>
      </c>
      <c r="K4049" s="749" t="s">
        <v>2190</v>
      </c>
      <c r="L4049" s="50"/>
      <c r="M4049" s="50"/>
      <c r="W4049" s="4"/>
    </row>
    <row r="4050" spans="6:23" ht="33.950000000000003" customHeight="1">
      <c r="F4050" s="749"/>
      <c r="G4050" s="750"/>
      <c r="H4050" s="119" t="s">
        <v>4553</v>
      </c>
      <c r="I4050" s="612"/>
      <c r="J4050" s="384">
        <f>3*2*0.5*0.075*0.0375</f>
        <v>8.3999999999999995E-3</v>
      </c>
      <c r="K4050" s="749" t="s">
        <v>2190</v>
      </c>
      <c r="L4050" s="50"/>
      <c r="M4050" s="50"/>
      <c r="W4050" s="4"/>
    </row>
    <row r="4051" spans="6:23" ht="33.950000000000003" customHeight="1">
      <c r="F4051" s="749"/>
      <c r="G4051" s="750"/>
      <c r="H4051" s="119"/>
      <c r="I4051" s="752"/>
      <c r="J4051" s="120" t="s">
        <v>1615</v>
      </c>
      <c r="K4051" s="130"/>
      <c r="L4051" s="50"/>
      <c r="M4051" s="50"/>
      <c r="W4051" s="4"/>
    </row>
    <row r="4052" spans="6:23" ht="24" customHeight="1">
      <c r="F4052" s="749"/>
      <c r="G4052" s="750"/>
      <c r="H4052" s="749"/>
      <c r="I4052" s="749"/>
      <c r="J4052" s="753">
        <f>SUM(J4049:J4051)</f>
        <v>4.0500000000000001E-2</v>
      </c>
      <c r="K4052" s="579" t="s">
        <v>2190</v>
      </c>
      <c r="L4052" s="50"/>
      <c r="M4052" s="50"/>
      <c r="W4052" s="4"/>
    </row>
    <row r="4053" spans="6:23" ht="24" customHeight="1">
      <c r="F4053" s="749"/>
      <c r="G4053" s="750"/>
      <c r="H4053" s="749"/>
      <c r="I4053" s="749"/>
      <c r="J4053" s="120" t="s">
        <v>1615</v>
      </c>
      <c r="K4053" s="579"/>
      <c r="L4053" s="50"/>
      <c r="M4053" s="50"/>
      <c r="W4053" s="4"/>
    </row>
    <row r="4054" spans="6:23" ht="24" customHeight="1">
      <c r="F4054" s="749"/>
      <c r="G4054" s="750"/>
      <c r="H4054" s="119" t="s">
        <v>453</v>
      </c>
      <c r="I4054" s="612"/>
      <c r="J4054" s="612"/>
      <c r="K4054" s="612"/>
      <c r="L4054" s="50"/>
      <c r="M4054" s="50"/>
      <c r="W4054" s="4"/>
    </row>
    <row r="4055" spans="6:23" ht="24" customHeight="1">
      <c r="F4055" s="749"/>
      <c r="G4055" s="750"/>
      <c r="H4055" s="119" t="s">
        <v>4554</v>
      </c>
      <c r="I4055" s="386"/>
      <c r="J4055" s="383">
        <f>3*1.9*0.5</f>
        <v>2.85</v>
      </c>
      <c r="K4055" s="7" t="s">
        <v>621</v>
      </c>
      <c r="L4055" s="50"/>
      <c r="M4055" s="50"/>
      <c r="W4055" s="4"/>
    </row>
    <row r="4056" spans="6:23" ht="24" customHeight="1">
      <c r="F4056" s="749"/>
      <c r="G4056" s="750"/>
      <c r="H4056" s="119"/>
      <c r="I4056" s="386"/>
      <c r="J4056" s="383"/>
      <c r="K4056" s="130"/>
      <c r="L4056" s="50"/>
      <c r="M4056" s="50"/>
      <c r="W4056" s="4"/>
    </row>
    <row r="4057" spans="6:23" ht="24" customHeight="1">
      <c r="F4057" s="749"/>
      <c r="G4057" s="750"/>
      <c r="H4057" s="119" t="s">
        <v>4555</v>
      </c>
      <c r="I4057" s="386"/>
      <c r="J4057" s="383"/>
      <c r="K4057" s="130"/>
      <c r="L4057" s="50"/>
      <c r="M4057" s="50"/>
      <c r="W4057" s="4"/>
    </row>
    <row r="4058" spans="6:23" ht="33.950000000000003" customHeight="1">
      <c r="F4058" s="749"/>
      <c r="G4058" s="750"/>
      <c r="H4058" s="119" t="s">
        <v>4556</v>
      </c>
      <c r="I4058" s="386"/>
      <c r="J4058" s="384">
        <f>3*1.775*0.375</f>
        <v>1.9968999999999999</v>
      </c>
      <c r="K4058" s="130" t="str">
        <f>K4055</f>
        <v>SQM</v>
      </c>
      <c r="L4058" s="50"/>
      <c r="M4058" s="50"/>
      <c r="W4058" s="4"/>
    </row>
    <row r="4059" spans="6:23" ht="33.950000000000003" customHeight="1">
      <c r="F4059" s="749"/>
      <c r="G4059" s="750"/>
      <c r="H4059" s="119" t="s">
        <v>4557</v>
      </c>
      <c r="I4059" s="749"/>
      <c r="J4059" s="391"/>
      <c r="K4059" s="135"/>
      <c r="L4059" s="50"/>
      <c r="M4059" s="50"/>
      <c r="W4059" s="4"/>
    </row>
    <row r="4060" spans="6:23" ht="33.950000000000003" customHeight="1">
      <c r="F4060" s="136"/>
      <c r="G4060" s="750"/>
      <c r="H4060" s="119" t="s">
        <v>4558</v>
      </c>
      <c r="I4060" s="386"/>
      <c r="J4060" s="754">
        <f>1.775+0.375</f>
        <v>2.15</v>
      </c>
      <c r="K4060" s="130"/>
      <c r="L4060" s="121"/>
      <c r="M4060" s="50"/>
      <c r="W4060" s="4"/>
    </row>
    <row r="4061" spans="6:23" ht="33.950000000000003" customHeight="1">
      <c r="F4061" s="136"/>
      <c r="G4061" s="750"/>
      <c r="H4061" s="749"/>
      <c r="I4061" s="755"/>
      <c r="J4061" s="140">
        <f>J4060*6</f>
        <v>12.9</v>
      </c>
      <c r="K4061" s="121" t="s">
        <v>842</v>
      </c>
      <c r="L4061" s="121"/>
      <c r="M4061" s="50"/>
      <c r="W4061" s="4"/>
    </row>
    <row r="4062" spans="6:23" ht="33.950000000000003" customHeight="1">
      <c r="F4062" s="136"/>
      <c r="G4062" s="750"/>
      <c r="H4062" s="756" t="s">
        <v>4559</v>
      </c>
      <c r="I4062" s="755"/>
      <c r="J4062" s="117"/>
      <c r="K4062" s="121"/>
      <c r="L4062" s="121"/>
      <c r="M4062" s="50"/>
      <c r="W4062" s="4"/>
    </row>
    <row r="4063" spans="6:23" ht="33.950000000000003" customHeight="1">
      <c r="F4063" s="132"/>
      <c r="G4063" s="750"/>
      <c r="H4063" s="108" t="s">
        <v>4560</v>
      </c>
      <c r="I4063" s="612"/>
      <c r="J4063" s="121"/>
      <c r="K4063" s="751"/>
      <c r="L4063" s="121"/>
      <c r="M4063" s="50"/>
      <c r="W4063" s="4"/>
    </row>
    <row r="4064" spans="6:23" ht="33.950000000000003" customHeight="1">
      <c r="F4064" s="130">
        <f>J4052</f>
        <v>4.0500000000000001E-2</v>
      </c>
      <c r="G4064" s="119" t="s">
        <v>885</v>
      </c>
      <c r="H4064" s="119" t="s">
        <v>4561</v>
      </c>
      <c r="I4064" s="121">
        <f>V3114</f>
        <v>99400</v>
      </c>
      <c r="J4064" s="117" t="s">
        <v>885</v>
      </c>
      <c r="K4064" s="121">
        <f>(F4064*I4064)</f>
        <v>4025.7</v>
      </c>
      <c r="L4064" s="121"/>
      <c r="M4064" s="50"/>
      <c r="W4064" s="4"/>
    </row>
    <row r="4065" spans="6:23" ht="33.950000000000003" customHeight="1">
      <c r="F4065" s="130">
        <f>J4055</f>
        <v>2.85</v>
      </c>
      <c r="G4065" s="7" t="s">
        <v>621</v>
      </c>
      <c r="H4065" s="119" t="s">
        <v>453</v>
      </c>
      <c r="I4065" s="121">
        <f>V3116</f>
        <v>1498.2</v>
      </c>
      <c r="J4065" s="7" t="s">
        <v>621</v>
      </c>
      <c r="K4065" s="121">
        <f>(F4065*I4065)</f>
        <v>4269.87</v>
      </c>
      <c r="L4065" s="121"/>
      <c r="M4065" s="50"/>
      <c r="W4065" s="4"/>
    </row>
    <row r="4066" spans="6:23" ht="33.950000000000003" customHeight="1">
      <c r="F4066" s="130">
        <f>J4058</f>
        <v>1.9968999999999999</v>
      </c>
      <c r="G4066" s="7" t="s">
        <v>621</v>
      </c>
      <c r="H4066" s="119" t="s">
        <v>4555</v>
      </c>
      <c r="I4066" s="121">
        <f>V3115</f>
        <v>306.89999999999998</v>
      </c>
      <c r="J4066" s="7" t="s">
        <v>621</v>
      </c>
      <c r="K4066" s="121">
        <f t="shared" ref="K4066:K4072" si="388">(F4066*I4066)</f>
        <v>612.85</v>
      </c>
      <c r="L4066" s="121"/>
      <c r="M4066" s="50"/>
      <c r="W4066" s="4"/>
    </row>
    <row r="4067" spans="6:23" ht="33.950000000000003" customHeight="1">
      <c r="F4067" s="121">
        <f>J4061</f>
        <v>12.9</v>
      </c>
      <c r="G4067" s="121" t="s">
        <v>842</v>
      </c>
      <c r="H4067" s="108" t="s">
        <v>4562</v>
      </c>
      <c r="I4067" s="121">
        <f t="shared" ref="I4067:I4072" si="389">V3117</f>
        <v>15.45</v>
      </c>
      <c r="J4067" s="121" t="s">
        <v>842</v>
      </c>
      <c r="K4067" s="121">
        <f t="shared" si="388"/>
        <v>199.31</v>
      </c>
      <c r="L4067" s="121"/>
      <c r="M4067" s="50"/>
      <c r="W4067" s="4"/>
    </row>
    <row r="4068" spans="6:23" ht="33.950000000000003" customHeight="1">
      <c r="F4068" s="121">
        <v>9</v>
      </c>
      <c r="G4068" s="7" t="s">
        <v>884</v>
      </c>
      <c r="H4068" s="1" t="s">
        <v>1543</v>
      </c>
      <c r="I4068" s="121">
        <f t="shared" si="389"/>
        <v>89.6</v>
      </c>
      <c r="J4068" s="1" t="s">
        <v>884</v>
      </c>
      <c r="K4068" s="121">
        <f t="shared" si="388"/>
        <v>806.4</v>
      </c>
      <c r="L4068" s="121"/>
      <c r="M4068" s="50"/>
      <c r="W4068" s="4"/>
    </row>
    <row r="4069" spans="6:23" ht="33.950000000000003" customHeight="1">
      <c r="F4069" s="121">
        <v>6</v>
      </c>
      <c r="G4069" s="7" t="s">
        <v>884</v>
      </c>
      <c r="H4069" s="1" t="s">
        <v>3626</v>
      </c>
      <c r="I4069" s="121">
        <f t="shared" si="389"/>
        <v>82.25</v>
      </c>
      <c r="J4069" s="1" t="s">
        <v>884</v>
      </c>
      <c r="K4069" s="121">
        <f t="shared" si="388"/>
        <v>493.5</v>
      </c>
      <c r="L4069" s="121"/>
      <c r="M4069" s="50"/>
      <c r="W4069" s="4"/>
    </row>
    <row r="4070" spans="6:23" ht="33.950000000000003" customHeight="1">
      <c r="F4070" s="121">
        <v>3</v>
      </c>
      <c r="G4070" s="7" t="s">
        <v>884</v>
      </c>
      <c r="H4070" s="1" t="s">
        <v>3627</v>
      </c>
      <c r="I4070" s="121">
        <f t="shared" si="389"/>
        <v>57.65</v>
      </c>
      <c r="J4070" s="1" t="s">
        <v>884</v>
      </c>
      <c r="K4070" s="121">
        <f t="shared" si="388"/>
        <v>172.95</v>
      </c>
      <c r="L4070" s="121"/>
      <c r="M4070" s="50"/>
      <c r="W4070" s="4"/>
    </row>
    <row r="4071" spans="6:23" ht="33.950000000000003" customHeight="1">
      <c r="F4071" s="121">
        <v>3</v>
      </c>
      <c r="G4071" s="7" t="s">
        <v>884</v>
      </c>
      <c r="H4071" s="1" t="s">
        <v>2016</v>
      </c>
      <c r="I4071" s="121">
        <f t="shared" si="389"/>
        <v>7.3</v>
      </c>
      <c r="J4071" s="1" t="s">
        <v>884</v>
      </c>
      <c r="K4071" s="121">
        <f t="shared" si="388"/>
        <v>21.9</v>
      </c>
      <c r="L4071" s="121"/>
      <c r="M4071" s="50"/>
      <c r="W4071" s="4"/>
    </row>
    <row r="4072" spans="6:23" ht="33.950000000000003" customHeight="1">
      <c r="F4072" s="121">
        <v>120</v>
      </c>
      <c r="G4072" s="7" t="s">
        <v>884</v>
      </c>
      <c r="H4072" s="1" t="s">
        <v>4563</v>
      </c>
      <c r="I4072" s="121">
        <f t="shared" si="389"/>
        <v>2.41</v>
      </c>
      <c r="J4072" s="1" t="s">
        <v>884</v>
      </c>
      <c r="K4072" s="121">
        <f t="shared" si="388"/>
        <v>289.2</v>
      </c>
      <c r="L4072" s="121"/>
      <c r="M4072" s="50"/>
      <c r="W4072" s="4"/>
    </row>
    <row r="4073" spans="6:23" ht="33.950000000000003" customHeight="1">
      <c r="F4073" s="121"/>
      <c r="G4073" s="118"/>
      <c r="H4073" s="119"/>
      <c r="I4073" s="612"/>
      <c r="J4073" s="121"/>
      <c r="K4073" s="120" t="s">
        <v>1615</v>
      </c>
      <c r="L4073" s="121"/>
      <c r="M4073" s="50"/>
      <c r="W4073" s="4"/>
    </row>
    <row r="4074" spans="6:23" ht="33.950000000000003" customHeight="1">
      <c r="F4074" s="749"/>
      <c r="G4074" s="750"/>
      <c r="H4074" s="119" t="s">
        <v>4564</v>
      </c>
      <c r="I4074" s="612"/>
      <c r="J4074" s="117"/>
      <c r="K4074" s="752">
        <f>SUM(K4064:K4073)</f>
        <v>10891.68</v>
      </c>
      <c r="L4074" s="392"/>
      <c r="M4074" s="50"/>
      <c r="W4074" s="4"/>
    </row>
    <row r="4075" spans="6:23" ht="33.950000000000003" customHeight="1">
      <c r="F4075" s="749"/>
      <c r="G4075" s="750"/>
      <c r="H4075" s="612"/>
      <c r="I4075" s="121"/>
      <c r="J4075" s="751"/>
      <c r="K4075" s="120" t="s">
        <v>1615</v>
      </c>
      <c r="L4075" s="612"/>
      <c r="M4075" s="50"/>
      <c r="W4075" s="4"/>
    </row>
    <row r="4076" spans="6:23" ht="33.950000000000003" customHeight="1">
      <c r="F4076" s="749"/>
      <c r="G4076" s="750"/>
      <c r="H4076" s="752" t="s">
        <v>4219</v>
      </c>
      <c r="I4076" s="121"/>
      <c r="J4076" s="751"/>
      <c r="K4076" s="624">
        <f>K4074/F4065</f>
        <v>3821.64</v>
      </c>
      <c r="L4076" s="121">
        <f>SUM(L4060:L4075)</f>
        <v>0</v>
      </c>
      <c r="M4076" s="50"/>
      <c r="W4076" s="4"/>
    </row>
    <row r="4077" spans="6:23" ht="33.950000000000003" customHeight="1">
      <c r="F4077" s="749"/>
      <c r="G4077" s="750"/>
      <c r="H4077" s="749"/>
      <c r="I4077" s="121"/>
      <c r="J4077" s="751"/>
      <c r="K4077" s="612"/>
      <c r="L4077" s="612"/>
      <c r="M4077" s="50"/>
      <c r="W4077" s="4"/>
    </row>
    <row r="4078" spans="6:23" ht="33.950000000000003" customHeight="1">
      <c r="F4078" s="749"/>
      <c r="G4078" s="750"/>
      <c r="H4078" s="108"/>
      <c r="I4078" s="749"/>
      <c r="J4078" s="1565"/>
      <c r="K4078" s="1565"/>
      <c r="L4078" s="1565"/>
      <c r="M4078" s="1565"/>
      <c r="W4078" s="4"/>
    </row>
    <row r="4079" spans="6:23" ht="24" customHeight="1">
      <c r="F4079" s="579"/>
      <c r="G4079" s="579"/>
      <c r="H4079" s="579"/>
      <c r="I4079" s="579"/>
      <c r="J4079" s="579"/>
      <c r="K4079" s="579"/>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72" orientation="portrait"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filterMode="1">
    <tabColor rgb="FF00B050"/>
  </sheetPr>
  <dimension ref="A1:AA13787"/>
  <sheetViews>
    <sheetView showZeros="0" view="pageBreakPreview" zoomScale="70" zoomScaleNormal="40" zoomScaleSheetLayoutView="70" workbookViewId="0">
      <pane xSplit="4" ySplit="4" topLeftCell="E1052" activePane="bottomRight" state="frozen"/>
      <selection pane="topRight" activeCell="E1" sqref="E1"/>
      <selection pane="bottomLeft" activeCell="A5" sqref="A5"/>
      <selection pane="bottomRight" activeCell="G1053" sqref="G1053"/>
    </sheetView>
  </sheetViews>
  <sheetFormatPr defaultRowHeight="70.5" customHeight="1"/>
  <cols>
    <col min="1" max="1" width="10" style="1382" customWidth="1"/>
    <col min="2" max="2" width="74.33203125" style="1381" customWidth="1"/>
    <col min="3" max="3" width="18.5546875" style="812" customWidth="1"/>
    <col min="4" max="4" width="11" style="1382" customWidth="1"/>
    <col min="5" max="5" width="15.88671875" style="1380" customWidth="1"/>
    <col min="6" max="6" width="20.44140625" style="1383" customWidth="1"/>
    <col min="7" max="7" width="17" style="1384" customWidth="1"/>
    <col min="8" max="8" width="20.44140625" style="1383" customWidth="1"/>
    <col min="9" max="10" width="20.44140625" style="1318" hidden="1" customWidth="1"/>
    <col min="11" max="11" width="17.33203125" style="1384" customWidth="1"/>
    <col min="12" max="12" width="19.44140625" style="1383" customWidth="1"/>
    <col min="13" max="13" width="19" style="1385" customWidth="1"/>
    <col min="14" max="14" width="18" style="1322" customWidth="1"/>
    <col min="15" max="15" width="19.33203125" style="1376" customWidth="1"/>
    <col min="16" max="16" width="20.88671875" style="1322" customWidth="1"/>
    <col min="17" max="17" width="19" style="1376" customWidth="1"/>
    <col min="18" max="22" width="21.109375" style="1322" customWidth="1"/>
    <col min="23" max="23" width="15.33203125" style="1322" customWidth="1"/>
    <col min="24" max="26" width="8.88671875" style="1322"/>
    <col min="27" max="27" width="11.77734375" style="1322" bestFit="1" customWidth="1"/>
    <col min="28" max="16384" width="8.88671875" style="1322"/>
  </cols>
  <sheetData>
    <row r="1" spans="1:27" ht="70.5" customHeight="1">
      <c r="A1" s="1591" t="s">
        <v>6142</v>
      </c>
      <c r="B1" s="1592"/>
      <c r="C1" s="1593"/>
      <c r="D1" s="1594"/>
      <c r="E1" s="1595"/>
      <c r="F1" s="1595"/>
      <c r="G1" s="1595"/>
      <c r="H1" s="1595"/>
      <c r="I1" s="1596"/>
      <c r="J1" s="1596"/>
      <c r="K1" s="1595"/>
      <c r="L1" s="1595"/>
      <c r="M1" s="1595"/>
      <c r="N1" s="1595"/>
      <c r="O1" s="1595"/>
      <c r="P1" s="1595"/>
      <c r="Q1" s="1595"/>
      <c r="R1" s="1595"/>
    </row>
    <row r="2" spans="1:27" s="1337" customFormat="1" ht="67.5" customHeight="1">
      <c r="A2" s="1597" t="s">
        <v>227</v>
      </c>
      <c r="B2" s="1589" t="s">
        <v>1811</v>
      </c>
      <c r="C2" s="1598" t="s">
        <v>4932</v>
      </c>
      <c r="D2" s="1589" t="s">
        <v>225</v>
      </c>
      <c r="E2" s="1589" t="s">
        <v>5967</v>
      </c>
      <c r="F2" s="1589"/>
      <c r="G2" s="1589" t="s">
        <v>5995</v>
      </c>
      <c r="H2" s="1589"/>
      <c r="I2" s="1600" t="s">
        <v>5996</v>
      </c>
      <c r="J2" s="1601"/>
      <c r="K2" s="1589" t="s">
        <v>6089</v>
      </c>
      <c r="L2" s="1589"/>
      <c r="M2" s="1589" t="s">
        <v>5945</v>
      </c>
      <c r="N2" s="1589"/>
      <c r="O2" s="1599" t="s">
        <v>5924</v>
      </c>
      <c r="P2" s="1589"/>
      <c r="Q2" s="1589" t="s">
        <v>5925</v>
      </c>
      <c r="R2" s="1589"/>
      <c r="S2" s="1590" t="s">
        <v>4877</v>
      </c>
      <c r="T2" s="1589"/>
      <c r="U2" s="1589" t="s">
        <v>5885</v>
      </c>
      <c r="V2" s="1589"/>
    </row>
    <row r="3" spans="1:27" s="1337" customFormat="1" ht="48.75" customHeight="1">
      <c r="A3" s="1597"/>
      <c r="B3" s="1589"/>
      <c r="C3" s="1598"/>
      <c r="D3" s="1589"/>
      <c r="E3" s="1402" t="s">
        <v>1059</v>
      </c>
      <c r="F3" s="1386" t="s">
        <v>991</v>
      </c>
      <c r="G3" s="1387" t="s">
        <v>1059</v>
      </c>
      <c r="H3" s="1386" t="s">
        <v>991</v>
      </c>
      <c r="I3" s="1247" t="s">
        <v>1059</v>
      </c>
      <c r="J3" s="1404" t="s">
        <v>991</v>
      </c>
      <c r="K3" s="1387" t="s">
        <v>1059</v>
      </c>
      <c r="L3" s="1386" t="s">
        <v>991</v>
      </c>
      <c r="M3" s="1387" t="s">
        <v>1059</v>
      </c>
      <c r="N3" s="1386" t="s">
        <v>991</v>
      </c>
      <c r="O3" s="1387" t="s">
        <v>1059</v>
      </c>
      <c r="P3" s="1386" t="s">
        <v>991</v>
      </c>
      <c r="Q3" s="1386" t="s">
        <v>1059</v>
      </c>
      <c r="R3" s="1386" t="s">
        <v>991</v>
      </c>
      <c r="S3" s="1338" t="s">
        <v>1059</v>
      </c>
      <c r="T3" s="1331" t="s">
        <v>991</v>
      </c>
      <c r="U3" s="1331" t="s">
        <v>1059</v>
      </c>
      <c r="V3" s="1331" t="s">
        <v>991</v>
      </c>
    </row>
    <row r="4" spans="1:27" ht="25.5" customHeight="1">
      <c r="A4" s="1134"/>
      <c r="B4" s="1332"/>
      <c r="C4" s="1500"/>
      <c r="D4" s="1134"/>
      <c r="E4" s="1333"/>
      <c r="F4" s="1333"/>
      <c r="G4" s="1334"/>
      <c r="H4" s="1333"/>
      <c r="I4" s="1311"/>
      <c r="J4" s="1405"/>
      <c r="K4" s="1334"/>
      <c r="L4" s="1333"/>
      <c r="M4" s="1334"/>
      <c r="N4" s="1339"/>
      <c r="O4" s="1340"/>
      <c r="P4" s="1339"/>
      <c r="Q4" s="1340"/>
      <c r="R4" s="1339"/>
    </row>
    <row r="5" spans="1:27" ht="45.75" customHeight="1">
      <c r="A5" s="1486">
        <v>1.1000000000000001</v>
      </c>
      <c r="B5" s="1198" t="s">
        <v>4075</v>
      </c>
      <c r="C5" s="1501"/>
      <c r="D5" s="1110" t="s">
        <v>992</v>
      </c>
      <c r="E5" s="1109"/>
      <c r="F5" s="1125"/>
      <c r="G5" s="1335"/>
      <c r="H5" s="1125"/>
      <c r="I5" s="1312"/>
      <c r="J5" s="1406"/>
      <c r="K5" s="1335"/>
      <c r="L5" s="1125"/>
      <c r="M5" s="1335"/>
      <c r="N5" s="1339"/>
      <c r="O5" s="1340"/>
      <c r="P5" s="1339"/>
      <c r="Q5" s="1341" t="s">
        <v>2290</v>
      </c>
      <c r="R5" s="1339"/>
    </row>
    <row r="6" spans="1:27" ht="41.25" customHeight="1">
      <c r="A6" s="1486"/>
      <c r="B6" s="1198" t="s">
        <v>2014</v>
      </c>
      <c r="C6" s="1111">
        <f>ROUND(Data!K88,2)</f>
        <v>247.31</v>
      </c>
      <c r="D6" s="1110" t="s">
        <v>1219</v>
      </c>
      <c r="E6" s="1336">
        <v>439.1</v>
      </c>
      <c r="F6" s="1125">
        <f>E6*C6</f>
        <v>108593.82</v>
      </c>
      <c r="G6" s="1335"/>
      <c r="H6" s="1125">
        <f>G6*C6</f>
        <v>0</v>
      </c>
      <c r="I6" s="1312"/>
      <c r="J6" s="1406">
        <f>I6*C6</f>
        <v>0</v>
      </c>
      <c r="K6" s="1335"/>
      <c r="L6" s="1125">
        <f>K6*C6</f>
        <v>0</v>
      </c>
      <c r="M6" s="1340"/>
      <c r="N6" s="1339">
        <f>M6*C6</f>
        <v>0</v>
      </c>
      <c r="O6" s="1340">
        <f>G6+K6+M6</f>
        <v>0</v>
      </c>
      <c r="P6" s="1339">
        <f>O6*C6</f>
        <v>0</v>
      </c>
      <c r="Q6" s="1340">
        <f>O6+E6</f>
        <v>439.1</v>
      </c>
      <c r="R6" s="1339">
        <f>Q6*C6</f>
        <v>108593.82</v>
      </c>
      <c r="S6" s="1322">
        <f>F6+P6</f>
        <v>108593.82</v>
      </c>
      <c r="T6" s="1322">
        <f>S6-R6</f>
        <v>0</v>
      </c>
    </row>
    <row r="7" spans="1:27" s="812" customFormat="1" ht="23.25" hidden="1">
      <c r="A7" s="1409"/>
      <c r="B7" s="1410" t="s">
        <v>737</v>
      </c>
      <c r="C7" s="1411">
        <f>ROUND(Data!K89,2)</f>
        <v>258.52999999999997</v>
      </c>
      <c r="D7" s="1371" t="s">
        <v>1219</v>
      </c>
      <c r="E7" s="1278"/>
      <c r="F7" s="1125">
        <f t="shared" ref="F7:F70" si="0">E7*C7</f>
        <v>0</v>
      </c>
      <c r="G7" s="1273"/>
      <c r="H7" s="1125">
        <f t="shared" ref="H7:H70" si="1">G7*C7</f>
        <v>0</v>
      </c>
      <c r="I7" s="748"/>
      <c r="J7" s="748">
        <f t="shared" ref="J7:J70" si="2">I7*C7</f>
        <v>0</v>
      </c>
      <c r="K7" s="1273"/>
      <c r="L7" s="1125">
        <f t="shared" ref="L7:L70" si="3">K7*C7</f>
        <v>0</v>
      </c>
      <c r="M7" s="1412"/>
      <c r="N7" s="1339">
        <f t="shared" ref="N7:N70" si="4">M7*C7</f>
        <v>0</v>
      </c>
      <c r="O7" s="1340">
        <f t="shared" ref="O7:O70" si="5">G7+K7+M7</f>
        <v>0</v>
      </c>
      <c r="P7" s="1339">
        <f t="shared" ref="P7:P70" si="6">O7*C7</f>
        <v>0</v>
      </c>
      <c r="Q7" s="1340">
        <f t="shared" ref="Q7:Q70" si="7">O7+E7</f>
        <v>0</v>
      </c>
      <c r="R7" s="1339">
        <f t="shared" ref="R7:R70" si="8">Q7*C7</f>
        <v>0</v>
      </c>
    </row>
    <row r="8" spans="1:27" s="700" customFormat="1" ht="23.25" hidden="1">
      <c r="A8" s="1105">
        <v>1.2</v>
      </c>
      <c r="B8" s="538" t="s">
        <v>4084</v>
      </c>
      <c r="C8" s="602"/>
      <c r="D8" s="744"/>
      <c r="E8" s="1276"/>
      <c r="F8" s="1125">
        <f t="shared" si="0"/>
        <v>0</v>
      </c>
      <c r="G8" s="1199"/>
      <c r="H8" s="1125">
        <f t="shared" si="1"/>
        <v>0</v>
      </c>
      <c r="I8" s="748"/>
      <c r="J8" s="748">
        <f t="shared" si="2"/>
        <v>0</v>
      </c>
      <c r="K8" s="1199"/>
      <c r="L8" s="1125">
        <f t="shared" si="3"/>
        <v>0</v>
      </c>
      <c r="M8" s="1200"/>
      <c r="N8" s="1339">
        <f t="shared" si="4"/>
        <v>0</v>
      </c>
      <c r="O8" s="1340">
        <f t="shared" si="5"/>
        <v>0</v>
      </c>
      <c r="P8" s="1339">
        <f t="shared" si="6"/>
        <v>0</v>
      </c>
      <c r="Q8" s="1340">
        <f t="shared" si="7"/>
        <v>0</v>
      </c>
      <c r="R8" s="1339">
        <f t="shared" si="8"/>
        <v>0</v>
      </c>
    </row>
    <row r="9" spans="1:27" s="700" customFormat="1" ht="23.25" hidden="1">
      <c r="A9" s="1105"/>
      <c r="B9" s="538" t="s">
        <v>2014</v>
      </c>
      <c r="C9" s="602">
        <f>ROUND(Data!K90,2)</f>
        <v>233.76</v>
      </c>
      <c r="D9" s="744" t="s">
        <v>1219</v>
      </c>
      <c r="E9" s="1276"/>
      <c r="F9" s="1125">
        <f t="shared" si="0"/>
        <v>0</v>
      </c>
      <c r="G9" s="1199"/>
      <c r="H9" s="1125">
        <f t="shared" si="1"/>
        <v>0</v>
      </c>
      <c r="I9" s="748"/>
      <c r="J9" s="748">
        <f t="shared" si="2"/>
        <v>0</v>
      </c>
      <c r="K9" s="1199"/>
      <c r="L9" s="1125">
        <f t="shared" si="3"/>
        <v>0</v>
      </c>
      <c r="M9" s="1200"/>
      <c r="N9" s="1339">
        <f t="shared" si="4"/>
        <v>0</v>
      </c>
      <c r="O9" s="1340">
        <f t="shared" si="5"/>
        <v>0</v>
      </c>
      <c r="P9" s="1339">
        <f t="shared" si="6"/>
        <v>0</v>
      </c>
      <c r="Q9" s="1340">
        <f t="shared" si="7"/>
        <v>0</v>
      </c>
      <c r="R9" s="1339">
        <f t="shared" si="8"/>
        <v>0</v>
      </c>
    </row>
    <row r="10" spans="1:27" s="700" customFormat="1" ht="23.25" hidden="1">
      <c r="A10" s="1105"/>
      <c r="B10" s="538" t="s">
        <v>737</v>
      </c>
      <c r="C10" s="602">
        <f>ROUND(Data!K91,2)</f>
        <v>244.98</v>
      </c>
      <c r="D10" s="744" t="s">
        <v>1219</v>
      </c>
      <c r="E10" s="1276"/>
      <c r="F10" s="1125">
        <f t="shared" si="0"/>
        <v>0</v>
      </c>
      <c r="G10" s="1199"/>
      <c r="H10" s="1125">
        <f t="shared" si="1"/>
        <v>0</v>
      </c>
      <c r="I10" s="748"/>
      <c r="J10" s="748">
        <f t="shared" si="2"/>
        <v>0</v>
      </c>
      <c r="K10" s="1199"/>
      <c r="L10" s="1125">
        <f t="shared" si="3"/>
        <v>0</v>
      </c>
      <c r="M10" s="1200"/>
      <c r="N10" s="1339">
        <f t="shared" si="4"/>
        <v>0</v>
      </c>
      <c r="O10" s="1340">
        <f t="shared" si="5"/>
        <v>0</v>
      </c>
      <c r="P10" s="1339">
        <f t="shared" si="6"/>
        <v>0</v>
      </c>
      <c r="Q10" s="1340">
        <f t="shared" si="7"/>
        <v>0</v>
      </c>
      <c r="R10" s="1339">
        <f t="shared" si="8"/>
        <v>0</v>
      </c>
      <c r="AA10" s="700">
        <f>500+3500+1500</f>
        <v>5500</v>
      </c>
    </row>
    <row r="11" spans="1:27" s="812" customFormat="1" ht="46.5" hidden="1">
      <c r="A11" s="1107">
        <v>1.3</v>
      </c>
      <c r="B11" s="1108" t="s">
        <v>4905</v>
      </c>
      <c r="C11" s="1109"/>
      <c r="D11" s="1110" t="s">
        <v>992</v>
      </c>
      <c r="E11" s="1276"/>
      <c r="F11" s="1125">
        <f t="shared" si="0"/>
        <v>0</v>
      </c>
      <c r="G11" s="1199"/>
      <c r="H11" s="1125">
        <f t="shared" si="1"/>
        <v>0</v>
      </c>
      <c r="I11" s="748"/>
      <c r="J11" s="748">
        <f t="shared" si="2"/>
        <v>0</v>
      </c>
      <c r="K11" s="1199"/>
      <c r="L11" s="1125">
        <f t="shared" si="3"/>
        <v>0</v>
      </c>
      <c r="M11" s="1208"/>
      <c r="N11" s="1339">
        <f t="shared" si="4"/>
        <v>0</v>
      </c>
      <c r="O11" s="1340">
        <f t="shared" si="5"/>
        <v>0</v>
      </c>
      <c r="P11" s="1339">
        <f t="shared" si="6"/>
        <v>0</v>
      </c>
      <c r="Q11" s="1340">
        <f t="shared" si="7"/>
        <v>0</v>
      </c>
      <c r="R11" s="1339">
        <f t="shared" si="8"/>
        <v>0</v>
      </c>
    </row>
    <row r="12" spans="1:27" s="812" customFormat="1" ht="57" hidden="1" customHeight="1">
      <c r="A12" s="1107"/>
      <c r="B12" s="1108" t="s">
        <v>2014</v>
      </c>
      <c r="C12" s="1111">
        <f>ROUND(Data!K101,2)</f>
        <v>361.59</v>
      </c>
      <c r="D12" s="1110" t="s">
        <v>1219</v>
      </c>
      <c r="E12" s="1276"/>
      <c r="F12" s="1125">
        <f t="shared" si="0"/>
        <v>0</v>
      </c>
      <c r="G12" s="1199"/>
      <c r="H12" s="1125">
        <f t="shared" si="1"/>
        <v>0</v>
      </c>
      <c r="I12" s="748"/>
      <c r="J12" s="748">
        <f t="shared" si="2"/>
        <v>0</v>
      </c>
      <c r="K12" s="1199"/>
      <c r="L12" s="1125">
        <f t="shared" si="3"/>
        <v>0</v>
      </c>
      <c r="M12" s="1208"/>
      <c r="N12" s="1339">
        <f t="shared" si="4"/>
        <v>0</v>
      </c>
      <c r="O12" s="1340">
        <f t="shared" si="5"/>
        <v>0</v>
      </c>
      <c r="P12" s="1339">
        <f t="shared" si="6"/>
        <v>0</v>
      </c>
      <c r="Q12" s="1340">
        <f t="shared" si="7"/>
        <v>0</v>
      </c>
      <c r="R12" s="1339">
        <f t="shared" si="8"/>
        <v>0</v>
      </c>
    </row>
    <row r="13" spans="1:27" s="700" customFormat="1" ht="23.25" hidden="1">
      <c r="A13" s="1105"/>
      <c r="B13" s="538" t="s">
        <v>737</v>
      </c>
      <c r="C13" s="743">
        <f>ROUND(Data!K102,2)</f>
        <v>372.81</v>
      </c>
      <c r="D13" s="744" t="s">
        <v>1219</v>
      </c>
      <c r="E13" s="1276"/>
      <c r="F13" s="1125">
        <f t="shared" si="0"/>
        <v>0</v>
      </c>
      <c r="G13" s="1199"/>
      <c r="H13" s="1125">
        <f t="shared" si="1"/>
        <v>0</v>
      </c>
      <c r="I13" s="748"/>
      <c r="J13" s="748">
        <f t="shared" si="2"/>
        <v>0</v>
      </c>
      <c r="K13" s="1199"/>
      <c r="L13" s="1125">
        <f t="shared" si="3"/>
        <v>0</v>
      </c>
      <c r="M13" s="1200"/>
      <c r="N13" s="1339">
        <f t="shared" si="4"/>
        <v>0</v>
      </c>
      <c r="O13" s="1340">
        <f t="shared" si="5"/>
        <v>0</v>
      </c>
      <c r="P13" s="1339">
        <f t="shared" si="6"/>
        <v>0</v>
      </c>
      <c r="Q13" s="1340">
        <f t="shared" si="7"/>
        <v>0</v>
      </c>
      <c r="R13" s="1339">
        <f t="shared" si="8"/>
        <v>0</v>
      </c>
    </row>
    <row r="14" spans="1:27" s="700" customFormat="1" ht="46.5" hidden="1">
      <c r="A14" s="1105">
        <v>1.4</v>
      </c>
      <c r="B14" s="538" t="s">
        <v>4085</v>
      </c>
      <c r="C14" s="602"/>
      <c r="D14" s="744"/>
      <c r="E14" s="1276"/>
      <c r="F14" s="1125">
        <f t="shared" si="0"/>
        <v>0</v>
      </c>
      <c r="G14" s="1199"/>
      <c r="H14" s="1125">
        <f t="shared" si="1"/>
        <v>0</v>
      </c>
      <c r="I14" s="748"/>
      <c r="J14" s="748">
        <f t="shared" si="2"/>
        <v>0</v>
      </c>
      <c r="K14" s="1199"/>
      <c r="L14" s="1125">
        <f t="shared" si="3"/>
        <v>0</v>
      </c>
      <c r="M14" s="1200"/>
      <c r="N14" s="1339">
        <f t="shared" si="4"/>
        <v>0</v>
      </c>
      <c r="O14" s="1340">
        <f t="shared" si="5"/>
        <v>0</v>
      </c>
      <c r="P14" s="1339">
        <f t="shared" si="6"/>
        <v>0</v>
      </c>
      <c r="Q14" s="1340">
        <f t="shared" si="7"/>
        <v>0</v>
      </c>
      <c r="R14" s="1339">
        <f t="shared" si="8"/>
        <v>0</v>
      </c>
    </row>
    <row r="15" spans="1:27" s="700" customFormat="1" ht="23.25" hidden="1">
      <c r="A15" s="1105"/>
      <c r="B15" s="538" t="s">
        <v>2014</v>
      </c>
      <c r="C15" s="602">
        <f>ROUND(Data!K116,2)</f>
        <v>130.43</v>
      </c>
      <c r="D15" s="744" t="s">
        <v>1219</v>
      </c>
      <c r="E15" s="1276"/>
      <c r="F15" s="1125">
        <f t="shared" si="0"/>
        <v>0</v>
      </c>
      <c r="G15" s="1199"/>
      <c r="H15" s="1125">
        <f t="shared" si="1"/>
        <v>0</v>
      </c>
      <c r="I15" s="748"/>
      <c r="J15" s="748">
        <f t="shared" si="2"/>
        <v>0</v>
      </c>
      <c r="K15" s="1199"/>
      <c r="L15" s="1125">
        <f t="shared" si="3"/>
        <v>0</v>
      </c>
      <c r="M15" s="1200"/>
      <c r="N15" s="1339">
        <f t="shared" si="4"/>
        <v>0</v>
      </c>
      <c r="O15" s="1340">
        <f t="shared" si="5"/>
        <v>0</v>
      </c>
      <c r="P15" s="1339">
        <f t="shared" si="6"/>
        <v>0</v>
      </c>
      <c r="Q15" s="1340">
        <f t="shared" si="7"/>
        <v>0</v>
      </c>
      <c r="R15" s="1339">
        <f t="shared" si="8"/>
        <v>0</v>
      </c>
    </row>
    <row r="16" spans="1:27" s="700" customFormat="1" ht="23.25" hidden="1">
      <c r="A16" s="1105"/>
      <c r="B16" s="538" t="s">
        <v>737</v>
      </c>
      <c r="C16" s="602">
        <f>ROUND(Data!L116,2)</f>
        <v>141.65</v>
      </c>
      <c r="D16" s="744" t="s">
        <v>1219</v>
      </c>
      <c r="E16" s="1276"/>
      <c r="F16" s="1125">
        <f t="shared" si="0"/>
        <v>0</v>
      </c>
      <c r="G16" s="1199"/>
      <c r="H16" s="1125">
        <f t="shared" si="1"/>
        <v>0</v>
      </c>
      <c r="I16" s="748"/>
      <c r="J16" s="748">
        <f t="shared" si="2"/>
        <v>0</v>
      </c>
      <c r="K16" s="1199"/>
      <c r="L16" s="1125">
        <f t="shared" si="3"/>
        <v>0</v>
      </c>
      <c r="M16" s="1200"/>
      <c r="N16" s="1339">
        <f t="shared" si="4"/>
        <v>0</v>
      </c>
      <c r="O16" s="1340">
        <f t="shared" si="5"/>
        <v>0</v>
      </c>
      <c r="P16" s="1339">
        <f t="shared" si="6"/>
        <v>0</v>
      </c>
      <c r="Q16" s="1340">
        <f t="shared" si="7"/>
        <v>0</v>
      </c>
      <c r="R16" s="1339">
        <f t="shared" si="8"/>
        <v>0</v>
      </c>
    </row>
    <row r="17" spans="1:20" ht="60" customHeight="1">
      <c r="A17" s="1486">
        <v>1.5</v>
      </c>
      <c r="B17" s="1198" t="s">
        <v>4076</v>
      </c>
      <c r="C17" s="1111"/>
      <c r="D17" s="1110" t="s">
        <v>992</v>
      </c>
      <c r="E17" s="1109"/>
      <c r="F17" s="1125">
        <f t="shared" si="0"/>
        <v>0</v>
      </c>
      <c r="G17" s="1335"/>
      <c r="H17" s="1125">
        <f t="shared" si="1"/>
        <v>0</v>
      </c>
      <c r="I17" s="1312"/>
      <c r="J17" s="1406">
        <f t="shared" si="2"/>
        <v>0</v>
      </c>
      <c r="K17" s="1335"/>
      <c r="L17" s="1125">
        <f t="shared" si="3"/>
        <v>0</v>
      </c>
      <c r="M17" s="1343"/>
      <c r="N17" s="1339">
        <f t="shared" si="4"/>
        <v>0</v>
      </c>
      <c r="O17" s="1340">
        <f t="shared" si="5"/>
        <v>0</v>
      </c>
      <c r="P17" s="1339">
        <f t="shared" si="6"/>
        <v>0</v>
      </c>
      <c r="Q17" s="1341" t="s">
        <v>2290</v>
      </c>
      <c r="R17" s="1339"/>
      <c r="S17" s="1322">
        <f t="shared" ref="S17:S19" si="9">F17+P17</f>
        <v>0</v>
      </c>
      <c r="T17" s="1322">
        <f t="shared" ref="T17:T19" si="10">S17-R17</f>
        <v>0</v>
      </c>
    </row>
    <row r="18" spans="1:20" ht="43.5" customHeight="1">
      <c r="A18" s="1486"/>
      <c r="B18" s="1198" t="s">
        <v>2014</v>
      </c>
      <c r="C18" s="1111">
        <f>ROUND(Data!K118,2)</f>
        <v>116.88</v>
      </c>
      <c r="D18" s="1110" t="s">
        <v>1219</v>
      </c>
      <c r="E18" s="1336"/>
      <c r="F18" s="1125">
        <f t="shared" si="0"/>
        <v>0</v>
      </c>
      <c r="G18" s="1335">
        <v>22.7</v>
      </c>
      <c r="H18" s="1125">
        <f t="shared" si="1"/>
        <v>2653.18</v>
      </c>
      <c r="I18" s="1312"/>
      <c r="J18" s="1406">
        <f t="shared" si="2"/>
        <v>0</v>
      </c>
      <c r="K18" s="1335"/>
      <c r="L18" s="1125">
        <f t="shared" si="3"/>
        <v>0</v>
      </c>
      <c r="M18" s="1343"/>
      <c r="N18" s="1339">
        <f t="shared" si="4"/>
        <v>0</v>
      </c>
      <c r="O18" s="1340">
        <f t="shared" si="5"/>
        <v>22.7</v>
      </c>
      <c r="P18" s="1339">
        <f t="shared" si="6"/>
        <v>2653.18</v>
      </c>
      <c r="Q18" s="1340">
        <f t="shared" si="7"/>
        <v>22.7</v>
      </c>
      <c r="R18" s="1339">
        <f t="shared" si="8"/>
        <v>2653.18</v>
      </c>
      <c r="S18" s="1322">
        <f t="shared" si="9"/>
        <v>2653.18</v>
      </c>
      <c r="T18" s="1322">
        <f t="shared" si="10"/>
        <v>0</v>
      </c>
    </row>
    <row r="19" spans="1:20" ht="43.5" customHeight="1">
      <c r="A19" s="1486"/>
      <c r="B19" s="1198" t="s">
        <v>737</v>
      </c>
      <c r="C19" s="1111">
        <f>ROUND(Data!K119,2)</f>
        <v>128.1</v>
      </c>
      <c r="D19" s="1110" t="s">
        <v>1219</v>
      </c>
      <c r="E19" s="1336"/>
      <c r="F19" s="1125">
        <f t="shared" si="0"/>
        <v>0</v>
      </c>
      <c r="G19" s="1335">
        <v>10.3</v>
      </c>
      <c r="H19" s="1125">
        <f t="shared" si="1"/>
        <v>1319.43</v>
      </c>
      <c r="I19" s="1312"/>
      <c r="J19" s="1406">
        <f t="shared" si="2"/>
        <v>0</v>
      </c>
      <c r="K19" s="1335"/>
      <c r="L19" s="1125">
        <f t="shared" si="3"/>
        <v>0</v>
      </c>
      <c r="M19" s="1343"/>
      <c r="N19" s="1339">
        <f t="shared" si="4"/>
        <v>0</v>
      </c>
      <c r="O19" s="1340">
        <f t="shared" si="5"/>
        <v>10.3</v>
      </c>
      <c r="P19" s="1339">
        <f t="shared" si="6"/>
        <v>1319.43</v>
      </c>
      <c r="Q19" s="1340">
        <f t="shared" si="7"/>
        <v>10.3</v>
      </c>
      <c r="R19" s="1339">
        <f t="shared" si="8"/>
        <v>1319.43</v>
      </c>
      <c r="S19" s="1322">
        <f t="shared" si="9"/>
        <v>1319.43</v>
      </c>
      <c r="T19" s="1322">
        <f t="shared" si="10"/>
        <v>0</v>
      </c>
    </row>
    <row r="20" spans="1:20" s="700" customFormat="1" ht="43.5" hidden="1" customHeight="1">
      <c r="A20" s="1414"/>
      <c r="B20" s="1415" t="s">
        <v>3866</v>
      </c>
      <c r="C20" s="1416">
        <f>ROUND(Data!K120,2)</f>
        <v>139.32</v>
      </c>
      <c r="D20" s="1417" t="s">
        <v>1219</v>
      </c>
      <c r="E20" s="1278"/>
      <c r="F20" s="1125">
        <f t="shared" si="0"/>
        <v>0</v>
      </c>
      <c r="G20" s="1273"/>
      <c r="H20" s="1125">
        <f t="shared" si="1"/>
        <v>0</v>
      </c>
      <c r="I20" s="748"/>
      <c r="J20" s="748">
        <f t="shared" si="2"/>
        <v>0</v>
      </c>
      <c r="K20" s="1273"/>
      <c r="L20" s="1125">
        <f t="shared" si="3"/>
        <v>0</v>
      </c>
      <c r="M20" s="1412"/>
      <c r="N20" s="1339">
        <f t="shared" si="4"/>
        <v>0</v>
      </c>
      <c r="O20" s="1340">
        <f t="shared" si="5"/>
        <v>0</v>
      </c>
      <c r="P20" s="1339">
        <f t="shared" si="6"/>
        <v>0</v>
      </c>
      <c r="Q20" s="1340">
        <f t="shared" si="7"/>
        <v>0</v>
      </c>
      <c r="R20" s="1339">
        <f t="shared" si="8"/>
        <v>0</v>
      </c>
    </row>
    <row r="21" spans="1:20" s="700" customFormat="1" ht="43.5" hidden="1" customHeight="1">
      <c r="A21" s="1105"/>
      <c r="B21" s="538" t="s">
        <v>3867</v>
      </c>
      <c r="C21" s="602">
        <f>ROUND(Data!K121,2)</f>
        <v>150.54</v>
      </c>
      <c r="D21" s="744" t="s">
        <v>1219</v>
      </c>
      <c r="E21" s="1276"/>
      <c r="F21" s="1125">
        <f t="shared" si="0"/>
        <v>0</v>
      </c>
      <c r="G21" s="1199"/>
      <c r="H21" s="1125">
        <f t="shared" si="1"/>
        <v>0</v>
      </c>
      <c r="I21" s="748"/>
      <c r="J21" s="748">
        <f t="shared" si="2"/>
        <v>0</v>
      </c>
      <c r="K21" s="1199"/>
      <c r="L21" s="1125">
        <f t="shared" si="3"/>
        <v>0</v>
      </c>
      <c r="M21" s="1200"/>
      <c r="N21" s="1339">
        <f t="shared" si="4"/>
        <v>0</v>
      </c>
      <c r="O21" s="1340">
        <f t="shared" si="5"/>
        <v>0</v>
      </c>
      <c r="P21" s="1339">
        <f t="shared" si="6"/>
        <v>0</v>
      </c>
      <c r="Q21" s="1340">
        <f t="shared" si="7"/>
        <v>0</v>
      </c>
      <c r="R21" s="1339">
        <f t="shared" si="8"/>
        <v>0</v>
      </c>
    </row>
    <row r="22" spans="1:20" s="700" customFormat="1" ht="57" hidden="1" customHeight="1">
      <c r="A22" s="1105">
        <v>1.6</v>
      </c>
      <c r="B22" s="538" t="s">
        <v>4077</v>
      </c>
      <c r="C22" s="743"/>
      <c r="D22" s="744"/>
      <c r="E22" s="1276"/>
      <c r="F22" s="1125">
        <f t="shared" si="0"/>
        <v>0</v>
      </c>
      <c r="G22" s="1199"/>
      <c r="H22" s="1125">
        <f t="shared" si="1"/>
        <v>0</v>
      </c>
      <c r="I22" s="748"/>
      <c r="J22" s="748">
        <f t="shared" si="2"/>
        <v>0</v>
      </c>
      <c r="K22" s="1199"/>
      <c r="L22" s="1125">
        <f t="shared" si="3"/>
        <v>0</v>
      </c>
      <c r="M22" s="1200"/>
      <c r="N22" s="1339">
        <f t="shared" si="4"/>
        <v>0</v>
      </c>
      <c r="O22" s="1340">
        <f t="shared" si="5"/>
        <v>0</v>
      </c>
      <c r="P22" s="1339">
        <f t="shared" si="6"/>
        <v>0</v>
      </c>
      <c r="Q22" s="1340">
        <f t="shared" si="7"/>
        <v>0</v>
      </c>
      <c r="R22" s="1339">
        <f t="shared" si="8"/>
        <v>0</v>
      </c>
    </row>
    <row r="23" spans="1:20" s="700" customFormat="1" ht="57" hidden="1" customHeight="1">
      <c r="A23" s="1105"/>
      <c r="B23" s="538" t="s">
        <v>2014</v>
      </c>
      <c r="C23" s="743">
        <f>ROUND(Data!K133,2)</f>
        <v>175.32</v>
      </c>
      <c r="D23" s="744" t="s">
        <v>1219</v>
      </c>
      <c r="E23" s="1276"/>
      <c r="F23" s="1125">
        <f t="shared" si="0"/>
        <v>0</v>
      </c>
      <c r="G23" s="1199"/>
      <c r="H23" s="1125">
        <f t="shared" si="1"/>
        <v>0</v>
      </c>
      <c r="I23" s="748"/>
      <c r="J23" s="748">
        <f t="shared" si="2"/>
        <v>0</v>
      </c>
      <c r="K23" s="1199"/>
      <c r="L23" s="1125">
        <f t="shared" si="3"/>
        <v>0</v>
      </c>
      <c r="M23" s="1200"/>
      <c r="N23" s="1339">
        <f t="shared" si="4"/>
        <v>0</v>
      </c>
      <c r="O23" s="1340">
        <f t="shared" si="5"/>
        <v>0</v>
      </c>
      <c r="P23" s="1339">
        <f t="shared" si="6"/>
        <v>0</v>
      </c>
      <c r="Q23" s="1340">
        <f t="shared" si="7"/>
        <v>0</v>
      </c>
      <c r="R23" s="1339">
        <f t="shared" si="8"/>
        <v>0</v>
      </c>
    </row>
    <row r="24" spans="1:20" s="700" customFormat="1" ht="57" hidden="1" customHeight="1">
      <c r="A24" s="1105"/>
      <c r="B24" s="538" t="s">
        <v>737</v>
      </c>
      <c r="C24" s="602">
        <f>ROUND(Data!K134,2)</f>
        <v>186.54</v>
      </c>
      <c r="D24" s="744" t="s">
        <v>1219</v>
      </c>
      <c r="E24" s="1276"/>
      <c r="F24" s="1125">
        <f t="shared" si="0"/>
        <v>0</v>
      </c>
      <c r="G24" s="1199"/>
      <c r="H24" s="1125">
        <f t="shared" si="1"/>
        <v>0</v>
      </c>
      <c r="I24" s="748"/>
      <c r="J24" s="748">
        <f t="shared" si="2"/>
        <v>0</v>
      </c>
      <c r="K24" s="1199"/>
      <c r="L24" s="1125">
        <f t="shared" si="3"/>
        <v>0</v>
      </c>
      <c r="M24" s="1200"/>
      <c r="N24" s="1339">
        <f t="shared" si="4"/>
        <v>0</v>
      </c>
      <c r="O24" s="1340">
        <f t="shared" si="5"/>
        <v>0</v>
      </c>
      <c r="P24" s="1339">
        <f t="shared" si="6"/>
        <v>0</v>
      </c>
      <c r="Q24" s="1340">
        <f t="shared" si="7"/>
        <v>0</v>
      </c>
      <c r="R24" s="1339">
        <f t="shared" si="8"/>
        <v>0</v>
      </c>
    </row>
    <row r="25" spans="1:20" s="700" customFormat="1" ht="57" hidden="1" customHeight="1">
      <c r="A25" s="1105">
        <v>1.7</v>
      </c>
      <c r="B25" s="538" t="s">
        <v>4086</v>
      </c>
      <c r="C25" s="602"/>
      <c r="D25" s="744" t="s">
        <v>992</v>
      </c>
      <c r="E25" s="1276"/>
      <c r="F25" s="1125">
        <f t="shared" si="0"/>
        <v>0</v>
      </c>
      <c r="G25" s="1199"/>
      <c r="H25" s="1125">
        <f t="shared" si="1"/>
        <v>0</v>
      </c>
      <c r="I25" s="748"/>
      <c r="J25" s="748">
        <f t="shared" si="2"/>
        <v>0</v>
      </c>
      <c r="K25" s="1199"/>
      <c r="L25" s="1125">
        <f t="shared" si="3"/>
        <v>0</v>
      </c>
      <c r="M25" s="1200"/>
      <c r="N25" s="1339">
        <f t="shared" si="4"/>
        <v>0</v>
      </c>
      <c r="O25" s="1340">
        <f t="shared" si="5"/>
        <v>0</v>
      </c>
      <c r="P25" s="1339">
        <f t="shared" si="6"/>
        <v>0</v>
      </c>
      <c r="Q25" s="1340">
        <f t="shared" si="7"/>
        <v>0</v>
      </c>
      <c r="R25" s="1339">
        <f t="shared" si="8"/>
        <v>0</v>
      </c>
    </row>
    <row r="26" spans="1:20" s="700" customFormat="1" ht="57" hidden="1" customHeight="1">
      <c r="A26" s="1105"/>
      <c r="B26" s="538" t="s">
        <v>2014</v>
      </c>
      <c r="C26" s="602">
        <f>ROUND(Data!K104,2)</f>
        <v>348.04</v>
      </c>
      <c r="D26" s="744" t="s">
        <v>1219</v>
      </c>
      <c r="E26" s="1276"/>
      <c r="F26" s="1125">
        <f t="shared" si="0"/>
        <v>0</v>
      </c>
      <c r="G26" s="1199"/>
      <c r="H26" s="1125">
        <f t="shared" si="1"/>
        <v>0</v>
      </c>
      <c r="I26" s="748"/>
      <c r="J26" s="748">
        <f t="shared" si="2"/>
        <v>0</v>
      </c>
      <c r="K26" s="1199"/>
      <c r="L26" s="1125">
        <f t="shared" si="3"/>
        <v>0</v>
      </c>
      <c r="M26" s="1200"/>
      <c r="N26" s="1339">
        <f t="shared" si="4"/>
        <v>0</v>
      </c>
      <c r="O26" s="1340">
        <f t="shared" si="5"/>
        <v>0</v>
      </c>
      <c r="P26" s="1339">
        <f t="shared" si="6"/>
        <v>0</v>
      </c>
      <c r="Q26" s="1340">
        <f t="shared" si="7"/>
        <v>0</v>
      </c>
      <c r="R26" s="1339">
        <f t="shared" si="8"/>
        <v>0</v>
      </c>
    </row>
    <row r="27" spans="1:20" s="700" customFormat="1" ht="57" hidden="1" customHeight="1">
      <c r="A27" s="1105"/>
      <c r="B27" s="538" t="s">
        <v>737</v>
      </c>
      <c r="C27" s="602">
        <f>ROUND(Data!K105,2)</f>
        <v>359.26</v>
      </c>
      <c r="D27" s="744" t="s">
        <v>1219</v>
      </c>
      <c r="E27" s="1276"/>
      <c r="F27" s="1125">
        <f t="shared" si="0"/>
        <v>0</v>
      </c>
      <c r="G27" s="1199"/>
      <c r="H27" s="1125">
        <f t="shared" si="1"/>
        <v>0</v>
      </c>
      <c r="I27" s="748"/>
      <c r="J27" s="748">
        <f t="shared" si="2"/>
        <v>0</v>
      </c>
      <c r="K27" s="1199"/>
      <c r="L27" s="1125">
        <f t="shared" si="3"/>
        <v>0</v>
      </c>
      <c r="M27" s="1200"/>
      <c r="N27" s="1339">
        <f t="shared" si="4"/>
        <v>0</v>
      </c>
      <c r="O27" s="1340">
        <f t="shared" si="5"/>
        <v>0</v>
      </c>
      <c r="P27" s="1339">
        <f t="shared" si="6"/>
        <v>0</v>
      </c>
      <c r="Q27" s="1340">
        <f t="shared" si="7"/>
        <v>0</v>
      </c>
      <c r="R27" s="1339">
        <f t="shared" si="8"/>
        <v>0</v>
      </c>
    </row>
    <row r="28" spans="1:20" s="700" customFormat="1" ht="57" hidden="1" customHeight="1">
      <c r="A28" s="1105">
        <v>1.8</v>
      </c>
      <c r="B28" s="538" t="s">
        <v>4087</v>
      </c>
      <c r="C28" s="743"/>
      <c r="D28" s="744" t="s">
        <v>992</v>
      </c>
      <c r="E28" s="1276"/>
      <c r="F28" s="1125">
        <f t="shared" si="0"/>
        <v>0</v>
      </c>
      <c r="G28" s="1199"/>
      <c r="H28" s="1125">
        <f t="shared" si="1"/>
        <v>0</v>
      </c>
      <c r="I28" s="748"/>
      <c r="J28" s="748">
        <f t="shared" si="2"/>
        <v>0</v>
      </c>
      <c r="K28" s="1199"/>
      <c r="L28" s="1125">
        <f t="shared" si="3"/>
        <v>0</v>
      </c>
      <c r="M28" s="1200"/>
      <c r="N28" s="1339">
        <f t="shared" si="4"/>
        <v>0</v>
      </c>
      <c r="O28" s="1340">
        <f t="shared" si="5"/>
        <v>0</v>
      </c>
      <c r="P28" s="1339">
        <f t="shared" si="6"/>
        <v>0</v>
      </c>
      <c r="Q28" s="1340">
        <f t="shared" si="7"/>
        <v>0</v>
      </c>
      <c r="R28" s="1339">
        <f t="shared" si="8"/>
        <v>0</v>
      </c>
    </row>
    <row r="29" spans="1:20" s="601" customFormat="1" ht="57" hidden="1" customHeight="1">
      <c r="A29" s="1105"/>
      <c r="B29" s="538" t="s">
        <v>2014</v>
      </c>
      <c r="C29" s="602">
        <f>ROUND(Data!K129,2)</f>
        <v>174.02</v>
      </c>
      <c r="D29" s="744" t="s">
        <v>1219</v>
      </c>
      <c r="E29" s="1276"/>
      <c r="F29" s="1125">
        <f t="shared" si="0"/>
        <v>0</v>
      </c>
      <c r="G29" s="1199"/>
      <c r="H29" s="1125">
        <f t="shared" si="1"/>
        <v>0</v>
      </c>
      <c r="I29" s="748"/>
      <c r="J29" s="748">
        <f t="shared" si="2"/>
        <v>0</v>
      </c>
      <c r="K29" s="1199"/>
      <c r="L29" s="1125">
        <f t="shared" si="3"/>
        <v>0</v>
      </c>
      <c r="M29" s="1200"/>
      <c r="N29" s="1339">
        <f t="shared" si="4"/>
        <v>0</v>
      </c>
      <c r="O29" s="1340">
        <f t="shared" si="5"/>
        <v>0</v>
      </c>
      <c r="P29" s="1339">
        <f t="shared" si="6"/>
        <v>0</v>
      </c>
      <c r="Q29" s="1340">
        <f t="shared" si="7"/>
        <v>0</v>
      </c>
      <c r="R29" s="1339">
        <f t="shared" si="8"/>
        <v>0</v>
      </c>
      <c r="S29" s="1089"/>
    </row>
    <row r="30" spans="1:20" s="700" customFormat="1" ht="57" hidden="1" customHeight="1">
      <c r="A30" s="1105"/>
      <c r="B30" s="538" t="s">
        <v>737</v>
      </c>
      <c r="C30" s="602">
        <f>ROUND(Data!K130,2)</f>
        <v>185.24</v>
      </c>
      <c r="D30" s="744" t="s">
        <v>1219</v>
      </c>
      <c r="E30" s="1276"/>
      <c r="F30" s="1125">
        <f t="shared" si="0"/>
        <v>0</v>
      </c>
      <c r="G30" s="1199"/>
      <c r="H30" s="1125">
        <f t="shared" si="1"/>
        <v>0</v>
      </c>
      <c r="I30" s="748"/>
      <c r="J30" s="748">
        <f t="shared" si="2"/>
        <v>0</v>
      </c>
      <c r="K30" s="1199"/>
      <c r="L30" s="1125">
        <f t="shared" si="3"/>
        <v>0</v>
      </c>
      <c r="M30" s="1200"/>
      <c r="N30" s="1339">
        <f t="shared" si="4"/>
        <v>0</v>
      </c>
      <c r="O30" s="1340">
        <f t="shared" si="5"/>
        <v>0</v>
      </c>
      <c r="P30" s="1339">
        <f t="shared" si="6"/>
        <v>0</v>
      </c>
      <c r="Q30" s="1340">
        <f t="shared" si="7"/>
        <v>0</v>
      </c>
      <c r="R30" s="1339">
        <f t="shared" si="8"/>
        <v>0</v>
      </c>
    </row>
    <row r="31" spans="1:20" s="700" customFormat="1" ht="57" hidden="1" customHeight="1">
      <c r="A31" s="1105">
        <v>1.9</v>
      </c>
      <c r="B31" s="538" t="s">
        <v>481</v>
      </c>
      <c r="C31" s="602"/>
      <c r="D31" s="744"/>
      <c r="E31" s="1276"/>
      <c r="F31" s="1125">
        <f t="shared" si="0"/>
        <v>0</v>
      </c>
      <c r="G31" s="1199"/>
      <c r="H31" s="1125">
        <f t="shared" si="1"/>
        <v>0</v>
      </c>
      <c r="I31" s="748"/>
      <c r="J31" s="748">
        <f t="shared" si="2"/>
        <v>0</v>
      </c>
      <c r="K31" s="1199"/>
      <c r="L31" s="1125">
        <f t="shared" si="3"/>
        <v>0</v>
      </c>
      <c r="M31" s="1200"/>
      <c r="N31" s="1339">
        <f t="shared" si="4"/>
        <v>0</v>
      </c>
      <c r="O31" s="1340">
        <f t="shared" si="5"/>
        <v>0</v>
      </c>
      <c r="P31" s="1339">
        <f t="shared" si="6"/>
        <v>0</v>
      </c>
      <c r="Q31" s="1340">
        <f t="shared" si="7"/>
        <v>0</v>
      </c>
      <c r="R31" s="1339">
        <f t="shared" si="8"/>
        <v>0</v>
      </c>
    </row>
    <row r="32" spans="1:20" s="700" customFormat="1" ht="57" hidden="1" customHeight="1">
      <c r="A32" s="1105"/>
      <c r="B32" s="538" t="s">
        <v>482</v>
      </c>
      <c r="C32" s="602"/>
      <c r="D32" s="744" t="s">
        <v>842</v>
      </c>
      <c r="E32" s="1276"/>
      <c r="F32" s="1125">
        <f t="shared" si="0"/>
        <v>0</v>
      </c>
      <c r="G32" s="1199"/>
      <c r="H32" s="1125">
        <f t="shared" si="1"/>
        <v>0</v>
      </c>
      <c r="I32" s="748"/>
      <c r="J32" s="748">
        <f t="shared" si="2"/>
        <v>0</v>
      </c>
      <c r="K32" s="1199"/>
      <c r="L32" s="1125">
        <f t="shared" si="3"/>
        <v>0</v>
      </c>
      <c r="M32" s="1200"/>
      <c r="N32" s="1339">
        <f t="shared" si="4"/>
        <v>0</v>
      </c>
      <c r="O32" s="1340">
        <f t="shared" si="5"/>
        <v>0</v>
      </c>
      <c r="P32" s="1339">
        <f t="shared" si="6"/>
        <v>0</v>
      </c>
      <c r="Q32" s="1340">
        <f t="shared" si="7"/>
        <v>0</v>
      </c>
      <c r="R32" s="1339">
        <f t="shared" si="8"/>
        <v>0</v>
      </c>
    </row>
    <row r="33" spans="1:20" s="700" customFormat="1" ht="57" hidden="1" customHeight="1">
      <c r="A33" s="1105"/>
      <c r="B33" s="538" t="s">
        <v>483</v>
      </c>
      <c r="C33" s="602"/>
      <c r="D33" s="744" t="s">
        <v>842</v>
      </c>
      <c r="E33" s="1276"/>
      <c r="F33" s="1125">
        <f t="shared" si="0"/>
        <v>0</v>
      </c>
      <c r="G33" s="1199"/>
      <c r="H33" s="1125">
        <f t="shared" si="1"/>
        <v>0</v>
      </c>
      <c r="I33" s="748"/>
      <c r="J33" s="748">
        <f t="shared" si="2"/>
        <v>0</v>
      </c>
      <c r="K33" s="1199"/>
      <c r="L33" s="1125">
        <f t="shared" si="3"/>
        <v>0</v>
      </c>
      <c r="M33" s="1200"/>
      <c r="N33" s="1339">
        <f t="shared" si="4"/>
        <v>0</v>
      </c>
      <c r="O33" s="1340">
        <f t="shared" si="5"/>
        <v>0</v>
      </c>
      <c r="P33" s="1339">
        <f t="shared" si="6"/>
        <v>0</v>
      </c>
      <c r="Q33" s="1340">
        <f t="shared" si="7"/>
        <v>0</v>
      </c>
      <c r="R33" s="1339">
        <f t="shared" si="8"/>
        <v>0</v>
      </c>
    </row>
    <row r="34" spans="1:20" s="700" customFormat="1" ht="57" hidden="1" customHeight="1">
      <c r="A34" s="1105"/>
      <c r="B34" s="538" t="s">
        <v>484</v>
      </c>
      <c r="C34" s="602"/>
      <c r="D34" s="744" t="s">
        <v>842</v>
      </c>
      <c r="E34" s="1276"/>
      <c r="F34" s="1125">
        <f t="shared" si="0"/>
        <v>0</v>
      </c>
      <c r="G34" s="1199"/>
      <c r="H34" s="1125">
        <f t="shared" si="1"/>
        <v>0</v>
      </c>
      <c r="I34" s="748"/>
      <c r="J34" s="748">
        <f t="shared" si="2"/>
        <v>0</v>
      </c>
      <c r="K34" s="1199"/>
      <c r="L34" s="1125">
        <f t="shared" si="3"/>
        <v>0</v>
      </c>
      <c r="M34" s="1200"/>
      <c r="N34" s="1339">
        <f t="shared" si="4"/>
        <v>0</v>
      </c>
      <c r="O34" s="1340">
        <f t="shared" si="5"/>
        <v>0</v>
      </c>
      <c r="P34" s="1339">
        <f t="shared" si="6"/>
        <v>0</v>
      </c>
      <c r="Q34" s="1340">
        <f t="shared" si="7"/>
        <v>0</v>
      </c>
      <c r="R34" s="1339">
        <f t="shared" si="8"/>
        <v>0</v>
      </c>
    </row>
    <row r="35" spans="1:20" s="700" customFormat="1" ht="57" hidden="1" customHeight="1">
      <c r="A35" s="1105"/>
      <c r="B35" s="538" t="s">
        <v>2102</v>
      </c>
      <c r="C35" s="602"/>
      <c r="D35" s="744" t="s">
        <v>842</v>
      </c>
      <c r="E35" s="1276"/>
      <c r="F35" s="1125">
        <f t="shared" si="0"/>
        <v>0</v>
      </c>
      <c r="G35" s="1199"/>
      <c r="H35" s="1125">
        <f t="shared" si="1"/>
        <v>0</v>
      </c>
      <c r="I35" s="748"/>
      <c r="J35" s="748">
        <f t="shared" si="2"/>
        <v>0</v>
      </c>
      <c r="K35" s="1199"/>
      <c r="L35" s="1125">
        <f t="shared" si="3"/>
        <v>0</v>
      </c>
      <c r="M35" s="1200"/>
      <c r="N35" s="1339">
        <f t="shared" si="4"/>
        <v>0</v>
      </c>
      <c r="O35" s="1340">
        <f t="shared" si="5"/>
        <v>0</v>
      </c>
      <c r="P35" s="1339">
        <f t="shared" si="6"/>
        <v>0</v>
      </c>
      <c r="Q35" s="1340">
        <f t="shared" si="7"/>
        <v>0</v>
      </c>
      <c r="R35" s="1339">
        <f t="shared" si="8"/>
        <v>0</v>
      </c>
    </row>
    <row r="36" spans="1:20" s="700" customFormat="1" ht="57" hidden="1" customHeight="1">
      <c r="A36" s="1105"/>
      <c r="B36" s="538" t="s">
        <v>2103</v>
      </c>
      <c r="C36" s="602"/>
      <c r="D36" s="744" t="s">
        <v>842</v>
      </c>
      <c r="E36" s="1276"/>
      <c r="F36" s="1125">
        <f t="shared" si="0"/>
        <v>0</v>
      </c>
      <c r="G36" s="1199"/>
      <c r="H36" s="1125">
        <f t="shared" si="1"/>
        <v>0</v>
      </c>
      <c r="I36" s="748"/>
      <c r="J36" s="748">
        <f t="shared" si="2"/>
        <v>0</v>
      </c>
      <c r="K36" s="1199"/>
      <c r="L36" s="1125">
        <f t="shared" si="3"/>
        <v>0</v>
      </c>
      <c r="M36" s="1200"/>
      <c r="N36" s="1339">
        <f t="shared" si="4"/>
        <v>0</v>
      </c>
      <c r="O36" s="1340">
        <f t="shared" si="5"/>
        <v>0</v>
      </c>
      <c r="P36" s="1339">
        <f t="shared" si="6"/>
        <v>0</v>
      </c>
      <c r="Q36" s="1340">
        <f t="shared" si="7"/>
        <v>0</v>
      </c>
      <c r="R36" s="1339">
        <f t="shared" si="8"/>
        <v>0</v>
      </c>
    </row>
    <row r="37" spans="1:20" s="700" customFormat="1" ht="57" hidden="1" customHeight="1">
      <c r="A37" s="1105"/>
      <c r="B37" s="538" t="s">
        <v>234</v>
      </c>
      <c r="C37" s="602"/>
      <c r="D37" s="744" t="s">
        <v>842</v>
      </c>
      <c r="E37" s="1276"/>
      <c r="F37" s="1125">
        <f t="shared" si="0"/>
        <v>0</v>
      </c>
      <c r="G37" s="1199"/>
      <c r="H37" s="1125">
        <f t="shared" si="1"/>
        <v>0</v>
      </c>
      <c r="I37" s="748"/>
      <c r="J37" s="748">
        <f t="shared" si="2"/>
        <v>0</v>
      </c>
      <c r="K37" s="1199"/>
      <c r="L37" s="1125">
        <f t="shared" si="3"/>
        <v>0</v>
      </c>
      <c r="M37" s="1200"/>
      <c r="N37" s="1339">
        <f t="shared" si="4"/>
        <v>0</v>
      </c>
      <c r="O37" s="1340">
        <f t="shared" si="5"/>
        <v>0</v>
      </c>
      <c r="P37" s="1339">
        <f t="shared" si="6"/>
        <v>0</v>
      </c>
      <c r="Q37" s="1340">
        <f t="shared" si="7"/>
        <v>0</v>
      </c>
      <c r="R37" s="1339">
        <f t="shared" si="8"/>
        <v>0</v>
      </c>
    </row>
    <row r="38" spans="1:20" s="601" customFormat="1" ht="57" customHeight="1">
      <c r="A38" s="1105">
        <v>2.1</v>
      </c>
      <c r="B38" s="538" t="s">
        <v>4933</v>
      </c>
      <c r="C38" s="602">
        <f>ROUND(Data!K144,2)</f>
        <v>1644.4</v>
      </c>
      <c r="D38" s="744" t="s">
        <v>1219</v>
      </c>
      <c r="E38" s="1100"/>
      <c r="F38" s="1125">
        <f t="shared" si="0"/>
        <v>0</v>
      </c>
      <c r="G38" s="1199">
        <v>1.8</v>
      </c>
      <c r="H38" s="1125">
        <f t="shared" si="1"/>
        <v>2959.92</v>
      </c>
      <c r="I38" s="748"/>
      <c r="J38" s="1407">
        <f t="shared" si="2"/>
        <v>0</v>
      </c>
      <c r="K38" s="1199"/>
      <c r="L38" s="1125">
        <f t="shared" si="3"/>
        <v>0</v>
      </c>
      <c r="M38" s="1208"/>
      <c r="N38" s="1339">
        <f t="shared" si="4"/>
        <v>0</v>
      </c>
      <c r="O38" s="1340">
        <f t="shared" si="5"/>
        <v>1.8</v>
      </c>
      <c r="P38" s="1339">
        <f t="shared" si="6"/>
        <v>2959.92</v>
      </c>
      <c r="Q38" s="1340">
        <f t="shared" si="7"/>
        <v>1.8</v>
      </c>
      <c r="R38" s="1339">
        <f t="shared" si="8"/>
        <v>2959.92</v>
      </c>
      <c r="S38" s="1089"/>
    </row>
    <row r="39" spans="1:20" s="700" customFormat="1" ht="57" hidden="1" customHeight="1">
      <c r="A39" s="1414">
        <v>2.2000000000000002</v>
      </c>
      <c r="B39" s="1415" t="s">
        <v>235</v>
      </c>
      <c r="C39" s="1416">
        <f>ROUND(Data!K161,2)</f>
        <v>1531</v>
      </c>
      <c r="D39" s="1417" t="s">
        <v>1219</v>
      </c>
      <c r="E39" s="1278"/>
      <c r="F39" s="1125">
        <f t="shared" si="0"/>
        <v>0</v>
      </c>
      <c r="G39" s="1273"/>
      <c r="H39" s="1125">
        <f t="shared" si="1"/>
        <v>0</v>
      </c>
      <c r="I39" s="748"/>
      <c r="J39" s="748">
        <f t="shared" si="2"/>
        <v>0</v>
      </c>
      <c r="K39" s="1273"/>
      <c r="L39" s="1125">
        <f t="shared" si="3"/>
        <v>0</v>
      </c>
      <c r="M39" s="1412"/>
      <c r="N39" s="1339">
        <f t="shared" si="4"/>
        <v>0</v>
      </c>
      <c r="O39" s="1340">
        <f t="shared" si="5"/>
        <v>0</v>
      </c>
      <c r="P39" s="1339">
        <f t="shared" si="6"/>
        <v>0</v>
      </c>
      <c r="Q39" s="1340">
        <f t="shared" si="7"/>
        <v>0</v>
      </c>
      <c r="R39" s="1339">
        <f t="shared" si="8"/>
        <v>0</v>
      </c>
    </row>
    <row r="40" spans="1:20" s="812" customFormat="1" ht="57" hidden="1" customHeight="1">
      <c r="A40" s="1107">
        <v>2.2999999999999998</v>
      </c>
      <c r="B40" s="1108" t="s">
        <v>2028</v>
      </c>
      <c r="C40" s="1111">
        <f>ROUND(Data!C165,2)</f>
        <v>903.15</v>
      </c>
      <c r="D40" s="1110" t="s">
        <v>1219</v>
      </c>
      <c r="E40" s="1276"/>
      <c r="F40" s="1125">
        <f t="shared" si="0"/>
        <v>0</v>
      </c>
      <c r="G40" s="1199"/>
      <c r="H40" s="1125">
        <f t="shared" si="1"/>
        <v>0</v>
      </c>
      <c r="I40" s="748"/>
      <c r="J40" s="748">
        <f t="shared" si="2"/>
        <v>0</v>
      </c>
      <c r="K40" s="1199"/>
      <c r="L40" s="1125">
        <f t="shared" si="3"/>
        <v>0</v>
      </c>
      <c r="M40" s="1200"/>
      <c r="N40" s="1339">
        <f t="shared" si="4"/>
        <v>0</v>
      </c>
      <c r="O40" s="1340">
        <f t="shared" si="5"/>
        <v>0</v>
      </c>
      <c r="P40" s="1339">
        <f t="shared" si="6"/>
        <v>0</v>
      </c>
      <c r="Q40" s="1340">
        <f t="shared" si="7"/>
        <v>0</v>
      </c>
      <c r="R40" s="1339">
        <f t="shared" si="8"/>
        <v>0</v>
      </c>
    </row>
    <row r="41" spans="1:20" s="812" customFormat="1" ht="70.5" hidden="1" customHeight="1">
      <c r="A41" s="1107">
        <v>2.4</v>
      </c>
      <c r="B41" s="1108" t="s">
        <v>367</v>
      </c>
      <c r="C41" s="1111">
        <f>ROUND(Data!C166,2)</f>
        <v>984.15</v>
      </c>
      <c r="D41" s="1110" t="s">
        <v>1219</v>
      </c>
      <c r="E41" s="1276"/>
      <c r="F41" s="1125">
        <f t="shared" si="0"/>
        <v>0</v>
      </c>
      <c r="G41" s="1199"/>
      <c r="H41" s="1125">
        <f t="shared" si="1"/>
        <v>0</v>
      </c>
      <c r="I41" s="748"/>
      <c r="J41" s="748">
        <f t="shared" si="2"/>
        <v>0</v>
      </c>
      <c r="K41" s="1199"/>
      <c r="L41" s="1125">
        <f t="shared" si="3"/>
        <v>0</v>
      </c>
      <c r="M41" s="1200"/>
      <c r="N41" s="1339">
        <f t="shared" si="4"/>
        <v>0</v>
      </c>
      <c r="O41" s="1340">
        <f t="shared" si="5"/>
        <v>0</v>
      </c>
      <c r="P41" s="1339">
        <f t="shared" si="6"/>
        <v>0</v>
      </c>
      <c r="Q41" s="1340">
        <f t="shared" si="7"/>
        <v>0</v>
      </c>
      <c r="R41" s="1339">
        <f t="shared" si="8"/>
        <v>0</v>
      </c>
    </row>
    <row r="42" spans="1:20" s="700" customFormat="1" ht="70.5" hidden="1" customHeight="1">
      <c r="A42" s="1105">
        <v>2.5</v>
      </c>
      <c r="B42" s="538" t="s">
        <v>371</v>
      </c>
      <c r="C42" s="602">
        <f>ROUND(Data!K189,2)</f>
        <v>385.22</v>
      </c>
      <c r="D42" s="744" t="s">
        <v>1219</v>
      </c>
      <c r="E42" s="1276"/>
      <c r="F42" s="1125">
        <f t="shared" si="0"/>
        <v>0</v>
      </c>
      <c r="G42" s="1199"/>
      <c r="H42" s="1125">
        <f t="shared" si="1"/>
        <v>0</v>
      </c>
      <c r="I42" s="748"/>
      <c r="J42" s="748">
        <f t="shared" si="2"/>
        <v>0</v>
      </c>
      <c r="K42" s="1199"/>
      <c r="L42" s="1125">
        <f t="shared" si="3"/>
        <v>0</v>
      </c>
      <c r="M42" s="1200"/>
      <c r="N42" s="1339">
        <f t="shared" si="4"/>
        <v>0</v>
      </c>
      <c r="O42" s="1340">
        <f t="shared" si="5"/>
        <v>0</v>
      </c>
      <c r="P42" s="1339">
        <f t="shared" si="6"/>
        <v>0</v>
      </c>
      <c r="Q42" s="1340">
        <f t="shared" si="7"/>
        <v>0</v>
      </c>
      <c r="R42" s="1339">
        <f t="shared" si="8"/>
        <v>0</v>
      </c>
    </row>
    <row r="43" spans="1:20" s="700" customFormat="1" ht="70.5" hidden="1" customHeight="1">
      <c r="A43" s="1105">
        <v>2.6</v>
      </c>
      <c r="B43" s="538" t="s">
        <v>486</v>
      </c>
      <c r="C43" s="743">
        <f>ROUND(Data!K171,2)</f>
        <v>1332.34</v>
      </c>
      <c r="D43" s="744" t="s">
        <v>1219</v>
      </c>
      <c r="E43" s="1276"/>
      <c r="F43" s="1125">
        <f t="shared" si="0"/>
        <v>0</v>
      </c>
      <c r="G43" s="1199"/>
      <c r="H43" s="1125">
        <f t="shared" si="1"/>
        <v>0</v>
      </c>
      <c r="I43" s="748"/>
      <c r="J43" s="748">
        <f t="shared" si="2"/>
        <v>0</v>
      </c>
      <c r="K43" s="1199"/>
      <c r="L43" s="1125">
        <f t="shared" si="3"/>
        <v>0</v>
      </c>
      <c r="M43" s="1200"/>
      <c r="N43" s="1339">
        <f t="shared" si="4"/>
        <v>0</v>
      </c>
      <c r="O43" s="1340">
        <f t="shared" si="5"/>
        <v>0</v>
      </c>
      <c r="P43" s="1339">
        <f t="shared" si="6"/>
        <v>0</v>
      </c>
      <c r="Q43" s="1340">
        <f t="shared" si="7"/>
        <v>0</v>
      </c>
      <c r="R43" s="1339">
        <f t="shared" si="8"/>
        <v>0</v>
      </c>
    </row>
    <row r="44" spans="1:20" s="700" customFormat="1" ht="70.5" hidden="1" customHeight="1">
      <c r="A44" s="1105">
        <v>2.7</v>
      </c>
      <c r="B44" s="538" t="s">
        <v>306</v>
      </c>
      <c r="C44" s="743">
        <f>ROUND(Data!K179,2)</f>
        <v>1745.34</v>
      </c>
      <c r="D44" s="744" t="s">
        <v>1219</v>
      </c>
      <c r="E44" s="1276"/>
      <c r="F44" s="1125">
        <f t="shared" si="0"/>
        <v>0</v>
      </c>
      <c r="G44" s="1199"/>
      <c r="H44" s="1125">
        <f t="shared" si="1"/>
        <v>0</v>
      </c>
      <c r="I44" s="748"/>
      <c r="J44" s="748">
        <f t="shared" si="2"/>
        <v>0</v>
      </c>
      <c r="K44" s="1199"/>
      <c r="L44" s="1125">
        <f t="shared" si="3"/>
        <v>0</v>
      </c>
      <c r="M44" s="1200"/>
      <c r="N44" s="1339">
        <f t="shared" si="4"/>
        <v>0</v>
      </c>
      <c r="O44" s="1340">
        <f t="shared" si="5"/>
        <v>0</v>
      </c>
      <c r="P44" s="1339">
        <f t="shared" si="6"/>
        <v>0</v>
      </c>
      <c r="Q44" s="1340">
        <f t="shared" si="7"/>
        <v>0</v>
      </c>
      <c r="R44" s="1339">
        <f t="shared" si="8"/>
        <v>0</v>
      </c>
    </row>
    <row r="45" spans="1:20" s="1339" customFormat="1" ht="52.5" customHeight="1">
      <c r="A45" s="1486">
        <v>3.1</v>
      </c>
      <c r="B45" s="1198" t="s">
        <v>1919</v>
      </c>
      <c r="C45" s="1111">
        <f>ROUND(Data!K204,2)</f>
        <v>4888.3100000000004</v>
      </c>
      <c r="D45" s="1110" t="s">
        <v>1219</v>
      </c>
      <c r="E45" s="1336">
        <v>76</v>
      </c>
      <c r="F45" s="1125">
        <f t="shared" si="0"/>
        <v>371511.56</v>
      </c>
      <c r="G45" s="1335">
        <v>1.8</v>
      </c>
      <c r="H45" s="1125">
        <f t="shared" si="1"/>
        <v>8798.9599999999991</v>
      </c>
      <c r="I45" s="1312"/>
      <c r="J45" s="1406">
        <f t="shared" si="2"/>
        <v>0</v>
      </c>
      <c r="K45" s="1335"/>
      <c r="L45" s="1125">
        <f t="shared" si="3"/>
        <v>0</v>
      </c>
      <c r="M45" s="1340"/>
      <c r="N45" s="1339">
        <f t="shared" si="4"/>
        <v>0</v>
      </c>
      <c r="O45" s="1340">
        <f t="shared" si="5"/>
        <v>1.8</v>
      </c>
      <c r="P45" s="1339">
        <f t="shared" si="6"/>
        <v>8798.9599999999991</v>
      </c>
      <c r="Q45" s="1340">
        <f t="shared" si="7"/>
        <v>77.8</v>
      </c>
      <c r="R45" s="1339">
        <f t="shared" si="8"/>
        <v>380310.52</v>
      </c>
      <c r="S45" s="1322">
        <f t="shared" ref="S45:S46" si="11">F45+P45</f>
        <v>380310.52</v>
      </c>
      <c r="T45" s="1322">
        <f t="shared" ref="T45:T46" si="12">S45-R45</f>
        <v>0</v>
      </c>
    </row>
    <row r="46" spans="1:20" ht="70.5" customHeight="1">
      <c r="A46" s="1486">
        <v>3.2</v>
      </c>
      <c r="B46" s="1198" t="s">
        <v>1970</v>
      </c>
      <c r="C46" s="1111">
        <f>ROUND(Data!K219,2)</f>
        <v>6434.18</v>
      </c>
      <c r="D46" s="1110" t="s">
        <v>1219</v>
      </c>
      <c r="E46" s="1336">
        <v>37.200000000000003</v>
      </c>
      <c r="F46" s="1125">
        <f t="shared" si="0"/>
        <v>239351.5</v>
      </c>
      <c r="G46" s="1335"/>
      <c r="H46" s="1125">
        <f t="shared" si="1"/>
        <v>0</v>
      </c>
      <c r="I46" s="1312"/>
      <c r="J46" s="1406">
        <f t="shared" si="2"/>
        <v>0</v>
      </c>
      <c r="K46" s="1335"/>
      <c r="L46" s="1125">
        <f t="shared" si="3"/>
        <v>0</v>
      </c>
      <c r="M46" s="1343"/>
      <c r="N46" s="1339">
        <f t="shared" si="4"/>
        <v>0</v>
      </c>
      <c r="O46" s="1340">
        <f t="shared" si="5"/>
        <v>0</v>
      </c>
      <c r="P46" s="1339">
        <f t="shared" si="6"/>
        <v>0</v>
      </c>
      <c r="Q46" s="1340">
        <f t="shared" si="7"/>
        <v>37.200000000000003</v>
      </c>
      <c r="R46" s="1339">
        <f t="shared" si="8"/>
        <v>239351.5</v>
      </c>
      <c r="S46" s="1322">
        <f t="shared" si="11"/>
        <v>239351.5</v>
      </c>
      <c r="T46" s="1322">
        <f t="shared" si="12"/>
        <v>0</v>
      </c>
    </row>
    <row r="47" spans="1:20" s="700" customFormat="1" ht="70.5" hidden="1" customHeight="1">
      <c r="A47" s="1414">
        <v>3.3</v>
      </c>
      <c r="B47" s="1415" t="s">
        <v>1971</v>
      </c>
      <c r="C47" s="1418">
        <f>ROUND(Data!K234,2)</f>
        <v>4281.3900000000003</v>
      </c>
      <c r="D47" s="1417" t="s">
        <v>1219</v>
      </c>
      <c r="E47" s="1278"/>
      <c r="F47" s="1125">
        <f t="shared" si="0"/>
        <v>0</v>
      </c>
      <c r="G47" s="1273"/>
      <c r="H47" s="1125">
        <f t="shared" si="1"/>
        <v>0</v>
      </c>
      <c r="I47" s="748"/>
      <c r="J47" s="748">
        <f t="shared" si="2"/>
        <v>0</v>
      </c>
      <c r="K47" s="1273"/>
      <c r="L47" s="1125">
        <f t="shared" si="3"/>
        <v>0</v>
      </c>
      <c r="M47" s="1419"/>
      <c r="N47" s="1339">
        <f t="shared" si="4"/>
        <v>0</v>
      </c>
      <c r="O47" s="1340">
        <f t="shared" si="5"/>
        <v>0</v>
      </c>
      <c r="P47" s="1339">
        <f t="shared" si="6"/>
        <v>0</v>
      </c>
      <c r="Q47" s="1340">
        <f t="shared" si="7"/>
        <v>0</v>
      </c>
      <c r="R47" s="1339">
        <f t="shared" si="8"/>
        <v>0</v>
      </c>
      <c r="T47" s="700">
        <f>4360-145</f>
        <v>4215</v>
      </c>
    </row>
    <row r="48" spans="1:20" s="700" customFormat="1" ht="70.5" hidden="1" customHeight="1">
      <c r="A48" s="1105">
        <v>3.4</v>
      </c>
      <c r="B48" s="538" t="s">
        <v>605</v>
      </c>
      <c r="C48" s="602"/>
      <c r="D48" s="744" t="s">
        <v>1876</v>
      </c>
      <c r="E48" s="1276"/>
      <c r="F48" s="1125">
        <f t="shared" si="0"/>
        <v>0</v>
      </c>
      <c r="G48" s="1199"/>
      <c r="H48" s="1125">
        <f t="shared" si="1"/>
        <v>0</v>
      </c>
      <c r="I48" s="748"/>
      <c r="J48" s="748">
        <f t="shared" si="2"/>
        <v>0</v>
      </c>
      <c r="K48" s="1199"/>
      <c r="L48" s="1125">
        <f t="shared" si="3"/>
        <v>0</v>
      </c>
      <c r="M48" s="1200"/>
      <c r="N48" s="1339">
        <f t="shared" si="4"/>
        <v>0</v>
      </c>
      <c r="O48" s="1340">
        <f t="shared" si="5"/>
        <v>0</v>
      </c>
      <c r="P48" s="1339">
        <f t="shared" si="6"/>
        <v>0</v>
      </c>
      <c r="Q48" s="1340">
        <f t="shared" si="7"/>
        <v>0</v>
      </c>
      <c r="R48" s="1339">
        <f t="shared" si="8"/>
        <v>0</v>
      </c>
    </row>
    <row r="49" spans="1:20" s="700" customFormat="1" ht="70.5" hidden="1" customHeight="1">
      <c r="A49" s="1105">
        <v>3.5</v>
      </c>
      <c r="B49" s="538" t="s">
        <v>606</v>
      </c>
      <c r="C49" s="602"/>
      <c r="D49" s="744" t="s">
        <v>1876</v>
      </c>
      <c r="E49" s="1276"/>
      <c r="F49" s="1125">
        <f t="shared" si="0"/>
        <v>0</v>
      </c>
      <c r="G49" s="1199"/>
      <c r="H49" s="1125">
        <f t="shared" si="1"/>
        <v>0</v>
      </c>
      <c r="I49" s="748"/>
      <c r="J49" s="748">
        <f t="shared" si="2"/>
        <v>0</v>
      </c>
      <c r="K49" s="1199"/>
      <c r="L49" s="1125">
        <f t="shared" si="3"/>
        <v>0</v>
      </c>
      <c r="M49" s="1200"/>
      <c r="N49" s="1339">
        <f t="shared" si="4"/>
        <v>0</v>
      </c>
      <c r="O49" s="1340">
        <f t="shared" si="5"/>
        <v>0</v>
      </c>
      <c r="P49" s="1339">
        <f t="shared" si="6"/>
        <v>0</v>
      </c>
      <c r="Q49" s="1340">
        <f t="shared" si="7"/>
        <v>0</v>
      </c>
      <c r="R49" s="1339">
        <f t="shared" si="8"/>
        <v>0</v>
      </c>
    </row>
    <row r="50" spans="1:20" s="700" customFormat="1" ht="70.5" hidden="1" customHeight="1">
      <c r="A50" s="1105">
        <v>3.6</v>
      </c>
      <c r="B50" s="538" t="s">
        <v>837</v>
      </c>
      <c r="C50" s="602">
        <f>ROUND(Data!K249,2)</f>
        <v>185.42</v>
      </c>
      <c r="D50" s="744" t="s">
        <v>1876</v>
      </c>
      <c r="E50" s="1276"/>
      <c r="F50" s="1125">
        <f t="shared" si="0"/>
        <v>0</v>
      </c>
      <c r="G50" s="1199"/>
      <c r="H50" s="1125">
        <f t="shared" si="1"/>
        <v>0</v>
      </c>
      <c r="I50" s="748"/>
      <c r="J50" s="748">
        <f t="shared" si="2"/>
        <v>0</v>
      </c>
      <c r="K50" s="1199"/>
      <c r="L50" s="1125">
        <f t="shared" si="3"/>
        <v>0</v>
      </c>
      <c r="M50" s="1200"/>
      <c r="N50" s="1339">
        <f t="shared" si="4"/>
        <v>0</v>
      </c>
      <c r="O50" s="1340">
        <f t="shared" si="5"/>
        <v>0</v>
      </c>
      <c r="P50" s="1339">
        <f t="shared" si="6"/>
        <v>0</v>
      </c>
      <c r="Q50" s="1340">
        <f t="shared" si="7"/>
        <v>0</v>
      </c>
      <c r="R50" s="1339">
        <f t="shared" si="8"/>
        <v>0</v>
      </c>
    </row>
    <row r="51" spans="1:20" s="700" customFormat="1" ht="70.5" hidden="1" customHeight="1">
      <c r="A51" s="1105">
        <v>3.7</v>
      </c>
      <c r="B51" s="538" t="s">
        <v>1920</v>
      </c>
      <c r="C51" s="602">
        <f>ROUND(Data!K261,2)</f>
        <v>143.94</v>
      </c>
      <c r="D51" s="744" t="s">
        <v>1876</v>
      </c>
      <c r="E51" s="1276"/>
      <c r="F51" s="1125">
        <f t="shared" si="0"/>
        <v>0</v>
      </c>
      <c r="G51" s="1199"/>
      <c r="H51" s="1125">
        <f t="shared" si="1"/>
        <v>0</v>
      </c>
      <c r="I51" s="748"/>
      <c r="J51" s="748">
        <f t="shared" si="2"/>
        <v>0</v>
      </c>
      <c r="K51" s="1199"/>
      <c r="L51" s="1125">
        <f t="shared" si="3"/>
        <v>0</v>
      </c>
      <c r="M51" s="1200"/>
      <c r="N51" s="1339">
        <f t="shared" si="4"/>
        <v>0</v>
      </c>
      <c r="O51" s="1340">
        <f t="shared" si="5"/>
        <v>0</v>
      </c>
      <c r="P51" s="1339">
        <f t="shared" si="6"/>
        <v>0</v>
      </c>
      <c r="Q51" s="1340">
        <f t="shared" si="7"/>
        <v>0</v>
      </c>
      <c r="R51" s="1339">
        <f t="shared" si="8"/>
        <v>0</v>
      </c>
    </row>
    <row r="52" spans="1:20" s="700" customFormat="1" ht="70.5" hidden="1" customHeight="1">
      <c r="A52" s="1105">
        <v>4.0999999999999996</v>
      </c>
      <c r="B52" s="600" t="s">
        <v>4078</v>
      </c>
      <c r="C52" s="743">
        <f>ROUND(Data!K285,2)</f>
        <v>8058.2</v>
      </c>
      <c r="D52" s="744" t="s">
        <v>1219</v>
      </c>
      <c r="E52" s="1276"/>
      <c r="F52" s="1125">
        <f t="shared" si="0"/>
        <v>0</v>
      </c>
      <c r="G52" s="1199"/>
      <c r="H52" s="1125">
        <f t="shared" si="1"/>
        <v>0</v>
      </c>
      <c r="I52" s="748"/>
      <c r="J52" s="748">
        <f t="shared" si="2"/>
        <v>0</v>
      </c>
      <c r="K52" s="1199"/>
      <c r="L52" s="1125">
        <f t="shared" si="3"/>
        <v>0</v>
      </c>
      <c r="M52" s="1200"/>
      <c r="N52" s="1339">
        <f t="shared" si="4"/>
        <v>0</v>
      </c>
      <c r="O52" s="1340">
        <f t="shared" si="5"/>
        <v>0</v>
      </c>
      <c r="P52" s="1339">
        <f t="shared" si="6"/>
        <v>0</v>
      </c>
      <c r="Q52" s="1340">
        <f t="shared" si="7"/>
        <v>0</v>
      </c>
      <c r="R52" s="1339">
        <f t="shared" si="8"/>
        <v>0</v>
      </c>
    </row>
    <row r="53" spans="1:20" s="700" customFormat="1" ht="70.5" hidden="1" customHeight="1">
      <c r="A53" s="1105">
        <v>4.2</v>
      </c>
      <c r="B53" s="600" t="s">
        <v>4079</v>
      </c>
      <c r="C53" s="743">
        <f>Data!K821</f>
        <v>8708.7099999999991</v>
      </c>
      <c r="D53" s="744" t="s">
        <v>1219</v>
      </c>
      <c r="E53" s="1276"/>
      <c r="F53" s="1125">
        <f t="shared" si="0"/>
        <v>0</v>
      </c>
      <c r="G53" s="1199"/>
      <c r="H53" s="1125">
        <f t="shared" si="1"/>
        <v>0</v>
      </c>
      <c r="I53" s="748"/>
      <c r="J53" s="748">
        <f t="shared" si="2"/>
        <v>0</v>
      </c>
      <c r="K53" s="1199"/>
      <c r="L53" s="1125">
        <f t="shared" si="3"/>
        <v>0</v>
      </c>
      <c r="M53" s="1200"/>
      <c r="N53" s="1339">
        <f t="shared" si="4"/>
        <v>0</v>
      </c>
      <c r="O53" s="1340">
        <f t="shared" si="5"/>
        <v>0</v>
      </c>
      <c r="P53" s="1339">
        <f t="shared" si="6"/>
        <v>0</v>
      </c>
      <c r="Q53" s="1340">
        <f t="shared" si="7"/>
        <v>0</v>
      </c>
      <c r="R53" s="1339">
        <f t="shared" si="8"/>
        <v>0</v>
      </c>
    </row>
    <row r="54" spans="1:20" s="812" customFormat="1" ht="70.5" hidden="1" customHeight="1">
      <c r="A54" s="1107">
        <v>5</v>
      </c>
      <c r="B54" s="1108" t="s">
        <v>904</v>
      </c>
      <c r="C54" s="1109">
        <f>ROUND(Data!K306,2)</f>
        <v>5470.46</v>
      </c>
      <c r="D54" s="1110" t="s">
        <v>1219</v>
      </c>
      <c r="E54" s="1276"/>
      <c r="F54" s="1125">
        <f t="shared" si="0"/>
        <v>0</v>
      </c>
      <c r="G54" s="1199"/>
      <c r="H54" s="1125">
        <f t="shared" si="1"/>
        <v>0</v>
      </c>
      <c r="I54" s="748"/>
      <c r="J54" s="748">
        <f t="shared" si="2"/>
        <v>0</v>
      </c>
      <c r="K54" s="1199"/>
      <c r="L54" s="1125">
        <f t="shared" si="3"/>
        <v>0</v>
      </c>
      <c r="M54" s="1200"/>
      <c r="N54" s="1339">
        <f t="shared" si="4"/>
        <v>0</v>
      </c>
      <c r="O54" s="1340">
        <f t="shared" si="5"/>
        <v>0</v>
      </c>
      <c r="P54" s="1339">
        <f t="shared" si="6"/>
        <v>0</v>
      </c>
      <c r="Q54" s="1340">
        <f t="shared" si="7"/>
        <v>0</v>
      </c>
      <c r="R54" s="1339">
        <f t="shared" si="8"/>
        <v>0</v>
      </c>
    </row>
    <row r="55" spans="1:20" s="700" customFormat="1" ht="70.5" hidden="1" customHeight="1">
      <c r="A55" s="1105">
        <v>6.1</v>
      </c>
      <c r="B55" s="600" t="s">
        <v>4088</v>
      </c>
      <c r="C55" s="602">
        <f>Data!X321</f>
        <v>7109.63</v>
      </c>
      <c r="D55" s="744" t="s">
        <v>1219</v>
      </c>
      <c r="E55" s="1276"/>
      <c r="F55" s="1125">
        <f t="shared" si="0"/>
        <v>0</v>
      </c>
      <c r="G55" s="1199"/>
      <c r="H55" s="1125">
        <f t="shared" si="1"/>
        <v>0</v>
      </c>
      <c r="I55" s="748"/>
      <c r="J55" s="748">
        <f t="shared" si="2"/>
        <v>0</v>
      </c>
      <c r="K55" s="1199"/>
      <c r="L55" s="1125">
        <f t="shared" si="3"/>
        <v>0</v>
      </c>
      <c r="M55" s="1200"/>
      <c r="N55" s="1339">
        <f t="shared" si="4"/>
        <v>0</v>
      </c>
      <c r="O55" s="1340">
        <f t="shared" si="5"/>
        <v>0</v>
      </c>
      <c r="P55" s="1339">
        <f t="shared" si="6"/>
        <v>0</v>
      </c>
      <c r="Q55" s="1340">
        <f t="shared" si="7"/>
        <v>0</v>
      </c>
      <c r="R55" s="1339">
        <f t="shared" si="8"/>
        <v>0</v>
      </c>
    </row>
    <row r="56" spans="1:20" ht="70.5" customHeight="1">
      <c r="A56" s="1486">
        <v>6.2</v>
      </c>
      <c r="B56" s="1344" t="s">
        <v>4089</v>
      </c>
      <c r="C56" s="1111">
        <f>ROUND(Data!AG321,2)</f>
        <v>6772.44</v>
      </c>
      <c r="D56" s="1110" t="s">
        <v>1219</v>
      </c>
      <c r="E56" s="1336">
        <v>70.400000000000006</v>
      </c>
      <c r="F56" s="1125">
        <f t="shared" si="0"/>
        <v>476779.78</v>
      </c>
      <c r="G56" s="1335"/>
      <c r="H56" s="1125">
        <f t="shared" si="1"/>
        <v>0</v>
      </c>
      <c r="I56" s="1312"/>
      <c r="J56" s="1406">
        <f t="shared" si="2"/>
        <v>0</v>
      </c>
      <c r="K56" s="1335"/>
      <c r="L56" s="1125">
        <f t="shared" si="3"/>
        <v>0</v>
      </c>
      <c r="M56" s="1343"/>
      <c r="N56" s="1339">
        <f t="shared" si="4"/>
        <v>0</v>
      </c>
      <c r="O56" s="1340">
        <f t="shared" si="5"/>
        <v>0</v>
      </c>
      <c r="P56" s="1339">
        <f t="shared" si="6"/>
        <v>0</v>
      </c>
      <c r="Q56" s="1340">
        <f t="shared" si="7"/>
        <v>70.400000000000006</v>
      </c>
      <c r="R56" s="1339">
        <f t="shared" si="8"/>
        <v>476779.78</v>
      </c>
      <c r="S56" s="1322">
        <f>F56+P56</f>
        <v>476779.78</v>
      </c>
      <c r="T56" s="1322">
        <f>S56-R56</f>
        <v>0</v>
      </c>
    </row>
    <row r="57" spans="1:20" s="700" customFormat="1" ht="70.5" hidden="1" customHeight="1">
      <c r="A57" s="1414">
        <v>6.3</v>
      </c>
      <c r="B57" s="1420" t="s">
        <v>4090</v>
      </c>
      <c r="C57" s="1416"/>
      <c r="D57" s="1417" t="s">
        <v>1219</v>
      </c>
      <c r="E57" s="1278"/>
      <c r="F57" s="1125">
        <f t="shared" si="0"/>
        <v>0</v>
      </c>
      <c r="G57" s="1273"/>
      <c r="H57" s="1125">
        <f t="shared" si="1"/>
        <v>0</v>
      </c>
      <c r="I57" s="748"/>
      <c r="J57" s="748">
        <f t="shared" si="2"/>
        <v>0</v>
      </c>
      <c r="K57" s="1273"/>
      <c r="L57" s="1125">
        <f t="shared" si="3"/>
        <v>0</v>
      </c>
      <c r="M57" s="1412"/>
      <c r="N57" s="1339">
        <f t="shared" si="4"/>
        <v>0</v>
      </c>
      <c r="O57" s="1340">
        <f t="shared" si="5"/>
        <v>0</v>
      </c>
      <c r="P57" s="1339">
        <f t="shared" si="6"/>
        <v>0</v>
      </c>
      <c r="Q57" s="1340">
        <f t="shared" si="7"/>
        <v>0</v>
      </c>
      <c r="R57" s="1339">
        <f t="shared" si="8"/>
        <v>0</v>
      </c>
    </row>
    <row r="58" spans="1:20" s="700" customFormat="1" ht="70.5" hidden="1" customHeight="1">
      <c r="A58" s="1105">
        <v>6.4</v>
      </c>
      <c r="B58" s="600" t="s">
        <v>4091</v>
      </c>
      <c r="C58" s="602"/>
      <c r="D58" s="744" t="s">
        <v>1219</v>
      </c>
      <c r="E58" s="1276"/>
      <c r="F58" s="1125">
        <f t="shared" si="0"/>
        <v>0</v>
      </c>
      <c r="G58" s="1199"/>
      <c r="H58" s="1125">
        <f t="shared" si="1"/>
        <v>0</v>
      </c>
      <c r="I58" s="748"/>
      <c r="J58" s="748">
        <f t="shared" si="2"/>
        <v>0</v>
      </c>
      <c r="K58" s="1199"/>
      <c r="L58" s="1125">
        <f t="shared" si="3"/>
        <v>0</v>
      </c>
      <c r="M58" s="1200"/>
      <c r="N58" s="1339">
        <f t="shared" si="4"/>
        <v>0</v>
      </c>
      <c r="O58" s="1340">
        <f t="shared" si="5"/>
        <v>0</v>
      </c>
      <c r="P58" s="1339">
        <f t="shared" si="6"/>
        <v>0</v>
      </c>
      <c r="Q58" s="1340">
        <f t="shared" si="7"/>
        <v>0</v>
      </c>
      <c r="R58" s="1339">
        <f t="shared" si="8"/>
        <v>0</v>
      </c>
    </row>
    <row r="59" spans="1:20" s="812" customFormat="1" ht="70.5" hidden="1" customHeight="1">
      <c r="A59" s="1107">
        <v>6.5</v>
      </c>
      <c r="B59" s="1112" t="s">
        <v>4080</v>
      </c>
      <c r="C59" s="1109">
        <f>Data!K321</f>
        <v>6761.33</v>
      </c>
      <c r="D59" s="1110" t="s">
        <v>1219</v>
      </c>
      <c r="E59" s="1276"/>
      <c r="F59" s="1125">
        <f t="shared" si="0"/>
        <v>0</v>
      </c>
      <c r="G59" s="1199"/>
      <c r="H59" s="1125">
        <f t="shared" si="1"/>
        <v>0</v>
      </c>
      <c r="I59" s="748"/>
      <c r="J59" s="748">
        <f t="shared" si="2"/>
        <v>0</v>
      </c>
      <c r="K59" s="1199"/>
      <c r="L59" s="1125">
        <f t="shared" si="3"/>
        <v>0</v>
      </c>
      <c r="M59" s="1200"/>
      <c r="N59" s="1339">
        <f t="shared" si="4"/>
        <v>0</v>
      </c>
      <c r="O59" s="1340">
        <f t="shared" si="5"/>
        <v>0</v>
      </c>
      <c r="P59" s="1339">
        <f t="shared" si="6"/>
        <v>0</v>
      </c>
      <c r="Q59" s="1340">
        <f t="shared" si="7"/>
        <v>0</v>
      </c>
      <c r="R59" s="1339">
        <f t="shared" si="8"/>
        <v>0</v>
      </c>
    </row>
    <row r="60" spans="1:20" s="700" customFormat="1" ht="70.5" hidden="1" customHeight="1">
      <c r="A60" s="1105">
        <v>6.6</v>
      </c>
      <c r="B60" s="600" t="s">
        <v>4092</v>
      </c>
      <c r="C60" s="602"/>
      <c r="D60" s="744" t="s">
        <v>1219</v>
      </c>
      <c r="E60" s="1276"/>
      <c r="F60" s="1125">
        <f t="shared" si="0"/>
        <v>0</v>
      </c>
      <c r="G60" s="1199"/>
      <c r="H60" s="1125">
        <f t="shared" si="1"/>
        <v>0</v>
      </c>
      <c r="I60" s="748"/>
      <c r="J60" s="748">
        <f t="shared" si="2"/>
        <v>0</v>
      </c>
      <c r="K60" s="1199"/>
      <c r="L60" s="1125">
        <f t="shared" si="3"/>
        <v>0</v>
      </c>
      <c r="M60" s="1200"/>
      <c r="N60" s="1339">
        <f t="shared" si="4"/>
        <v>0</v>
      </c>
      <c r="O60" s="1340">
        <f t="shared" si="5"/>
        <v>0</v>
      </c>
      <c r="P60" s="1339">
        <f t="shared" si="6"/>
        <v>0</v>
      </c>
      <c r="Q60" s="1340">
        <f t="shared" si="7"/>
        <v>0</v>
      </c>
      <c r="R60" s="1339">
        <f t="shared" si="8"/>
        <v>0</v>
      </c>
    </row>
    <row r="61" spans="1:20" s="700" customFormat="1" ht="70.5" hidden="1" customHeight="1">
      <c r="A61" s="1105">
        <v>7.1</v>
      </c>
      <c r="B61" s="600" t="s">
        <v>4093</v>
      </c>
      <c r="C61" s="602"/>
      <c r="D61" s="744" t="s">
        <v>1876</v>
      </c>
      <c r="E61" s="1276"/>
      <c r="F61" s="1125">
        <f t="shared" si="0"/>
        <v>0</v>
      </c>
      <c r="G61" s="1199"/>
      <c r="H61" s="1125">
        <f t="shared" si="1"/>
        <v>0</v>
      </c>
      <c r="I61" s="748"/>
      <c r="J61" s="748">
        <f t="shared" si="2"/>
        <v>0</v>
      </c>
      <c r="K61" s="1199"/>
      <c r="L61" s="1125">
        <f t="shared" si="3"/>
        <v>0</v>
      </c>
      <c r="M61" s="1200"/>
      <c r="N61" s="1339">
        <f t="shared" si="4"/>
        <v>0</v>
      </c>
      <c r="O61" s="1340">
        <f t="shared" si="5"/>
        <v>0</v>
      </c>
      <c r="P61" s="1339">
        <f t="shared" si="6"/>
        <v>0</v>
      </c>
      <c r="Q61" s="1340">
        <f t="shared" si="7"/>
        <v>0</v>
      </c>
      <c r="R61" s="1339">
        <f t="shared" si="8"/>
        <v>0</v>
      </c>
    </row>
    <row r="62" spans="1:20" ht="76.5" customHeight="1">
      <c r="A62" s="1486">
        <v>7.2</v>
      </c>
      <c r="B62" s="1198" t="s">
        <v>4081</v>
      </c>
      <c r="C62" s="1111">
        <f>ROUND(Data!K329,2)</f>
        <v>719</v>
      </c>
      <c r="D62" s="1110" t="s">
        <v>1876</v>
      </c>
      <c r="E62" s="1336">
        <v>36</v>
      </c>
      <c r="F62" s="1125">
        <f t="shared" si="0"/>
        <v>25884</v>
      </c>
      <c r="G62" s="1335"/>
      <c r="H62" s="1125">
        <f t="shared" si="1"/>
        <v>0</v>
      </c>
      <c r="I62" s="1312"/>
      <c r="J62" s="1406">
        <f t="shared" si="2"/>
        <v>0</v>
      </c>
      <c r="K62" s="1335"/>
      <c r="L62" s="1125">
        <f t="shared" si="3"/>
        <v>0</v>
      </c>
      <c r="M62" s="1343"/>
      <c r="N62" s="1339">
        <f t="shared" si="4"/>
        <v>0</v>
      </c>
      <c r="O62" s="1340">
        <f t="shared" si="5"/>
        <v>0</v>
      </c>
      <c r="P62" s="1339">
        <f t="shared" si="6"/>
        <v>0</v>
      </c>
      <c r="Q62" s="1340">
        <f t="shared" si="7"/>
        <v>36</v>
      </c>
      <c r="R62" s="1339">
        <f t="shared" si="8"/>
        <v>25884</v>
      </c>
      <c r="S62" s="1322">
        <f>F62+P62</f>
        <v>25884</v>
      </c>
      <c r="T62" s="1322">
        <f>S62-R62</f>
        <v>0</v>
      </c>
    </row>
    <row r="63" spans="1:20" s="700" customFormat="1" ht="46.5" hidden="1">
      <c r="A63" s="1414">
        <v>7.3</v>
      </c>
      <c r="B63" s="1420" t="s">
        <v>4094</v>
      </c>
      <c r="C63" s="1416">
        <f>ROUND(Data!K497,2)</f>
        <v>325.61</v>
      </c>
      <c r="D63" s="1417" t="s">
        <v>1876</v>
      </c>
      <c r="E63" s="1278"/>
      <c r="F63" s="1125">
        <f t="shared" si="0"/>
        <v>0</v>
      </c>
      <c r="G63" s="1273"/>
      <c r="H63" s="1125">
        <f t="shared" si="1"/>
        <v>0</v>
      </c>
      <c r="I63" s="748"/>
      <c r="J63" s="748">
        <f t="shared" si="2"/>
        <v>0</v>
      </c>
      <c r="K63" s="1273"/>
      <c r="L63" s="1125">
        <f t="shared" si="3"/>
        <v>0</v>
      </c>
      <c r="M63" s="1412"/>
      <c r="N63" s="1339">
        <f t="shared" si="4"/>
        <v>0</v>
      </c>
      <c r="O63" s="1340">
        <f t="shared" si="5"/>
        <v>0</v>
      </c>
      <c r="P63" s="1339">
        <f t="shared" si="6"/>
        <v>0</v>
      </c>
      <c r="Q63" s="1340">
        <f t="shared" si="7"/>
        <v>0</v>
      </c>
      <c r="R63" s="1339">
        <f t="shared" si="8"/>
        <v>0</v>
      </c>
    </row>
    <row r="64" spans="1:20" s="601" customFormat="1" ht="23.25" hidden="1">
      <c r="A64" s="1105">
        <v>8.1</v>
      </c>
      <c r="B64" s="600" t="s">
        <v>607</v>
      </c>
      <c r="C64" s="743"/>
      <c r="D64" s="744"/>
      <c r="E64" s="1276"/>
      <c r="F64" s="1125">
        <f t="shared" si="0"/>
        <v>0</v>
      </c>
      <c r="G64" s="1199"/>
      <c r="H64" s="1125">
        <f t="shared" si="1"/>
        <v>0</v>
      </c>
      <c r="I64" s="748"/>
      <c r="J64" s="748">
        <f t="shared" si="2"/>
        <v>0</v>
      </c>
      <c r="K64" s="1199"/>
      <c r="L64" s="1125">
        <f t="shared" si="3"/>
        <v>0</v>
      </c>
      <c r="M64" s="1200"/>
      <c r="N64" s="1339">
        <f t="shared" si="4"/>
        <v>0</v>
      </c>
      <c r="O64" s="1340">
        <f t="shared" si="5"/>
        <v>0</v>
      </c>
      <c r="P64" s="1339">
        <f t="shared" si="6"/>
        <v>0</v>
      </c>
      <c r="Q64" s="1340">
        <f t="shared" si="7"/>
        <v>0</v>
      </c>
      <c r="R64" s="1339">
        <f t="shared" si="8"/>
        <v>0</v>
      </c>
      <c r="S64" s="1089"/>
    </row>
    <row r="65" spans="1:19" s="601" customFormat="1" ht="23.25" hidden="1">
      <c r="A65" s="1105"/>
      <c r="B65" s="538" t="s">
        <v>1276</v>
      </c>
      <c r="C65" s="743">
        <f>ROUND(Data!K287,2)</f>
        <v>8183.16</v>
      </c>
      <c r="D65" s="744" t="s">
        <v>1219</v>
      </c>
      <c r="E65" s="1276"/>
      <c r="F65" s="1125">
        <f t="shared" si="0"/>
        <v>0</v>
      </c>
      <c r="G65" s="1199"/>
      <c r="H65" s="1125">
        <f t="shared" si="1"/>
        <v>0</v>
      </c>
      <c r="I65" s="748"/>
      <c r="J65" s="748">
        <f t="shared" si="2"/>
        <v>0</v>
      </c>
      <c r="K65" s="1199"/>
      <c r="L65" s="1125">
        <f t="shared" si="3"/>
        <v>0</v>
      </c>
      <c r="M65" s="1200"/>
      <c r="N65" s="1339">
        <f t="shared" si="4"/>
        <v>0</v>
      </c>
      <c r="O65" s="1340">
        <f t="shared" si="5"/>
        <v>0</v>
      </c>
      <c r="P65" s="1339">
        <f t="shared" si="6"/>
        <v>0</v>
      </c>
      <c r="Q65" s="1340">
        <f t="shared" si="7"/>
        <v>0</v>
      </c>
      <c r="R65" s="1339">
        <f t="shared" si="8"/>
        <v>0</v>
      </c>
      <c r="S65" s="1089"/>
    </row>
    <row r="66" spans="1:19" s="601" customFormat="1" ht="23.25" hidden="1">
      <c r="A66" s="1105"/>
      <c r="B66" s="538" t="s">
        <v>1411</v>
      </c>
      <c r="C66" s="743">
        <f>ROUND(Data!K288,2)</f>
        <v>8429.34</v>
      </c>
      <c r="D66" s="744" t="s">
        <v>1219</v>
      </c>
      <c r="E66" s="1276"/>
      <c r="F66" s="1125">
        <f t="shared" si="0"/>
        <v>0</v>
      </c>
      <c r="G66" s="1199"/>
      <c r="H66" s="1125">
        <f t="shared" si="1"/>
        <v>0</v>
      </c>
      <c r="I66" s="748"/>
      <c r="J66" s="748">
        <f t="shared" si="2"/>
        <v>0</v>
      </c>
      <c r="K66" s="1199"/>
      <c r="L66" s="1125">
        <f t="shared" si="3"/>
        <v>0</v>
      </c>
      <c r="M66" s="1200"/>
      <c r="N66" s="1339">
        <f t="shared" si="4"/>
        <v>0</v>
      </c>
      <c r="O66" s="1340">
        <f t="shared" si="5"/>
        <v>0</v>
      </c>
      <c r="P66" s="1339">
        <f t="shared" si="6"/>
        <v>0</v>
      </c>
      <c r="Q66" s="1340">
        <f t="shared" si="7"/>
        <v>0</v>
      </c>
      <c r="R66" s="1339">
        <f t="shared" si="8"/>
        <v>0</v>
      </c>
      <c r="S66" s="1089"/>
    </row>
    <row r="67" spans="1:19" s="601" customFormat="1" ht="23.25" hidden="1">
      <c r="A67" s="1105"/>
      <c r="B67" s="538" t="s">
        <v>1459</v>
      </c>
      <c r="C67" s="743">
        <f>ROUND(Data!K289,2)</f>
        <v>8675.52</v>
      </c>
      <c r="D67" s="744" t="s">
        <v>1219</v>
      </c>
      <c r="E67" s="1276"/>
      <c r="F67" s="1125">
        <f t="shared" si="0"/>
        <v>0</v>
      </c>
      <c r="G67" s="1199"/>
      <c r="H67" s="1125">
        <f t="shared" si="1"/>
        <v>0</v>
      </c>
      <c r="I67" s="748"/>
      <c r="J67" s="748">
        <f t="shared" si="2"/>
        <v>0</v>
      </c>
      <c r="K67" s="1199"/>
      <c r="L67" s="1125">
        <f t="shared" si="3"/>
        <v>0</v>
      </c>
      <c r="M67" s="1200"/>
      <c r="N67" s="1339">
        <f t="shared" si="4"/>
        <v>0</v>
      </c>
      <c r="O67" s="1340">
        <f t="shared" si="5"/>
        <v>0</v>
      </c>
      <c r="P67" s="1339">
        <f t="shared" si="6"/>
        <v>0</v>
      </c>
      <c r="Q67" s="1340">
        <f t="shared" si="7"/>
        <v>0</v>
      </c>
      <c r="R67" s="1339">
        <f t="shared" si="8"/>
        <v>0</v>
      </c>
      <c r="S67" s="1089"/>
    </row>
    <row r="68" spans="1:19" s="601" customFormat="1" ht="23.25" hidden="1">
      <c r="A68" s="1105"/>
      <c r="B68" s="538" t="s">
        <v>1348</v>
      </c>
      <c r="C68" s="743">
        <f>ROUND(Data!K290,2)</f>
        <v>8921.7000000000007</v>
      </c>
      <c r="D68" s="744" t="s">
        <v>1219</v>
      </c>
      <c r="E68" s="1276"/>
      <c r="F68" s="1125">
        <f t="shared" si="0"/>
        <v>0</v>
      </c>
      <c r="G68" s="1199"/>
      <c r="H68" s="1125">
        <f t="shared" si="1"/>
        <v>0</v>
      </c>
      <c r="I68" s="748"/>
      <c r="J68" s="748">
        <f t="shared" si="2"/>
        <v>0</v>
      </c>
      <c r="K68" s="1199"/>
      <c r="L68" s="1125">
        <f t="shared" si="3"/>
        <v>0</v>
      </c>
      <c r="M68" s="1200"/>
      <c r="N68" s="1339">
        <f t="shared" si="4"/>
        <v>0</v>
      </c>
      <c r="O68" s="1340">
        <f t="shared" si="5"/>
        <v>0</v>
      </c>
      <c r="P68" s="1339">
        <f t="shared" si="6"/>
        <v>0</v>
      </c>
      <c r="Q68" s="1340">
        <f t="shared" si="7"/>
        <v>0</v>
      </c>
      <c r="R68" s="1339">
        <f t="shared" si="8"/>
        <v>0</v>
      </c>
      <c r="S68" s="1089"/>
    </row>
    <row r="69" spans="1:19" s="601" customFormat="1" ht="23.25" hidden="1">
      <c r="A69" s="1113"/>
      <c r="B69" s="538" t="s">
        <v>1099</v>
      </c>
      <c r="C69" s="743">
        <f>ROUND(Data!K291,2)</f>
        <v>9167.8799999999992</v>
      </c>
      <c r="D69" s="744" t="s">
        <v>1219</v>
      </c>
      <c r="E69" s="1276"/>
      <c r="F69" s="1125">
        <f t="shared" si="0"/>
        <v>0</v>
      </c>
      <c r="G69" s="1199"/>
      <c r="H69" s="1125">
        <f t="shared" si="1"/>
        <v>0</v>
      </c>
      <c r="I69" s="748"/>
      <c r="J69" s="748">
        <f t="shared" si="2"/>
        <v>0</v>
      </c>
      <c r="K69" s="1199"/>
      <c r="L69" s="1125">
        <f t="shared" si="3"/>
        <v>0</v>
      </c>
      <c r="M69" s="1200"/>
      <c r="N69" s="1339">
        <f t="shared" si="4"/>
        <v>0</v>
      </c>
      <c r="O69" s="1340">
        <f t="shared" si="5"/>
        <v>0</v>
      </c>
      <c r="P69" s="1339">
        <f t="shared" si="6"/>
        <v>0</v>
      </c>
      <c r="Q69" s="1340">
        <f t="shared" si="7"/>
        <v>0</v>
      </c>
      <c r="R69" s="1339">
        <f t="shared" si="8"/>
        <v>0</v>
      </c>
      <c r="S69" s="1089"/>
    </row>
    <row r="70" spans="1:19" s="700" customFormat="1" ht="23.25" hidden="1">
      <c r="A70" s="1105">
        <v>8.1999999999999993</v>
      </c>
      <c r="B70" s="600" t="s">
        <v>1100</v>
      </c>
      <c r="C70" s="602"/>
      <c r="D70" s="744"/>
      <c r="E70" s="1276"/>
      <c r="F70" s="1125">
        <f t="shared" si="0"/>
        <v>0</v>
      </c>
      <c r="G70" s="1199"/>
      <c r="H70" s="1125">
        <f t="shared" si="1"/>
        <v>0</v>
      </c>
      <c r="I70" s="748"/>
      <c r="J70" s="748">
        <f t="shared" si="2"/>
        <v>0</v>
      </c>
      <c r="K70" s="1199"/>
      <c r="L70" s="1125">
        <f t="shared" si="3"/>
        <v>0</v>
      </c>
      <c r="M70" s="1200"/>
      <c r="N70" s="1339">
        <f t="shared" si="4"/>
        <v>0</v>
      </c>
      <c r="O70" s="1340">
        <f t="shared" si="5"/>
        <v>0</v>
      </c>
      <c r="P70" s="1339">
        <f t="shared" si="6"/>
        <v>0</v>
      </c>
      <c r="Q70" s="1340">
        <f t="shared" si="7"/>
        <v>0</v>
      </c>
      <c r="R70" s="1339">
        <f t="shared" si="8"/>
        <v>0</v>
      </c>
    </row>
    <row r="71" spans="1:19" s="700" customFormat="1" ht="23.25" hidden="1">
      <c r="A71" s="538"/>
      <c r="B71" s="538" t="s">
        <v>1276</v>
      </c>
      <c r="C71" s="602">
        <f>ROUND(Data!K823,2)</f>
        <v>8833.67</v>
      </c>
      <c r="D71" s="744" t="s">
        <v>1219</v>
      </c>
      <c r="E71" s="1276"/>
      <c r="F71" s="1125">
        <f t="shared" ref="F71:F134" si="13">E71*C71</f>
        <v>0</v>
      </c>
      <c r="G71" s="1199"/>
      <c r="H71" s="1125">
        <f t="shared" ref="H71:H134" si="14">G71*C71</f>
        <v>0</v>
      </c>
      <c r="I71" s="748"/>
      <c r="J71" s="748">
        <f t="shared" ref="J71:J134" si="15">I71*C71</f>
        <v>0</v>
      </c>
      <c r="K71" s="1199"/>
      <c r="L71" s="1125">
        <f t="shared" ref="L71:L134" si="16">K71*C71</f>
        <v>0</v>
      </c>
      <c r="M71" s="1200"/>
      <c r="N71" s="1339">
        <f t="shared" ref="N71:N134" si="17">M71*C71</f>
        <v>0</v>
      </c>
      <c r="O71" s="1340">
        <f t="shared" ref="O71:O134" si="18">G71+K71+M71</f>
        <v>0</v>
      </c>
      <c r="P71" s="1339">
        <f t="shared" ref="P71:P134" si="19">O71*C71</f>
        <v>0</v>
      </c>
      <c r="Q71" s="1340">
        <f t="shared" ref="Q71:Q134" si="20">O71+E71</f>
        <v>0</v>
      </c>
      <c r="R71" s="1339">
        <f t="shared" ref="R71:R134" si="21">Q71*C71</f>
        <v>0</v>
      </c>
    </row>
    <row r="72" spans="1:19" s="700" customFormat="1" ht="23.25" hidden="1">
      <c r="A72" s="538"/>
      <c r="B72" s="538" t="s">
        <v>1411</v>
      </c>
      <c r="C72" s="602">
        <f>ROUND(Data!K824,2)</f>
        <v>9079.85</v>
      </c>
      <c r="D72" s="744" t="s">
        <v>1219</v>
      </c>
      <c r="E72" s="1276"/>
      <c r="F72" s="1125">
        <f t="shared" si="13"/>
        <v>0</v>
      </c>
      <c r="G72" s="1199"/>
      <c r="H72" s="1125">
        <f t="shared" si="14"/>
        <v>0</v>
      </c>
      <c r="I72" s="748"/>
      <c r="J72" s="748">
        <f t="shared" si="15"/>
        <v>0</v>
      </c>
      <c r="K72" s="1199"/>
      <c r="L72" s="1125">
        <f t="shared" si="16"/>
        <v>0</v>
      </c>
      <c r="M72" s="1200"/>
      <c r="N72" s="1339">
        <f t="shared" si="17"/>
        <v>0</v>
      </c>
      <c r="O72" s="1340">
        <f t="shared" si="18"/>
        <v>0</v>
      </c>
      <c r="P72" s="1339">
        <f t="shared" si="19"/>
        <v>0</v>
      </c>
      <c r="Q72" s="1340">
        <f t="shared" si="20"/>
        <v>0</v>
      </c>
      <c r="R72" s="1339">
        <f t="shared" si="21"/>
        <v>0</v>
      </c>
    </row>
    <row r="73" spans="1:19" s="700" customFormat="1" ht="23.25" hidden="1">
      <c r="A73" s="538"/>
      <c r="B73" s="538" t="s">
        <v>1459</v>
      </c>
      <c r="C73" s="602">
        <f>ROUND(Data!K825,2)</f>
        <v>9326.0300000000007</v>
      </c>
      <c r="D73" s="744" t="s">
        <v>1219</v>
      </c>
      <c r="E73" s="1276"/>
      <c r="F73" s="1125">
        <f t="shared" si="13"/>
        <v>0</v>
      </c>
      <c r="G73" s="1199"/>
      <c r="H73" s="1125">
        <f t="shared" si="14"/>
        <v>0</v>
      </c>
      <c r="I73" s="748"/>
      <c r="J73" s="748">
        <f t="shared" si="15"/>
        <v>0</v>
      </c>
      <c r="K73" s="1199"/>
      <c r="L73" s="1125">
        <f t="shared" si="16"/>
        <v>0</v>
      </c>
      <c r="M73" s="1200"/>
      <c r="N73" s="1339">
        <f t="shared" si="17"/>
        <v>0</v>
      </c>
      <c r="O73" s="1340">
        <f t="shared" si="18"/>
        <v>0</v>
      </c>
      <c r="P73" s="1339">
        <f t="shared" si="19"/>
        <v>0</v>
      </c>
      <c r="Q73" s="1340">
        <f t="shared" si="20"/>
        <v>0</v>
      </c>
      <c r="R73" s="1339">
        <f t="shared" si="21"/>
        <v>0</v>
      </c>
    </row>
    <row r="74" spans="1:19" s="700" customFormat="1" ht="23.25" hidden="1">
      <c r="A74" s="538"/>
      <c r="B74" s="538" t="s">
        <v>1348</v>
      </c>
      <c r="C74" s="602">
        <f>ROUND(Data!K826,2)</f>
        <v>9572.2099999999991</v>
      </c>
      <c r="D74" s="744" t="s">
        <v>1219</v>
      </c>
      <c r="E74" s="1276"/>
      <c r="F74" s="1125">
        <f t="shared" si="13"/>
        <v>0</v>
      </c>
      <c r="G74" s="1199"/>
      <c r="H74" s="1125">
        <f t="shared" si="14"/>
        <v>0</v>
      </c>
      <c r="I74" s="748"/>
      <c r="J74" s="748">
        <f t="shared" si="15"/>
        <v>0</v>
      </c>
      <c r="K74" s="1199"/>
      <c r="L74" s="1125">
        <f t="shared" si="16"/>
        <v>0</v>
      </c>
      <c r="M74" s="1200"/>
      <c r="N74" s="1339">
        <f t="shared" si="17"/>
        <v>0</v>
      </c>
      <c r="O74" s="1340">
        <f t="shared" si="18"/>
        <v>0</v>
      </c>
      <c r="P74" s="1339">
        <f t="shared" si="19"/>
        <v>0</v>
      </c>
      <c r="Q74" s="1340">
        <f t="shared" si="20"/>
        <v>0</v>
      </c>
      <c r="R74" s="1339">
        <f t="shared" si="21"/>
        <v>0</v>
      </c>
    </row>
    <row r="75" spans="1:19" s="700" customFormat="1" ht="23.25" hidden="1">
      <c r="A75" s="1105"/>
      <c r="B75" s="538" t="s">
        <v>1099</v>
      </c>
      <c r="C75" s="602">
        <f>ROUND(Data!K827,2)</f>
        <v>9818.39</v>
      </c>
      <c r="D75" s="744" t="s">
        <v>1219</v>
      </c>
      <c r="E75" s="1276"/>
      <c r="F75" s="1125">
        <f t="shared" si="13"/>
        <v>0</v>
      </c>
      <c r="G75" s="1199"/>
      <c r="H75" s="1125">
        <f t="shared" si="14"/>
        <v>0</v>
      </c>
      <c r="I75" s="748"/>
      <c r="J75" s="748">
        <f t="shared" si="15"/>
        <v>0</v>
      </c>
      <c r="K75" s="1199"/>
      <c r="L75" s="1125">
        <f t="shared" si="16"/>
        <v>0</v>
      </c>
      <c r="M75" s="1200"/>
      <c r="N75" s="1339">
        <f t="shared" si="17"/>
        <v>0</v>
      </c>
      <c r="O75" s="1340">
        <f t="shared" si="18"/>
        <v>0</v>
      </c>
      <c r="P75" s="1339">
        <f t="shared" si="19"/>
        <v>0</v>
      </c>
      <c r="Q75" s="1340">
        <f t="shared" si="20"/>
        <v>0</v>
      </c>
      <c r="R75" s="1339">
        <f t="shared" si="21"/>
        <v>0</v>
      </c>
    </row>
    <row r="76" spans="1:19" s="700" customFormat="1" ht="23.25" hidden="1">
      <c r="A76" s="1105"/>
      <c r="B76" s="538" t="s">
        <v>3852</v>
      </c>
      <c r="C76" s="602">
        <f>ROUND(Data!K828,2)</f>
        <v>10064.57</v>
      </c>
      <c r="D76" s="744" t="s">
        <v>1219</v>
      </c>
      <c r="E76" s="1276"/>
      <c r="F76" s="1125">
        <f t="shared" si="13"/>
        <v>0</v>
      </c>
      <c r="G76" s="1199"/>
      <c r="H76" s="1125">
        <f t="shared" si="14"/>
        <v>0</v>
      </c>
      <c r="I76" s="748"/>
      <c r="J76" s="748">
        <f t="shared" si="15"/>
        <v>0</v>
      </c>
      <c r="K76" s="1199"/>
      <c r="L76" s="1125">
        <f t="shared" si="16"/>
        <v>0</v>
      </c>
      <c r="M76" s="1200"/>
      <c r="N76" s="1339">
        <f t="shared" si="17"/>
        <v>0</v>
      </c>
      <c r="O76" s="1340">
        <f t="shared" si="18"/>
        <v>0</v>
      </c>
      <c r="P76" s="1339">
        <f t="shared" si="19"/>
        <v>0</v>
      </c>
      <c r="Q76" s="1340">
        <f t="shared" si="20"/>
        <v>0</v>
      </c>
      <c r="R76" s="1339">
        <f t="shared" si="21"/>
        <v>0</v>
      </c>
    </row>
    <row r="77" spans="1:19" s="700" customFormat="1" ht="23.25" hidden="1">
      <c r="A77" s="1105"/>
      <c r="B77" s="538" t="s">
        <v>3853</v>
      </c>
      <c r="C77" s="602">
        <f>ROUND(Data!K829,2)</f>
        <v>10310.75</v>
      </c>
      <c r="D77" s="744" t="s">
        <v>1219</v>
      </c>
      <c r="E77" s="1276"/>
      <c r="F77" s="1125">
        <f t="shared" si="13"/>
        <v>0</v>
      </c>
      <c r="G77" s="1199"/>
      <c r="H77" s="1125">
        <f t="shared" si="14"/>
        <v>0</v>
      </c>
      <c r="I77" s="748"/>
      <c r="J77" s="748">
        <f t="shared" si="15"/>
        <v>0</v>
      </c>
      <c r="K77" s="1199"/>
      <c r="L77" s="1125">
        <f t="shared" si="16"/>
        <v>0</v>
      </c>
      <c r="M77" s="1200"/>
      <c r="N77" s="1339">
        <f t="shared" si="17"/>
        <v>0</v>
      </c>
      <c r="O77" s="1340">
        <f t="shared" si="18"/>
        <v>0</v>
      </c>
      <c r="P77" s="1339">
        <f t="shared" si="19"/>
        <v>0</v>
      </c>
      <c r="Q77" s="1340">
        <f t="shared" si="20"/>
        <v>0</v>
      </c>
      <c r="R77" s="1339">
        <f t="shared" si="21"/>
        <v>0</v>
      </c>
    </row>
    <row r="78" spans="1:19" s="700" customFormat="1" ht="23.25" hidden="1">
      <c r="A78" s="1105"/>
      <c r="B78" s="538" t="s">
        <v>3854</v>
      </c>
      <c r="C78" s="602">
        <f>ROUND(Data!K830,2)</f>
        <v>10556.93</v>
      </c>
      <c r="D78" s="744" t="s">
        <v>1219</v>
      </c>
      <c r="E78" s="1276"/>
      <c r="F78" s="1125">
        <f t="shared" si="13"/>
        <v>0</v>
      </c>
      <c r="G78" s="1199"/>
      <c r="H78" s="1125">
        <f t="shared" si="14"/>
        <v>0</v>
      </c>
      <c r="I78" s="748"/>
      <c r="J78" s="748">
        <f t="shared" si="15"/>
        <v>0</v>
      </c>
      <c r="K78" s="1199"/>
      <c r="L78" s="1125">
        <f t="shared" si="16"/>
        <v>0</v>
      </c>
      <c r="M78" s="1200"/>
      <c r="N78" s="1339">
        <f t="shared" si="17"/>
        <v>0</v>
      </c>
      <c r="O78" s="1340">
        <f t="shared" si="18"/>
        <v>0</v>
      </c>
      <c r="P78" s="1339">
        <f t="shared" si="19"/>
        <v>0</v>
      </c>
      <c r="Q78" s="1340">
        <f t="shared" si="20"/>
        <v>0</v>
      </c>
      <c r="R78" s="1339">
        <f t="shared" si="21"/>
        <v>0</v>
      </c>
    </row>
    <row r="79" spans="1:19" s="700" customFormat="1" ht="23.25" hidden="1">
      <c r="A79" s="1105"/>
      <c r="B79" s="538" t="s">
        <v>3855</v>
      </c>
      <c r="C79" s="602">
        <f>ROUND(Data!K831,2)</f>
        <v>10803.11</v>
      </c>
      <c r="D79" s="744" t="s">
        <v>1219</v>
      </c>
      <c r="E79" s="1276"/>
      <c r="F79" s="1125">
        <f t="shared" si="13"/>
        <v>0</v>
      </c>
      <c r="G79" s="1199"/>
      <c r="H79" s="1125">
        <f t="shared" si="14"/>
        <v>0</v>
      </c>
      <c r="I79" s="748"/>
      <c r="J79" s="748">
        <f t="shared" si="15"/>
        <v>0</v>
      </c>
      <c r="K79" s="1199"/>
      <c r="L79" s="1125">
        <f t="shared" si="16"/>
        <v>0</v>
      </c>
      <c r="M79" s="1200"/>
      <c r="N79" s="1339">
        <f t="shared" si="17"/>
        <v>0</v>
      </c>
      <c r="O79" s="1340">
        <f t="shared" si="18"/>
        <v>0</v>
      </c>
      <c r="P79" s="1339">
        <f t="shared" si="19"/>
        <v>0</v>
      </c>
      <c r="Q79" s="1340">
        <f t="shared" si="20"/>
        <v>0</v>
      </c>
      <c r="R79" s="1339">
        <f t="shared" si="21"/>
        <v>0</v>
      </c>
    </row>
    <row r="80" spans="1:19" s="700" customFormat="1" ht="23.25" hidden="1">
      <c r="A80" s="1105"/>
      <c r="B80" s="538" t="s">
        <v>3856</v>
      </c>
      <c r="C80" s="602">
        <f>ROUND(Data!K832,2)</f>
        <v>11049.29</v>
      </c>
      <c r="D80" s="744" t="s">
        <v>1219</v>
      </c>
      <c r="E80" s="1276"/>
      <c r="F80" s="1125">
        <f t="shared" si="13"/>
        <v>0</v>
      </c>
      <c r="G80" s="1199"/>
      <c r="H80" s="1125">
        <f t="shared" si="14"/>
        <v>0</v>
      </c>
      <c r="I80" s="748"/>
      <c r="J80" s="748">
        <f t="shared" si="15"/>
        <v>0</v>
      </c>
      <c r="K80" s="1199"/>
      <c r="L80" s="1125">
        <f t="shared" si="16"/>
        <v>0</v>
      </c>
      <c r="M80" s="1200"/>
      <c r="N80" s="1339">
        <f t="shared" si="17"/>
        <v>0</v>
      </c>
      <c r="O80" s="1340">
        <f t="shared" si="18"/>
        <v>0</v>
      </c>
      <c r="P80" s="1339">
        <f t="shared" si="19"/>
        <v>0</v>
      </c>
      <c r="Q80" s="1340">
        <f t="shared" si="20"/>
        <v>0</v>
      </c>
      <c r="R80" s="1339">
        <f t="shared" si="21"/>
        <v>0</v>
      </c>
    </row>
    <row r="81" spans="1:20" s="700" customFormat="1" ht="23.25" hidden="1">
      <c r="A81" s="1105"/>
      <c r="B81" s="538" t="s">
        <v>3857</v>
      </c>
      <c r="C81" s="602">
        <f>ROUND(Data!K833,2)</f>
        <v>11295.47</v>
      </c>
      <c r="D81" s="744" t="s">
        <v>1219</v>
      </c>
      <c r="E81" s="1276"/>
      <c r="F81" s="1125">
        <f t="shared" si="13"/>
        <v>0</v>
      </c>
      <c r="G81" s="1199"/>
      <c r="H81" s="1125">
        <f t="shared" si="14"/>
        <v>0</v>
      </c>
      <c r="I81" s="748"/>
      <c r="J81" s="748">
        <f t="shared" si="15"/>
        <v>0</v>
      </c>
      <c r="K81" s="1199"/>
      <c r="L81" s="1125">
        <f t="shared" si="16"/>
        <v>0</v>
      </c>
      <c r="M81" s="1200"/>
      <c r="N81" s="1339">
        <f t="shared" si="17"/>
        <v>0</v>
      </c>
      <c r="O81" s="1340">
        <f t="shared" si="18"/>
        <v>0</v>
      </c>
      <c r="P81" s="1339">
        <f t="shared" si="19"/>
        <v>0</v>
      </c>
      <c r="Q81" s="1340">
        <f t="shared" si="20"/>
        <v>0</v>
      </c>
      <c r="R81" s="1339">
        <f t="shared" si="21"/>
        <v>0</v>
      </c>
    </row>
    <row r="82" spans="1:20" s="700" customFormat="1" ht="23.25" hidden="1">
      <c r="A82" s="1105"/>
      <c r="B82" s="538" t="s">
        <v>3858</v>
      </c>
      <c r="C82" s="602">
        <f>ROUND(Data!K834,2)</f>
        <v>11541.65</v>
      </c>
      <c r="D82" s="744" t="s">
        <v>1219</v>
      </c>
      <c r="E82" s="1276"/>
      <c r="F82" s="1125">
        <f t="shared" si="13"/>
        <v>0</v>
      </c>
      <c r="G82" s="1199"/>
      <c r="H82" s="1125">
        <f t="shared" si="14"/>
        <v>0</v>
      </c>
      <c r="I82" s="748"/>
      <c r="J82" s="748">
        <f t="shared" si="15"/>
        <v>0</v>
      </c>
      <c r="K82" s="1199"/>
      <c r="L82" s="1125">
        <f t="shared" si="16"/>
        <v>0</v>
      </c>
      <c r="M82" s="1200"/>
      <c r="N82" s="1339">
        <f t="shared" si="17"/>
        <v>0</v>
      </c>
      <c r="O82" s="1340">
        <f t="shared" si="18"/>
        <v>0</v>
      </c>
      <c r="P82" s="1339">
        <f t="shared" si="19"/>
        <v>0</v>
      </c>
      <c r="Q82" s="1340">
        <f t="shared" si="20"/>
        <v>0</v>
      </c>
      <c r="R82" s="1339">
        <f t="shared" si="21"/>
        <v>0</v>
      </c>
    </row>
    <row r="83" spans="1:20" s="700" customFormat="1" ht="23.25" hidden="1">
      <c r="A83" s="1105"/>
      <c r="B83" s="538" t="s">
        <v>3859</v>
      </c>
      <c r="C83" s="602">
        <f>ROUND(Data!K835,2)</f>
        <v>11787.83</v>
      </c>
      <c r="D83" s="744" t="s">
        <v>1219</v>
      </c>
      <c r="E83" s="1276"/>
      <c r="F83" s="1125">
        <f t="shared" si="13"/>
        <v>0</v>
      </c>
      <c r="G83" s="1199"/>
      <c r="H83" s="1125">
        <f t="shared" si="14"/>
        <v>0</v>
      </c>
      <c r="I83" s="748"/>
      <c r="J83" s="748">
        <f t="shared" si="15"/>
        <v>0</v>
      </c>
      <c r="K83" s="1199"/>
      <c r="L83" s="1125">
        <f t="shared" si="16"/>
        <v>0</v>
      </c>
      <c r="M83" s="1200"/>
      <c r="N83" s="1339">
        <f t="shared" si="17"/>
        <v>0</v>
      </c>
      <c r="O83" s="1340">
        <f t="shared" si="18"/>
        <v>0</v>
      </c>
      <c r="P83" s="1339">
        <f t="shared" si="19"/>
        <v>0</v>
      </c>
      <c r="Q83" s="1340">
        <f t="shared" si="20"/>
        <v>0</v>
      </c>
      <c r="R83" s="1339">
        <f t="shared" si="21"/>
        <v>0</v>
      </c>
    </row>
    <row r="84" spans="1:20" s="700" customFormat="1" ht="46.5" hidden="1">
      <c r="A84" s="1105">
        <v>9.1</v>
      </c>
      <c r="B84" s="538" t="s">
        <v>2276</v>
      </c>
      <c r="C84" s="602"/>
      <c r="D84" s="744"/>
      <c r="E84" s="1276"/>
      <c r="F84" s="1125">
        <f t="shared" si="13"/>
        <v>0</v>
      </c>
      <c r="G84" s="1199"/>
      <c r="H84" s="1125">
        <f t="shared" si="14"/>
        <v>0</v>
      </c>
      <c r="I84" s="748"/>
      <c r="J84" s="748">
        <f t="shared" si="15"/>
        <v>0</v>
      </c>
      <c r="K84" s="1199"/>
      <c r="L84" s="1125">
        <f t="shared" si="16"/>
        <v>0</v>
      </c>
      <c r="M84" s="1200"/>
      <c r="N84" s="1339">
        <f t="shared" si="17"/>
        <v>0</v>
      </c>
      <c r="O84" s="1340">
        <f t="shared" si="18"/>
        <v>0</v>
      </c>
      <c r="P84" s="1339">
        <f t="shared" si="19"/>
        <v>0</v>
      </c>
      <c r="Q84" s="1340">
        <f t="shared" si="20"/>
        <v>0</v>
      </c>
      <c r="R84" s="1339">
        <f t="shared" si="21"/>
        <v>0</v>
      </c>
    </row>
    <row r="85" spans="1:20" s="700" customFormat="1" ht="23.25" hidden="1">
      <c r="A85" s="1105"/>
      <c r="B85" s="538" t="s">
        <v>204</v>
      </c>
      <c r="C85" s="602">
        <f>Data!X347</f>
        <v>7119.43</v>
      </c>
      <c r="D85" s="744" t="s">
        <v>1219</v>
      </c>
      <c r="E85" s="1276"/>
      <c r="F85" s="1125">
        <f t="shared" si="13"/>
        <v>0</v>
      </c>
      <c r="G85" s="1199"/>
      <c r="H85" s="1125">
        <f t="shared" si="14"/>
        <v>0</v>
      </c>
      <c r="I85" s="748"/>
      <c r="J85" s="748">
        <f t="shared" si="15"/>
        <v>0</v>
      </c>
      <c r="K85" s="1199"/>
      <c r="L85" s="1125">
        <f t="shared" si="16"/>
        <v>0</v>
      </c>
      <c r="M85" s="1200"/>
      <c r="N85" s="1339">
        <f t="shared" si="17"/>
        <v>0</v>
      </c>
      <c r="O85" s="1340">
        <f t="shared" si="18"/>
        <v>0</v>
      </c>
      <c r="P85" s="1339">
        <f t="shared" si="19"/>
        <v>0</v>
      </c>
      <c r="Q85" s="1340">
        <f t="shared" si="20"/>
        <v>0</v>
      </c>
      <c r="R85" s="1339">
        <f t="shared" si="21"/>
        <v>0</v>
      </c>
    </row>
    <row r="86" spans="1:20" s="700" customFormat="1" ht="23.25" hidden="1">
      <c r="A86" s="1105"/>
      <c r="B86" s="538" t="s">
        <v>205</v>
      </c>
      <c r="C86" s="602">
        <f>Data!X348</f>
        <v>7285.42</v>
      </c>
      <c r="D86" s="744" t="s">
        <v>1219</v>
      </c>
      <c r="E86" s="1276"/>
      <c r="F86" s="1125">
        <f t="shared" si="13"/>
        <v>0</v>
      </c>
      <c r="G86" s="1199"/>
      <c r="H86" s="1125">
        <f t="shared" si="14"/>
        <v>0</v>
      </c>
      <c r="I86" s="748"/>
      <c r="J86" s="748">
        <f t="shared" si="15"/>
        <v>0</v>
      </c>
      <c r="K86" s="1199"/>
      <c r="L86" s="1125">
        <f t="shared" si="16"/>
        <v>0</v>
      </c>
      <c r="M86" s="1200"/>
      <c r="N86" s="1339">
        <f t="shared" si="17"/>
        <v>0</v>
      </c>
      <c r="O86" s="1340">
        <f t="shared" si="18"/>
        <v>0</v>
      </c>
      <c r="P86" s="1339">
        <f t="shared" si="19"/>
        <v>0</v>
      </c>
      <c r="Q86" s="1340">
        <f t="shared" si="20"/>
        <v>0</v>
      </c>
      <c r="R86" s="1339">
        <f t="shared" si="21"/>
        <v>0</v>
      </c>
    </row>
    <row r="87" spans="1:20" s="700" customFormat="1" ht="23.25" hidden="1">
      <c r="A87" s="1105"/>
      <c r="B87" s="538" t="s">
        <v>206</v>
      </c>
      <c r="C87" s="602">
        <f>Data!X349</f>
        <v>7451.41</v>
      </c>
      <c r="D87" s="744" t="s">
        <v>1219</v>
      </c>
      <c r="E87" s="1276"/>
      <c r="F87" s="1125">
        <f t="shared" si="13"/>
        <v>0</v>
      </c>
      <c r="G87" s="1199"/>
      <c r="H87" s="1125">
        <f t="shared" si="14"/>
        <v>0</v>
      </c>
      <c r="I87" s="748"/>
      <c r="J87" s="748">
        <f t="shared" si="15"/>
        <v>0</v>
      </c>
      <c r="K87" s="1199"/>
      <c r="L87" s="1125">
        <f t="shared" si="16"/>
        <v>0</v>
      </c>
      <c r="M87" s="1200"/>
      <c r="N87" s="1339">
        <f t="shared" si="17"/>
        <v>0</v>
      </c>
      <c r="O87" s="1340">
        <f t="shared" si="18"/>
        <v>0</v>
      </c>
      <c r="P87" s="1339">
        <f t="shared" si="19"/>
        <v>0</v>
      </c>
      <c r="Q87" s="1340">
        <f t="shared" si="20"/>
        <v>0</v>
      </c>
      <c r="R87" s="1339">
        <f t="shared" si="21"/>
        <v>0</v>
      </c>
    </row>
    <row r="88" spans="1:20" s="700" customFormat="1" ht="23.25" hidden="1">
      <c r="A88" s="1105"/>
      <c r="B88" s="538" t="s">
        <v>207</v>
      </c>
      <c r="C88" s="602">
        <f>Data!X350</f>
        <v>7617.4</v>
      </c>
      <c r="D88" s="744" t="s">
        <v>1219</v>
      </c>
      <c r="E88" s="1276"/>
      <c r="F88" s="1125">
        <f t="shared" si="13"/>
        <v>0</v>
      </c>
      <c r="G88" s="1199"/>
      <c r="H88" s="1125">
        <f t="shared" si="14"/>
        <v>0</v>
      </c>
      <c r="I88" s="748"/>
      <c r="J88" s="748">
        <f t="shared" si="15"/>
        <v>0</v>
      </c>
      <c r="K88" s="1199"/>
      <c r="L88" s="1125">
        <f t="shared" si="16"/>
        <v>0</v>
      </c>
      <c r="M88" s="1200"/>
      <c r="N88" s="1339">
        <f t="shared" si="17"/>
        <v>0</v>
      </c>
      <c r="O88" s="1340">
        <f t="shared" si="18"/>
        <v>0</v>
      </c>
      <c r="P88" s="1339">
        <f t="shared" si="19"/>
        <v>0</v>
      </c>
      <c r="Q88" s="1340">
        <f t="shared" si="20"/>
        <v>0</v>
      </c>
      <c r="R88" s="1339">
        <f t="shared" si="21"/>
        <v>0</v>
      </c>
    </row>
    <row r="89" spans="1:20" s="700" customFormat="1" ht="23.25" hidden="1">
      <c r="A89" s="1105"/>
      <c r="B89" s="538" t="s">
        <v>618</v>
      </c>
      <c r="C89" s="602">
        <f>Data!X351</f>
        <v>7783.39</v>
      </c>
      <c r="D89" s="744" t="s">
        <v>1219</v>
      </c>
      <c r="E89" s="1276"/>
      <c r="F89" s="1125">
        <f t="shared" si="13"/>
        <v>0</v>
      </c>
      <c r="G89" s="1199"/>
      <c r="H89" s="1125">
        <f t="shared" si="14"/>
        <v>0</v>
      </c>
      <c r="I89" s="748"/>
      <c r="J89" s="748">
        <f t="shared" si="15"/>
        <v>0</v>
      </c>
      <c r="K89" s="1199"/>
      <c r="L89" s="1125">
        <f t="shared" si="16"/>
        <v>0</v>
      </c>
      <c r="M89" s="1200"/>
      <c r="N89" s="1339">
        <f t="shared" si="17"/>
        <v>0</v>
      </c>
      <c r="O89" s="1340">
        <f t="shared" si="18"/>
        <v>0</v>
      </c>
      <c r="P89" s="1339">
        <f t="shared" si="19"/>
        <v>0</v>
      </c>
      <c r="Q89" s="1340">
        <f t="shared" si="20"/>
        <v>0</v>
      </c>
      <c r="R89" s="1339">
        <f t="shared" si="21"/>
        <v>0</v>
      </c>
    </row>
    <row r="90" spans="1:20" ht="70.5" customHeight="1">
      <c r="A90" s="1486">
        <v>9.1999999999999993</v>
      </c>
      <c r="B90" s="1344" t="s">
        <v>4095</v>
      </c>
      <c r="C90" s="1111"/>
      <c r="D90" s="1110"/>
      <c r="E90" s="1336"/>
      <c r="F90" s="1125">
        <f t="shared" si="13"/>
        <v>0</v>
      </c>
      <c r="G90" s="1335"/>
      <c r="H90" s="1125">
        <f t="shared" si="14"/>
        <v>0</v>
      </c>
      <c r="I90" s="1312"/>
      <c r="J90" s="1406">
        <f t="shared" si="15"/>
        <v>0</v>
      </c>
      <c r="K90" s="1335"/>
      <c r="L90" s="1125">
        <f t="shared" si="16"/>
        <v>0</v>
      </c>
      <c r="M90" s="1343"/>
      <c r="N90" s="1339">
        <f t="shared" si="17"/>
        <v>0</v>
      </c>
      <c r="O90" s="1340">
        <f t="shared" si="18"/>
        <v>0</v>
      </c>
      <c r="P90" s="1339">
        <f t="shared" si="19"/>
        <v>0</v>
      </c>
      <c r="Q90" s="1341" t="s">
        <v>2290</v>
      </c>
      <c r="R90" s="1339"/>
      <c r="S90" s="1322">
        <f t="shared" ref="S90:S95" si="22">F90+P90</f>
        <v>0</v>
      </c>
      <c r="T90" s="1322">
        <f t="shared" ref="T90:T95" si="23">S90-R90</f>
        <v>0</v>
      </c>
    </row>
    <row r="91" spans="1:20" ht="48" customHeight="1">
      <c r="A91" s="1486"/>
      <c r="B91" s="1198" t="s">
        <v>3870</v>
      </c>
      <c r="C91" s="1111">
        <f>ROUND(Data!AG347,2)</f>
        <v>6796.74</v>
      </c>
      <c r="D91" s="1110" t="s">
        <v>1219</v>
      </c>
      <c r="E91" s="1336">
        <v>88.4</v>
      </c>
      <c r="F91" s="1125">
        <f t="shared" si="13"/>
        <v>600831.81999999995</v>
      </c>
      <c r="G91" s="1335"/>
      <c r="H91" s="1125">
        <f t="shared" si="14"/>
        <v>0</v>
      </c>
      <c r="I91" s="1312"/>
      <c r="J91" s="1406">
        <f t="shared" si="15"/>
        <v>0</v>
      </c>
      <c r="K91" s="1335"/>
      <c r="L91" s="1125">
        <f t="shared" si="16"/>
        <v>0</v>
      </c>
      <c r="M91" s="1343"/>
      <c r="N91" s="1339">
        <f t="shared" si="17"/>
        <v>0</v>
      </c>
      <c r="O91" s="1340">
        <f t="shared" si="18"/>
        <v>0</v>
      </c>
      <c r="P91" s="1339">
        <f t="shared" si="19"/>
        <v>0</v>
      </c>
      <c r="Q91" s="1340">
        <f t="shared" si="20"/>
        <v>88.4</v>
      </c>
      <c r="R91" s="1339">
        <f t="shared" si="21"/>
        <v>600831.81999999995</v>
      </c>
      <c r="S91" s="1322">
        <f t="shared" si="22"/>
        <v>600831.81999999995</v>
      </c>
      <c r="T91" s="1322">
        <f t="shared" si="23"/>
        <v>0</v>
      </c>
    </row>
    <row r="92" spans="1:20" ht="48" customHeight="1">
      <c r="A92" s="1486"/>
      <c r="B92" s="1198" t="s">
        <v>205</v>
      </c>
      <c r="C92" s="1111">
        <f>ROUND(Data!AG348,2)</f>
        <v>6962.73</v>
      </c>
      <c r="D92" s="1110" t="s">
        <v>1219</v>
      </c>
      <c r="E92" s="1336">
        <v>86.6</v>
      </c>
      <c r="F92" s="1125">
        <f t="shared" si="13"/>
        <v>602972.42000000004</v>
      </c>
      <c r="G92" s="1335"/>
      <c r="H92" s="1125">
        <f t="shared" si="14"/>
        <v>0</v>
      </c>
      <c r="I92" s="1312"/>
      <c r="J92" s="1406">
        <f t="shared" si="15"/>
        <v>0</v>
      </c>
      <c r="K92" s="1335"/>
      <c r="L92" s="1125">
        <f t="shared" si="16"/>
        <v>0</v>
      </c>
      <c r="M92" s="1343"/>
      <c r="N92" s="1339">
        <f t="shared" si="17"/>
        <v>0</v>
      </c>
      <c r="O92" s="1340">
        <f t="shared" si="18"/>
        <v>0</v>
      </c>
      <c r="P92" s="1339">
        <f t="shared" si="19"/>
        <v>0</v>
      </c>
      <c r="Q92" s="1340">
        <f t="shared" si="20"/>
        <v>86.6</v>
      </c>
      <c r="R92" s="1339">
        <f t="shared" si="21"/>
        <v>602972.42000000004</v>
      </c>
      <c r="S92" s="1322">
        <f t="shared" si="22"/>
        <v>602972.42000000004</v>
      </c>
      <c r="T92" s="1322">
        <f t="shared" si="23"/>
        <v>0</v>
      </c>
    </row>
    <row r="93" spans="1:20" ht="48" customHeight="1">
      <c r="A93" s="1486"/>
      <c r="B93" s="1198" t="s">
        <v>206</v>
      </c>
      <c r="C93" s="1111">
        <f>ROUND(Data!AG349,2)</f>
        <v>7128.72</v>
      </c>
      <c r="D93" s="1110" t="s">
        <v>1219</v>
      </c>
      <c r="E93" s="1336">
        <v>80.5</v>
      </c>
      <c r="F93" s="1125">
        <f t="shared" si="13"/>
        <v>573861.96</v>
      </c>
      <c r="G93" s="1335"/>
      <c r="H93" s="1125">
        <f t="shared" si="14"/>
        <v>0</v>
      </c>
      <c r="I93" s="1312"/>
      <c r="J93" s="1406">
        <f t="shared" si="15"/>
        <v>0</v>
      </c>
      <c r="K93" s="1335"/>
      <c r="L93" s="1125">
        <f t="shared" si="16"/>
        <v>0</v>
      </c>
      <c r="M93" s="1343"/>
      <c r="N93" s="1339">
        <f t="shared" si="17"/>
        <v>0</v>
      </c>
      <c r="O93" s="1340">
        <f t="shared" si="18"/>
        <v>0</v>
      </c>
      <c r="P93" s="1339">
        <f t="shared" si="19"/>
        <v>0</v>
      </c>
      <c r="Q93" s="1340">
        <f t="shared" si="20"/>
        <v>80.5</v>
      </c>
      <c r="R93" s="1339">
        <f t="shared" si="21"/>
        <v>573861.96</v>
      </c>
      <c r="S93" s="1322">
        <f t="shared" si="22"/>
        <v>573861.96</v>
      </c>
      <c r="T93" s="1322">
        <f t="shared" si="23"/>
        <v>0</v>
      </c>
    </row>
    <row r="94" spans="1:20" ht="51.75" customHeight="1">
      <c r="A94" s="1486"/>
      <c r="B94" s="1198" t="s">
        <v>207</v>
      </c>
      <c r="C94" s="1111">
        <f>ROUND(Data!AG350,2)</f>
        <v>7294.71</v>
      </c>
      <c r="D94" s="1110" t="s">
        <v>1219</v>
      </c>
      <c r="E94" s="1336">
        <v>85.4</v>
      </c>
      <c r="F94" s="1125">
        <f t="shared" si="13"/>
        <v>622968.23</v>
      </c>
      <c r="G94" s="1335"/>
      <c r="H94" s="1125">
        <f t="shared" si="14"/>
        <v>0</v>
      </c>
      <c r="I94" s="1312"/>
      <c r="J94" s="1406">
        <f t="shared" si="15"/>
        <v>0</v>
      </c>
      <c r="K94" s="1335"/>
      <c r="L94" s="1125">
        <f t="shared" si="16"/>
        <v>0</v>
      </c>
      <c r="M94" s="1343"/>
      <c r="N94" s="1339">
        <f t="shared" si="17"/>
        <v>0</v>
      </c>
      <c r="O94" s="1340">
        <f t="shared" si="18"/>
        <v>0</v>
      </c>
      <c r="P94" s="1339">
        <f t="shared" si="19"/>
        <v>0</v>
      </c>
      <c r="Q94" s="1340">
        <f t="shared" si="20"/>
        <v>85.4</v>
      </c>
      <c r="R94" s="1339">
        <f t="shared" si="21"/>
        <v>622968.23</v>
      </c>
      <c r="S94" s="1322">
        <f t="shared" si="22"/>
        <v>622968.23</v>
      </c>
      <c r="T94" s="1322">
        <f t="shared" si="23"/>
        <v>0</v>
      </c>
    </row>
    <row r="95" spans="1:20" ht="55.5" customHeight="1">
      <c r="A95" s="1486"/>
      <c r="B95" s="1198" t="s">
        <v>618</v>
      </c>
      <c r="C95" s="1111">
        <f>ROUND(Data!AG351,2)</f>
        <v>7460.7</v>
      </c>
      <c r="D95" s="1110" t="s">
        <v>1219</v>
      </c>
      <c r="E95" s="1336">
        <v>60.1</v>
      </c>
      <c r="F95" s="1125">
        <f t="shared" si="13"/>
        <v>448388.07</v>
      </c>
      <c r="G95" s="1335"/>
      <c r="H95" s="1125">
        <f t="shared" si="14"/>
        <v>0</v>
      </c>
      <c r="I95" s="1312"/>
      <c r="J95" s="1406">
        <f t="shared" si="15"/>
        <v>0</v>
      </c>
      <c r="K95" s="1335"/>
      <c r="L95" s="1125">
        <f t="shared" si="16"/>
        <v>0</v>
      </c>
      <c r="M95" s="1343"/>
      <c r="N95" s="1339">
        <f t="shared" si="17"/>
        <v>0</v>
      </c>
      <c r="O95" s="1340">
        <f t="shared" si="18"/>
        <v>0</v>
      </c>
      <c r="P95" s="1339">
        <f t="shared" si="19"/>
        <v>0</v>
      </c>
      <c r="Q95" s="1340">
        <f t="shared" si="20"/>
        <v>60.1</v>
      </c>
      <c r="R95" s="1339">
        <f t="shared" si="21"/>
        <v>448388.07</v>
      </c>
      <c r="S95" s="1322">
        <f t="shared" si="22"/>
        <v>448388.07</v>
      </c>
      <c r="T95" s="1322">
        <f t="shared" si="23"/>
        <v>0</v>
      </c>
    </row>
    <row r="96" spans="1:20" s="700" customFormat="1" ht="70.5" hidden="1" customHeight="1">
      <c r="A96" s="1414"/>
      <c r="B96" s="1415" t="s">
        <v>3852</v>
      </c>
      <c r="C96" s="1416">
        <f>ROUND(Data!AG352,2)</f>
        <v>7626.69</v>
      </c>
      <c r="D96" s="1417" t="s">
        <v>1219</v>
      </c>
      <c r="E96" s="1278"/>
      <c r="F96" s="1125">
        <f t="shared" si="13"/>
        <v>0</v>
      </c>
      <c r="G96" s="1273"/>
      <c r="H96" s="1125">
        <f t="shared" si="14"/>
        <v>0</v>
      </c>
      <c r="I96" s="748"/>
      <c r="J96" s="748">
        <f t="shared" si="15"/>
        <v>0</v>
      </c>
      <c r="K96" s="1273"/>
      <c r="L96" s="1125">
        <f t="shared" si="16"/>
        <v>0</v>
      </c>
      <c r="M96" s="1412"/>
      <c r="N96" s="1339">
        <f t="shared" si="17"/>
        <v>0</v>
      </c>
      <c r="O96" s="1340">
        <f t="shared" si="18"/>
        <v>0</v>
      </c>
      <c r="P96" s="1339">
        <f t="shared" si="19"/>
        <v>0</v>
      </c>
      <c r="Q96" s="1340">
        <f t="shared" si="20"/>
        <v>0</v>
      </c>
      <c r="R96" s="1339">
        <f t="shared" si="21"/>
        <v>0</v>
      </c>
    </row>
    <row r="97" spans="1:18" s="700" customFormat="1" ht="70.5" hidden="1" customHeight="1">
      <c r="A97" s="1105"/>
      <c r="B97" s="538" t="s">
        <v>3853</v>
      </c>
      <c r="C97" s="602">
        <f>ROUND(Data!AG353,2)</f>
        <v>7792.68</v>
      </c>
      <c r="D97" s="744" t="s">
        <v>1219</v>
      </c>
      <c r="E97" s="1276"/>
      <c r="F97" s="1125">
        <f t="shared" si="13"/>
        <v>0</v>
      </c>
      <c r="G97" s="1199"/>
      <c r="H97" s="1125">
        <f t="shared" si="14"/>
        <v>0</v>
      </c>
      <c r="I97" s="748"/>
      <c r="J97" s="748">
        <f t="shared" si="15"/>
        <v>0</v>
      </c>
      <c r="K97" s="1199"/>
      <c r="L97" s="1125">
        <f t="shared" si="16"/>
        <v>0</v>
      </c>
      <c r="M97" s="1200"/>
      <c r="N97" s="1339">
        <f t="shared" si="17"/>
        <v>0</v>
      </c>
      <c r="O97" s="1340">
        <f t="shared" si="18"/>
        <v>0</v>
      </c>
      <c r="P97" s="1339">
        <f t="shared" si="19"/>
        <v>0</v>
      </c>
      <c r="Q97" s="1340">
        <f t="shared" si="20"/>
        <v>0</v>
      </c>
      <c r="R97" s="1339">
        <f t="shared" si="21"/>
        <v>0</v>
      </c>
    </row>
    <row r="98" spans="1:18" s="700" customFormat="1" ht="70.5" hidden="1" customHeight="1">
      <c r="A98" s="1105"/>
      <c r="B98" s="538" t="s">
        <v>3854</v>
      </c>
      <c r="C98" s="602">
        <f>ROUND(Data!AG354,2)</f>
        <v>7958.67</v>
      </c>
      <c r="D98" s="744" t="s">
        <v>1219</v>
      </c>
      <c r="E98" s="1276"/>
      <c r="F98" s="1125">
        <f t="shared" si="13"/>
        <v>0</v>
      </c>
      <c r="G98" s="1199"/>
      <c r="H98" s="1125">
        <f t="shared" si="14"/>
        <v>0</v>
      </c>
      <c r="I98" s="748"/>
      <c r="J98" s="748">
        <f t="shared" si="15"/>
        <v>0</v>
      </c>
      <c r="K98" s="1199"/>
      <c r="L98" s="1125">
        <f t="shared" si="16"/>
        <v>0</v>
      </c>
      <c r="M98" s="1200"/>
      <c r="N98" s="1339">
        <f t="shared" si="17"/>
        <v>0</v>
      </c>
      <c r="O98" s="1340">
        <f t="shared" si="18"/>
        <v>0</v>
      </c>
      <c r="P98" s="1339">
        <f t="shared" si="19"/>
        <v>0</v>
      </c>
      <c r="Q98" s="1340">
        <f t="shared" si="20"/>
        <v>0</v>
      </c>
      <c r="R98" s="1339">
        <f t="shared" si="21"/>
        <v>0</v>
      </c>
    </row>
    <row r="99" spans="1:18" s="700" customFormat="1" ht="70.5" hidden="1" customHeight="1">
      <c r="A99" s="1105"/>
      <c r="B99" s="538" t="s">
        <v>3855</v>
      </c>
      <c r="C99" s="602">
        <f>ROUND(Data!AG355,2)</f>
        <v>8124.66</v>
      </c>
      <c r="D99" s="744" t="s">
        <v>1219</v>
      </c>
      <c r="E99" s="1276"/>
      <c r="F99" s="1125">
        <f t="shared" si="13"/>
        <v>0</v>
      </c>
      <c r="G99" s="1199"/>
      <c r="H99" s="1125">
        <f t="shared" si="14"/>
        <v>0</v>
      </c>
      <c r="I99" s="748"/>
      <c r="J99" s="748">
        <f t="shared" si="15"/>
        <v>0</v>
      </c>
      <c r="K99" s="1199"/>
      <c r="L99" s="1125">
        <f t="shared" si="16"/>
        <v>0</v>
      </c>
      <c r="M99" s="1200"/>
      <c r="N99" s="1339">
        <f t="shared" si="17"/>
        <v>0</v>
      </c>
      <c r="O99" s="1340">
        <f t="shared" si="18"/>
        <v>0</v>
      </c>
      <c r="P99" s="1339">
        <f t="shared" si="19"/>
        <v>0</v>
      </c>
      <c r="Q99" s="1340">
        <f t="shared" si="20"/>
        <v>0</v>
      </c>
      <c r="R99" s="1339">
        <f t="shared" si="21"/>
        <v>0</v>
      </c>
    </row>
    <row r="100" spans="1:18" s="700" customFormat="1" ht="70.5" hidden="1" customHeight="1">
      <c r="A100" s="1105"/>
      <c r="B100" s="538" t="s">
        <v>3856</v>
      </c>
      <c r="C100" s="602">
        <f>ROUND(Data!AG356,2)</f>
        <v>8290.65</v>
      </c>
      <c r="D100" s="744" t="s">
        <v>1219</v>
      </c>
      <c r="E100" s="1276"/>
      <c r="F100" s="1125">
        <f t="shared" si="13"/>
        <v>0</v>
      </c>
      <c r="G100" s="1199"/>
      <c r="H100" s="1125">
        <f t="shared" si="14"/>
        <v>0</v>
      </c>
      <c r="I100" s="748"/>
      <c r="J100" s="748">
        <f t="shared" si="15"/>
        <v>0</v>
      </c>
      <c r="K100" s="1199"/>
      <c r="L100" s="1125">
        <f t="shared" si="16"/>
        <v>0</v>
      </c>
      <c r="M100" s="1200"/>
      <c r="N100" s="1339">
        <f t="shared" si="17"/>
        <v>0</v>
      </c>
      <c r="O100" s="1340">
        <f t="shared" si="18"/>
        <v>0</v>
      </c>
      <c r="P100" s="1339">
        <f t="shared" si="19"/>
        <v>0</v>
      </c>
      <c r="Q100" s="1340">
        <f t="shared" si="20"/>
        <v>0</v>
      </c>
      <c r="R100" s="1339">
        <f t="shared" si="21"/>
        <v>0</v>
      </c>
    </row>
    <row r="101" spans="1:18" s="700" customFormat="1" ht="70.5" hidden="1" customHeight="1">
      <c r="A101" s="1105"/>
      <c r="B101" s="538" t="s">
        <v>3857</v>
      </c>
      <c r="C101" s="602">
        <f>ROUND(Data!AG357,2)</f>
        <v>8456.64</v>
      </c>
      <c r="D101" s="744" t="s">
        <v>1219</v>
      </c>
      <c r="E101" s="1276"/>
      <c r="F101" s="1125">
        <f t="shared" si="13"/>
        <v>0</v>
      </c>
      <c r="G101" s="1199"/>
      <c r="H101" s="1125">
        <f t="shared" si="14"/>
        <v>0</v>
      </c>
      <c r="I101" s="748"/>
      <c r="J101" s="748">
        <f t="shared" si="15"/>
        <v>0</v>
      </c>
      <c r="K101" s="1199"/>
      <c r="L101" s="1125">
        <f t="shared" si="16"/>
        <v>0</v>
      </c>
      <c r="M101" s="1200"/>
      <c r="N101" s="1339">
        <f t="shared" si="17"/>
        <v>0</v>
      </c>
      <c r="O101" s="1340">
        <f t="shared" si="18"/>
        <v>0</v>
      </c>
      <c r="P101" s="1339">
        <f t="shared" si="19"/>
        <v>0</v>
      </c>
      <c r="Q101" s="1340">
        <f t="shared" si="20"/>
        <v>0</v>
      </c>
      <c r="R101" s="1339">
        <f t="shared" si="21"/>
        <v>0</v>
      </c>
    </row>
    <row r="102" spans="1:18" s="700" customFormat="1" ht="70.5" hidden="1" customHeight="1">
      <c r="A102" s="1105"/>
      <c r="B102" s="538" t="s">
        <v>3858</v>
      </c>
      <c r="C102" s="602">
        <f>ROUND(Data!AG358,2)</f>
        <v>8622.6299999999992</v>
      </c>
      <c r="D102" s="744" t="s">
        <v>1219</v>
      </c>
      <c r="E102" s="1276"/>
      <c r="F102" s="1125">
        <f t="shared" si="13"/>
        <v>0</v>
      </c>
      <c r="G102" s="1199"/>
      <c r="H102" s="1125">
        <f t="shared" si="14"/>
        <v>0</v>
      </c>
      <c r="I102" s="748"/>
      <c r="J102" s="748">
        <f t="shared" si="15"/>
        <v>0</v>
      </c>
      <c r="K102" s="1199"/>
      <c r="L102" s="1125">
        <f t="shared" si="16"/>
        <v>0</v>
      </c>
      <c r="M102" s="1200"/>
      <c r="N102" s="1339">
        <f t="shared" si="17"/>
        <v>0</v>
      </c>
      <c r="O102" s="1340">
        <f t="shared" si="18"/>
        <v>0</v>
      </c>
      <c r="P102" s="1339">
        <f t="shared" si="19"/>
        <v>0</v>
      </c>
      <c r="Q102" s="1340">
        <f t="shared" si="20"/>
        <v>0</v>
      </c>
      <c r="R102" s="1339">
        <f t="shared" si="21"/>
        <v>0</v>
      </c>
    </row>
    <row r="103" spans="1:18" s="700" customFormat="1" ht="70.5" hidden="1" customHeight="1">
      <c r="A103" s="1105"/>
      <c r="B103" s="538" t="s">
        <v>3859</v>
      </c>
      <c r="C103" s="602">
        <f>ROUND(Data!AG359,2)</f>
        <v>8788.6200000000008</v>
      </c>
      <c r="D103" s="744" t="s">
        <v>1219</v>
      </c>
      <c r="E103" s="1276"/>
      <c r="F103" s="1125">
        <f t="shared" si="13"/>
        <v>0</v>
      </c>
      <c r="G103" s="1199"/>
      <c r="H103" s="1125">
        <f t="shared" si="14"/>
        <v>0</v>
      </c>
      <c r="I103" s="748"/>
      <c r="J103" s="748">
        <f t="shared" si="15"/>
        <v>0</v>
      </c>
      <c r="K103" s="1199"/>
      <c r="L103" s="1125">
        <f t="shared" si="16"/>
        <v>0</v>
      </c>
      <c r="M103" s="1200"/>
      <c r="N103" s="1339">
        <f t="shared" si="17"/>
        <v>0</v>
      </c>
      <c r="O103" s="1340">
        <f t="shared" si="18"/>
        <v>0</v>
      </c>
      <c r="P103" s="1339">
        <f t="shared" si="19"/>
        <v>0</v>
      </c>
      <c r="Q103" s="1340">
        <f t="shared" si="20"/>
        <v>0</v>
      </c>
      <c r="R103" s="1339">
        <f t="shared" si="21"/>
        <v>0</v>
      </c>
    </row>
    <row r="104" spans="1:18" s="700" customFormat="1" ht="70.5" hidden="1" customHeight="1">
      <c r="A104" s="1105"/>
      <c r="B104" s="538" t="s">
        <v>3864</v>
      </c>
      <c r="C104" s="602">
        <f>ROUND(Data!AG360,2)</f>
        <v>8954.61</v>
      </c>
      <c r="D104" s="744" t="s">
        <v>1219</v>
      </c>
      <c r="E104" s="1276"/>
      <c r="F104" s="1125">
        <f t="shared" si="13"/>
        <v>0</v>
      </c>
      <c r="G104" s="1199"/>
      <c r="H104" s="1125">
        <f t="shared" si="14"/>
        <v>0</v>
      </c>
      <c r="I104" s="748"/>
      <c r="J104" s="748">
        <f t="shared" si="15"/>
        <v>0</v>
      </c>
      <c r="K104" s="1199"/>
      <c r="L104" s="1125">
        <f t="shared" si="16"/>
        <v>0</v>
      </c>
      <c r="M104" s="1200"/>
      <c r="N104" s="1339">
        <f t="shared" si="17"/>
        <v>0</v>
      </c>
      <c r="O104" s="1340">
        <f t="shared" si="18"/>
        <v>0</v>
      </c>
      <c r="P104" s="1339">
        <f t="shared" si="19"/>
        <v>0</v>
      </c>
      <c r="Q104" s="1340">
        <f t="shared" si="20"/>
        <v>0</v>
      </c>
      <c r="R104" s="1339">
        <f t="shared" si="21"/>
        <v>0</v>
      </c>
    </row>
    <row r="105" spans="1:18" s="700" customFormat="1" ht="70.5" hidden="1" customHeight="1">
      <c r="A105" s="1105">
        <v>9.3000000000000007</v>
      </c>
      <c r="B105" s="538" t="s">
        <v>1843</v>
      </c>
      <c r="C105" s="602"/>
      <c r="D105" s="744"/>
      <c r="E105" s="1276"/>
      <c r="F105" s="1125">
        <f t="shared" si="13"/>
        <v>0</v>
      </c>
      <c r="G105" s="1199"/>
      <c r="H105" s="1125">
        <f t="shared" si="14"/>
        <v>0</v>
      </c>
      <c r="I105" s="748"/>
      <c r="J105" s="748">
        <f t="shared" si="15"/>
        <v>0</v>
      </c>
      <c r="K105" s="1199"/>
      <c r="L105" s="1125">
        <f t="shared" si="16"/>
        <v>0</v>
      </c>
      <c r="M105" s="1200"/>
      <c r="N105" s="1339">
        <f t="shared" si="17"/>
        <v>0</v>
      </c>
      <c r="O105" s="1340">
        <f t="shared" si="18"/>
        <v>0</v>
      </c>
      <c r="P105" s="1339">
        <f t="shared" si="19"/>
        <v>0</v>
      </c>
      <c r="Q105" s="1340">
        <f t="shared" si="20"/>
        <v>0</v>
      </c>
      <c r="R105" s="1339">
        <f t="shared" si="21"/>
        <v>0</v>
      </c>
    </row>
    <row r="106" spans="1:18" s="700" customFormat="1" ht="70.5" hidden="1" customHeight="1">
      <c r="A106" s="1105"/>
      <c r="B106" s="538" t="s">
        <v>204</v>
      </c>
      <c r="C106" s="602"/>
      <c r="D106" s="744" t="s">
        <v>1219</v>
      </c>
      <c r="E106" s="1276"/>
      <c r="F106" s="1125">
        <f t="shared" si="13"/>
        <v>0</v>
      </c>
      <c r="G106" s="1199"/>
      <c r="H106" s="1125">
        <f t="shared" si="14"/>
        <v>0</v>
      </c>
      <c r="I106" s="748"/>
      <c r="J106" s="748">
        <f t="shared" si="15"/>
        <v>0</v>
      </c>
      <c r="K106" s="1199"/>
      <c r="L106" s="1125">
        <f t="shared" si="16"/>
        <v>0</v>
      </c>
      <c r="M106" s="1200"/>
      <c r="N106" s="1339">
        <f t="shared" si="17"/>
        <v>0</v>
      </c>
      <c r="O106" s="1340">
        <f t="shared" si="18"/>
        <v>0</v>
      </c>
      <c r="P106" s="1339">
        <f t="shared" si="19"/>
        <v>0</v>
      </c>
      <c r="Q106" s="1340">
        <f t="shared" si="20"/>
        <v>0</v>
      </c>
      <c r="R106" s="1339">
        <f t="shared" si="21"/>
        <v>0</v>
      </c>
    </row>
    <row r="107" spans="1:18" s="700" customFormat="1" ht="70.5" hidden="1" customHeight="1">
      <c r="A107" s="1105"/>
      <c r="B107" s="538" t="s">
        <v>205</v>
      </c>
      <c r="C107" s="602"/>
      <c r="D107" s="744" t="s">
        <v>1219</v>
      </c>
      <c r="E107" s="1276"/>
      <c r="F107" s="1125">
        <f t="shared" si="13"/>
        <v>0</v>
      </c>
      <c r="G107" s="1199"/>
      <c r="H107" s="1125">
        <f t="shared" si="14"/>
        <v>0</v>
      </c>
      <c r="I107" s="748"/>
      <c r="J107" s="748">
        <f t="shared" si="15"/>
        <v>0</v>
      </c>
      <c r="K107" s="1199"/>
      <c r="L107" s="1125">
        <f t="shared" si="16"/>
        <v>0</v>
      </c>
      <c r="M107" s="1200"/>
      <c r="N107" s="1339">
        <f t="shared" si="17"/>
        <v>0</v>
      </c>
      <c r="O107" s="1340">
        <f t="shared" si="18"/>
        <v>0</v>
      </c>
      <c r="P107" s="1339">
        <f t="shared" si="19"/>
        <v>0</v>
      </c>
      <c r="Q107" s="1340">
        <f t="shared" si="20"/>
        <v>0</v>
      </c>
      <c r="R107" s="1339">
        <f t="shared" si="21"/>
        <v>0</v>
      </c>
    </row>
    <row r="108" spans="1:18" s="700" customFormat="1" ht="70.5" hidden="1" customHeight="1">
      <c r="A108" s="1105"/>
      <c r="B108" s="538" t="s">
        <v>206</v>
      </c>
      <c r="C108" s="602"/>
      <c r="D108" s="744" t="s">
        <v>1219</v>
      </c>
      <c r="E108" s="1276"/>
      <c r="F108" s="1125">
        <f t="shared" si="13"/>
        <v>0</v>
      </c>
      <c r="G108" s="1199"/>
      <c r="H108" s="1125">
        <f t="shared" si="14"/>
        <v>0</v>
      </c>
      <c r="I108" s="748"/>
      <c r="J108" s="748">
        <f t="shared" si="15"/>
        <v>0</v>
      </c>
      <c r="K108" s="1199"/>
      <c r="L108" s="1125">
        <f t="shared" si="16"/>
        <v>0</v>
      </c>
      <c r="M108" s="1200"/>
      <c r="N108" s="1339">
        <f t="shared" si="17"/>
        <v>0</v>
      </c>
      <c r="O108" s="1340">
        <f t="shared" si="18"/>
        <v>0</v>
      </c>
      <c r="P108" s="1339">
        <f t="shared" si="19"/>
        <v>0</v>
      </c>
      <c r="Q108" s="1340">
        <f t="shared" si="20"/>
        <v>0</v>
      </c>
      <c r="R108" s="1339">
        <f t="shared" si="21"/>
        <v>0</v>
      </c>
    </row>
    <row r="109" spans="1:18" s="700" customFormat="1" ht="70.5" hidden="1" customHeight="1">
      <c r="A109" s="1105"/>
      <c r="B109" s="538" t="s">
        <v>207</v>
      </c>
      <c r="C109" s="602"/>
      <c r="D109" s="744" t="s">
        <v>1219</v>
      </c>
      <c r="E109" s="1276"/>
      <c r="F109" s="1125">
        <f t="shared" si="13"/>
        <v>0</v>
      </c>
      <c r="G109" s="1199"/>
      <c r="H109" s="1125">
        <f t="shared" si="14"/>
        <v>0</v>
      </c>
      <c r="I109" s="748"/>
      <c r="J109" s="748">
        <f t="shared" si="15"/>
        <v>0</v>
      </c>
      <c r="K109" s="1199"/>
      <c r="L109" s="1125">
        <f t="shared" si="16"/>
        <v>0</v>
      </c>
      <c r="M109" s="1200"/>
      <c r="N109" s="1339">
        <f t="shared" si="17"/>
        <v>0</v>
      </c>
      <c r="O109" s="1340">
        <f t="shared" si="18"/>
        <v>0</v>
      </c>
      <c r="P109" s="1339">
        <f t="shared" si="19"/>
        <v>0</v>
      </c>
      <c r="Q109" s="1340">
        <f t="shared" si="20"/>
        <v>0</v>
      </c>
      <c r="R109" s="1339">
        <f t="shared" si="21"/>
        <v>0</v>
      </c>
    </row>
    <row r="110" spans="1:18" s="700" customFormat="1" ht="70.5" hidden="1" customHeight="1">
      <c r="A110" s="1114"/>
      <c r="B110" s="538" t="s">
        <v>618</v>
      </c>
      <c r="C110" s="602"/>
      <c r="D110" s="744" t="s">
        <v>1219</v>
      </c>
      <c r="E110" s="1276"/>
      <c r="F110" s="1125">
        <f t="shared" si="13"/>
        <v>0</v>
      </c>
      <c r="G110" s="1199"/>
      <c r="H110" s="1125">
        <f t="shared" si="14"/>
        <v>0</v>
      </c>
      <c r="I110" s="748"/>
      <c r="J110" s="748">
        <f t="shared" si="15"/>
        <v>0</v>
      </c>
      <c r="K110" s="1199"/>
      <c r="L110" s="1125">
        <f t="shared" si="16"/>
        <v>0</v>
      </c>
      <c r="M110" s="1200"/>
      <c r="N110" s="1339">
        <f t="shared" si="17"/>
        <v>0</v>
      </c>
      <c r="O110" s="1340">
        <f t="shared" si="18"/>
        <v>0</v>
      </c>
      <c r="P110" s="1339">
        <f t="shared" si="19"/>
        <v>0</v>
      </c>
      <c r="Q110" s="1340">
        <f t="shared" si="20"/>
        <v>0</v>
      </c>
      <c r="R110" s="1339">
        <f t="shared" si="21"/>
        <v>0</v>
      </c>
    </row>
    <row r="111" spans="1:18" s="700" customFormat="1" ht="70.5" hidden="1" customHeight="1">
      <c r="A111" s="1105">
        <v>9.4</v>
      </c>
      <c r="B111" s="538" t="s">
        <v>4096</v>
      </c>
      <c r="C111" s="602"/>
      <c r="D111" s="744"/>
      <c r="E111" s="1276"/>
      <c r="F111" s="1125">
        <f t="shared" si="13"/>
        <v>0</v>
      </c>
      <c r="G111" s="1199"/>
      <c r="H111" s="1125">
        <f t="shared" si="14"/>
        <v>0</v>
      </c>
      <c r="I111" s="748"/>
      <c r="J111" s="748">
        <f t="shared" si="15"/>
        <v>0</v>
      </c>
      <c r="K111" s="1199"/>
      <c r="L111" s="1125">
        <f t="shared" si="16"/>
        <v>0</v>
      </c>
      <c r="M111" s="1200"/>
      <c r="N111" s="1339">
        <f t="shared" si="17"/>
        <v>0</v>
      </c>
      <c r="O111" s="1340">
        <f t="shared" si="18"/>
        <v>0</v>
      </c>
      <c r="P111" s="1339">
        <f t="shared" si="19"/>
        <v>0</v>
      </c>
      <c r="Q111" s="1340">
        <f t="shared" si="20"/>
        <v>0</v>
      </c>
      <c r="R111" s="1339">
        <f t="shared" si="21"/>
        <v>0</v>
      </c>
    </row>
    <row r="112" spans="1:18" s="700" customFormat="1" ht="70.5" hidden="1" customHeight="1">
      <c r="A112" s="1105"/>
      <c r="B112" s="538" t="s">
        <v>204</v>
      </c>
      <c r="C112" s="602"/>
      <c r="D112" s="744" t="s">
        <v>1219</v>
      </c>
      <c r="E112" s="1276"/>
      <c r="F112" s="1125">
        <f t="shared" si="13"/>
        <v>0</v>
      </c>
      <c r="G112" s="1199"/>
      <c r="H112" s="1125">
        <f t="shared" si="14"/>
        <v>0</v>
      </c>
      <c r="I112" s="748"/>
      <c r="J112" s="748">
        <f t="shared" si="15"/>
        <v>0</v>
      </c>
      <c r="K112" s="1199"/>
      <c r="L112" s="1125">
        <f t="shared" si="16"/>
        <v>0</v>
      </c>
      <c r="M112" s="1200"/>
      <c r="N112" s="1339">
        <f t="shared" si="17"/>
        <v>0</v>
      </c>
      <c r="O112" s="1340">
        <f t="shared" si="18"/>
        <v>0</v>
      </c>
      <c r="P112" s="1339">
        <f t="shared" si="19"/>
        <v>0</v>
      </c>
      <c r="Q112" s="1340">
        <f t="shared" si="20"/>
        <v>0</v>
      </c>
      <c r="R112" s="1339">
        <f t="shared" si="21"/>
        <v>0</v>
      </c>
    </row>
    <row r="113" spans="1:18" s="700" customFormat="1" ht="70.5" hidden="1" customHeight="1">
      <c r="A113" s="1105"/>
      <c r="B113" s="538" t="s">
        <v>205</v>
      </c>
      <c r="C113" s="602"/>
      <c r="D113" s="744" t="s">
        <v>1219</v>
      </c>
      <c r="E113" s="1276"/>
      <c r="F113" s="1125">
        <f t="shared" si="13"/>
        <v>0</v>
      </c>
      <c r="G113" s="1199"/>
      <c r="H113" s="1125">
        <f t="shared" si="14"/>
        <v>0</v>
      </c>
      <c r="I113" s="748"/>
      <c r="J113" s="748">
        <f t="shared" si="15"/>
        <v>0</v>
      </c>
      <c r="K113" s="1199"/>
      <c r="L113" s="1125">
        <f t="shared" si="16"/>
        <v>0</v>
      </c>
      <c r="M113" s="1200"/>
      <c r="N113" s="1339">
        <f t="shared" si="17"/>
        <v>0</v>
      </c>
      <c r="O113" s="1340">
        <f t="shared" si="18"/>
        <v>0</v>
      </c>
      <c r="P113" s="1339">
        <f t="shared" si="19"/>
        <v>0</v>
      </c>
      <c r="Q113" s="1340">
        <f t="shared" si="20"/>
        <v>0</v>
      </c>
      <c r="R113" s="1339">
        <f t="shared" si="21"/>
        <v>0</v>
      </c>
    </row>
    <row r="114" spans="1:18" s="700" customFormat="1" ht="70.5" hidden="1" customHeight="1">
      <c r="A114" s="1105"/>
      <c r="B114" s="538" t="s">
        <v>206</v>
      </c>
      <c r="C114" s="602"/>
      <c r="D114" s="744" t="s">
        <v>1219</v>
      </c>
      <c r="E114" s="1276"/>
      <c r="F114" s="1125">
        <f t="shared" si="13"/>
        <v>0</v>
      </c>
      <c r="G114" s="1199"/>
      <c r="H114" s="1125">
        <f t="shared" si="14"/>
        <v>0</v>
      </c>
      <c r="I114" s="748"/>
      <c r="J114" s="748">
        <f t="shared" si="15"/>
        <v>0</v>
      </c>
      <c r="K114" s="1199"/>
      <c r="L114" s="1125">
        <f t="shared" si="16"/>
        <v>0</v>
      </c>
      <c r="M114" s="1200"/>
      <c r="N114" s="1339">
        <f t="shared" si="17"/>
        <v>0</v>
      </c>
      <c r="O114" s="1340">
        <f t="shared" si="18"/>
        <v>0</v>
      </c>
      <c r="P114" s="1339">
        <f t="shared" si="19"/>
        <v>0</v>
      </c>
      <c r="Q114" s="1340">
        <f t="shared" si="20"/>
        <v>0</v>
      </c>
      <c r="R114" s="1339">
        <f t="shared" si="21"/>
        <v>0</v>
      </c>
    </row>
    <row r="115" spans="1:18" s="700" customFormat="1" ht="70.5" hidden="1" customHeight="1">
      <c r="A115" s="1105"/>
      <c r="B115" s="538" t="s">
        <v>207</v>
      </c>
      <c r="C115" s="602"/>
      <c r="D115" s="744" t="s">
        <v>1219</v>
      </c>
      <c r="E115" s="1276"/>
      <c r="F115" s="1125">
        <f t="shared" si="13"/>
        <v>0</v>
      </c>
      <c r="G115" s="1199"/>
      <c r="H115" s="1125">
        <f t="shared" si="14"/>
        <v>0</v>
      </c>
      <c r="I115" s="748"/>
      <c r="J115" s="748">
        <f t="shared" si="15"/>
        <v>0</v>
      </c>
      <c r="K115" s="1199"/>
      <c r="L115" s="1125">
        <f t="shared" si="16"/>
        <v>0</v>
      </c>
      <c r="M115" s="1200"/>
      <c r="N115" s="1339">
        <f t="shared" si="17"/>
        <v>0</v>
      </c>
      <c r="O115" s="1340">
        <f t="shared" si="18"/>
        <v>0</v>
      </c>
      <c r="P115" s="1339">
        <f t="shared" si="19"/>
        <v>0</v>
      </c>
      <c r="Q115" s="1340">
        <f t="shared" si="20"/>
        <v>0</v>
      </c>
      <c r="R115" s="1339">
        <f t="shared" si="21"/>
        <v>0</v>
      </c>
    </row>
    <row r="116" spans="1:18" s="700" customFormat="1" ht="70.5" hidden="1" customHeight="1">
      <c r="A116" s="1114"/>
      <c r="B116" s="538" t="s">
        <v>618</v>
      </c>
      <c r="C116" s="602"/>
      <c r="D116" s="744" t="s">
        <v>1219</v>
      </c>
      <c r="E116" s="1276"/>
      <c r="F116" s="1125">
        <f t="shared" si="13"/>
        <v>0</v>
      </c>
      <c r="G116" s="1199"/>
      <c r="H116" s="1125">
        <f t="shared" si="14"/>
        <v>0</v>
      </c>
      <c r="I116" s="748"/>
      <c r="J116" s="748">
        <f t="shared" si="15"/>
        <v>0</v>
      </c>
      <c r="K116" s="1199"/>
      <c r="L116" s="1125">
        <f t="shared" si="16"/>
        <v>0</v>
      </c>
      <c r="M116" s="1200"/>
      <c r="N116" s="1339">
        <f t="shared" si="17"/>
        <v>0</v>
      </c>
      <c r="O116" s="1340">
        <f t="shared" si="18"/>
        <v>0</v>
      </c>
      <c r="P116" s="1339">
        <f t="shared" si="19"/>
        <v>0</v>
      </c>
      <c r="Q116" s="1340">
        <f t="shared" si="20"/>
        <v>0</v>
      </c>
      <c r="R116" s="1339">
        <f t="shared" si="21"/>
        <v>0</v>
      </c>
    </row>
    <row r="117" spans="1:18" s="812" customFormat="1" ht="70.5" hidden="1" customHeight="1">
      <c r="A117" s="1107">
        <v>9.5</v>
      </c>
      <c r="B117" s="1112" t="s">
        <v>56</v>
      </c>
      <c r="C117" s="1109"/>
      <c r="D117" s="1110"/>
      <c r="E117" s="1276"/>
      <c r="F117" s="1125">
        <f t="shared" si="13"/>
        <v>0</v>
      </c>
      <c r="G117" s="1199"/>
      <c r="H117" s="1125">
        <f t="shared" si="14"/>
        <v>0</v>
      </c>
      <c r="I117" s="748"/>
      <c r="J117" s="748">
        <f t="shared" si="15"/>
        <v>0</v>
      </c>
      <c r="K117" s="1199"/>
      <c r="L117" s="1125">
        <f t="shared" si="16"/>
        <v>0</v>
      </c>
      <c r="M117" s="1200"/>
      <c r="N117" s="1339">
        <f t="shared" si="17"/>
        <v>0</v>
      </c>
      <c r="O117" s="1340">
        <f t="shared" si="18"/>
        <v>0</v>
      </c>
      <c r="P117" s="1339">
        <f t="shared" si="19"/>
        <v>0</v>
      </c>
      <c r="Q117" s="1340">
        <f t="shared" si="20"/>
        <v>0</v>
      </c>
      <c r="R117" s="1339">
        <f t="shared" si="21"/>
        <v>0</v>
      </c>
    </row>
    <row r="118" spans="1:18" s="812" customFormat="1" ht="70.5" hidden="1" customHeight="1">
      <c r="A118" s="1107"/>
      <c r="B118" s="1108" t="s">
        <v>204</v>
      </c>
      <c r="C118" s="1109">
        <f>ROUND(Data!K347,2)</f>
        <v>6770.63</v>
      </c>
      <c r="D118" s="1110" t="s">
        <v>1219</v>
      </c>
      <c r="E118" s="1276"/>
      <c r="F118" s="1125">
        <f t="shared" si="13"/>
        <v>0</v>
      </c>
      <c r="G118" s="1199"/>
      <c r="H118" s="1125">
        <f t="shared" si="14"/>
        <v>0</v>
      </c>
      <c r="I118" s="748"/>
      <c r="J118" s="748">
        <f t="shared" si="15"/>
        <v>0</v>
      </c>
      <c r="K118" s="1199"/>
      <c r="L118" s="1125">
        <f t="shared" si="16"/>
        <v>0</v>
      </c>
      <c r="M118" s="1200"/>
      <c r="N118" s="1339">
        <f t="shared" si="17"/>
        <v>0</v>
      </c>
      <c r="O118" s="1340">
        <f t="shared" si="18"/>
        <v>0</v>
      </c>
      <c r="P118" s="1339">
        <f t="shared" si="19"/>
        <v>0</v>
      </c>
      <c r="Q118" s="1340">
        <f t="shared" si="20"/>
        <v>0</v>
      </c>
      <c r="R118" s="1339">
        <f t="shared" si="21"/>
        <v>0</v>
      </c>
    </row>
    <row r="119" spans="1:18" s="812" customFormat="1" ht="70.5" hidden="1" customHeight="1">
      <c r="A119" s="1107"/>
      <c r="B119" s="1108" t="s">
        <v>205</v>
      </c>
      <c r="C119" s="1109">
        <f>ROUND(Data!K348,2)</f>
        <v>6936.62</v>
      </c>
      <c r="D119" s="1110" t="s">
        <v>1219</v>
      </c>
      <c r="E119" s="1276"/>
      <c r="F119" s="1125">
        <f t="shared" si="13"/>
        <v>0</v>
      </c>
      <c r="G119" s="1199"/>
      <c r="H119" s="1125">
        <f t="shared" si="14"/>
        <v>0</v>
      </c>
      <c r="I119" s="748"/>
      <c r="J119" s="748">
        <f t="shared" si="15"/>
        <v>0</v>
      </c>
      <c r="K119" s="1199"/>
      <c r="L119" s="1125">
        <f t="shared" si="16"/>
        <v>0</v>
      </c>
      <c r="M119" s="1200"/>
      <c r="N119" s="1339">
        <f t="shared" si="17"/>
        <v>0</v>
      </c>
      <c r="O119" s="1340">
        <f t="shared" si="18"/>
        <v>0</v>
      </c>
      <c r="P119" s="1339">
        <f t="shared" si="19"/>
        <v>0</v>
      </c>
      <c r="Q119" s="1340">
        <f t="shared" si="20"/>
        <v>0</v>
      </c>
      <c r="R119" s="1339">
        <f t="shared" si="21"/>
        <v>0</v>
      </c>
    </row>
    <row r="120" spans="1:18" s="812" customFormat="1" ht="70.5" hidden="1" customHeight="1">
      <c r="A120" s="1107"/>
      <c r="B120" s="1108" t="s">
        <v>206</v>
      </c>
      <c r="C120" s="1109">
        <f>ROUND(Data!K349,2)</f>
        <v>7102.61</v>
      </c>
      <c r="D120" s="1110" t="s">
        <v>1219</v>
      </c>
      <c r="E120" s="1276"/>
      <c r="F120" s="1125">
        <f t="shared" si="13"/>
        <v>0</v>
      </c>
      <c r="G120" s="1199"/>
      <c r="H120" s="1125">
        <f t="shared" si="14"/>
        <v>0</v>
      </c>
      <c r="I120" s="748"/>
      <c r="J120" s="748">
        <f t="shared" si="15"/>
        <v>0</v>
      </c>
      <c r="K120" s="1199"/>
      <c r="L120" s="1125">
        <f t="shared" si="16"/>
        <v>0</v>
      </c>
      <c r="M120" s="1200"/>
      <c r="N120" s="1339">
        <f t="shared" si="17"/>
        <v>0</v>
      </c>
      <c r="O120" s="1340">
        <f t="shared" si="18"/>
        <v>0</v>
      </c>
      <c r="P120" s="1339">
        <f t="shared" si="19"/>
        <v>0</v>
      </c>
      <c r="Q120" s="1340">
        <f t="shared" si="20"/>
        <v>0</v>
      </c>
      <c r="R120" s="1339">
        <f t="shared" si="21"/>
        <v>0</v>
      </c>
    </row>
    <row r="121" spans="1:18" s="812" customFormat="1" ht="70.5" hidden="1" customHeight="1">
      <c r="A121" s="1107"/>
      <c r="B121" s="1108" t="s">
        <v>207</v>
      </c>
      <c r="C121" s="1109">
        <f>ROUND(Data!K350,2)</f>
        <v>7268.6</v>
      </c>
      <c r="D121" s="1110" t="s">
        <v>1219</v>
      </c>
      <c r="E121" s="1276"/>
      <c r="F121" s="1125">
        <f t="shared" si="13"/>
        <v>0</v>
      </c>
      <c r="G121" s="1199"/>
      <c r="H121" s="1125">
        <f t="shared" si="14"/>
        <v>0</v>
      </c>
      <c r="I121" s="748"/>
      <c r="J121" s="748">
        <f t="shared" si="15"/>
        <v>0</v>
      </c>
      <c r="K121" s="1199"/>
      <c r="L121" s="1125">
        <f t="shared" si="16"/>
        <v>0</v>
      </c>
      <c r="M121" s="1200"/>
      <c r="N121" s="1339">
        <f t="shared" si="17"/>
        <v>0</v>
      </c>
      <c r="O121" s="1340">
        <f t="shared" si="18"/>
        <v>0</v>
      </c>
      <c r="P121" s="1339">
        <f t="shared" si="19"/>
        <v>0</v>
      </c>
      <c r="Q121" s="1340">
        <f t="shared" si="20"/>
        <v>0</v>
      </c>
      <c r="R121" s="1339">
        <f t="shared" si="21"/>
        <v>0</v>
      </c>
    </row>
    <row r="122" spans="1:18" s="812" customFormat="1" ht="70.5" hidden="1" customHeight="1">
      <c r="A122" s="1115"/>
      <c r="B122" s="1108" t="s">
        <v>618</v>
      </c>
      <c r="C122" s="1109">
        <f>ROUND(Data!K351,2)</f>
        <v>7434.59</v>
      </c>
      <c r="D122" s="1110" t="s">
        <v>1219</v>
      </c>
      <c r="E122" s="1276"/>
      <c r="F122" s="1125">
        <f t="shared" si="13"/>
        <v>0</v>
      </c>
      <c r="G122" s="1199"/>
      <c r="H122" s="1125">
        <f t="shared" si="14"/>
        <v>0</v>
      </c>
      <c r="I122" s="748"/>
      <c r="J122" s="748">
        <f t="shared" si="15"/>
        <v>0</v>
      </c>
      <c r="K122" s="1199"/>
      <c r="L122" s="1125">
        <f t="shared" si="16"/>
        <v>0</v>
      </c>
      <c r="M122" s="1200"/>
      <c r="N122" s="1339">
        <f t="shared" si="17"/>
        <v>0</v>
      </c>
      <c r="O122" s="1340">
        <f t="shared" si="18"/>
        <v>0</v>
      </c>
      <c r="P122" s="1339">
        <f t="shared" si="19"/>
        <v>0</v>
      </c>
      <c r="Q122" s="1340">
        <f t="shared" si="20"/>
        <v>0</v>
      </c>
      <c r="R122" s="1339">
        <f t="shared" si="21"/>
        <v>0</v>
      </c>
    </row>
    <row r="123" spans="1:18" s="700" customFormat="1" ht="70.5" hidden="1" customHeight="1">
      <c r="A123" s="1105">
        <v>9.6</v>
      </c>
      <c r="B123" s="538" t="s">
        <v>1602</v>
      </c>
      <c r="C123" s="602"/>
      <c r="D123" s="744"/>
      <c r="E123" s="1276"/>
      <c r="F123" s="1125">
        <f t="shared" si="13"/>
        <v>0</v>
      </c>
      <c r="G123" s="1199"/>
      <c r="H123" s="1125">
        <f t="shared" si="14"/>
        <v>0</v>
      </c>
      <c r="I123" s="748"/>
      <c r="J123" s="748">
        <f t="shared" si="15"/>
        <v>0</v>
      </c>
      <c r="K123" s="1199"/>
      <c r="L123" s="1125">
        <f t="shared" si="16"/>
        <v>0</v>
      </c>
      <c r="M123" s="1200"/>
      <c r="N123" s="1339">
        <f t="shared" si="17"/>
        <v>0</v>
      </c>
      <c r="O123" s="1340">
        <f t="shared" si="18"/>
        <v>0</v>
      </c>
      <c r="P123" s="1339">
        <f t="shared" si="19"/>
        <v>0</v>
      </c>
      <c r="Q123" s="1340">
        <f t="shared" si="20"/>
        <v>0</v>
      </c>
      <c r="R123" s="1339">
        <f t="shared" si="21"/>
        <v>0</v>
      </c>
    </row>
    <row r="124" spans="1:18" s="700" customFormat="1" ht="70.5" hidden="1" customHeight="1">
      <c r="A124" s="1105"/>
      <c r="B124" s="538" t="s">
        <v>204</v>
      </c>
      <c r="C124" s="602"/>
      <c r="D124" s="744" t="s">
        <v>1219</v>
      </c>
      <c r="E124" s="1276"/>
      <c r="F124" s="1125">
        <f t="shared" si="13"/>
        <v>0</v>
      </c>
      <c r="G124" s="1199"/>
      <c r="H124" s="1125">
        <f t="shared" si="14"/>
        <v>0</v>
      </c>
      <c r="I124" s="748"/>
      <c r="J124" s="748">
        <f t="shared" si="15"/>
        <v>0</v>
      </c>
      <c r="K124" s="1199"/>
      <c r="L124" s="1125">
        <f t="shared" si="16"/>
        <v>0</v>
      </c>
      <c r="M124" s="1200"/>
      <c r="N124" s="1339">
        <f t="shared" si="17"/>
        <v>0</v>
      </c>
      <c r="O124" s="1340">
        <f t="shared" si="18"/>
        <v>0</v>
      </c>
      <c r="P124" s="1339">
        <f t="shared" si="19"/>
        <v>0</v>
      </c>
      <c r="Q124" s="1340">
        <f t="shared" si="20"/>
        <v>0</v>
      </c>
      <c r="R124" s="1339">
        <f t="shared" si="21"/>
        <v>0</v>
      </c>
    </row>
    <row r="125" spans="1:18" s="700" customFormat="1" ht="70.5" hidden="1" customHeight="1">
      <c r="A125" s="1105"/>
      <c r="B125" s="538" t="s">
        <v>205</v>
      </c>
      <c r="C125" s="602"/>
      <c r="D125" s="744" t="s">
        <v>1219</v>
      </c>
      <c r="E125" s="1276"/>
      <c r="F125" s="1125">
        <f t="shared" si="13"/>
        <v>0</v>
      </c>
      <c r="G125" s="1199"/>
      <c r="H125" s="1125">
        <f t="shared" si="14"/>
        <v>0</v>
      </c>
      <c r="I125" s="748"/>
      <c r="J125" s="748">
        <f t="shared" si="15"/>
        <v>0</v>
      </c>
      <c r="K125" s="1199"/>
      <c r="L125" s="1125">
        <f t="shared" si="16"/>
        <v>0</v>
      </c>
      <c r="M125" s="1200"/>
      <c r="N125" s="1339">
        <f t="shared" si="17"/>
        <v>0</v>
      </c>
      <c r="O125" s="1340">
        <f t="shared" si="18"/>
        <v>0</v>
      </c>
      <c r="P125" s="1339">
        <f t="shared" si="19"/>
        <v>0</v>
      </c>
      <c r="Q125" s="1340">
        <f t="shared" si="20"/>
        <v>0</v>
      </c>
      <c r="R125" s="1339">
        <f t="shared" si="21"/>
        <v>0</v>
      </c>
    </row>
    <row r="126" spans="1:18" s="700" customFormat="1" ht="70.5" hidden="1" customHeight="1">
      <c r="A126" s="1105"/>
      <c r="B126" s="538" t="s">
        <v>206</v>
      </c>
      <c r="C126" s="602"/>
      <c r="D126" s="744" t="s">
        <v>1219</v>
      </c>
      <c r="E126" s="1276"/>
      <c r="F126" s="1125">
        <f t="shared" si="13"/>
        <v>0</v>
      </c>
      <c r="G126" s="1199"/>
      <c r="H126" s="1125">
        <f t="shared" si="14"/>
        <v>0</v>
      </c>
      <c r="I126" s="748"/>
      <c r="J126" s="748">
        <f t="shared" si="15"/>
        <v>0</v>
      </c>
      <c r="K126" s="1199"/>
      <c r="L126" s="1125">
        <f t="shared" si="16"/>
        <v>0</v>
      </c>
      <c r="M126" s="1200"/>
      <c r="N126" s="1339">
        <f t="shared" si="17"/>
        <v>0</v>
      </c>
      <c r="O126" s="1340">
        <f t="shared" si="18"/>
        <v>0</v>
      </c>
      <c r="P126" s="1339">
        <f t="shared" si="19"/>
        <v>0</v>
      </c>
      <c r="Q126" s="1340">
        <f t="shared" si="20"/>
        <v>0</v>
      </c>
      <c r="R126" s="1339">
        <f t="shared" si="21"/>
        <v>0</v>
      </c>
    </row>
    <row r="127" spans="1:18" s="700" customFormat="1" ht="70.5" hidden="1" customHeight="1">
      <c r="A127" s="1105"/>
      <c r="B127" s="538" t="s">
        <v>207</v>
      </c>
      <c r="C127" s="602"/>
      <c r="D127" s="744" t="s">
        <v>1219</v>
      </c>
      <c r="E127" s="1276"/>
      <c r="F127" s="1125">
        <f t="shared" si="13"/>
        <v>0</v>
      </c>
      <c r="G127" s="1199"/>
      <c r="H127" s="1125">
        <f t="shared" si="14"/>
        <v>0</v>
      </c>
      <c r="I127" s="748"/>
      <c r="J127" s="748">
        <f t="shared" si="15"/>
        <v>0</v>
      </c>
      <c r="K127" s="1199"/>
      <c r="L127" s="1125">
        <f t="shared" si="16"/>
        <v>0</v>
      </c>
      <c r="M127" s="1200"/>
      <c r="N127" s="1339">
        <f t="shared" si="17"/>
        <v>0</v>
      </c>
      <c r="O127" s="1340">
        <f t="shared" si="18"/>
        <v>0</v>
      </c>
      <c r="P127" s="1339">
        <f t="shared" si="19"/>
        <v>0</v>
      </c>
      <c r="Q127" s="1340">
        <f t="shared" si="20"/>
        <v>0</v>
      </c>
      <c r="R127" s="1339">
        <f t="shared" si="21"/>
        <v>0</v>
      </c>
    </row>
    <row r="128" spans="1:18" s="700" customFormat="1" ht="70.5" hidden="1" customHeight="1">
      <c r="A128" s="1114"/>
      <c r="B128" s="538" t="s">
        <v>618</v>
      </c>
      <c r="C128" s="602"/>
      <c r="D128" s="744" t="s">
        <v>1219</v>
      </c>
      <c r="E128" s="1276"/>
      <c r="F128" s="1125">
        <f t="shared" si="13"/>
        <v>0</v>
      </c>
      <c r="G128" s="1199"/>
      <c r="H128" s="1125">
        <f t="shared" si="14"/>
        <v>0</v>
      </c>
      <c r="I128" s="748"/>
      <c r="J128" s="748">
        <f t="shared" si="15"/>
        <v>0</v>
      </c>
      <c r="K128" s="1199"/>
      <c r="L128" s="1125">
        <f t="shared" si="16"/>
        <v>0</v>
      </c>
      <c r="M128" s="1200"/>
      <c r="N128" s="1339">
        <f t="shared" si="17"/>
        <v>0</v>
      </c>
      <c r="O128" s="1340">
        <f t="shared" si="18"/>
        <v>0</v>
      </c>
      <c r="P128" s="1339">
        <f t="shared" si="19"/>
        <v>0</v>
      </c>
      <c r="Q128" s="1340">
        <f t="shared" si="20"/>
        <v>0</v>
      </c>
      <c r="R128" s="1339">
        <f t="shared" si="21"/>
        <v>0</v>
      </c>
    </row>
    <row r="129" spans="1:20" s="700" customFormat="1" ht="70.5" hidden="1" customHeight="1">
      <c r="A129" s="1105">
        <v>10.1</v>
      </c>
      <c r="B129" s="600" t="s">
        <v>4097</v>
      </c>
      <c r="C129" s="602"/>
      <c r="D129" s="744"/>
      <c r="E129" s="1276"/>
      <c r="F129" s="1125">
        <f t="shared" si="13"/>
        <v>0</v>
      </c>
      <c r="G129" s="1199"/>
      <c r="H129" s="1125">
        <f t="shared" si="14"/>
        <v>0</v>
      </c>
      <c r="I129" s="748"/>
      <c r="J129" s="748">
        <f t="shared" si="15"/>
        <v>0</v>
      </c>
      <c r="K129" s="1199"/>
      <c r="L129" s="1125">
        <f t="shared" si="16"/>
        <v>0</v>
      </c>
      <c r="M129" s="1200"/>
      <c r="N129" s="1339">
        <f t="shared" si="17"/>
        <v>0</v>
      </c>
      <c r="O129" s="1340">
        <f t="shared" si="18"/>
        <v>0</v>
      </c>
      <c r="P129" s="1339">
        <f t="shared" si="19"/>
        <v>0</v>
      </c>
      <c r="Q129" s="1340">
        <f t="shared" si="20"/>
        <v>0</v>
      </c>
      <c r="R129" s="1339">
        <f t="shared" si="21"/>
        <v>0</v>
      </c>
    </row>
    <row r="130" spans="1:20" s="700" customFormat="1" ht="70.5" hidden="1" customHeight="1">
      <c r="A130" s="1105"/>
      <c r="B130" s="538" t="s">
        <v>554</v>
      </c>
      <c r="C130" s="602">
        <f>ROUND(Data!X400,2)</f>
        <v>875.55</v>
      </c>
      <c r="D130" s="744" t="s">
        <v>1876</v>
      </c>
      <c r="E130" s="1276"/>
      <c r="F130" s="1125">
        <f t="shared" si="13"/>
        <v>0</v>
      </c>
      <c r="G130" s="1199"/>
      <c r="H130" s="1125">
        <f t="shared" si="14"/>
        <v>0</v>
      </c>
      <c r="I130" s="748"/>
      <c r="J130" s="748">
        <f t="shared" si="15"/>
        <v>0</v>
      </c>
      <c r="K130" s="1199"/>
      <c r="L130" s="1125">
        <f t="shared" si="16"/>
        <v>0</v>
      </c>
      <c r="M130" s="1200"/>
      <c r="N130" s="1339">
        <f t="shared" si="17"/>
        <v>0</v>
      </c>
      <c r="O130" s="1340">
        <f t="shared" si="18"/>
        <v>0</v>
      </c>
      <c r="P130" s="1339">
        <f t="shared" si="19"/>
        <v>0</v>
      </c>
      <c r="Q130" s="1340">
        <f t="shared" si="20"/>
        <v>0</v>
      </c>
      <c r="R130" s="1339">
        <f t="shared" si="21"/>
        <v>0</v>
      </c>
    </row>
    <row r="131" spans="1:20" s="700" customFormat="1" ht="70.5" hidden="1" customHeight="1">
      <c r="A131" s="1105"/>
      <c r="B131" s="538" t="s">
        <v>555</v>
      </c>
      <c r="C131" s="602">
        <f>ROUND(Data!X402,2)</f>
        <v>884.77</v>
      </c>
      <c r="D131" s="744" t="s">
        <v>1876</v>
      </c>
      <c r="E131" s="1276"/>
      <c r="F131" s="1125">
        <f t="shared" si="13"/>
        <v>0</v>
      </c>
      <c r="G131" s="1199"/>
      <c r="H131" s="1125">
        <f t="shared" si="14"/>
        <v>0</v>
      </c>
      <c r="I131" s="748"/>
      <c r="J131" s="748">
        <f t="shared" si="15"/>
        <v>0</v>
      </c>
      <c r="K131" s="1199"/>
      <c r="L131" s="1125">
        <f t="shared" si="16"/>
        <v>0</v>
      </c>
      <c r="M131" s="1200"/>
      <c r="N131" s="1339">
        <f t="shared" si="17"/>
        <v>0</v>
      </c>
      <c r="O131" s="1340">
        <f t="shared" si="18"/>
        <v>0</v>
      </c>
      <c r="P131" s="1339">
        <f t="shared" si="19"/>
        <v>0</v>
      </c>
      <c r="Q131" s="1340">
        <f t="shared" si="20"/>
        <v>0</v>
      </c>
      <c r="R131" s="1339">
        <f t="shared" si="21"/>
        <v>0</v>
      </c>
    </row>
    <row r="132" spans="1:20" s="700" customFormat="1" ht="70.5" hidden="1" customHeight="1">
      <c r="A132" s="1105"/>
      <c r="B132" s="538" t="s">
        <v>557</v>
      </c>
      <c r="C132" s="602">
        <f>ROUND(Data!X403,2)</f>
        <v>903.36</v>
      </c>
      <c r="D132" s="744" t="s">
        <v>1876</v>
      </c>
      <c r="E132" s="1276"/>
      <c r="F132" s="1125">
        <f t="shared" si="13"/>
        <v>0</v>
      </c>
      <c r="G132" s="1199"/>
      <c r="H132" s="1125">
        <f t="shared" si="14"/>
        <v>0</v>
      </c>
      <c r="I132" s="748"/>
      <c r="J132" s="748">
        <f t="shared" si="15"/>
        <v>0</v>
      </c>
      <c r="K132" s="1199"/>
      <c r="L132" s="1125">
        <f t="shared" si="16"/>
        <v>0</v>
      </c>
      <c r="M132" s="1200"/>
      <c r="N132" s="1339">
        <f t="shared" si="17"/>
        <v>0</v>
      </c>
      <c r="O132" s="1340">
        <f t="shared" si="18"/>
        <v>0</v>
      </c>
      <c r="P132" s="1339">
        <f t="shared" si="19"/>
        <v>0</v>
      </c>
      <c r="Q132" s="1340">
        <f t="shared" si="20"/>
        <v>0</v>
      </c>
      <c r="R132" s="1339">
        <f t="shared" si="21"/>
        <v>0</v>
      </c>
    </row>
    <row r="133" spans="1:20" s="700" customFormat="1" ht="70.5" hidden="1" customHeight="1">
      <c r="A133" s="1105"/>
      <c r="B133" s="538" t="s">
        <v>1840</v>
      </c>
      <c r="C133" s="602">
        <f>ROUND(Data!X404,2)</f>
        <v>921.95</v>
      </c>
      <c r="D133" s="744" t="s">
        <v>1876</v>
      </c>
      <c r="E133" s="1276"/>
      <c r="F133" s="1125">
        <f t="shared" si="13"/>
        <v>0</v>
      </c>
      <c r="G133" s="1199"/>
      <c r="H133" s="1125">
        <f t="shared" si="14"/>
        <v>0</v>
      </c>
      <c r="I133" s="748"/>
      <c r="J133" s="748">
        <f t="shared" si="15"/>
        <v>0</v>
      </c>
      <c r="K133" s="1199"/>
      <c r="L133" s="1125">
        <f t="shared" si="16"/>
        <v>0</v>
      </c>
      <c r="M133" s="1200"/>
      <c r="N133" s="1339">
        <f t="shared" si="17"/>
        <v>0</v>
      </c>
      <c r="O133" s="1340">
        <f t="shared" si="18"/>
        <v>0</v>
      </c>
      <c r="P133" s="1339">
        <f t="shared" si="19"/>
        <v>0</v>
      </c>
      <c r="Q133" s="1340">
        <f t="shared" si="20"/>
        <v>0</v>
      </c>
      <c r="R133" s="1339">
        <f t="shared" si="21"/>
        <v>0</v>
      </c>
    </row>
    <row r="134" spans="1:20" s="700" customFormat="1" ht="70.5" hidden="1" customHeight="1">
      <c r="A134" s="1105"/>
      <c r="B134" s="538" t="s">
        <v>2254</v>
      </c>
      <c r="C134" s="602">
        <f>ROUND(Data!X405,2)</f>
        <v>940.54</v>
      </c>
      <c r="D134" s="744" t="s">
        <v>1876</v>
      </c>
      <c r="E134" s="1276"/>
      <c r="F134" s="1125">
        <f t="shared" si="13"/>
        <v>0</v>
      </c>
      <c r="G134" s="1199"/>
      <c r="H134" s="1125">
        <f t="shared" si="14"/>
        <v>0</v>
      </c>
      <c r="I134" s="748"/>
      <c r="J134" s="748">
        <f t="shared" si="15"/>
        <v>0</v>
      </c>
      <c r="K134" s="1199"/>
      <c r="L134" s="1125">
        <f t="shared" si="16"/>
        <v>0</v>
      </c>
      <c r="M134" s="1200"/>
      <c r="N134" s="1339">
        <f t="shared" si="17"/>
        <v>0</v>
      </c>
      <c r="O134" s="1340">
        <f t="shared" si="18"/>
        <v>0</v>
      </c>
      <c r="P134" s="1339">
        <f t="shared" si="19"/>
        <v>0</v>
      </c>
      <c r="Q134" s="1340">
        <f t="shared" si="20"/>
        <v>0</v>
      </c>
      <c r="R134" s="1339">
        <f t="shared" si="21"/>
        <v>0</v>
      </c>
    </row>
    <row r="135" spans="1:20" s="700" customFormat="1" ht="70.5" hidden="1" customHeight="1">
      <c r="A135" s="1114"/>
      <c r="B135" s="538" t="s">
        <v>1085</v>
      </c>
      <c r="C135" s="602">
        <f>ROUND(Data!X406,2)</f>
        <v>959.13</v>
      </c>
      <c r="D135" s="744" t="s">
        <v>1876</v>
      </c>
      <c r="E135" s="1276"/>
      <c r="F135" s="1125">
        <f t="shared" ref="F135:F198" si="24">E135*C135</f>
        <v>0</v>
      </c>
      <c r="G135" s="1199"/>
      <c r="H135" s="1125">
        <f t="shared" ref="H135:H198" si="25">G135*C135</f>
        <v>0</v>
      </c>
      <c r="I135" s="748"/>
      <c r="J135" s="748">
        <f t="shared" ref="J135:J198" si="26">I135*C135</f>
        <v>0</v>
      </c>
      <c r="K135" s="1199"/>
      <c r="L135" s="1125">
        <f t="shared" ref="L135:L198" si="27">K135*C135</f>
        <v>0</v>
      </c>
      <c r="M135" s="1200"/>
      <c r="N135" s="1339">
        <f t="shared" ref="N135:N198" si="28">M135*C135</f>
        <v>0</v>
      </c>
      <c r="O135" s="1340">
        <f t="shared" ref="O135:O198" si="29">G135+K135+M135</f>
        <v>0</v>
      </c>
      <c r="P135" s="1339">
        <f t="shared" ref="P135:P198" si="30">O135*C135</f>
        <v>0</v>
      </c>
      <c r="Q135" s="1340">
        <f t="shared" ref="Q135:Q198" si="31">O135+E135</f>
        <v>0</v>
      </c>
      <c r="R135" s="1339">
        <f t="shared" ref="R135:R198" si="32">Q135*C135</f>
        <v>0</v>
      </c>
    </row>
    <row r="136" spans="1:20" ht="82.5" customHeight="1">
      <c r="A136" s="1486">
        <v>10.199999999999999</v>
      </c>
      <c r="B136" s="1344" t="s">
        <v>4098</v>
      </c>
      <c r="C136" s="1111"/>
      <c r="D136" s="1110"/>
      <c r="E136" s="1336"/>
      <c r="F136" s="1125">
        <f t="shared" si="24"/>
        <v>0</v>
      </c>
      <c r="G136" s="1335"/>
      <c r="H136" s="1125">
        <f t="shared" si="25"/>
        <v>0</v>
      </c>
      <c r="I136" s="1312"/>
      <c r="J136" s="1406">
        <f t="shared" si="26"/>
        <v>0</v>
      </c>
      <c r="K136" s="1335"/>
      <c r="L136" s="1125">
        <f t="shared" si="27"/>
        <v>0</v>
      </c>
      <c r="M136" s="1343"/>
      <c r="N136" s="1339">
        <f t="shared" si="28"/>
        <v>0</v>
      </c>
      <c r="O136" s="1340">
        <f t="shared" si="29"/>
        <v>0</v>
      </c>
      <c r="P136" s="1339">
        <f t="shared" si="30"/>
        <v>0</v>
      </c>
      <c r="Q136" s="1341" t="s">
        <v>2290</v>
      </c>
      <c r="R136" s="1339"/>
      <c r="S136" s="1322">
        <f t="shared" ref="S136:S141" si="33">F136+P136</f>
        <v>0</v>
      </c>
      <c r="T136" s="1322">
        <f t="shared" ref="T136:T141" si="34">S136-R136</f>
        <v>0</v>
      </c>
    </row>
    <row r="137" spans="1:20" s="700" customFormat="1" ht="41.25" customHeight="1">
      <c r="A137" s="1105"/>
      <c r="B137" s="538" t="s">
        <v>554</v>
      </c>
      <c r="C137" s="602">
        <f>ROUND(Data!AG409,2)</f>
        <v>856.42</v>
      </c>
      <c r="D137" s="744" t="s">
        <v>1876</v>
      </c>
      <c r="E137" s="1100">
        <v>32.299999999999997</v>
      </c>
      <c r="F137" s="1125">
        <f t="shared" si="24"/>
        <v>27662.37</v>
      </c>
      <c r="G137" s="1199"/>
      <c r="H137" s="1125">
        <f t="shared" si="25"/>
        <v>0</v>
      </c>
      <c r="I137" s="748"/>
      <c r="J137" s="1407">
        <f t="shared" si="26"/>
        <v>0</v>
      </c>
      <c r="K137" s="1199"/>
      <c r="L137" s="1125">
        <f t="shared" si="27"/>
        <v>0</v>
      </c>
      <c r="M137" s="1200"/>
      <c r="N137" s="1339">
        <f t="shared" si="28"/>
        <v>0</v>
      </c>
      <c r="O137" s="1340">
        <f t="shared" si="29"/>
        <v>0</v>
      </c>
      <c r="P137" s="1339">
        <f t="shared" si="30"/>
        <v>0</v>
      </c>
      <c r="Q137" s="1340">
        <f t="shared" si="31"/>
        <v>32.299999999999997</v>
      </c>
      <c r="R137" s="1339">
        <f t="shared" si="32"/>
        <v>27662.37</v>
      </c>
      <c r="S137" s="700">
        <f t="shared" si="33"/>
        <v>27662.37</v>
      </c>
      <c r="T137" s="700">
        <f t="shared" si="34"/>
        <v>0</v>
      </c>
    </row>
    <row r="138" spans="1:20" ht="45" customHeight="1">
      <c r="A138" s="1486"/>
      <c r="B138" s="1198" t="s">
        <v>3875</v>
      </c>
      <c r="C138" s="1111">
        <f>ROUND(Data!AG411,2)</f>
        <v>865.8</v>
      </c>
      <c r="D138" s="1110" t="s">
        <v>1876</v>
      </c>
      <c r="E138" s="1336">
        <v>91.1</v>
      </c>
      <c r="F138" s="1125">
        <f t="shared" si="24"/>
        <v>78874.38</v>
      </c>
      <c r="G138" s="1335"/>
      <c r="H138" s="1125">
        <f t="shared" si="25"/>
        <v>0</v>
      </c>
      <c r="I138" s="1312"/>
      <c r="J138" s="1406">
        <f t="shared" si="26"/>
        <v>0</v>
      </c>
      <c r="K138" s="1335"/>
      <c r="L138" s="1125">
        <f t="shared" si="27"/>
        <v>0</v>
      </c>
      <c r="M138" s="1343"/>
      <c r="N138" s="1339">
        <f t="shared" si="28"/>
        <v>0</v>
      </c>
      <c r="O138" s="1340">
        <f t="shared" si="29"/>
        <v>0</v>
      </c>
      <c r="P138" s="1339">
        <f t="shared" si="30"/>
        <v>0</v>
      </c>
      <c r="Q138" s="1340">
        <f t="shared" si="31"/>
        <v>91.1</v>
      </c>
      <c r="R138" s="1339">
        <f t="shared" si="32"/>
        <v>78874.38</v>
      </c>
      <c r="S138" s="1322">
        <f t="shared" si="33"/>
        <v>78874.38</v>
      </c>
      <c r="T138" s="1322">
        <f t="shared" si="34"/>
        <v>0</v>
      </c>
    </row>
    <row r="139" spans="1:20" ht="41.25" customHeight="1">
      <c r="A139" s="1486"/>
      <c r="B139" s="1198" t="s">
        <v>557</v>
      </c>
      <c r="C139" s="1111">
        <f>ROUND(Data!AG412,2)</f>
        <v>884.72</v>
      </c>
      <c r="D139" s="1110" t="s">
        <v>1876</v>
      </c>
      <c r="E139" s="1336">
        <v>123.1</v>
      </c>
      <c r="F139" s="1125">
        <f t="shared" si="24"/>
        <v>108909.03</v>
      </c>
      <c r="G139" s="1335"/>
      <c r="H139" s="1125">
        <f t="shared" si="25"/>
        <v>0</v>
      </c>
      <c r="I139" s="1312"/>
      <c r="J139" s="1406">
        <f t="shared" si="26"/>
        <v>0</v>
      </c>
      <c r="K139" s="1335"/>
      <c r="L139" s="1125">
        <f t="shared" si="27"/>
        <v>0</v>
      </c>
      <c r="M139" s="1343"/>
      <c r="N139" s="1339">
        <f t="shared" si="28"/>
        <v>0</v>
      </c>
      <c r="O139" s="1340">
        <f t="shared" si="29"/>
        <v>0</v>
      </c>
      <c r="P139" s="1339">
        <f t="shared" si="30"/>
        <v>0</v>
      </c>
      <c r="Q139" s="1340">
        <f t="shared" si="31"/>
        <v>123.1</v>
      </c>
      <c r="R139" s="1339">
        <f t="shared" si="32"/>
        <v>108909.03</v>
      </c>
      <c r="S139" s="1322">
        <f t="shared" si="33"/>
        <v>108909.03</v>
      </c>
      <c r="T139" s="1322">
        <f t="shared" si="34"/>
        <v>0</v>
      </c>
    </row>
    <row r="140" spans="1:20" ht="41.25" customHeight="1">
      <c r="A140" s="1486"/>
      <c r="B140" s="1198" t="s">
        <v>1840</v>
      </c>
      <c r="C140" s="1111">
        <f>ROUND(Data!AG413,2)</f>
        <v>903.64</v>
      </c>
      <c r="D140" s="1110" t="s">
        <v>1876</v>
      </c>
      <c r="E140" s="1336">
        <v>187.2</v>
      </c>
      <c r="F140" s="1125">
        <f t="shared" si="24"/>
        <v>169161.41</v>
      </c>
      <c r="G140" s="1335"/>
      <c r="H140" s="1125">
        <f t="shared" si="25"/>
        <v>0</v>
      </c>
      <c r="I140" s="1312"/>
      <c r="J140" s="1406">
        <f t="shared" si="26"/>
        <v>0</v>
      </c>
      <c r="K140" s="1335"/>
      <c r="L140" s="1125">
        <f t="shared" si="27"/>
        <v>0</v>
      </c>
      <c r="M140" s="1343"/>
      <c r="N140" s="1339">
        <f t="shared" si="28"/>
        <v>0</v>
      </c>
      <c r="O140" s="1340">
        <f t="shared" si="29"/>
        <v>0</v>
      </c>
      <c r="P140" s="1339">
        <f t="shared" si="30"/>
        <v>0</v>
      </c>
      <c r="Q140" s="1340">
        <f t="shared" si="31"/>
        <v>187.2</v>
      </c>
      <c r="R140" s="1339">
        <f t="shared" si="32"/>
        <v>169161.41</v>
      </c>
      <c r="S140" s="1322">
        <f t="shared" si="33"/>
        <v>169161.41</v>
      </c>
      <c r="T140" s="1322">
        <f t="shared" si="34"/>
        <v>0</v>
      </c>
    </row>
    <row r="141" spans="1:20" ht="39" customHeight="1">
      <c r="A141" s="1486"/>
      <c r="B141" s="1198" t="s">
        <v>2254</v>
      </c>
      <c r="C141" s="1111">
        <f>ROUND(Data!AG414,2)</f>
        <v>922.56</v>
      </c>
      <c r="D141" s="1110" t="s">
        <v>1876</v>
      </c>
      <c r="E141" s="1336">
        <v>143.69999999999999</v>
      </c>
      <c r="F141" s="1125">
        <f t="shared" si="24"/>
        <v>132571.87</v>
      </c>
      <c r="G141" s="1335"/>
      <c r="H141" s="1125">
        <f t="shared" si="25"/>
        <v>0</v>
      </c>
      <c r="I141" s="1312"/>
      <c r="J141" s="1406">
        <f t="shared" si="26"/>
        <v>0</v>
      </c>
      <c r="K141" s="1335"/>
      <c r="L141" s="1125">
        <f t="shared" si="27"/>
        <v>0</v>
      </c>
      <c r="M141" s="1343"/>
      <c r="N141" s="1339">
        <f t="shared" si="28"/>
        <v>0</v>
      </c>
      <c r="O141" s="1340">
        <f t="shared" si="29"/>
        <v>0</v>
      </c>
      <c r="P141" s="1339">
        <f t="shared" si="30"/>
        <v>0</v>
      </c>
      <c r="Q141" s="1340">
        <f t="shared" si="31"/>
        <v>143.69999999999999</v>
      </c>
      <c r="R141" s="1339">
        <f t="shared" si="32"/>
        <v>132571.87</v>
      </c>
      <c r="S141" s="1322">
        <f t="shared" si="33"/>
        <v>132571.87</v>
      </c>
      <c r="T141" s="1322">
        <f t="shared" si="34"/>
        <v>0</v>
      </c>
    </row>
    <row r="142" spans="1:20" s="700" customFormat="1" ht="23.25" hidden="1">
      <c r="A142" s="1421"/>
      <c r="B142" s="1415" t="s">
        <v>1085</v>
      </c>
      <c r="C142" s="1416">
        <f>ROUND(Data!AG415,2)</f>
        <v>941.48</v>
      </c>
      <c r="D142" s="1417" t="s">
        <v>1876</v>
      </c>
      <c r="E142" s="1278"/>
      <c r="F142" s="1125">
        <f t="shared" si="24"/>
        <v>0</v>
      </c>
      <c r="G142" s="1273"/>
      <c r="H142" s="1125">
        <f t="shared" si="25"/>
        <v>0</v>
      </c>
      <c r="I142" s="748"/>
      <c r="J142" s="748">
        <f t="shared" si="26"/>
        <v>0</v>
      </c>
      <c r="K142" s="1273"/>
      <c r="L142" s="1125">
        <f t="shared" si="27"/>
        <v>0</v>
      </c>
      <c r="M142" s="1412"/>
      <c r="N142" s="1339">
        <f t="shared" si="28"/>
        <v>0</v>
      </c>
      <c r="O142" s="1340">
        <f t="shared" si="29"/>
        <v>0</v>
      </c>
      <c r="P142" s="1339">
        <f t="shared" si="30"/>
        <v>0</v>
      </c>
      <c r="Q142" s="1340">
        <f t="shared" si="31"/>
        <v>0</v>
      </c>
      <c r="R142" s="1339">
        <f t="shared" si="32"/>
        <v>0</v>
      </c>
    </row>
    <row r="143" spans="1:20" s="700" customFormat="1" ht="23.25" hidden="1">
      <c r="A143" s="1114"/>
      <c r="B143" s="538" t="s">
        <v>3852</v>
      </c>
      <c r="C143" s="602">
        <f>ROUND(Data!AG416,2)</f>
        <v>960.4</v>
      </c>
      <c r="D143" s="744" t="s">
        <v>1876</v>
      </c>
      <c r="E143" s="1276"/>
      <c r="F143" s="1125">
        <f t="shared" si="24"/>
        <v>0</v>
      </c>
      <c r="G143" s="1199"/>
      <c r="H143" s="1125">
        <f t="shared" si="25"/>
        <v>0</v>
      </c>
      <c r="I143" s="748"/>
      <c r="J143" s="748">
        <f t="shared" si="26"/>
        <v>0</v>
      </c>
      <c r="K143" s="1199"/>
      <c r="L143" s="1125">
        <f t="shared" si="27"/>
        <v>0</v>
      </c>
      <c r="M143" s="1200"/>
      <c r="N143" s="1339">
        <f t="shared" si="28"/>
        <v>0</v>
      </c>
      <c r="O143" s="1340">
        <f t="shared" si="29"/>
        <v>0</v>
      </c>
      <c r="P143" s="1339">
        <f t="shared" si="30"/>
        <v>0</v>
      </c>
      <c r="Q143" s="1340">
        <f t="shared" si="31"/>
        <v>0</v>
      </c>
      <c r="R143" s="1339">
        <f t="shared" si="32"/>
        <v>0</v>
      </c>
    </row>
    <row r="144" spans="1:20" s="700" customFormat="1" ht="23.25" hidden="1">
      <c r="A144" s="1114"/>
      <c r="B144" s="538" t="s">
        <v>3853</v>
      </c>
      <c r="C144" s="602">
        <f>ROUND(Data!AG417,2)</f>
        <v>979.32</v>
      </c>
      <c r="D144" s="744" t="s">
        <v>1876</v>
      </c>
      <c r="E144" s="1276"/>
      <c r="F144" s="1125">
        <f t="shared" si="24"/>
        <v>0</v>
      </c>
      <c r="G144" s="1199"/>
      <c r="H144" s="1125">
        <f t="shared" si="25"/>
        <v>0</v>
      </c>
      <c r="I144" s="748"/>
      <c r="J144" s="748">
        <f t="shared" si="26"/>
        <v>0</v>
      </c>
      <c r="K144" s="1199"/>
      <c r="L144" s="1125">
        <f t="shared" si="27"/>
        <v>0</v>
      </c>
      <c r="M144" s="1200"/>
      <c r="N144" s="1339">
        <f t="shared" si="28"/>
        <v>0</v>
      </c>
      <c r="O144" s="1340">
        <f t="shared" si="29"/>
        <v>0</v>
      </c>
      <c r="P144" s="1339">
        <f t="shared" si="30"/>
        <v>0</v>
      </c>
      <c r="Q144" s="1340">
        <f t="shared" si="31"/>
        <v>0</v>
      </c>
      <c r="R144" s="1339">
        <f t="shared" si="32"/>
        <v>0</v>
      </c>
    </row>
    <row r="145" spans="1:18" s="700" customFormat="1" ht="23.25" hidden="1">
      <c r="A145" s="1114"/>
      <c r="B145" s="538" t="s">
        <v>3854</v>
      </c>
      <c r="C145" s="602">
        <f>ROUND(Data!AG418,2)</f>
        <v>998.24</v>
      </c>
      <c r="D145" s="744" t="s">
        <v>1876</v>
      </c>
      <c r="E145" s="1276"/>
      <c r="F145" s="1125">
        <f t="shared" si="24"/>
        <v>0</v>
      </c>
      <c r="G145" s="1199"/>
      <c r="H145" s="1125">
        <f t="shared" si="25"/>
        <v>0</v>
      </c>
      <c r="I145" s="748"/>
      <c r="J145" s="748">
        <f t="shared" si="26"/>
        <v>0</v>
      </c>
      <c r="K145" s="1199"/>
      <c r="L145" s="1125">
        <f t="shared" si="27"/>
        <v>0</v>
      </c>
      <c r="M145" s="1200"/>
      <c r="N145" s="1339">
        <f t="shared" si="28"/>
        <v>0</v>
      </c>
      <c r="O145" s="1340">
        <f t="shared" si="29"/>
        <v>0</v>
      </c>
      <c r="P145" s="1339">
        <f t="shared" si="30"/>
        <v>0</v>
      </c>
      <c r="Q145" s="1340">
        <f t="shared" si="31"/>
        <v>0</v>
      </c>
      <c r="R145" s="1339">
        <f t="shared" si="32"/>
        <v>0</v>
      </c>
    </row>
    <row r="146" spans="1:18" s="700" customFormat="1" ht="23.25" hidden="1">
      <c r="A146" s="1114"/>
      <c r="B146" s="538" t="s">
        <v>3855</v>
      </c>
      <c r="C146" s="602">
        <f>ROUND(Data!AG419,2)</f>
        <v>1017.16</v>
      </c>
      <c r="D146" s="744" t="s">
        <v>1876</v>
      </c>
      <c r="E146" s="1276"/>
      <c r="F146" s="1125">
        <f t="shared" si="24"/>
        <v>0</v>
      </c>
      <c r="G146" s="1199"/>
      <c r="H146" s="1125">
        <f t="shared" si="25"/>
        <v>0</v>
      </c>
      <c r="I146" s="748"/>
      <c r="J146" s="748">
        <f t="shared" si="26"/>
        <v>0</v>
      </c>
      <c r="K146" s="1199"/>
      <c r="L146" s="1125">
        <f t="shared" si="27"/>
        <v>0</v>
      </c>
      <c r="M146" s="1200"/>
      <c r="N146" s="1339">
        <f t="shared" si="28"/>
        <v>0</v>
      </c>
      <c r="O146" s="1340">
        <f t="shared" si="29"/>
        <v>0</v>
      </c>
      <c r="P146" s="1339">
        <f t="shared" si="30"/>
        <v>0</v>
      </c>
      <c r="Q146" s="1340">
        <f t="shared" si="31"/>
        <v>0</v>
      </c>
      <c r="R146" s="1339">
        <f t="shared" si="32"/>
        <v>0</v>
      </c>
    </row>
    <row r="147" spans="1:18" s="700" customFormat="1" ht="23.25" hidden="1">
      <c r="A147" s="1114"/>
      <c r="B147" s="538" t="s">
        <v>3856</v>
      </c>
      <c r="C147" s="602">
        <f>ROUND(Data!AG420,2)</f>
        <v>1036.08</v>
      </c>
      <c r="D147" s="744" t="s">
        <v>1876</v>
      </c>
      <c r="E147" s="1276"/>
      <c r="F147" s="1125">
        <f t="shared" si="24"/>
        <v>0</v>
      </c>
      <c r="G147" s="1199"/>
      <c r="H147" s="1125">
        <f t="shared" si="25"/>
        <v>0</v>
      </c>
      <c r="I147" s="748"/>
      <c r="J147" s="748">
        <f t="shared" si="26"/>
        <v>0</v>
      </c>
      <c r="K147" s="1199"/>
      <c r="L147" s="1125">
        <f t="shared" si="27"/>
        <v>0</v>
      </c>
      <c r="M147" s="1200"/>
      <c r="N147" s="1339">
        <f t="shared" si="28"/>
        <v>0</v>
      </c>
      <c r="O147" s="1340">
        <f t="shared" si="29"/>
        <v>0</v>
      </c>
      <c r="P147" s="1339">
        <f t="shared" si="30"/>
        <v>0</v>
      </c>
      <c r="Q147" s="1340">
        <f t="shared" si="31"/>
        <v>0</v>
      </c>
      <c r="R147" s="1339">
        <f t="shared" si="32"/>
        <v>0</v>
      </c>
    </row>
    <row r="148" spans="1:18" s="700" customFormat="1" ht="23.25" hidden="1">
      <c r="A148" s="1114"/>
      <c r="B148" s="538" t="s">
        <v>3857</v>
      </c>
      <c r="C148" s="602">
        <f>ROUND(Data!AG421,2)</f>
        <v>1055</v>
      </c>
      <c r="D148" s="744" t="s">
        <v>1876</v>
      </c>
      <c r="E148" s="1276"/>
      <c r="F148" s="1125">
        <f t="shared" si="24"/>
        <v>0</v>
      </c>
      <c r="G148" s="1199"/>
      <c r="H148" s="1125">
        <f t="shared" si="25"/>
        <v>0</v>
      </c>
      <c r="I148" s="748"/>
      <c r="J148" s="748">
        <f t="shared" si="26"/>
        <v>0</v>
      </c>
      <c r="K148" s="1199"/>
      <c r="L148" s="1125">
        <f t="shared" si="27"/>
        <v>0</v>
      </c>
      <c r="M148" s="1200"/>
      <c r="N148" s="1339">
        <f t="shared" si="28"/>
        <v>0</v>
      </c>
      <c r="O148" s="1340">
        <f t="shared" si="29"/>
        <v>0</v>
      </c>
      <c r="P148" s="1339">
        <f t="shared" si="30"/>
        <v>0</v>
      </c>
      <c r="Q148" s="1340">
        <f t="shared" si="31"/>
        <v>0</v>
      </c>
      <c r="R148" s="1339">
        <f t="shared" si="32"/>
        <v>0</v>
      </c>
    </row>
    <row r="149" spans="1:18" s="700" customFormat="1" ht="23.25" hidden="1">
      <c r="A149" s="1114"/>
      <c r="B149" s="538" t="s">
        <v>3858</v>
      </c>
      <c r="C149" s="602">
        <f>ROUND(Data!AG422,2)</f>
        <v>1073.92</v>
      </c>
      <c r="D149" s="744" t="s">
        <v>1876</v>
      </c>
      <c r="E149" s="1276"/>
      <c r="F149" s="1125">
        <f t="shared" si="24"/>
        <v>0</v>
      </c>
      <c r="G149" s="1199"/>
      <c r="H149" s="1125">
        <f t="shared" si="25"/>
        <v>0</v>
      </c>
      <c r="I149" s="748"/>
      <c r="J149" s="748">
        <f t="shared" si="26"/>
        <v>0</v>
      </c>
      <c r="K149" s="1199"/>
      <c r="L149" s="1125">
        <f t="shared" si="27"/>
        <v>0</v>
      </c>
      <c r="M149" s="1200"/>
      <c r="N149" s="1339">
        <f t="shared" si="28"/>
        <v>0</v>
      </c>
      <c r="O149" s="1340">
        <f t="shared" si="29"/>
        <v>0</v>
      </c>
      <c r="P149" s="1339">
        <f t="shared" si="30"/>
        <v>0</v>
      </c>
      <c r="Q149" s="1340">
        <f t="shared" si="31"/>
        <v>0</v>
      </c>
      <c r="R149" s="1339">
        <f t="shared" si="32"/>
        <v>0</v>
      </c>
    </row>
    <row r="150" spans="1:18" s="700" customFormat="1" ht="23.25" hidden="1">
      <c r="A150" s="1114"/>
      <c r="B150" s="538" t="s">
        <v>3859</v>
      </c>
      <c r="C150" s="602">
        <f>Data!AI422</f>
        <v>1092.8399999999999</v>
      </c>
      <c r="D150" s="744" t="s">
        <v>1876</v>
      </c>
      <c r="E150" s="1276"/>
      <c r="F150" s="1125">
        <f t="shared" si="24"/>
        <v>0</v>
      </c>
      <c r="G150" s="1199"/>
      <c r="H150" s="1125">
        <f t="shared" si="25"/>
        <v>0</v>
      </c>
      <c r="I150" s="748"/>
      <c r="J150" s="748">
        <f t="shared" si="26"/>
        <v>0</v>
      </c>
      <c r="K150" s="1199"/>
      <c r="L150" s="1125">
        <f t="shared" si="27"/>
        <v>0</v>
      </c>
      <c r="M150" s="1200"/>
      <c r="N150" s="1339">
        <f t="shared" si="28"/>
        <v>0</v>
      </c>
      <c r="O150" s="1340">
        <f t="shared" si="29"/>
        <v>0</v>
      </c>
      <c r="P150" s="1339">
        <f t="shared" si="30"/>
        <v>0</v>
      </c>
      <c r="Q150" s="1340">
        <f t="shared" si="31"/>
        <v>0</v>
      </c>
      <c r="R150" s="1339">
        <f t="shared" si="32"/>
        <v>0</v>
      </c>
    </row>
    <row r="151" spans="1:18" s="700" customFormat="1" ht="23.25" hidden="1">
      <c r="A151" s="1114"/>
      <c r="B151" s="538" t="s">
        <v>3864</v>
      </c>
      <c r="C151" s="602">
        <f>Data!AI423</f>
        <v>1111.76</v>
      </c>
      <c r="D151" s="744" t="s">
        <v>1876</v>
      </c>
      <c r="E151" s="1276"/>
      <c r="F151" s="1125">
        <f t="shared" si="24"/>
        <v>0</v>
      </c>
      <c r="G151" s="1199"/>
      <c r="H151" s="1125">
        <f t="shared" si="25"/>
        <v>0</v>
      </c>
      <c r="I151" s="748"/>
      <c r="J151" s="748">
        <f t="shared" si="26"/>
        <v>0</v>
      </c>
      <c r="K151" s="1199"/>
      <c r="L151" s="1125">
        <f t="shared" si="27"/>
        <v>0</v>
      </c>
      <c r="M151" s="1200"/>
      <c r="N151" s="1339">
        <f t="shared" si="28"/>
        <v>0</v>
      </c>
      <c r="O151" s="1340">
        <f t="shared" si="29"/>
        <v>0</v>
      </c>
      <c r="P151" s="1339">
        <f t="shared" si="30"/>
        <v>0</v>
      </c>
      <c r="Q151" s="1340">
        <f t="shared" si="31"/>
        <v>0</v>
      </c>
      <c r="R151" s="1339">
        <f t="shared" si="32"/>
        <v>0</v>
      </c>
    </row>
    <row r="152" spans="1:18" s="700" customFormat="1" ht="69.75" hidden="1">
      <c r="A152" s="1105">
        <v>10.3</v>
      </c>
      <c r="B152" s="600" t="s">
        <v>4099</v>
      </c>
      <c r="C152" s="602"/>
      <c r="D152" s="744"/>
      <c r="E152" s="1276"/>
      <c r="F152" s="1125">
        <f t="shared" si="24"/>
        <v>0</v>
      </c>
      <c r="G152" s="1199"/>
      <c r="H152" s="1125">
        <f t="shared" si="25"/>
        <v>0</v>
      </c>
      <c r="I152" s="748"/>
      <c r="J152" s="748">
        <f t="shared" si="26"/>
        <v>0</v>
      </c>
      <c r="K152" s="1199"/>
      <c r="L152" s="1125">
        <f t="shared" si="27"/>
        <v>0</v>
      </c>
      <c r="M152" s="1200"/>
      <c r="N152" s="1339">
        <f t="shared" si="28"/>
        <v>0</v>
      </c>
      <c r="O152" s="1340">
        <f t="shared" si="29"/>
        <v>0</v>
      </c>
      <c r="P152" s="1339">
        <f t="shared" si="30"/>
        <v>0</v>
      </c>
      <c r="Q152" s="1340">
        <f t="shared" si="31"/>
        <v>0</v>
      </c>
      <c r="R152" s="1339">
        <f t="shared" si="32"/>
        <v>0</v>
      </c>
    </row>
    <row r="153" spans="1:18" s="700" customFormat="1" ht="23.25" hidden="1">
      <c r="A153" s="1105"/>
      <c r="B153" s="538" t="s">
        <v>554</v>
      </c>
      <c r="C153" s="602"/>
      <c r="D153" s="744" t="s">
        <v>1876</v>
      </c>
      <c r="E153" s="1276"/>
      <c r="F153" s="1125">
        <f t="shared" si="24"/>
        <v>0</v>
      </c>
      <c r="G153" s="1199"/>
      <c r="H153" s="1125">
        <f t="shared" si="25"/>
        <v>0</v>
      </c>
      <c r="I153" s="748"/>
      <c r="J153" s="748">
        <f t="shared" si="26"/>
        <v>0</v>
      </c>
      <c r="K153" s="1199"/>
      <c r="L153" s="1125">
        <f t="shared" si="27"/>
        <v>0</v>
      </c>
      <c r="M153" s="1200"/>
      <c r="N153" s="1339">
        <f t="shared" si="28"/>
        <v>0</v>
      </c>
      <c r="O153" s="1340">
        <f t="shared" si="29"/>
        <v>0</v>
      </c>
      <c r="P153" s="1339">
        <f t="shared" si="30"/>
        <v>0</v>
      </c>
      <c r="Q153" s="1340">
        <f t="shared" si="31"/>
        <v>0</v>
      </c>
      <c r="R153" s="1339">
        <f t="shared" si="32"/>
        <v>0</v>
      </c>
    </row>
    <row r="154" spans="1:18" s="700" customFormat="1" ht="23.25" hidden="1">
      <c r="A154" s="1105"/>
      <c r="B154" s="538" t="s">
        <v>555</v>
      </c>
      <c r="C154" s="602"/>
      <c r="D154" s="744" t="s">
        <v>1876</v>
      </c>
      <c r="E154" s="1276"/>
      <c r="F154" s="1125">
        <f t="shared" si="24"/>
        <v>0</v>
      </c>
      <c r="G154" s="1199"/>
      <c r="H154" s="1125">
        <f t="shared" si="25"/>
        <v>0</v>
      </c>
      <c r="I154" s="748"/>
      <c r="J154" s="748">
        <f t="shared" si="26"/>
        <v>0</v>
      </c>
      <c r="K154" s="1199"/>
      <c r="L154" s="1125">
        <f t="shared" si="27"/>
        <v>0</v>
      </c>
      <c r="M154" s="1200"/>
      <c r="N154" s="1339">
        <f t="shared" si="28"/>
        <v>0</v>
      </c>
      <c r="O154" s="1340">
        <f t="shared" si="29"/>
        <v>0</v>
      </c>
      <c r="P154" s="1339">
        <f t="shared" si="30"/>
        <v>0</v>
      </c>
      <c r="Q154" s="1340">
        <f t="shared" si="31"/>
        <v>0</v>
      </c>
      <c r="R154" s="1339">
        <f t="shared" si="32"/>
        <v>0</v>
      </c>
    </row>
    <row r="155" spans="1:18" s="700" customFormat="1" ht="23.25" hidden="1">
      <c r="A155" s="1105"/>
      <c r="B155" s="538" t="s">
        <v>557</v>
      </c>
      <c r="C155" s="602"/>
      <c r="D155" s="744" t="s">
        <v>1876</v>
      </c>
      <c r="E155" s="1276"/>
      <c r="F155" s="1125">
        <f t="shared" si="24"/>
        <v>0</v>
      </c>
      <c r="G155" s="1199"/>
      <c r="H155" s="1125">
        <f t="shared" si="25"/>
        <v>0</v>
      </c>
      <c r="I155" s="748"/>
      <c r="J155" s="748">
        <f t="shared" si="26"/>
        <v>0</v>
      </c>
      <c r="K155" s="1199"/>
      <c r="L155" s="1125">
        <f t="shared" si="27"/>
        <v>0</v>
      </c>
      <c r="M155" s="1200"/>
      <c r="N155" s="1339">
        <f t="shared" si="28"/>
        <v>0</v>
      </c>
      <c r="O155" s="1340">
        <f t="shared" si="29"/>
        <v>0</v>
      </c>
      <c r="P155" s="1339">
        <f t="shared" si="30"/>
        <v>0</v>
      </c>
      <c r="Q155" s="1340">
        <f t="shared" si="31"/>
        <v>0</v>
      </c>
      <c r="R155" s="1339">
        <f t="shared" si="32"/>
        <v>0</v>
      </c>
    </row>
    <row r="156" spans="1:18" s="700" customFormat="1" ht="23.25" hidden="1">
      <c r="A156" s="1105"/>
      <c r="B156" s="538" t="s">
        <v>1840</v>
      </c>
      <c r="C156" s="602"/>
      <c r="D156" s="744" t="s">
        <v>1876</v>
      </c>
      <c r="E156" s="1276"/>
      <c r="F156" s="1125">
        <f t="shared" si="24"/>
        <v>0</v>
      </c>
      <c r="G156" s="1199"/>
      <c r="H156" s="1125">
        <f t="shared" si="25"/>
        <v>0</v>
      </c>
      <c r="I156" s="748"/>
      <c r="J156" s="748">
        <f t="shared" si="26"/>
        <v>0</v>
      </c>
      <c r="K156" s="1199"/>
      <c r="L156" s="1125">
        <f t="shared" si="27"/>
        <v>0</v>
      </c>
      <c r="M156" s="1200"/>
      <c r="N156" s="1339">
        <f t="shared" si="28"/>
        <v>0</v>
      </c>
      <c r="O156" s="1340">
        <f t="shared" si="29"/>
        <v>0</v>
      </c>
      <c r="P156" s="1339">
        <f t="shared" si="30"/>
        <v>0</v>
      </c>
      <c r="Q156" s="1340">
        <f t="shared" si="31"/>
        <v>0</v>
      </c>
      <c r="R156" s="1339">
        <f t="shared" si="32"/>
        <v>0</v>
      </c>
    </row>
    <row r="157" spans="1:18" s="700" customFormat="1" ht="23.25" hidden="1">
      <c r="A157" s="1105"/>
      <c r="B157" s="538" t="s">
        <v>2254</v>
      </c>
      <c r="C157" s="602"/>
      <c r="D157" s="744" t="s">
        <v>1876</v>
      </c>
      <c r="E157" s="1276"/>
      <c r="F157" s="1125">
        <f t="shared" si="24"/>
        <v>0</v>
      </c>
      <c r="G157" s="1199"/>
      <c r="H157" s="1125">
        <f t="shared" si="25"/>
        <v>0</v>
      </c>
      <c r="I157" s="748"/>
      <c r="J157" s="748">
        <f t="shared" si="26"/>
        <v>0</v>
      </c>
      <c r="K157" s="1199"/>
      <c r="L157" s="1125">
        <f t="shared" si="27"/>
        <v>0</v>
      </c>
      <c r="M157" s="1200"/>
      <c r="N157" s="1339">
        <f t="shared" si="28"/>
        <v>0</v>
      </c>
      <c r="O157" s="1340">
        <f t="shared" si="29"/>
        <v>0</v>
      </c>
      <c r="P157" s="1339">
        <f t="shared" si="30"/>
        <v>0</v>
      </c>
      <c r="Q157" s="1340">
        <f t="shared" si="31"/>
        <v>0</v>
      </c>
      <c r="R157" s="1339">
        <f t="shared" si="32"/>
        <v>0</v>
      </c>
    </row>
    <row r="158" spans="1:18" s="700" customFormat="1" ht="23.25" hidden="1">
      <c r="A158" s="1114"/>
      <c r="B158" s="538" t="s">
        <v>1085</v>
      </c>
      <c r="C158" s="602"/>
      <c r="D158" s="744" t="s">
        <v>1876</v>
      </c>
      <c r="E158" s="1276"/>
      <c r="F158" s="1125">
        <f t="shared" si="24"/>
        <v>0</v>
      </c>
      <c r="G158" s="1199"/>
      <c r="H158" s="1125">
        <f t="shared" si="25"/>
        <v>0</v>
      </c>
      <c r="I158" s="748"/>
      <c r="J158" s="748">
        <f t="shared" si="26"/>
        <v>0</v>
      </c>
      <c r="K158" s="1199"/>
      <c r="L158" s="1125">
        <f t="shared" si="27"/>
        <v>0</v>
      </c>
      <c r="M158" s="1200"/>
      <c r="N158" s="1339">
        <f t="shared" si="28"/>
        <v>0</v>
      </c>
      <c r="O158" s="1340">
        <f t="shared" si="29"/>
        <v>0</v>
      </c>
      <c r="P158" s="1339">
        <f t="shared" si="30"/>
        <v>0</v>
      </c>
      <c r="Q158" s="1340">
        <f t="shared" si="31"/>
        <v>0</v>
      </c>
      <c r="R158" s="1339">
        <f t="shared" si="32"/>
        <v>0</v>
      </c>
    </row>
    <row r="159" spans="1:18" s="700" customFormat="1" ht="69.75" hidden="1">
      <c r="A159" s="1105">
        <v>10.4</v>
      </c>
      <c r="B159" s="600" t="s">
        <v>4100</v>
      </c>
      <c r="C159" s="602"/>
      <c r="D159" s="744"/>
      <c r="E159" s="1276"/>
      <c r="F159" s="1125">
        <f t="shared" si="24"/>
        <v>0</v>
      </c>
      <c r="G159" s="1199"/>
      <c r="H159" s="1125">
        <f t="shared" si="25"/>
        <v>0</v>
      </c>
      <c r="I159" s="748"/>
      <c r="J159" s="748">
        <f t="shared" si="26"/>
        <v>0</v>
      </c>
      <c r="K159" s="1199"/>
      <c r="L159" s="1125">
        <f t="shared" si="27"/>
        <v>0</v>
      </c>
      <c r="M159" s="1200"/>
      <c r="N159" s="1339">
        <f t="shared" si="28"/>
        <v>0</v>
      </c>
      <c r="O159" s="1340">
        <f t="shared" si="29"/>
        <v>0</v>
      </c>
      <c r="P159" s="1339">
        <f t="shared" si="30"/>
        <v>0</v>
      </c>
      <c r="Q159" s="1340">
        <f t="shared" si="31"/>
        <v>0</v>
      </c>
      <c r="R159" s="1339">
        <f t="shared" si="32"/>
        <v>0</v>
      </c>
    </row>
    <row r="160" spans="1:18" s="700" customFormat="1" ht="23.25" hidden="1">
      <c r="A160" s="1105"/>
      <c r="B160" s="538" t="s">
        <v>554</v>
      </c>
      <c r="C160" s="602"/>
      <c r="D160" s="744" t="s">
        <v>1876</v>
      </c>
      <c r="E160" s="1276"/>
      <c r="F160" s="1125">
        <f t="shared" si="24"/>
        <v>0</v>
      </c>
      <c r="G160" s="1199"/>
      <c r="H160" s="1125">
        <f t="shared" si="25"/>
        <v>0</v>
      </c>
      <c r="I160" s="748"/>
      <c r="J160" s="748">
        <f t="shared" si="26"/>
        <v>0</v>
      </c>
      <c r="K160" s="1199"/>
      <c r="L160" s="1125">
        <f t="shared" si="27"/>
        <v>0</v>
      </c>
      <c r="M160" s="1200"/>
      <c r="N160" s="1339">
        <f t="shared" si="28"/>
        <v>0</v>
      </c>
      <c r="O160" s="1340">
        <f t="shared" si="29"/>
        <v>0</v>
      </c>
      <c r="P160" s="1339">
        <f t="shared" si="30"/>
        <v>0</v>
      </c>
      <c r="Q160" s="1340">
        <f t="shared" si="31"/>
        <v>0</v>
      </c>
      <c r="R160" s="1339">
        <f t="shared" si="32"/>
        <v>0</v>
      </c>
    </row>
    <row r="161" spans="1:18" s="700" customFormat="1" ht="23.25" hidden="1">
      <c r="A161" s="1105"/>
      <c r="B161" s="538" t="s">
        <v>555</v>
      </c>
      <c r="C161" s="602"/>
      <c r="D161" s="744" t="s">
        <v>1876</v>
      </c>
      <c r="E161" s="1276"/>
      <c r="F161" s="1125">
        <f t="shared" si="24"/>
        <v>0</v>
      </c>
      <c r="G161" s="1199"/>
      <c r="H161" s="1125">
        <f t="shared" si="25"/>
        <v>0</v>
      </c>
      <c r="I161" s="748"/>
      <c r="J161" s="748">
        <f t="shared" si="26"/>
        <v>0</v>
      </c>
      <c r="K161" s="1199"/>
      <c r="L161" s="1125">
        <f t="shared" si="27"/>
        <v>0</v>
      </c>
      <c r="M161" s="1200"/>
      <c r="N161" s="1339">
        <f t="shared" si="28"/>
        <v>0</v>
      </c>
      <c r="O161" s="1340">
        <f t="shared" si="29"/>
        <v>0</v>
      </c>
      <c r="P161" s="1339">
        <f t="shared" si="30"/>
        <v>0</v>
      </c>
      <c r="Q161" s="1340">
        <f t="shared" si="31"/>
        <v>0</v>
      </c>
      <c r="R161" s="1339">
        <f t="shared" si="32"/>
        <v>0</v>
      </c>
    </row>
    <row r="162" spans="1:18" s="700" customFormat="1" ht="23.25" hidden="1">
      <c r="A162" s="1105"/>
      <c r="B162" s="538" t="s">
        <v>557</v>
      </c>
      <c r="C162" s="602"/>
      <c r="D162" s="744" t="s">
        <v>1876</v>
      </c>
      <c r="E162" s="1276"/>
      <c r="F162" s="1125">
        <f t="shared" si="24"/>
        <v>0</v>
      </c>
      <c r="G162" s="1199"/>
      <c r="H162" s="1125">
        <f t="shared" si="25"/>
        <v>0</v>
      </c>
      <c r="I162" s="748"/>
      <c r="J162" s="748">
        <f t="shared" si="26"/>
        <v>0</v>
      </c>
      <c r="K162" s="1199"/>
      <c r="L162" s="1125">
        <f t="shared" si="27"/>
        <v>0</v>
      </c>
      <c r="M162" s="1200"/>
      <c r="N162" s="1339">
        <f t="shared" si="28"/>
        <v>0</v>
      </c>
      <c r="O162" s="1340">
        <f t="shared" si="29"/>
        <v>0</v>
      </c>
      <c r="P162" s="1339">
        <f t="shared" si="30"/>
        <v>0</v>
      </c>
      <c r="Q162" s="1340">
        <f t="shared" si="31"/>
        <v>0</v>
      </c>
      <c r="R162" s="1339">
        <f t="shared" si="32"/>
        <v>0</v>
      </c>
    </row>
    <row r="163" spans="1:18" s="700" customFormat="1" ht="23.25" hidden="1">
      <c r="A163" s="1105"/>
      <c r="B163" s="538" t="s">
        <v>1840</v>
      </c>
      <c r="C163" s="602"/>
      <c r="D163" s="744" t="s">
        <v>1876</v>
      </c>
      <c r="E163" s="1276"/>
      <c r="F163" s="1125">
        <f t="shared" si="24"/>
        <v>0</v>
      </c>
      <c r="G163" s="1199"/>
      <c r="H163" s="1125">
        <f t="shared" si="25"/>
        <v>0</v>
      </c>
      <c r="I163" s="748"/>
      <c r="J163" s="748">
        <f t="shared" si="26"/>
        <v>0</v>
      </c>
      <c r="K163" s="1199"/>
      <c r="L163" s="1125">
        <f t="shared" si="27"/>
        <v>0</v>
      </c>
      <c r="M163" s="1200"/>
      <c r="N163" s="1339">
        <f t="shared" si="28"/>
        <v>0</v>
      </c>
      <c r="O163" s="1340">
        <f t="shared" si="29"/>
        <v>0</v>
      </c>
      <c r="P163" s="1339">
        <f t="shared" si="30"/>
        <v>0</v>
      </c>
      <c r="Q163" s="1340">
        <f t="shared" si="31"/>
        <v>0</v>
      </c>
      <c r="R163" s="1339">
        <f t="shared" si="32"/>
        <v>0</v>
      </c>
    </row>
    <row r="164" spans="1:18" s="700" customFormat="1" ht="23.25" hidden="1">
      <c r="A164" s="1105"/>
      <c r="B164" s="538" t="s">
        <v>2254</v>
      </c>
      <c r="C164" s="602"/>
      <c r="D164" s="744" t="s">
        <v>1876</v>
      </c>
      <c r="E164" s="1276"/>
      <c r="F164" s="1125">
        <f t="shared" si="24"/>
        <v>0</v>
      </c>
      <c r="G164" s="1199"/>
      <c r="H164" s="1125">
        <f t="shared" si="25"/>
        <v>0</v>
      </c>
      <c r="I164" s="748"/>
      <c r="J164" s="748">
        <f t="shared" si="26"/>
        <v>0</v>
      </c>
      <c r="K164" s="1199"/>
      <c r="L164" s="1125">
        <f t="shared" si="27"/>
        <v>0</v>
      </c>
      <c r="M164" s="1200"/>
      <c r="N164" s="1339">
        <f t="shared" si="28"/>
        <v>0</v>
      </c>
      <c r="O164" s="1340">
        <f t="shared" si="29"/>
        <v>0</v>
      </c>
      <c r="P164" s="1339">
        <f t="shared" si="30"/>
        <v>0</v>
      </c>
      <c r="Q164" s="1340">
        <f t="shared" si="31"/>
        <v>0</v>
      </c>
      <c r="R164" s="1339">
        <f t="shared" si="32"/>
        <v>0</v>
      </c>
    </row>
    <row r="165" spans="1:18" s="700" customFormat="1" ht="23.25" hidden="1">
      <c r="A165" s="1114"/>
      <c r="B165" s="538" t="s">
        <v>1085</v>
      </c>
      <c r="C165" s="602"/>
      <c r="D165" s="744" t="s">
        <v>1876</v>
      </c>
      <c r="E165" s="1276"/>
      <c r="F165" s="1125">
        <f t="shared" si="24"/>
        <v>0</v>
      </c>
      <c r="G165" s="1199"/>
      <c r="H165" s="1125">
        <f t="shared" si="25"/>
        <v>0</v>
      </c>
      <c r="I165" s="748"/>
      <c r="J165" s="748">
        <f t="shared" si="26"/>
        <v>0</v>
      </c>
      <c r="K165" s="1199"/>
      <c r="L165" s="1125">
        <f t="shared" si="27"/>
        <v>0</v>
      </c>
      <c r="M165" s="1200"/>
      <c r="N165" s="1339">
        <f t="shared" si="28"/>
        <v>0</v>
      </c>
      <c r="O165" s="1340">
        <f t="shared" si="29"/>
        <v>0</v>
      </c>
      <c r="P165" s="1339">
        <f t="shared" si="30"/>
        <v>0</v>
      </c>
      <c r="Q165" s="1340">
        <f t="shared" si="31"/>
        <v>0</v>
      </c>
      <c r="R165" s="1339">
        <f t="shared" si="32"/>
        <v>0</v>
      </c>
    </row>
    <row r="166" spans="1:18" s="812" customFormat="1" ht="69.75" hidden="1">
      <c r="A166" s="1107">
        <v>10.5</v>
      </c>
      <c r="B166" s="1112" t="s">
        <v>4082</v>
      </c>
      <c r="C166" s="1109"/>
      <c r="D166" s="1110"/>
      <c r="E166" s="1276"/>
      <c r="F166" s="1125">
        <f t="shared" si="24"/>
        <v>0</v>
      </c>
      <c r="G166" s="1199"/>
      <c r="H166" s="1125">
        <f t="shared" si="25"/>
        <v>0</v>
      </c>
      <c r="I166" s="748"/>
      <c r="J166" s="748">
        <f t="shared" si="26"/>
        <v>0</v>
      </c>
      <c r="K166" s="1199"/>
      <c r="L166" s="1125">
        <f t="shared" si="27"/>
        <v>0</v>
      </c>
      <c r="M166" s="1200"/>
      <c r="N166" s="1339">
        <f t="shared" si="28"/>
        <v>0</v>
      </c>
      <c r="O166" s="1340">
        <f t="shared" si="29"/>
        <v>0</v>
      </c>
      <c r="P166" s="1339">
        <f t="shared" si="30"/>
        <v>0</v>
      </c>
      <c r="Q166" s="1340">
        <f t="shared" si="31"/>
        <v>0</v>
      </c>
      <c r="R166" s="1339">
        <f t="shared" si="32"/>
        <v>0</v>
      </c>
    </row>
    <row r="167" spans="1:18" s="812" customFormat="1" ht="23.25" hidden="1">
      <c r="A167" s="1107"/>
      <c r="B167" s="1108" t="s">
        <v>554</v>
      </c>
      <c r="C167" s="1109">
        <f>ROUND(Data!K400,2)</f>
        <v>823.41</v>
      </c>
      <c r="D167" s="1110" t="s">
        <v>1876</v>
      </c>
      <c r="E167" s="1276"/>
      <c r="F167" s="1125">
        <f t="shared" si="24"/>
        <v>0</v>
      </c>
      <c r="G167" s="1199"/>
      <c r="H167" s="1125">
        <f t="shared" si="25"/>
        <v>0</v>
      </c>
      <c r="I167" s="748"/>
      <c r="J167" s="748">
        <f t="shared" si="26"/>
        <v>0</v>
      </c>
      <c r="K167" s="1199"/>
      <c r="L167" s="1125">
        <f t="shared" si="27"/>
        <v>0</v>
      </c>
      <c r="M167" s="1200"/>
      <c r="N167" s="1339">
        <f t="shared" si="28"/>
        <v>0</v>
      </c>
      <c r="O167" s="1340">
        <f t="shared" si="29"/>
        <v>0</v>
      </c>
      <c r="P167" s="1339">
        <f t="shared" si="30"/>
        <v>0</v>
      </c>
      <c r="Q167" s="1340">
        <f t="shared" si="31"/>
        <v>0</v>
      </c>
      <c r="R167" s="1339">
        <f t="shared" si="32"/>
        <v>0</v>
      </c>
    </row>
    <row r="168" spans="1:18" s="812" customFormat="1" ht="23.25" hidden="1">
      <c r="A168" s="1107"/>
      <c r="B168" s="1108" t="s">
        <v>555</v>
      </c>
      <c r="C168" s="1109">
        <f>ROUND(Data!K402,2)</f>
        <v>832.46</v>
      </c>
      <c r="D168" s="1110" t="s">
        <v>1876</v>
      </c>
      <c r="E168" s="1276"/>
      <c r="F168" s="1125">
        <f t="shared" si="24"/>
        <v>0</v>
      </c>
      <c r="G168" s="1199"/>
      <c r="H168" s="1125">
        <f t="shared" si="25"/>
        <v>0</v>
      </c>
      <c r="I168" s="748"/>
      <c r="J168" s="748">
        <f t="shared" si="26"/>
        <v>0</v>
      </c>
      <c r="K168" s="1199"/>
      <c r="L168" s="1125">
        <f t="shared" si="27"/>
        <v>0</v>
      </c>
      <c r="M168" s="1200"/>
      <c r="N168" s="1339">
        <f t="shared" si="28"/>
        <v>0</v>
      </c>
      <c r="O168" s="1340">
        <f t="shared" si="29"/>
        <v>0</v>
      </c>
      <c r="P168" s="1339">
        <f t="shared" si="30"/>
        <v>0</v>
      </c>
      <c r="Q168" s="1340">
        <f t="shared" si="31"/>
        <v>0</v>
      </c>
      <c r="R168" s="1339">
        <f t="shared" si="32"/>
        <v>0</v>
      </c>
    </row>
    <row r="169" spans="1:18" s="812" customFormat="1" ht="23.25" hidden="1">
      <c r="A169" s="1107"/>
      <c r="B169" s="1108" t="s">
        <v>557</v>
      </c>
      <c r="C169" s="1109">
        <f>ROUND(Data!K403,2)</f>
        <v>850.72</v>
      </c>
      <c r="D169" s="1110" t="s">
        <v>1876</v>
      </c>
      <c r="E169" s="1276"/>
      <c r="F169" s="1125">
        <f t="shared" si="24"/>
        <v>0</v>
      </c>
      <c r="G169" s="1199"/>
      <c r="H169" s="1125">
        <f t="shared" si="25"/>
        <v>0</v>
      </c>
      <c r="I169" s="748"/>
      <c r="J169" s="748">
        <f t="shared" si="26"/>
        <v>0</v>
      </c>
      <c r="K169" s="1199"/>
      <c r="L169" s="1125">
        <f t="shared" si="27"/>
        <v>0</v>
      </c>
      <c r="M169" s="1200"/>
      <c r="N169" s="1339">
        <f t="shared" si="28"/>
        <v>0</v>
      </c>
      <c r="O169" s="1340">
        <f t="shared" si="29"/>
        <v>0</v>
      </c>
      <c r="P169" s="1339">
        <f t="shared" si="30"/>
        <v>0</v>
      </c>
      <c r="Q169" s="1340">
        <f t="shared" si="31"/>
        <v>0</v>
      </c>
      <c r="R169" s="1339">
        <f t="shared" si="32"/>
        <v>0</v>
      </c>
    </row>
    <row r="170" spans="1:18" s="812" customFormat="1" ht="23.25" hidden="1">
      <c r="A170" s="1107"/>
      <c r="B170" s="1108" t="s">
        <v>1840</v>
      </c>
      <c r="C170" s="1109">
        <f>ROUND(Data!K404,2)</f>
        <v>868.98</v>
      </c>
      <c r="D170" s="1110" t="s">
        <v>1876</v>
      </c>
      <c r="E170" s="1276"/>
      <c r="F170" s="1125">
        <f t="shared" si="24"/>
        <v>0</v>
      </c>
      <c r="G170" s="1199"/>
      <c r="H170" s="1125">
        <f t="shared" si="25"/>
        <v>0</v>
      </c>
      <c r="I170" s="748"/>
      <c r="J170" s="748">
        <f t="shared" si="26"/>
        <v>0</v>
      </c>
      <c r="K170" s="1199"/>
      <c r="L170" s="1125">
        <f t="shared" si="27"/>
        <v>0</v>
      </c>
      <c r="M170" s="1200"/>
      <c r="N170" s="1339">
        <f t="shared" si="28"/>
        <v>0</v>
      </c>
      <c r="O170" s="1340">
        <f t="shared" si="29"/>
        <v>0</v>
      </c>
      <c r="P170" s="1339">
        <f t="shared" si="30"/>
        <v>0</v>
      </c>
      <c r="Q170" s="1340">
        <f t="shared" si="31"/>
        <v>0</v>
      </c>
      <c r="R170" s="1339">
        <f t="shared" si="32"/>
        <v>0</v>
      </c>
    </row>
    <row r="171" spans="1:18" s="812" customFormat="1" ht="23.25" hidden="1">
      <c r="A171" s="1107"/>
      <c r="B171" s="1108" t="s">
        <v>2254</v>
      </c>
      <c r="C171" s="1109">
        <f>ROUND(Data!K405,2)</f>
        <v>887.24</v>
      </c>
      <c r="D171" s="1110" t="s">
        <v>1876</v>
      </c>
      <c r="E171" s="1276"/>
      <c r="F171" s="1125">
        <f t="shared" si="24"/>
        <v>0</v>
      </c>
      <c r="G171" s="1199"/>
      <c r="H171" s="1125">
        <f t="shared" si="25"/>
        <v>0</v>
      </c>
      <c r="I171" s="748"/>
      <c r="J171" s="748">
        <f t="shared" si="26"/>
        <v>0</v>
      </c>
      <c r="K171" s="1199"/>
      <c r="L171" s="1125">
        <f t="shared" si="27"/>
        <v>0</v>
      </c>
      <c r="M171" s="1200"/>
      <c r="N171" s="1339">
        <f t="shared" si="28"/>
        <v>0</v>
      </c>
      <c r="O171" s="1340">
        <f t="shared" si="29"/>
        <v>0</v>
      </c>
      <c r="P171" s="1339">
        <f t="shared" si="30"/>
        <v>0</v>
      </c>
      <c r="Q171" s="1340">
        <f t="shared" si="31"/>
        <v>0</v>
      </c>
      <c r="R171" s="1339">
        <f t="shared" si="32"/>
        <v>0</v>
      </c>
    </row>
    <row r="172" spans="1:18" s="700" customFormat="1" ht="23.25" hidden="1">
      <c r="A172" s="1113"/>
      <c r="B172" s="538" t="s">
        <v>1085</v>
      </c>
      <c r="C172" s="743">
        <f>ROUND(Data!K406,2)</f>
        <v>905.5</v>
      </c>
      <c r="D172" s="744" t="s">
        <v>1876</v>
      </c>
      <c r="E172" s="1276"/>
      <c r="F172" s="1125">
        <f t="shared" si="24"/>
        <v>0</v>
      </c>
      <c r="G172" s="1199"/>
      <c r="H172" s="1125">
        <f t="shared" si="25"/>
        <v>0</v>
      </c>
      <c r="I172" s="748"/>
      <c r="J172" s="748">
        <f t="shared" si="26"/>
        <v>0</v>
      </c>
      <c r="K172" s="1199"/>
      <c r="L172" s="1125">
        <f t="shared" si="27"/>
        <v>0</v>
      </c>
      <c r="M172" s="1200"/>
      <c r="N172" s="1339">
        <f t="shared" si="28"/>
        <v>0</v>
      </c>
      <c r="O172" s="1340">
        <f t="shared" si="29"/>
        <v>0</v>
      </c>
      <c r="P172" s="1339">
        <f t="shared" si="30"/>
        <v>0</v>
      </c>
      <c r="Q172" s="1340">
        <f t="shared" si="31"/>
        <v>0</v>
      </c>
      <c r="R172" s="1339">
        <f t="shared" si="32"/>
        <v>0</v>
      </c>
    </row>
    <row r="173" spans="1:18" s="700" customFormat="1" ht="69.75" hidden="1">
      <c r="A173" s="1105">
        <v>10.6</v>
      </c>
      <c r="B173" s="600" t="s">
        <v>4101</v>
      </c>
      <c r="C173" s="602"/>
      <c r="D173" s="744"/>
      <c r="E173" s="1276"/>
      <c r="F173" s="1125">
        <f t="shared" si="24"/>
        <v>0</v>
      </c>
      <c r="G173" s="1199"/>
      <c r="H173" s="1125">
        <f t="shared" si="25"/>
        <v>0</v>
      </c>
      <c r="I173" s="748"/>
      <c r="J173" s="748">
        <f t="shared" si="26"/>
        <v>0</v>
      </c>
      <c r="K173" s="1199"/>
      <c r="L173" s="1125">
        <f t="shared" si="27"/>
        <v>0</v>
      </c>
      <c r="M173" s="1200"/>
      <c r="N173" s="1339">
        <f t="shared" si="28"/>
        <v>0</v>
      </c>
      <c r="O173" s="1340">
        <f t="shared" si="29"/>
        <v>0</v>
      </c>
      <c r="P173" s="1339">
        <f t="shared" si="30"/>
        <v>0</v>
      </c>
      <c r="Q173" s="1340">
        <f t="shared" si="31"/>
        <v>0</v>
      </c>
      <c r="R173" s="1339">
        <f t="shared" si="32"/>
        <v>0</v>
      </c>
    </row>
    <row r="174" spans="1:18" s="700" customFormat="1" ht="23.25" hidden="1">
      <c r="A174" s="1105"/>
      <c r="B174" s="538" t="s">
        <v>554</v>
      </c>
      <c r="C174" s="602"/>
      <c r="D174" s="744" t="s">
        <v>1876</v>
      </c>
      <c r="E174" s="1276"/>
      <c r="F174" s="1125">
        <f t="shared" si="24"/>
        <v>0</v>
      </c>
      <c r="G174" s="1199"/>
      <c r="H174" s="1125">
        <f t="shared" si="25"/>
        <v>0</v>
      </c>
      <c r="I174" s="748"/>
      <c r="J174" s="748">
        <f t="shared" si="26"/>
        <v>0</v>
      </c>
      <c r="K174" s="1199"/>
      <c r="L174" s="1125">
        <f t="shared" si="27"/>
        <v>0</v>
      </c>
      <c r="M174" s="1200"/>
      <c r="N174" s="1339">
        <f t="shared" si="28"/>
        <v>0</v>
      </c>
      <c r="O174" s="1340">
        <f t="shared" si="29"/>
        <v>0</v>
      </c>
      <c r="P174" s="1339">
        <f t="shared" si="30"/>
        <v>0</v>
      </c>
      <c r="Q174" s="1340">
        <f t="shared" si="31"/>
        <v>0</v>
      </c>
      <c r="R174" s="1339">
        <f t="shared" si="32"/>
        <v>0</v>
      </c>
    </row>
    <row r="175" spans="1:18" s="700" customFormat="1" ht="23.25" hidden="1">
      <c r="A175" s="1105"/>
      <c r="B175" s="538" t="s">
        <v>555</v>
      </c>
      <c r="C175" s="602"/>
      <c r="D175" s="744" t="s">
        <v>1876</v>
      </c>
      <c r="E175" s="1276"/>
      <c r="F175" s="1125">
        <f t="shared" si="24"/>
        <v>0</v>
      </c>
      <c r="G175" s="1199"/>
      <c r="H175" s="1125">
        <f t="shared" si="25"/>
        <v>0</v>
      </c>
      <c r="I175" s="748"/>
      <c r="J175" s="748">
        <f t="shared" si="26"/>
        <v>0</v>
      </c>
      <c r="K175" s="1199"/>
      <c r="L175" s="1125">
        <f t="shared" si="27"/>
        <v>0</v>
      </c>
      <c r="M175" s="1200"/>
      <c r="N175" s="1339">
        <f t="shared" si="28"/>
        <v>0</v>
      </c>
      <c r="O175" s="1340">
        <f t="shared" si="29"/>
        <v>0</v>
      </c>
      <c r="P175" s="1339">
        <f t="shared" si="30"/>
        <v>0</v>
      </c>
      <c r="Q175" s="1340">
        <f t="shared" si="31"/>
        <v>0</v>
      </c>
      <c r="R175" s="1339">
        <f t="shared" si="32"/>
        <v>0</v>
      </c>
    </row>
    <row r="176" spans="1:18" s="700" customFormat="1" ht="23.25" hidden="1">
      <c r="A176" s="1105"/>
      <c r="B176" s="538" t="s">
        <v>557</v>
      </c>
      <c r="C176" s="602"/>
      <c r="D176" s="744" t="s">
        <v>1876</v>
      </c>
      <c r="E176" s="1276"/>
      <c r="F176" s="1125">
        <f t="shared" si="24"/>
        <v>0</v>
      </c>
      <c r="G176" s="1199"/>
      <c r="H176" s="1125">
        <f t="shared" si="25"/>
        <v>0</v>
      </c>
      <c r="I176" s="748"/>
      <c r="J176" s="748">
        <f t="shared" si="26"/>
        <v>0</v>
      </c>
      <c r="K176" s="1199"/>
      <c r="L176" s="1125">
        <f t="shared" si="27"/>
        <v>0</v>
      </c>
      <c r="M176" s="1200"/>
      <c r="N176" s="1339">
        <f t="shared" si="28"/>
        <v>0</v>
      </c>
      <c r="O176" s="1340">
        <f t="shared" si="29"/>
        <v>0</v>
      </c>
      <c r="P176" s="1339">
        <f t="shared" si="30"/>
        <v>0</v>
      </c>
      <c r="Q176" s="1340">
        <f t="shared" si="31"/>
        <v>0</v>
      </c>
      <c r="R176" s="1339">
        <f t="shared" si="32"/>
        <v>0</v>
      </c>
    </row>
    <row r="177" spans="1:20" s="700" customFormat="1" ht="23.25" hidden="1">
      <c r="A177" s="1105"/>
      <c r="B177" s="538" t="s">
        <v>1840</v>
      </c>
      <c r="C177" s="602"/>
      <c r="D177" s="744" t="s">
        <v>1876</v>
      </c>
      <c r="E177" s="1276"/>
      <c r="F177" s="1125">
        <f t="shared" si="24"/>
        <v>0</v>
      </c>
      <c r="G177" s="1199"/>
      <c r="H177" s="1125">
        <f t="shared" si="25"/>
        <v>0</v>
      </c>
      <c r="I177" s="748"/>
      <c r="J177" s="748">
        <f t="shared" si="26"/>
        <v>0</v>
      </c>
      <c r="K177" s="1199"/>
      <c r="L177" s="1125">
        <f t="shared" si="27"/>
        <v>0</v>
      </c>
      <c r="M177" s="1200"/>
      <c r="N177" s="1339">
        <f t="shared" si="28"/>
        <v>0</v>
      </c>
      <c r="O177" s="1340">
        <f t="shared" si="29"/>
        <v>0</v>
      </c>
      <c r="P177" s="1339">
        <f t="shared" si="30"/>
        <v>0</v>
      </c>
      <c r="Q177" s="1340">
        <f t="shared" si="31"/>
        <v>0</v>
      </c>
      <c r="R177" s="1339">
        <f t="shared" si="32"/>
        <v>0</v>
      </c>
    </row>
    <row r="178" spans="1:20" s="700" customFormat="1" ht="23.25" hidden="1">
      <c r="A178" s="1105"/>
      <c r="B178" s="538" t="s">
        <v>2254</v>
      </c>
      <c r="C178" s="602"/>
      <c r="D178" s="744" t="s">
        <v>1876</v>
      </c>
      <c r="E178" s="1276"/>
      <c r="F178" s="1125">
        <f t="shared" si="24"/>
        <v>0</v>
      </c>
      <c r="G178" s="1199"/>
      <c r="H178" s="1125">
        <f t="shared" si="25"/>
        <v>0</v>
      </c>
      <c r="I178" s="748"/>
      <c r="J178" s="748">
        <f t="shared" si="26"/>
        <v>0</v>
      </c>
      <c r="K178" s="1199"/>
      <c r="L178" s="1125">
        <f t="shared" si="27"/>
        <v>0</v>
      </c>
      <c r="M178" s="1200"/>
      <c r="N178" s="1339">
        <f t="shared" si="28"/>
        <v>0</v>
      </c>
      <c r="O178" s="1340">
        <f t="shared" si="29"/>
        <v>0</v>
      </c>
      <c r="P178" s="1339">
        <f t="shared" si="30"/>
        <v>0</v>
      </c>
      <c r="Q178" s="1340">
        <f t="shared" si="31"/>
        <v>0</v>
      </c>
      <c r="R178" s="1339">
        <f t="shared" si="32"/>
        <v>0</v>
      </c>
    </row>
    <row r="179" spans="1:20" s="700" customFormat="1" ht="23.25" hidden="1">
      <c r="A179" s="1114"/>
      <c r="B179" s="538" t="s">
        <v>1085</v>
      </c>
      <c r="C179" s="602"/>
      <c r="D179" s="744" t="s">
        <v>1876</v>
      </c>
      <c r="E179" s="1276"/>
      <c r="F179" s="1125">
        <f t="shared" si="24"/>
        <v>0</v>
      </c>
      <c r="G179" s="1199"/>
      <c r="H179" s="1125">
        <f t="shared" si="25"/>
        <v>0</v>
      </c>
      <c r="I179" s="748"/>
      <c r="J179" s="748">
        <f t="shared" si="26"/>
        <v>0</v>
      </c>
      <c r="K179" s="1199"/>
      <c r="L179" s="1125">
        <f t="shared" si="27"/>
        <v>0</v>
      </c>
      <c r="M179" s="1200"/>
      <c r="N179" s="1339">
        <f t="shared" si="28"/>
        <v>0</v>
      </c>
      <c r="O179" s="1340">
        <f t="shared" si="29"/>
        <v>0</v>
      </c>
      <c r="P179" s="1339">
        <f t="shared" si="30"/>
        <v>0</v>
      </c>
      <c r="Q179" s="1340">
        <f t="shared" si="31"/>
        <v>0</v>
      </c>
      <c r="R179" s="1339">
        <f t="shared" si="32"/>
        <v>0</v>
      </c>
    </row>
    <row r="180" spans="1:20" s="700" customFormat="1" ht="46.5" hidden="1">
      <c r="A180" s="1105">
        <v>11.1</v>
      </c>
      <c r="B180" s="600" t="s">
        <v>4102</v>
      </c>
      <c r="C180" s="602"/>
      <c r="D180" s="744"/>
      <c r="E180" s="1276"/>
      <c r="F180" s="1125">
        <f t="shared" si="24"/>
        <v>0</v>
      </c>
      <c r="G180" s="1199"/>
      <c r="H180" s="1125">
        <f t="shared" si="25"/>
        <v>0</v>
      </c>
      <c r="I180" s="748"/>
      <c r="J180" s="748">
        <f t="shared" si="26"/>
        <v>0</v>
      </c>
      <c r="K180" s="1199"/>
      <c r="L180" s="1125">
        <f t="shared" si="27"/>
        <v>0</v>
      </c>
      <c r="M180" s="1200"/>
      <c r="N180" s="1339">
        <f t="shared" si="28"/>
        <v>0</v>
      </c>
      <c r="O180" s="1340">
        <f t="shared" si="29"/>
        <v>0</v>
      </c>
      <c r="P180" s="1339">
        <f t="shared" si="30"/>
        <v>0</v>
      </c>
      <c r="Q180" s="1340">
        <f t="shared" si="31"/>
        <v>0</v>
      </c>
      <c r="R180" s="1339">
        <f t="shared" si="32"/>
        <v>0</v>
      </c>
    </row>
    <row r="181" spans="1:20" s="700" customFormat="1" ht="23.25" hidden="1">
      <c r="A181" s="1105"/>
      <c r="B181" s="538" t="s">
        <v>204</v>
      </c>
      <c r="C181" s="602">
        <f>ROUND(Data!X434,2)</f>
        <v>592.04</v>
      </c>
      <c r="D181" s="744" t="s">
        <v>1876</v>
      </c>
      <c r="E181" s="1276"/>
      <c r="F181" s="1125">
        <f t="shared" si="24"/>
        <v>0</v>
      </c>
      <c r="G181" s="1199"/>
      <c r="H181" s="1125">
        <f t="shared" si="25"/>
        <v>0</v>
      </c>
      <c r="I181" s="748"/>
      <c r="J181" s="748">
        <f t="shared" si="26"/>
        <v>0</v>
      </c>
      <c r="K181" s="1199"/>
      <c r="L181" s="1125">
        <f t="shared" si="27"/>
        <v>0</v>
      </c>
      <c r="M181" s="1200"/>
      <c r="N181" s="1339">
        <f t="shared" si="28"/>
        <v>0</v>
      </c>
      <c r="O181" s="1340">
        <f t="shared" si="29"/>
        <v>0</v>
      </c>
      <c r="P181" s="1339">
        <f t="shared" si="30"/>
        <v>0</v>
      </c>
      <c r="Q181" s="1340">
        <f t="shared" si="31"/>
        <v>0</v>
      </c>
      <c r="R181" s="1339">
        <f t="shared" si="32"/>
        <v>0</v>
      </c>
    </row>
    <row r="182" spans="1:20" s="700" customFormat="1" ht="23.25" hidden="1">
      <c r="A182" s="1105"/>
      <c r="B182" s="538" t="s">
        <v>205</v>
      </c>
      <c r="C182" s="602">
        <f>ROUND(Data!X435,2)</f>
        <v>603.66</v>
      </c>
      <c r="D182" s="744" t="s">
        <v>1876</v>
      </c>
      <c r="E182" s="1276"/>
      <c r="F182" s="1125">
        <f t="shared" si="24"/>
        <v>0</v>
      </c>
      <c r="G182" s="1199"/>
      <c r="H182" s="1125">
        <f t="shared" si="25"/>
        <v>0</v>
      </c>
      <c r="I182" s="748"/>
      <c r="J182" s="748">
        <f t="shared" si="26"/>
        <v>0</v>
      </c>
      <c r="K182" s="1199"/>
      <c r="L182" s="1125">
        <f t="shared" si="27"/>
        <v>0</v>
      </c>
      <c r="M182" s="1200"/>
      <c r="N182" s="1339">
        <f t="shared" si="28"/>
        <v>0</v>
      </c>
      <c r="O182" s="1340">
        <f t="shared" si="29"/>
        <v>0</v>
      </c>
      <c r="P182" s="1339">
        <f t="shared" si="30"/>
        <v>0</v>
      </c>
      <c r="Q182" s="1340">
        <f t="shared" si="31"/>
        <v>0</v>
      </c>
      <c r="R182" s="1339">
        <f t="shared" si="32"/>
        <v>0</v>
      </c>
    </row>
    <row r="183" spans="1:20" s="700" customFormat="1" ht="23.25" hidden="1">
      <c r="A183" s="1105"/>
      <c r="B183" s="538" t="s">
        <v>206</v>
      </c>
      <c r="C183" s="602">
        <f>ROUND(Data!X436,2)</f>
        <v>615.28</v>
      </c>
      <c r="D183" s="744" t="s">
        <v>1876</v>
      </c>
      <c r="E183" s="1276"/>
      <c r="F183" s="1125">
        <f t="shared" si="24"/>
        <v>0</v>
      </c>
      <c r="G183" s="1199"/>
      <c r="H183" s="1125">
        <f t="shared" si="25"/>
        <v>0</v>
      </c>
      <c r="I183" s="748"/>
      <c r="J183" s="748">
        <f t="shared" si="26"/>
        <v>0</v>
      </c>
      <c r="K183" s="1199"/>
      <c r="L183" s="1125">
        <f t="shared" si="27"/>
        <v>0</v>
      </c>
      <c r="M183" s="1200"/>
      <c r="N183" s="1339">
        <f t="shared" si="28"/>
        <v>0</v>
      </c>
      <c r="O183" s="1340">
        <f t="shared" si="29"/>
        <v>0</v>
      </c>
      <c r="P183" s="1339">
        <f t="shared" si="30"/>
        <v>0</v>
      </c>
      <c r="Q183" s="1340">
        <f t="shared" si="31"/>
        <v>0</v>
      </c>
      <c r="R183" s="1339">
        <f t="shared" si="32"/>
        <v>0</v>
      </c>
    </row>
    <row r="184" spans="1:20" s="700" customFormat="1" ht="23.25" hidden="1">
      <c r="A184" s="1105"/>
      <c r="B184" s="538" t="s">
        <v>207</v>
      </c>
      <c r="C184" s="602">
        <f>ROUND(Data!X437,2)</f>
        <v>626.9</v>
      </c>
      <c r="D184" s="744" t="s">
        <v>1876</v>
      </c>
      <c r="E184" s="1276"/>
      <c r="F184" s="1125">
        <f t="shared" si="24"/>
        <v>0</v>
      </c>
      <c r="G184" s="1199"/>
      <c r="H184" s="1125">
        <f t="shared" si="25"/>
        <v>0</v>
      </c>
      <c r="I184" s="748"/>
      <c r="J184" s="748">
        <f t="shared" si="26"/>
        <v>0</v>
      </c>
      <c r="K184" s="1199"/>
      <c r="L184" s="1125">
        <f t="shared" si="27"/>
        <v>0</v>
      </c>
      <c r="M184" s="1200"/>
      <c r="N184" s="1339">
        <f t="shared" si="28"/>
        <v>0</v>
      </c>
      <c r="O184" s="1340">
        <f t="shared" si="29"/>
        <v>0</v>
      </c>
      <c r="P184" s="1339">
        <f t="shared" si="30"/>
        <v>0</v>
      </c>
      <c r="Q184" s="1340">
        <f t="shared" si="31"/>
        <v>0</v>
      </c>
      <c r="R184" s="1339">
        <f t="shared" si="32"/>
        <v>0</v>
      </c>
    </row>
    <row r="185" spans="1:20" s="700" customFormat="1" ht="23.25" hidden="1">
      <c r="A185" s="1114"/>
      <c r="B185" s="538" t="s">
        <v>618</v>
      </c>
      <c r="C185" s="602">
        <f>ROUND(Data!X438,2)</f>
        <v>638.52</v>
      </c>
      <c r="D185" s="744" t="s">
        <v>1876</v>
      </c>
      <c r="E185" s="1276"/>
      <c r="F185" s="1125">
        <f t="shared" si="24"/>
        <v>0</v>
      </c>
      <c r="G185" s="1199"/>
      <c r="H185" s="1125">
        <f t="shared" si="25"/>
        <v>0</v>
      </c>
      <c r="I185" s="748"/>
      <c r="J185" s="748">
        <f t="shared" si="26"/>
        <v>0</v>
      </c>
      <c r="K185" s="1199"/>
      <c r="L185" s="1125">
        <f t="shared" si="27"/>
        <v>0</v>
      </c>
      <c r="M185" s="1200"/>
      <c r="N185" s="1339">
        <f t="shared" si="28"/>
        <v>0</v>
      </c>
      <c r="O185" s="1340">
        <f t="shared" si="29"/>
        <v>0</v>
      </c>
      <c r="P185" s="1339">
        <f t="shared" si="30"/>
        <v>0</v>
      </c>
      <c r="Q185" s="1340">
        <f t="shared" si="31"/>
        <v>0</v>
      </c>
      <c r="R185" s="1339">
        <f t="shared" si="32"/>
        <v>0</v>
      </c>
    </row>
    <row r="186" spans="1:20" ht="80.25" customHeight="1">
      <c r="A186" s="1486">
        <v>11.2</v>
      </c>
      <c r="B186" s="1344" t="s">
        <v>4103</v>
      </c>
      <c r="C186" s="1111"/>
      <c r="D186" s="1110"/>
      <c r="E186" s="1336"/>
      <c r="F186" s="1125">
        <f t="shared" si="24"/>
        <v>0</v>
      </c>
      <c r="G186" s="1335"/>
      <c r="H186" s="1125">
        <f t="shared" si="25"/>
        <v>0</v>
      </c>
      <c r="I186" s="1312"/>
      <c r="J186" s="1406">
        <f t="shared" si="26"/>
        <v>0</v>
      </c>
      <c r="K186" s="1335"/>
      <c r="L186" s="1125">
        <f t="shared" si="27"/>
        <v>0</v>
      </c>
      <c r="M186" s="1343"/>
      <c r="N186" s="1339">
        <f t="shared" si="28"/>
        <v>0</v>
      </c>
      <c r="O186" s="1340">
        <f t="shared" si="29"/>
        <v>0</v>
      </c>
      <c r="P186" s="1339">
        <f t="shared" si="30"/>
        <v>0</v>
      </c>
      <c r="Q186" s="1341" t="s">
        <v>2290</v>
      </c>
      <c r="R186" s="1339"/>
      <c r="S186" s="1322">
        <f t="shared" ref="S186:S190" si="35">F186+P186</f>
        <v>0</v>
      </c>
      <c r="T186" s="1322">
        <f t="shared" ref="T186:T190" si="36">S186-R186</f>
        <v>0</v>
      </c>
    </row>
    <row r="187" spans="1:20" ht="52.5" customHeight="1">
      <c r="A187" s="1486"/>
      <c r="B187" s="1198" t="s">
        <v>204</v>
      </c>
      <c r="C187" s="1111">
        <f>ROUND(Data!AG448,2)</f>
        <v>605.24</v>
      </c>
      <c r="D187" s="1110" t="s">
        <v>1876</v>
      </c>
      <c r="E187" s="1336">
        <v>12.3</v>
      </c>
      <c r="F187" s="1125">
        <f t="shared" si="24"/>
        <v>7444.45</v>
      </c>
      <c r="G187" s="1335"/>
      <c r="H187" s="1125">
        <f t="shared" si="25"/>
        <v>0</v>
      </c>
      <c r="I187" s="1312"/>
      <c r="J187" s="1406">
        <f t="shared" si="26"/>
        <v>0</v>
      </c>
      <c r="K187" s="1335"/>
      <c r="L187" s="1125">
        <f t="shared" si="27"/>
        <v>0</v>
      </c>
      <c r="M187" s="1343"/>
      <c r="N187" s="1339">
        <f t="shared" si="28"/>
        <v>0</v>
      </c>
      <c r="O187" s="1340">
        <f t="shared" si="29"/>
        <v>0</v>
      </c>
      <c r="P187" s="1339">
        <f t="shared" si="30"/>
        <v>0</v>
      </c>
      <c r="Q187" s="1340">
        <f t="shared" si="31"/>
        <v>12.3</v>
      </c>
      <c r="R187" s="1339">
        <f t="shared" si="32"/>
        <v>7444.45</v>
      </c>
      <c r="S187" s="1322">
        <f t="shared" si="35"/>
        <v>7444.45</v>
      </c>
      <c r="T187" s="1322">
        <f t="shared" si="36"/>
        <v>0</v>
      </c>
    </row>
    <row r="188" spans="1:20" ht="52.5" customHeight="1">
      <c r="A188" s="1486"/>
      <c r="B188" s="1198" t="s">
        <v>205</v>
      </c>
      <c r="C188" s="1111">
        <f>ROUND(Data!AG449,2)</f>
        <v>617.69000000000005</v>
      </c>
      <c r="D188" s="1110" t="s">
        <v>1876</v>
      </c>
      <c r="E188" s="1336">
        <v>21.8</v>
      </c>
      <c r="F188" s="1125">
        <f t="shared" si="24"/>
        <v>13465.64</v>
      </c>
      <c r="G188" s="1335"/>
      <c r="H188" s="1125">
        <f t="shared" si="25"/>
        <v>0</v>
      </c>
      <c r="I188" s="1312"/>
      <c r="J188" s="1406">
        <f t="shared" si="26"/>
        <v>0</v>
      </c>
      <c r="K188" s="1335"/>
      <c r="L188" s="1125">
        <f t="shared" si="27"/>
        <v>0</v>
      </c>
      <c r="M188" s="1343"/>
      <c r="N188" s="1339">
        <f t="shared" si="28"/>
        <v>0</v>
      </c>
      <c r="O188" s="1340">
        <f t="shared" si="29"/>
        <v>0</v>
      </c>
      <c r="P188" s="1339">
        <f t="shared" si="30"/>
        <v>0</v>
      </c>
      <c r="Q188" s="1340">
        <f t="shared" si="31"/>
        <v>21.8</v>
      </c>
      <c r="R188" s="1339">
        <f t="shared" si="32"/>
        <v>13465.64</v>
      </c>
      <c r="S188" s="1322">
        <f t="shared" si="35"/>
        <v>13465.64</v>
      </c>
      <c r="T188" s="1322">
        <f t="shared" si="36"/>
        <v>0</v>
      </c>
    </row>
    <row r="189" spans="1:20" ht="52.5" customHeight="1">
      <c r="A189" s="1486"/>
      <c r="B189" s="1198" t="s">
        <v>206</v>
      </c>
      <c r="C189" s="1111">
        <f>ROUND(Data!AG450,2)</f>
        <v>630.14</v>
      </c>
      <c r="D189" s="1110" t="s">
        <v>1876</v>
      </c>
      <c r="E189" s="1336">
        <v>32.799999999999997</v>
      </c>
      <c r="F189" s="1125">
        <f t="shared" si="24"/>
        <v>20668.59</v>
      </c>
      <c r="G189" s="1335"/>
      <c r="H189" s="1125">
        <f t="shared" si="25"/>
        <v>0</v>
      </c>
      <c r="I189" s="1312"/>
      <c r="J189" s="1406">
        <f t="shared" si="26"/>
        <v>0</v>
      </c>
      <c r="K189" s="1335"/>
      <c r="L189" s="1125">
        <f t="shared" si="27"/>
        <v>0</v>
      </c>
      <c r="M189" s="1343"/>
      <c r="N189" s="1339">
        <f t="shared" si="28"/>
        <v>0</v>
      </c>
      <c r="O189" s="1340">
        <f t="shared" si="29"/>
        <v>0</v>
      </c>
      <c r="P189" s="1339">
        <f t="shared" si="30"/>
        <v>0</v>
      </c>
      <c r="Q189" s="1340">
        <f t="shared" si="31"/>
        <v>32.799999999999997</v>
      </c>
      <c r="R189" s="1339">
        <f t="shared" si="32"/>
        <v>20668.59</v>
      </c>
      <c r="S189" s="1322">
        <f t="shared" si="35"/>
        <v>20668.59</v>
      </c>
      <c r="T189" s="1322">
        <f t="shared" si="36"/>
        <v>0</v>
      </c>
    </row>
    <row r="190" spans="1:20" ht="52.5" customHeight="1">
      <c r="A190" s="1486"/>
      <c r="B190" s="1198" t="s">
        <v>207</v>
      </c>
      <c r="C190" s="1111">
        <f>ROUND(Data!AG451,2)</f>
        <v>642.59</v>
      </c>
      <c r="D190" s="1110" t="s">
        <v>1876</v>
      </c>
      <c r="E190" s="1336">
        <v>10.1</v>
      </c>
      <c r="F190" s="1125">
        <f t="shared" si="24"/>
        <v>6490.16</v>
      </c>
      <c r="G190" s="1335"/>
      <c r="H190" s="1125">
        <f t="shared" si="25"/>
        <v>0</v>
      </c>
      <c r="I190" s="1312"/>
      <c r="J190" s="1406">
        <f t="shared" si="26"/>
        <v>0</v>
      </c>
      <c r="K190" s="1335"/>
      <c r="L190" s="1125">
        <f t="shared" si="27"/>
        <v>0</v>
      </c>
      <c r="M190" s="1343"/>
      <c r="N190" s="1339">
        <f t="shared" si="28"/>
        <v>0</v>
      </c>
      <c r="O190" s="1340">
        <f t="shared" si="29"/>
        <v>0</v>
      </c>
      <c r="P190" s="1339">
        <f t="shared" si="30"/>
        <v>0</v>
      </c>
      <c r="Q190" s="1340">
        <f t="shared" si="31"/>
        <v>10.1</v>
      </c>
      <c r="R190" s="1339">
        <f t="shared" si="32"/>
        <v>6490.16</v>
      </c>
      <c r="S190" s="1322">
        <f t="shared" si="35"/>
        <v>6490.16</v>
      </c>
      <c r="T190" s="1322">
        <f t="shared" si="36"/>
        <v>0</v>
      </c>
    </row>
    <row r="191" spans="1:20" s="700" customFormat="1" ht="23.25" hidden="1">
      <c r="A191" s="1421"/>
      <c r="B191" s="1415" t="s">
        <v>618</v>
      </c>
      <c r="C191" s="1416">
        <f>ROUND(Data!AG452,2)</f>
        <v>655.04</v>
      </c>
      <c r="D191" s="1417" t="s">
        <v>1876</v>
      </c>
      <c r="E191" s="1278"/>
      <c r="F191" s="1125">
        <f t="shared" si="24"/>
        <v>0</v>
      </c>
      <c r="G191" s="1273"/>
      <c r="H191" s="1125">
        <f t="shared" si="25"/>
        <v>0</v>
      </c>
      <c r="I191" s="748"/>
      <c r="J191" s="748">
        <f t="shared" si="26"/>
        <v>0</v>
      </c>
      <c r="K191" s="1273"/>
      <c r="L191" s="1125">
        <f t="shared" si="27"/>
        <v>0</v>
      </c>
      <c r="M191" s="1412"/>
      <c r="N191" s="1339">
        <f t="shared" si="28"/>
        <v>0</v>
      </c>
      <c r="O191" s="1340">
        <f t="shared" si="29"/>
        <v>0</v>
      </c>
      <c r="P191" s="1339">
        <f t="shared" si="30"/>
        <v>0</v>
      </c>
      <c r="Q191" s="1340">
        <f t="shared" si="31"/>
        <v>0</v>
      </c>
      <c r="R191" s="1339">
        <f t="shared" si="32"/>
        <v>0</v>
      </c>
    </row>
    <row r="192" spans="1:20" s="700" customFormat="1" ht="46.5" hidden="1">
      <c r="A192" s="1105">
        <v>11.3</v>
      </c>
      <c r="B192" s="600" t="s">
        <v>4104</v>
      </c>
      <c r="C192" s="602"/>
      <c r="D192" s="744"/>
      <c r="E192" s="1276"/>
      <c r="F192" s="1125">
        <f t="shared" si="24"/>
        <v>0</v>
      </c>
      <c r="G192" s="1199"/>
      <c r="H192" s="1125">
        <f t="shared" si="25"/>
        <v>0</v>
      </c>
      <c r="I192" s="748"/>
      <c r="J192" s="748">
        <f t="shared" si="26"/>
        <v>0</v>
      </c>
      <c r="K192" s="1199"/>
      <c r="L192" s="1125">
        <f t="shared" si="27"/>
        <v>0</v>
      </c>
      <c r="M192" s="1200"/>
      <c r="N192" s="1339">
        <f t="shared" si="28"/>
        <v>0</v>
      </c>
      <c r="O192" s="1340">
        <f t="shared" si="29"/>
        <v>0</v>
      </c>
      <c r="P192" s="1339">
        <f t="shared" si="30"/>
        <v>0</v>
      </c>
      <c r="Q192" s="1340">
        <f t="shared" si="31"/>
        <v>0</v>
      </c>
      <c r="R192" s="1339">
        <f t="shared" si="32"/>
        <v>0</v>
      </c>
    </row>
    <row r="193" spans="1:18" s="700" customFormat="1" ht="23.25" hidden="1">
      <c r="A193" s="1105"/>
      <c r="B193" s="538" t="s">
        <v>204</v>
      </c>
      <c r="C193" s="602"/>
      <c r="D193" s="744" t="s">
        <v>1876</v>
      </c>
      <c r="E193" s="1276"/>
      <c r="F193" s="1125">
        <f t="shared" si="24"/>
        <v>0</v>
      </c>
      <c r="G193" s="1199"/>
      <c r="H193" s="1125">
        <f t="shared" si="25"/>
        <v>0</v>
      </c>
      <c r="I193" s="748"/>
      <c r="J193" s="748">
        <f t="shared" si="26"/>
        <v>0</v>
      </c>
      <c r="K193" s="1199"/>
      <c r="L193" s="1125">
        <f t="shared" si="27"/>
        <v>0</v>
      </c>
      <c r="M193" s="1200"/>
      <c r="N193" s="1339">
        <f t="shared" si="28"/>
        <v>0</v>
      </c>
      <c r="O193" s="1340">
        <f t="shared" si="29"/>
        <v>0</v>
      </c>
      <c r="P193" s="1339">
        <f t="shared" si="30"/>
        <v>0</v>
      </c>
      <c r="Q193" s="1340">
        <f t="shared" si="31"/>
        <v>0</v>
      </c>
      <c r="R193" s="1339">
        <f t="shared" si="32"/>
        <v>0</v>
      </c>
    </row>
    <row r="194" spans="1:18" s="700" customFormat="1" ht="23.25" hidden="1">
      <c r="A194" s="1105"/>
      <c r="B194" s="538" t="s">
        <v>205</v>
      </c>
      <c r="C194" s="602"/>
      <c r="D194" s="744" t="s">
        <v>1876</v>
      </c>
      <c r="E194" s="1276"/>
      <c r="F194" s="1125">
        <f t="shared" si="24"/>
        <v>0</v>
      </c>
      <c r="G194" s="1199"/>
      <c r="H194" s="1125">
        <f t="shared" si="25"/>
        <v>0</v>
      </c>
      <c r="I194" s="748"/>
      <c r="J194" s="748">
        <f t="shared" si="26"/>
        <v>0</v>
      </c>
      <c r="K194" s="1199"/>
      <c r="L194" s="1125">
        <f t="shared" si="27"/>
        <v>0</v>
      </c>
      <c r="M194" s="1200"/>
      <c r="N194" s="1339">
        <f t="shared" si="28"/>
        <v>0</v>
      </c>
      <c r="O194" s="1340">
        <f t="shared" si="29"/>
        <v>0</v>
      </c>
      <c r="P194" s="1339">
        <f t="shared" si="30"/>
        <v>0</v>
      </c>
      <c r="Q194" s="1340">
        <f t="shared" si="31"/>
        <v>0</v>
      </c>
      <c r="R194" s="1339">
        <f t="shared" si="32"/>
        <v>0</v>
      </c>
    </row>
    <row r="195" spans="1:18" s="700" customFormat="1" ht="23.25" hidden="1">
      <c r="A195" s="1105"/>
      <c r="B195" s="538" t="s">
        <v>206</v>
      </c>
      <c r="C195" s="602"/>
      <c r="D195" s="744" t="s">
        <v>1876</v>
      </c>
      <c r="E195" s="1276"/>
      <c r="F195" s="1125">
        <f t="shared" si="24"/>
        <v>0</v>
      </c>
      <c r="G195" s="1199"/>
      <c r="H195" s="1125">
        <f t="shared" si="25"/>
        <v>0</v>
      </c>
      <c r="I195" s="748"/>
      <c r="J195" s="748">
        <f t="shared" si="26"/>
        <v>0</v>
      </c>
      <c r="K195" s="1199"/>
      <c r="L195" s="1125">
        <f t="shared" si="27"/>
        <v>0</v>
      </c>
      <c r="M195" s="1200"/>
      <c r="N195" s="1339">
        <f t="shared" si="28"/>
        <v>0</v>
      </c>
      <c r="O195" s="1340">
        <f t="shared" si="29"/>
        <v>0</v>
      </c>
      <c r="P195" s="1339">
        <f t="shared" si="30"/>
        <v>0</v>
      </c>
      <c r="Q195" s="1340">
        <f t="shared" si="31"/>
        <v>0</v>
      </c>
      <c r="R195" s="1339">
        <f t="shared" si="32"/>
        <v>0</v>
      </c>
    </row>
    <row r="196" spans="1:18" s="700" customFormat="1" ht="23.25" hidden="1">
      <c r="A196" s="1105"/>
      <c r="B196" s="538" t="s">
        <v>207</v>
      </c>
      <c r="C196" s="602"/>
      <c r="D196" s="744" t="s">
        <v>1876</v>
      </c>
      <c r="E196" s="1276"/>
      <c r="F196" s="1125">
        <f t="shared" si="24"/>
        <v>0</v>
      </c>
      <c r="G196" s="1199"/>
      <c r="H196" s="1125">
        <f t="shared" si="25"/>
        <v>0</v>
      </c>
      <c r="I196" s="748"/>
      <c r="J196" s="748">
        <f t="shared" si="26"/>
        <v>0</v>
      </c>
      <c r="K196" s="1199"/>
      <c r="L196" s="1125">
        <f t="shared" si="27"/>
        <v>0</v>
      </c>
      <c r="M196" s="1200"/>
      <c r="N196" s="1339">
        <f t="shared" si="28"/>
        <v>0</v>
      </c>
      <c r="O196" s="1340">
        <f t="shared" si="29"/>
        <v>0</v>
      </c>
      <c r="P196" s="1339">
        <f t="shared" si="30"/>
        <v>0</v>
      </c>
      <c r="Q196" s="1340">
        <f t="shared" si="31"/>
        <v>0</v>
      </c>
      <c r="R196" s="1339">
        <f t="shared" si="32"/>
        <v>0</v>
      </c>
    </row>
    <row r="197" spans="1:18" s="700" customFormat="1" ht="23.25" hidden="1">
      <c r="A197" s="1114"/>
      <c r="B197" s="538" t="s">
        <v>618</v>
      </c>
      <c r="C197" s="602"/>
      <c r="D197" s="744" t="s">
        <v>1876</v>
      </c>
      <c r="E197" s="1276"/>
      <c r="F197" s="1125">
        <f t="shared" si="24"/>
        <v>0</v>
      </c>
      <c r="G197" s="1199"/>
      <c r="H197" s="1125">
        <f t="shared" si="25"/>
        <v>0</v>
      </c>
      <c r="I197" s="748"/>
      <c r="J197" s="748">
        <f t="shared" si="26"/>
        <v>0</v>
      </c>
      <c r="K197" s="1199"/>
      <c r="L197" s="1125">
        <f t="shared" si="27"/>
        <v>0</v>
      </c>
      <c r="M197" s="1200"/>
      <c r="N197" s="1339">
        <f t="shared" si="28"/>
        <v>0</v>
      </c>
      <c r="O197" s="1340">
        <f t="shared" si="29"/>
        <v>0</v>
      </c>
      <c r="P197" s="1339">
        <f t="shared" si="30"/>
        <v>0</v>
      </c>
      <c r="Q197" s="1340">
        <f t="shared" si="31"/>
        <v>0</v>
      </c>
      <c r="R197" s="1339">
        <f t="shared" si="32"/>
        <v>0</v>
      </c>
    </row>
    <row r="198" spans="1:18" s="700" customFormat="1" ht="46.5" hidden="1">
      <c r="A198" s="1105">
        <v>11.4</v>
      </c>
      <c r="B198" s="600" t="s">
        <v>4105</v>
      </c>
      <c r="C198" s="602"/>
      <c r="D198" s="744"/>
      <c r="E198" s="1276"/>
      <c r="F198" s="1125">
        <f t="shared" si="24"/>
        <v>0</v>
      </c>
      <c r="G198" s="1199"/>
      <c r="H198" s="1125">
        <f t="shared" si="25"/>
        <v>0</v>
      </c>
      <c r="I198" s="748"/>
      <c r="J198" s="748">
        <f t="shared" si="26"/>
        <v>0</v>
      </c>
      <c r="K198" s="1199"/>
      <c r="L198" s="1125">
        <f t="shared" si="27"/>
        <v>0</v>
      </c>
      <c r="M198" s="1200"/>
      <c r="N198" s="1339">
        <f t="shared" si="28"/>
        <v>0</v>
      </c>
      <c r="O198" s="1340">
        <f t="shared" si="29"/>
        <v>0</v>
      </c>
      <c r="P198" s="1339">
        <f t="shared" si="30"/>
        <v>0</v>
      </c>
      <c r="Q198" s="1340">
        <f t="shared" si="31"/>
        <v>0</v>
      </c>
      <c r="R198" s="1339">
        <f t="shared" si="32"/>
        <v>0</v>
      </c>
    </row>
    <row r="199" spans="1:18" s="700" customFormat="1" ht="23.25" hidden="1">
      <c r="A199" s="538"/>
      <c r="B199" s="538" t="s">
        <v>204</v>
      </c>
      <c r="C199" s="602"/>
      <c r="D199" s="744" t="s">
        <v>1876</v>
      </c>
      <c r="E199" s="1276"/>
      <c r="F199" s="1125">
        <f t="shared" ref="F199:F262" si="37">E199*C199</f>
        <v>0</v>
      </c>
      <c r="G199" s="1199"/>
      <c r="H199" s="1125">
        <f t="shared" ref="H199:H262" si="38">G199*C199</f>
        <v>0</v>
      </c>
      <c r="I199" s="748"/>
      <c r="J199" s="748">
        <f t="shared" ref="J199:J262" si="39">I199*C199</f>
        <v>0</v>
      </c>
      <c r="K199" s="1199"/>
      <c r="L199" s="1125">
        <f t="shared" ref="L199:L262" si="40">K199*C199</f>
        <v>0</v>
      </c>
      <c r="M199" s="1200"/>
      <c r="N199" s="1339">
        <f t="shared" ref="N199:N262" si="41">M199*C199</f>
        <v>0</v>
      </c>
      <c r="O199" s="1340">
        <f t="shared" ref="O199:O262" si="42">G199+K199+M199</f>
        <v>0</v>
      </c>
      <c r="P199" s="1339">
        <f t="shared" ref="P199:P262" si="43">O199*C199</f>
        <v>0</v>
      </c>
      <c r="Q199" s="1340">
        <f t="shared" ref="Q199:Q262" si="44">O199+E199</f>
        <v>0</v>
      </c>
      <c r="R199" s="1339">
        <f t="shared" ref="R199:R262" si="45">Q199*C199</f>
        <v>0</v>
      </c>
    </row>
    <row r="200" spans="1:18" s="700" customFormat="1" ht="23.25" hidden="1">
      <c r="A200" s="538"/>
      <c r="B200" s="538" t="s">
        <v>205</v>
      </c>
      <c r="C200" s="602"/>
      <c r="D200" s="744" t="s">
        <v>1876</v>
      </c>
      <c r="E200" s="1276"/>
      <c r="F200" s="1125">
        <f t="shared" si="37"/>
        <v>0</v>
      </c>
      <c r="G200" s="1199"/>
      <c r="H200" s="1125">
        <f t="shared" si="38"/>
        <v>0</v>
      </c>
      <c r="I200" s="748"/>
      <c r="J200" s="748">
        <f t="shared" si="39"/>
        <v>0</v>
      </c>
      <c r="K200" s="1199"/>
      <c r="L200" s="1125">
        <f t="shared" si="40"/>
        <v>0</v>
      </c>
      <c r="M200" s="1200"/>
      <c r="N200" s="1339">
        <f t="shared" si="41"/>
        <v>0</v>
      </c>
      <c r="O200" s="1340">
        <f t="shared" si="42"/>
        <v>0</v>
      </c>
      <c r="P200" s="1339">
        <f t="shared" si="43"/>
        <v>0</v>
      </c>
      <c r="Q200" s="1340">
        <f t="shared" si="44"/>
        <v>0</v>
      </c>
      <c r="R200" s="1339">
        <f t="shared" si="45"/>
        <v>0</v>
      </c>
    </row>
    <row r="201" spans="1:18" s="700" customFormat="1" ht="23.25" hidden="1">
      <c r="A201" s="538"/>
      <c r="B201" s="538" t="s">
        <v>206</v>
      </c>
      <c r="C201" s="602"/>
      <c r="D201" s="744" t="s">
        <v>1876</v>
      </c>
      <c r="E201" s="1276"/>
      <c r="F201" s="1125">
        <f t="shared" si="37"/>
        <v>0</v>
      </c>
      <c r="G201" s="1199"/>
      <c r="H201" s="1125">
        <f t="shared" si="38"/>
        <v>0</v>
      </c>
      <c r="I201" s="748"/>
      <c r="J201" s="748">
        <f t="shared" si="39"/>
        <v>0</v>
      </c>
      <c r="K201" s="1199"/>
      <c r="L201" s="1125">
        <f t="shared" si="40"/>
        <v>0</v>
      </c>
      <c r="M201" s="1200"/>
      <c r="N201" s="1339">
        <f t="shared" si="41"/>
        <v>0</v>
      </c>
      <c r="O201" s="1340">
        <f t="shared" si="42"/>
        <v>0</v>
      </c>
      <c r="P201" s="1339">
        <f t="shared" si="43"/>
        <v>0</v>
      </c>
      <c r="Q201" s="1340">
        <f t="shared" si="44"/>
        <v>0</v>
      </c>
      <c r="R201" s="1339">
        <f t="shared" si="45"/>
        <v>0</v>
      </c>
    </row>
    <row r="202" spans="1:18" s="700" customFormat="1" ht="23.25" hidden="1">
      <c r="A202" s="538"/>
      <c r="B202" s="538" t="s">
        <v>207</v>
      </c>
      <c r="C202" s="602"/>
      <c r="D202" s="744" t="s">
        <v>1876</v>
      </c>
      <c r="E202" s="1276"/>
      <c r="F202" s="1125">
        <f t="shared" si="37"/>
        <v>0</v>
      </c>
      <c r="G202" s="1199"/>
      <c r="H202" s="1125">
        <f t="shared" si="38"/>
        <v>0</v>
      </c>
      <c r="I202" s="748"/>
      <c r="J202" s="748">
        <f t="shared" si="39"/>
        <v>0</v>
      </c>
      <c r="K202" s="1199"/>
      <c r="L202" s="1125">
        <f t="shared" si="40"/>
        <v>0</v>
      </c>
      <c r="M202" s="1200"/>
      <c r="N202" s="1339">
        <f t="shared" si="41"/>
        <v>0</v>
      </c>
      <c r="O202" s="1340">
        <f t="shared" si="42"/>
        <v>0</v>
      </c>
      <c r="P202" s="1339">
        <f t="shared" si="43"/>
        <v>0</v>
      </c>
      <c r="Q202" s="1340">
        <f t="shared" si="44"/>
        <v>0</v>
      </c>
      <c r="R202" s="1339">
        <f t="shared" si="45"/>
        <v>0</v>
      </c>
    </row>
    <row r="203" spans="1:18" s="700" customFormat="1" ht="23.25" hidden="1">
      <c r="A203" s="601"/>
      <c r="B203" s="538" t="s">
        <v>618</v>
      </c>
      <c r="C203" s="602"/>
      <c r="D203" s="744" t="s">
        <v>1876</v>
      </c>
      <c r="E203" s="1276"/>
      <c r="F203" s="1125">
        <f t="shared" si="37"/>
        <v>0</v>
      </c>
      <c r="G203" s="1199"/>
      <c r="H203" s="1125">
        <f t="shared" si="38"/>
        <v>0</v>
      </c>
      <c r="I203" s="748"/>
      <c r="J203" s="748">
        <f t="shared" si="39"/>
        <v>0</v>
      </c>
      <c r="K203" s="1199"/>
      <c r="L203" s="1125">
        <f t="shared" si="40"/>
        <v>0</v>
      </c>
      <c r="M203" s="1200"/>
      <c r="N203" s="1339">
        <f t="shared" si="41"/>
        <v>0</v>
      </c>
      <c r="O203" s="1340">
        <f t="shared" si="42"/>
        <v>0</v>
      </c>
      <c r="P203" s="1339">
        <f t="shared" si="43"/>
        <v>0</v>
      </c>
      <c r="Q203" s="1340">
        <f t="shared" si="44"/>
        <v>0</v>
      </c>
      <c r="R203" s="1339">
        <f t="shared" si="45"/>
        <v>0</v>
      </c>
    </row>
    <row r="204" spans="1:18" s="812" customFormat="1" ht="46.5" hidden="1">
      <c r="A204" s="1116">
        <v>11.5</v>
      </c>
      <c r="B204" s="1112" t="s">
        <v>4533</v>
      </c>
      <c r="C204" s="1109"/>
      <c r="D204" s="1110"/>
      <c r="E204" s="1276"/>
      <c r="F204" s="1125">
        <f t="shared" si="37"/>
        <v>0</v>
      </c>
      <c r="G204" s="1199"/>
      <c r="H204" s="1125">
        <f t="shared" si="38"/>
        <v>0</v>
      </c>
      <c r="I204" s="748"/>
      <c r="J204" s="748">
        <f t="shared" si="39"/>
        <v>0</v>
      </c>
      <c r="K204" s="1199"/>
      <c r="L204" s="1125">
        <f t="shared" si="40"/>
        <v>0</v>
      </c>
      <c r="M204" s="1200"/>
      <c r="N204" s="1339">
        <f t="shared" si="41"/>
        <v>0</v>
      </c>
      <c r="O204" s="1340">
        <f t="shared" si="42"/>
        <v>0</v>
      </c>
      <c r="P204" s="1339">
        <f t="shared" si="43"/>
        <v>0</v>
      </c>
      <c r="Q204" s="1340">
        <f t="shared" si="44"/>
        <v>0</v>
      </c>
      <c r="R204" s="1339">
        <f t="shared" si="45"/>
        <v>0</v>
      </c>
    </row>
    <row r="205" spans="1:18" s="812" customFormat="1" ht="23.25" hidden="1">
      <c r="A205" s="1116"/>
      <c r="B205" s="1108" t="s">
        <v>204</v>
      </c>
      <c r="C205" s="1109">
        <f>ROUND(Data!K434,2)</f>
        <v>567.63</v>
      </c>
      <c r="D205" s="1110" t="s">
        <v>1876</v>
      </c>
      <c r="E205" s="1276"/>
      <c r="F205" s="1125">
        <f t="shared" si="37"/>
        <v>0</v>
      </c>
      <c r="G205" s="1199"/>
      <c r="H205" s="1125">
        <f t="shared" si="38"/>
        <v>0</v>
      </c>
      <c r="I205" s="748"/>
      <c r="J205" s="748">
        <f t="shared" si="39"/>
        <v>0</v>
      </c>
      <c r="K205" s="1199"/>
      <c r="L205" s="1125">
        <f t="shared" si="40"/>
        <v>0</v>
      </c>
      <c r="M205" s="1200"/>
      <c r="N205" s="1339">
        <f t="shared" si="41"/>
        <v>0</v>
      </c>
      <c r="O205" s="1340">
        <f t="shared" si="42"/>
        <v>0</v>
      </c>
      <c r="P205" s="1339">
        <f t="shared" si="43"/>
        <v>0</v>
      </c>
      <c r="Q205" s="1340">
        <f t="shared" si="44"/>
        <v>0</v>
      </c>
      <c r="R205" s="1339">
        <f t="shared" si="45"/>
        <v>0</v>
      </c>
    </row>
    <row r="206" spans="1:18" s="812" customFormat="1" ht="23.25" hidden="1">
      <c r="A206" s="1116"/>
      <c r="B206" s="1108" t="s">
        <v>205</v>
      </c>
      <c r="C206" s="1109">
        <f>ROUND(Data!K435,2)</f>
        <v>579.25</v>
      </c>
      <c r="D206" s="1110" t="s">
        <v>1876</v>
      </c>
      <c r="E206" s="1276"/>
      <c r="F206" s="1125">
        <f t="shared" si="37"/>
        <v>0</v>
      </c>
      <c r="G206" s="1199"/>
      <c r="H206" s="1125">
        <f t="shared" si="38"/>
        <v>0</v>
      </c>
      <c r="I206" s="748"/>
      <c r="J206" s="748">
        <f t="shared" si="39"/>
        <v>0</v>
      </c>
      <c r="K206" s="1199"/>
      <c r="L206" s="1125">
        <f t="shared" si="40"/>
        <v>0</v>
      </c>
      <c r="M206" s="1200"/>
      <c r="N206" s="1339">
        <f t="shared" si="41"/>
        <v>0</v>
      </c>
      <c r="O206" s="1340">
        <f t="shared" si="42"/>
        <v>0</v>
      </c>
      <c r="P206" s="1339">
        <f t="shared" si="43"/>
        <v>0</v>
      </c>
      <c r="Q206" s="1340">
        <f t="shared" si="44"/>
        <v>0</v>
      </c>
      <c r="R206" s="1339">
        <f t="shared" si="45"/>
        <v>0</v>
      </c>
    </row>
    <row r="207" spans="1:18" s="812" customFormat="1" ht="23.25" hidden="1">
      <c r="A207" s="1116"/>
      <c r="B207" s="1108" t="s">
        <v>206</v>
      </c>
      <c r="C207" s="1109">
        <f>ROUND(Data!K436,2)</f>
        <v>590.87</v>
      </c>
      <c r="D207" s="1110" t="s">
        <v>1876</v>
      </c>
      <c r="E207" s="1276"/>
      <c r="F207" s="1125">
        <f t="shared" si="37"/>
        <v>0</v>
      </c>
      <c r="G207" s="1199"/>
      <c r="H207" s="1125">
        <f t="shared" si="38"/>
        <v>0</v>
      </c>
      <c r="I207" s="748"/>
      <c r="J207" s="748">
        <f t="shared" si="39"/>
        <v>0</v>
      </c>
      <c r="K207" s="1199"/>
      <c r="L207" s="1125">
        <f t="shared" si="40"/>
        <v>0</v>
      </c>
      <c r="M207" s="1200"/>
      <c r="N207" s="1339">
        <f t="shared" si="41"/>
        <v>0</v>
      </c>
      <c r="O207" s="1340">
        <f t="shared" si="42"/>
        <v>0</v>
      </c>
      <c r="P207" s="1339">
        <f t="shared" si="43"/>
        <v>0</v>
      </c>
      <c r="Q207" s="1340">
        <f t="shared" si="44"/>
        <v>0</v>
      </c>
      <c r="R207" s="1339">
        <f t="shared" si="45"/>
        <v>0</v>
      </c>
    </row>
    <row r="208" spans="1:18" s="812" customFormat="1" ht="23.25" hidden="1">
      <c r="A208" s="1116"/>
      <c r="B208" s="1108" t="s">
        <v>207</v>
      </c>
      <c r="C208" s="1109">
        <f>ROUND(Data!K437,2)</f>
        <v>602.49</v>
      </c>
      <c r="D208" s="1110" t="s">
        <v>1876</v>
      </c>
      <c r="E208" s="1276"/>
      <c r="F208" s="1125">
        <f t="shared" si="37"/>
        <v>0</v>
      </c>
      <c r="G208" s="1199"/>
      <c r="H208" s="1125">
        <f t="shared" si="38"/>
        <v>0</v>
      </c>
      <c r="I208" s="748"/>
      <c r="J208" s="748">
        <f t="shared" si="39"/>
        <v>0</v>
      </c>
      <c r="K208" s="1199"/>
      <c r="L208" s="1125">
        <f t="shared" si="40"/>
        <v>0</v>
      </c>
      <c r="M208" s="1200"/>
      <c r="N208" s="1339">
        <f t="shared" si="41"/>
        <v>0</v>
      </c>
      <c r="O208" s="1340">
        <f t="shared" si="42"/>
        <v>0</v>
      </c>
      <c r="P208" s="1339">
        <f t="shared" si="43"/>
        <v>0</v>
      </c>
      <c r="Q208" s="1340">
        <f t="shared" si="44"/>
        <v>0</v>
      </c>
      <c r="R208" s="1339">
        <f t="shared" si="45"/>
        <v>0</v>
      </c>
    </row>
    <row r="209" spans="1:20" s="700" customFormat="1" ht="23.25" hidden="1">
      <c r="A209" s="1117"/>
      <c r="B209" s="538" t="s">
        <v>618</v>
      </c>
      <c r="C209" s="602">
        <f>ROUND(Data!K438,2)</f>
        <v>614.11</v>
      </c>
      <c r="D209" s="744" t="s">
        <v>1876</v>
      </c>
      <c r="E209" s="1276"/>
      <c r="F209" s="1125">
        <f t="shared" si="37"/>
        <v>0</v>
      </c>
      <c r="G209" s="1199"/>
      <c r="H209" s="1125">
        <f t="shared" si="38"/>
        <v>0</v>
      </c>
      <c r="I209" s="748"/>
      <c r="J209" s="748">
        <f t="shared" si="39"/>
        <v>0</v>
      </c>
      <c r="K209" s="1199"/>
      <c r="L209" s="1125">
        <f t="shared" si="40"/>
        <v>0</v>
      </c>
      <c r="M209" s="1200"/>
      <c r="N209" s="1339">
        <f t="shared" si="41"/>
        <v>0</v>
      </c>
      <c r="O209" s="1340">
        <f t="shared" si="42"/>
        <v>0</v>
      </c>
      <c r="P209" s="1339">
        <f t="shared" si="43"/>
        <v>0</v>
      </c>
      <c r="Q209" s="1340">
        <f t="shared" si="44"/>
        <v>0</v>
      </c>
      <c r="R209" s="1339">
        <f t="shared" si="45"/>
        <v>0</v>
      </c>
    </row>
    <row r="210" spans="1:20" s="700" customFormat="1" ht="46.5" hidden="1">
      <c r="A210" s="1118">
        <v>11.6</v>
      </c>
      <c r="B210" s="600" t="s">
        <v>4106</v>
      </c>
      <c r="C210" s="602"/>
      <c r="D210" s="744"/>
      <c r="E210" s="1276"/>
      <c r="F210" s="1125">
        <f t="shared" si="37"/>
        <v>0</v>
      </c>
      <c r="G210" s="1199"/>
      <c r="H210" s="1125">
        <f t="shared" si="38"/>
        <v>0</v>
      </c>
      <c r="I210" s="748"/>
      <c r="J210" s="748">
        <f t="shared" si="39"/>
        <v>0</v>
      </c>
      <c r="K210" s="1199"/>
      <c r="L210" s="1125">
        <f t="shared" si="40"/>
        <v>0</v>
      </c>
      <c r="M210" s="1200"/>
      <c r="N210" s="1339">
        <f t="shared" si="41"/>
        <v>0</v>
      </c>
      <c r="O210" s="1340">
        <f t="shared" si="42"/>
        <v>0</v>
      </c>
      <c r="P210" s="1339">
        <f t="shared" si="43"/>
        <v>0</v>
      </c>
      <c r="Q210" s="1340">
        <f t="shared" si="44"/>
        <v>0</v>
      </c>
      <c r="R210" s="1339">
        <f t="shared" si="45"/>
        <v>0</v>
      </c>
    </row>
    <row r="211" spans="1:20" s="700" customFormat="1" ht="23.25" hidden="1">
      <c r="A211" s="1118"/>
      <c r="B211" s="538" t="s">
        <v>204</v>
      </c>
      <c r="C211" s="602"/>
      <c r="D211" s="744" t="s">
        <v>1876</v>
      </c>
      <c r="E211" s="1276"/>
      <c r="F211" s="1125">
        <f t="shared" si="37"/>
        <v>0</v>
      </c>
      <c r="G211" s="1199"/>
      <c r="H211" s="1125">
        <f t="shared" si="38"/>
        <v>0</v>
      </c>
      <c r="I211" s="748"/>
      <c r="J211" s="748">
        <f t="shared" si="39"/>
        <v>0</v>
      </c>
      <c r="K211" s="1199"/>
      <c r="L211" s="1125">
        <f t="shared" si="40"/>
        <v>0</v>
      </c>
      <c r="M211" s="1200"/>
      <c r="N211" s="1339">
        <f t="shared" si="41"/>
        <v>0</v>
      </c>
      <c r="O211" s="1340">
        <f t="shared" si="42"/>
        <v>0</v>
      </c>
      <c r="P211" s="1339">
        <f t="shared" si="43"/>
        <v>0</v>
      </c>
      <c r="Q211" s="1340">
        <f t="shared" si="44"/>
        <v>0</v>
      </c>
      <c r="R211" s="1339">
        <f t="shared" si="45"/>
        <v>0</v>
      </c>
    </row>
    <row r="212" spans="1:20" s="700" customFormat="1" ht="23.25" hidden="1">
      <c r="A212" s="1118"/>
      <c r="B212" s="538" t="s">
        <v>205</v>
      </c>
      <c r="C212" s="602"/>
      <c r="D212" s="744" t="s">
        <v>1876</v>
      </c>
      <c r="E212" s="1276"/>
      <c r="F212" s="1125">
        <f t="shared" si="37"/>
        <v>0</v>
      </c>
      <c r="G212" s="1199"/>
      <c r="H212" s="1125">
        <f t="shared" si="38"/>
        <v>0</v>
      </c>
      <c r="I212" s="748"/>
      <c r="J212" s="748">
        <f t="shared" si="39"/>
        <v>0</v>
      </c>
      <c r="K212" s="1199"/>
      <c r="L212" s="1125">
        <f t="shared" si="40"/>
        <v>0</v>
      </c>
      <c r="M212" s="1200"/>
      <c r="N212" s="1339">
        <f t="shared" si="41"/>
        <v>0</v>
      </c>
      <c r="O212" s="1340">
        <f t="shared" si="42"/>
        <v>0</v>
      </c>
      <c r="P212" s="1339">
        <f t="shared" si="43"/>
        <v>0</v>
      </c>
      <c r="Q212" s="1340">
        <f t="shared" si="44"/>
        <v>0</v>
      </c>
      <c r="R212" s="1339">
        <f t="shared" si="45"/>
        <v>0</v>
      </c>
    </row>
    <row r="213" spans="1:20" s="700" customFormat="1" ht="23.25" hidden="1">
      <c r="A213" s="1118"/>
      <c r="B213" s="538" t="s">
        <v>206</v>
      </c>
      <c r="C213" s="602"/>
      <c r="D213" s="744" t="s">
        <v>1876</v>
      </c>
      <c r="E213" s="1276"/>
      <c r="F213" s="1125">
        <f t="shared" si="37"/>
        <v>0</v>
      </c>
      <c r="G213" s="1199"/>
      <c r="H213" s="1125">
        <f t="shared" si="38"/>
        <v>0</v>
      </c>
      <c r="I213" s="748"/>
      <c r="J213" s="748">
        <f t="shared" si="39"/>
        <v>0</v>
      </c>
      <c r="K213" s="1199"/>
      <c r="L213" s="1125">
        <f t="shared" si="40"/>
        <v>0</v>
      </c>
      <c r="M213" s="1200"/>
      <c r="N213" s="1339">
        <f t="shared" si="41"/>
        <v>0</v>
      </c>
      <c r="O213" s="1340">
        <f t="shared" si="42"/>
        <v>0</v>
      </c>
      <c r="P213" s="1339">
        <f t="shared" si="43"/>
        <v>0</v>
      </c>
      <c r="Q213" s="1340">
        <f t="shared" si="44"/>
        <v>0</v>
      </c>
      <c r="R213" s="1339">
        <f t="shared" si="45"/>
        <v>0</v>
      </c>
    </row>
    <row r="214" spans="1:20" s="700" customFormat="1" ht="23.25" hidden="1">
      <c r="A214" s="1118"/>
      <c r="B214" s="538" t="s">
        <v>207</v>
      </c>
      <c r="C214" s="602"/>
      <c r="D214" s="744" t="s">
        <v>1876</v>
      </c>
      <c r="E214" s="1276"/>
      <c r="F214" s="1125">
        <f t="shared" si="37"/>
        <v>0</v>
      </c>
      <c r="G214" s="1199"/>
      <c r="H214" s="1125">
        <f t="shared" si="38"/>
        <v>0</v>
      </c>
      <c r="I214" s="748"/>
      <c r="J214" s="748">
        <f t="shared" si="39"/>
        <v>0</v>
      </c>
      <c r="K214" s="1199"/>
      <c r="L214" s="1125">
        <f t="shared" si="40"/>
        <v>0</v>
      </c>
      <c r="M214" s="1200"/>
      <c r="N214" s="1339">
        <f t="shared" si="41"/>
        <v>0</v>
      </c>
      <c r="O214" s="1340">
        <f t="shared" si="42"/>
        <v>0</v>
      </c>
      <c r="P214" s="1339">
        <f t="shared" si="43"/>
        <v>0</v>
      </c>
      <c r="Q214" s="1340">
        <f t="shared" si="44"/>
        <v>0</v>
      </c>
      <c r="R214" s="1339">
        <f t="shared" si="45"/>
        <v>0</v>
      </c>
    </row>
    <row r="215" spans="1:20" s="700" customFormat="1" ht="23.25" hidden="1">
      <c r="A215" s="1117"/>
      <c r="B215" s="538" t="s">
        <v>618</v>
      </c>
      <c r="C215" s="602"/>
      <c r="D215" s="744" t="s">
        <v>1876</v>
      </c>
      <c r="E215" s="1276"/>
      <c r="F215" s="1125">
        <f t="shared" si="37"/>
        <v>0</v>
      </c>
      <c r="G215" s="1199"/>
      <c r="H215" s="1125">
        <f t="shared" si="38"/>
        <v>0</v>
      </c>
      <c r="I215" s="748"/>
      <c r="J215" s="748">
        <f t="shared" si="39"/>
        <v>0</v>
      </c>
      <c r="K215" s="1199"/>
      <c r="L215" s="1125">
        <f t="shared" si="40"/>
        <v>0</v>
      </c>
      <c r="M215" s="1200"/>
      <c r="N215" s="1339">
        <f t="shared" si="41"/>
        <v>0</v>
      </c>
      <c r="O215" s="1340">
        <f t="shared" si="42"/>
        <v>0</v>
      </c>
      <c r="P215" s="1339">
        <f t="shared" si="43"/>
        <v>0</v>
      </c>
      <c r="Q215" s="1340">
        <f t="shared" si="44"/>
        <v>0</v>
      </c>
      <c r="R215" s="1339">
        <f t="shared" si="45"/>
        <v>0</v>
      </c>
    </row>
    <row r="216" spans="1:20" ht="66.75" hidden="1" customHeight="1">
      <c r="A216" s="1324">
        <v>12.1</v>
      </c>
      <c r="B216" s="1344" t="s">
        <v>4538</v>
      </c>
      <c r="C216" s="1109"/>
      <c r="D216" s="1345"/>
      <c r="E216" s="1342"/>
      <c r="F216" s="1125">
        <f t="shared" si="37"/>
        <v>0</v>
      </c>
      <c r="G216" s="1335"/>
      <c r="H216" s="1125">
        <f t="shared" si="38"/>
        <v>0</v>
      </c>
      <c r="I216" s="1312"/>
      <c r="J216" s="1312">
        <f t="shared" si="39"/>
        <v>0</v>
      </c>
      <c r="K216" s="1335"/>
      <c r="L216" s="1125">
        <f t="shared" si="40"/>
        <v>0</v>
      </c>
      <c r="M216" s="1340"/>
      <c r="N216" s="1339">
        <f t="shared" si="41"/>
        <v>0</v>
      </c>
      <c r="O216" s="1340">
        <f t="shared" si="42"/>
        <v>0</v>
      </c>
      <c r="P216" s="1339">
        <f t="shared" si="43"/>
        <v>0</v>
      </c>
      <c r="Q216" s="1340">
        <f t="shared" si="44"/>
        <v>0</v>
      </c>
      <c r="R216" s="1339">
        <f t="shared" si="45"/>
        <v>0</v>
      </c>
      <c r="S216" s="1322">
        <f t="shared" ref="S216:S218" si="46">F216+P216</f>
        <v>0</v>
      </c>
      <c r="T216" s="1322">
        <f t="shared" ref="T216:T218" si="47">S216-R216</f>
        <v>0</v>
      </c>
    </row>
    <row r="217" spans="1:20" s="1339" customFormat="1" ht="46.5" hidden="1" customHeight="1">
      <c r="A217" s="1188"/>
      <c r="B217" s="1198" t="s">
        <v>204</v>
      </c>
      <c r="C217" s="1109">
        <f>ROUND(Data!K467,2)</f>
        <v>410.58</v>
      </c>
      <c r="D217" s="1110" t="s">
        <v>1876</v>
      </c>
      <c r="E217" s="1342"/>
      <c r="F217" s="1125">
        <f t="shared" si="37"/>
        <v>0</v>
      </c>
      <c r="G217" s="1335"/>
      <c r="H217" s="1125">
        <f t="shared" si="38"/>
        <v>0</v>
      </c>
      <c r="I217" s="1312"/>
      <c r="J217" s="1312">
        <f t="shared" si="39"/>
        <v>0</v>
      </c>
      <c r="K217" s="1335"/>
      <c r="L217" s="1125">
        <f t="shared" si="40"/>
        <v>0</v>
      </c>
      <c r="M217" s="1340"/>
      <c r="N217" s="1339">
        <f t="shared" si="41"/>
        <v>0</v>
      </c>
      <c r="O217" s="1340">
        <f t="shared" si="42"/>
        <v>0</v>
      </c>
      <c r="P217" s="1339">
        <f t="shared" si="43"/>
        <v>0</v>
      </c>
      <c r="Q217" s="1340">
        <f t="shared" si="44"/>
        <v>0</v>
      </c>
      <c r="R217" s="1339">
        <f t="shared" si="45"/>
        <v>0</v>
      </c>
      <c r="S217" s="1322">
        <f t="shared" si="46"/>
        <v>0</v>
      </c>
      <c r="T217" s="1322">
        <f t="shared" si="47"/>
        <v>0</v>
      </c>
    </row>
    <row r="218" spans="1:20" s="1339" customFormat="1" ht="46.5" hidden="1" customHeight="1">
      <c r="A218" s="1188"/>
      <c r="B218" s="1198" t="s">
        <v>205</v>
      </c>
      <c r="C218" s="1109">
        <f>ROUND(Data!K468,2)</f>
        <v>418.88</v>
      </c>
      <c r="D218" s="1110" t="s">
        <v>1876</v>
      </c>
      <c r="E218" s="1342"/>
      <c r="F218" s="1125">
        <f t="shared" si="37"/>
        <v>0</v>
      </c>
      <c r="G218" s="1335"/>
      <c r="H218" s="1125">
        <f t="shared" si="38"/>
        <v>0</v>
      </c>
      <c r="I218" s="1312"/>
      <c r="J218" s="1312">
        <f t="shared" si="39"/>
        <v>0</v>
      </c>
      <c r="K218" s="1335"/>
      <c r="L218" s="1125">
        <f t="shared" si="40"/>
        <v>0</v>
      </c>
      <c r="M218" s="1340"/>
      <c r="N218" s="1339">
        <f t="shared" si="41"/>
        <v>0</v>
      </c>
      <c r="O218" s="1340">
        <f t="shared" si="42"/>
        <v>0</v>
      </c>
      <c r="P218" s="1339">
        <f t="shared" si="43"/>
        <v>0</v>
      </c>
      <c r="Q218" s="1340">
        <f t="shared" si="44"/>
        <v>0</v>
      </c>
      <c r="R218" s="1339">
        <f t="shared" si="45"/>
        <v>0</v>
      </c>
      <c r="S218" s="1322">
        <f t="shared" si="46"/>
        <v>0</v>
      </c>
      <c r="T218" s="1322">
        <f t="shared" si="47"/>
        <v>0</v>
      </c>
    </row>
    <row r="219" spans="1:20" s="746" customFormat="1" ht="23.25" hidden="1">
      <c r="A219" s="1108"/>
      <c r="B219" s="1108" t="s">
        <v>206</v>
      </c>
      <c r="C219" s="1109">
        <f>ROUND(Data!K469,2)</f>
        <v>427.18</v>
      </c>
      <c r="D219" s="1110" t="s">
        <v>1876</v>
      </c>
      <c r="E219" s="1276"/>
      <c r="F219" s="1125">
        <f t="shared" si="37"/>
        <v>0</v>
      </c>
      <c r="G219" s="1199"/>
      <c r="H219" s="1125">
        <f t="shared" si="38"/>
        <v>0</v>
      </c>
      <c r="I219" s="748"/>
      <c r="J219" s="748">
        <f t="shared" si="39"/>
        <v>0</v>
      </c>
      <c r="K219" s="1199"/>
      <c r="L219" s="1125">
        <f t="shared" si="40"/>
        <v>0</v>
      </c>
      <c r="M219" s="1208"/>
      <c r="N219" s="1339">
        <f t="shared" si="41"/>
        <v>0</v>
      </c>
      <c r="O219" s="1340">
        <f t="shared" si="42"/>
        <v>0</v>
      </c>
      <c r="P219" s="1339">
        <f t="shared" si="43"/>
        <v>0</v>
      </c>
      <c r="Q219" s="1340">
        <f t="shared" si="44"/>
        <v>0</v>
      </c>
      <c r="R219" s="1339">
        <f t="shared" si="45"/>
        <v>0</v>
      </c>
      <c r="S219" s="1090"/>
    </row>
    <row r="220" spans="1:20" s="746" customFormat="1" ht="23.25" hidden="1">
      <c r="A220" s="1108"/>
      <c r="B220" s="1108" t="s">
        <v>207</v>
      </c>
      <c r="C220" s="1109">
        <f>ROUND(Data!K470,2)</f>
        <v>435.48</v>
      </c>
      <c r="D220" s="1110" t="s">
        <v>1876</v>
      </c>
      <c r="E220" s="1276"/>
      <c r="F220" s="1125">
        <f t="shared" si="37"/>
        <v>0</v>
      </c>
      <c r="G220" s="1199"/>
      <c r="H220" s="1125">
        <f t="shared" si="38"/>
        <v>0</v>
      </c>
      <c r="I220" s="748"/>
      <c r="J220" s="748">
        <f t="shared" si="39"/>
        <v>0</v>
      </c>
      <c r="K220" s="1199"/>
      <c r="L220" s="1125">
        <f t="shared" si="40"/>
        <v>0</v>
      </c>
      <c r="M220" s="1208"/>
      <c r="N220" s="1339">
        <f t="shared" si="41"/>
        <v>0</v>
      </c>
      <c r="O220" s="1340">
        <f t="shared" si="42"/>
        <v>0</v>
      </c>
      <c r="P220" s="1339">
        <f t="shared" si="43"/>
        <v>0</v>
      </c>
      <c r="Q220" s="1340">
        <f t="shared" si="44"/>
        <v>0</v>
      </c>
      <c r="R220" s="1339">
        <f t="shared" si="45"/>
        <v>0</v>
      </c>
      <c r="S220" s="1090"/>
    </row>
    <row r="221" spans="1:20" s="700" customFormat="1" ht="23.25" hidden="1">
      <c r="A221" s="601"/>
      <c r="B221" s="538" t="s">
        <v>618</v>
      </c>
      <c r="C221" s="602">
        <f>ROUND(Data!K471,2)</f>
        <v>443.78</v>
      </c>
      <c r="D221" s="744" t="s">
        <v>1876</v>
      </c>
      <c r="E221" s="1276"/>
      <c r="F221" s="1125">
        <f t="shared" si="37"/>
        <v>0</v>
      </c>
      <c r="G221" s="1199"/>
      <c r="H221" s="1125">
        <f t="shared" si="38"/>
        <v>0</v>
      </c>
      <c r="I221" s="748"/>
      <c r="J221" s="748">
        <f t="shared" si="39"/>
        <v>0</v>
      </c>
      <c r="K221" s="1199"/>
      <c r="L221" s="1125">
        <f t="shared" si="40"/>
        <v>0</v>
      </c>
      <c r="M221" s="1200"/>
      <c r="N221" s="1339">
        <f t="shared" si="41"/>
        <v>0</v>
      </c>
      <c r="O221" s="1340">
        <f t="shared" si="42"/>
        <v>0</v>
      </c>
      <c r="P221" s="1339">
        <f t="shared" si="43"/>
        <v>0</v>
      </c>
      <c r="Q221" s="1340">
        <f t="shared" si="44"/>
        <v>0</v>
      </c>
      <c r="R221" s="1339">
        <f t="shared" si="45"/>
        <v>0</v>
      </c>
    </row>
    <row r="222" spans="1:20" s="700" customFormat="1" ht="69.75" hidden="1">
      <c r="A222" s="1105">
        <v>12.2</v>
      </c>
      <c r="B222" s="538" t="s">
        <v>1837</v>
      </c>
      <c r="C222" s="602"/>
      <c r="D222" s="1119"/>
      <c r="E222" s="1276"/>
      <c r="F222" s="1125">
        <f t="shared" si="37"/>
        <v>0</v>
      </c>
      <c r="G222" s="1199"/>
      <c r="H222" s="1125">
        <f t="shared" si="38"/>
        <v>0</v>
      </c>
      <c r="I222" s="748"/>
      <c r="J222" s="748">
        <f t="shared" si="39"/>
        <v>0</v>
      </c>
      <c r="K222" s="1199"/>
      <c r="L222" s="1125">
        <f t="shared" si="40"/>
        <v>0</v>
      </c>
      <c r="M222" s="1200"/>
      <c r="N222" s="1339">
        <f t="shared" si="41"/>
        <v>0</v>
      </c>
      <c r="O222" s="1340">
        <f t="shared" si="42"/>
        <v>0</v>
      </c>
      <c r="P222" s="1339">
        <f t="shared" si="43"/>
        <v>0</v>
      </c>
      <c r="Q222" s="1340">
        <f t="shared" si="44"/>
        <v>0</v>
      </c>
      <c r="R222" s="1339">
        <f t="shared" si="45"/>
        <v>0</v>
      </c>
    </row>
    <row r="223" spans="1:20" s="700" customFormat="1" ht="23.25" hidden="1">
      <c r="A223" s="538"/>
      <c r="B223" s="538" t="s">
        <v>204</v>
      </c>
      <c r="C223" s="602"/>
      <c r="D223" s="744" t="s">
        <v>1876</v>
      </c>
      <c r="E223" s="1276"/>
      <c r="F223" s="1125">
        <f t="shared" si="37"/>
        <v>0</v>
      </c>
      <c r="G223" s="1199"/>
      <c r="H223" s="1125">
        <f t="shared" si="38"/>
        <v>0</v>
      </c>
      <c r="I223" s="748"/>
      <c r="J223" s="748">
        <f t="shared" si="39"/>
        <v>0</v>
      </c>
      <c r="K223" s="1199"/>
      <c r="L223" s="1125">
        <f t="shared" si="40"/>
        <v>0</v>
      </c>
      <c r="M223" s="1200"/>
      <c r="N223" s="1339">
        <f t="shared" si="41"/>
        <v>0</v>
      </c>
      <c r="O223" s="1340">
        <f t="shared" si="42"/>
        <v>0</v>
      </c>
      <c r="P223" s="1339">
        <f t="shared" si="43"/>
        <v>0</v>
      </c>
      <c r="Q223" s="1340">
        <f t="shared" si="44"/>
        <v>0</v>
      </c>
      <c r="R223" s="1339">
        <f t="shared" si="45"/>
        <v>0</v>
      </c>
    </row>
    <row r="224" spans="1:20" s="700" customFormat="1" ht="23.25" hidden="1">
      <c r="A224" s="538"/>
      <c r="B224" s="538" t="s">
        <v>205</v>
      </c>
      <c r="C224" s="602"/>
      <c r="D224" s="744" t="s">
        <v>1876</v>
      </c>
      <c r="E224" s="1276"/>
      <c r="F224" s="1125">
        <f t="shared" si="37"/>
        <v>0</v>
      </c>
      <c r="G224" s="1199"/>
      <c r="H224" s="1125">
        <f t="shared" si="38"/>
        <v>0</v>
      </c>
      <c r="I224" s="748"/>
      <c r="J224" s="748">
        <f t="shared" si="39"/>
        <v>0</v>
      </c>
      <c r="K224" s="1199"/>
      <c r="L224" s="1125">
        <f t="shared" si="40"/>
        <v>0</v>
      </c>
      <c r="M224" s="1200"/>
      <c r="N224" s="1339">
        <f t="shared" si="41"/>
        <v>0</v>
      </c>
      <c r="O224" s="1340">
        <f t="shared" si="42"/>
        <v>0</v>
      </c>
      <c r="P224" s="1339">
        <f t="shared" si="43"/>
        <v>0</v>
      </c>
      <c r="Q224" s="1340">
        <f t="shared" si="44"/>
        <v>0</v>
      </c>
      <c r="R224" s="1339">
        <f t="shared" si="45"/>
        <v>0</v>
      </c>
    </row>
    <row r="225" spans="1:20" s="700" customFormat="1" ht="23.25" hidden="1">
      <c r="A225" s="538"/>
      <c r="B225" s="538" t="s">
        <v>206</v>
      </c>
      <c r="C225" s="602"/>
      <c r="D225" s="744" t="s">
        <v>1876</v>
      </c>
      <c r="E225" s="1276"/>
      <c r="F225" s="1125">
        <f t="shared" si="37"/>
        <v>0</v>
      </c>
      <c r="G225" s="1199"/>
      <c r="H225" s="1125">
        <f t="shared" si="38"/>
        <v>0</v>
      </c>
      <c r="I225" s="748"/>
      <c r="J225" s="748">
        <f t="shared" si="39"/>
        <v>0</v>
      </c>
      <c r="K225" s="1199"/>
      <c r="L225" s="1125">
        <f t="shared" si="40"/>
        <v>0</v>
      </c>
      <c r="M225" s="1200"/>
      <c r="N225" s="1339">
        <f t="shared" si="41"/>
        <v>0</v>
      </c>
      <c r="O225" s="1340">
        <f t="shared" si="42"/>
        <v>0</v>
      </c>
      <c r="P225" s="1339">
        <f t="shared" si="43"/>
        <v>0</v>
      </c>
      <c r="Q225" s="1340">
        <f t="shared" si="44"/>
        <v>0</v>
      </c>
      <c r="R225" s="1339">
        <f t="shared" si="45"/>
        <v>0</v>
      </c>
    </row>
    <row r="226" spans="1:20" s="700" customFormat="1" ht="23.25" hidden="1">
      <c r="A226" s="538"/>
      <c r="B226" s="538" t="s">
        <v>207</v>
      </c>
      <c r="C226" s="602"/>
      <c r="D226" s="744" t="s">
        <v>1876</v>
      </c>
      <c r="E226" s="1276"/>
      <c r="F226" s="1125">
        <f t="shared" si="37"/>
        <v>0</v>
      </c>
      <c r="G226" s="1199"/>
      <c r="H226" s="1125">
        <f t="shared" si="38"/>
        <v>0</v>
      </c>
      <c r="I226" s="748"/>
      <c r="J226" s="748">
        <f t="shared" si="39"/>
        <v>0</v>
      </c>
      <c r="K226" s="1199"/>
      <c r="L226" s="1125">
        <f t="shared" si="40"/>
        <v>0</v>
      </c>
      <c r="M226" s="1200"/>
      <c r="N226" s="1339">
        <f t="shared" si="41"/>
        <v>0</v>
      </c>
      <c r="O226" s="1340">
        <f t="shared" si="42"/>
        <v>0</v>
      </c>
      <c r="P226" s="1339">
        <f t="shared" si="43"/>
        <v>0</v>
      </c>
      <c r="Q226" s="1340">
        <f t="shared" si="44"/>
        <v>0</v>
      </c>
      <c r="R226" s="1339">
        <f t="shared" si="45"/>
        <v>0</v>
      </c>
    </row>
    <row r="227" spans="1:20" s="700" customFormat="1" ht="23.25" hidden="1">
      <c r="A227" s="601"/>
      <c r="B227" s="538" t="s">
        <v>618</v>
      </c>
      <c r="C227" s="602"/>
      <c r="D227" s="744" t="s">
        <v>1876</v>
      </c>
      <c r="E227" s="1276"/>
      <c r="F227" s="1125">
        <f t="shared" si="37"/>
        <v>0</v>
      </c>
      <c r="G227" s="1199"/>
      <c r="H227" s="1125">
        <f t="shared" si="38"/>
        <v>0</v>
      </c>
      <c r="I227" s="748"/>
      <c r="J227" s="748">
        <f t="shared" si="39"/>
        <v>0</v>
      </c>
      <c r="K227" s="1199"/>
      <c r="L227" s="1125">
        <f t="shared" si="40"/>
        <v>0</v>
      </c>
      <c r="M227" s="1200"/>
      <c r="N227" s="1339">
        <f t="shared" si="41"/>
        <v>0</v>
      </c>
      <c r="O227" s="1340">
        <f t="shared" si="42"/>
        <v>0</v>
      </c>
      <c r="P227" s="1339">
        <f t="shared" si="43"/>
        <v>0</v>
      </c>
      <c r="Q227" s="1340">
        <f t="shared" si="44"/>
        <v>0</v>
      </c>
      <c r="R227" s="1339">
        <f t="shared" si="45"/>
        <v>0</v>
      </c>
    </row>
    <row r="228" spans="1:20" s="700" customFormat="1" ht="23.25" hidden="1">
      <c r="A228" s="601"/>
      <c r="B228" s="538"/>
      <c r="C228" s="602"/>
      <c r="D228" s="744"/>
      <c r="E228" s="1276"/>
      <c r="F228" s="1125">
        <f t="shared" si="37"/>
        <v>0</v>
      </c>
      <c r="G228" s="1199"/>
      <c r="H228" s="1125">
        <f t="shared" si="38"/>
        <v>0</v>
      </c>
      <c r="I228" s="748"/>
      <c r="J228" s="748">
        <f t="shared" si="39"/>
        <v>0</v>
      </c>
      <c r="K228" s="1199"/>
      <c r="L228" s="1125">
        <f t="shared" si="40"/>
        <v>0</v>
      </c>
      <c r="M228" s="1200"/>
      <c r="N228" s="1339">
        <f t="shared" si="41"/>
        <v>0</v>
      </c>
      <c r="O228" s="1340">
        <f t="shared" si="42"/>
        <v>0</v>
      </c>
      <c r="P228" s="1339">
        <f t="shared" si="43"/>
        <v>0</v>
      </c>
      <c r="Q228" s="1340">
        <f t="shared" si="44"/>
        <v>0</v>
      </c>
      <c r="R228" s="1339">
        <f t="shared" si="45"/>
        <v>0</v>
      </c>
    </row>
    <row r="229" spans="1:20" s="1346" customFormat="1" ht="52.5" customHeight="1">
      <c r="A229" s="1487">
        <v>13.1</v>
      </c>
      <c r="B229" s="1326" t="s">
        <v>1084</v>
      </c>
      <c r="C229" s="747">
        <f>ROUND(Data!K482,2)</f>
        <v>40.65</v>
      </c>
      <c r="D229" s="1144" t="s">
        <v>1219</v>
      </c>
      <c r="E229" s="1336">
        <v>104.9</v>
      </c>
      <c r="F229" s="1125">
        <f t="shared" si="37"/>
        <v>4264.1899999999996</v>
      </c>
      <c r="G229" s="1335"/>
      <c r="H229" s="1125">
        <f t="shared" si="38"/>
        <v>0</v>
      </c>
      <c r="I229" s="1312"/>
      <c r="J229" s="1406">
        <f t="shared" si="39"/>
        <v>0</v>
      </c>
      <c r="K229" s="1335"/>
      <c r="L229" s="1125">
        <f t="shared" si="40"/>
        <v>0</v>
      </c>
      <c r="M229" s="1340"/>
      <c r="N229" s="1339">
        <f t="shared" si="41"/>
        <v>0</v>
      </c>
      <c r="O229" s="1340">
        <f t="shared" si="42"/>
        <v>0</v>
      </c>
      <c r="P229" s="1339">
        <f t="shared" si="43"/>
        <v>0</v>
      </c>
      <c r="Q229" s="1340">
        <f t="shared" si="44"/>
        <v>104.9</v>
      </c>
      <c r="R229" s="1339">
        <f t="shared" si="45"/>
        <v>4264.1899999999996</v>
      </c>
      <c r="S229" s="1322">
        <f>F229+P229</f>
        <v>4264.1899999999996</v>
      </c>
      <c r="T229" s="1322">
        <f>S229-R229</f>
        <v>0</v>
      </c>
    </row>
    <row r="230" spans="1:20" s="700" customFormat="1" ht="70.5" hidden="1" customHeight="1">
      <c r="A230" s="1422">
        <v>13.2</v>
      </c>
      <c r="B230" s="1423" t="s">
        <v>1752</v>
      </c>
      <c r="C230" s="1424"/>
      <c r="D230" s="1425" t="s">
        <v>1219</v>
      </c>
      <c r="E230" s="1278"/>
      <c r="F230" s="1125">
        <f t="shared" si="37"/>
        <v>0</v>
      </c>
      <c r="G230" s="1273"/>
      <c r="H230" s="1125">
        <f t="shared" si="38"/>
        <v>0</v>
      </c>
      <c r="I230" s="748"/>
      <c r="J230" s="748">
        <f t="shared" si="39"/>
        <v>0</v>
      </c>
      <c r="K230" s="1273"/>
      <c r="L230" s="1125">
        <f t="shared" si="40"/>
        <v>0</v>
      </c>
      <c r="M230" s="1412"/>
      <c r="N230" s="1339">
        <f t="shared" si="41"/>
        <v>0</v>
      </c>
      <c r="O230" s="1340">
        <f t="shared" si="42"/>
        <v>0</v>
      </c>
      <c r="P230" s="1339">
        <f t="shared" si="43"/>
        <v>0</v>
      </c>
      <c r="Q230" s="1340">
        <f t="shared" si="44"/>
        <v>0</v>
      </c>
      <c r="R230" s="1339">
        <f t="shared" si="45"/>
        <v>0</v>
      </c>
    </row>
    <row r="231" spans="1:20" s="601" customFormat="1" ht="70.5" hidden="1" customHeight="1">
      <c r="A231" s="1122" t="s">
        <v>1014</v>
      </c>
      <c r="B231" s="1123" t="s">
        <v>90</v>
      </c>
      <c r="C231" s="748"/>
      <c r="D231" s="1121"/>
      <c r="E231" s="1276"/>
      <c r="F231" s="1125">
        <f t="shared" si="37"/>
        <v>0</v>
      </c>
      <c r="G231" s="1199"/>
      <c r="H231" s="1125">
        <f t="shared" si="38"/>
        <v>0</v>
      </c>
      <c r="I231" s="748"/>
      <c r="J231" s="748">
        <f t="shared" si="39"/>
        <v>0</v>
      </c>
      <c r="K231" s="1199"/>
      <c r="L231" s="1125">
        <f t="shared" si="40"/>
        <v>0</v>
      </c>
      <c r="M231" s="1200"/>
      <c r="N231" s="1339">
        <f t="shared" si="41"/>
        <v>0</v>
      </c>
      <c r="O231" s="1340">
        <f t="shared" si="42"/>
        <v>0</v>
      </c>
      <c r="P231" s="1339">
        <f t="shared" si="43"/>
        <v>0</v>
      </c>
      <c r="Q231" s="1340">
        <f t="shared" si="44"/>
        <v>0</v>
      </c>
      <c r="R231" s="1339">
        <f t="shared" si="45"/>
        <v>0</v>
      </c>
      <c r="S231" s="1089"/>
    </row>
    <row r="232" spans="1:20" s="601" customFormat="1" ht="70.5" hidden="1" customHeight="1">
      <c r="A232" s="1120"/>
      <c r="B232" s="1120" t="s">
        <v>1276</v>
      </c>
      <c r="C232" s="748">
        <f>ROUND(Data!K535,2)</f>
        <v>1537.62</v>
      </c>
      <c r="D232" s="1121" t="s">
        <v>1876</v>
      </c>
      <c r="E232" s="1276"/>
      <c r="F232" s="1125">
        <f t="shared" si="37"/>
        <v>0</v>
      </c>
      <c r="G232" s="1199"/>
      <c r="H232" s="1125">
        <f t="shared" si="38"/>
        <v>0</v>
      </c>
      <c r="I232" s="748"/>
      <c r="J232" s="748">
        <f t="shared" si="39"/>
        <v>0</v>
      </c>
      <c r="K232" s="1199"/>
      <c r="L232" s="1125">
        <f t="shared" si="40"/>
        <v>0</v>
      </c>
      <c r="M232" s="1200"/>
      <c r="N232" s="1339">
        <f t="shared" si="41"/>
        <v>0</v>
      </c>
      <c r="O232" s="1340">
        <f t="shared" si="42"/>
        <v>0</v>
      </c>
      <c r="P232" s="1339">
        <f t="shared" si="43"/>
        <v>0</v>
      </c>
      <c r="Q232" s="1340">
        <f t="shared" si="44"/>
        <v>0</v>
      </c>
      <c r="R232" s="1339">
        <f t="shared" si="45"/>
        <v>0</v>
      </c>
      <c r="S232" s="1089"/>
    </row>
    <row r="233" spans="1:20" s="601" customFormat="1" ht="70.5" hidden="1" customHeight="1">
      <c r="A233" s="538"/>
      <c r="B233" s="538" t="s">
        <v>1411</v>
      </c>
      <c r="C233" s="743">
        <f>ROUND(Data!K536,2)</f>
        <v>1542.59</v>
      </c>
      <c r="D233" s="744" t="s">
        <v>1876</v>
      </c>
      <c r="E233" s="1276"/>
      <c r="F233" s="1125">
        <f t="shared" si="37"/>
        <v>0</v>
      </c>
      <c r="G233" s="1199"/>
      <c r="H233" s="1125">
        <f t="shared" si="38"/>
        <v>0</v>
      </c>
      <c r="I233" s="748"/>
      <c r="J233" s="748">
        <f t="shared" si="39"/>
        <v>0</v>
      </c>
      <c r="K233" s="1199"/>
      <c r="L233" s="1125">
        <f t="shared" si="40"/>
        <v>0</v>
      </c>
      <c r="M233" s="1200"/>
      <c r="N233" s="1339">
        <f t="shared" si="41"/>
        <v>0</v>
      </c>
      <c r="O233" s="1340">
        <f t="shared" si="42"/>
        <v>0</v>
      </c>
      <c r="P233" s="1339">
        <f t="shared" si="43"/>
        <v>0</v>
      </c>
      <c r="Q233" s="1340">
        <f t="shared" si="44"/>
        <v>0</v>
      </c>
      <c r="R233" s="1339">
        <f t="shared" si="45"/>
        <v>0</v>
      </c>
      <c r="S233" s="1089"/>
    </row>
    <row r="234" spans="1:20" s="601" customFormat="1" ht="70.5" hidden="1" customHeight="1">
      <c r="A234" s="538"/>
      <c r="B234" s="538" t="s">
        <v>1459</v>
      </c>
      <c r="C234" s="743">
        <f>ROUND(Data!K537,2)</f>
        <v>1547.56</v>
      </c>
      <c r="D234" s="744" t="s">
        <v>1876</v>
      </c>
      <c r="E234" s="1276"/>
      <c r="F234" s="1125">
        <f t="shared" si="37"/>
        <v>0</v>
      </c>
      <c r="G234" s="1199"/>
      <c r="H234" s="1125">
        <f t="shared" si="38"/>
        <v>0</v>
      </c>
      <c r="I234" s="748"/>
      <c r="J234" s="748">
        <f t="shared" si="39"/>
        <v>0</v>
      </c>
      <c r="K234" s="1199"/>
      <c r="L234" s="1125">
        <f t="shared" si="40"/>
        <v>0</v>
      </c>
      <c r="M234" s="1200"/>
      <c r="N234" s="1339">
        <f t="shared" si="41"/>
        <v>0</v>
      </c>
      <c r="O234" s="1340">
        <f t="shared" si="42"/>
        <v>0</v>
      </c>
      <c r="P234" s="1339">
        <f t="shared" si="43"/>
        <v>0</v>
      </c>
      <c r="Q234" s="1340">
        <f t="shared" si="44"/>
        <v>0</v>
      </c>
      <c r="R234" s="1339">
        <f t="shared" si="45"/>
        <v>0</v>
      </c>
      <c r="S234" s="1089"/>
    </row>
    <row r="235" spans="1:20" s="601" customFormat="1" ht="70.5" hidden="1" customHeight="1">
      <c r="A235" s="538"/>
      <c r="B235" s="538" t="s">
        <v>1348</v>
      </c>
      <c r="C235" s="743">
        <f>ROUND(Data!K538,2)</f>
        <v>1552.53</v>
      </c>
      <c r="D235" s="744" t="s">
        <v>1876</v>
      </c>
      <c r="E235" s="1276"/>
      <c r="F235" s="1125">
        <f t="shared" si="37"/>
        <v>0</v>
      </c>
      <c r="G235" s="1199"/>
      <c r="H235" s="1125">
        <f t="shared" si="38"/>
        <v>0</v>
      </c>
      <c r="I235" s="748"/>
      <c r="J235" s="748">
        <f t="shared" si="39"/>
        <v>0</v>
      </c>
      <c r="K235" s="1199"/>
      <c r="L235" s="1125">
        <f t="shared" si="40"/>
        <v>0</v>
      </c>
      <c r="M235" s="1200"/>
      <c r="N235" s="1339">
        <f t="shared" si="41"/>
        <v>0</v>
      </c>
      <c r="O235" s="1340">
        <f t="shared" si="42"/>
        <v>0</v>
      </c>
      <c r="P235" s="1339">
        <f t="shared" si="43"/>
        <v>0</v>
      </c>
      <c r="Q235" s="1340">
        <f t="shared" si="44"/>
        <v>0</v>
      </c>
      <c r="R235" s="1339">
        <f t="shared" si="45"/>
        <v>0</v>
      </c>
      <c r="S235" s="1089"/>
    </row>
    <row r="236" spans="1:20" s="700" customFormat="1" ht="70.5" hidden="1" customHeight="1">
      <c r="A236" s="601"/>
      <c r="B236" s="538" t="s">
        <v>1099</v>
      </c>
      <c r="C236" s="602">
        <f>ROUND(Data!K539,2)</f>
        <v>1557.5</v>
      </c>
      <c r="D236" s="744" t="s">
        <v>1876</v>
      </c>
      <c r="E236" s="1276"/>
      <c r="F236" s="1125">
        <f t="shared" si="37"/>
        <v>0</v>
      </c>
      <c r="G236" s="1199"/>
      <c r="H236" s="1125">
        <f t="shared" si="38"/>
        <v>0</v>
      </c>
      <c r="I236" s="748"/>
      <c r="J236" s="748">
        <f t="shared" si="39"/>
        <v>0</v>
      </c>
      <c r="K236" s="1199"/>
      <c r="L236" s="1125">
        <f t="shared" si="40"/>
        <v>0</v>
      </c>
      <c r="M236" s="1200"/>
      <c r="N236" s="1339">
        <f t="shared" si="41"/>
        <v>0</v>
      </c>
      <c r="O236" s="1340">
        <f t="shared" si="42"/>
        <v>0</v>
      </c>
      <c r="P236" s="1339">
        <f t="shared" si="43"/>
        <v>0</v>
      </c>
      <c r="Q236" s="1340">
        <f t="shared" si="44"/>
        <v>0</v>
      </c>
      <c r="R236" s="1339">
        <f t="shared" si="45"/>
        <v>0</v>
      </c>
    </row>
    <row r="237" spans="1:20" s="700" customFormat="1" ht="70.5" hidden="1" customHeight="1">
      <c r="A237" s="601"/>
      <c r="B237" s="538" t="s">
        <v>3852</v>
      </c>
      <c r="C237" s="602">
        <f>ROUND(Data!K540,2)</f>
        <v>1562.47</v>
      </c>
      <c r="D237" s="744" t="s">
        <v>1876</v>
      </c>
      <c r="E237" s="1276"/>
      <c r="F237" s="1125">
        <f t="shared" si="37"/>
        <v>0</v>
      </c>
      <c r="G237" s="1199"/>
      <c r="H237" s="1125">
        <f t="shared" si="38"/>
        <v>0</v>
      </c>
      <c r="I237" s="748"/>
      <c r="J237" s="748">
        <f t="shared" si="39"/>
        <v>0</v>
      </c>
      <c r="K237" s="1199"/>
      <c r="L237" s="1125">
        <f t="shared" si="40"/>
        <v>0</v>
      </c>
      <c r="M237" s="1200"/>
      <c r="N237" s="1339">
        <f t="shared" si="41"/>
        <v>0</v>
      </c>
      <c r="O237" s="1340">
        <f t="shared" si="42"/>
        <v>0</v>
      </c>
      <c r="P237" s="1339">
        <f t="shared" si="43"/>
        <v>0</v>
      </c>
      <c r="Q237" s="1340">
        <f t="shared" si="44"/>
        <v>0</v>
      </c>
      <c r="R237" s="1339">
        <f t="shared" si="45"/>
        <v>0</v>
      </c>
    </row>
    <row r="238" spans="1:20" s="700" customFormat="1" ht="70.5" hidden="1" customHeight="1">
      <c r="A238" s="601"/>
      <c r="B238" s="538" t="s">
        <v>3853</v>
      </c>
      <c r="C238" s="602">
        <f>ROUND(Data!K541,2)</f>
        <v>1567.44</v>
      </c>
      <c r="D238" s="744" t="s">
        <v>1876</v>
      </c>
      <c r="E238" s="1276"/>
      <c r="F238" s="1125">
        <f t="shared" si="37"/>
        <v>0</v>
      </c>
      <c r="G238" s="1199"/>
      <c r="H238" s="1125">
        <f t="shared" si="38"/>
        <v>0</v>
      </c>
      <c r="I238" s="748"/>
      <c r="J238" s="748">
        <f t="shared" si="39"/>
        <v>0</v>
      </c>
      <c r="K238" s="1199"/>
      <c r="L238" s="1125">
        <f t="shared" si="40"/>
        <v>0</v>
      </c>
      <c r="M238" s="1200"/>
      <c r="N238" s="1339">
        <f t="shared" si="41"/>
        <v>0</v>
      </c>
      <c r="O238" s="1340">
        <f t="shared" si="42"/>
        <v>0</v>
      </c>
      <c r="P238" s="1339">
        <f t="shared" si="43"/>
        <v>0</v>
      </c>
      <c r="Q238" s="1340">
        <f t="shared" si="44"/>
        <v>0</v>
      </c>
      <c r="R238" s="1339">
        <f t="shared" si="45"/>
        <v>0</v>
      </c>
    </row>
    <row r="239" spans="1:20" s="700" customFormat="1" ht="70.5" hidden="1" customHeight="1">
      <c r="A239" s="601"/>
      <c r="B239" s="538" t="s">
        <v>3854</v>
      </c>
      <c r="C239" s="602">
        <f>ROUND(Data!K542,2)</f>
        <v>1572.41</v>
      </c>
      <c r="D239" s="744" t="s">
        <v>1876</v>
      </c>
      <c r="E239" s="1276"/>
      <c r="F239" s="1125">
        <f t="shared" si="37"/>
        <v>0</v>
      </c>
      <c r="G239" s="1199"/>
      <c r="H239" s="1125">
        <f t="shared" si="38"/>
        <v>0</v>
      </c>
      <c r="I239" s="748"/>
      <c r="J239" s="748">
        <f t="shared" si="39"/>
        <v>0</v>
      </c>
      <c r="K239" s="1199"/>
      <c r="L239" s="1125">
        <f t="shared" si="40"/>
        <v>0</v>
      </c>
      <c r="M239" s="1200"/>
      <c r="N239" s="1339">
        <f t="shared" si="41"/>
        <v>0</v>
      </c>
      <c r="O239" s="1340">
        <f t="shared" si="42"/>
        <v>0</v>
      </c>
      <c r="P239" s="1339">
        <f t="shared" si="43"/>
        <v>0</v>
      </c>
      <c r="Q239" s="1340">
        <f t="shared" si="44"/>
        <v>0</v>
      </c>
      <c r="R239" s="1339">
        <f t="shared" si="45"/>
        <v>0</v>
      </c>
    </row>
    <row r="240" spans="1:20" s="700" customFormat="1" ht="70.5" hidden="1" customHeight="1">
      <c r="A240" s="601"/>
      <c r="B240" s="538" t="s">
        <v>3855</v>
      </c>
      <c r="C240" s="602">
        <f>ROUND(Data!K543,2)</f>
        <v>1577.38</v>
      </c>
      <c r="D240" s="744" t="s">
        <v>1876</v>
      </c>
      <c r="E240" s="1276"/>
      <c r="F240" s="1125">
        <f t="shared" si="37"/>
        <v>0</v>
      </c>
      <c r="G240" s="1199"/>
      <c r="H240" s="1125">
        <f t="shared" si="38"/>
        <v>0</v>
      </c>
      <c r="I240" s="748"/>
      <c r="J240" s="748">
        <f t="shared" si="39"/>
        <v>0</v>
      </c>
      <c r="K240" s="1199"/>
      <c r="L240" s="1125">
        <f t="shared" si="40"/>
        <v>0</v>
      </c>
      <c r="M240" s="1200"/>
      <c r="N240" s="1339">
        <f t="shared" si="41"/>
        <v>0</v>
      </c>
      <c r="O240" s="1340">
        <f t="shared" si="42"/>
        <v>0</v>
      </c>
      <c r="P240" s="1339">
        <f t="shared" si="43"/>
        <v>0</v>
      </c>
      <c r="Q240" s="1340">
        <f t="shared" si="44"/>
        <v>0</v>
      </c>
      <c r="R240" s="1339">
        <f t="shared" si="45"/>
        <v>0</v>
      </c>
    </row>
    <row r="241" spans="1:19" s="700" customFormat="1" ht="70.5" hidden="1" customHeight="1">
      <c r="A241" s="601"/>
      <c r="B241" s="538" t="s">
        <v>3856</v>
      </c>
      <c r="C241" s="602">
        <f>ROUND(Data!K544,2)</f>
        <v>1582.35</v>
      </c>
      <c r="D241" s="744" t="s">
        <v>1876</v>
      </c>
      <c r="E241" s="1276"/>
      <c r="F241" s="1125">
        <f t="shared" si="37"/>
        <v>0</v>
      </c>
      <c r="G241" s="1199"/>
      <c r="H241" s="1125">
        <f t="shared" si="38"/>
        <v>0</v>
      </c>
      <c r="I241" s="748"/>
      <c r="J241" s="748">
        <f t="shared" si="39"/>
        <v>0</v>
      </c>
      <c r="K241" s="1199"/>
      <c r="L241" s="1125">
        <f t="shared" si="40"/>
        <v>0</v>
      </c>
      <c r="M241" s="1200"/>
      <c r="N241" s="1339">
        <f t="shared" si="41"/>
        <v>0</v>
      </c>
      <c r="O241" s="1340">
        <f t="shared" si="42"/>
        <v>0</v>
      </c>
      <c r="P241" s="1339">
        <f t="shared" si="43"/>
        <v>0</v>
      </c>
      <c r="Q241" s="1340">
        <f t="shared" si="44"/>
        <v>0</v>
      </c>
      <c r="R241" s="1339">
        <f t="shared" si="45"/>
        <v>0</v>
      </c>
    </row>
    <row r="242" spans="1:19" s="700" customFormat="1" ht="70.5" hidden="1" customHeight="1">
      <c r="A242" s="601"/>
      <c r="B242" s="538" t="s">
        <v>3857</v>
      </c>
      <c r="C242" s="602">
        <f>ROUND(Data!K545,2)</f>
        <v>1587.32</v>
      </c>
      <c r="D242" s="744" t="s">
        <v>1876</v>
      </c>
      <c r="E242" s="1276"/>
      <c r="F242" s="1125">
        <f t="shared" si="37"/>
        <v>0</v>
      </c>
      <c r="G242" s="1199"/>
      <c r="H242" s="1125">
        <f t="shared" si="38"/>
        <v>0</v>
      </c>
      <c r="I242" s="748"/>
      <c r="J242" s="748">
        <f t="shared" si="39"/>
        <v>0</v>
      </c>
      <c r="K242" s="1199"/>
      <c r="L242" s="1125">
        <f t="shared" si="40"/>
        <v>0</v>
      </c>
      <c r="M242" s="1200"/>
      <c r="N242" s="1339">
        <f t="shared" si="41"/>
        <v>0</v>
      </c>
      <c r="O242" s="1340">
        <f t="shared" si="42"/>
        <v>0</v>
      </c>
      <c r="P242" s="1339">
        <f t="shared" si="43"/>
        <v>0</v>
      </c>
      <c r="Q242" s="1340">
        <f t="shared" si="44"/>
        <v>0</v>
      </c>
      <c r="R242" s="1339">
        <f t="shared" si="45"/>
        <v>0</v>
      </c>
    </row>
    <row r="243" spans="1:19" s="700" customFormat="1" ht="70.5" hidden="1" customHeight="1">
      <c r="A243" s="601"/>
      <c r="B243" s="538" t="s">
        <v>3858</v>
      </c>
      <c r="C243" s="602">
        <f>ROUND(Data!K546,2)</f>
        <v>1592.29</v>
      </c>
      <c r="D243" s="744" t="s">
        <v>1876</v>
      </c>
      <c r="E243" s="1276"/>
      <c r="F243" s="1125">
        <f t="shared" si="37"/>
        <v>0</v>
      </c>
      <c r="G243" s="1199"/>
      <c r="H243" s="1125">
        <f t="shared" si="38"/>
        <v>0</v>
      </c>
      <c r="I243" s="748"/>
      <c r="J243" s="748">
        <f t="shared" si="39"/>
        <v>0</v>
      </c>
      <c r="K243" s="1199"/>
      <c r="L243" s="1125">
        <f t="shared" si="40"/>
        <v>0</v>
      </c>
      <c r="M243" s="1200"/>
      <c r="N243" s="1339">
        <f t="shared" si="41"/>
        <v>0</v>
      </c>
      <c r="O243" s="1340">
        <f t="shared" si="42"/>
        <v>0</v>
      </c>
      <c r="P243" s="1339">
        <f t="shared" si="43"/>
        <v>0</v>
      </c>
      <c r="Q243" s="1340">
        <f t="shared" si="44"/>
        <v>0</v>
      </c>
      <c r="R243" s="1339">
        <f t="shared" si="45"/>
        <v>0</v>
      </c>
    </row>
    <row r="244" spans="1:19" s="601" customFormat="1" ht="70.5" hidden="1" customHeight="1">
      <c r="A244" s="1124" t="s">
        <v>1149</v>
      </c>
      <c r="B244" s="600" t="s">
        <v>198</v>
      </c>
      <c r="C244" s="743"/>
      <c r="D244" s="744"/>
      <c r="E244" s="1276"/>
      <c r="F244" s="1125">
        <f t="shared" si="37"/>
        <v>0</v>
      </c>
      <c r="G244" s="1199"/>
      <c r="H244" s="1125">
        <f t="shared" si="38"/>
        <v>0</v>
      </c>
      <c r="I244" s="748"/>
      <c r="J244" s="748">
        <f t="shared" si="39"/>
        <v>0</v>
      </c>
      <c r="K244" s="1199"/>
      <c r="L244" s="1125">
        <f t="shared" si="40"/>
        <v>0</v>
      </c>
      <c r="M244" s="1200"/>
      <c r="N244" s="1339">
        <f t="shared" si="41"/>
        <v>0</v>
      </c>
      <c r="O244" s="1340">
        <f t="shared" si="42"/>
        <v>0</v>
      </c>
      <c r="P244" s="1339">
        <f t="shared" si="43"/>
        <v>0</v>
      </c>
      <c r="Q244" s="1340">
        <f t="shared" si="44"/>
        <v>0</v>
      </c>
      <c r="R244" s="1339">
        <f t="shared" si="45"/>
        <v>0</v>
      </c>
      <c r="S244" s="1089"/>
    </row>
    <row r="245" spans="1:19" s="601" customFormat="1" ht="70.5" hidden="1" customHeight="1">
      <c r="A245" s="538"/>
      <c r="B245" s="538" t="s">
        <v>631</v>
      </c>
      <c r="C245" s="743">
        <f>ROUND(Data!K557,2)</f>
        <v>1683</v>
      </c>
      <c r="D245" s="744" t="s">
        <v>1876</v>
      </c>
      <c r="E245" s="1276"/>
      <c r="F245" s="1125">
        <f t="shared" si="37"/>
        <v>0</v>
      </c>
      <c r="G245" s="1199"/>
      <c r="H245" s="1125">
        <f t="shared" si="38"/>
        <v>0</v>
      </c>
      <c r="I245" s="748"/>
      <c r="J245" s="748">
        <f t="shared" si="39"/>
        <v>0</v>
      </c>
      <c r="K245" s="1199"/>
      <c r="L245" s="1125">
        <f t="shared" si="40"/>
        <v>0</v>
      </c>
      <c r="M245" s="1200"/>
      <c r="N245" s="1339">
        <f t="shared" si="41"/>
        <v>0</v>
      </c>
      <c r="O245" s="1340">
        <f t="shared" si="42"/>
        <v>0</v>
      </c>
      <c r="P245" s="1339">
        <f t="shared" si="43"/>
        <v>0</v>
      </c>
      <c r="Q245" s="1340">
        <f t="shared" si="44"/>
        <v>0</v>
      </c>
      <c r="R245" s="1339">
        <f t="shared" si="45"/>
        <v>0</v>
      </c>
      <c r="S245" s="1089"/>
    </row>
    <row r="246" spans="1:19" s="601" customFormat="1" ht="70.5" hidden="1" customHeight="1">
      <c r="A246" s="538"/>
      <c r="B246" s="538" t="s">
        <v>632</v>
      </c>
      <c r="C246" s="743">
        <f>ROUND(Data!K559,2)</f>
        <v>1688.05</v>
      </c>
      <c r="D246" s="744" t="s">
        <v>1876</v>
      </c>
      <c r="E246" s="1276"/>
      <c r="F246" s="1125">
        <f t="shared" si="37"/>
        <v>0</v>
      </c>
      <c r="G246" s="1199"/>
      <c r="H246" s="1125">
        <f t="shared" si="38"/>
        <v>0</v>
      </c>
      <c r="I246" s="748"/>
      <c r="J246" s="748">
        <f t="shared" si="39"/>
        <v>0</v>
      </c>
      <c r="K246" s="1199"/>
      <c r="L246" s="1125">
        <f t="shared" si="40"/>
        <v>0</v>
      </c>
      <c r="M246" s="1200"/>
      <c r="N246" s="1339">
        <f t="shared" si="41"/>
        <v>0</v>
      </c>
      <c r="O246" s="1340">
        <f t="shared" si="42"/>
        <v>0</v>
      </c>
      <c r="P246" s="1339">
        <f t="shared" si="43"/>
        <v>0</v>
      </c>
      <c r="Q246" s="1340">
        <f t="shared" si="44"/>
        <v>0</v>
      </c>
      <c r="R246" s="1339">
        <f t="shared" si="45"/>
        <v>0</v>
      </c>
      <c r="S246" s="1089"/>
    </row>
    <row r="247" spans="1:19" s="601" customFormat="1" ht="70.5" hidden="1" customHeight="1">
      <c r="A247" s="538"/>
      <c r="B247" s="538" t="s">
        <v>1270</v>
      </c>
      <c r="C247" s="743">
        <f>ROUND(Data!K560,2)</f>
        <v>1697.99</v>
      </c>
      <c r="D247" s="744" t="s">
        <v>1876</v>
      </c>
      <c r="E247" s="1276"/>
      <c r="F247" s="1125">
        <f t="shared" si="37"/>
        <v>0</v>
      </c>
      <c r="G247" s="1199"/>
      <c r="H247" s="1125">
        <f t="shared" si="38"/>
        <v>0</v>
      </c>
      <c r="I247" s="748"/>
      <c r="J247" s="748">
        <f t="shared" si="39"/>
        <v>0</v>
      </c>
      <c r="K247" s="1199"/>
      <c r="L247" s="1125">
        <f t="shared" si="40"/>
        <v>0</v>
      </c>
      <c r="M247" s="1200"/>
      <c r="N247" s="1339">
        <f t="shared" si="41"/>
        <v>0</v>
      </c>
      <c r="O247" s="1340">
        <f t="shared" si="42"/>
        <v>0</v>
      </c>
      <c r="P247" s="1339">
        <f t="shared" si="43"/>
        <v>0</v>
      </c>
      <c r="Q247" s="1340">
        <f t="shared" si="44"/>
        <v>0</v>
      </c>
      <c r="R247" s="1339">
        <f t="shared" si="45"/>
        <v>0</v>
      </c>
      <c r="S247" s="1089"/>
    </row>
    <row r="248" spans="1:19" s="601" customFormat="1" ht="70.5" hidden="1" customHeight="1">
      <c r="A248" s="538"/>
      <c r="B248" s="538" t="s">
        <v>693</v>
      </c>
      <c r="C248" s="743">
        <f>ROUND(Data!K561,2)</f>
        <v>1707.93</v>
      </c>
      <c r="D248" s="744" t="s">
        <v>1876</v>
      </c>
      <c r="E248" s="1276"/>
      <c r="F248" s="1125">
        <f t="shared" si="37"/>
        <v>0</v>
      </c>
      <c r="G248" s="1199"/>
      <c r="H248" s="1125">
        <f t="shared" si="38"/>
        <v>0</v>
      </c>
      <c r="I248" s="748"/>
      <c r="J248" s="748">
        <f t="shared" si="39"/>
        <v>0</v>
      </c>
      <c r="K248" s="1199"/>
      <c r="L248" s="1125">
        <f t="shared" si="40"/>
        <v>0</v>
      </c>
      <c r="M248" s="1200"/>
      <c r="N248" s="1339">
        <f t="shared" si="41"/>
        <v>0</v>
      </c>
      <c r="O248" s="1340">
        <f t="shared" si="42"/>
        <v>0</v>
      </c>
      <c r="P248" s="1339">
        <f t="shared" si="43"/>
        <v>0</v>
      </c>
      <c r="Q248" s="1340">
        <f t="shared" si="44"/>
        <v>0</v>
      </c>
      <c r="R248" s="1339">
        <f t="shared" si="45"/>
        <v>0</v>
      </c>
      <c r="S248" s="1089"/>
    </row>
    <row r="249" spans="1:19" s="601" customFormat="1" ht="70.5" hidden="1" customHeight="1">
      <c r="A249" s="538"/>
      <c r="B249" s="538" t="s">
        <v>694</v>
      </c>
      <c r="C249" s="743">
        <f>ROUND(Data!K562,2)</f>
        <v>1717.87</v>
      </c>
      <c r="D249" s="744" t="s">
        <v>1876</v>
      </c>
      <c r="E249" s="1276"/>
      <c r="F249" s="1125">
        <f t="shared" si="37"/>
        <v>0</v>
      </c>
      <c r="G249" s="1199"/>
      <c r="H249" s="1125">
        <f t="shared" si="38"/>
        <v>0</v>
      </c>
      <c r="I249" s="748"/>
      <c r="J249" s="748">
        <f t="shared" si="39"/>
        <v>0</v>
      </c>
      <c r="K249" s="1199"/>
      <c r="L249" s="1125">
        <f t="shared" si="40"/>
        <v>0</v>
      </c>
      <c r="M249" s="1200"/>
      <c r="N249" s="1339">
        <f t="shared" si="41"/>
        <v>0</v>
      </c>
      <c r="O249" s="1340">
        <f t="shared" si="42"/>
        <v>0</v>
      </c>
      <c r="P249" s="1339">
        <f t="shared" si="43"/>
        <v>0</v>
      </c>
      <c r="Q249" s="1340">
        <f t="shared" si="44"/>
        <v>0</v>
      </c>
      <c r="R249" s="1339">
        <f t="shared" si="45"/>
        <v>0</v>
      </c>
      <c r="S249" s="1089"/>
    </row>
    <row r="250" spans="1:19" s="700" customFormat="1" ht="70.5" hidden="1" customHeight="1">
      <c r="A250" s="601"/>
      <c r="B250" s="538" t="s">
        <v>1297</v>
      </c>
      <c r="C250" s="743">
        <f>ROUND(Data!K563,2)</f>
        <v>1727.81</v>
      </c>
      <c r="D250" s="744" t="s">
        <v>1876</v>
      </c>
      <c r="E250" s="1276"/>
      <c r="F250" s="1125">
        <f t="shared" si="37"/>
        <v>0</v>
      </c>
      <c r="G250" s="1199"/>
      <c r="H250" s="1125">
        <f t="shared" si="38"/>
        <v>0</v>
      </c>
      <c r="I250" s="748"/>
      <c r="J250" s="748">
        <f t="shared" si="39"/>
        <v>0</v>
      </c>
      <c r="K250" s="1199"/>
      <c r="L250" s="1125">
        <f t="shared" si="40"/>
        <v>0</v>
      </c>
      <c r="M250" s="1200"/>
      <c r="N250" s="1339">
        <f t="shared" si="41"/>
        <v>0</v>
      </c>
      <c r="O250" s="1340">
        <f t="shared" si="42"/>
        <v>0</v>
      </c>
      <c r="P250" s="1339">
        <f t="shared" si="43"/>
        <v>0</v>
      </c>
      <c r="Q250" s="1340">
        <f t="shared" si="44"/>
        <v>0</v>
      </c>
      <c r="R250" s="1339">
        <f t="shared" si="45"/>
        <v>0</v>
      </c>
    </row>
    <row r="251" spans="1:19" s="700" customFormat="1" ht="70.5" hidden="1" customHeight="1">
      <c r="A251" s="1105">
        <v>15.1</v>
      </c>
      <c r="B251" s="600" t="s">
        <v>1298</v>
      </c>
      <c r="C251" s="602"/>
      <c r="D251" s="744"/>
      <c r="E251" s="1276"/>
      <c r="F251" s="1125">
        <f t="shared" si="37"/>
        <v>0</v>
      </c>
      <c r="G251" s="1199"/>
      <c r="H251" s="1125">
        <f t="shared" si="38"/>
        <v>0</v>
      </c>
      <c r="I251" s="748"/>
      <c r="J251" s="748">
        <f t="shared" si="39"/>
        <v>0</v>
      </c>
      <c r="K251" s="1199"/>
      <c r="L251" s="1125">
        <f t="shared" si="40"/>
        <v>0</v>
      </c>
      <c r="M251" s="1200"/>
      <c r="N251" s="1339">
        <f t="shared" si="41"/>
        <v>0</v>
      </c>
      <c r="O251" s="1340">
        <f t="shared" si="42"/>
        <v>0</v>
      </c>
      <c r="P251" s="1339">
        <f t="shared" si="43"/>
        <v>0</v>
      </c>
      <c r="Q251" s="1340">
        <f t="shared" si="44"/>
        <v>0</v>
      </c>
      <c r="R251" s="1339">
        <f t="shared" si="45"/>
        <v>0</v>
      </c>
    </row>
    <row r="252" spans="1:19" s="700" customFormat="1" ht="70.5" hidden="1" customHeight="1">
      <c r="A252" s="1105"/>
      <c r="B252" s="538" t="s">
        <v>1276</v>
      </c>
      <c r="C252" s="602">
        <f>ROUND(Data!K590,2)</f>
        <v>563.35</v>
      </c>
      <c r="D252" s="744" t="s">
        <v>1876</v>
      </c>
      <c r="E252" s="1276"/>
      <c r="F252" s="1125">
        <f t="shared" si="37"/>
        <v>0</v>
      </c>
      <c r="G252" s="1199"/>
      <c r="H252" s="1125">
        <f t="shared" si="38"/>
        <v>0</v>
      </c>
      <c r="I252" s="748"/>
      <c r="J252" s="748">
        <f t="shared" si="39"/>
        <v>0</v>
      </c>
      <c r="K252" s="1199"/>
      <c r="L252" s="1125">
        <f t="shared" si="40"/>
        <v>0</v>
      </c>
      <c r="M252" s="1200"/>
      <c r="N252" s="1339">
        <f t="shared" si="41"/>
        <v>0</v>
      </c>
      <c r="O252" s="1340">
        <f t="shared" si="42"/>
        <v>0</v>
      </c>
      <c r="P252" s="1339">
        <f t="shared" si="43"/>
        <v>0</v>
      </c>
      <c r="Q252" s="1340">
        <f t="shared" si="44"/>
        <v>0</v>
      </c>
      <c r="R252" s="1339">
        <f t="shared" si="45"/>
        <v>0</v>
      </c>
    </row>
    <row r="253" spans="1:19" s="700" customFormat="1" ht="70.5" hidden="1" customHeight="1">
      <c r="A253" s="1105"/>
      <c r="B253" s="538" t="s">
        <v>1411</v>
      </c>
      <c r="C253" s="602">
        <f>ROUND(Data!K591,2)</f>
        <v>568.27</v>
      </c>
      <c r="D253" s="744" t="s">
        <v>1876</v>
      </c>
      <c r="E253" s="1276"/>
      <c r="F253" s="1125">
        <f t="shared" si="37"/>
        <v>0</v>
      </c>
      <c r="G253" s="1199"/>
      <c r="H253" s="1125">
        <f t="shared" si="38"/>
        <v>0</v>
      </c>
      <c r="I253" s="748"/>
      <c r="J253" s="748">
        <f t="shared" si="39"/>
        <v>0</v>
      </c>
      <c r="K253" s="1199"/>
      <c r="L253" s="1125">
        <f t="shared" si="40"/>
        <v>0</v>
      </c>
      <c r="M253" s="1200"/>
      <c r="N253" s="1339">
        <f t="shared" si="41"/>
        <v>0</v>
      </c>
      <c r="O253" s="1340">
        <f t="shared" si="42"/>
        <v>0</v>
      </c>
      <c r="P253" s="1339">
        <f t="shared" si="43"/>
        <v>0</v>
      </c>
      <c r="Q253" s="1340">
        <f t="shared" si="44"/>
        <v>0</v>
      </c>
      <c r="R253" s="1339">
        <f t="shared" si="45"/>
        <v>0</v>
      </c>
    </row>
    <row r="254" spans="1:19" s="700" customFormat="1" ht="70.5" hidden="1" customHeight="1">
      <c r="A254" s="1105"/>
      <c r="B254" s="538" t="s">
        <v>1459</v>
      </c>
      <c r="C254" s="602">
        <f>ROUND(Data!K592,2)</f>
        <v>573.19000000000005</v>
      </c>
      <c r="D254" s="744" t="s">
        <v>1876</v>
      </c>
      <c r="E254" s="1276"/>
      <c r="F254" s="1125">
        <f t="shared" si="37"/>
        <v>0</v>
      </c>
      <c r="G254" s="1199"/>
      <c r="H254" s="1125">
        <f t="shared" si="38"/>
        <v>0</v>
      </c>
      <c r="I254" s="748"/>
      <c r="J254" s="748">
        <f t="shared" si="39"/>
        <v>0</v>
      </c>
      <c r="K254" s="1199"/>
      <c r="L254" s="1125">
        <f t="shared" si="40"/>
        <v>0</v>
      </c>
      <c r="M254" s="1200"/>
      <c r="N254" s="1339">
        <f t="shared" si="41"/>
        <v>0</v>
      </c>
      <c r="O254" s="1340">
        <f t="shared" si="42"/>
        <v>0</v>
      </c>
      <c r="P254" s="1339">
        <f t="shared" si="43"/>
        <v>0</v>
      </c>
      <c r="Q254" s="1340">
        <f t="shared" si="44"/>
        <v>0</v>
      </c>
      <c r="R254" s="1339">
        <f t="shared" si="45"/>
        <v>0</v>
      </c>
    </row>
    <row r="255" spans="1:19" s="700" customFormat="1" ht="70.5" hidden="1" customHeight="1">
      <c r="A255" s="1105"/>
      <c r="B255" s="538" t="s">
        <v>1348</v>
      </c>
      <c r="C255" s="602">
        <f>ROUND(Data!K593,2)</f>
        <v>578.11</v>
      </c>
      <c r="D255" s="744" t="s">
        <v>1876</v>
      </c>
      <c r="E255" s="1276"/>
      <c r="F255" s="1125">
        <f t="shared" si="37"/>
        <v>0</v>
      </c>
      <c r="G255" s="1199"/>
      <c r="H255" s="1125">
        <f t="shared" si="38"/>
        <v>0</v>
      </c>
      <c r="I255" s="748"/>
      <c r="J255" s="748">
        <f t="shared" si="39"/>
        <v>0</v>
      </c>
      <c r="K255" s="1199"/>
      <c r="L255" s="1125">
        <f t="shared" si="40"/>
        <v>0</v>
      </c>
      <c r="M255" s="1200"/>
      <c r="N255" s="1339">
        <f t="shared" si="41"/>
        <v>0</v>
      </c>
      <c r="O255" s="1340">
        <f t="shared" si="42"/>
        <v>0</v>
      </c>
      <c r="P255" s="1339">
        <f t="shared" si="43"/>
        <v>0</v>
      </c>
      <c r="Q255" s="1340">
        <f t="shared" si="44"/>
        <v>0</v>
      </c>
      <c r="R255" s="1339">
        <f t="shared" si="45"/>
        <v>0</v>
      </c>
    </row>
    <row r="256" spans="1:19" s="700" customFormat="1" ht="70.5" hidden="1" customHeight="1">
      <c r="A256" s="1114"/>
      <c r="B256" s="538" t="s">
        <v>1099</v>
      </c>
      <c r="C256" s="602">
        <f>ROUND(Data!K594,2)</f>
        <v>583.03</v>
      </c>
      <c r="D256" s="744" t="s">
        <v>1876</v>
      </c>
      <c r="E256" s="1276"/>
      <c r="F256" s="1125">
        <f t="shared" si="37"/>
        <v>0</v>
      </c>
      <c r="G256" s="1199"/>
      <c r="H256" s="1125">
        <f t="shared" si="38"/>
        <v>0</v>
      </c>
      <c r="I256" s="748"/>
      <c r="J256" s="748">
        <f t="shared" si="39"/>
        <v>0</v>
      </c>
      <c r="K256" s="1199"/>
      <c r="L256" s="1125">
        <f t="shared" si="40"/>
        <v>0</v>
      </c>
      <c r="M256" s="1200"/>
      <c r="N256" s="1339">
        <f t="shared" si="41"/>
        <v>0</v>
      </c>
      <c r="O256" s="1340">
        <f t="shared" si="42"/>
        <v>0</v>
      </c>
      <c r="P256" s="1339">
        <f t="shared" si="43"/>
        <v>0</v>
      </c>
      <c r="Q256" s="1340">
        <f t="shared" si="44"/>
        <v>0</v>
      </c>
      <c r="R256" s="1339">
        <f t="shared" si="45"/>
        <v>0</v>
      </c>
    </row>
    <row r="257" spans="1:19" s="700" customFormat="1" ht="70.5" hidden="1" customHeight="1">
      <c r="A257" s="1105">
        <v>15.2</v>
      </c>
      <c r="B257" s="600" t="s">
        <v>2059</v>
      </c>
      <c r="C257" s="602"/>
      <c r="D257" s="744"/>
      <c r="E257" s="1276"/>
      <c r="F257" s="1125">
        <f t="shared" si="37"/>
        <v>0</v>
      </c>
      <c r="G257" s="1199"/>
      <c r="H257" s="1125">
        <f t="shared" si="38"/>
        <v>0</v>
      </c>
      <c r="I257" s="748"/>
      <c r="J257" s="748">
        <f t="shared" si="39"/>
        <v>0</v>
      </c>
      <c r="K257" s="1199"/>
      <c r="L257" s="1125">
        <f t="shared" si="40"/>
        <v>0</v>
      </c>
      <c r="M257" s="1200"/>
      <c r="N257" s="1339">
        <f t="shared" si="41"/>
        <v>0</v>
      </c>
      <c r="O257" s="1340">
        <f t="shared" si="42"/>
        <v>0</v>
      </c>
      <c r="P257" s="1339">
        <f t="shared" si="43"/>
        <v>0</v>
      </c>
      <c r="Q257" s="1340">
        <f t="shared" si="44"/>
        <v>0</v>
      </c>
      <c r="R257" s="1339">
        <f t="shared" si="45"/>
        <v>0</v>
      </c>
    </row>
    <row r="258" spans="1:19" s="700" customFormat="1" ht="70.5" hidden="1" customHeight="1">
      <c r="A258" s="538"/>
      <c r="B258" s="538" t="s">
        <v>1276</v>
      </c>
      <c r="C258" s="602">
        <f>ROUND(Data!K612,2)</f>
        <v>2142.63</v>
      </c>
      <c r="D258" s="744" t="s">
        <v>1876</v>
      </c>
      <c r="E258" s="1276"/>
      <c r="F258" s="1125">
        <f t="shared" si="37"/>
        <v>0</v>
      </c>
      <c r="G258" s="1199"/>
      <c r="H258" s="1125">
        <f t="shared" si="38"/>
        <v>0</v>
      </c>
      <c r="I258" s="748"/>
      <c r="J258" s="748">
        <f t="shared" si="39"/>
        <v>0</v>
      </c>
      <c r="K258" s="1199"/>
      <c r="L258" s="1125">
        <f t="shared" si="40"/>
        <v>0</v>
      </c>
      <c r="M258" s="1200"/>
      <c r="N258" s="1339">
        <f t="shared" si="41"/>
        <v>0</v>
      </c>
      <c r="O258" s="1340">
        <f t="shared" si="42"/>
        <v>0</v>
      </c>
      <c r="P258" s="1339">
        <f t="shared" si="43"/>
        <v>0</v>
      </c>
      <c r="Q258" s="1340">
        <f t="shared" si="44"/>
        <v>0</v>
      </c>
      <c r="R258" s="1339">
        <f t="shared" si="45"/>
        <v>0</v>
      </c>
    </row>
    <row r="259" spans="1:19" s="700" customFormat="1" ht="70.5" hidden="1" customHeight="1">
      <c r="A259" s="538"/>
      <c r="B259" s="538" t="s">
        <v>1411</v>
      </c>
      <c r="C259" s="602">
        <f>ROUND(Data!K613,2)</f>
        <v>2152.48</v>
      </c>
      <c r="D259" s="744" t="s">
        <v>1876</v>
      </c>
      <c r="E259" s="1276"/>
      <c r="F259" s="1125">
        <f t="shared" si="37"/>
        <v>0</v>
      </c>
      <c r="G259" s="1199"/>
      <c r="H259" s="1125">
        <f t="shared" si="38"/>
        <v>0</v>
      </c>
      <c r="I259" s="748"/>
      <c r="J259" s="748">
        <f t="shared" si="39"/>
        <v>0</v>
      </c>
      <c r="K259" s="1199"/>
      <c r="L259" s="1125">
        <f t="shared" si="40"/>
        <v>0</v>
      </c>
      <c r="M259" s="1200"/>
      <c r="N259" s="1339">
        <f t="shared" si="41"/>
        <v>0</v>
      </c>
      <c r="O259" s="1340">
        <f t="shared" si="42"/>
        <v>0</v>
      </c>
      <c r="P259" s="1339">
        <f t="shared" si="43"/>
        <v>0</v>
      </c>
      <c r="Q259" s="1340">
        <f t="shared" si="44"/>
        <v>0</v>
      </c>
      <c r="R259" s="1339">
        <f t="shared" si="45"/>
        <v>0</v>
      </c>
    </row>
    <row r="260" spans="1:19" s="700" customFormat="1" ht="70.5" hidden="1" customHeight="1">
      <c r="A260" s="538"/>
      <c r="B260" s="538" t="s">
        <v>1459</v>
      </c>
      <c r="C260" s="602">
        <f>ROUND(Data!K614,2)</f>
        <v>2162.33</v>
      </c>
      <c r="D260" s="744" t="s">
        <v>1876</v>
      </c>
      <c r="E260" s="1276"/>
      <c r="F260" s="1125">
        <f t="shared" si="37"/>
        <v>0</v>
      </c>
      <c r="G260" s="1199"/>
      <c r="H260" s="1125">
        <f t="shared" si="38"/>
        <v>0</v>
      </c>
      <c r="I260" s="748"/>
      <c r="J260" s="748">
        <f t="shared" si="39"/>
        <v>0</v>
      </c>
      <c r="K260" s="1199"/>
      <c r="L260" s="1125">
        <f t="shared" si="40"/>
        <v>0</v>
      </c>
      <c r="M260" s="1200"/>
      <c r="N260" s="1339">
        <f t="shared" si="41"/>
        <v>0</v>
      </c>
      <c r="O260" s="1340">
        <f t="shared" si="42"/>
        <v>0</v>
      </c>
      <c r="P260" s="1339">
        <f t="shared" si="43"/>
        <v>0</v>
      </c>
      <c r="Q260" s="1340">
        <f t="shared" si="44"/>
        <v>0</v>
      </c>
      <c r="R260" s="1339">
        <f t="shared" si="45"/>
        <v>0</v>
      </c>
    </row>
    <row r="261" spans="1:19" s="700" customFormat="1" ht="70.5" hidden="1" customHeight="1">
      <c r="A261" s="538"/>
      <c r="B261" s="538" t="s">
        <v>1348</v>
      </c>
      <c r="C261" s="602">
        <f>ROUND(Data!K615,2)</f>
        <v>2172.1799999999998</v>
      </c>
      <c r="D261" s="744" t="s">
        <v>1876</v>
      </c>
      <c r="E261" s="1276"/>
      <c r="F261" s="1125">
        <f t="shared" si="37"/>
        <v>0</v>
      </c>
      <c r="G261" s="1199"/>
      <c r="H261" s="1125">
        <f t="shared" si="38"/>
        <v>0</v>
      </c>
      <c r="I261" s="748"/>
      <c r="J261" s="748">
        <f t="shared" si="39"/>
        <v>0</v>
      </c>
      <c r="K261" s="1199"/>
      <c r="L261" s="1125">
        <f t="shared" si="40"/>
        <v>0</v>
      </c>
      <c r="M261" s="1200"/>
      <c r="N261" s="1339">
        <f t="shared" si="41"/>
        <v>0</v>
      </c>
      <c r="O261" s="1340">
        <f t="shared" si="42"/>
        <v>0</v>
      </c>
      <c r="P261" s="1339">
        <f t="shared" si="43"/>
        <v>0</v>
      </c>
      <c r="Q261" s="1340">
        <f t="shared" si="44"/>
        <v>0</v>
      </c>
      <c r="R261" s="1339">
        <f t="shared" si="45"/>
        <v>0</v>
      </c>
    </row>
    <row r="262" spans="1:19" s="700" customFormat="1" ht="70.5" hidden="1" customHeight="1">
      <c r="A262" s="601"/>
      <c r="B262" s="538" t="s">
        <v>1099</v>
      </c>
      <c r="C262" s="602">
        <f>ROUND(Data!K616,2)</f>
        <v>2182.0300000000002</v>
      </c>
      <c r="D262" s="744" t="s">
        <v>1876</v>
      </c>
      <c r="E262" s="1276"/>
      <c r="F262" s="1125">
        <f t="shared" si="37"/>
        <v>0</v>
      </c>
      <c r="G262" s="1199"/>
      <c r="H262" s="1125">
        <f t="shared" si="38"/>
        <v>0</v>
      </c>
      <c r="I262" s="748"/>
      <c r="J262" s="748">
        <f t="shared" si="39"/>
        <v>0</v>
      </c>
      <c r="K262" s="1199"/>
      <c r="L262" s="1125">
        <f t="shared" si="40"/>
        <v>0</v>
      </c>
      <c r="M262" s="1200"/>
      <c r="N262" s="1339">
        <f t="shared" si="41"/>
        <v>0</v>
      </c>
      <c r="O262" s="1340">
        <f t="shared" si="42"/>
        <v>0</v>
      </c>
      <c r="P262" s="1339">
        <f t="shared" si="43"/>
        <v>0</v>
      </c>
      <c r="Q262" s="1340">
        <f t="shared" si="44"/>
        <v>0</v>
      </c>
      <c r="R262" s="1339">
        <f t="shared" si="45"/>
        <v>0</v>
      </c>
    </row>
    <row r="263" spans="1:19" s="601" customFormat="1" ht="70.5" hidden="1" customHeight="1">
      <c r="A263" s="1105">
        <v>16.100000000000001</v>
      </c>
      <c r="B263" s="538" t="s">
        <v>4107</v>
      </c>
      <c r="C263" s="743"/>
      <c r="D263" s="744"/>
      <c r="E263" s="1276"/>
      <c r="F263" s="1125">
        <f t="shared" ref="F263:F326" si="48">E263*C263</f>
        <v>0</v>
      </c>
      <c r="G263" s="1199"/>
      <c r="H263" s="1125">
        <f t="shared" ref="H263:H326" si="49">G263*C263</f>
        <v>0</v>
      </c>
      <c r="I263" s="748"/>
      <c r="J263" s="748">
        <f t="shared" ref="J263:J326" si="50">I263*C263</f>
        <v>0</v>
      </c>
      <c r="K263" s="1199"/>
      <c r="L263" s="1125">
        <f t="shared" ref="L263:L326" si="51">K263*C263</f>
        <v>0</v>
      </c>
      <c r="M263" s="1200"/>
      <c r="N263" s="1339">
        <f t="shared" ref="N263:N326" si="52">M263*C263</f>
        <v>0</v>
      </c>
      <c r="O263" s="1340">
        <f t="shared" ref="O263:O326" si="53">G263+K263+M263</f>
        <v>0</v>
      </c>
      <c r="P263" s="1339">
        <f t="shared" ref="P263:P326" si="54">O263*C263</f>
        <v>0</v>
      </c>
      <c r="Q263" s="1340">
        <f t="shared" ref="Q263:Q326" si="55">O263+E263</f>
        <v>0</v>
      </c>
      <c r="R263" s="1339">
        <f t="shared" ref="R263:R326" si="56">Q263*C263</f>
        <v>0</v>
      </c>
      <c r="S263" s="1089"/>
    </row>
    <row r="264" spans="1:19" s="601" customFormat="1" ht="70.5" hidden="1" customHeight="1">
      <c r="A264" s="1105"/>
      <c r="B264" s="538" t="s">
        <v>204</v>
      </c>
      <c r="C264" s="743">
        <f>Data!K659</f>
        <v>3079.3</v>
      </c>
      <c r="D264" s="744" t="s">
        <v>1876</v>
      </c>
      <c r="E264" s="1276"/>
      <c r="F264" s="1125">
        <f t="shared" si="48"/>
        <v>0</v>
      </c>
      <c r="G264" s="1199"/>
      <c r="H264" s="1125">
        <f t="shared" si="49"/>
        <v>0</v>
      </c>
      <c r="I264" s="748"/>
      <c r="J264" s="748">
        <f t="shared" si="50"/>
        <v>0</v>
      </c>
      <c r="K264" s="1199"/>
      <c r="L264" s="1125">
        <f t="shared" si="51"/>
        <v>0</v>
      </c>
      <c r="M264" s="1200"/>
      <c r="N264" s="1339">
        <f t="shared" si="52"/>
        <v>0</v>
      </c>
      <c r="O264" s="1340">
        <f t="shared" si="53"/>
        <v>0</v>
      </c>
      <c r="P264" s="1339">
        <f t="shared" si="54"/>
        <v>0</v>
      </c>
      <c r="Q264" s="1340">
        <f t="shared" si="55"/>
        <v>0</v>
      </c>
      <c r="R264" s="1339">
        <f t="shared" si="56"/>
        <v>0</v>
      </c>
      <c r="S264" s="1089"/>
    </row>
    <row r="265" spans="1:19" s="601" customFormat="1" ht="70.5" hidden="1" customHeight="1">
      <c r="A265" s="1105"/>
      <c r="B265" s="538" t="s">
        <v>1411</v>
      </c>
      <c r="C265" s="743">
        <f>ROUND(Data!K660,2)</f>
        <v>3088.56</v>
      </c>
      <c r="D265" s="744" t="s">
        <v>1876</v>
      </c>
      <c r="E265" s="1276"/>
      <c r="F265" s="1125">
        <f t="shared" si="48"/>
        <v>0</v>
      </c>
      <c r="G265" s="1199"/>
      <c r="H265" s="1125">
        <f t="shared" si="49"/>
        <v>0</v>
      </c>
      <c r="I265" s="748"/>
      <c r="J265" s="748">
        <f t="shared" si="50"/>
        <v>0</v>
      </c>
      <c r="K265" s="1199"/>
      <c r="L265" s="1125">
        <f t="shared" si="51"/>
        <v>0</v>
      </c>
      <c r="M265" s="1200"/>
      <c r="N265" s="1339">
        <f t="shared" si="52"/>
        <v>0</v>
      </c>
      <c r="O265" s="1340">
        <f t="shared" si="53"/>
        <v>0</v>
      </c>
      <c r="P265" s="1339">
        <f t="shared" si="54"/>
        <v>0</v>
      </c>
      <c r="Q265" s="1340">
        <f t="shared" si="55"/>
        <v>0</v>
      </c>
      <c r="R265" s="1339">
        <f t="shared" si="56"/>
        <v>0</v>
      </c>
      <c r="S265" s="1089"/>
    </row>
    <row r="266" spans="1:19" s="601" customFormat="1" ht="70.5" hidden="1" customHeight="1">
      <c r="A266" s="1105"/>
      <c r="B266" s="538" t="s">
        <v>1459</v>
      </c>
      <c r="C266" s="743">
        <f>ROUND(Data!K661,2)</f>
        <v>3097.82</v>
      </c>
      <c r="D266" s="744" t="s">
        <v>1876</v>
      </c>
      <c r="E266" s="1276"/>
      <c r="F266" s="1125">
        <f t="shared" si="48"/>
        <v>0</v>
      </c>
      <c r="G266" s="1199"/>
      <c r="H266" s="1125">
        <f t="shared" si="49"/>
        <v>0</v>
      </c>
      <c r="I266" s="748"/>
      <c r="J266" s="748">
        <f t="shared" si="50"/>
        <v>0</v>
      </c>
      <c r="K266" s="1199"/>
      <c r="L266" s="1125">
        <f t="shared" si="51"/>
        <v>0</v>
      </c>
      <c r="M266" s="1200"/>
      <c r="N266" s="1339">
        <f t="shared" si="52"/>
        <v>0</v>
      </c>
      <c r="O266" s="1340">
        <f t="shared" si="53"/>
        <v>0</v>
      </c>
      <c r="P266" s="1339">
        <f t="shared" si="54"/>
        <v>0</v>
      </c>
      <c r="Q266" s="1340">
        <f t="shared" si="55"/>
        <v>0</v>
      </c>
      <c r="R266" s="1339">
        <f t="shared" si="56"/>
        <v>0</v>
      </c>
      <c r="S266" s="1089"/>
    </row>
    <row r="267" spans="1:19" s="601" customFormat="1" ht="70.5" hidden="1" customHeight="1">
      <c r="A267" s="1105"/>
      <c r="B267" s="538" t="s">
        <v>1348</v>
      </c>
      <c r="C267" s="743">
        <f>ROUND(Data!K662,2)</f>
        <v>3107.08</v>
      </c>
      <c r="D267" s="744" t="s">
        <v>1876</v>
      </c>
      <c r="E267" s="1276"/>
      <c r="F267" s="1125">
        <f t="shared" si="48"/>
        <v>0</v>
      </c>
      <c r="G267" s="1199"/>
      <c r="H267" s="1125">
        <f t="shared" si="49"/>
        <v>0</v>
      </c>
      <c r="I267" s="748"/>
      <c r="J267" s="748">
        <f t="shared" si="50"/>
        <v>0</v>
      </c>
      <c r="K267" s="1199"/>
      <c r="L267" s="1125">
        <f t="shared" si="51"/>
        <v>0</v>
      </c>
      <c r="M267" s="1200"/>
      <c r="N267" s="1339">
        <f t="shared" si="52"/>
        <v>0</v>
      </c>
      <c r="O267" s="1340">
        <f t="shared" si="53"/>
        <v>0</v>
      </c>
      <c r="P267" s="1339">
        <f t="shared" si="54"/>
        <v>0</v>
      </c>
      <c r="Q267" s="1340">
        <f t="shared" si="55"/>
        <v>0</v>
      </c>
      <c r="R267" s="1339">
        <f t="shared" si="56"/>
        <v>0</v>
      </c>
      <c r="S267" s="1089"/>
    </row>
    <row r="268" spans="1:19" s="601" customFormat="1" ht="70.5" hidden="1" customHeight="1">
      <c r="A268" s="1113"/>
      <c r="B268" s="538" t="s">
        <v>1099</v>
      </c>
      <c r="C268" s="743">
        <f>ROUND(Data!K663,2)</f>
        <v>3116.34</v>
      </c>
      <c r="D268" s="744" t="s">
        <v>1876</v>
      </c>
      <c r="E268" s="1276"/>
      <c r="F268" s="1125">
        <f t="shared" si="48"/>
        <v>0</v>
      </c>
      <c r="G268" s="1199"/>
      <c r="H268" s="1125">
        <f t="shared" si="49"/>
        <v>0</v>
      </c>
      <c r="I268" s="748"/>
      <c r="J268" s="748">
        <f t="shared" si="50"/>
        <v>0</v>
      </c>
      <c r="K268" s="1199"/>
      <c r="L268" s="1125">
        <f t="shared" si="51"/>
        <v>0</v>
      </c>
      <c r="M268" s="1200"/>
      <c r="N268" s="1339">
        <f t="shared" si="52"/>
        <v>0</v>
      </c>
      <c r="O268" s="1340">
        <f t="shared" si="53"/>
        <v>0</v>
      </c>
      <c r="P268" s="1339">
        <f t="shared" si="54"/>
        <v>0</v>
      </c>
      <c r="Q268" s="1340">
        <f t="shared" si="55"/>
        <v>0</v>
      </c>
      <c r="R268" s="1339">
        <f t="shared" si="56"/>
        <v>0</v>
      </c>
      <c r="S268" s="1089"/>
    </row>
    <row r="269" spans="1:19" s="700" customFormat="1" ht="70.5" hidden="1" customHeight="1">
      <c r="A269" s="1105">
        <v>16.2</v>
      </c>
      <c r="B269" s="538" t="s">
        <v>1271</v>
      </c>
      <c r="C269" s="602"/>
      <c r="D269" s="744"/>
      <c r="E269" s="1276"/>
      <c r="F269" s="1125">
        <f t="shared" si="48"/>
        <v>0</v>
      </c>
      <c r="G269" s="1199"/>
      <c r="H269" s="1125">
        <f t="shared" si="49"/>
        <v>0</v>
      </c>
      <c r="I269" s="748"/>
      <c r="J269" s="748">
        <f t="shared" si="50"/>
        <v>0</v>
      </c>
      <c r="K269" s="1199"/>
      <c r="L269" s="1125">
        <f t="shared" si="51"/>
        <v>0</v>
      </c>
      <c r="M269" s="1200"/>
      <c r="N269" s="1339">
        <f t="shared" si="52"/>
        <v>0</v>
      </c>
      <c r="O269" s="1340">
        <f t="shared" si="53"/>
        <v>0</v>
      </c>
      <c r="P269" s="1339">
        <f t="shared" si="54"/>
        <v>0</v>
      </c>
      <c r="Q269" s="1340">
        <f t="shared" si="55"/>
        <v>0</v>
      </c>
      <c r="R269" s="1339">
        <f t="shared" si="56"/>
        <v>0</v>
      </c>
    </row>
    <row r="270" spans="1:19" s="700" customFormat="1" ht="70.5" hidden="1" customHeight="1">
      <c r="A270" s="538"/>
      <c r="B270" s="538" t="s">
        <v>204</v>
      </c>
      <c r="C270" s="602">
        <f>ROUND(Data!K686,2)</f>
        <v>484.11</v>
      </c>
      <c r="D270" s="744" t="s">
        <v>1876</v>
      </c>
      <c r="E270" s="1276"/>
      <c r="F270" s="1125">
        <f t="shared" si="48"/>
        <v>0</v>
      </c>
      <c r="G270" s="1199"/>
      <c r="H270" s="1125">
        <f t="shared" si="49"/>
        <v>0</v>
      </c>
      <c r="I270" s="748"/>
      <c r="J270" s="748">
        <f t="shared" si="50"/>
        <v>0</v>
      </c>
      <c r="K270" s="1199"/>
      <c r="L270" s="1125">
        <f t="shared" si="51"/>
        <v>0</v>
      </c>
      <c r="M270" s="1200"/>
      <c r="N270" s="1339">
        <f t="shared" si="52"/>
        <v>0</v>
      </c>
      <c r="O270" s="1340">
        <f t="shared" si="53"/>
        <v>0</v>
      </c>
      <c r="P270" s="1339">
        <f t="shared" si="54"/>
        <v>0</v>
      </c>
      <c r="Q270" s="1340">
        <f t="shared" si="55"/>
        <v>0</v>
      </c>
      <c r="R270" s="1339">
        <f t="shared" si="56"/>
        <v>0</v>
      </c>
    </row>
    <row r="271" spans="1:19" s="700" customFormat="1" ht="70.5" hidden="1" customHeight="1">
      <c r="A271" s="538"/>
      <c r="B271" s="538" t="s">
        <v>205</v>
      </c>
      <c r="C271" s="602">
        <f>ROUND(Data!K687,2)</f>
        <v>492.41</v>
      </c>
      <c r="D271" s="744" t="s">
        <v>1876</v>
      </c>
      <c r="E271" s="1276"/>
      <c r="F271" s="1125">
        <f t="shared" si="48"/>
        <v>0</v>
      </c>
      <c r="G271" s="1199"/>
      <c r="H271" s="1125">
        <f t="shared" si="49"/>
        <v>0</v>
      </c>
      <c r="I271" s="748"/>
      <c r="J271" s="748">
        <f t="shared" si="50"/>
        <v>0</v>
      </c>
      <c r="K271" s="1199"/>
      <c r="L271" s="1125">
        <f t="shared" si="51"/>
        <v>0</v>
      </c>
      <c r="M271" s="1200"/>
      <c r="N271" s="1339">
        <f t="shared" si="52"/>
        <v>0</v>
      </c>
      <c r="O271" s="1340">
        <f t="shared" si="53"/>
        <v>0</v>
      </c>
      <c r="P271" s="1339">
        <f t="shared" si="54"/>
        <v>0</v>
      </c>
      <c r="Q271" s="1340">
        <f t="shared" si="55"/>
        <v>0</v>
      </c>
      <c r="R271" s="1339">
        <f t="shared" si="56"/>
        <v>0</v>
      </c>
    </row>
    <row r="272" spans="1:19" s="700" customFormat="1" ht="70.5" hidden="1" customHeight="1">
      <c r="A272" s="538"/>
      <c r="B272" s="538" t="s">
        <v>206</v>
      </c>
      <c r="C272" s="602">
        <f>ROUND(Data!K688,2)</f>
        <v>500.71</v>
      </c>
      <c r="D272" s="744" t="s">
        <v>1876</v>
      </c>
      <c r="E272" s="1276"/>
      <c r="F272" s="1125">
        <f t="shared" si="48"/>
        <v>0</v>
      </c>
      <c r="G272" s="1199"/>
      <c r="H272" s="1125">
        <f t="shared" si="49"/>
        <v>0</v>
      </c>
      <c r="I272" s="748"/>
      <c r="J272" s="748">
        <f t="shared" si="50"/>
        <v>0</v>
      </c>
      <c r="K272" s="1199"/>
      <c r="L272" s="1125">
        <f t="shared" si="51"/>
        <v>0</v>
      </c>
      <c r="M272" s="1200"/>
      <c r="N272" s="1339">
        <f t="shared" si="52"/>
        <v>0</v>
      </c>
      <c r="O272" s="1340">
        <f t="shared" si="53"/>
        <v>0</v>
      </c>
      <c r="P272" s="1339">
        <f t="shared" si="54"/>
        <v>0</v>
      </c>
      <c r="Q272" s="1340">
        <f t="shared" si="55"/>
        <v>0</v>
      </c>
      <c r="R272" s="1339">
        <f t="shared" si="56"/>
        <v>0</v>
      </c>
    </row>
    <row r="273" spans="1:18" s="700" customFormat="1" ht="70.5" hidden="1" customHeight="1">
      <c r="A273" s="538"/>
      <c r="B273" s="538" t="s">
        <v>207</v>
      </c>
      <c r="C273" s="602">
        <f>ROUND(Data!K689,2)</f>
        <v>509.01</v>
      </c>
      <c r="D273" s="744" t="s">
        <v>1876</v>
      </c>
      <c r="E273" s="1276"/>
      <c r="F273" s="1125">
        <f t="shared" si="48"/>
        <v>0</v>
      </c>
      <c r="G273" s="1199"/>
      <c r="H273" s="1125">
        <f t="shared" si="49"/>
        <v>0</v>
      </c>
      <c r="I273" s="748"/>
      <c r="J273" s="748">
        <f t="shared" si="50"/>
        <v>0</v>
      </c>
      <c r="K273" s="1199"/>
      <c r="L273" s="1125">
        <f t="shared" si="51"/>
        <v>0</v>
      </c>
      <c r="M273" s="1200"/>
      <c r="N273" s="1339">
        <f t="shared" si="52"/>
        <v>0</v>
      </c>
      <c r="O273" s="1340">
        <f t="shared" si="53"/>
        <v>0</v>
      </c>
      <c r="P273" s="1339">
        <f t="shared" si="54"/>
        <v>0</v>
      </c>
      <c r="Q273" s="1340">
        <f t="shared" si="55"/>
        <v>0</v>
      </c>
      <c r="R273" s="1339">
        <f t="shared" si="56"/>
        <v>0</v>
      </c>
    </row>
    <row r="274" spans="1:18" s="700" customFormat="1" ht="70.5" hidden="1" customHeight="1">
      <c r="A274" s="601"/>
      <c r="B274" s="538" t="s">
        <v>618</v>
      </c>
      <c r="C274" s="602">
        <f>ROUND(Data!K690,2)</f>
        <v>517.30999999999995</v>
      </c>
      <c r="D274" s="744" t="s">
        <v>1876</v>
      </c>
      <c r="E274" s="1276"/>
      <c r="F274" s="1125">
        <f t="shared" si="48"/>
        <v>0</v>
      </c>
      <c r="G274" s="1199"/>
      <c r="H274" s="1125">
        <f t="shared" si="49"/>
        <v>0</v>
      </c>
      <c r="I274" s="748"/>
      <c r="J274" s="748">
        <f t="shared" si="50"/>
        <v>0</v>
      </c>
      <c r="K274" s="1199"/>
      <c r="L274" s="1125">
        <f t="shared" si="51"/>
        <v>0</v>
      </c>
      <c r="M274" s="1200"/>
      <c r="N274" s="1339">
        <f t="shared" si="52"/>
        <v>0</v>
      </c>
      <c r="O274" s="1340">
        <f t="shared" si="53"/>
        <v>0</v>
      </c>
      <c r="P274" s="1339">
        <f t="shared" si="54"/>
        <v>0</v>
      </c>
      <c r="Q274" s="1340">
        <f t="shared" si="55"/>
        <v>0</v>
      </c>
      <c r="R274" s="1339">
        <f t="shared" si="56"/>
        <v>0</v>
      </c>
    </row>
    <row r="275" spans="1:18" s="700" customFormat="1" ht="70.5" hidden="1" customHeight="1">
      <c r="A275" s="1105">
        <v>16.3</v>
      </c>
      <c r="B275" s="538" t="s">
        <v>348</v>
      </c>
      <c r="C275" s="602"/>
      <c r="D275" s="744"/>
      <c r="E275" s="1276"/>
      <c r="F275" s="1125">
        <f t="shared" si="48"/>
        <v>0</v>
      </c>
      <c r="G275" s="1199"/>
      <c r="H275" s="1125">
        <f t="shared" si="49"/>
        <v>0</v>
      </c>
      <c r="I275" s="748"/>
      <c r="J275" s="748">
        <f t="shared" si="50"/>
        <v>0</v>
      </c>
      <c r="K275" s="1199"/>
      <c r="L275" s="1125">
        <f t="shared" si="51"/>
        <v>0</v>
      </c>
      <c r="M275" s="1200"/>
      <c r="N275" s="1339">
        <f t="shared" si="52"/>
        <v>0</v>
      </c>
      <c r="O275" s="1340">
        <f t="shared" si="53"/>
        <v>0</v>
      </c>
      <c r="P275" s="1339">
        <f t="shared" si="54"/>
        <v>0</v>
      </c>
      <c r="Q275" s="1340">
        <f t="shared" si="55"/>
        <v>0</v>
      </c>
      <c r="R275" s="1339">
        <f t="shared" si="56"/>
        <v>0</v>
      </c>
    </row>
    <row r="276" spans="1:18" s="700" customFormat="1" ht="70.5" hidden="1" customHeight="1">
      <c r="A276" s="1105"/>
      <c r="B276" s="538" t="s">
        <v>204</v>
      </c>
      <c r="C276" s="602">
        <f>ROUND(Data!K706,2)</f>
        <v>659.05</v>
      </c>
      <c r="D276" s="744" t="s">
        <v>1876</v>
      </c>
      <c r="E276" s="1276"/>
      <c r="F276" s="1125">
        <f t="shared" si="48"/>
        <v>0</v>
      </c>
      <c r="G276" s="1199"/>
      <c r="H276" s="1125">
        <f t="shared" si="49"/>
        <v>0</v>
      </c>
      <c r="I276" s="748"/>
      <c r="J276" s="748">
        <f t="shared" si="50"/>
        <v>0</v>
      </c>
      <c r="K276" s="1199"/>
      <c r="L276" s="1125">
        <f t="shared" si="51"/>
        <v>0</v>
      </c>
      <c r="M276" s="1200"/>
      <c r="N276" s="1339">
        <f t="shared" si="52"/>
        <v>0</v>
      </c>
      <c r="O276" s="1340">
        <f t="shared" si="53"/>
        <v>0</v>
      </c>
      <c r="P276" s="1339">
        <f t="shared" si="54"/>
        <v>0</v>
      </c>
      <c r="Q276" s="1340">
        <f t="shared" si="55"/>
        <v>0</v>
      </c>
      <c r="R276" s="1339">
        <f t="shared" si="56"/>
        <v>0</v>
      </c>
    </row>
    <row r="277" spans="1:18" s="700" customFormat="1" ht="70.5" hidden="1" customHeight="1">
      <c r="A277" s="1105"/>
      <c r="B277" s="538" t="s">
        <v>205</v>
      </c>
      <c r="C277" s="602">
        <f>ROUND(Data!K707,2)</f>
        <v>677.31</v>
      </c>
      <c r="D277" s="744" t="s">
        <v>1876</v>
      </c>
      <c r="E277" s="1276"/>
      <c r="F277" s="1125">
        <f t="shared" si="48"/>
        <v>0</v>
      </c>
      <c r="G277" s="1199"/>
      <c r="H277" s="1125">
        <f t="shared" si="49"/>
        <v>0</v>
      </c>
      <c r="I277" s="748"/>
      <c r="J277" s="748">
        <f t="shared" si="50"/>
        <v>0</v>
      </c>
      <c r="K277" s="1199"/>
      <c r="L277" s="1125">
        <f t="shared" si="51"/>
        <v>0</v>
      </c>
      <c r="M277" s="1200"/>
      <c r="N277" s="1339">
        <f t="shared" si="52"/>
        <v>0</v>
      </c>
      <c r="O277" s="1340">
        <f t="shared" si="53"/>
        <v>0</v>
      </c>
      <c r="P277" s="1339">
        <f t="shared" si="54"/>
        <v>0</v>
      </c>
      <c r="Q277" s="1340">
        <f t="shared" si="55"/>
        <v>0</v>
      </c>
      <c r="R277" s="1339">
        <f t="shared" si="56"/>
        <v>0</v>
      </c>
    </row>
    <row r="278" spans="1:18" s="700" customFormat="1" ht="70.5" hidden="1" customHeight="1">
      <c r="A278" s="1105"/>
      <c r="B278" s="538" t="s">
        <v>206</v>
      </c>
      <c r="C278" s="602">
        <f>ROUND(Data!K708,2)</f>
        <v>695.57</v>
      </c>
      <c r="D278" s="744" t="s">
        <v>1876</v>
      </c>
      <c r="E278" s="1276"/>
      <c r="F278" s="1125">
        <f t="shared" si="48"/>
        <v>0</v>
      </c>
      <c r="G278" s="1199"/>
      <c r="H278" s="1125">
        <f t="shared" si="49"/>
        <v>0</v>
      </c>
      <c r="I278" s="748"/>
      <c r="J278" s="748">
        <f t="shared" si="50"/>
        <v>0</v>
      </c>
      <c r="K278" s="1199"/>
      <c r="L278" s="1125">
        <f t="shared" si="51"/>
        <v>0</v>
      </c>
      <c r="M278" s="1200"/>
      <c r="N278" s="1339">
        <f t="shared" si="52"/>
        <v>0</v>
      </c>
      <c r="O278" s="1340">
        <f t="shared" si="53"/>
        <v>0</v>
      </c>
      <c r="P278" s="1339">
        <f t="shared" si="54"/>
        <v>0</v>
      </c>
      <c r="Q278" s="1340">
        <f t="shared" si="55"/>
        <v>0</v>
      </c>
      <c r="R278" s="1339">
        <f t="shared" si="56"/>
        <v>0</v>
      </c>
    </row>
    <row r="279" spans="1:18" s="700" customFormat="1" ht="70.5" hidden="1" customHeight="1">
      <c r="A279" s="538"/>
      <c r="B279" s="538" t="s">
        <v>207</v>
      </c>
      <c r="C279" s="602">
        <f>ROUND(Data!K709,2)</f>
        <v>713.83</v>
      </c>
      <c r="D279" s="744" t="s">
        <v>1876</v>
      </c>
      <c r="E279" s="1276"/>
      <c r="F279" s="1125">
        <f t="shared" si="48"/>
        <v>0</v>
      </c>
      <c r="G279" s="1199"/>
      <c r="H279" s="1125">
        <f t="shared" si="49"/>
        <v>0</v>
      </c>
      <c r="I279" s="748"/>
      <c r="J279" s="748">
        <f t="shared" si="50"/>
        <v>0</v>
      </c>
      <c r="K279" s="1199"/>
      <c r="L279" s="1125">
        <f t="shared" si="51"/>
        <v>0</v>
      </c>
      <c r="M279" s="1200"/>
      <c r="N279" s="1339">
        <f t="shared" si="52"/>
        <v>0</v>
      </c>
      <c r="O279" s="1340">
        <f t="shared" si="53"/>
        <v>0</v>
      </c>
      <c r="P279" s="1339">
        <f t="shared" si="54"/>
        <v>0</v>
      </c>
      <c r="Q279" s="1340">
        <f t="shared" si="55"/>
        <v>0</v>
      </c>
      <c r="R279" s="1339">
        <f t="shared" si="56"/>
        <v>0</v>
      </c>
    </row>
    <row r="280" spans="1:18" s="700" customFormat="1" ht="70.5" hidden="1" customHeight="1">
      <c r="A280" s="601"/>
      <c r="B280" s="538" t="s">
        <v>618</v>
      </c>
      <c r="C280" s="602">
        <f>ROUND(Data!K710,2)</f>
        <v>732.09</v>
      </c>
      <c r="D280" s="744" t="s">
        <v>1876</v>
      </c>
      <c r="E280" s="1276"/>
      <c r="F280" s="1125">
        <f t="shared" si="48"/>
        <v>0</v>
      </c>
      <c r="G280" s="1199"/>
      <c r="H280" s="1125">
        <f t="shared" si="49"/>
        <v>0</v>
      </c>
      <c r="I280" s="748"/>
      <c r="J280" s="748">
        <f t="shared" si="50"/>
        <v>0</v>
      </c>
      <c r="K280" s="1199"/>
      <c r="L280" s="1125">
        <f t="shared" si="51"/>
        <v>0</v>
      </c>
      <c r="M280" s="1200"/>
      <c r="N280" s="1339">
        <f t="shared" si="52"/>
        <v>0</v>
      </c>
      <c r="O280" s="1340">
        <f t="shared" si="53"/>
        <v>0</v>
      </c>
      <c r="P280" s="1339">
        <f t="shared" si="54"/>
        <v>0</v>
      </c>
      <c r="Q280" s="1340">
        <f t="shared" si="55"/>
        <v>0</v>
      </c>
      <c r="R280" s="1339">
        <f t="shared" si="56"/>
        <v>0</v>
      </c>
    </row>
    <row r="281" spans="1:18" s="700" customFormat="1" ht="70.5" hidden="1" customHeight="1">
      <c r="A281" s="1105">
        <v>17</v>
      </c>
      <c r="B281" s="538" t="s">
        <v>4108</v>
      </c>
      <c r="C281" s="602"/>
      <c r="D281" s="744" t="s">
        <v>1876</v>
      </c>
      <c r="E281" s="1276"/>
      <c r="F281" s="1125">
        <f t="shared" si="48"/>
        <v>0</v>
      </c>
      <c r="G281" s="1199"/>
      <c r="H281" s="1125">
        <f t="shared" si="49"/>
        <v>0</v>
      </c>
      <c r="I281" s="748"/>
      <c r="J281" s="748">
        <f t="shared" si="50"/>
        <v>0</v>
      </c>
      <c r="K281" s="1199"/>
      <c r="L281" s="1125">
        <f t="shared" si="51"/>
        <v>0</v>
      </c>
      <c r="M281" s="1200"/>
      <c r="N281" s="1339">
        <f t="shared" si="52"/>
        <v>0</v>
      </c>
      <c r="O281" s="1340">
        <f t="shared" si="53"/>
        <v>0</v>
      </c>
      <c r="P281" s="1339">
        <f t="shared" si="54"/>
        <v>0</v>
      </c>
      <c r="Q281" s="1340">
        <f t="shared" si="55"/>
        <v>0</v>
      </c>
      <c r="R281" s="1339">
        <f t="shared" si="56"/>
        <v>0</v>
      </c>
    </row>
    <row r="282" spans="1:18" s="700" customFormat="1" ht="70.5" hidden="1" customHeight="1">
      <c r="A282" s="1105">
        <v>18</v>
      </c>
      <c r="B282" s="538" t="s">
        <v>4109</v>
      </c>
      <c r="C282" s="602"/>
      <c r="D282" s="744" t="s">
        <v>1876</v>
      </c>
      <c r="E282" s="1276"/>
      <c r="F282" s="1125">
        <f t="shared" si="48"/>
        <v>0</v>
      </c>
      <c r="G282" s="1199"/>
      <c r="H282" s="1125">
        <f t="shared" si="49"/>
        <v>0</v>
      </c>
      <c r="I282" s="748"/>
      <c r="J282" s="748">
        <f t="shared" si="50"/>
        <v>0</v>
      </c>
      <c r="K282" s="1199"/>
      <c r="L282" s="1125">
        <f t="shared" si="51"/>
        <v>0</v>
      </c>
      <c r="M282" s="1200"/>
      <c r="N282" s="1339">
        <f t="shared" si="52"/>
        <v>0</v>
      </c>
      <c r="O282" s="1340">
        <f t="shared" si="53"/>
        <v>0</v>
      </c>
      <c r="P282" s="1339">
        <f t="shared" si="54"/>
        <v>0</v>
      </c>
      <c r="Q282" s="1340">
        <f t="shared" si="55"/>
        <v>0</v>
      </c>
      <c r="R282" s="1339">
        <f t="shared" si="56"/>
        <v>0</v>
      </c>
    </row>
    <row r="283" spans="1:18" s="700" customFormat="1" ht="70.5" hidden="1" customHeight="1">
      <c r="A283" s="1105">
        <v>19</v>
      </c>
      <c r="B283" s="538" t="s">
        <v>4110</v>
      </c>
      <c r="C283" s="602"/>
      <c r="D283" s="744" t="s">
        <v>1876</v>
      </c>
      <c r="E283" s="1276"/>
      <c r="F283" s="1125">
        <f t="shared" si="48"/>
        <v>0</v>
      </c>
      <c r="G283" s="1199"/>
      <c r="H283" s="1125">
        <f t="shared" si="49"/>
        <v>0</v>
      </c>
      <c r="I283" s="748"/>
      <c r="J283" s="748">
        <f t="shared" si="50"/>
        <v>0</v>
      </c>
      <c r="K283" s="1199"/>
      <c r="L283" s="1125">
        <f t="shared" si="51"/>
        <v>0</v>
      </c>
      <c r="M283" s="1200"/>
      <c r="N283" s="1339">
        <f t="shared" si="52"/>
        <v>0</v>
      </c>
      <c r="O283" s="1340">
        <f t="shared" si="53"/>
        <v>0</v>
      </c>
      <c r="P283" s="1339">
        <f t="shared" si="54"/>
        <v>0</v>
      </c>
      <c r="Q283" s="1340">
        <f t="shared" si="55"/>
        <v>0</v>
      </c>
      <c r="R283" s="1339">
        <f t="shared" si="56"/>
        <v>0</v>
      </c>
    </row>
    <row r="284" spans="1:18" s="700" customFormat="1" ht="70.5" hidden="1" customHeight="1">
      <c r="A284" s="1105">
        <v>20</v>
      </c>
      <c r="B284" s="538" t="s">
        <v>1613</v>
      </c>
      <c r="C284" s="602"/>
      <c r="D284" s="744" t="s">
        <v>1876</v>
      </c>
      <c r="E284" s="1276"/>
      <c r="F284" s="1125">
        <f t="shared" si="48"/>
        <v>0</v>
      </c>
      <c r="G284" s="1199"/>
      <c r="H284" s="1125">
        <f t="shared" si="49"/>
        <v>0</v>
      </c>
      <c r="I284" s="748"/>
      <c r="J284" s="748">
        <f t="shared" si="50"/>
        <v>0</v>
      </c>
      <c r="K284" s="1199"/>
      <c r="L284" s="1125">
        <f t="shared" si="51"/>
        <v>0</v>
      </c>
      <c r="M284" s="1200"/>
      <c r="N284" s="1339">
        <f t="shared" si="52"/>
        <v>0</v>
      </c>
      <c r="O284" s="1340">
        <f t="shared" si="53"/>
        <v>0</v>
      </c>
      <c r="P284" s="1339">
        <f t="shared" si="54"/>
        <v>0</v>
      </c>
      <c r="Q284" s="1340">
        <f t="shared" si="55"/>
        <v>0</v>
      </c>
      <c r="R284" s="1339">
        <f t="shared" si="56"/>
        <v>0</v>
      </c>
    </row>
    <row r="285" spans="1:18" s="700" customFormat="1" ht="70.5" hidden="1" customHeight="1">
      <c r="A285" s="1105">
        <v>21.1</v>
      </c>
      <c r="B285" s="600" t="s">
        <v>1860</v>
      </c>
      <c r="C285" s="602"/>
      <c r="D285" s="744"/>
      <c r="E285" s="1276"/>
      <c r="F285" s="1125">
        <f t="shared" si="48"/>
        <v>0</v>
      </c>
      <c r="G285" s="1199"/>
      <c r="H285" s="1125">
        <f t="shared" si="49"/>
        <v>0</v>
      </c>
      <c r="I285" s="748"/>
      <c r="J285" s="748">
        <f t="shared" si="50"/>
        <v>0</v>
      </c>
      <c r="K285" s="1199"/>
      <c r="L285" s="1125">
        <f t="shared" si="51"/>
        <v>0</v>
      </c>
      <c r="M285" s="1200"/>
      <c r="N285" s="1339">
        <f t="shared" si="52"/>
        <v>0</v>
      </c>
      <c r="O285" s="1340">
        <f t="shared" si="53"/>
        <v>0</v>
      </c>
      <c r="P285" s="1339">
        <f t="shared" si="54"/>
        <v>0</v>
      </c>
      <c r="Q285" s="1340">
        <f t="shared" si="55"/>
        <v>0</v>
      </c>
      <c r="R285" s="1339">
        <f t="shared" si="56"/>
        <v>0</v>
      </c>
    </row>
    <row r="286" spans="1:18" s="700" customFormat="1" ht="70.5" hidden="1" customHeight="1">
      <c r="A286" s="1105"/>
      <c r="B286" s="538" t="s">
        <v>583</v>
      </c>
      <c r="C286" s="602">
        <f>ROUND(Data!K889,2)</f>
        <v>2883.15</v>
      </c>
      <c r="D286" s="744" t="s">
        <v>1423</v>
      </c>
      <c r="E286" s="1276"/>
      <c r="F286" s="1125">
        <f t="shared" si="48"/>
        <v>0</v>
      </c>
      <c r="G286" s="1199"/>
      <c r="H286" s="1125">
        <f t="shared" si="49"/>
        <v>0</v>
      </c>
      <c r="I286" s="748"/>
      <c r="J286" s="748">
        <f t="shared" si="50"/>
        <v>0</v>
      </c>
      <c r="K286" s="1199"/>
      <c r="L286" s="1125">
        <f t="shared" si="51"/>
        <v>0</v>
      </c>
      <c r="M286" s="1200"/>
      <c r="N286" s="1339">
        <f t="shared" si="52"/>
        <v>0</v>
      </c>
      <c r="O286" s="1340">
        <f t="shared" si="53"/>
        <v>0</v>
      </c>
      <c r="P286" s="1339">
        <f t="shared" si="54"/>
        <v>0</v>
      </c>
      <c r="Q286" s="1340">
        <f t="shared" si="55"/>
        <v>0</v>
      </c>
      <c r="R286" s="1339">
        <f t="shared" si="56"/>
        <v>0</v>
      </c>
    </row>
    <row r="287" spans="1:18" s="700" customFormat="1" ht="70.5" hidden="1" customHeight="1">
      <c r="A287" s="1105"/>
      <c r="B287" s="538" t="s">
        <v>1938</v>
      </c>
      <c r="C287" s="602">
        <f>ROUND(Data!K905,2)</f>
        <v>0</v>
      </c>
      <c r="D287" s="744" t="s">
        <v>1423</v>
      </c>
      <c r="E287" s="1276"/>
      <c r="F287" s="1125">
        <f t="shared" si="48"/>
        <v>0</v>
      </c>
      <c r="G287" s="1199"/>
      <c r="H287" s="1125">
        <f t="shared" si="49"/>
        <v>0</v>
      </c>
      <c r="I287" s="748"/>
      <c r="J287" s="748">
        <f t="shared" si="50"/>
        <v>0</v>
      </c>
      <c r="K287" s="1199"/>
      <c r="L287" s="1125">
        <f t="shared" si="51"/>
        <v>0</v>
      </c>
      <c r="M287" s="1200"/>
      <c r="N287" s="1339">
        <f t="shared" si="52"/>
        <v>0</v>
      </c>
      <c r="O287" s="1340">
        <f t="shared" si="53"/>
        <v>0</v>
      </c>
      <c r="P287" s="1339">
        <f t="shared" si="54"/>
        <v>0</v>
      </c>
      <c r="Q287" s="1340">
        <f t="shared" si="55"/>
        <v>0</v>
      </c>
      <c r="R287" s="1339">
        <f t="shared" si="56"/>
        <v>0</v>
      </c>
    </row>
    <row r="288" spans="1:18" s="700" customFormat="1" ht="70.5" hidden="1" customHeight="1">
      <c r="A288" s="1114"/>
      <c r="B288" s="538" t="s">
        <v>1939</v>
      </c>
      <c r="C288" s="602">
        <f>ROUND(Data!K871,2)</f>
        <v>2905.94</v>
      </c>
      <c r="D288" s="744" t="s">
        <v>1423</v>
      </c>
      <c r="E288" s="1276"/>
      <c r="F288" s="1125">
        <f t="shared" si="48"/>
        <v>0</v>
      </c>
      <c r="G288" s="1199"/>
      <c r="H288" s="1125">
        <f t="shared" si="49"/>
        <v>0</v>
      </c>
      <c r="I288" s="748"/>
      <c r="J288" s="748">
        <f t="shared" si="50"/>
        <v>0</v>
      </c>
      <c r="K288" s="1199"/>
      <c r="L288" s="1125">
        <f t="shared" si="51"/>
        <v>0</v>
      </c>
      <c r="M288" s="1200"/>
      <c r="N288" s="1339">
        <f t="shared" si="52"/>
        <v>0</v>
      </c>
      <c r="O288" s="1340">
        <f t="shared" si="53"/>
        <v>0</v>
      </c>
      <c r="P288" s="1339">
        <f t="shared" si="54"/>
        <v>0</v>
      </c>
      <c r="Q288" s="1340">
        <f t="shared" si="55"/>
        <v>0</v>
      </c>
      <c r="R288" s="1339">
        <f t="shared" si="56"/>
        <v>0</v>
      </c>
    </row>
    <row r="289" spans="1:20" ht="52.5" customHeight="1">
      <c r="A289" s="1486">
        <v>21.2</v>
      </c>
      <c r="B289" s="1344" t="s">
        <v>2094</v>
      </c>
      <c r="C289" s="1111"/>
      <c r="D289" s="1110"/>
      <c r="E289" s="1109"/>
      <c r="F289" s="1125">
        <f t="shared" si="48"/>
        <v>0</v>
      </c>
      <c r="G289" s="1335"/>
      <c r="H289" s="1125">
        <f t="shared" si="49"/>
        <v>0</v>
      </c>
      <c r="I289" s="1312"/>
      <c r="J289" s="1406">
        <f t="shared" si="50"/>
        <v>0</v>
      </c>
      <c r="K289" s="1335"/>
      <c r="L289" s="1125">
        <f t="shared" si="51"/>
        <v>0</v>
      </c>
      <c r="M289" s="1340"/>
      <c r="N289" s="1339">
        <f t="shared" si="52"/>
        <v>0</v>
      </c>
      <c r="O289" s="1340">
        <f t="shared" si="53"/>
        <v>0</v>
      </c>
      <c r="P289" s="1339">
        <f t="shared" si="54"/>
        <v>0</v>
      </c>
      <c r="Q289" s="1341" t="s">
        <v>2290</v>
      </c>
      <c r="R289" s="1339"/>
      <c r="S289" s="1322">
        <f t="shared" ref="S289:S291" si="57">F289+P289</f>
        <v>0</v>
      </c>
      <c r="T289" s="1322">
        <f t="shared" ref="T289:T291" si="58">S289-R289</f>
        <v>0</v>
      </c>
    </row>
    <row r="290" spans="1:20" ht="52.5" customHeight="1">
      <c r="A290" s="1486"/>
      <c r="B290" s="1198" t="s">
        <v>1817</v>
      </c>
      <c r="C290" s="1111">
        <f>ROUND(Data!K923,2)</f>
        <v>125878</v>
      </c>
      <c r="D290" s="1110" t="s">
        <v>1219</v>
      </c>
      <c r="E290" s="1336">
        <v>0.104</v>
      </c>
      <c r="F290" s="1125">
        <f t="shared" si="48"/>
        <v>13091.31</v>
      </c>
      <c r="G290" s="1335"/>
      <c r="H290" s="1125">
        <f t="shared" si="49"/>
        <v>0</v>
      </c>
      <c r="I290" s="1312"/>
      <c r="J290" s="1406">
        <f t="shared" si="50"/>
        <v>0</v>
      </c>
      <c r="K290" s="1335"/>
      <c r="L290" s="1125">
        <f t="shared" si="51"/>
        <v>0</v>
      </c>
      <c r="M290" s="1340"/>
      <c r="N290" s="1339">
        <f t="shared" si="52"/>
        <v>0</v>
      </c>
      <c r="O290" s="1340">
        <f t="shared" si="53"/>
        <v>0</v>
      </c>
      <c r="P290" s="1339">
        <f t="shared" si="54"/>
        <v>0</v>
      </c>
      <c r="Q290" s="1340">
        <f t="shared" si="55"/>
        <v>0.104</v>
      </c>
      <c r="R290" s="1339">
        <f t="shared" si="56"/>
        <v>13091.31</v>
      </c>
      <c r="S290" s="1322">
        <f t="shared" si="57"/>
        <v>13091.31</v>
      </c>
      <c r="T290" s="1322">
        <f t="shared" si="58"/>
        <v>0</v>
      </c>
    </row>
    <row r="291" spans="1:20" ht="52.5" customHeight="1">
      <c r="A291" s="1488"/>
      <c r="B291" s="1198" t="s">
        <v>1818</v>
      </c>
      <c r="C291" s="1111">
        <f>ROUND(Data!K930,2)</f>
        <v>113678</v>
      </c>
      <c r="D291" s="1110" t="s">
        <v>1219</v>
      </c>
      <c r="E291" s="1336">
        <v>6.9000000000000006E-2</v>
      </c>
      <c r="F291" s="1125">
        <f t="shared" si="48"/>
        <v>7843.78</v>
      </c>
      <c r="G291" s="1335"/>
      <c r="H291" s="1125">
        <f t="shared" si="49"/>
        <v>0</v>
      </c>
      <c r="I291" s="1312"/>
      <c r="J291" s="1406">
        <f t="shared" si="50"/>
        <v>0</v>
      </c>
      <c r="K291" s="1335"/>
      <c r="L291" s="1125">
        <f t="shared" si="51"/>
        <v>0</v>
      </c>
      <c r="M291" s="1340"/>
      <c r="N291" s="1339">
        <f t="shared" si="52"/>
        <v>0</v>
      </c>
      <c r="O291" s="1340">
        <f t="shared" si="53"/>
        <v>0</v>
      </c>
      <c r="P291" s="1339">
        <f t="shared" si="54"/>
        <v>0</v>
      </c>
      <c r="Q291" s="1340">
        <f t="shared" si="55"/>
        <v>6.9000000000000006E-2</v>
      </c>
      <c r="R291" s="1339">
        <f t="shared" si="56"/>
        <v>7843.78</v>
      </c>
      <c r="S291" s="1322">
        <f t="shared" si="57"/>
        <v>7843.78</v>
      </c>
      <c r="T291" s="1322">
        <f t="shared" si="58"/>
        <v>0</v>
      </c>
    </row>
    <row r="292" spans="1:20" s="700" customFormat="1" ht="70.5" hidden="1" customHeight="1">
      <c r="A292" s="1414">
        <v>21.3</v>
      </c>
      <c r="B292" s="1415" t="s">
        <v>1819</v>
      </c>
      <c r="C292" s="1416">
        <f>ROUND(Data!K912,2)</f>
        <v>2135</v>
      </c>
      <c r="D292" s="1417" t="s">
        <v>1876</v>
      </c>
      <c r="E292" s="1278"/>
      <c r="F292" s="1125">
        <f t="shared" si="48"/>
        <v>0</v>
      </c>
      <c r="G292" s="1273"/>
      <c r="H292" s="1125">
        <f t="shared" si="49"/>
        <v>0</v>
      </c>
      <c r="I292" s="748"/>
      <c r="J292" s="748">
        <f t="shared" si="50"/>
        <v>0</v>
      </c>
      <c r="K292" s="1273"/>
      <c r="L292" s="1125">
        <f t="shared" si="51"/>
        <v>0</v>
      </c>
      <c r="M292" s="1412"/>
      <c r="N292" s="1339">
        <f t="shared" si="52"/>
        <v>0</v>
      </c>
      <c r="O292" s="1340">
        <f t="shared" si="53"/>
        <v>0</v>
      </c>
      <c r="P292" s="1339">
        <f t="shared" si="54"/>
        <v>0</v>
      </c>
      <c r="Q292" s="1340">
        <f t="shared" si="55"/>
        <v>0</v>
      </c>
      <c r="R292" s="1339">
        <f t="shared" si="56"/>
        <v>0</v>
      </c>
    </row>
    <row r="293" spans="1:20" s="700" customFormat="1" ht="70.5" hidden="1" customHeight="1">
      <c r="A293" s="1105">
        <v>22.1</v>
      </c>
      <c r="B293" s="538" t="s">
        <v>1390</v>
      </c>
      <c r="C293" s="602"/>
      <c r="D293" s="744"/>
      <c r="E293" s="1276"/>
      <c r="F293" s="1125">
        <f t="shared" si="48"/>
        <v>0</v>
      </c>
      <c r="G293" s="1199"/>
      <c r="H293" s="1125">
        <f t="shared" si="49"/>
        <v>0</v>
      </c>
      <c r="I293" s="748"/>
      <c r="J293" s="748">
        <f t="shared" si="50"/>
        <v>0</v>
      </c>
      <c r="K293" s="1199"/>
      <c r="L293" s="1125">
        <f t="shared" si="51"/>
        <v>0</v>
      </c>
      <c r="M293" s="1200"/>
      <c r="N293" s="1339">
        <f t="shared" si="52"/>
        <v>0</v>
      </c>
      <c r="O293" s="1340">
        <f t="shared" si="53"/>
        <v>0</v>
      </c>
      <c r="P293" s="1339">
        <f t="shared" si="54"/>
        <v>0</v>
      </c>
      <c r="Q293" s="1340">
        <f t="shared" si="55"/>
        <v>0</v>
      </c>
      <c r="R293" s="1339">
        <f t="shared" si="56"/>
        <v>0</v>
      </c>
    </row>
    <row r="294" spans="1:20" s="700" customFormat="1" ht="70.5" hidden="1" customHeight="1">
      <c r="A294" s="538"/>
      <c r="B294" s="538" t="s">
        <v>394</v>
      </c>
      <c r="C294" s="602">
        <f>ROUND(Data!K964,2)</f>
        <v>5096.5600000000004</v>
      </c>
      <c r="D294" s="744" t="s">
        <v>1876</v>
      </c>
      <c r="E294" s="1276"/>
      <c r="F294" s="1125">
        <f t="shared" si="48"/>
        <v>0</v>
      </c>
      <c r="G294" s="1199"/>
      <c r="H294" s="1125">
        <f t="shared" si="49"/>
        <v>0</v>
      </c>
      <c r="I294" s="748"/>
      <c r="J294" s="748">
        <f t="shared" si="50"/>
        <v>0</v>
      </c>
      <c r="K294" s="1199"/>
      <c r="L294" s="1125">
        <f t="shared" si="51"/>
        <v>0</v>
      </c>
      <c r="M294" s="1200"/>
      <c r="N294" s="1339">
        <f t="shared" si="52"/>
        <v>0</v>
      </c>
      <c r="O294" s="1340">
        <f t="shared" si="53"/>
        <v>0</v>
      </c>
      <c r="P294" s="1339">
        <f t="shared" si="54"/>
        <v>0</v>
      </c>
      <c r="Q294" s="1340">
        <f t="shared" si="55"/>
        <v>0</v>
      </c>
      <c r="R294" s="1339">
        <f t="shared" si="56"/>
        <v>0</v>
      </c>
    </row>
    <row r="295" spans="1:20" s="700" customFormat="1" ht="70.5" hidden="1" customHeight="1">
      <c r="A295" s="538"/>
      <c r="B295" s="538" t="s">
        <v>2092</v>
      </c>
      <c r="C295" s="602">
        <f>ROUND(Data!K1000,2)</f>
        <v>5112.2700000000004</v>
      </c>
      <c r="D295" s="744" t="s">
        <v>1876</v>
      </c>
      <c r="E295" s="1276"/>
      <c r="F295" s="1125">
        <f t="shared" si="48"/>
        <v>0</v>
      </c>
      <c r="G295" s="1199"/>
      <c r="H295" s="1125">
        <f t="shared" si="49"/>
        <v>0</v>
      </c>
      <c r="I295" s="748"/>
      <c r="J295" s="748">
        <f t="shared" si="50"/>
        <v>0</v>
      </c>
      <c r="K295" s="1199"/>
      <c r="L295" s="1125">
        <f t="shared" si="51"/>
        <v>0</v>
      </c>
      <c r="M295" s="1200"/>
      <c r="N295" s="1339">
        <f t="shared" si="52"/>
        <v>0</v>
      </c>
      <c r="O295" s="1340">
        <f t="shared" si="53"/>
        <v>0</v>
      </c>
      <c r="P295" s="1339">
        <f t="shared" si="54"/>
        <v>0</v>
      </c>
      <c r="Q295" s="1340">
        <f t="shared" si="55"/>
        <v>0</v>
      </c>
      <c r="R295" s="1339">
        <f t="shared" si="56"/>
        <v>0</v>
      </c>
    </row>
    <row r="296" spans="1:20" s="700" customFormat="1" ht="70.5" hidden="1" customHeight="1">
      <c r="A296" s="601"/>
      <c r="B296" s="538" t="s">
        <v>2093</v>
      </c>
      <c r="C296" s="602">
        <f>ROUND(Data!K1030,2)</f>
        <v>5136.9399999999996</v>
      </c>
      <c r="D296" s="744" t="s">
        <v>1876</v>
      </c>
      <c r="E296" s="1276"/>
      <c r="F296" s="1125">
        <f t="shared" si="48"/>
        <v>0</v>
      </c>
      <c r="G296" s="1199"/>
      <c r="H296" s="1125">
        <f t="shared" si="49"/>
        <v>0</v>
      </c>
      <c r="I296" s="748"/>
      <c r="J296" s="748">
        <f t="shared" si="50"/>
        <v>0</v>
      </c>
      <c r="K296" s="1199"/>
      <c r="L296" s="1125">
        <f t="shared" si="51"/>
        <v>0</v>
      </c>
      <c r="M296" s="1200"/>
      <c r="N296" s="1339">
        <f t="shared" si="52"/>
        <v>0</v>
      </c>
      <c r="O296" s="1340">
        <f t="shared" si="53"/>
        <v>0</v>
      </c>
      <c r="P296" s="1339">
        <f t="shared" si="54"/>
        <v>0</v>
      </c>
      <c r="Q296" s="1340">
        <f t="shared" si="55"/>
        <v>0</v>
      </c>
      <c r="R296" s="1339">
        <f t="shared" si="56"/>
        <v>0</v>
      </c>
    </row>
    <row r="297" spans="1:20" s="700" customFormat="1" ht="70.5" hidden="1" customHeight="1">
      <c r="A297" s="601"/>
      <c r="B297" s="538" t="s">
        <v>1708</v>
      </c>
      <c r="C297" s="602">
        <f>Data!R2834</f>
        <v>6116.01</v>
      </c>
      <c r="D297" s="744" t="s">
        <v>1876</v>
      </c>
      <c r="E297" s="1276"/>
      <c r="F297" s="1125">
        <f t="shared" si="48"/>
        <v>0</v>
      </c>
      <c r="G297" s="1199"/>
      <c r="H297" s="1125">
        <f t="shared" si="49"/>
        <v>0</v>
      </c>
      <c r="I297" s="748"/>
      <c r="J297" s="748">
        <f t="shared" si="50"/>
        <v>0</v>
      </c>
      <c r="K297" s="1199"/>
      <c r="L297" s="1125">
        <f t="shared" si="51"/>
        <v>0</v>
      </c>
      <c r="M297" s="1200"/>
      <c r="N297" s="1339">
        <f t="shared" si="52"/>
        <v>0</v>
      </c>
      <c r="O297" s="1340">
        <f t="shared" si="53"/>
        <v>0</v>
      </c>
      <c r="P297" s="1339">
        <f t="shared" si="54"/>
        <v>0</v>
      </c>
      <c r="Q297" s="1340">
        <f t="shared" si="55"/>
        <v>0</v>
      </c>
      <c r="R297" s="1339">
        <f t="shared" si="56"/>
        <v>0</v>
      </c>
    </row>
    <row r="298" spans="1:20" s="700" customFormat="1" ht="70.5" hidden="1" customHeight="1">
      <c r="A298" s="1105">
        <v>22.2</v>
      </c>
      <c r="B298" s="600" t="s">
        <v>485</v>
      </c>
      <c r="C298" s="602"/>
      <c r="D298" s="744"/>
      <c r="E298" s="1276"/>
      <c r="F298" s="1125">
        <f t="shared" si="48"/>
        <v>0</v>
      </c>
      <c r="G298" s="1199"/>
      <c r="H298" s="1125">
        <f t="shared" si="49"/>
        <v>0</v>
      </c>
      <c r="I298" s="748"/>
      <c r="J298" s="748">
        <f t="shared" si="50"/>
        <v>0</v>
      </c>
      <c r="K298" s="1199"/>
      <c r="L298" s="1125">
        <f t="shared" si="51"/>
        <v>0</v>
      </c>
      <c r="M298" s="1200"/>
      <c r="N298" s="1339">
        <f t="shared" si="52"/>
        <v>0</v>
      </c>
      <c r="O298" s="1340">
        <f t="shared" si="53"/>
        <v>0</v>
      </c>
      <c r="P298" s="1339">
        <f t="shared" si="54"/>
        <v>0</v>
      </c>
      <c r="Q298" s="1340">
        <f t="shared" si="55"/>
        <v>0</v>
      </c>
      <c r="R298" s="1339">
        <f t="shared" si="56"/>
        <v>0</v>
      </c>
    </row>
    <row r="299" spans="1:20" s="700" customFormat="1" ht="70.5" hidden="1" customHeight="1">
      <c r="A299" s="538"/>
      <c r="B299" s="538" t="s">
        <v>1391</v>
      </c>
      <c r="C299" s="602">
        <f>ROUND(Data!K1081,2)</f>
        <v>3659.42</v>
      </c>
      <c r="D299" s="744" t="s">
        <v>1876</v>
      </c>
      <c r="E299" s="1276"/>
      <c r="F299" s="1125">
        <f t="shared" si="48"/>
        <v>0</v>
      </c>
      <c r="G299" s="1199"/>
      <c r="H299" s="1125">
        <f t="shared" si="49"/>
        <v>0</v>
      </c>
      <c r="I299" s="748"/>
      <c r="J299" s="748">
        <f t="shared" si="50"/>
        <v>0</v>
      </c>
      <c r="K299" s="1199"/>
      <c r="L299" s="1125">
        <f t="shared" si="51"/>
        <v>0</v>
      </c>
      <c r="M299" s="1200"/>
      <c r="N299" s="1339">
        <f t="shared" si="52"/>
        <v>0</v>
      </c>
      <c r="O299" s="1340">
        <f t="shared" si="53"/>
        <v>0</v>
      </c>
      <c r="P299" s="1339">
        <f t="shared" si="54"/>
        <v>0</v>
      </c>
      <c r="Q299" s="1340">
        <f t="shared" si="55"/>
        <v>0</v>
      </c>
      <c r="R299" s="1339">
        <f t="shared" si="56"/>
        <v>0</v>
      </c>
    </row>
    <row r="300" spans="1:20" s="700" customFormat="1" ht="70.5" hidden="1" customHeight="1">
      <c r="A300" s="538"/>
      <c r="B300" s="538" t="s">
        <v>274</v>
      </c>
      <c r="C300" s="602"/>
      <c r="D300" s="744" t="s">
        <v>1876</v>
      </c>
      <c r="E300" s="1276"/>
      <c r="F300" s="1125">
        <f t="shared" si="48"/>
        <v>0</v>
      </c>
      <c r="G300" s="1199"/>
      <c r="H300" s="1125">
        <f t="shared" si="49"/>
        <v>0</v>
      </c>
      <c r="I300" s="748"/>
      <c r="J300" s="748">
        <f t="shared" si="50"/>
        <v>0</v>
      </c>
      <c r="K300" s="1199"/>
      <c r="L300" s="1125">
        <f t="shared" si="51"/>
        <v>0</v>
      </c>
      <c r="M300" s="1200"/>
      <c r="N300" s="1339">
        <f t="shared" si="52"/>
        <v>0</v>
      </c>
      <c r="O300" s="1340">
        <f t="shared" si="53"/>
        <v>0</v>
      </c>
      <c r="P300" s="1339">
        <f t="shared" si="54"/>
        <v>0</v>
      </c>
      <c r="Q300" s="1340">
        <f t="shared" si="55"/>
        <v>0</v>
      </c>
      <c r="R300" s="1339">
        <f t="shared" si="56"/>
        <v>0</v>
      </c>
    </row>
    <row r="301" spans="1:20" s="700" customFormat="1" ht="70.5" hidden="1" customHeight="1">
      <c r="A301" s="538"/>
      <c r="B301" s="538" t="s">
        <v>275</v>
      </c>
      <c r="C301" s="602">
        <f>ROUND(Data!K1097,2)</f>
        <v>3858.29</v>
      </c>
      <c r="D301" s="744" t="s">
        <v>1876</v>
      </c>
      <c r="E301" s="1276"/>
      <c r="F301" s="1125">
        <f t="shared" si="48"/>
        <v>0</v>
      </c>
      <c r="G301" s="1199"/>
      <c r="H301" s="1125">
        <f t="shared" si="49"/>
        <v>0</v>
      </c>
      <c r="I301" s="748"/>
      <c r="J301" s="748">
        <f t="shared" si="50"/>
        <v>0</v>
      </c>
      <c r="K301" s="1199"/>
      <c r="L301" s="1125">
        <f t="shared" si="51"/>
        <v>0</v>
      </c>
      <c r="M301" s="1200"/>
      <c r="N301" s="1339">
        <f t="shared" si="52"/>
        <v>0</v>
      </c>
      <c r="O301" s="1340">
        <f t="shared" si="53"/>
        <v>0</v>
      </c>
      <c r="P301" s="1339">
        <f t="shared" si="54"/>
        <v>0</v>
      </c>
      <c r="Q301" s="1340">
        <f t="shared" si="55"/>
        <v>0</v>
      </c>
      <c r="R301" s="1339">
        <f t="shared" si="56"/>
        <v>0</v>
      </c>
    </row>
    <row r="302" spans="1:20" s="700" customFormat="1" ht="70.5" hidden="1" customHeight="1">
      <c r="A302" s="601"/>
      <c r="B302" s="538" t="s">
        <v>276</v>
      </c>
      <c r="C302" s="602">
        <f>ROUND(Data!K1112,2)</f>
        <v>2856.35</v>
      </c>
      <c r="D302" s="744" t="s">
        <v>1876</v>
      </c>
      <c r="E302" s="1276"/>
      <c r="F302" s="1125">
        <f t="shared" si="48"/>
        <v>0</v>
      </c>
      <c r="G302" s="1199"/>
      <c r="H302" s="1125">
        <f t="shared" si="49"/>
        <v>0</v>
      </c>
      <c r="I302" s="748"/>
      <c r="J302" s="748">
        <f t="shared" si="50"/>
        <v>0</v>
      </c>
      <c r="K302" s="1199"/>
      <c r="L302" s="1125">
        <f t="shared" si="51"/>
        <v>0</v>
      </c>
      <c r="M302" s="1200"/>
      <c r="N302" s="1339">
        <f t="shared" si="52"/>
        <v>0</v>
      </c>
      <c r="O302" s="1340">
        <f t="shared" si="53"/>
        <v>0</v>
      </c>
      <c r="P302" s="1339">
        <f t="shared" si="54"/>
        <v>0</v>
      </c>
      <c r="Q302" s="1340">
        <f t="shared" si="55"/>
        <v>0</v>
      </c>
      <c r="R302" s="1339">
        <f t="shared" si="56"/>
        <v>0</v>
      </c>
    </row>
    <row r="303" spans="1:20" s="700" customFormat="1" ht="70.5" hidden="1" customHeight="1">
      <c r="A303" s="1105">
        <v>22.3</v>
      </c>
      <c r="B303" s="538" t="s">
        <v>2010</v>
      </c>
      <c r="C303" s="602"/>
      <c r="D303" s="744" t="s">
        <v>1876</v>
      </c>
      <c r="E303" s="1276"/>
      <c r="F303" s="1125">
        <f t="shared" si="48"/>
        <v>0</v>
      </c>
      <c r="G303" s="1199"/>
      <c r="H303" s="1125">
        <f t="shared" si="49"/>
        <v>0</v>
      </c>
      <c r="I303" s="748"/>
      <c r="J303" s="748">
        <f t="shared" si="50"/>
        <v>0</v>
      </c>
      <c r="K303" s="1199"/>
      <c r="L303" s="1125">
        <f t="shared" si="51"/>
        <v>0</v>
      </c>
      <c r="M303" s="1200"/>
      <c r="N303" s="1339">
        <f t="shared" si="52"/>
        <v>0</v>
      </c>
      <c r="O303" s="1340">
        <f t="shared" si="53"/>
        <v>0</v>
      </c>
      <c r="P303" s="1339">
        <f t="shared" si="54"/>
        <v>0</v>
      </c>
      <c r="Q303" s="1340">
        <f t="shared" si="55"/>
        <v>0</v>
      </c>
      <c r="R303" s="1339">
        <f t="shared" si="56"/>
        <v>0</v>
      </c>
    </row>
    <row r="304" spans="1:20" s="700" customFormat="1" ht="70.5" hidden="1" customHeight="1">
      <c r="A304" s="1105">
        <v>23.1</v>
      </c>
      <c r="B304" s="538" t="s">
        <v>1</v>
      </c>
      <c r="C304" s="602"/>
      <c r="D304" s="744" t="s">
        <v>1876</v>
      </c>
      <c r="E304" s="1276"/>
      <c r="F304" s="1125">
        <f t="shared" si="48"/>
        <v>0</v>
      </c>
      <c r="G304" s="1199"/>
      <c r="H304" s="1125">
        <f t="shared" si="49"/>
        <v>0</v>
      </c>
      <c r="I304" s="748"/>
      <c r="J304" s="748">
        <f t="shared" si="50"/>
        <v>0</v>
      </c>
      <c r="K304" s="1199"/>
      <c r="L304" s="1125">
        <f t="shared" si="51"/>
        <v>0</v>
      </c>
      <c r="M304" s="1200"/>
      <c r="N304" s="1339">
        <f t="shared" si="52"/>
        <v>0</v>
      </c>
      <c r="O304" s="1340">
        <f t="shared" si="53"/>
        <v>0</v>
      </c>
      <c r="P304" s="1339">
        <f t="shared" si="54"/>
        <v>0</v>
      </c>
      <c r="Q304" s="1340">
        <f t="shared" si="55"/>
        <v>0</v>
      </c>
      <c r="R304" s="1339">
        <f t="shared" si="56"/>
        <v>0</v>
      </c>
    </row>
    <row r="305" spans="1:20" s="700" customFormat="1" ht="70.5" hidden="1" customHeight="1">
      <c r="A305" s="601"/>
      <c r="B305" s="538" t="s">
        <v>583</v>
      </c>
      <c r="C305" s="602">
        <f>ROUND(Data!K1066,2)</f>
        <v>3687.68</v>
      </c>
      <c r="D305" s="744" t="s">
        <v>1876</v>
      </c>
      <c r="E305" s="1276"/>
      <c r="F305" s="1125">
        <f t="shared" si="48"/>
        <v>0</v>
      </c>
      <c r="G305" s="1199"/>
      <c r="H305" s="1125">
        <f t="shared" si="49"/>
        <v>0</v>
      </c>
      <c r="I305" s="748"/>
      <c r="J305" s="748">
        <f t="shared" si="50"/>
        <v>0</v>
      </c>
      <c r="K305" s="1199"/>
      <c r="L305" s="1125">
        <f t="shared" si="51"/>
        <v>0</v>
      </c>
      <c r="M305" s="1200"/>
      <c r="N305" s="1339">
        <f t="shared" si="52"/>
        <v>0</v>
      </c>
      <c r="O305" s="1340">
        <f t="shared" si="53"/>
        <v>0</v>
      </c>
      <c r="P305" s="1339">
        <f t="shared" si="54"/>
        <v>0</v>
      </c>
      <c r="Q305" s="1340">
        <f t="shared" si="55"/>
        <v>0</v>
      </c>
      <c r="R305" s="1339">
        <f t="shared" si="56"/>
        <v>0</v>
      </c>
    </row>
    <row r="306" spans="1:20" s="700" customFormat="1" ht="70.5" hidden="1" customHeight="1">
      <c r="A306" s="1105">
        <v>23.2</v>
      </c>
      <c r="B306" s="538" t="s">
        <v>1742</v>
      </c>
      <c r="C306" s="602">
        <f>ROUND(Data!K1185,2)</f>
        <v>845.1</v>
      </c>
      <c r="D306" s="744" t="s">
        <v>1876</v>
      </c>
      <c r="E306" s="1276"/>
      <c r="F306" s="1125">
        <f t="shared" si="48"/>
        <v>0</v>
      </c>
      <c r="G306" s="1199"/>
      <c r="H306" s="1125">
        <f t="shared" si="49"/>
        <v>0</v>
      </c>
      <c r="I306" s="748"/>
      <c r="J306" s="748">
        <f t="shared" si="50"/>
        <v>0</v>
      </c>
      <c r="K306" s="1199"/>
      <c r="L306" s="1125">
        <f t="shared" si="51"/>
        <v>0</v>
      </c>
      <c r="M306" s="1200"/>
      <c r="N306" s="1339">
        <f t="shared" si="52"/>
        <v>0</v>
      </c>
      <c r="O306" s="1340">
        <f t="shared" si="53"/>
        <v>0</v>
      </c>
      <c r="P306" s="1339">
        <f t="shared" si="54"/>
        <v>0</v>
      </c>
      <c r="Q306" s="1340">
        <f t="shared" si="55"/>
        <v>0</v>
      </c>
      <c r="R306" s="1339">
        <f t="shared" si="56"/>
        <v>0</v>
      </c>
    </row>
    <row r="307" spans="1:20" s="1339" customFormat="1" ht="52.5" customHeight="1">
      <c r="A307" s="1486">
        <v>23.3</v>
      </c>
      <c r="B307" s="1198" t="s">
        <v>582</v>
      </c>
      <c r="C307" s="1111">
        <f>Data!K1170</f>
        <v>52</v>
      </c>
      <c r="D307" s="1110" t="s">
        <v>1423</v>
      </c>
      <c r="E307" s="1336">
        <v>45</v>
      </c>
      <c r="F307" s="1125">
        <f t="shared" si="48"/>
        <v>2340</v>
      </c>
      <c r="G307" s="1335"/>
      <c r="H307" s="1125">
        <f t="shared" si="49"/>
        <v>0</v>
      </c>
      <c r="I307" s="1312"/>
      <c r="J307" s="1406">
        <f t="shared" si="50"/>
        <v>0</v>
      </c>
      <c r="K307" s="1335"/>
      <c r="L307" s="1125">
        <f t="shared" si="51"/>
        <v>0</v>
      </c>
      <c r="M307" s="1340"/>
      <c r="N307" s="1339">
        <f t="shared" si="52"/>
        <v>0</v>
      </c>
      <c r="O307" s="1340">
        <f t="shared" si="53"/>
        <v>0</v>
      </c>
      <c r="P307" s="1339">
        <f t="shared" si="54"/>
        <v>0</v>
      </c>
      <c r="Q307" s="1340">
        <f t="shared" si="55"/>
        <v>45</v>
      </c>
      <c r="R307" s="1339">
        <f t="shared" si="56"/>
        <v>2340</v>
      </c>
      <c r="S307" s="1322">
        <f>F307+P307</f>
        <v>2340</v>
      </c>
      <c r="T307" s="1322">
        <f>S307-R307</f>
        <v>0</v>
      </c>
    </row>
    <row r="308" spans="1:20" s="700" customFormat="1" ht="70.5" hidden="1" customHeight="1">
      <c r="A308" s="1414">
        <v>23.4</v>
      </c>
      <c r="B308" s="1415" t="s">
        <v>1732</v>
      </c>
      <c r="C308" s="1416"/>
      <c r="D308" s="1417"/>
      <c r="E308" s="1278"/>
      <c r="F308" s="1125">
        <f t="shared" si="48"/>
        <v>0</v>
      </c>
      <c r="G308" s="1273"/>
      <c r="H308" s="1125">
        <f t="shared" si="49"/>
        <v>0</v>
      </c>
      <c r="I308" s="748"/>
      <c r="J308" s="748">
        <f t="shared" si="50"/>
        <v>0</v>
      </c>
      <c r="K308" s="1273"/>
      <c r="L308" s="1125">
        <f t="shared" si="51"/>
        <v>0</v>
      </c>
      <c r="M308" s="1412"/>
      <c r="N308" s="1339">
        <f t="shared" si="52"/>
        <v>0</v>
      </c>
      <c r="O308" s="1340">
        <f t="shared" si="53"/>
        <v>0</v>
      </c>
      <c r="P308" s="1339">
        <f t="shared" si="54"/>
        <v>0</v>
      </c>
      <c r="Q308" s="1340">
        <f t="shared" si="55"/>
        <v>0</v>
      </c>
      <c r="R308" s="1339">
        <f t="shared" si="56"/>
        <v>0</v>
      </c>
    </row>
    <row r="309" spans="1:20" s="700" customFormat="1" ht="70.5" hidden="1" customHeight="1">
      <c r="A309" s="538"/>
      <c r="B309" s="538" t="s">
        <v>424</v>
      </c>
      <c r="C309" s="602">
        <f>Data!X1399</f>
        <v>16343.94</v>
      </c>
      <c r="D309" s="744" t="s">
        <v>1423</v>
      </c>
      <c r="E309" s="1276"/>
      <c r="F309" s="1125">
        <f t="shared" si="48"/>
        <v>0</v>
      </c>
      <c r="G309" s="1199"/>
      <c r="H309" s="1125">
        <f t="shared" si="49"/>
        <v>0</v>
      </c>
      <c r="I309" s="748"/>
      <c r="J309" s="748">
        <f t="shared" si="50"/>
        <v>0</v>
      </c>
      <c r="K309" s="1199"/>
      <c r="L309" s="1125">
        <f t="shared" si="51"/>
        <v>0</v>
      </c>
      <c r="M309" s="1200"/>
      <c r="N309" s="1339">
        <f t="shared" si="52"/>
        <v>0</v>
      </c>
      <c r="O309" s="1340">
        <f t="shared" si="53"/>
        <v>0</v>
      </c>
      <c r="P309" s="1339">
        <f t="shared" si="54"/>
        <v>0</v>
      </c>
      <c r="Q309" s="1340">
        <f t="shared" si="55"/>
        <v>0</v>
      </c>
      <c r="R309" s="1339">
        <f t="shared" si="56"/>
        <v>0</v>
      </c>
    </row>
    <row r="310" spans="1:20" s="700" customFormat="1" ht="70.5" hidden="1" customHeight="1">
      <c r="A310" s="538"/>
      <c r="B310" s="538" t="s">
        <v>425</v>
      </c>
      <c r="C310" s="602">
        <f>Data!R1404</f>
        <v>12316.86</v>
      </c>
      <c r="D310" s="744" t="s">
        <v>1423</v>
      </c>
      <c r="E310" s="1276"/>
      <c r="F310" s="1125">
        <f t="shared" si="48"/>
        <v>0</v>
      </c>
      <c r="G310" s="1199"/>
      <c r="H310" s="1125">
        <f t="shared" si="49"/>
        <v>0</v>
      </c>
      <c r="I310" s="748"/>
      <c r="J310" s="748">
        <f t="shared" si="50"/>
        <v>0</v>
      </c>
      <c r="K310" s="1199"/>
      <c r="L310" s="1125">
        <f t="shared" si="51"/>
        <v>0</v>
      </c>
      <c r="M310" s="1200"/>
      <c r="N310" s="1339">
        <f t="shared" si="52"/>
        <v>0</v>
      </c>
      <c r="O310" s="1340">
        <f t="shared" si="53"/>
        <v>0</v>
      </c>
      <c r="P310" s="1339">
        <f t="shared" si="54"/>
        <v>0</v>
      </c>
      <c r="Q310" s="1340">
        <f t="shared" si="55"/>
        <v>0</v>
      </c>
      <c r="R310" s="1339">
        <f t="shared" si="56"/>
        <v>0</v>
      </c>
    </row>
    <row r="311" spans="1:20" s="700" customFormat="1" ht="70.5" hidden="1" customHeight="1">
      <c r="A311" s="538"/>
      <c r="B311" s="538" t="s">
        <v>180</v>
      </c>
      <c r="C311" s="602">
        <f>Data!X1365</f>
        <v>10473.56</v>
      </c>
      <c r="D311" s="744" t="s">
        <v>1423</v>
      </c>
      <c r="E311" s="1276"/>
      <c r="F311" s="1125">
        <f t="shared" si="48"/>
        <v>0</v>
      </c>
      <c r="G311" s="1199"/>
      <c r="H311" s="1125">
        <f t="shared" si="49"/>
        <v>0</v>
      </c>
      <c r="I311" s="748"/>
      <c r="J311" s="748">
        <f t="shared" si="50"/>
        <v>0</v>
      </c>
      <c r="K311" s="1199"/>
      <c r="L311" s="1125">
        <f t="shared" si="51"/>
        <v>0</v>
      </c>
      <c r="M311" s="1200"/>
      <c r="N311" s="1339">
        <f t="shared" si="52"/>
        <v>0</v>
      </c>
      <c r="O311" s="1340">
        <f t="shared" si="53"/>
        <v>0</v>
      </c>
      <c r="P311" s="1339">
        <f t="shared" si="54"/>
        <v>0</v>
      </c>
      <c r="Q311" s="1340">
        <f t="shared" si="55"/>
        <v>0</v>
      </c>
      <c r="R311" s="1339">
        <f t="shared" si="56"/>
        <v>0</v>
      </c>
    </row>
    <row r="312" spans="1:20" s="700" customFormat="1" ht="70.5" hidden="1" customHeight="1">
      <c r="A312" s="538"/>
      <c r="B312" s="538" t="s">
        <v>368</v>
      </c>
      <c r="C312" s="602">
        <f>Data!R1421</f>
        <v>9840.4500000000007</v>
      </c>
      <c r="D312" s="744" t="s">
        <v>1423</v>
      </c>
      <c r="E312" s="1276"/>
      <c r="F312" s="1125">
        <f t="shared" si="48"/>
        <v>0</v>
      </c>
      <c r="G312" s="1199"/>
      <c r="H312" s="1125">
        <f t="shared" si="49"/>
        <v>0</v>
      </c>
      <c r="I312" s="748"/>
      <c r="J312" s="748">
        <f t="shared" si="50"/>
        <v>0</v>
      </c>
      <c r="K312" s="1199"/>
      <c r="L312" s="1125">
        <f t="shared" si="51"/>
        <v>0</v>
      </c>
      <c r="M312" s="1200"/>
      <c r="N312" s="1339">
        <f t="shared" si="52"/>
        <v>0</v>
      </c>
      <c r="O312" s="1340">
        <f t="shared" si="53"/>
        <v>0</v>
      </c>
      <c r="P312" s="1339">
        <f t="shared" si="54"/>
        <v>0</v>
      </c>
      <c r="Q312" s="1340">
        <f t="shared" si="55"/>
        <v>0</v>
      </c>
      <c r="R312" s="1339">
        <f t="shared" si="56"/>
        <v>0</v>
      </c>
    </row>
    <row r="313" spans="1:20" s="700" customFormat="1" ht="70.5" hidden="1" customHeight="1">
      <c r="A313" s="538"/>
      <c r="B313" s="538" t="s">
        <v>2087</v>
      </c>
      <c r="C313" s="602">
        <f>Data!X1463</f>
        <v>8156.59</v>
      </c>
      <c r="D313" s="744" t="s">
        <v>1423</v>
      </c>
      <c r="E313" s="1276"/>
      <c r="F313" s="1125">
        <f t="shared" si="48"/>
        <v>0</v>
      </c>
      <c r="G313" s="1199"/>
      <c r="H313" s="1125">
        <f t="shared" si="49"/>
        <v>0</v>
      </c>
      <c r="I313" s="748"/>
      <c r="J313" s="748">
        <f t="shared" si="50"/>
        <v>0</v>
      </c>
      <c r="K313" s="1199"/>
      <c r="L313" s="1125">
        <f t="shared" si="51"/>
        <v>0</v>
      </c>
      <c r="M313" s="1200"/>
      <c r="N313" s="1339">
        <f t="shared" si="52"/>
        <v>0</v>
      </c>
      <c r="O313" s="1340">
        <f t="shared" si="53"/>
        <v>0</v>
      </c>
      <c r="P313" s="1339">
        <f t="shared" si="54"/>
        <v>0</v>
      </c>
      <c r="Q313" s="1340">
        <f t="shared" si="55"/>
        <v>0</v>
      </c>
      <c r="R313" s="1339">
        <f t="shared" si="56"/>
        <v>0</v>
      </c>
    </row>
    <row r="314" spans="1:20" s="700" customFormat="1" ht="70.5" hidden="1" customHeight="1">
      <c r="A314" s="538"/>
      <c r="B314" s="538" t="s">
        <v>2088</v>
      </c>
      <c r="C314" s="602">
        <f>Data!AD1380</f>
        <v>9063.73</v>
      </c>
      <c r="D314" s="744" t="s">
        <v>1423</v>
      </c>
      <c r="E314" s="1276"/>
      <c r="F314" s="1125">
        <f t="shared" si="48"/>
        <v>0</v>
      </c>
      <c r="G314" s="1199"/>
      <c r="H314" s="1125">
        <f t="shared" si="49"/>
        <v>0</v>
      </c>
      <c r="I314" s="748"/>
      <c r="J314" s="748">
        <f t="shared" si="50"/>
        <v>0</v>
      </c>
      <c r="K314" s="1199"/>
      <c r="L314" s="1125">
        <f t="shared" si="51"/>
        <v>0</v>
      </c>
      <c r="M314" s="1200"/>
      <c r="N314" s="1339">
        <f t="shared" si="52"/>
        <v>0</v>
      </c>
      <c r="O314" s="1340">
        <f t="shared" si="53"/>
        <v>0</v>
      </c>
      <c r="P314" s="1339">
        <f t="shared" si="54"/>
        <v>0</v>
      </c>
      <c r="Q314" s="1340">
        <f t="shared" si="55"/>
        <v>0</v>
      </c>
      <c r="R314" s="1339">
        <f t="shared" si="56"/>
        <v>0</v>
      </c>
    </row>
    <row r="315" spans="1:20" s="700" customFormat="1" ht="70.5" hidden="1" customHeight="1">
      <c r="A315" s="538"/>
      <c r="B315" s="538" t="s">
        <v>1351</v>
      </c>
      <c r="C315" s="602">
        <f>Data!X1382</f>
        <v>8281.5400000000009</v>
      </c>
      <c r="D315" s="744" t="s">
        <v>1423</v>
      </c>
      <c r="E315" s="1276"/>
      <c r="F315" s="1125">
        <f t="shared" si="48"/>
        <v>0</v>
      </c>
      <c r="G315" s="1199"/>
      <c r="H315" s="1125">
        <f t="shared" si="49"/>
        <v>0</v>
      </c>
      <c r="I315" s="748"/>
      <c r="J315" s="748">
        <f t="shared" si="50"/>
        <v>0</v>
      </c>
      <c r="K315" s="1199"/>
      <c r="L315" s="1125">
        <f t="shared" si="51"/>
        <v>0</v>
      </c>
      <c r="M315" s="1200"/>
      <c r="N315" s="1339">
        <f t="shared" si="52"/>
        <v>0</v>
      </c>
      <c r="O315" s="1340">
        <f t="shared" si="53"/>
        <v>0</v>
      </c>
      <c r="P315" s="1339">
        <f t="shared" si="54"/>
        <v>0</v>
      </c>
      <c r="Q315" s="1340">
        <f t="shared" si="55"/>
        <v>0</v>
      </c>
      <c r="R315" s="1339">
        <f t="shared" si="56"/>
        <v>0</v>
      </c>
    </row>
    <row r="316" spans="1:20" s="700" customFormat="1" ht="70.5" hidden="1" customHeight="1">
      <c r="A316" s="538"/>
      <c r="B316" s="538" t="s">
        <v>1352</v>
      </c>
      <c r="C316" s="602">
        <f>Data!AD1363</f>
        <v>7043.28</v>
      </c>
      <c r="D316" s="744" t="s">
        <v>1423</v>
      </c>
      <c r="E316" s="1276"/>
      <c r="F316" s="1125">
        <f t="shared" si="48"/>
        <v>0</v>
      </c>
      <c r="G316" s="1199"/>
      <c r="H316" s="1125">
        <f t="shared" si="49"/>
        <v>0</v>
      </c>
      <c r="I316" s="748"/>
      <c r="J316" s="748">
        <f t="shared" si="50"/>
        <v>0</v>
      </c>
      <c r="K316" s="1199"/>
      <c r="L316" s="1125">
        <f t="shared" si="51"/>
        <v>0</v>
      </c>
      <c r="M316" s="1200"/>
      <c r="N316" s="1339">
        <f t="shared" si="52"/>
        <v>0</v>
      </c>
      <c r="O316" s="1340">
        <f t="shared" si="53"/>
        <v>0</v>
      </c>
      <c r="P316" s="1339">
        <f t="shared" si="54"/>
        <v>0</v>
      </c>
      <c r="Q316" s="1340">
        <f t="shared" si="55"/>
        <v>0</v>
      </c>
      <c r="R316" s="1339">
        <f t="shared" si="56"/>
        <v>0</v>
      </c>
    </row>
    <row r="317" spans="1:20" s="700" customFormat="1" ht="70.5" hidden="1" customHeight="1">
      <c r="A317" s="538"/>
      <c r="B317" s="538" t="s">
        <v>167</v>
      </c>
      <c r="C317" s="602">
        <f>Data!AD1397</f>
        <v>4508.79</v>
      </c>
      <c r="D317" s="744" t="s">
        <v>1423</v>
      </c>
      <c r="E317" s="1276"/>
      <c r="F317" s="1125">
        <f t="shared" si="48"/>
        <v>0</v>
      </c>
      <c r="G317" s="1199"/>
      <c r="H317" s="1125">
        <f t="shared" si="49"/>
        <v>0</v>
      </c>
      <c r="I317" s="748"/>
      <c r="J317" s="748">
        <f t="shared" si="50"/>
        <v>0</v>
      </c>
      <c r="K317" s="1199"/>
      <c r="L317" s="1125">
        <f t="shared" si="51"/>
        <v>0</v>
      </c>
      <c r="M317" s="1200"/>
      <c r="N317" s="1339">
        <f t="shared" si="52"/>
        <v>0</v>
      </c>
      <c r="O317" s="1340">
        <f t="shared" si="53"/>
        <v>0</v>
      </c>
      <c r="P317" s="1339">
        <f t="shared" si="54"/>
        <v>0</v>
      </c>
      <c r="Q317" s="1340">
        <f t="shared" si="55"/>
        <v>0</v>
      </c>
      <c r="R317" s="1339">
        <f t="shared" si="56"/>
        <v>0</v>
      </c>
    </row>
    <row r="318" spans="1:20" s="700" customFormat="1" ht="70.5" hidden="1" customHeight="1">
      <c r="A318" s="538"/>
      <c r="B318" s="538" t="s">
        <v>168</v>
      </c>
      <c r="C318" s="602">
        <f>Data!R1438</f>
        <v>4250.1499999999996</v>
      </c>
      <c r="D318" s="744" t="s">
        <v>1423</v>
      </c>
      <c r="E318" s="1276"/>
      <c r="F318" s="1125">
        <f t="shared" si="48"/>
        <v>0</v>
      </c>
      <c r="G318" s="1199"/>
      <c r="H318" s="1125">
        <f t="shared" si="49"/>
        <v>0</v>
      </c>
      <c r="I318" s="748"/>
      <c r="J318" s="748">
        <f t="shared" si="50"/>
        <v>0</v>
      </c>
      <c r="K318" s="1199"/>
      <c r="L318" s="1125">
        <f t="shared" si="51"/>
        <v>0</v>
      </c>
      <c r="M318" s="1200"/>
      <c r="N318" s="1339">
        <f t="shared" si="52"/>
        <v>0</v>
      </c>
      <c r="O318" s="1340">
        <f t="shared" si="53"/>
        <v>0</v>
      </c>
      <c r="P318" s="1339">
        <f t="shared" si="54"/>
        <v>0</v>
      </c>
      <c r="Q318" s="1340">
        <f t="shared" si="55"/>
        <v>0</v>
      </c>
      <c r="R318" s="1339">
        <f t="shared" si="56"/>
        <v>0</v>
      </c>
    </row>
    <row r="319" spans="1:20" s="700" customFormat="1" ht="70.5" hidden="1" customHeight="1">
      <c r="A319" s="538"/>
      <c r="B319" s="538" t="s">
        <v>2065</v>
      </c>
      <c r="C319" s="602">
        <f>Data!R1479</f>
        <v>5203.1499999999996</v>
      </c>
      <c r="D319" s="744" t="s">
        <v>1423</v>
      </c>
      <c r="E319" s="1276"/>
      <c r="F319" s="1125">
        <f t="shared" si="48"/>
        <v>0</v>
      </c>
      <c r="G319" s="1199"/>
      <c r="H319" s="1125">
        <f t="shared" si="49"/>
        <v>0</v>
      </c>
      <c r="I319" s="748"/>
      <c r="J319" s="748">
        <f t="shared" si="50"/>
        <v>0</v>
      </c>
      <c r="K319" s="1199"/>
      <c r="L319" s="1125">
        <f t="shared" si="51"/>
        <v>0</v>
      </c>
      <c r="M319" s="1200"/>
      <c r="N319" s="1339">
        <f t="shared" si="52"/>
        <v>0</v>
      </c>
      <c r="O319" s="1340">
        <f t="shared" si="53"/>
        <v>0</v>
      </c>
      <c r="P319" s="1339">
        <f t="shared" si="54"/>
        <v>0</v>
      </c>
      <c r="Q319" s="1340">
        <f t="shared" si="55"/>
        <v>0</v>
      </c>
      <c r="R319" s="1339">
        <f t="shared" si="56"/>
        <v>0</v>
      </c>
    </row>
    <row r="320" spans="1:20" s="700" customFormat="1" ht="70.5" hidden="1" customHeight="1">
      <c r="A320" s="601"/>
      <c r="B320" s="538" t="s">
        <v>1389</v>
      </c>
      <c r="C320" s="602">
        <f>Data!X1440</f>
        <v>5768</v>
      </c>
      <c r="D320" s="744" t="s">
        <v>1423</v>
      </c>
      <c r="E320" s="1276"/>
      <c r="F320" s="1125">
        <f t="shared" si="48"/>
        <v>0</v>
      </c>
      <c r="G320" s="1199"/>
      <c r="H320" s="1125">
        <f t="shared" si="49"/>
        <v>0</v>
      </c>
      <c r="I320" s="748"/>
      <c r="J320" s="748">
        <f t="shared" si="50"/>
        <v>0</v>
      </c>
      <c r="K320" s="1199"/>
      <c r="L320" s="1125">
        <f t="shared" si="51"/>
        <v>0</v>
      </c>
      <c r="M320" s="1200"/>
      <c r="N320" s="1339">
        <f t="shared" si="52"/>
        <v>0</v>
      </c>
      <c r="O320" s="1340">
        <f t="shared" si="53"/>
        <v>0</v>
      </c>
      <c r="P320" s="1339">
        <f t="shared" si="54"/>
        <v>0</v>
      </c>
      <c r="Q320" s="1340">
        <f t="shared" si="55"/>
        <v>0</v>
      </c>
      <c r="R320" s="1339">
        <f t="shared" si="56"/>
        <v>0</v>
      </c>
    </row>
    <row r="321" spans="1:23" s="812" customFormat="1" ht="70.5" hidden="1" customHeight="1">
      <c r="A321" s="1107">
        <v>24</v>
      </c>
      <c r="B321" s="1108" t="s">
        <v>181</v>
      </c>
      <c r="C321" s="1109">
        <f>Data!K1191</f>
        <v>69.599999999999994</v>
      </c>
      <c r="D321" s="1110" t="s">
        <v>272</v>
      </c>
      <c r="E321" s="1276"/>
      <c r="F321" s="1125">
        <f t="shared" si="48"/>
        <v>0</v>
      </c>
      <c r="G321" s="1199"/>
      <c r="H321" s="1125">
        <f t="shared" si="49"/>
        <v>0</v>
      </c>
      <c r="I321" s="748"/>
      <c r="J321" s="748">
        <f t="shared" si="50"/>
        <v>0</v>
      </c>
      <c r="K321" s="1199"/>
      <c r="L321" s="1125">
        <f t="shared" si="51"/>
        <v>0</v>
      </c>
      <c r="M321" s="1208"/>
      <c r="N321" s="1339">
        <f t="shared" si="52"/>
        <v>0</v>
      </c>
      <c r="O321" s="1340">
        <f t="shared" si="53"/>
        <v>0</v>
      </c>
      <c r="P321" s="1339">
        <f t="shared" si="54"/>
        <v>0</v>
      </c>
      <c r="Q321" s="1340">
        <f t="shared" si="55"/>
        <v>0</v>
      </c>
      <c r="R321" s="1339">
        <f t="shared" si="56"/>
        <v>0</v>
      </c>
    </row>
    <row r="322" spans="1:23" ht="52.5" customHeight="1">
      <c r="A322" s="1486">
        <v>25</v>
      </c>
      <c r="B322" s="1198" t="s">
        <v>182</v>
      </c>
      <c r="C322" s="1111">
        <f>ROUND(Data!K1194,2)</f>
        <v>9.6</v>
      </c>
      <c r="D322" s="1110" t="s">
        <v>1423</v>
      </c>
      <c r="E322" s="1336">
        <v>234</v>
      </c>
      <c r="F322" s="1125">
        <f t="shared" si="48"/>
        <v>2246.4</v>
      </c>
      <c r="G322" s="1335"/>
      <c r="H322" s="1125">
        <f t="shared" si="49"/>
        <v>0</v>
      </c>
      <c r="I322" s="1312"/>
      <c r="J322" s="1406">
        <f t="shared" si="50"/>
        <v>0</v>
      </c>
      <c r="K322" s="1335"/>
      <c r="L322" s="1125">
        <f t="shared" si="51"/>
        <v>0</v>
      </c>
      <c r="M322" s="1340"/>
      <c r="N322" s="1339">
        <f t="shared" si="52"/>
        <v>0</v>
      </c>
      <c r="O322" s="1340">
        <f t="shared" si="53"/>
        <v>0</v>
      </c>
      <c r="P322" s="1339">
        <f t="shared" si="54"/>
        <v>0</v>
      </c>
      <c r="Q322" s="1340">
        <f t="shared" si="55"/>
        <v>234</v>
      </c>
      <c r="R322" s="1339">
        <f t="shared" si="56"/>
        <v>2246.4</v>
      </c>
      <c r="S322" s="1322">
        <f t="shared" ref="S322:S323" si="59">F322+P322</f>
        <v>2246.4</v>
      </c>
      <c r="T322" s="1322">
        <f t="shared" ref="T322:T323" si="60">S322-R322</f>
        <v>0</v>
      </c>
    </row>
    <row r="323" spans="1:23" ht="52.5" customHeight="1">
      <c r="A323" s="1486">
        <v>26</v>
      </c>
      <c r="B323" s="1198" t="s">
        <v>183</v>
      </c>
      <c r="C323" s="1111">
        <f>ROUND(Data!K204,2)</f>
        <v>4888.3100000000004</v>
      </c>
      <c r="D323" s="1110" t="s">
        <v>1219</v>
      </c>
      <c r="E323" s="1336">
        <v>40.200000000000003</v>
      </c>
      <c r="F323" s="1125">
        <f t="shared" si="48"/>
        <v>196510.06</v>
      </c>
      <c r="G323" s="1335"/>
      <c r="H323" s="1125">
        <f t="shared" si="49"/>
        <v>0</v>
      </c>
      <c r="I323" s="1312"/>
      <c r="J323" s="1406">
        <f t="shared" si="50"/>
        <v>0</v>
      </c>
      <c r="K323" s="1335"/>
      <c r="L323" s="1125">
        <f t="shared" si="51"/>
        <v>0</v>
      </c>
      <c r="M323" s="1340"/>
      <c r="N323" s="1339">
        <f t="shared" si="52"/>
        <v>0</v>
      </c>
      <c r="O323" s="1340">
        <f t="shared" si="53"/>
        <v>0</v>
      </c>
      <c r="P323" s="1339">
        <f t="shared" si="54"/>
        <v>0</v>
      </c>
      <c r="Q323" s="1340">
        <f t="shared" si="55"/>
        <v>40.200000000000003</v>
      </c>
      <c r="R323" s="1339">
        <f t="shared" si="56"/>
        <v>196510.06</v>
      </c>
      <c r="S323" s="1322">
        <f t="shared" si="59"/>
        <v>196510.06</v>
      </c>
      <c r="T323" s="1322">
        <f t="shared" si="60"/>
        <v>0</v>
      </c>
    </row>
    <row r="324" spans="1:23" s="700" customFormat="1" ht="70.5" hidden="1" customHeight="1">
      <c r="A324" s="1414">
        <v>27.1</v>
      </c>
      <c r="B324" s="1415" t="s">
        <v>310</v>
      </c>
      <c r="C324" s="1416">
        <f>ROUND(Data!Y368,2)</f>
        <v>7383.63</v>
      </c>
      <c r="D324" s="1417" t="s">
        <v>1219</v>
      </c>
      <c r="E324" s="1278"/>
      <c r="F324" s="1125">
        <f t="shared" si="48"/>
        <v>0</v>
      </c>
      <c r="G324" s="1273"/>
      <c r="H324" s="1125">
        <f t="shared" si="49"/>
        <v>0</v>
      </c>
      <c r="I324" s="748"/>
      <c r="J324" s="748">
        <f t="shared" si="50"/>
        <v>0</v>
      </c>
      <c r="K324" s="1273"/>
      <c r="L324" s="1125">
        <f t="shared" si="51"/>
        <v>0</v>
      </c>
      <c r="M324" s="1412"/>
      <c r="N324" s="1339">
        <f t="shared" si="52"/>
        <v>0</v>
      </c>
      <c r="O324" s="1340">
        <f t="shared" si="53"/>
        <v>0</v>
      </c>
      <c r="P324" s="1339">
        <f t="shared" si="54"/>
        <v>0</v>
      </c>
      <c r="Q324" s="1340">
        <f t="shared" si="55"/>
        <v>0</v>
      </c>
      <c r="R324" s="1339">
        <f t="shared" si="56"/>
        <v>0</v>
      </c>
    </row>
    <row r="325" spans="1:23" s="700" customFormat="1" ht="70.5" hidden="1" customHeight="1">
      <c r="A325" s="1105">
        <v>27.2</v>
      </c>
      <c r="B325" s="538" t="s">
        <v>2849</v>
      </c>
      <c r="C325" s="602">
        <f>ROUND(Data!AG381,2)</f>
        <v>7190.19</v>
      </c>
      <c r="D325" s="744" t="s">
        <v>1219</v>
      </c>
      <c r="E325" s="1276"/>
      <c r="F325" s="1125">
        <f t="shared" si="48"/>
        <v>0</v>
      </c>
      <c r="G325" s="1199"/>
      <c r="H325" s="1125">
        <f t="shared" si="49"/>
        <v>0</v>
      </c>
      <c r="I325" s="748"/>
      <c r="J325" s="748">
        <f t="shared" si="50"/>
        <v>0</v>
      </c>
      <c r="K325" s="1199"/>
      <c r="L325" s="1125">
        <f t="shared" si="51"/>
        <v>0</v>
      </c>
      <c r="M325" s="1200"/>
      <c r="N325" s="1339">
        <f t="shared" si="52"/>
        <v>0</v>
      </c>
      <c r="O325" s="1340">
        <f t="shared" si="53"/>
        <v>0</v>
      </c>
      <c r="P325" s="1339">
        <f t="shared" si="54"/>
        <v>0</v>
      </c>
      <c r="Q325" s="1340">
        <f t="shared" si="55"/>
        <v>0</v>
      </c>
      <c r="R325" s="1339">
        <f t="shared" si="56"/>
        <v>0</v>
      </c>
    </row>
    <row r="326" spans="1:23" s="700" customFormat="1" ht="70.5" hidden="1" customHeight="1">
      <c r="A326" s="1105">
        <v>27.3</v>
      </c>
      <c r="B326" s="538" t="s">
        <v>936</v>
      </c>
      <c r="C326" s="602"/>
      <c r="D326" s="744" t="s">
        <v>1219</v>
      </c>
      <c r="E326" s="1276"/>
      <c r="F326" s="1125">
        <f t="shared" si="48"/>
        <v>0</v>
      </c>
      <c r="G326" s="1199"/>
      <c r="H326" s="1125">
        <f t="shared" si="49"/>
        <v>0</v>
      </c>
      <c r="I326" s="748"/>
      <c r="J326" s="748">
        <f t="shared" si="50"/>
        <v>0</v>
      </c>
      <c r="K326" s="1199"/>
      <c r="L326" s="1125">
        <f t="shared" si="51"/>
        <v>0</v>
      </c>
      <c r="M326" s="1200"/>
      <c r="N326" s="1339">
        <f t="shared" si="52"/>
        <v>0</v>
      </c>
      <c r="O326" s="1340">
        <f t="shared" si="53"/>
        <v>0</v>
      </c>
      <c r="P326" s="1339">
        <f t="shared" si="54"/>
        <v>0</v>
      </c>
      <c r="Q326" s="1340">
        <f t="shared" si="55"/>
        <v>0</v>
      </c>
      <c r="R326" s="1339">
        <f t="shared" si="56"/>
        <v>0</v>
      </c>
    </row>
    <row r="327" spans="1:23" s="700" customFormat="1" ht="70.5" hidden="1" customHeight="1">
      <c r="A327" s="1105">
        <v>27.4</v>
      </c>
      <c r="B327" s="538" t="s">
        <v>171</v>
      </c>
      <c r="C327" s="602"/>
      <c r="D327" s="744" t="s">
        <v>1219</v>
      </c>
      <c r="E327" s="1276"/>
      <c r="F327" s="1125">
        <f t="shared" ref="F327:F390" si="61">E327*C327</f>
        <v>0</v>
      </c>
      <c r="G327" s="1199"/>
      <c r="H327" s="1125">
        <f t="shared" ref="H327:H390" si="62">G327*C327</f>
        <v>0</v>
      </c>
      <c r="I327" s="748"/>
      <c r="J327" s="748">
        <f t="shared" ref="J327:J390" si="63">I327*C327</f>
        <v>0</v>
      </c>
      <c r="K327" s="1199"/>
      <c r="L327" s="1125">
        <f t="shared" ref="L327:L390" si="64">K327*C327</f>
        <v>0</v>
      </c>
      <c r="M327" s="1200"/>
      <c r="N327" s="1339">
        <f t="shared" ref="N327:N390" si="65">M327*C327</f>
        <v>0</v>
      </c>
      <c r="O327" s="1340">
        <f t="shared" ref="O327:O390" si="66">G327+K327+M327</f>
        <v>0</v>
      </c>
      <c r="P327" s="1339">
        <f t="shared" ref="P327:P390" si="67">O327*C327</f>
        <v>0</v>
      </c>
      <c r="Q327" s="1340">
        <f t="shared" ref="Q327:Q390" si="68">O327+E327</f>
        <v>0</v>
      </c>
      <c r="R327" s="1339">
        <f t="shared" ref="R327:R390" si="69">Q327*C327</f>
        <v>0</v>
      </c>
    </row>
    <row r="328" spans="1:23" s="700" customFormat="1" ht="70.5" hidden="1" customHeight="1">
      <c r="A328" s="1105">
        <v>27.5</v>
      </c>
      <c r="B328" s="538" t="s">
        <v>1531</v>
      </c>
      <c r="C328" s="602">
        <f>ROUND(Data!K372,2)</f>
        <v>7200.82</v>
      </c>
      <c r="D328" s="744" t="s">
        <v>1219</v>
      </c>
      <c r="E328" s="1276"/>
      <c r="F328" s="1125">
        <f t="shared" si="61"/>
        <v>0</v>
      </c>
      <c r="G328" s="1199"/>
      <c r="H328" s="1125">
        <f t="shared" si="62"/>
        <v>0</v>
      </c>
      <c r="I328" s="748"/>
      <c r="J328" s="748">
        <f t="shared" si="63"/>
        <v>0</v>
      </c>
      <c r="K328" s="1199"/>
      <c r="L328" s="1125">
        <f t="shared" si="64"/>
        <v>0</v>
      </c>
      <c r="M328" s="1200"/>
      <c r="N328" s="1339">
        <f t="shared" si="65"/>
        <v>0</v>
      </c>
      <c r="O328" s="1340">
        <f t="shared" si="66"/>
        <v>0</v>
      </c>
      <c r="P328" s="1339">
        <f t="shared" si="67"/>
        <v>0</v>
      </c>
      <c r="Q328" s="1340">
        <f t="shared" si="68"/>
        <v>0</v>
      </c>
      <c r="R328" s="1339">
        <f t="shared" si="69"/>
        <v>0</v>
      </c>
    </row>
    <row r="329" spans="1:23" s="700" customFormat="1" ht="70.5" hidden="1" customHeight="1">
      <c r="A329" s="1105">
        <v>27.6</v>
      </c>
      <c r="B329" s="538" t="s">
        <v>1733</v>
      </c>
      <c r="C329" s="602"/>
      <c r="D329" s="744" t="s">
        <v>1219</v>
      </c>
      <c r="E329" s="1276"/>
      <c r="F329" s="1125">
        <f t="shared" si="61"/>
        <v>0</v>
      </c>
      <c r="G329" s="1199"/>
      <c r="H329" s="1125">
        <f t="shared" si="62"/>
        <v>0</v>
      </c>
      <c r="I329" s="748"/>
      <c r="J329" s="748">
        <f t="shared" si="63"/>
        <v>0</v>
      </c>
      <c r="K329" s="1199"/>
      <c r="L329" s="1125">
        <f t="shared" si="64"/>
        <v>0</v>
      </c>
      <c r="M329" s="1200"/>
      <c r="N329" s="1339">
        <f t="shared" si="65"/>
        <v>0</v>
      </c>
      <c r="O329" s="1340">
        <f t="shared" si="66"/>
        <v>0</v>
      </c>
      <c r="P329" s="1339">
        <f t="shared" si="67"/>
        <v>0</v>
      </c>
      <c r="Q329" s="1340">
        <f t="shared" si="68"/>
        <v>0</v>
      </c>
      <c r="R329" s="1339">
        <f t="shared" si="69"/>
        <v>0</v>
      </c>
    </row>
    <row r="330" spans="1:23" ht="52.5" customHeight="1">
      <c r="A330" s="1486">
        <v>28</v>
      </c>
      <c r="B330" s="1344" t="s">
        <v>4534</v>
      </c>
      <c r="C330" s="1111">
        <f>ROUND(Data!K1213,2)</f>
        <v>528.02</v>
      </c>
      <c r="D330" s="1110" t="s">
        <v>1876</v>
      </c>
      <c r="E330" s="1336">
        <v>4.3</v>
      </c>
      <c r="F330" s="1125">
        <f t="shared" si="61"/>
        <v>2270.4899999999998</v>
      </c>
      <c r="G330" s="1335"/>
      <c r="H330" s="1125">
        <f t="shared" si="62"/>
        <v>0</v>
      </c>
      <c r="I330" s="1312"/>
      <c r="J330" s="1406">
        <f t="shared" si="63"/>
        <v>0</v>
      </c>
      <c r="K330" s="1335"/>
      <c r="L330" s="1125">
        <f t="shared" si="64"/>
        <v>0</v>
      </c>
      <c r="M330" s="1340"/>
      <c r="N330" s="1339">
        <f t="shared" si="65"/>
        <v>0</v>
      </c>
      <c r="O330" s="1340">
        <f t="shared" si="66"/>
        <v>0</v>
      </c>
      <c r="P330" s="1339">
        <f t="shared" si="67"/>
        <v>0</v>
      </c>
      <c r="Q330" s="1340">
        <f t="shared" si="68"/>
        <v>4.3</v>
      </c>
      <c r="R330" s="1339">
        <f t="shared" si="69"/>
        <v>2270.4899999999998</v>
      </c>
      <c r="S330" s="1322">
        <f>F330+P330</f>
        <v>2270.4899999999998</v>
      </c>
      <c r="T330" s="1322">
        <f>S330-R330</f>
        <v>0</v>
      </c>
    </row>
    <row r="331" spans="1:23" s="700" customFormat="1" ht="70.5" hidden="1" customHeight="1">
      <c r="A331" s="1414">
        <v>29.1</v>
      </c>
      <c r="B331" s="1420" t="s">
        <v>4111</v>
      </c>
      <c r="C331" s="1416"/>
      <c r="D331" s="1417" t="s">
        <v>1876</v>
      </c>
      <c r="E331" s="1278"/>
      <c r="F331" s="1125">
        <f t="shared" si="61"/>
        <v>0</v>
      </c>
      <c r="G331" s="1273"/>
      <c r="H331" s="1125">
        <f t="shared" si="62"/>
        <v>0</v>
      </c>
      <c r="I331" s="748"/>
      <c r="J331" s="748">
        <f t="shared" si="63"/>
        <v>0</v>
      </c>
      <c r="K331" s="1273"/>
      <c r="L331" s="1125">
        <f t="shared" si="64"/>
        <v>0</v>
      </c>
      <c r="M331" s="1412"/>
      <c r="N331" s="1339">
        <f t="shared" si="65"/>
        <v>0</v>
      </c>
      <c r="O331" s="1340">
        <f t="shared" si="66"/>
        <v>0</v>
      </c>
      <c r="P331" s="1339">
        <f t="shared" si="67"/>
        <v>0</v>
      </c>
      <c r="Q331" s="1340">
        <f t="shared" si="68"/>
        <v>0</v>
      </c>
      <c r="R331" s="1339">
        <f t="shared" si="69"/>
        <v>0</v>
      </c>
    </row>
    <row r="332" spans="1:23" s="700" customFormat="1" ht="70.5" hidden="1" customHeight="1">
      <c r="A332" s="1105">
        <v>29.2</v>
      </c>
      <c r="B332" s="600" t="s">
        <v>4112</v>
      </c>
      <c r="C332" s="602">
        <f>ROUND(Data!K1241,2)</f>
        <v>1269.32</v>
      </c>
      <c r="D332" s="744" t="s">
        <v>1876</v>
      </c>
      <c r="E332" s="1276"/>
      <c r="F332" s="1125">
        <f t="shared" si="61"/>
        <v>0</v>
      </c>
      <c r="G332" s="1199"/>
      <c r="H332" s="1125">
        <f t="shared" si="62"/>
        <v>0</v>
      </c>
      <c r="I332" s="748"/>
      <c r="J332" s="748">
        <f t="shared" si="63"/>
        <v>0</v>
      </c>
      <c r="K332" s="1199"/>
      <c r="L332" s="1125">
        <f t="shared" si="64"/>
        <v>0</v>
      </c>
      <c r="M332" s="1200"/>
      <c r="N332" s="1339">
        <f t="shared" si="65"/>
        <v>0</v>
      </c>
      <c r="O332" s="1340">
        <f t="shared" si="66"/>
        <v>0</v>
      </c>
      <c r="P332" s="1339">
        <f t="shared" si="67"/>
        <v>0</v>
      </c>
      <c r="Q332" s="1340">
        <f t="shared" si="68"/>
        <v>0</v>
      </c>
      <c r="R332" s="1339">
        <f t="shared" si="69"/>
        <v>0</v>
      </c>
    </row>
    <row r="333" spans="1:23" s="700" customFormat="1" ht="70.5" hidden="1" customHeight="1">
      <c r="A333" s="1105">
        <v>29.3</v>
      </c>
      <c r="B333" s="538" t="s">
        <v>1734</v>
      </c>
      <c r="C333" s="602">
        <f>ROUND(Data!K1264,2)</f>
        <v>1239.0899999999999</v>
      </c>
      <c r="D333" s="744" t="s">
        <v>1876</v>
      </c>
      <c r="E333" s="1276"/>
      <c r="F333" s="1125">
        <f t="shared" si="61"/>
        <v>0</v>
      </c>
      <c r="G333" s="1199"/>
      <c r="H333" s="1125">
        <f t="shared" si="62"/>
        <v>0</v>
      </c>
      <c r="I333" s="748"/>
      <c r="J333" s="748">
        <f t="shared" si="63"/>
        <v>0</v>
      </c>
      <c r="K333" s="1199"/>
      <c r="L333" s="1125">
        <f t="shared" si="64"/>
        <v>0</v>
      </c>
      <c r="M333" s="1200"/>
      <c r="N333" s="1339">
        <f t="shared" si="65"/>
        <v>0</v>
      </c>
      <c r="O333" s="1340">
        <f t="shared" si="66"/>
        <v>0</v>
      </c>
      <c r="P333" s="1339">
        <f t="shared" si="67"/>
        <v>0</v>
      </c>
      <c r="Q333" s="1340">
        <f t="shared" si="68"/>
        <v>0</v>
      </c>
      <c r="R333" s="1339">
        <f t="shared" si="69"/>
        <v>0</v>
      </c>
    </row>
    <row r="334" spans="1:23" s="700" customFormat="1" ht="70.5" hidden="1" customHeight="1">
      <c r="A334" s="1105">
        <v>29.4</v>
      </c>
      <c r="B334" s="538" t="s">
        <v>1735</v>
      </c>
      <c r="C334" s="602">
        <f>ROUND(Data!K1278,2)</f>
        <v>1413.66</v>
      </c>
      <c r="D334" s="744" t="s">
        <v>1876</v>
      </c>
      <c r="E334" s="1276"/>
      <c r="F334" s="1125">
        <f t="shared" si="61"/>
        <v>0</v>
      </c>
      <c r="G334" s="1199"/>
      <c r="H334" s="1125">
        <f t="shared" si="62"/>
        <v>0</v>
      </c>
      <c r="I334" s="748"/>
      <c r="J334" s="748">
        <f t="shared" si="63"/>
        <v>0</v>
      </c>
      <c r="K334" s="1199"/>
      <c r="L334" s="1125">
        <f t="shared" si="64"/>
        <v>0</v>
      </c>
      <c r="M334" s="1200"/>
      <c r="N334" s="1339">
        <f t="shared" si="65"/>
        <v>0</v>
      </c>
      <c r="O334" s="1340">
        <f t="shared" si="66"/>
        <v>0</v>
      </c>
      <c r="P334" s="1339">
        <f t="shared" si="67"/>
        <v>0</v>
      </c>
      <c r="Q334" s="1340">
        <f t="shared" si="68"/>
        <v>0</v>
      </c>
      <c r="R334" s="1339">
        <f t="shared" si="69"/>
        <v>0</v>
      </c>
    </row>
    <row r="335" spans="1:23" s="700" customFormat="1" ht="70.5" hidden="1" customHeight="1">
      <c r="A335" s="1105">
        <v>29.5</v>
      </c>
      <c r="B335" s="538" t="s">
        <v>857</v>
      </c>
      <c r="C335" s="602">
        <f>C333</f>
        <v>1239.0899999999999</v>
      </c>
      <c r="D335" s="744" t="s">
        <v>1876</v>
      </c>
      <c r="E335" s="1276"/>
      <c r="F335" s="1125">
        <f t="shared" si="61"/>
        <v>0</v>
      </c>
      <c r="G335" s="1199"/>
      <c r="H335" s="1125">
        <f t="shared" si="62"/>
        <v>0</v>
      </c>
      <c r="I335" s="748"/>
      <c r="J335" s="748">
        <f t="shared" si="63"/>
        <v>0</v>
      </c>
      <c r="K335" s="1199"/>
      <c r="L335" s="1125">
        <f t="shared" si="64"/>
        <v>0</v>
      </c>
      <c r="M335" s="1200"/>
      <c r="N335" s="1339">
        <f t="shared" si="65"/>
        <v>0</v>
      </c>
      <c r="O335" s="1340">
        <f t="shared" si="66"/>
        <v>0</v>
      </c>
      <c r="P335" s="1339">
        <f t="shared" si="67"/>
        <v>0</v>
      </c>
      <c r="Q335" s="1340">
        <f t="shared" si="68"/>
        <v>0</v>
      </c>
      <c r="R335" s="1339">
        <f t="shared" si="69"/>
        <v>0</v>
      </c>
    </row>
    <row r="336" spans="1:23" ht="52.5" customHeight="1">
      <c r="A336" s="1486">
        <v>30</v>
      </c>
      <c r="B336" s="1198" t="s">
        <v>1736</v>
      </c>
      <c r="C336" s="1111">
        <f>ROUND(Data!K1312,2)</f>
        <v>461.34</v>
      </c>
      <c r="D336" s="1110" t="s">
        <v>1876</v>
      </c>
      <c r="E336" s="1336">
        <v>39.299999999999997</v>
      </c>
      <c r="F336" s="1125">
        <f t="shared" si="61"/>
        <v>18130.66</v>
      </c>
      <c r="G336" s="1335"/>
      <c r="H336" s="1125">
        <f t="shared" si="62"/>
        <v>0</v>
      </c>
      <c r="I336" s="1312"/>
      <c r="J336" s="1406">
        <f t="shared" si="63"/>
        <v>0</v>
      </c>
      <c r="K336" s="1335"/>
      <c r="L336" s="1125">
        <f t="shared" si="64"/>
        <v>0</v>
      </c>
      <c r="M336" s="1340"/>
      <c r="N336" s="1339">
        <f t="shared" si="65"/>
        <v>0</v>
      </c>
      <c r="O336" s="1340">
        <f t="shared" si="66"/>
        <v>0</v>
      </c>
      <c r="P336" s="1339">
        <f t="shared" si="67"/>
        <v>0</v>
      </c>
      <c r="Q336" s="1340">
        <f t="shared" si="68"/>
        <v>39.299999999999997</v>
      </c>
      <c r="R336" s="1339">
        <f t="shared" si="69"/>
        <v>18130.66</v>
      </c>
      <c r="S336" s="1322">
        <f t="shared" ref="S336:S337" si="70">F336+P336</f>
        <v>18130.66</v>
      </c>
      <c r="T336" s="1322">
        <f t="shared" ref="T336:T337" si="71">S336-R336</f>
        <v>0</v>
      </c>
      <c r="W336" s="1322">
        <f>146-34.2</f>
        <v>111.8</v>
      </c>
    </row>
    <row r="337" spans="1:20" ht="52.5" customHeight="1">
      <c r="A337" s="1486">
        <v>31</v>
      </c>
      <c r="B337" s="1198" t="s">
        <v>1737</v>
      </c>
      <c r="C337" s="1111">
        <f>ROUND(Data!K1330,2)</f>
        <v>3934.05</v>
      </c>
      <c r="D337" s="1110" t="s">
        <v>1219</v>
      </c>
      <c r="E337" s="1336">
        <v>82.9</v>
      </c>
      <c r="F337" s="1125">
        <f t="shared" si="61"/>
        <v>326132.75</v>
      </c>
      <c r="G337" s="1335"/>
      <c r="H337" s="1125">
        <f t="shared" si="62"/>
        <v>0</v>
      </c>
      <c r="I337" s="1312"/>
      <c r="J337" s="1406">
        <f t="shared" si="63"/>
        <v>0</v>
      </c>
      <c r="K337" s="1335"/>
      <c r="L337" s="1125">
        <f t="shared" si="64"/>
        <v>0</v>
      </c>
      <c r="M337" s="1340"/>
      <c r="N337" s="1339">
        <f t="shared" si="65"/>
        <v>0</v>
      </c>
      <c r="O337" s="1340">
        <f t="shared" si="66"/>
        <v>0</v>
      </c>
      <c r="P337" s="1339">
        <f t="shared" si="67"/>
        <v>0</v>
      </c>
      <c r="Q337" s="1340">
        <f t="shared" si="68"/>
        <v>82.9</v>
      </c>
      <c r="R337" s="1339">
        <f t="shared" si="69"/>
        <v>326132.75</v>
      </c>
      <c r="S337" s="1322">
        <f t="shared" si="70"/>
        <v>326132.75</v>
      </c>
      <c r="T337" s="1322">
        <f t="shared" si="71"/>
        <v>0</v>
      </c>
    </row>
    <row r="338" spans="1:20" s="700" customFormat="1" ht="70.5" hidden="1" customHeight="1">
      <c r="A338" s="1414">
        <v>32</v>
      </c>
      <c r="B338" s="1415" t="s">
        <v>572</v>
      </c>
      <c r="C338" s="1416"/>
      <c r="D338" s="1417" t="s">
        <v>1876</v>
      </c>
      <c r="E338" s="1278"/>
      <c r="F338" s="1125">
        <f t="shared" si="61"/>
        <v>0</v>
      </c>
      <c r="G338" s="1273"/>
      <c r="H338" s="1125">
        <f t="shared" si="62"/>
        <v>0</v>
      </c>
      <c r="I338" s="748"/>
      <c r="J338" s="748">
        <f t="shared" si="63"/>
        <v>0</v>
      </c>
      <c r="K338" s="1273"/>
      <c r="L338" s="1125">
        <f t="shared" si="64"/>
        <v>0</v>
      </c>
      <c r="M338" s="1412"/>
      <c r="N338" s="1339">
        <f t="shared" si="65"/>
        <v>0</v>
      </c>
      <c r="O338" s="1340">
        <f t="shared" si="66"/>
        <v>0</v>
      </c>
      <c r="P338" s="1339">
        <f t="shared" si="67"/>
        <v>0</v>
      </c>
      <c r="Q338" s="1340">
        <f t="shared" si="68"/>
        <v>0</v>
      </c>
      <c r="R338" s="1339">
        <f t="shared" si="69"/>
        <v>0</v>
      </c>
    </row>
    <row r="339" spans="1:20" ht="70.5" customHeight="1">
      <c r="A339" s="1486">
        <v>32.1</v>
      </c>
      <c r="B339" s="1198" t="s">
        <v>869</v>
      </c>
      <c r="C339" s="1111">
        <f>ROUND(Data!K1365,2)</f>
        <v>1225.6099999999999</v>
      </c>
      <c r="D339" s="1110" t="s">
        <v>1876</v>
      </c>
      <c r="E339" s="1336">
        <v>624.6</v>
      </c>
      <c r="F339" s="1125">
        <f t="shared" si="61"/>
        <v>765516.01</v>
      </c>
      <c r="G339" s="1335"/>
      <c r="H339" s="1125">
        <f t="shared" si="62"/>
        <v>0</v>
      </c>
      <c r="I339" s="1312"/>
      <c r="J339" s="1406">
        <f t="shared" si="63"/>
        <v>0</v>
      </c>
      <c r="K339" s="1335"/>
      <c r="L339" s="1125">
        <f t="shared" si="64"/>
        <v>0</v>
      </c>
      <c r="M339" s="1343"/>
      <c r="N339" s="1339">
        <f t="shared" si="65"/>
        <v>0</v>
      </c>
      <c r="O339" s="1340">
        <f t="shared" si="66"/>
        <v>0</v>
      </c>
      <c r="P339" s="1339">
        <f t="shared" si="67"/>
        <v>0</v>
      </c>
      <c r="Q339" s="1340">
        <f t="shared" si="68"/>
        <v>624.6</v>
      </c>
      <c r="R339" s="1339">
        <f t="shared" si="69"/>
        <v>765516.01</v>
      </c>
      <c r="S339" s="1322">
        <f>F339+P339</f>
        <v>765516.01</v>
      </c>
      <c r="T339" s="1322">
        <f>S339-R339</f>
        <v>0</v>
      </c>
    </row>
    <row r="340" spans="1:20" s="700" customFormat="1" ht="70.5" hidden="1" customHeight="1">
      <c r="A340" s="1414">
        <v>32.200000000000003</v>
      </c>
      <c r="B340" s="1415" t="s">
        <v>868</v>
      </c>
      <c r="C340" s="1416"/>
      <c r="D340" s="1417" t="s">
        <v>1876</v>
      </c>
      <c r="E340" s="1278"/>
      <c r="F340" s="1125">
        <f t="shared" si="61"/>
        <v>0</v>
      </c>
      <c r="G340" s="1273"/>
      <c r="H340" s="1125">
        <f t="shared" si="62"/>
        <v>0</v>
      </c>
      <c r="I340" s="748"/>
      <c r="J340" s="748">
        <f t="shared" si="63"/>
        <v>0</v>
      </c>
      <c r="K340" s="1273"/>
      <c r="L340" s="1125">
        <f t="shared" si="64"/>
        <v>0</v>
      </c>
      <c r="M340" s="1412"/>
      <c r="N340" s="1339">
        <f t="shared" si="65"/>
        <v>0</v>
      </c>
      <c r="O340" s="1340">
        <f t="shared" si="66"/>
        <v>0</v>
      </c>
      <c r="P340" s="1339">
        <f t="shared" si="67"/>
        <v>0</v>
      </c>
      <c r="Q340" s="1340">
        <f t="shared" si="68"/>
        <v>0</v>
      </c>
      <c r="R340" s="1339">
        <f t="shared" si="69"/>
        <v>0</v>
      </c>
    </row>
    <row r="341" spans="1:20" ht="59.25" customHeight="1">
      <c r="A341" s="1486">
        <v>33</v>
      </c>
      <c r="B341" s="1198" t="s">
        <v>1025</v>
      </c>
      <c r="C341" s="1111">
        <f>ROUND(Data!K1400,2)</f>
        <v>258.99</v>
      </c>
      <c r="D341" s="1110" t="s">
        <v>1876</v>
      </c>
      <c r="E341" s="1336">
        <v>5469.3</v>
      </c>
      <c r="F341" s="1125">
        <f t="shared" si="61"/>
        <v>1416494.01</v>
      </c>
      <c r="G341" s="1335"/>
      <c r="H341" s="1125">
        <f t="shared" si="62"/>
        <v>0</v>
      </c>
      <c r="I341" s="1312"/>
      <c r="J341" s="1406">
        <f t="shared" si="63"/>
        <v>0</v>
      </c>
      <c r="K341" s="1335"/>
      <c r="L341" s="1125">
        <f t="shared" si="64"/>
        <v>0</v>
      </c>
      <c r="M341" s="1340"/>
      <c r="N341" s="1339">
        <f t="shared" si="65"/>
        <v>0</v>
      </c>
      <c r="O341" s="1340">
        <f t="shared" si="66"/>
        <v>0</v>
      </c>
      <c r="P341" s="1339">
        <f t="shared" si="67"/>
        <v>0</v>
      </c>
      <c r="Q341" s="1340">
        <f t="shared" si="68"/>
        <v>5469.3</v>
      </c>
      <c r="R341" s="1339">
        <f t="shared" si="69"/>
        <v>1416494.01</v>
      </c>
      <c r="S341" s="1322">
        <f t="shared" ref="S341:S348" si="72">F341+P341</f>
        <v>1416494.01</v>
      </c>
      <c r="T341" s="1322">
        <f t="shared" ref="T341:T348" si="73">S341-R341</f>
        <v>0</v>
      </c>
    </row>
    <row r="342" spans="1:20" ht="59.25" hidden="1" customHeight="1">
      <c r="A342" s="1426">
        <v>34</v>
      </c>
      <c r="B342" s="1370" t="s">
        <v>1026</v>
      </c>
      <c r="C342" s="1411">
        <f>ROUND(Data!K1414,2)</f>
        <v>265.08</v>
      </c>
      <c r="D342" s="1371" t="s">
        <v>1876</v>
      </c>
      <c r="E342" s="1372"/>
      <c r="F342" s="1125">
        <f t="shared" si="61"/>
        <v>0</v>
      </c>
      <c r="G342" s="1427"/>
      <c r="H342" s="1125">
        <f t="shared" si="62"/>
        <v>0</v>
      </c>
      <c r="I342" s="1312"/>
      <c r="J342" s="1312">
        <f t="shared" si="63"/>
        <v>0</v>
      </c>
      <c r="K342" s="1427"/>
      <c r="L342" s="1125">
        <f t="shared" si="64"/>
        <v>0</v>
      </c>
      <c r="M342" s="1413"/>
      <c r="N342" s="1339">
        <f t="shared" si="65"/>
        <v>0</v>
      </c>
      <c r="O342" s="1340">
        <f t="shared" si="66"/>
        <v>0</v>
      </c>
      <c r="P342" s="1339">
        <f t="shared" si="67"/>
        <v>0</v>
      </c>
      <c r="Q342" s="1340">
        <f t="shared" si="68"/>
        <v>0</v>
      </c>
      <c r="R342" s="1339">
        <f t="shared" si="69"/>
        <v>0</v>
      </c>
      <c r="S342" s="1322">
        <f t="shared" si="72"/>
        <v>0</v>
      </c>
      <c r="T342" s="1322">
        <f t="shared" si="73"/>
        <v>0</v>
      </c>
    </row>
    <row r="343" spans="1:20" ht="72" customHeight="1">
      <c r="A343" s="1486">
        <v>35</v>
      </c>
      <c r="B343" s="1198" t="s">
        <v>952</v>
      </c>
      <c r="C343" s="1111">
        <f>ROUND(Data!K1426,2)</f>
        <v>297.5</v>
      </c>
      <c r="D343" s="1110" t="s">
        <v>1876</v>
      </c>
      <c r="E343" s="1336">
        <v>2487.6</v>
      </c>
      <c r="F343" s="1125">
        <f t="shared" si="61"/>
        <v>740061</v>
      </c>
      <c r="G343" s="1335"/>
      <c r="H343" s="1125">
        <f t="shared" si="62"/>
        <v>0</v>
      </c>
      <c r="I343" s="1312"/>
      <c r="J343" s="1406">
        <f t="shared" si="63"/>
        <v>0</v>
      </c>
      <c r="K343" s="1335"/>
      <c r="L343" s="1125">
        <f t="shared" si="64"/>
        <v>0</v>
      </c>
      <c r="M343" s="1340"/>
      <c r="N343" s="1339">
        <f t="shared" si="65"/>
        <v>0</v>
      </c>
      <c r="O343" s="1340">
        <f t="shared" si="66"/>
        <v>0</v>
      </c>
      <c r="P343" s="1339">
        <f t="shared" si="67"/>
        <v>0</v>
      </c>
      <c r="Q343" s="1340">
        <f t="shared" si="68"/>
        <v>2487.6</v>
      </c>
      <c r="R343" s="1339">
        <f t="shared" si="69"/>
        <v>740061</v>
      </c>
      <c r="S343" s="1322">
        <f t="shared" si="72"/>
        <v>740061</v>
      </c>
      <c r="T343" s="1322">
        <f t="shared" si="73"/>
        <v>0</v>
      </c>
    </row>
    <row r="344" spans="1:20" ht="52.5" customHeight="1">
      <c r="A344" s="1486">
        <v>36</v>
      </c>
      <c r="B344" s="1344" t="s">
        <v>1757</v>
      </c>
      <c r="C344" s="1111"/>
      <c r="D344" s="1110"/>
      <c r="E344" s="1336"/>
      <c r="F344" s="1125">
        <f t="shared" si="61"/>
        <v>0</v>
      </c>
      <c r="G344" s="1335"/>
      <c r="H344" s="1125">
        <f t="shared" si="62"/>
        <v>0</v>
      </c>
      <c r="I344" s="1312"/>
      <c r="J344" s="1406">
        <f t="shared" si="63"/>
        <v>0</v>
      </c>
      <c r="K344" s="1335"/>
      <c r="L344" s="1125">
        <f t="shared" si="64"/>
        <v>0</v>
      </c>
      <c r="M344" s="1340"/>
      <c r="N344" s="1339">
        <f t="shared" si="65"/>
        <v>0</v>
      </c>
      <c r="O344" s="1340">
        <f t="shared" si="66"/>
        <v>0</v>
      </c>
      <c r="P344" s="1339">
        <f t="shared" si="67"/>
        <v>0</v>
      </c>
      <c r="Q344" s="1341" t="s">
        <v>2290</v>
      </c>
      <c r="R344" s="1339"/>
      <c r="S344" s="1322">
        <f t="shared" si="72"/>
        <v>0</v>
      </c>
      <c r="T344" s="1322">
        <f t="shared" si="73"/>
        <v>0</v>
      </c>
    </row>
    <row r="345" spans="1:20" ht="52.5" customHeight="1">
      <c r="A345" s="1110" t="s">
        <v>992</v>
      </c>
      <c r="B345" s="1198" t="s">
        <v>1488</v>
      </c>
      <c r="C345" s="1111">
        <f>ROUND(Data!K1460,2)</f>
        <v>83.46</v>
      </c>
      <c r="D345" s="1110" t="s">
        <v>842</v>
      </c>
      <c r="E345" s="1336">
        <v>240.6</v>
      </c>
      <c r="F345" s="1125">
        <f t="shared" si="61"/>
        <v>20080.48</v>
      </c>
      <c r="G345" s="1335"/>
      <c r="H345" s="1125">
        <f t="shared" si="62"/>
        <v>0</v>
      </c>
      <c r="I345" s="1312"/>
      <c r="J345" s="1406">
        <f t="shared" si="63"/>
        <v>0</v>
      </c>
      <c r="K345" s="1335"/>
      <c r="L345" s="1125">
        <f t="shared" si="64"/>
        <v>0</v>
      </c>
      <c r="M345" s="1340"/>
      <c r="N345" s="1339">
        <f t="shared" si="65"/>
        <v>0</v>
      </c>
      <c r="O345" s="1340">
        <f t="shared" si="66"/>
        <v>0</v>
      </c>
      <c r="P345" s="1339">
        <f t="shared" si="67"/>
        <v>0</v>
      </c>
      <c r="Q345" s="1340">
        <f t="shared" si="68"/>
        <v>240.6</v>
      </c>
      <c r="R345" s="1339">
        <f t="shared" si="69"/>
        <v>20080.48</v>
      </c>
      <c r="S345" s="1322">
        <f t="shared" si="72"/>
        <v>20080.48</v>
      </c>
      <c r="T345" s="1322">
        <f t="shared" si="73"/>
        <v>0</v>
      </c>
    </row>
    <row r="346" spans="1:20" ht="52.5" customHeight="1">
      <c r="A346" s="1110"/>
      <c r="B346" s="1198" t="s">
        <v>1980</v>
      </c>
      <c r="C346" s="1111">
        <f>ROUND(Data!K1472,2)</f>
        <v>54.44</v>
      </c>
      <c r="D346" s="1110" t="s">
        <v>842</v>
      </c>
      <c r="E346" s="1336">
        <v>348.1</v>
      </c>
      <c r="F346" s="1125">
        <f t="shared" si="61"/>
        <v>18950.560000000001</v>
      </c>
      <c r="G346" s="1335"/>
      <c r="H346" s="1125">
        <f t="shared" si="62"/>
        <v>0</v>
      </c>
      <c r="I346" s="1312"/>
      <c r="J346" s="1406">
        <f t="shared" si="63"/>
        <v>0</v>
      </c>
      <c r="K346" s="1335"/>
      <c r="L346" s="1125">
        <f t="shared" si="64"/>
        <v>0</v>
      </c>
      <c r="M346" s="1340"/>
      <c r="N346" s="1339">
        <f t="shared" si="65"/>
        <v>0</v>
      </c>
      <c r="O346" s="1340">
        <f t="shared" si="66"/>
        <v>0</v>
      </c>
      <c r="P346" s="1339">
        <f t="shared" si="67"/>
        <v>0</v>
      </c>
      <c r="Q346" s="1340">
        <f t="shared" si="68"/>
        <v>348.1</v>
      </c>
      <c r="R346" s="1339">
        <f t="shared" si="69"/>
        <v>18950.560000000001</v>
      </c>
      <c r="S346" s="1322">
        <f t="shared" si="72"/>
        <v>18950.560000000001</v>
      </c>
      <c r="T346" s="1322">
        <f t="shared" si="73"/>
        <v>0</v>
      </c>
    </row>
    <row r="347" spans="1:20" ht="52.5" customHeight="1">
      <c r="A347" s="1156"/>
      <c r="B347" s="1198" t="s">
        <v>1981</v>
      </c>
      <c r="C347" s="1111">
        <f>ROUND(Data!K1485,2)</f>
        <v>40.549999999999997</v>
      </c>
      <c r="D347" s="1110" t="s">
        <v>842</v>
      </c>
      <c r="E347" s="1336">
        <v>305.39999999999998</v>
      </c>
      <c r="F347" s="1125">
        <f t="shared" si="61"/>
        <v>12383.97</v>
      </c>
      <c r="G347" s="1335"/>
      <c r="H347" s="1125">
        <f t="shared" si="62"/>
        <v>0</v>
      </c>
      <c r="I347" s="1312"/>
      <c r="J347" s="1406">
        <f t="shared" si="63"/>
        <v>0</v>
      </c>
      <c r="K347" s="1335"/>
      <c r="L347" s="1125">
        <f t="shared" si="64"/>
        <v>0</v>
      </c>
      <c r="M347" s="1340"/>
      <c r="N347" s="1339">
        <f t="shared" si="65"/>
        <v>0</v>
      </c>
      <c r="O347" s="1340">
        <f t="shared" si="66"/>
        <v>0</v>
      </c>
      <c r="P347" s="1339">
        <f t="shared" si="67"/>
        <v>0</v>
      </c>
      <c r="Q347" s="1340">
        <f t="shared" si="68"/>
        <v>305.39999999999998</v>
      </c>
      <c r="R347" s="1339">
        <f t="shared" si="69"/>
        <v>12383.97</v>
      </c>
      <c r="S347" s="1322">
        <f t="shared" si="72"/>
        <v>12383.97</v>
      </c>
      <c r="T347" s="1322">
        <f t="shared" si="73"/>
        <v>0</v>
      </c>
    </row>
    <row r="348" spans="1:20" ht="52.5" customHeight="1">
      <c r="A348" s="1486">
        <v>37.1</v>
      </c>
      <c r="B348" s="1198" t="s">
        <v>4535</v>
      </c>
      <c r="C348" s="1111">
        <f>ROUND(Data!K1498,2)</f>
        <v>47.21</v>
      </c>
      <c r="D348" s="1110" t="s">
        <v>1876</v>
      </c>
      <c r="E348" s="1336">
        <v>2487.6</v>
      </c>
      <c r="F348" s="1125">
        <f t="shared" si="61"/>
        <v>117439.6</v>
      </c>
      <c r="G348" s="1335"/>
      <c r="H348" s="1125">
        <f t="shared" si="62"/>
        <v>0</v>
      </c>
      <c r="I348" s="1312"/>
      <c r="J348" s="1406">
        <f t="shared" si="63"/>
        <v>0</v>
      </c>
      <c r="K348" s="1335"/>
      <c r="L348" s="1125">
        <f t="shared" si="64"/>
        <v>0</v>
      </c>
      <c r="M348" s="1340"/>
      <c r="N348" s="1339">
        <f t="shared" si="65"/>
        <v>0</v>
      </c>
      <c r="O348" s="1340">
        <f t="shared" si="66"/>
        <v>0</v>
      </c>
      <c r="P348" s="1339">
        <f t="shared" si="67"/>
        <v>0</v>
      </c>
      <c r="Q348" s="1340">
        <f t="shared" si="68"/>
        <v>2487.6</v>
      </c>
      <c r="R348" s="1339">
        <f t="shared" si="69"/>
        <v>117439.6</v>
      </c>
      <c r="S348" s="1322">
        <f t="shared" si="72"/>
        <v>117439.6</v>
      </c>
      <c r="T348" s="1322">
        <f t="shared" si="73"/>
        <v>0</v>
      </c>
    </row>
    <row r="349" spans="1:20" s="700" customFormat="1" ht="70.5" hidden="1" customHeight="1">
      <c r="A349" s="1414">
        <v>37.200000000000003</v>
      </c>
      <c r="B349" s="1415" t="s">
        <v>4113</v>
      </c>
      <c r="C349" s="1416">
        <f>Data!R407</f>
        <v>52.47</v>
      </c>
      <c r="D349" s="1417" t="s">
        <v>1876</v>
      </c>
      <c r="E349" s="1278"/>
      <c r="F349" s="1125">
        <f t="shared" si="61"/>
        <v>0</v>
      </c>
      <c r="G349" s="1273"/>
      <c r="H349" s="1125">
        <f t="shared" si="62"/>
        <v>0</v>
      </c>
      <c r="I349" s="748"/>
      <c r="J349" s="748">
        <f t="shared" si="63"/>
        <v>0</v>
      </c>
      <c r="K349" s="1273"/>
      <c r="L349" s="1125">
        <f t="shared" si="64"/>
        <v>0</v>
      </c>
      <c r="M349" s="1412"/>
      <c r="N349" s="1339">
        <f t="shared" si="65"/>
        <v>0</v>
      </c>
      <c r="O349" s="1340">
        <f t="shared" si="66"/>
        <v>0</v>
      </c>
      <c r="P349" s="1339">
        <f t="shared" si="67"/>
        <v>0</v>
      </c>
      <c r="Q349" s="1340">
        <f t="shared" si="68"/>
        <v>0</v>
      </c>
      <c r="R349" s="1339">
        <f t="shared" si="69"/>
        <v>0</v>
      </c>
    </row>
    <row r="350" spans="1:20" s="700" customFormat="1" ht="70.5" hidden="1" customHeight="1">
      <c r="A350" s="1105">
        <v>38.1</v>
      </c>
      <c r="B350" s="538" t="s">
        <v>1982</v>
      </c>
      <c r="C350" s="602">
        <f>ROUND(Data!K1513,2)</f>
        <v>204.36</v>
      </c>
      <c r="D350" s="744" t="s">
        <v>1876</v>
      </c>
      <c r="E350" s="1276"/>
      <c r="F350" s="1125">
        <f t="shared" si="61"/>
        <v>0</v>
      </c>
      <c r="G350" s="1199"/>
      <c r="H350" s="1125">
        <f t="shared" si="62"/>
        <v>0</v>
      </c>
      <c r="I350" s="748"/>
      <c r="J350" s="748">
        <f t="shared" si="63"/>
        <v>0</v>
      </c>
      <c r="K350" s="1199"/>
      <c r="L350" s="1125">
        <f t="shared" si="64"/>
        <v>0</v>
      </c>
      <c r="M350" s="1200"/>
      <c r="N350" s="1339">
        <f t="shared" si="65"/>
        <v>0</v>
      </c>
      <c r="O350" s="1340">
        <f t="shared" si="66"/>
        <v>0</v>
      </c>
      <c r="P350" s="1339">
        <f t="shared" si="67"/>
        <v>0</v>
      </c>
      <c r="Q350" s="1340">
        <f t="shared" si="68"/>
        <v>0</v>
      </c>
      <c r="R350" s="1339">
        <f t="shared" si="69"/>
        <v>0</v>
      </c>
    </row>
    <row r="351" spans="1:20" s="700" customFormat="1" ht="70.5" hidden="1" customHeight="1">
      <c r="A351" s="1105">
        <v>38.200000000000003</v>
      </c>
      <c r="B351" s="538" t="s">
        <v>33</v>
      </c>
      <c r="C351" s="602">
        <f>ROUND(Data!K1526,2)</f>
        <v>169</v>
      </c>
      <c r="D351" s="744" t="s">
        <v>1876</v>
      </c>
      <c r="E351" s="1276"/>
      <c r="F351" s="1125">
        <f t="shared" si="61"/>
        <v>0</v>
      </c>
      <c r="G351" s="1199"/>
      <c r="H351" s="1125">
        <f t="shared" si="62"/>
        <v>0</v>
      </c>
      <c r="I351" s="748"/>
      <c r="J351" s="748">
        <f t="shared" si="63"/>
        <v>0</v>
      </c>
      <c r="K351" s="1199"/>
      <c r="L351" s="1125">
        <f t="shared" si="64"/>
        <v>0</v>
      </c>
      <c r="M351" s="1200"/>
      <c r="N351" s="1339">
        <f t="shared" si="65"/>
        <v>0</v>
      </c>
      <c r="O351" s="1340">
        <f t="shared" si="66"/>
        <v>0</v>
      </c>
      <c r="P351" s="1339">
        <f t="shared" si="67"/>
        <v>0</v>
      </c>
      <c r="Q351" s="1340">
        <f t="shared" si="68"/>
        <v>0</v>
      </c>
      <c r="R351" s="1339">
        <f t="shared" si="69"/>
        <v>0</v>
      </c>
    </row>
    <row r="352" spans="1:20" ht="59.25" customHeight="1">
      <c r="A352" s="1486">
        <v>39</v>
      </c>
      <c r="B352" s="1198" t="s">
        <v>1983</v>
      </c>
      <c r="C352" s="1111">
        <f>Data!K1193</f>
        <v>70.150000000000006</v>
      </c>
      <c r="D352" s="1110" t="s">
        <v>272</v>
      </c>
      <c r="E352" s="1336">
        <v>5337</v>
      </c>
      <c r="F352" s="1125">
        <f t="shared" si="61"/>
        <v>374390.55</v>
      </c>
      <c r="G352" s="1335"/>
      <c r="H352" s="1125">
        <f t="shared" si="62"/>
        <v>0</v>
      </c>
      <c r="I352" s="1312"/>
      <c r="J352" s="1406">
        <f t="shared" si="63"/>
        <v>0</v>
      </c>
      <c r="K352" s="1335"/>
      <c r="L352" s="1125">
        <f t="shared" si="64"/>
        <v>0</v>
      </c>
      <c r="M352" s="1340"/>
      <c r="N352" s="1339">
        <f t="shared" si="65"/>
        <v>0</v>
      </c>
      <c r="O352" s="1340">
        <f t="shared" si="66"/>
        <v>0</v>
      </c>
      <c r="P352" s="1339">
        <f t="shared" si="67"/>
        <v>0</v>
      </c>
      <c r="Q352" s="1340">
        <f t="shared" si="68"/>
        <v>5337</v>
      </c>
      <c r="R352" s="1339">
        <f t="shared" si="69"/>
        <v>374390.55</v>
      </c>
      <c r="S352" s="1322">
        <f t="shared" ref="S352:S354" si="74">F352+P352</f>
        <v>374390.55</v>
      </c>
      <c r="T352" s="1322">
        <f t="shared" ref="T352:T354" si="75">S352-R352</f>
        <v>0</v>
      </c>
    </row>
    <row r="353" spans="1:20" ht="59.25" customHeight="1">
      <c r="A353" s="1486">
        <v>40</v>
      </c>
      <c r="B353" s="1198" t="s">
        <v>2076</v>
      </c>
      <c r="C353" s="1111">
        <f>ROUND(Data!K1540,2)</f>
        <v>240.31</v>
      </c>
      <c r="D353" s="1110" t="s">
        <v>1876</v>
      </c>
      <c r="E353" s="1336">
        <v>154.30000000000001</v>
      </c>
      <c r="F353" s="1125">
        <f t="shared" si="61"/>
        <v>37079.83</v>
      </c>
      <c r="G353" s="1335"/>
      <c r="H353" s="1125">
        <f t="shared" si="62"/>
        <v>0</v>
      </c>
      <c r="I353" s="1312"/>
      <c r="J353" s="1406">
        <f t="shared" si="63"/>
        <v>0</v>
      </c>
      <c r="K353" s="1335"/>
      <c r="L353" s="1125">
        <f t="shared" si="64"/>
        <v>0</v>
      </c>
      <c r="M353" s="1340"/>
      <c r="N353" s="1339">
        <f t="shared" si="65"/>
        <v>0</v>
      </c>
      <c r="O353" s="1340">
        <f t="shared" si="66"/>
        <v>0</v>
      </c>
      <c r="P353" s="1339">
        <f t="shared" si="67"/>
        <v>0</v>
      </c>
      <c r="Q353" s="1340">
        <f t="shared" si="68"/>
        <v>154.30000000000001</v>
      </c>
      <c r="R353" s="1339">
        <f t="shared" si="69"/>
        <v>37079.83</v>
      </c>
      <c r="S353" s="1322">
        <f t="shared" si="74"/>
        <v>37079.83</v>
      </c>
      <c r="T353" s="1322">
        <f t="shared" si="75"/>
        <v>0</v>
      </c>
    </row>
    <row r="354" spans="1:20" ht="59.25" customHeight="1">
      <c r="A354" s="1486">
        <v>41</v>
      </c>
      <c r="B354" s="1198" t="s">
        <v>1984</v>
      </c>
      <c r="C354" s="1111">
        <f>ROUND(Data!K1553,2)</f>
        <v>142.15</v>
      </c>
      <c r="D354" s="1110" t="s">
        <v>1876</v>
      </c>
      <c r="E354" s="1336">
        <v>223.9</v>
      </c>
      <c r="F354" s="1125">
        <f t="shared" si="61"/>
        <v>31827.39</v>
      </c>
      <c r="G354" s="1335"/>
      <c r="H354" s="1125">
        <f t="shared" si="62"/>
        <v>0</v>
      </c>
      <c r="I354" s="1312"/>
      <c r="J354" s="1406">
        <f t="shared" si="63"/>
        <v>0</v>
      </c>
      <c r="K354" s="1335"/>
      <c r="L354" s="1125">
        <f t="shared" si="64"/>
        <v>0</v>
      </c>
      <c r="M354" s="1340"/>
      <c r="N354" s="1339">
        <f t="shared" si="65"/>
        <v>0</v>
      </c>
      <c r="O354" s="1340">
        <f t="shared" si="66"/>
        <v>0</v>
      </c>
      <c r="P354" s="1339">
        <f t="shared" si="67"/>
        <v>0</v>
      </c>
      <c r="Q354" s="1340">
        <f t="shared" si="68"/>
        <v>223.9</v>
      </c>
      <c r="R354" s="1339">
        <f t="shared" si="69"/>
        <v>31827.39</v>
      </c>
      <c r="S354" s="1322">
        <f t="shared" si="74"/>
        <v>31827.39</v>
      </c>
      <c r="T354" s="1322">
        <f t="shared" si="75"/>
        <v>0</v>
      </c>
    </row>
    <row r="355" spans="1:20" s="700" customFormat="1" ht="70.5" hidden="1" customHeight="1">
      <c r="A355" s="1414">
        <v>42</v>
      </c>
      <c r="B355" s="1415" t="s">
        <v>4114</v>
      </c>
      <c r="C355" s="1416"/>
      <c r="D355" s="1417"/>
      <c r="E355" s="1278"/>
      <c r="F355" s="1125">
        <f t="shared" si="61"/>
        <v>0</v>
      </c>
      <c r="G355" s="1273"/>
      <c r="H355" s="1125">
        <f t="shared" si="62"/>
        <v>0</v>
      </c>
      <c r="I355" s="748"/>
      <c r="J355" s="748">
        <f t="shared" si="63"/>
        <v>0</v>
      </c>
      <c r="K355" s="1273"/>
      <c r="L355" s="1125">
        <f t="shared" si="64"/>
        <v>0</v>
      </c>
      <c r="M355" s="1412"/>
      <c r="N355" s="1339">
        <f t="shared" si="65"/>
        <v>0</v>
      </c>
      <c r="O355" s="1340">
        <f t="shared" si="66"/>
        <v>0</v>
      </c>
      <c r="P355" s="1339">
        <f t="shared" si="67"/>
        <v>0</v>
      </c>
      <c r="Q355" s="1340">
        <f t="shared" si="68"/>
        <v>0</v>
      </c>
      <c r="R355" s="1339">
        <f t="shared" si="69"/>
        <v>0</v>
      </c>
    </row>
    <row r="356" spans="1:20" s="700" customFormat="1" ht="70.5" hidden="1" customHeight="1">
      <c r="A356" s="538"/>
      <c r="B356" s="538" t="s">
        <v>2096</v>
      </c>
      <c r="C356" s="602">
        <f>ROUND(Data!K1582,2)</f>
        <v>92263.5</v>
      </c>
      <c r="D356" s="744" t="s">
        <v>535</v>
      </c>
      <c r="E356" s="1276"/>
      <c r="F356" s="1125">
        <f t="shared" si="61"/>
        <v>0</v>
      </c>
      <c r="G356" s="1199"/>
      <c r="H356" s="1125">
        <f t="shared" si="62"/>
        <v>0</v>
      </c>
      <c r="I356" s="748"/>
      <c r="J356" s="748">
        <f t="shared" si="63"/>
        <v>0</v>
      </c>
      <c r="K356" s="1199"/>
      <c r="L356" s="1125">
        <f t="shared" si="64"/>
        <v>0</v>
      </c>
      <c r="M356" s="1200"/>
      <c r="N356" s="1339">
        <f t="shared" si="65"/>
        <v>0</v>
      </c>
      <c r="O356" s="1340">
        <f t="shared" si="66"/>
        <v>0</v>
      </c>
      <c r="P356" s="1339">
        <f t="shared" si="67"/>
        <v>0</v>
      </c>
      <c r="Q356" s="1340">
        <f t="shared" si="68"/>
        <v>0</v>
      </c>
      <c r="R356" s="1339">
        <f t="shared" si="69"/>
        <v>0</v>
      </c>
    </row>
    <row r="357" spans="1:20" s="700" customFormat="1" ht="70.5" hidden="1" customHeight="1">
      <c r="A357" s="601"/>
      <c r="B357" s="538" t="s">
        <v>2097</v>
      </c>
      <c r="C357" s="602">
        <f>ROUND(Data!K1595,2)</f>
        <v>92263.5</v>
      </c>
      <c r="D357" s="744" t="s">
        <v>535</v>
      </c>
      <c r="E357" s="1276"/>
      <c r="F357" s="1125">
        <f t="shared" si="61"/>
        <v>0</v>
      </c>
      <c r="G357" s="1199"/>
      <c r="H357" s="1125">
        <f t="shared" si="62"/>
        <v>0</v>
      </c>
      <c r="I357" s="748"/>
      <c r="J357" s="748">
        <f t="shared" si="63"/>
        <v>0</v>
      </c>
      <c r="K357" s="1199"/>
      <c r="L357" s="1125">
        <f t="shared" si="64"/>
        <v>0</v>
      </c>
      <c r="M357" s="1200"/>
      <c r="N357" s="1339">
        <f t="shared" si="65"/>
        <v>0</v>
      </c>
      <c r="O357" s="1340">
        <f t="shared" si="66"/>
        <v>0</v>
      </c>
      <c r="P357" s="1339">
        <f t="shared" si="67"/>
        <v>0</v>
      </c>
      <c r="Q357" s="1340">
        <f t="shared" si="68"/>
        <v>0</v>
      </c>
      <c r="R357" s="1339">
        <f t="shared" si="69"/>
        <v>0</v>
      </c>
    </row>
    <row r="358" spans="1:20" s="700" customFormat="1" ht="70.5" hidden="1" customHeight="1">
      <c r="A358" s="1105">
        <v>43</v>
      </c>
      <c r="B358" s="538" t="s">
        <v>4115</v>
      </c>
      <c r="C358" s="602"/>
      <c r="D358" s="744"/>
      <c r="E358" s="1276"/>
      <c r="F358" s="1125">
        <f t="shared" si="61"/>
        <v>0</v>
      </c>
      <c r="G358" s="1199"/>
      <c r="H358" s="1125">
        <f t="shared" si="62"/>
        <v>0</v>
      </c>
      <c r="I358" s="748"/>
      <c r="J358" s="748">
        <f t="shared" si="63"/>
        <v>0</v>
      </c>
      <c r="K358" s="1199"/>
      <c r="L358" s="1125">
        <f t="shared" si="64"/>
        <v>0</v>
      </c>
      <c r="M358" s="1200"/>
      <c r="N358" s="1339">
        <f t="shared" si="65"/>
        <v>0</v>
      </c>
      <c r="O358" s="1340">
        <f t="shared" si="66"/>
        <v>0</v>
      </c>
      <c r="P358" s="1339">
        <f t="shared" si="67"/>
        <v>0</v>
      </c>
      <c r="Q358" s="1340">
        <f t="shared" si="68"/>
        <v>0</v>
      </c>
      <c r="R358" s="1339">
        <f t="shared" si="69"/>
        <v>0</v>
      </c>
    </row>
    <row r="359" spans="1:20" s="700" customFormat="1" ht="70.5" hidden="1" customHeight="1">
      <c r="A359" s="538"/>
      <c r="B359" s="538" t="s">
        <v>2096</v>
      </c>
      <c r="C359" s="602">
        <f>ROUND(Data!K1608,2)</f>
        <v>90172</v>
      </c>
      <c r="D359" s="744" t="s">
        <v>535</v>
      </c>
      <c r="E359" s="1276"/>
      <c r="F359" s="1125">
        <f t="shared" si="61"/>
        <v>0</v>
      </c>
      <c r="G359" s="1199"/>
      <c r="H359" s="1125">
        <f t="shared" si="62"/>
        <v>0</v>
      </c>
      <c r="I359" s="748"/>
      <c r="J359" s="748">
        <f t="shared" si="63"/>
        <v>0</v>
      </c>
      <c r="K359" s="1199"/>
      <c r="L359" s="1125">
        <f t="shared" si="64"/>
        <v>0</v>
      </c>
      <c r="M359" s="1200"/>
      <c r="N359" s="1339">
        <f t="shared" si="65"/>
        <v>0</v>
      </c>
      <c r="O359" s="1340">
        <f t="shared" si="66"/>
        <v>0</v>
      </c>
      <c r="P359" s="1339">
        <f t="shared" si="67"/>
        <v>0</v>
      </c>
      <c r="Q359" s="1340">
        <f t="shared" si="68"/>
        <v>0</v>
      </c>
      <c r="R359" s="1339">
        <f t="shared" si="69"/>
        <v>0</v>
      </c>
    </row>
    <row r="360" spans="1:20" s="700" customFormat="1" ht="70.5" hidden="1" customHeight="1">
      <c r="A360" s="601"/>
      <c r="B360" s="538" t="s">
        <v>2097</v>
      </c>
      <c r="C360" s="602">
        <f>ROUND(Data!K1620,2)</f>
        <v>90172</v>
      </c>
      <c r="D360" s="744" t="s">
        <v>535</v>
      </c>
      <c r="E360" s="1276"/>
      <c r="F360" s="1125">
        <f t="shared" si="61"/>
        <v>0</v>
      </c>
      <c r="G360" s="1199"/>
      <c r="H360" s="1125">
        <f t="shared" si="62"/>
        <v>0</v>
      </c>
      <c r="I360" s="748"/>
      <c r="J360" s="748">
        <f t="shared" si="63"/>
        <v>0</v>
      </c>
      <c r="K360" s="1199"/>
      <c r="L360" s="1125">
        <f t="shared" si="64"/>
        <v>0</v>
      </c>
      <c r="M360" s="1200"/>
      <c r="N360" s="1339">
        <f t="shared" si="65"/>
        <v>0</v>
      </c>
      <c r="O360" s="1340">
        <f t="shared" si="66"/>
        <v>0</v>
      </c>
      <c r="P360" s="1339">
        <f t="shared" si="67"/>
        <v>0</v>
      </c>
      <c r="Q360" s="1340">
        <f t="shared" si="68"/>
        <v>0</v>
      </c>
      <c r="R360" s="1339">
        <f t="shared" si="69"/>
        <v>0</v>
      </c>
    </row>
    <row r="361" spans="1:20" s="700" customFormat="1" ht="70.5" hidden="1" customHeight="1">
      <c r="A361" s="1105">
        <v>44.1</v>
      </c>
      <c r="B361" s="538" t="s">
        <v>4116</v>
      </c>
      <c r="C361" s="602">
        <f>ROUND(Data!K1638,2)</f>
        <v>349.29</v>
      </c>
      <c r="D361" s="744" t="s">
        <v>842</v>
      </c>
      <c r="E361" s="1276"/>
      <c r="F361" s="1125">
        <f t="shared" si="61"/>
        <v>0</v>
      </c>
      <c r="G361" s="1199"/>
      <c r="H361" s="1125">
        <f t="shared" si="62"/>
        <v>0</v>
      </c>
      <c r="I361" s="748"/>
      <c r="J361" s="748">
        <f t="shared" si="63"/>
        <v>0</v>
      </c>
      <c r="K361" s="1199"/>
      <c r="L361" s="1125">
        <f t="shared" si="64"/>
        <v>0</v>
      </c>
      <c r="M361" s="1200"/>
      <c r="N361" s="1339">
        <f t="shared" si="65"/>
        <v>0</v>
      </c>
      <c r="O361" s="1340">
        <f t="shared" si="66"/>
        <v>0</v>
      </c>
      <c r="P361" s="1339">
        <f t="shared" si="67"/>
        <v>0</v>
      </c>
      <c r="Q361" s="1340">
        <f t="shared" si="68"/>
        <v>0</v>
      </c>
      <c r="R361" s="1339">
        <f t="shared" si="69"/>
        <v>0</v>
      </c>
    </row>
    <row r="362" spans="1:20" s="700" customFormat="1" ht="70.5" hidden="1" customHeight="1">
      <c r="A362" s="1105">
        <v>44.2</v>
      </c>
      <c r="B362" s="538" t="s">
        <v>870</v>
      </c>
      <c r="C362" s="602"/>
      <c r="D362" s="744" t="s">
        <v>1423</v>
      </c>
      <c r="E362" s="1276"/>
      <c r="F362" s="1125">
        <f t="shared" si="61"/>
        <v>0</v>
      </c>
      <c r="G362" s="1199"/>
      <c r="H362" s="1125">
        <f t="shared" si="62"/>
        <v>0</v>
      </c>
      <c r="I362" s="748"/>
      <c r="J362" s="748">
        <f t="shared" si="63"/>
        <v>0</v>
      </c>
      <c r="K362" s="1199"/>
      <c r="L362" s="1125">
        <f t="shared" si="64"/>
        <v>0</v>
      </c>
      <c r="M362" s="1200"/>
      <c r="N362" s="1339">
        <f t="shared" si="65"/>
        <v>0</v>
      </c>
      <c r="O362" s="1340">
        <f t="shared" si="66"/>
        <v>0</v>
      </c>
      <c r="P362" s="1339">
        <f t="shared" si="67"/>
        <v>0</v>
      </c>
      <c r="Q362" s="1340">
        <f t="shared" si="68"/>
        <v>0</v>
      </c>
      <c r="R362" s="1339">
        <f t="shared" si="69"/>
        <v>0</v>
      </c>
    </row>
    <row r="363" spans="1:20" s="812" customFormat="1" ht="70.5" hidden="1" customHeight="1">
      <c r="A363" s="1107">
        <v>45</v>
      </c>
      <c r="B363" s="1112" t="s">
        <v>4906</v>
      </c>
      <c r="C363" s="1109">
        <f>ROUND(Data!K1653,2)</f>
        <v>329.26</v>
      </c>
      <c r="D363" s="1110" t="s">
        <v>1876</v>
      </c>
      <c r="E363" s="1276"/>
      <c r="F363" s="1125">
        <f t="shared" si="61"/>
        <v>0</v>
      </c>
      <c r="G363" s="1199"/>
      <c r="H363" s="1125">
        <f t="shared" si="62"/>
        <v>0</v>
      </c>
      <c r="I363" s="748"/>
      <c r="J363" s="748">
        <f t="shared" si="63"/>
        <v>0</v>
      </c>
      <c r="K363" s="1199"/>
      <c r="L363" s="1125">
        <f t="shared" si="64"/>
        <v>0</v>
      </c>
      <c r="M363" s="1200"/>
      <c r="N363" s="1339">
        <f t="shared" si="65"/>
        <v>0</v>
      </c>
      <c r="O363" s="1340">
        <f t="shared" si="66"/>
        <v>0</v>
      </c>
      <c r="P363" s="1339">
        <f t="shared" si="67"/>
        <v>0</v>
      </c>
      <c r="Q363" s="1340">
        <f t="shared" si="68"/>
        <v>0</v>
      </c>
      <c r="R363" s="1339">
        <f t="shared" si="69"/>
        <v>0</v>
      </c>
    </row>
    <row r="364" spans="1:20" ht="41.25" customHeight="1">
      <c r="A364" s="1486">
        <v>46</v>
      </c>
      <c r="B364" s="1198" t="s">
        <v>779</v>
      </c>
      <c r="C364" s="1111">
        <f>ROUND(Data!K1670,2)</f>
        <v>58</v>
      </c>
      <c r="D364" s="1110" t="s">
        <v>842</v>
      </c>
      <c r="E364" s="1336">
        <v>17.899999999999999</v>
      </c>
      <c r="F364" s="1125">
        <f t="shared" si="61"/>
        <v>1038.2</v>
      </c>
      <c r="G364" s="1335"/>
      <c r="H364" s="1125">
        <f t="shared" si="62"/>
        <v>0</v>
      </c>
      <c r="I364" s="1312"/>
      <c r="J364" s="1406">
        <f t="shared" si="63"/>
        <v>0</v>
      </c>
      <c r="K364" s="1335"/>
      <c r="L364" s="1125">
        <f t="shared" si="64"/>
        <v>0</v>
      </c>
      <c r="M364" s="1340"/>
      <c r="N364" s="1339">
        <f t="shared" si="65"/>
        <v>0</v>
      </c>
      <c r="O364" s="1340">
        <f t="shared" si="66"/>
        <v>0</v>
      </c>
      <c r="P364" s="1339">
        <f t="shared" si="67"/>
        <v>0</v>
      </c>
      <c r="Q364" s="1340">
        <f t="shared" si="68"/>
        <v>17.899999999999999</v>
      </c>
      <c r="R364" s="1339">
        <f t="shared" si="69"/>
        <v>1038.2</v>
      </c>
      <c r="S364" s="1322">
        <f t="shared" ref="S364:S367" si="76">F364+P364</f>
        <v>1038.2</v>
      </c>
      <c r="T364" s="1322">
        <f t="shared" ref="T364:T367" si="77">S364-R364</f>
        <v>0</v>
      </c>
    </row>
    <row r="365" spans="1:20" ht="41.25" customHeight="1">
      <c r="A365" s="1486">
        <v>47</v>
      </c>
      <c r="B365" s="1198" t="s">
        <v>935</v>
      </c>
      <c r="C365" s="1111">
        <f>ROUND(Data!K1682,2)</f>
        <v>95</v>
      </c>
      <c r="D365" s="1110" t="s">
        <v>1423</v>
      </c>
      <c r="E365" s="1336">
        <v>24</v>
      </c>
      <c r="F365" s="1125">
        <f t="shared" si="61"/>
        <v>2280</v>
      </c>
      <c r="G365" s="1335"/>
      <c r="H365" s="1125">
        <f t="shared" si="62"/>
        <v>0</v>
      </c>
      <c r="I365" s="1312"/>
      <c r="J365" s="1406">
        <f t="shared" si="63"/>
        <v>0</v>
      </c>
      <c r="K365" s="1335"/>
      <c r="L365" s="1125">
        <f t="shared" si="64"/>
        <v>0</v>
      </c>
      <c r="M365" s="1340"/>
      <c r="N365" s="1339">
        <f t="shared" si="65"/>
        <v>0</v>
      </c>
      <c r="O365" s="1340">
        <f t="shared" si="66"/>
        <v>0</v>
      </c>
      <c r="P365" s="1339">
        <f t="shared" si="67"/>
        <v>0</v>
      </c>
      <c r="Q365" s="1340">
        <f t="shared" si="68"/>
        <v>24</v>
      </c>
      <c r="R365" s="1339">
        <f t="shared" si="69"/>
        <v>2280</v>
      </c>
      <c r="S365" s="1322">
        <f t="shared" si="76"/>
        <v>2280</v>
      </c>
      <c r="T365" s="1322">
        <f t="shared" si="77"/>
        <v>0</v>
      </c>
    </row>
    <row r="366" spans="1:20" ht="41.25" customHeight="1">
      <c r="A366" s="1486">
        <v>48</v>
      </c>
      <c r="B366" s="1198" t="s">
        <v>1873</v>
      </c>
      <c r="C366" s="1111">
        <f>ROUND(Data!K1690,2)</f>
        <v>55</v>
      </c>
      <c r="D366" s="1110" t="s">
        <v>1423</v>
      </c>
      <c r="E366" s="1336">
        <v>13</v>
      </c>
      <c r="F366" s="1125">
        <f t="shared" si="61"/>
        <v>715</v>
      </c>
      <c r="G366" s="1335"/>
      <c r="H366" s="1125">
        <f t="shared" si="62"/>
        <v>0</v>
      </c>
      <c r="I366" s="1312"/>
      <c r="J366" s="1406">
        <f t="shared" si="63"/>
        <v>0</v>
      </c>
      <c r="K366" s="1335"/>
      <c r="L366" s="1125">
        <f t="shared" si="64"/>
        <v>0</v>
      </c>
      <c r="M366" s="1340"/>
      <c r="N366" s="1339">
        <f t="shared" si="65"/>
        <v>0</v>
      </c>
      <c r="O366" s="1340">
        <f t="shared" si="66"/>
        <v>0</v>
      </c>
      <c r="P366" s="1339">
        <f t="shared" si="67"/>
        <v>0</v>
      </c>
      <c r="Q366" s="1340">
        <f t="shared" si="68"/>
        <v>13</v>
      </c>
      <c r="R366" s="1339">
        <f t="shared" si="69"/>
        <v>715</v>
      </c>
      <c r="S366" s="1322">
        <f t="shared" si="76"/>
        <v>715</v>
      </c>
      <c r="T366" s="1322">
        <f t="shared" si="77"/>
        <v>0</v>
      </c>
    </row>
    <row r="367" spans="1:20" ht="41.25" customHeight="1">
      <c r="A367" s="1486">
        <v>49</v>
      </c>
      <c r="B367" s="1198" t="s">
        <v>1874</v>
      </c>
      <c r="C367" s="1111">
        <f>ROUND(Data!K1697,2)</f>
        <v>1.5</v>
      </c>
      <c r="D367" s="1110" t="s">
        <v>1423</v>
      </c>
      <c r="E367" s="1336">
        <v>48</v>
      </c>
      <c r="F367" s="1125">
        <f t="shared" si="61"/>
        <v>72</v>
      </c>
      <c r="G367" s="1335"/>
      <c r="H367" s="1125">
        <f t="shared" si="62"/>
        <v>0</v>
      </c>
      <c r="I367" s="1312"/>
      <c r="J367" s="1406">
        <f t="shared" si="63"/>
        <v>0</v>
      </c>
      <c r="K367" s="1335"/>
      <c r="L367" s="1125">
        <f t="shared" si="64"/>
        <v>0</v>
      </c>
      <c r="M367" s="1340"/>
      <c r="N367" s="1339">
        <f t="shared" si="65"/>
        <v>0</v>
      </c>
      <c r="O367" s="1340">
        <f t="shared" si="66"/>
        <v>0</v>
      </c>
      <c r="P367" s="1339">
        <f t="shared" si="67"/>
        <v>0</v>
      </c>
      <c r="Q367" s="1340">
        <f t="shared" si="68"/>
        <v>48</v>
      </c>
      <c r="R367" s="1339">
        <f t="shared" si="69"/>
        <v>72</v>
      </c>
      <c r="S367" s="1322">
        <f t="shared" si="76"/>
        <v>72</v>
      </c>
      <c r="T367" s="1322">
        <f t="shared" si="77"/>
        <v>0</v>
      </c>
    </row>
    <row r="368" spans="1:20" s="700" customFormat="1" ht="23.25" hidden="1">
      <c r="A368" s="1414">
        <v>50.1</v>
      </c>
      <c r="B368" s="1415" t="s">
        <v>1875</v>
      </c>
      <c r="C368" s="1416"/>
      <c r="D368" s="1417" t="s">
        <v>1876</v>
      </c>
      <c r="E368" s="1278"/>
      <c r="F368" s="1125">
        <f t="shared" si="61"/>
        <v>0</v>
      </c>
      <c r="G368" s="1273"/>
      <c r="H368" s="1125">
        <f t="shared" si="62"/>
        <v>0</v>
      </c>
      <c r="I368" s="748"/>
      <c r="J368" s="748">
        <f t="shared" si="63"/>
        <v>0</v>
      </c>
      <c r="K368" s="1273"/>
      <c r="L368" s="1125">
        <f t="shared" si="64"/>
        <v>0</v>
      </c>
      <c r="M368" s="1412"/>
      <c r="N368" s="1339">
        <f t="shared" si="65"/>
        <v>0</v>
      </c>
      <c r="O368" s="1340">
        <f t="shared" si="66"/>
        <v>0</v>
      </c>
      <c r="P368" s="1339">
        <f t="shared" si="67"/>
        <v>0</v>
      </c>
      <c r="Q368" s="1340">
        <f t="shared" si="68"/>
        <v>0</v>
      </c>
      <c r="R368" s="1339">
        <f t="shared" si="69"/>
        <v>0</v>
      </c>
    </row>
    <row r="369" spans="1:20" ht="46.5">
      <c r="A369" s="1486">
        <v>50.2</v>
      </c>
      <c r="B369" s="1198" t="s">
        <v>294</v>
      </c>
      <c r="C369" s="1111">
        <f>ROUND(Data!K1746,2)</f>
        <v>265.58999999999997</v>
      </c>
      <c r="D369" s="1110" t="s">
        <v>842</v>
      </c>
      <c r="E369" s="1336">
        <v>50.4</v>
      </c>
      <c r="F369" s="1125">
        <f t="shared" si="61"/>
        <v>13385.74</v>
      </c>
      <c r="G369" s="1335"/>
      <c r="H369" s="1125">
        <f t="shared" si="62"/>
        <v>0</v>
      </c>
      <c r="I369" s="1312"/>
      <c r="J369" s="1406">
        <f t="shared" si="63"/>
        <v>0</v>
      </c>
      <c r="K369" s="1335"/>
      <c r="L369" s="1125">
        <f t="shared" si="64"/>
        <v>0</v>
      </c>
      <c r="M369" s="1343"/>
      <c r="N369" s="1339">
        <f t="shared" si="65"/>
        <v>0</v>
      </c>
      <c r="O369" s="1340">
        <f t="shared" si="66"/>
        <v>0</v>
      </c>
      <c r="P369" s="1339">
        <f t="shared" si="67"/>
        <v>0</v>
      </c>
      <c r="Q369" s="1340">
        <f t="shared" si="68"/>
        <v>50.4</v>
      </c>
      <c r="R369" s="1339">
        <f t="shared" si="69"/>
        <v>13385.74</v>
      </c>
      <c r="S369" s="1322">
        <f t="shared" ref="S369:S372" si="78">F369+P369</f>
        <v>13385.74</v>
      </c>
      <c r="T369" s="1322">
        <f t="shared" ref="T369:T372" si="79">S369-R369</f>
        <v>0</v>
      </c>
    </row>
    <row r="370" spans="1:20" ht="41.25" customHeight="1">
      <c r="A370" s="1486">
        <v>50.3</v>
      </c>
      <c r="B370" s="1198" t="s">
        <v>2232</v>
      </c>
      <c r="C370" s="1111">
        <f>ROUND(Data!K1762,2)</f>
        <v>365.51</v>
      </c>
      <c r="D370" s="1110" t="s">
        <v>1423</v>
      </c>
      <c r="E370" s="1336">
        <v>10</v>
      </c>
      <c r="F370" s="1125">
        <f t="shared" si="61"/>
        <v>3655.1</v>
      </c>
      <c r="G370" s="1335"/>
      <c r="H370" s="1125">
        <f t="shared" si="62"/>
        <v>0</v>
      </c>
      <c r="I370" s="1312"/>
      <c r="J370" s="1406">
        <f t="shared" si="63"/>
        <v>0</v>
      </c>
      <c r="K370" s="1335"/>
      <c r="L370" s="1125">
        <f t="shared" si="64"/>
        <v>0</v>
      </c>
      <c r="M370" s="1340"/>
      <c r="N370" s="1339">
        <f t="shared" si="65"/>
        <v>0</v>
      </c>
      <c r="O370" s="1340">
        <f t="shared" si="66"/>
        <v>0</v>
      </c>
      <c r="P370" s="1339">
        <f t="shared" si="67"/>
        <v>0</v>
      </c>
      <c r="Q370" s="1340">
        <f t="shared" si="68"/>
        <v>10</v>
      </c>
      <c r="R370" s="1339">
        <f t="shared" si="69"/>
        <v>3655.1</v>
      </c>
      <c r="S370" s="1322">
        <f t="shared" si="78"/>
        <v>3655.1</v>
      </c>
      <c r="T370" s="1322">
        <f t="shared" si="79"/>
        <v>0</v>
      </c>
    </row>
    <row r="371" spans="1:20" ht="41.25" customHeight="1">
      <c r="A371" s="1486">
        <v>50.4</v>
      </c>
      <c r="B371" s="1198" t="s">
        <v>2233</v>
      </c>
      <c r="C371" s="1111">
        <f>ROUND(Data!K1775,2)</f>
        <v>903.38</v>
      </c>
      <c r="D371" s="1110" t="s">
        <v>1423</v>
      </c>
      <c r="E371" s="1336">
        <v>10</v>
      </c>
      <c r="F371" s="1125">
        <f t="shared" si="61"/>
        <v>9033.7999999999993</v>
      </c>
      <c r="G371" s="1335"/>
      <c r="H371" s="1125">
        <f t="shared" si="62"/>
        <v>0</v>
      </c>
      <c r="I371" s="1312"/>
      <c r="J371" s="1406">
        <f t="shared" si="63"/>
        <v>0</v>
      </c>
      <c r="K371" s="1335"/>
      <c r="L371" s="1125">
        <f t="shared" si="64"/>
        <v>0</v>
      </c>
      <c r="M371" s="1340"/>
      <c r="N371" s="1339">
        <f t="shared" si="65"/>
        <v>0</v>
      </c>
      <c r="O371" s="1340">
        <f t="shared" si="66"/>
        <v>0</v>
      </c>
      <c r="P371" s="1339">
        <f t="shared" si="67"/>
        <v>0</v>
      </c>
      <c r="Q371" s="1340">
        <f t="shared" si="68"/>
        <v>10</v>
      </c>
      <c r="R371" s="1339">
        <f t="shared" si="69"/>
        <v>9033.7999999999993</v>
      </c>
      <c r="S371" s="1322">
        <f t="shared" si="78"/>
        <v>9033.7999999999993</v>
      </c>
      <c r="T371" s="1322">
        <f t="shared" si="79"/>
        <v>0</v>
      </c>
    </row>
    <row r="372" spans="1:20" ht="59.25" customHeight="1">
      <c r="A372" s="1486">
        <v>50.5</v>
      </c>
      <c r="B372" s="1198" t="s">
        <v>396</v>
      </c>
      <c r="C372" s="1111">
        <f>ROUND(Data!K1790,2)</f>
        <v>19525.759999999998</v>
      </c>
      <c r="D372" s="1110" t="s">
        <v>1423</v>
      </c>
      <c r="E372" s="1336">
        <v>1</v>
      </c>
      <c r="F372" s="1125">
        <f t="shared" si="61"/>
        <v>19525.759999999998</v>
      </c>
      <c r="G372" s="1335"/>
      <c r="H372" s="1125">
        <f t="shared" si="62"/>
        <v>0</v>
      </c>
      <c r="I372" s="1312"/>
      <c r="J372" s="1406">
        <f t="shared" si="63"/>
        <v>0</v>
      </c>
      <c r="K372" s="1335"/>
      <c r="L372" s="1125">
        <f t="shared" si="64"/>
        <v>0</v>
      </c>
      <c r="M372" s="1340"/>
      <c r="N372" s="1339">
        <f t="shared" si="65"/>
        <v>0</v>
      </c>
      <c r="O372" s="1340">
        <f t="shared" si="66"/>
        <v>0</v>
      </c>
      <c r="P372" s="1339">
        <f t="shared" si="67"/>
        <v>0</v>
      </c>
      <c r="Q372" s="1340">
        <f t="shared" si="68"/>
        <v>1</v>
      </c>
      <c r="R372" s="1339">
        <f t="shared" si="69"/>
        <v>19525.759999999998</v>
      </c>
      <c r="S372" s="1322">
        <f t="shared" si="78"/>
        <v>19525.759999999998</v>
      </c>
      <c r="T372" s="1322">
        <f t="shared" si="79"/>
        <v>0</v>
      </c>
    </row>
    <row r="373" spans="1:20" s="700" customFormat="1" ht="70.5" hidden="1" customHeight="1">
      <c r="A373" s="1414">
        <v>51</v>
      </c>
      <c r="B373" s="1415" t="s">
        <v>247</v>
      </c>
      <c r="C373" s="1416">
        <f>ROUND(Data!K1796,2)</f>
        <v>7035</v>
      </c>
      <c r="D373" s="1417" t="s">
        <v>1423</v>
      </c>
      <c r="E373" s="1278"/>
      <c r="F373" s="1125">
        <f t="shared" si="61"/>
        <v>0</v>
      </c>
      <c r="G373" s="1273"/>
      <c r="H373" s="1125">
        <f t="shared" si="62"/>
        <v>0</v>
      </c>
      <c r="I373" s="748"/>
      <c r="J373" s="748">
        <f t="shared" si="63"/>
        <v>0</v>
      </c>
      <c r="K373" s="1273"/>
      <c r="L373" s="1125">
        <f t="shared" si="64"/>
        <v>0</v>
      </c>
      <c r="M373" s="1412"/>
      <c r="N373" s="1339">
        <f t="shared" si="65"/>
        <v>0</v>
      </c>
      <c r="O373" s="1340">
        <f t="shared" si="66"/>
        <v>0</v>
      </c>
      <c r="P373" s="1339">
        <f t="shared" si="67"/>
        <v>0</v>
      </c>
      <c r="Q373" s="1340">
        <f t="shared" si="68"/>
        <v>0</v>
      </c>
      <c r="R373" s="1339">
        <f t="shared" si="69"/>
        <v>0</v>
      </c>
    </row>
    <row r="374" spans="1:20" s="746" customFormat="1" ht="59.25" customHeight="1">
      <c r="A374" s="1107">
        <v>52</v>
      </c>
      <c r="B374" s="1112" t="s">
        <v>248</v>
      </c>
      <c r="C374" s="1111"/>
      <c r="D374" s="1110"/>
      <c r="E374" s="1100"/>
      <c r="F374" s="1125">
        <f t="shared" si="61"/>
        <v>0</v>
      </c>
      <c r="G374" s="1199"/>
      <c r="H374" s="1125">
        <f t="shared" si="62"/>
        <v>0</v>
      </c>
      <c r="I374" s="748"/>
      <c r="J374" s="1407">
        <f t="shared" si="63"/>
        <v>0</v>
      </c>
      <c r="K374" s="1199"/>
      <c r="L374" s="1125">
        <f t="shared" si="64"/>
        <v>0</v>
      </c>
      <c r="M374" s="1208"/>
      <c r="N374" s="1339">
        <f t="shared" si="65"/>
        <v>0</v>
      </c>
      <c r="O374" s="1340">
        <f t="shared" si="66"/>
        <v>0</v>
      </c>
      <c r="P374" s="1339">
        <f t="shared" si="67"/>
        <v>0</v>
      </c>
      <c r="Q374" s="1341" t="s">
        <v>2290</v>
      </c>
      <c r="R374" s="1339"/>
      <c r="S374" s="1090"/>
    </row>
    <row r="375" spans="1:20" s="746" customFormat="1" ht="59.25" customHeight="1">
      <c r="A375" s="1108"/>
      <c r="B375" s="1108" t="s">
        <v>48</v>
      </c>
      <c r="C375" s="1111">
        <f>ROUND(Data!K1890,2)</f>
        <v>261.45999999999998</v>
      </c>
      <c r="D375" s="1110" t="s">
        <v>842</v>
      </c>
      <c r="E375" s="1100">
        <v>37.4</v>
      </c>
      <c r="F375" s="1125">
        <f t="shared" si="61"/>
        <v>9778.6</v>
      </c>
      <c r="G375" s="1199"/>
      <c r="H375" s="1125">
        <f t="shared" si="62"/>
        <v>0</v>
      </c>
      <c r="I375" s="748"/>
      <c r="J375" s="1407">
        <f t="shared" si="63"/>
        <v>0</v>
      </c>
      <c r="K375" s="1199"/>
      <c r="L375" s="1125">
        <f t="shared" si="64"/>
        <v>0</v>
      </c>
      <c r="M375" s="1208"/>
      <c r="N375" s="1339">
        <f t="shared" si="65"/>
        <v>0</v>
      </c>
      <c r="O375" s="1340">
        <f t="shared" si="66"/>
        <v>0</v>
      </c>
      <c r="P375" s="1339">
        <f t="shared" si="67"/>
        <v>0</v>
      </c>
      <c r="Q375" s="1340">
        <f t="shared" si="68"/>
        <v>37.4</v>
      </c>
      <c r="R375" s="1339">
        <f t="shared" si="69"/>
        <v>9778.6</v>
      </c>
      <c r="S375" s="1090"/>
    </row>
    <row r="376" spans="1:20" s="746" customFormat="1" ht="59.25" customHeight="1">
      <c r="A376" s="1108"/>
      <c r="B376" s="1108" t="s">
        <v>49</v>
      </c>
      <c r="C376" s="1111">
        <f>ROUND(Data!K1882,2)</f>
        <v>243.43</v>
      </c>
      <c r="D376" s="1110" t="s">
        <v>842</v>
      </c>
      <c r="E376" s="1100">
        <v>155.6</v>
      </c>
      <c r="F376" s="1125">
        <f t="shared" si="61"/>
        <v>37877.71</v>
      </c>
      <c r="G376" s="1199"/>
      <c r="H376" s="1125">
        <f t="shared" si="62"/>
        <v>0</v>
      </c>
      <c r="I376" s="748"/>
      <c r="J376" s="1407">
        <f t="shared" si="63"/>
        <v>0</v>
      </c>
      <c r="K376" s="1199"/>
      <c r="L376" s="1125">
        <f t="shared" si="64"/>
        <v>0</v>
      </c>
      <c r="M376" s="1208"/>
      <c r="N376" s="1339">
        <f t="shared" si="65"/>
        <v>0</v>
      </c>
      <c r="O376" s="1340">
        <f t="shared" si="66"/>
        <v>0</v>
      </c>
      <c r="P376" s="1339">
        <f t="shared" si="67"/>
        <v>0</v>
      </c>
      <c r="Q376" s="1340">
        <f t="shared" si="68"/>
        <v>155.6</v>
      </c>
      <c r="R376" s="1339">
        <f t="shared" si="69"/>
        <v>37877.71</v>
      </c>
      <c r="S376" s="1090"/>
    </row>
    <row r="377" spans="1:20" s="700" customFormat="1" ht="70.5" customHeight="1">
      <c r="A377" s="601"/>
      <c r="B377" s="538" t="s">
        <v>50</v>
      </c>
      <c r="C377" s="602">
        <f>ROUND(Data!K1874,2)</f>
        <v>238.64</v>
      </c>
      <c r="D377" s="744" t="s">
        <v>842</v>
      </c>
      <c r="E377" s="1100">
        <v>90.6</v>
      </c>
      <c r="F377" s="1125">
        <f t="shared" si="61"/>
        <v>21620.78</v>
      </c>
      <c r="G377" s="1199"/>
      <c r="H377" s="1125">
        <f t="shared" si="62"/>
        <v>0</v>
      </c>
      <c r="I377" s="748"/>
      <c r="J377" s="1407">
        <f t="shared" si="63"/>
        <v>0</v>
      </c>
      <c r="K377" s="1199"/>
      <c r="L377" s="1125">
        <f t="shared" si="64"/>
        <v>0</v>
      </c>
      <c r="M377" s="1200"/>
      <c r="N377" s="1339">
        <f t="shared" si="65"/>
        <v>0</v>
      </c>
      <c r="O377" s="1340">
        <f t="shared" si="66"/>
        <v>0</v>
      </c>
      <c r="P377" s="1339">
        <f t="shared" si="67"/>
        <v>0</v>
      </c>
      <c r="Q377" s="1340">
        <f t="shared" si="68"/>
        <v>90.6</v>
      </c>
      <c r="R377" s="1339">
        <f t="shared" si="69"/>
        <v>21620.78</v>
      </c>
    </row>
    <row r="378" spans="1:20" ht="57" customHeight="1">
      <c r="A378" s="1486">
        <v>52.1</v>
      </c>
      <c r="B378" s="1326" t="s">
        <v>1547</v>
      </c>
      <c r="C378" s="747">
        <f>ROUND(Data!K1927,2)</f>
        <v>321.08</v>
      </c>
      <c r="D378" s="1110" t="s">
        <v>842</v>
      </c>
      <c r="E378" s="1336">
        <v>10</v>
      </c>
      <c r="F378" s="1125">
        <f t="shared" si="61"/>
        <v>3210.8</v>
      </c>
      <c r="G378" s="1335"/>
      <c r="H378" s="1125">
        <f t="shared" si="62"/>
        <v>0</v>
      </c>
      <c r="I378" s="1312"/>
      <c r="J378" s="1406">
        <f t="shared" si="63"/>
        <v>0</v>
      </c>
      <c r="K378" s="1335"/>
      <c r="L378" s="1125">
        <f t="shared" si="64"/>
        <v>0</v>
      </c>
      <c r="M378" s="1340"/>
      <c r="N378" s="1339">
        <f t="shared" si="65"/>
        <v>0</v>
      </c>
      <c r="O378" s="1340">
        <f t="shared" si="66"/>
        <v>0</v>
      </c>
      <c r="P378" s="1339">
        <f t="shared" si="67"/>
        <v>0</v>
      </c>
      <c r="Q378" s="1340">
        <f t="shared" si="68"/>
        <v>10</v>
      </c>
      <c r="R378" s="1339">
        <f t="shared" si="69"/>
        <v>3210.8</v>
      </c>
      <c r="S378" s="1322">
        <f>F378+P378</f>
        <v>3210.8</v>
      </c>
      <c r="T378" s="1322">
        <f>S378-R378</f>
        <v>0</v>
      </c>
    </row>
    <row r="379" spans="1:20" s="700" customFormat="1" ht="57.75" hidden="1" customHeight="1">
      <c r="A379" s="1414">
        <v>53.1</v>
      </c>
      <c r="B379" s="1415" t="s">
        <v>51</v>
      </c>
      <c r="C379" s="1416">
        <f>ROUND(Data!K1948,2)</f>
        <v>3406.02</v>
      </c>
      <c r="D379" s="1417" t="s">
        <v>1423</v>
      </c>
      <c r="E379" s="1278"/>
      <c r="F379" s="1125">
        <f t="shared" si="61"/>
        <v>0</v>
      </c>
      <c r="G379" s="1273"/>
      <c r="H379" s="1125">
        <f t="shared" si="62"/>
        <v>0</v>
      </c>
      <c r="I379" s="748"/>
      <c r="J379" s="748">
        <f t="shared" si="63"/>
        <v>0</v>
      </c>
      <c r="K379" s="1273"/>
      <c r="L379" s="1125">
        <f t="shared" si="64"/>
        <v>0</v>
      </c>
      <c r="M379" s="1412"/>
      <c r="N379" s="1339">
        <f t="shared" si="65"/>
        <v>0</v>
      </c>
      <c r="O379" s="1340">
        <f t="shared" si="66"/>
        <v>0</v>
      </c>
      <c r="P379" s="1339">
        <f t="shared" si="67"/>
        <v>0</v>
      </c>
      <c r="Q379" s="1340">
        <f t="shared" si="68"/>
        <v>0</v>
      </c>
      <c r="R379" s="1339">
        <f t="shared" si="69"/>
        <v>0</v>
      </c>
    </row>
    <row r="380" spans="1:20" s="700" customFormat="1" ht="54.75" hidden="1" customHeight="1">
      <c r="A380" s="1105">
        <v>53.2</v>
      </c>
      <c r="B380" s="538" t="s">
        <v>1205</v>
      </c>
      <c r="C380" s="602"/>
      <c r="D380" s="744" t="s">
        <v>1423</v>
      </c>
      <c r="E380" s="1276"/>
      <c r="F380" s="1125">
        <f t="shared" si="61"/>
        <v>0</v>
      </c>
      <c r="G380" s="1199"/>
      <c r="H380" s="1125">
        <f t="shared" si="62"/>
        <v>0</v>
      </c>
      <c r="I380" s="748"/>
      <c r="J380" s="748">
        <f t="shared" si="63"/>
        <v>0</v>
      </c>
      <c r="K380" s="1199"/>
      <c r="L380" s="1125">
        <f t="shared" si="64"/>
        <v>0</v>
      </c>
      <c r="M380" s="1200"/>
      <c r="N380" s="1339">
        <f t="shared" si="65"/>
        <v>0</v>
      </c>
      <c r="O380" s="1340">
        <f t="shared" si="66"/>
        <v>0</v>
      </c>
      <c r="P380" s="1339">
        <f t="shared" si="67"/>
        <v>0</v>
      </c>
      <c r="Q380" s="1340">
        <f t="shared" si="68"/>
        <v>0</v>
      </c>
      <c r="R380" s="1339">
        <f t="shared" si="69"/>
        <v>0</v>
      </c>
    </row>
    <row r="381" spans="1:20" ht="47.25" customHeight="1">
      <c r="A381" s="1486">
        <v>53.3</v>
      </c>
      <c r="B381" s="1198" t="s">
        <v>52</v>
      </c>
      <c r="C381" s="1111">
        <f>ROUND(Data!K1952,2)</f>
        <v>30</v>
      </c>
      <c r="D381" s="1110" t="s">
        <v>1423</v>
      </c>
      <c r="E381" s="1336"/>
      <c r="F381" s="1125">
        <f t="shared" si="61"/>
        <v>0</v>
      </c>
      <c r="G381" s="1335">
        <v>10</v>
      </c>
      <c r="H381" s="1125">
        <f t="shared" si="62"/>
        <v>300</v>
      </c>
      <c r="I381" s="1312"/>
      <c r="J381" s="1406">
        <f t="shared" si="63"/>
        <v>0</v>
      </c>
      <c r="K381" s="1335"/>
      <c r="L381" s="1125">
        <f t="shared" si="64"/>
        <v>0</v>
      </c>
      <c r="M381" s="1343"/>
      <c r="N381" s="1339">
        <f t="shared" si="65"/>
        <v>0</v>
      </c>
      <c r="O381" s="1340">
        <f t="shared" si="66"/>
        <v>10</v>
      </c>
      <c r="P381" s="1339">
        <f t="shared" si="67"/>
        <v>300</v>
      </c>
      <c r="Q381" s="1340">
        <f t="shared" si="68"/>
        <v>10</v>
      </c>
      <c r="R381" s="1339">
        <f t="shared" si="69"/>
        <v>300</v>
      </c>
      <c r="S381" s="1322">
        <f>F381+P381</f>
        <v>300</v>
      </c>
      <c r="T381" s="1322">
        <f>S381-R381</f>
        <v>0</v>
      </c>
    </row>
    <row r="382" spans="1:20" s="700" customFormat="1" ht="70.5" hidden="1" customHeight="1">
      <c r="A382" s="1428">
        <v>54</v>
      </c>
      <c r="B382" s="1415" t="s">
        <v>994</v>
      </c>
      <c r="C382" s="1416">
        <f>ROUND(Data!K1954,2)</f>
        <v>206</v>
      </c>
      <c r="D382" s="1417" t="s">
        <v>1423</v>
      </c>
      <c r="E382" s="1278"/>
      <c r="F382" s="1125">
        <f t="shared" si="61"/>
        <v>0</v>
      </c>
      <c r="G382" s="1273"/>
      <c r="H382" s="1125">
        <f t="shared" si="62"/>
        <v>0</v>
      </c>
      <c r="I382" s="748"/>
      <c r="J382" s="748">
        <f t="shared" si="63"/>
        <v>0</v>
      </c>
      <c r="K382" s="1273"/>
      <c r="L382" s="1125">
        <f t="shared" si="64"/>
        <v>0</v>
      </c>
      <c r="M382" s="1412"/>
      <c r="N382" s="1339">
        <f t="shared" si="65"/>
        <v>0</v>
      </c>
      <c r="O382" s="1340">
        <f t="shared" si="66"/>
        <v>0</v>
      </c>
      <c r="P382" s="1339">
        <f t="shared" si="67"/>
        <v>0</v>
      </c>
      <c r="Q382" s="1340">
        <f t="shared" si="68"/>
        <v>0</v>
      </c>
      <c r="R382" s="1339">
        <f t="shared" si="69"/>
        <v>0</v>
      </c>
    </row>
    <row r="383" spans="1:20" s="700" customFormat="1" ht="70.5" hidden="1" customHeight="1">
      <c r="A383" s="1105">
        <v>54.1</v>
      </c>
      <c r="B383" s="538" t="s">
        <v>1206</v>
      </c>
      <c r="C383" s="743">
        <f>ROUND(Data!K1957,2)</f>
        <v>300</v>
      </c>
      <c r="D383" s="744" t="s">
        <v>1423</v>
      </c>
      <c r="E383" s="1276"/>
      <c r="F383" s="1125">
        <f t="shared" si="61"/>
        <v>0</v>
      </c>
      <c r="G383" s="1199"/>
      <c r="H383" s="1125">
        <f t="shared" si="62"/>
        <v>0</v>
      </c>
      <c r="I383" s="748"/>
      <c r="J383" s="748">
        <f t="shared" si="63"/>
        <v>0</v>
      </c>
      <c r="K383" s="1199"/>
      <c r="L383" s="1125">
        <f t="shared" si="64"/>
        <v>0</v>
      </c>
      <c r="M383" s="1200"/>
      <c r="N383" s="1339">
        <f t="shared" si="65"/>
        <v>0</v>
      </c>
      <c r="O383" s="1340">
        <f t="shared" si="66"/>
        <v>0</v>
      </c>
      <c r="P383" s="1339">
        <f t="shared" si="67"/>
        <v>0</v>
      </c>
      <c r="Q383" s="1340">
        <f t="shared" si="68"/>
        <v>0</v>
      </c>
      <c r="R383" s="1339">
        <f t="shared" si="69"/>
        <v>0</v>
      </c>
    </row>
    <row r="384" spans="1:20" s="700" customFormat="1" ht="70.5" hidden="1" customHeight="1">
      <c r="A384" s="1105">
        <v>54.2</v>
      </c>
      <c r="B384" s="538" t="s">
        <v>1207</v>
      </c>
      <c r="C384" s="743">
        <f>ROUND(Data!K1960,2)</f>
        <v>250</v>
      </c>
      <c r="D384" s="744" t="s">
        <v>1423</v>
      </c>
      <c r="E384" s="1276"/>
      <c r="F384" s="1125">
        <f t="shared" si="61"/>
        <v>0</v>
      </c>
      <c r="G384" s="1199"/>
      <c r="H384" s="1125">
        <f t="shared" si="62"/>
        <v>0</v>
      </c>
      <c r="I384" s="748"/>
      <c r="J384" s="748">
        <f t="shared" si="63"/>
        <v>0</v>
      </c>
      <c r="K384" s="1199"/>
      <c r="L384" s="1125">
        <f t="shared" si="64"/>
        <v>0</v>
      </c>
      <c r="M384" s="1200"/>
      <c r="N384" s="1339">
        <f t="shared" si="65"/>
        <v>0</v>
      </c>
      <c r="O384" s="1340">
        <f t="shared" si="66"/>
        <v>0</v>
      </c>
      <c r="P384" s="1339">
        <f t="shared" si="67"/>
        <v>0</v>
      </c>
      <c r="Q384" s="1340">
        <f t="shared" si="68"/>
        <v>0</v>
      </c>
      <c r="R384" s="1339">
        <f t="shared" si="69"/>
        <v>0</v>
      </c>
    </row>
    <row r="385" spans="1:20" s="700" customFormat="1" ht="70.5" hidden="1" customHeight="1">
      <c r="A385" s="1105">
        <v>55.1</v>
      </c>
      <c r="B385" s="538" t="s">
        <v>1242</v>
      </c>
      <c r="C385" s="602">
        <f>Data!K2403</f>
        <v>905.27</v>
      </c>
      <c r="D385" s="744" t="s">
        <v>1423</v>
      </c>
      <c r="E385" s="1276"/>
      <c r="F385" s="1125">
        <f t="shared" si="61"/>
        <v>0</v>
      </c>
      <c r="G385" s="1199"/>
      <c r="H385" s="1125">
        <f t="shared" si="62"/>
        <v>0</v>
      </c>
      <c r="I385" s="748"/>
      <c r="J385" s="748">
        <f t="shared" si="63"/>
        <v>0</v>
      </c>
      <c r="K385" s="1199"/>
      <c r="L385" s="1125">
        <f t="shared" si="64"/>
        <v>0</v>
      </c>
      <c r="M385" s="1200"/>
      <c r="N385" s="1339">
        <f t="shared" si="65"/>
        <v>0</v>
      </c>
      <c r="O385" s="1340">
        <f t="shared" si="66"/>
        <v>0</v>
      </c>
      <c r="P385" s="1339">
        <f t="shared" si="67"/>
        <v>0</v>
      </c>
      <c r="Q385" s="1340">
        <f t="shared" si="68"/>
        <v>0</v>
      </c>
      <c r="R385" s="1339">
        <f t="shared" si="69"/>
        <v>0</v>
      </c>
    </row>
    <row r="386" spans="1:20" ht="48.75" hidden="1" customHeight="1">
      <c r="A386" s="1324">
        <v>55.2</v>
      </c>
      <c r="B386" s="1198" t="s">
        <v>1243</v>
      </c>
      <c r="C386" s="1109">
        <f>Data!K2415</f>
        <v>2252.5500000000002</v>
      </c>
      <c r="D386" s="1110" t="s">
        <v>1423</v>
      </c>
      <c r="E386" s="1342"/>
      <c r="F386" s="1125">
        <f t="shared" si="61"/>
        <v>0</v>
      </c>
      <c r="G386" s="1335"/>
      <c r="H386" s="1125">
        <f t="shared" si="62"/>
        <v>0</v>
      </c>
      <c r="I386" s="1312"/>
      <c r="J386" s="1312">
        <f t="shared" si="63"/>
        <v>0</v>
      </c>
      <c r="K386" s="1335"/>
      <c r="L386" s="1125">
        <f t="shared" si="64"/>
        <v>0</v>
      </c>
      <c r="M386" s="1343"/>
      <c r="N386" s="1339">
        <f t="shared" si="65"/>
        <v>0</v>
      </c>
      <c r="O386" s="1340">
        <f t="shared" si="66"/>
        <v>0</v>
      </c>
      <c r="P386" s="1339">
        <f t="shared" si="67"/>
        <v>0</v>
      </c>
      <c r="Q386" s="1340">
        <f t="shared" si="68"/>
        <v>0</v>
      </c>
      <c r="R386" s="1339">
        <f t="shared" si="69"/>
        <v>0</v>
      </c>
      <c r="S386" s="1322">
        <f>F386+P386</f>
        <v>0</v>
      </c>
      <c r="T386" s="1322">
        <f>S386-R386</f>
        <v>0</v>
      </c>
    </row>
    <row r="387" spans="1:20" s="700" customFormat="1" ht="70.5" hidden="1" customHeight="1">
      <c r="A387" s="1105">
        <v>56.1</v>
      </c>
      <c r="B387" s="538" t="s">
        <v>1244</v>
      </c>
      <c r="C387" s="602">
        <f>ROUND(Data!K1977,2)</f>
        <v>3447.45</v>
      </c>
      <c r="D387" s="744" t="s">
        <v>1423</v>
      </c>
      <c r="E387" s="1276"/>
      <c r="F387" s="1125">
        <f t="shared" si="61"/>
        <v>0</v>
      </c>
      <c r="G387" s="1199"/>
      <c r="H387" s="1125">
        <f t="shared" si="62"/>
        <v>0</v>
      </c>
      <c r="I387" s="748"/>
      <c r="J387" s="748">
        <f t="shared" si="63"/>
        <v>0</v>
      </c>
      <c r="K387" s="1199"/>
      <c r="L387" s="1125">
        <f t="shared" si="64"/>
        <v>0</v>
      </c>
      <c r="M387" s="1200"/>
      <c r="N387" s="1339">
        <f t="shared" si="65"/>
        <v>0</v>
      </c>
      <c r="O387" s="1340">
        <f t="shared" si="66"/>
        <v>0</v>
      </c>
      <c r="P387" s="1339">
        <f t="shared" si="67"/>
        <v>0</v>
      </c>
      <c r="Q387" s="1340">
        <f t="shared" si="68"/>
        <v>0</v>
      </c>
      <c r="R387" s="1339">
        <f t="shared" si="69"/>
        <v>0</v>
      </c>
    </row>
    <row r="388" spans="1:20" s="700" customFormat="1" ht="70.5" hidden="1" customHeight="1">
      <c r="A388" s="1105">
        <v>56.2</v>
      </c>
      <c r="B388" s="538" t="s">
        <v>2328</v>
      </c>
      <c r="C388" s="602">
        <f>ROUND(Data!K1998,2)</f>
        <v>5401.74</v>
      </c>
      <c r="D388" s="744" t="s">
        <v>1423</v>
      </c>
      <c r="E388" s="1276"/>
      <c r="F388" s="1125">
        <f t="shared" si="61"/>
        <v>0</v>
      </c>
      <c r="G388" s="1199"/>
      <c r="H388" s="1125">
        <f t="shared" si="62"/>
        <v>0</v>
      </c>
      <c r="I388" s="748"/>
      <c r="J388" s="748">
        <f t="shared" si="63"/>
        <v>0</v>
      </c>
      <c r="K388" s="1199"/>
      <c r="L388" s="1125">
        <f t="shared" si="64"/>
        <v>0</v>
      </c>
      <c r="M388" s="1200"/>
      <c r="N388" s="1339">
        <f t="shared" si="65"/>
        <v>0</v>
      </c>
      <c r="O388" s="1340">
        <f t="shared" si="66"/>
        <v>0</v>
      </c>
      <c r="P388" s="1339">
        <f t="shared" si="67"/>
        <v>0</v>
      </c>
      <c r="Q388" s="1340">
        <f t="shared" si="68"/>
        <v>0</v>
      </c>
      <c r="R388" s="1339">
        <f t="shared" si="69"/>
        <v>0</v>
      </c>
    </row>
    <row r="389" spans="1:20" s="700" customFormat="1" ht="70.5" hidden="1" customHeight="1">
      <c r="A389" s="1126">
        <v>57</v>
      </c>
      <c r="B389" s="538" t="s">
        <v>397</v>
      </c>
      <c r="C389" s="743">
        <f>ROUND(Data!K2015,2)</f>
        <v>7287.75</v>
      </c>
      <c r="D389" s="744" t="s">
        <v>1423</v>
      </c>
      <c r="E389" s="1276"/>
      <c r="F389" s="1125">
        <f t="shared" si="61"/>
        <v>0</v>
      </c>
      <c r="G389" s="1199"/>
      <c r="H389" s="1125">
        <f t="shared" si="62"/>
        <v>0</v>
      </c>
      <c r="I389" s="748"/>
      <c r="J389" s="748">
        <f t="shared" si="63"/>
        <v>0</v>
      </c>
      <c r="K389" s="1199"/>
      <c r="L389" s="1125">
        <f t="shared" si="64"/>
        <v>0</v>
      </c>
      <c r="M389" s="1200"/>
      <c r="N389" s="1339">
        <f t="shared" si="65"/>
        <v>0</v>
      </c>
      <c r="O389" s="1340">
        <f t="shared" si="66"/>
        <v>0</v>
      </c>
      <c r="P389" s="1339">
        <f t="shared" si="67"/>
        <v>0</v>
      </c>
      <c r="Q389" s="1340">
        <f t="shared" si="68"/>
        <v>0</v>
      </c>
      <c r="R389" s="1339">
        <f t="shared" si="69"/>
        <v>0</v>
      </c>
    </row>
    <row r="390" spans="1:20" s="700" customFormat="1" ht="70.5" hidden="1" customHeight="1">
      <c r="A390" s="1105">
        <v>57.1</v>
      </c>
      <c r="B390" s="538" t="s">
        <v>398</v>
      </c>
      <c r="C390" s="602">
        <f>ROUND(Data!K2034,2)</f>
        <v>7681.75</v>
      </c>
      <c r="D390" s="744" t="s">
        <v>1423</v>
      </c>
      <c r="E390" s="1276"/>
      <c r="F390" s="1125">
        <f t="shared" si="61"/>
        <v>0</v>
      </c>
      <c r="G390" s="1199"/>
      <c r="H390" s="1125">
        <f t="shared" si="62"/>
        <v>0</v>
      </c>
      <c r="I390" s="748"/>
      <c r="J390" s="748">
        <f t="shared" si="63"/>
        <v>0</v>
      </c>
      <c r="K390" s="1199"/>
      <c r="L390" s="1125">
        <f t="shared" si="64"/>
        <v>0</v>
      </c>
      <c r="M390" s="1200"/>
      <c r="N390" s="1339">
        <f t="shared" si="65"/>
        <v>0</v>
      </c>
      <c r="O390" s="1340">
        <f t="shared" si="66"/>
        <v>0</v>
      </c>
      <c r="P390" s="1339">
        <f t="shared" si="67"/>
        <v>0</v>
      </c>
      <c r="Q390" s="1340">
        <f t="shared" si="68"/>
        <v>0</v>
      </c>
      <c r="R390" s="1339">
        <f t="shared" si="69"/>
        <v>0</v>
      </c>
    </row>
    <row r="391" spans="1:20" s="700" customFormat="1" ht="70.5" hidden="1" customHeight="1">
      <c r="A391" s="1105">
        <v>58.1</v>
      </c>
      <c r="B391" s="538" t="s">
        <v>399</v>
      </c>
      <c r="C391" s="602"/>
      <c r="D391" s="744"/>
      <c r="E391" s="1276"/>
      <c r="F391" s="1125">
        <f t="shared" ref="F391:F454" si="80">E391*C391</f>
        <v>0</v>
      </c>
      <c r="G391" s="1199"/>
      <c r="H391" s="1125">
        <f t="shared" ref="H391:H454" si="81">G391*C391</f>
        <v>0</v>
      </c>
      <c r="I391" s="748"/>
      <c r="J391" s="748">
        <f t="shared" ref="J391:J454" si="82">I391*C391</f>
        <v>0</v>
      </c>
      <c r="K391" s="1199"/>
      <c r="L391" s="1125">
        <f t="shared" ref="L391:L454" si="83">K391*C391</f>
        <v>0</v>
      </c>
      <c r="M391" s="1200"/>
      <c r="N391" s="1339">
        <f t="shared" ref="N391:N454" si="84">M391*C391</f>
        <v>0</v>
      </c>
      <c r="O391" s="1340">
        <f t="shared" ref="O391:O454" si="85">G391+K391+M391</f>
        <v>0</v>
      </c>
      <c r="P391" s="1339">
        <f t="shared" ref="P391:P454" si="86">O391*C391</f>
        <v>0</v>
      </c>
      <c r="Q391" s="1340">
        <f t="shared" ref="Q391:Q454" si="87">O391+E391</f>
        <v>0</v>
      </c>
      <c r="R391" s="1339">
        <f t="shared" ref="R391:R454" si="88">Q391*C391</f>
        <v>0</v>
      </c>
    </row>
    <row r="392" spans="1:20" s="700" customFormat="1" ht="70.5" hidden="1" customHeight="1">
      <c r="A392" s="538"/>
      <c r="B392" s="538" t="s">
        <v>37</v>
      </c>
      <c r="C392" s="602">
        <f>ROUND(Data!K2063,2)</f>
        <v>735.27</v>
      </c>
      <c r="D392" s="744" t="s">
        <v>842</v>
      </c>
      <c r="E392" s="1276"/>
      <c r="F392" s="1125">
        <f t="shared" si="80"/>
        <v>0</v>
      </c>
      <c r="G392" s="1199"/>
      <c r="H392" s="1125">
        <f t="shared" si="81"/>
        <v>0</v>
      </c>
      <c r="I392" s="748"/>
      <c r="J392" s="748">
        <f t="shared" si="82"/>
        <v>0</v>
      </c>
      <c r="K392" s="1199"/>
      <c r="L392" s="1125">
        <f t="shared" si="83"/>
        <v>0</v>
      </c>
      <c r="M392" s="1200"/>
      <c r="N392" s="1339">
        <f t="shared" si="84"/>
        <v>0</v>
      </c>
      <c r="O392" s="1340">
        <f t="shared" si="85"/>
        <v>0</v>
      </c>
      <c r="P392" s="1339">
        <f t="shared" si="86"/>
        <v>0</v>
      </c>
      <c r="Q392" s="1340">
        <f t="shared" si="87"/>
        <v>0</v>
      </c>
      <c r="R392" s="1339">
        <f t="shared" si="88"/>
        <v>0</v>
      </c>
    </row>
    <row r="393" spans="1:20" s="700" customFormat="1" ht="70.5" hidden="1" customHeight="1">
      <c r="A393" s="601"/>
      <c r="B393" s="538" t="s">
        <v>38</v>
      </c>
      <c r="C393" s="602">
        <f>ROUND(Data!K2087,2)</f>
        <v>617.97</v>
      </c>
      <c r="D393" s="744" t="s">
        <v>842</v>
      </c>
      <c r="E393" s="1276"/>
      <c r="F393" s="1125">
        <f t="shared" si="80"/>
        <v>0</v>
      </c>
      <c r="G393" s="1199"/>
      <c r="H393" s="1125">
        <f t="shared" si="81"/>
        <v>0</v>
      </c>
      <c r="I393" s="748"/>
      <c r="J393" s="748">
        <f t="shared" si="82"/>
        <v>0</v>
      </c>
      <c r="K393" s="1199"/>
      <c r="L393" s="1125">
        <f t="shared" si="83"/>
        <v>0</v>
      </c>
      <c r="M393" s="1200"/>
      <c r="N393" s="1339">
        <f t="shared" si="84"/>
        <v>0</v>
      </c>
      <c r="O393" s="1340">
        <f t="shared" si="85"/>
        <v>0</v>
      </c>
      <c r="P393" s="1339">
        <f t="shared" si="86"/>
        <v>0</v>
      </c>
      <c r="Q393" s="1340">
        <f t="shared" si="87"/>
        <v>0</v>
      </c>
      <c r="R393" s="1339">
        <f t="shared" si="88"/>
        <v>0</v>
      </c>
    </row>
    <row r="394" spans="1:20" s="700" customFormat="1" ht="70.5" hidden="1" customHeight="1">
      <c r="A394" s="1105">
        <v>58.2</v>
      </c>
      <c r="B394" s="538" t="s">
        <v>39</v>
      </c>
      <c r="C394" s="602">
        <f>ROUND(Data!K2098,2)</f>
        <v>454</v>
      </c>
      <c r="D394" s="744" t="s">
        <v>1423</v>
      </c>
      <c r="E394" s="1276"/>
      <c r="F394" s="1125">
        <f t="shared" si="80"/>
        <v>0</v>
      </c>
      <c r="G394" s="1199"/>
      <c r="H394" s="1125">
        <f t="shared" si="81"/>
        <v>0</v>
      </c>
      <c r="I394" s="748"/>
      <c r="J394" s="748">
        <f t="shared" si="82"/>
        <v>0</v>
      </c>
      <c r="K394" s="1199"/>
      <c r="L394" s="1125">
        <f t="shared" si="83"/>
        <v>0</v>
      </c>
      <c r="M394" s="1200"/>
      <c r="N394" s="1339">
        <f t="shared" si="84"/>
        <v>0</v>
      </c>
      <c r="O394" s="1340">
        <f t="shared" si="85"/>
        <v>0</v>
      </c>
      <c r="P394" s="1339">
        <f t="shared" si="86"/>
        <v>0</v>
      </c>
      <c r="Q394" s="1340">
        <f t="shared" si="87"/>
        <v>0</v>
      </c>
      <c r="R394" s="1339">
        <f t="shared" si="88"/>
        <v>0</v>
      </c>
    </row>
    <row r="395" spans="1:20" s="700" customFormat="1" ht="70.5" hidden="1" customHeight="1">
      <c r="A395" s="1105">
        <v>59.1</v>
      </c>
      <c r="B395" s="538" t="s">
        <v>291</v>
      </c>
      <c r="C395" s="602"/>
      <c r="D395" s="744" t="s">
        <v>1423</v>
      </c>
      <c r="E395" s="1276"/>
      <c r="F395" s="1125">
        <f t="shared" si="80"/>
        <v>0</v>
      </c>
      <c r="G395" s="1199"/>
      <c r="H395" s="1125">
        <f t="shared" si="81"/>
        <v>0</v>
      </c>
      <c r="I395" s="748"/>
      <c r="J395" s="748">
        <f t="shared" si="82"/>
        <v>0</v>
      </c>
      <c r="K395" s="1199"/>
      <c r="L395" s="1125">
        <f t="shared" si="83"/>
        <v>0</v>
      </c>
      <c r="M395" s="1200"/>
      <c r="N395" s="1339">
        <f t="shared" si="84"/>
        <v>0</v>
      </c>
      <c r="O395" s="1340">
        <f t="shared" si="85"/>
        <v>0</v>
      </c>
      <c r="P395" s="1339">
        <f t="shared" si="86"/>
        <v>0</v>
      </c>
      <c r="Q395" s="1340">
        <f t="shared" si="87"/>
        <v>0</v>
      </c>
      <c r="R395" s="1339">
        <f t="shared" si="88"/>
        <v>0</v>
      </c>
    </row>
    <row r="396" spans="1:20" ht="60" customHeight="1">
      <c r="A396" s="1486">
        <v>59.2</v>
      </c>
      <c r="B396" s="1198" t="s">
        <v>35</v>
      </c>
      <c r="C396" s="1111">
        <f>ROUND(Data!K2111,2)</f>
        <v>2070.36</v>
      </c>
      <c r="D396" s="1110" t="s">
        <v>1423</v>
      </c>
      <c r="E396" s="1336">
        <v>24</v>
      </c>
      <c r="F396" s="1125">
        <f t="shared" si="80"/>
        <v>49688.639999999999</v>
      </c>
      <c r="G396" s="1335"/>
      <c r="H396" s="1125">
        <f t="shared" si="81"/>
        <v>0</v>
      </c>
      <c r="I396" s="1312"/>
      <c r="J396" s="1406">
        <f t="shared" si="82"/>
        <v>0</v>
      </c>
      <c r="K396" s="1335"/>
      <c r="L396" s="1125">
        <f t="shared" si="83"/>
        <v>0</v>
      </c>
      <c r="M396" s="1343"/>
      <c r="N396" s="1339">
        <f t="shared" si="84"/>
        <v>0</v>
      </c>
      <c r="O396" s="1340">
        <f t="shared" si="85"/>
        <v>0</v>
      </c>
      <c r="P396" s="1339">
        <f t="shared" si="86"/>
        <v>0</v>
      </c>
      <c r="Q396" s="1340">
        <f t="shared" si="87"/>
        <v>24</v>
      </c>
      <c r="R396" s="1339">
        <f t="shared" si="88"/>
        <v>49688.639999999999</v>
      </c>
      <c r="S396" s="1322">
        <f>F396+P396</f>
        <v>49688.639999999999</v>
      </c>
      <c r="T396" s="1322">
        <f>S396-R396</f>
        <v>0</v>
      </c>
    </row>
    <row r="397" spans="1:20" s="700" customFormat="1" ht="70.5" hidden="1" customHeight="1">
      <c r="A397" s="1414">
        <v>59.3</v>
      </c>
      <c r="B397" s="1415" t="s">
        <v>233</v>
      </c>
      <c r="C397" s="1416"/>
      <c r="D397" s="1417" t="s">
        <v>1423</v>
      </c>
      <c r="E397" s="1278"/>
      <c r="F397" s="1125">
        <f t="shared" si="80"/>
        <v>0</v>
      </c>
      <c r="G397" s="1273"/>
      <c r="H397" s="1125">
        <f t="shared" si="81"/>
        <v>0</v>
      </c>
      <c r="I397" s="748"/>
      <c r="J397" s="748">
        <f t="shared" si="82"/>
        <v>0</v>
      </c>
      <c r="K397" s="1273"/>
      <c r="L397" s="1125">
        <f t="shared" si="83"/>
        <v>0</v>
      </c>
      <c r="M397" s="1412"/>
      <c r="N397" s="1339">
        <f t="shared" si="84"/>
        <v>0</v>
      </c>
      <c r="O397" s="1340">
        <f t="shared" si="85"/>
        <v>0</v>
      </c>
      <c r="P397" s="1339">
        <f t="shared" si="86"/>
        <v>0</v>
      </c>
      <c r="Q397" s="1340">
        <f t="shared" si="87"/>
        <v>0</v>
      </c>
      <c r="R397" s="1339">
        <f t="shared" si="88"/>
        <v>0</v>
      </c>
    </row>
    <row r="398" spans="1:20" s="700" customFormat="1" ht="70.5" hidden="1" customHeight="1">
      <c r="A398" s="1105">
        <v>59.4</v>
      </c>
      <c r="B398" s="538" t="s">
        <v>1329</v>
      </c>
      <c r="C398" s="602"/>
      <c r="D398" s="744" t="s">
        <v>1423</v>
      </c>
      <c r="E398" s="1276"/>
      <c r="F398" s="1125">
        <f t="shared" si="80"/>
        <v>0</v>
      </c>
      <c r="G398" s="1199"/>
      <c r="H398" s="1125">
        <f t="shared" si="81"/>
        <v>0</v>
      </c>
      <c r="I398" s="748"/>
      <c r="J398" s="748">
        <f t="shared" si="82"/>
        <v>0</v>
      </c>
      <c r="K398" s="1199"/>
      <c r="L398" s="1125">
        <f t="shared" si="83"/>
        <v>0</v>
      </c>
      <c r="M398" s="1200"/>
      <c r="N398" s="1339">
        <f t="shared" si="84"/>
        <v>0</v>
      </c>
      <c r="O398" s="1340">
        <f t="shared" si="85"/>
        <v>0</v>
      </c>
      <c r="P398" s="1339">
        <f t="shared" si="86"/>
        <v>0</v>
      </c>
      <c r="Q398" s="1340">
        <f t="shared" si="87"/>
        <v>0</v>
      </c>
      <c r="R398" s="1339">
        <f t="shared" si="88"/>
        <v>0</v>
      </c>
    </row>
    <row r="399" spans="1:20" s="812" customFormat="1" ht="70.5" hidden="1" customHeight="1">
      <c r="A399" s="1107">
        <v>59.5</v>
      </c>
      <c r="B399" s="1108" t="s">
        <v>1330</v>
      </c>
      <c r="C399" s="1109">
        <f>Data!K2111</f>
        <v>2070.36</v>
      </c>
      <c r="D399" s="1110" t="s">
        <v>1423</v>
      </c>
      <c r="E399" s="1276"/>
      <c r="F399" s="1125">
        <f t="shared" si="80"/>
        <v>0</v>
      </c>
      <c r="G399" s="1199"/>
      <c r="H399" s="1125">
        <f t="shared" si="81"/>
        <v>0</v>
      </c>
      <c r="I399" s="748"/>
      <c r="J399" s="748">
        <f t="shared" si="82"/>
        <v>0</v>
      </c>
      <c r="K399" s="1199"/>
      <c r="L399" s="1125">
        <f t="shared" si="83"/>
        <v>0</v>
      </c>
      <c r="M399" s="1208"/>
      <c r="N399" s="1339">
        <f t="shared" si="84"/>
        <v>0</v>
      </c>
      <c r="O399" s="1340">
        <f t="shared" si="85"/>
        <v>0</v>
      </c>
      <c r="P399" s="1339">
        <f t="shared" si="86"/>
        <v>0</v>
      </c>
      <c r="Q399" s="1340">
        <f t="shared" si="87"/>
        <v>0</v>
      </c>
      <c r="R399" s="1339">
        <f t="shared" si="88"/>
        <v>0</v>
      </c>
    </row>
    <row r="400" spans="1:20" s="700" customFormat="1" ht="70.5" hidden="1" customHeight="1">
      <c r="A400" s="1105">
        <v>59.6</v>
      </c>
      <c r="B400" s="538" t="s">
        <v>1233</v>
      </c>
      <c r="C400" s="602"/>
      <c r="D400" s="744" t="s">
        <v>1423</v>
      </c>
      <c r="E400" s="1276"/>
      <c r="F400" s="1125">
        <f t="shared" si="80"/>
        <v>0</v>
      </c>
      <c r="G400" s="1199"/>
      <c r="H400" s="1125">
        <f t="shared" si="81"/>
        <v>0</v>
      </c>
      <c r="I400" s="748"/>
      <c r="J400" s="748">
        <f t="shared" si="82"/>
        <v>0</v>
      </c>
      <c r="K400" s="1199"/>
      <c r="L400" s="1125">
        <f t="shared" si="83"/>
        <v>0</v>
      </c>
      <c r="M400" s="1200"/>
      <c r="N400" s="1339">
        <f t="shared" si="84"/>
        <v>0</v>
      </c>
      <c r="O400" s="1340">
        <f t="shared" si="85"/>
        <v>0</v>
      </c>
      <c r="P400" s="1339">
        <f t="shared" si="86"/>
        <v>0</v>
      </c>
      <c r="Q400" s="1340">
        <f t="shared" si="87"/>
        <v>0</v>
      </c>
      <c r="R400" s="1339">
        <f t="shared" si="88"/>
        <v>0</v>
      </c>
    </row>
    <row r="401" spans="1:20" ht="50.25" customHeight="1">
      <c r="A401" s="1486">
        <v>60</v>
      </c>
      <c r="B401" s="1198" t="s">
        <v>1553</v>
      </c>
      <c r="C401" s="1111">
        <f>ROUND(Data!K2119,2)</f>
        <v>160</v>
      </c>
      <c r="D401" s="1110" t="s">
        <v>1423</v>
      </c>
      <c r="E401" s="1336">
        <v>45</v>
      </c>
      <c r="F401" s="1125">
        <f t="shared" si="80"/>
        <v>7200</v>
      </c>
      <c r="G401" s="1335"/>
      <c r="H401" s="1125">
        <f t="shared" si="81"/>
        <v>0</v>
      </c>
      <c r="I401" s="1312"/>
      <c r="J401" s="1406">
        <f t="shared" si="82"/>
        <v>0</v>
      </c>
      <c r="K401" s="1335"/>
      <c r="L401" s="1125">
        <f t="shared" si="83"/>
        <v>0</v>
      </c>
      <c r="M401" s="1340"/>
      <c r="N401" s="1339">
        <f t="shared" si="84"/>
        <v>0</v>
      </c>
      <c r="O401" s="1340">
        <f t="shared" si="85"/>
        <v>0</v>
      </c>
      <c r="P401" s="1339">
        <f t="shared" si="86"/>
        <v>0</v>
      </c>
      <c r="Q401" s="1340">
        <f t="shared" si="87"/>
        <v>45</v>
      </c>
      <c r="R401" s="1339">
        <f t="shared" si="88"/>
        <v>7200</v>
      </c>
      <c r="S401" s="1322">
        <f>F401+P401</f>
        <v>7200</v>
      </c>
      <c r="T401" s="1322">
        <f>S401-R401</f>
        <v>0</v>
      </c>
    </row>
    <row r="402" spans="1:20" s="700" customFormat="1" ht="23.25" hidden="1">
      <c r="A402" s="1414">
        <v>61.1</v>
      </c>
      <c r="B402" s="1415" t="s">
        <v>1332</v>
      </c>
      <c r="C402" s="1418"/>
      <c r="D402" s="1417"/>
      <c r="E402" s="1278"/>
      <c r="F402" s="1125">
        <f t="shared" si="80"/>
        <v>0</v>
      </c>
      <c r="G402" s="1273"/>
      <c r="H402" s="1125">
        <f t="shared" si="81"/>
        <v>0</v>
      </c>
      <c r="I402" s="748"/>
      <c r="J402" s="748">
        <f t="shared" si="82"/>
        <v>0</v>
      </c>
      <c r="K402" s="1273"/>
      <c r="L402" s="1125">
        <f t="shared" si="83"/>
        <v>0</v>
      </c>
      <c r="M402" s="1412"/>
      <c r="N402" s="1339">
        <f t="shared" si="84"/>
        <v>0</v>
      </c>
      <c r="O402" s="1340">
        <f t="shared" si="85"/>
        <v>0</v>
      </c>
      <c r="P402" s="1339">
        <f t="shared" si="86"/>
        <v>0</v>
      </c>
      <c r="Q402" s="1340">
        <f t="shared" si="87"/>
        <v>0</v>
      </c>
      <c r="R402" s="1339">
        <f t="shared" si="88"/>
        <v>0</v>
      </c>
    </row>
    <row r="403" spans="1:20" s="700" customFormat="1" ht="23.25" hidden="1">
      <c r="A403" s="538"/>
      <c r="B403" s="538" t="s">
        <v>1072</v>
      </c>
      <c r="C403" s="743">
        <f>ROUND(Data!K2138,2)</f>
        <v>590.15</v>
      </c>
      <c r="D403" s="744" t="s">
        <v>842</v>
      </c>
      <c r="E403" s="1276"/>
      <c r="F403" s="1125">
        <f t="shared" si="80"/>
        <v>0</v>
      </c>
      <c r="G403" s="1199"/>
      <c r="H403" s="1125">
        <f t="shared" si="81"/>
        <v>0</v>
      </c>
      <c r="I403" s="748"/>
      <c r="J403" s="748">
        <f t="shared" si="82"/>
        <v>0</v>
      </c>
      <c r="K403" s="1199"/>
      <c r="L403" s="1125">
        <f t="shared" si="83"/>
        <v>0</v>
      </c>
      <c r="M403" s="1200"/>
      <c r="N403" s="1339">
        <f t="shared" si="84"/>
        <v>0</v>
      </c>
      <c r="O403" s="1340">
        <f t="shared" si="85"/>
        <v>0</v>
      </c>
      <c r="P403" s="1339">
        <f t="shared" si="86"/>
        <v>0</v>
      </c>
      <c r="Q403" s="1340">
        <f t="shared" si="87"/>
        <v>0</v>
      </c>
      <c r="R403" s="1339">
        <f t="shared" si="88"/>
        <v>0</v>
      </c>
    </row>
    <row r="404" spans="1:20" s="700" customFormat="1" ht="23.25" hidden="1">
      <c r="A404" s="601"/>
      <c r="B404" s="538" t="s">
        <v>1073</v>
      </c>
      <c r="C404" s="743">
        <f>ROUND(Data!K2158,2)</f>
        <v>777.02</v>
      </c>
      <c r="D404" s="744" t="s">
        <v>842</v>
      </c>
      <c r="E404" s="1276"/>
      <c r="F404" s="1125">
        <f t="shared" si="80"/>
        <v>0</v>
      </c>
      <c r="G404" s="1199"/>
      <c r="H404" s="1125">
        <f t="shared" si="81"/>
        <v>0</v>
      </c>
      <c r="I404" s="748"/>
      <c r="J404" s="748">
        <f t="shared" si="82"/>
        <v>0</v>
      </c>
      <c r="K404" s="1199"/>
      <c r="L404" s="1125">
        <f t="shared" si="83"/>
        <v>0</v>
      </c>
      <c r="M404" s="1200"/>
      <c r="N404" s="1339">
        <f t="shared" si="84"/>
        <v>0</v>
      </c>
      <c r="O404" s="1340">
        <f t="shared" si="85"/>
        <v>0</v>
      </c>
      <c r="P404" s="1339">
        <f t="shared" si="86"/>
        <v>0</v>
      </c>
      <c r="Q404" s="1340">
        <f t="shared" si="87"/>
        <v>0</v>
      </c>
      <c r="R404" s="1339">
        <f t="shared" si="88"/>
        <v>0</v>
      </c>
    </row>
    <row r="405" spans="1:20" s="700" customFormat="1" ht="41.25" hidden="1" customHeight="1">
      <c r="A405" s="1105">
        <v>61.2</v>
      </c>
      <c r="B405" s="600" t="s">
        <v>1074</v>
      </c>
      <c r="C405" s="743"/>
      <c r="D405" s="744"/>
      <c r="E405" s="1276"/>
      <c r="F405" s="1125">
        <f t="shared" si="80"/>
        <v>0</v>
      </c>
      <c r="G405" s="1199"/>
      <c r="H405" s="1125">
        <f t="shared" si="81"/>
        <v>0</v>
      </c>
      <c r="I405" s="748"/>
      <c r="J405" s="748">
        <f t="shared" si="82"/>
        <v>0</v>
      </c>
      <c r="K405" s="1199"/>
      <c r="L405" s="1125">
        <f t="shared" si="83"/>
        <v>0</v>
      </c>
      <c r="M405" s="1200"/>
      <c r="N405" s="1339">
        <f t="shared" si="84"/>
        <v>0</v>
      </c>
      <c r="O405" s="1340">
        <f t="shared" si="85"/>
        <v>0</v>
      </c>
      <c r="P405" s="1339">
        <f t="shared" si="86"/>
        <v>0</v>
      </c>
      <c r="Q405" s="1340">
        <f t="shared" si="87"/>
        <v>0</v>
      </c>
      <c r="R405" s="1339">
        <f t="shared" si="88"/>
        <v>0</v>
      </c>
    </row>
    <row r="406" spans="1:20" s="700" customFormat="1" ht="41.25" hidden="1" customHeight="1">
      <c r="A406" s="538"/>
      <c r="B406" s="538" t="s">
        <v>1075</v>
      </c>
      <c r="C406" s="743">
        <f>ROUND(Data!K2169,2)</f>
        <v>248.21</v>
      </c>
      <c r="D406" s="744" t="s">
        <v>842</v>
      </c>
      <c r="E406" s="1276"/>
      <c r="F406" s="1125">
        <f t="shared" si="80"/>
        <v>0</v>
      </c>
      <c r="G406" s="1199"/>
      <c r="H406" s="1125">
        <f t="shared" si="81"/>
        <v>0</v>
      </c>
      <c r="I406" s="748"/>
      <c r="J406" s="748">
        <f t="shared" si="82"/>
        <v>0</v>
      </c>
      <c r="K406" s="1199"/>
      <c r="L406" s="1125">
        <f t="shared" si="83"/>
        <v>0</v>
      </c>
      <c r="M406" s="1200"/>
      <c r="N406" s="1339">
        <f t="shared" si="84"/>
        <v>0</v>
      </c>
      <c r="O406" s="1340">
        <f t="shared" si="85"/>
        <v>0</v>
      </c>
      <c r="P406" s="1339">
        <f t="shared" si="86"/>
        <v>0</v>
      </c>
      <c r="Q406" s="1340">
        <f t="shared" si="87"/>
        <v>0</v>
      </c>
      <c r="R406" s="1339">
        <f t="shared" si="88"/>
        <v>0</v>
      </c>
    </row>
    <row r="407" spans="1:20" s="700" customFormat="1" ht="23.25" hidden="1">
      <c r="A407" s="601"/>
      <c r="B407" s="538" t="s">
        <v>1076</v>
      </c>
      <c r="C407" s="602">
        <f>ROUND(Data!K2184,2)</f>
        <v>364.35</v>
      </c>
      <c r="D407" s="744" t="s">
        <v>842</v>
      </c>
      <c r="E407" s="1276"/>
      <c r="F407" s="1125">
        <f t="shared" si="80"/>
        <v>0</v>
      </c>
      <c r="G407" s="1199"/>
      <c r="H407" s="1125">
        <f t="shared" si="81"/>
        <v>0</v>
      </c>
      <c r="I407" s="748"/>
      <c r="J407" s="748">
        <f t="shared" si="82"/>
        <v>0</v>
      </c>
      <c r="K407" s="1199"/>
      <c r="L407" s="1125">
        <f t="shared" si="83"/>
        <v>0</v>
      </c>
      <c r="M407" s="1200"/>
      <c r="N407" s="1339">
        <f t="shared" si="84"/>
        <v>0</v>
      </c>
      <c r="O407" s="1340">
        <f t="shared" si="85"/>
        <v>0</v>
      </c>
      <c r="P407" s="1339">
        <f t="shared" si="86"/>
        <v>0</v>
      </c>
      <c r="Q407" s="1340">
        <f t="shared" si="87"/>
        <v>0</v>
      </c>
      <c r="R407" s="1339">
        <f t="shared" si="88"/>
        <v>0</v>
      </c>
    </row>
    <row r="408" spans="1:20" s="700" customFormat="1" ht="23.25" hidden="1">
      <c r="A408" s="1105">
        <v>62.1</v>
      </c>
      <c r="B408" s="538" t="s">
        <v>1077</v>
      </c>
      <c r="C408" s="743"/>
      <c r="D408" s="744"/>
      <c r="E408" s="1276"/>
      <c r="F408" s="1125">
        <f t="shared" si="80"/>
        <v>0</v>
      </c>
      <c r="G408" s="1199"/>
      <c r="H408" s="1125">
        <f t="shared" si="81"/>
        <v>0</v>
      </c>
      <c r="I408" s="748"/>
      <c r="J408" s="748">
        <f t="shared" si="82"/>
        <v>0</v>
      </c>
      <c r="K408" s="1199"/>
      <c r="L408" s="1125">
        <f t="shared" si="83"/>
        <v>0</v>
      </c>
      <c r="M408" s="1200"/>
      <c r="N408" s="1339">
        <f t="shared" si="84"/>
        <v>0</v>
      </c>
      <c r="O408" s="1340">
        <f t="shared" si="85"/>
        <v>0</v>
      </c>
      <c r="P408" s="1339">
        <f t="shared" si="86"/>
        <v>0</v>
      </c>
      <c r="Q408" s="1340">
        <f t="shared" si="87"/>
        <v>0</v>
      </c>
      <c r="R408" s="1339">
        <f t="shared" si="88"/>
        <v>0</v>
      </c>
    </row>
    <row r="409" spans="1:20" s="700" customFormat="1" ht="23.25" hidden="1">
      <c r="A409" s="538"/>
      <c r="B409" s="538" t="s">
        <v>1075</v>
      </c>
      <c r="C409" s="743">
        <f>ROUND(Data!K2193,2)</f>
        <v>104.1</v>
      </c>
      <c r="D409" s="744" t="s">
        <v>1423</v>
      </c>
      <c r="E409" s="1276"/>
      <c r="F409" s="1125">
        <f t="shared" si="80"/>
        <v>0</v>
      </c>
      <c r="G409" s="1199"/>
      <c r="H409" s="1125">
        <f t="shared" si="81"/>
        <v>0</v>
      </c>
      <c r="I409" s="748"/>
      <c r="J409" s="748">
        <f t="shared" si="82"/>
        <v>0</v>
      </c>
      <c r="K409" s="1199"/>
      <c r="L409" s="1125">
        <f t="shared" si="83"/>
        <v>0</v>
      </c>
      <c r="M409" s="1200"/>
      <c r="N409" s="1339">
        <f t="shared" si="84"/>
        <v>0</v>
      </c>
      <c r="O409" s="1340">
        <f t="shared" si="85"/>
        <v>0</v>
      </c>
      <c r="P409" s="1339">
        <f t="shared" si="86"/>
        <v>0</v>
      </c>
      <c r="Q409" s="1340">
        <f t="shared" si="87"/>
        <v>0</v>
      </c>
      <c r="R409" s="1339">
        <f t="shared" si="88"/>
        <v>0</v>
      </c>
    </row>
    <row r="410" spans="1:20" s="700" customFormat="1" ht="23.25" hidden="1">
      <c r="A410" s="601"/>
      <c r="B410" s="538" t="s">
        <v>1076</v>
      </c>
      <c r="C410" s="602">
        <f>ROUND(Data!K2200,2)</f>
        <v>143.15</v>
      </c>
      <c r="D410" s="744" t="s">
        <v>1423</v>
      </c>
      <c r="E410" s="1276"/>
      <c r="F410" s="1125">
        <f t="shared" si="80"/>
        <v>0</v>
      </c>
      <c r="G410" s="1199"/>
      <c r="H410" s="1125">
        <f t="shared" si="81"/>
        <v>0</v>
      </c>
      <c r="I410" s="748"/>
      <c r="J410" s="748">
        <f t="shared" si="82"/>
        <v>0</v>
      </c>
      <c r="K410" s="1199"/>
      <c r="L410" s="1125">
        <f t="shared" si="83"/>
        <v>0</v>
      </c>
      <c r="M410" s="1200"/>
      <c r="N410" s="1339">
        <f t="shared" si="84"/>
        <v>0</v>
      </c>
      <c r="O410" s="1340">
        <f t="shared" si="85"/>
        <v>0</v>
      </c>
      <c r="P410" s="1339">
        <f t="shared" si="86"/>
        <v>0</v>
      </c>
      <c r="Q410" s="1340">
        <f t="shared" si="87"/>
        <v>0</v>
      </c>
      <c r="R410" s="1339">
        <f t="shared" si="88"/>
        <v>0</v>
      </c>
    </row>
    <row r="411" spans="1:20" s="700" customFormat="1" ht="23.25" hidden="1">
      <c r="A411" s="1105">
        <v>62.2</v>
      </c>
      <c r="B411" s="600" t="s">
        <v>1078</v>
      </c>
      <c r="C411" s="743"/>
      <c r="D411" s="744"/>
      <c r="E411" s="1276"/>
      <c r="F411" s="1125">
        <f t="shared" si="80"/>
        <v>0</v>
      </c>
      <c r="G411" s="1199"/>
      <c r="H411" s="1125">
        <f t="shared" si="81"/>
        <v>0</v>
      </c>
      <c r="I411" s="748"/>
      <c r="J411" s="748">
        <f t="shared" si="82"/>
        <v>0</v>
      </c>
      <c r="K411" s="1199"/>
      <c r="L411" s="1125">
        <f t="shared" si="83"/>
        <v>0</v>
      </c>
      <c r="M411" s="1200"/>
      <c r="N411" s="1339">
        <f t="shared" si="84"/>
        <v>0</v>
      </c>
      <c r="O411" s="1340">
        <f t="shared" si="85"/>
        <v>0</v>
      </c>
      <c r="P411" s="1339">
        <f t="shared" si="86"/>
        <v>0</v>
      </c>
      <c r="Q411" s="1340">
        <f t="shared" si="87"/>
        <v>0</v>
      </c>
      <c r="R411" s="1339">
        <f t="shared" si="88"/>
        <v>0</v>
      </c>
    </row>
    <row r="412" spans="1:20" s="700" customFormat="1" ht="23.25" hidden="1">
      <c r="A412" s="538"/>
      <c r="B412" s="538" t="s">
        <v>1075</v>
      </c>
      <c r="C412" s="743">
        <f>ROUND(Data!K2206,2)</f>
        <v>131</v>
      </c>
      <c r="D412" s="744" t="s">
        <v>1423</v>
      </c>
      <c r="E412" s="1276"/>
      <c r="F412" s="1125">
        <f t="shared" si="80"/>
        <v>0</v>
      </c>
      <c r="G412" s="1199"/>
      <c r="H412" s="1125">
        <f t="shared" si="81"/>
        <v>0</v>
      </c>
      <c r="I412" s="748"/>
      <c r="J412" s="748">
        <f t="shared" si="82"/>
        <v>0</v>
      </c>
      <c r="K412" s="1199"/>
      <c r="L412" s="1125">
        <f t="shared" si="83"/>
        <v>0</v>
      </c>
      <c r="M412" s="1208"/>
      <c r="N412" s="1339">
        <f t="shared" si="84"/>
        <v>0</v>
      </c>
      <c r="O412" s="1340">
        <f t="shared" si="85"/>
        <v>0</v>
      </c>
      <c r="P412" s="1339">
        <f t="shared" si="86"/>
        <v>0</v>
      </c>
      <c r="Q412" s="1340">
        <f t="shared" si="87"/>
        <v>0</v>
      </c>
      <c r="R412" s="1339">
        <f t="shared" si="88"/>
        <v>0</v>
      </c>
    </row>
    <row r="413" spans="1:20" s="700" customFormat="1" ht="70.5" hidden="1" customHeight="1">
      <c r="A413" s="601"/>
      <c r="B413" s="538" t="s">
        <v>1076</v>
      </c>
      <c r="C413" s="743">
        <f>ROUND(Data!K2216,2)</f>
        <v>169.15</v>
      </c>
      <c r="D413" s="744" t="s">
        <v>1423</v>
      </c>
      <c r="E413" s="1276"/>
      <c r="F413" s="1125">
        <f t="shared" si="80"/>
        <v>0</v>
      </c>
      <c r="G413" s="1199"/>
      <c r="H413" s="1125">
        <f t="shared" si="81"/>
        <v>0</v>
      </c>
      <c r="I413" s="748"/>
      <c r="J413" s="748">
        <f t="shared" si="82"/>
        <v>0</v>
      </c>
      <c r="K413" s="1199"/>
      <c r="L413" s="1125">
        <f t="shared" si="83"/>
        <v>0</v>
      </c>
      <c r="M413" s="1200"/>
      <c r="N413" s="1339">
        <f t="shared" si="84"/>
        <v>0</v>
      </c>
      <c r="O413" s="1340">
        <f t="shared" si="85"/>
        <v>0</v>
      </c>
      <c r="P413" s="1339">
        <f t="shared" si="86"/>
        <v>0</v>
      </c>
      <c r="Q413" s="1340">
        <f t="shared" si="87"/>
        <v>0</v>
      </c>
      <c r="R413" s="1339">
        <f t="shared" si="88"/>
        <v>0</v>
      </c>
    </row>
    <row r="414" spans="1:20" s="700" customFormat="1" ht="50.25" customHeight="1">
      <c r="A414" s="1105">
        <v>63</v>
      </c>
      <c r="B414" s="538" t="s">
        <v>2178</v>
      </c>
      <c r="C414" s="602">
        <f>ROUND(Data!K2225,2)</f>
        <v>31.87</v>
      </c>
      <c r="D414" s="744" t="s">
        <v>1423</v>
      </c>
      <c r="E414" s="1100">
        <v>1</v>
      </c>
      <c r="F414" s="1125">
        <f t="shared" si="80"/>
        <v>31.87</v>
      </c>
      <c r="G414" s="1199"/>
      <c r="H414" s="1125">
        <f t="shared" si="81"/>
        <v>0</v>
      </c>
      <c r="I414" s="748"/>
      <c r="J414" s="1407">
        <f t="shared" si="82"/>
        <v>0</v>
      </c>
      <c r="K414" s="1199"/>
      <c r="L414" s="1125">
        <f t="shared" si="83"/>
        <v>0</v>
      </c>
      <c r="M414" s="1200"/>
      <c r="N414" s="1339">
        <f t="shared" si="84"/>
        <v>0</v>
      </c>
      <c r="O414" s="1340">
        <f t="shared" si="85"/>
        <v>0</v>
      </c>
      <c r="P414" s="1339">
        <f t="shared" si="86"/>
        <v>0</v>
      </c>
      <c r="Q414" s="1340">
        <f t="shared" si="87"/>
        <v>1</v>
      </c>
      <c r="R414" s="1339">
        <f t="shared" si="88"/>
        <v>31.87</v>
      </c>
    </row>
    <row r="415" spans="1:20" ht="50.25" customHeight="1">
      <c r="A415" s="1486"/>
      <c r="B415" s="1344" t="s">
        <v>2179</v>
      </c>
      <c r="C415" s="1111"/>
      <c r="D415" s="1110"/>
      <c r="E415" s="1336"/>
      <c r="F415" s="1125">
        <f t="shared" si="80"/>
        <v>0</v>
      </c>
      <c r="G415" s="1335"/>
      <c r="H415" s="1125">
        <f t="shared" si="81"/>
        <v>0</v>
      </c>
      <c r="I415" s="1312"/>
      <c r="J415" s="1406">
        <f t="shared" si="82"/>
        <v>0</v>
      </c>
      <c r="K415" s="1335"/>
      <c r="L415" s="1125">
        <f t="shared" si="83"/>
        <v>0</v>
      </c>
      <c r="M415" s="1340"/>
      <c r="N415" s="1339">
        <f t="shared" si="84"/>
        <v>0</v>
      </c>
      <c r="O415" s="1340">
        <f t="shared" si="85"/>
        <v>0</v>
      </c>
      <c r="P415" s="1339">
        <f t="shared" si="86"/>
        <v>0</v>
      </c>
      <c r="Q415" s="1341" t="s">
        <v>2290</v>
      </c>
      <c r="R415" s="1339"/>
      <c r="S415" s="1322">
        <f>F415+P415</f>
        <v>0</v>
      </c>
      <c r="T415" s="1322">
        <f>S415-R415</f>
        <v>0</v>
      </c>
    </row>
    <row r="416" spans="1:20" s="700" customFormat="1" ht="70.5" hidden="1" customHeight="1">
      <c r="A416" s="1414">
        <v>64</v>
      </c>
      <c r="B416" s="1415" t="s">
        <v>2180</v>
      </c>
      <c r="C416" s="1416">
        <f>Data!K2261</f>
        <v>1630</v>
      </c>
      <c r="D416" s="1417" t="s">
        <v>1423</v>
      </c>
      <c r="E416" s="1278"/>
      <c r="F416" s="1125">
        <f t="shared" si="80"/>
        <v>0</v>
      </c>
      <c r="G416" s="1273"/>
      <c r="H416" s="1125">
        <f t="shared" si="81"/>
        <v>0</v>
      </c>
      <c r="I416" s="748"/>
      <c r="J416" s="748">
        <f t="shared" si="82"/>
        <v>0</v>
      </c>
      <c r="K416" s="1273"/>
      <c r="L416" s="1125">
        <f t="shared" si="83"/>
        <v>0</v>
      </c>
      <c r="M416" s="1412"/>
      <c r="N416" s="1339">
        <f t="shared" si="84"/>
        <v>0</v>
      </c>
      <c r="O416" s="1340">
        <f t="shared" si="85"/>
        <v>0</v>
      </c>
      <c r="P416" s="1339">
        <f t="shared" si="86"/>
        <v>0</v>
      </c>
      <c r="Q416" s="1340">
        <f t="shared" si="87"/>
        <v>0</v>
      </c>
      <c r="R416" s="1339">
        <f t="shared" si="88"/>
        <v>0</v>
      </c>
    </row>
    <row r="417" spans="1:20" s="700" customFormat="1" ht="70.5" hidden="1" customHeight="1">
      <c r="A417" s="538"/>
      <c r="B417" s="538" t="s">
        <v>1294</v>
      </c>
      <c r="C417" s="602">
        <f>Data!K2262</f>
        <v>1633</v>
      </c>
      <c r="D417" s="744" t="s">
        <v>1423</v>
      </c>
      <c r="E417" s="1276"/>
      <c r="F417" s="1125">
        <f t="shared" si="80"/>
        <v>0</v>
      </c>
      <c r="G417" s="1199"/>
      <c r="H417" s="1125">
        <f t="shared" si="81"/>
        <v>0</v>
      </c>
      <c r="I417" s="748"/>
      <c r="J417" s="748">
        <f t="shared" si="82"/>
        <v>0</v>
      </c>
      <c r="K417" s="1199"/>
      <c r="L417" s="1125">
        <f t="shared" si="83"/>
        <v>0</v>
      </c>
      <c r="M417" s="1200"/>
      <c r="N417" s="1339">
        <f t="shared" si="84"/>
        <v>0</v>
      </c>
      <c r="O417" s="1340">
        <f t="shared" si="85"/>
        <v>0</v>
      </c>
      <c r="P417" s="1339">
        <f t="shared" si="86"/>
        <v>0</v>
      </c>
      <c r="Q417" s="1340">
        <f t="shared" si="87"/>
        <v>0</v>
      </c>
      <c r="R417" s="1339">
        <f t="shared" si="88"/>
        <v>0</v>
      </c>
    </row>
    <row r="418" spans="1:20" s="700" customFormat="1" ht="70.5" hidden="1" customHeight="1">
      <c r="A418" s="601"/>
      <c r="B418" s="538" t="s">
        <v>303</v>
      </c>
      <c r="C418" s="602">
        <f>Data!K2263</f>
        <v>1670</v>
      </c>
      <c r="D418" s="744" t="s">
        <v>1423</v>
      </c>
      <c r="E418" s="1276"/>
      <c r="F418" s="1125">
        <f t="shared" si="80"/>
        <v>0</v>
      </c>
      <c r="G418" s="1199"/>
      <c r="H418" s="1125">
        <f t="shared" si="81"/>
        <v>0</v>
      </c>
      <c r="I418" s="748"/>
      <c r="J418" s="748">
        <f t="shared" si="82"/>
        <v>0</v>
      </c>
      <c r="K418" s="1199"/>
      <c r="L418" s="1125">
        <f t="shared" si="83"/>
        <v>0</v>
      </c>
      <c r="M418" s="1200"/>
      <c r="N418" s="1339">
        <f t="shared" si="84"/>
        <v>0</v>
      </c>
      <c r="O418" s="1340">
        <f t="shared" si="85"/>
        <v>0</v>
      </c>
      <c r="P418" s="1339">
        <f t="shared" si="86"/>
        <v>0</v>
      </c>
      <c r="Q418" s="1340">
        <f t="shared" si="87"/>
        <v>0</v>
      </c>
      <c r="R418" s="1339">
        <f t="shared" si="88"/>
        <v>0</v>
      </c>
    </row>
    <row r="419" spans="1:20" s="700" customFormat="1" ht="70.5" hidden="1" customHeight="1">
      <c r="A419" s="1105">
        <v>65</v>
      </c>
      <c r="B419" s="538" t="s">
        <v>304</v>
      </c>
      <c r="C419" s="602">
        <f>Data!K2264</f>
        <v>1705</v>
      </c>
      <c r="D419" s="744" t="s">
        <v>1423</v>
      </c>
      <c r="E419" s="1276"/>
      <c r="F419" s="1125">
        <f t="shared" si="80"/>
        <v>0</v>
      </c>
      <c r="G419" s="1199"/>
      <c r="H419" s="1125">
        <f t="shared" si="81"/>
        <v>0</v>
      </c>
      <c r="I419" s="748"/>
      <c r="J419" s="748">
        <f t="shared" si="82"/>
        <v>0</v>
      </c>
      <c r="K419" s="1199"/>
      <c r="L419" s="1125">
        <f t="shared" si="83"/>
        <v>0</v>
      </c>
      <c r="M419" s="1200"/>
      <c r="N419" s="1339">
        <f t="shared" si="84"/>
        <v>0</v>
      </c>
      <c r="O419" s="1340">
        <f t="shared" si="85"/>
        <v>0</v>
      </c>
      <c r="P419" s="1339">
        <f t="shared" si="86"/>
        <v>0</v>
      </c>
      <c r="Q419" s="1340">
        <f t="shared" si="87"/>
        <v>0</v>
      </c>
      <c r="R419" s="1339">
        <f t="shared" si="88"/>
        <v>0</v>
      </c>
    </row>
    <row r="420" spans="1:20" s="700" customFormat="1" ht="70.5" hidden="1" customHeight="1">
      <c r="A420" s="1105">
        <v>66</v>
      </c>
      <c r="B420" s="538" t="s">
        <v>305</v>
      </c>
      <c r="C420" s="602">
        <f>Data!K2265</f>
        <v>3052</v>
      </c>
      <c r="D420" s="744" t="s">
        <v>1423</v>
      </c>
      <c r="E420" s="1276"/>
      <c r="F420" s="1125">
        <f t="shared" si="80"/>
        <v>0</v>
      </c>
      <c r="G420" s="1199"/>
      <c r="H420" s="1125">
        <f t="shared" si="81"/>
        <v>0</v>
      </c>
      <c r="I420" s="748"/>
      <c r="J420" s="748">
        <f t="shared" si="82"/>
        <v>0</v>
      </c>
      <c r="K420" s="1199"/>
      <c r="L420" s="1125">
        <f t="shared" si="83"/>
        <v>0</v>
      </c>
      <c r="M420" s="1200"/>
      <c r="N420" s="1339">
        <f t="shared" si="84"/>
        <v>0</v>
      </c>
      <c r="O420" s="1340">
        <f t="shared" si="85"/>
        <v>0</v>
      </c>
      <c r="P420" s="1339">
        <f t="shared" si="86"/>
        <v>0</v>
      </c>
      <c r="Q420" s="1340">
        <f t="shared" si="87"/>
        <v>0</v>
      </c>
      <c r="R420" s="1339">
        <f t="shared" si="88"/>
        <v>0</v>
      </c>
    </row>
    <row r="421" spans="1:20" s="700" customFormat="1" ht="70.5" hidden="1" customHeight="1">
      <c r="A421" s="1105">
        <v>67</v>
      </c>
      <c r="B421" s="538" t="s">
        <v>1820</v>
      </c>
      <c r="C421" s="602">
        <f>Data!K2266</f>
        <v>835</v>
      </c>
      <c r="D421" s="744" t="s">
        <v>1423</v>
      </c>
      <c r="E421" s="1276"/>
      <c r="F421" s="1125">
        <f t="shared" si="80"/>
        <v>0</v>
      </c>
      <c r="G421" s="1199"/>
      <c r="H421" s="1125">
        <f t="shared" si="81"/>
        <v>0</v>
      </c>
      <c r="I421" s="748"/>
      <c r="J421" s="748">
        <f t="shared" si="82"/>
        <v>0</v>
      </c>
      <c r="K421" s="1199"/>
      <c r="L421" s="1125">
        <f t="shared" si="83"/>
        <v>0</v>
      </c>
      <c r="M421" s="1200"/>
      <c r="N421" s="1339">
        <f t="shared" si="84"/>
        <v>0</v>
      </c>
      <c r="O421" s="1340">
        <f t="shared" si="85"/>
        <v>0</v>
      </c>
      <c r="P421" s="1339">
        <f t="shared" si="86"/>
        <v>0</v>
      </c>
      <c r="Q421" s="1340">
        <f t="shared" si="87"/>
        <v>0</v>
      </c>
      <c r="R421" s="1339">
        <f t="shared" si="88"/>
        <v>0</v>
      </c>
    </row>
    <row r="422" spans="1:20" s="700" customFormat="1" ht="70.5" hidden="1" customHeight="1">
      <c r="A422" s="1105">
        <v>68</v>
      </c>
      <c r="B422" s="538" t="s">
        <v>1821</v>
      </c>
      <c r="C422" s="602">
        <f>Data!K2267</f>
        <v>1133</v>
      </c>
      <c r="D422" s="744" t="s">
        <v>1423</v>
      </c>
      <c r="E422" s="1276"/>
      <c r="F422" s="1125">
        <f t="shared" si="80"/>
        <v>0</v>
      </c>
      <c r="G422" s="1199"/>
      <c r="H422" s="1125">
        <f t="shared" si="81"/>
        <v>0</v>
      </c>
      <c r="I422" s="748"/>
      <c r="J422" s="748">
        <f t="shared" si="82"/>
        <v>0</v>
      </c>
      <c r="K422" s="1199"/>
      <c r="L422" s="1125">
        <f t="shared" si="83"/>
        <v>0</v>
      </c>
      <c r="M422" s="1200"/>
      <c r="N422" s="1339">
        <f t="shared" si="84"/>
        <v>0</v>
      </c>
      <c r="O422" s="1340">
        <f t="shared" si="85"/>
        <v>0</v>
      </c>
      <c r="P422" s="1339">
        <f t="shared" si="86"/>
        <v>0</v>
      </c>
      <c r="Q422" s="1340">
        <f t="shared" si="87"/>
        <v>0</v>
      </c>
      <c r="R422" s="1339">
        <f t="shared" si="88"/>
        <v>0</v>
      </c>
    </row>
    <row r="423" spans="1:20" s="812" customFormat="1" ht="50.25" customHeight="1">
      <c r="A423" s="1107">
        <v>69</v>
      </c>
      <c r="B423" s="1108" t="s">
        <v>1822</v>
      </c>
      <c r="C423" s="1111">
        <f>Data!K2268</f>
        <v>150</v>
      </c>
      <c r="D423" s="1110" t="s">
        <v>1423</v>
      </c>
      <c r="E423" s="1100">
        <v>21</v>
      </c>
      <c r="F423" s="1125">
        <f t="shared" si="80"/>
        <v>3150</v>
      </c>
      <c r="G423" s="1199"/>
      <c r="H423" s="1125">
        <f t="shared" si="81"/>
        <v>0</v>
      </c>
      <c r="I423" s="748"/>
      <c r="J423" s="1407">
        <f t="shared" si="82"/>
        <v>0</v>
      </c>
      <c r="K423" s="1199"/>
      <c r="L423" s="1125">
        <f t="shared" si="83"/>
        <v>0</v>
      </c>
      <c r="M423" s="1208"/>
      <c r="N423" s="1339">
        <f t="shared" si="84"/>
        <v>0</v>
      </c>
      <c r="O423" s="1340">
        <f t="shared" si="85"/>
        <v>0</v>
      </c>
      <c r="P423" s="1339">
        <f t="shared" si="86"/>
        <v>0</v>
      </c>
      <c r="Q423" s="1340">
        <f t="shared" si="87"/>
        <v>21</v>
      </c>
      <c r="R423" s="1339">
        <f t="shared" si="88"/>
        <v>3150</v>
      </c>
      <c r="S423" s="700">
        <f>F423+P423</f>
        <v>3150</v>
      </c>
      <c r="T423" s="700">
        <f>S423-R423</f>
        <v>0</v>
      </c>
    </row>
    <row r="424" spans="1:20" s="700" customFormat="1" ht="70.5" hidden="1" customHeight="1">
      <c r="A424" s="1414">
        <v>70.099999999999994</v>
      </c>
      <c r="B424" s="1415" t="s">
        <v>1823</v>
      </c>
      <c r="C424" s="1416">
        <f>Data!K2269</f>
        <v>517</v>
      </c>
      <c r="D424" s="1417" t="s">
        <v>1423</v>
      </c>
      <c r="E424" s="1278"/>
      <c r="F424" s="1125">
        <f t="shared" si="80"/>
        <v>0</v>
      </c>
      <c r="G424" s="1273"/>
      <c r="H424" s="1125">
        <f t="shared" si="81"/>
        <v>0</v>
      </c>
      <c r="I424" s="748"/>
      <c r="J424" s="748">
        <f t="shared" si="82"/>
        <v>0</v>
      </c>
      <c r="K424" s="1273"/>
      <c r="L424" s="1125">
        <f t="shared" si="83"/>
        <v>0</v>
      </c>
      <c r="M424" s="1412"/>
      <c r="N424" s="1339">
        <f t="shared" si="84"/>
        <v>0</v>
      </c>
      <c r="O424" s="1340">
        <f t="shared" si="85"/>
        <v>0</v>
      </c>
      <c r="P424" s="1339">
        <f t="shared" si="86"/>
        <v>0</v>
      </c>
      <c r="Q424" s="1340">
        <f t="shared" si="87"/>
        <v>0</v>
      </c>
      <c r="R424" s="1339">
        <f t="shared" si="88"/>
        <v>0</v>
      </c>
    </row>
    <row r="425" spans="1:20" s="700" customFormat="1" ht="70.5" hidden="1" customHeight="1">
      <c r="A425" s="1105">
        <v>70.2</v>
      </c>
      <c r="B425" s="538" t="s">
        <v>1824</v>
      </c>
      <c r="C425" s="602"/>
      <c r="D425" s="744" t="s">
        <v>1423</v>
      </c>
      <c r="E425" s="1276"/>
      <c r="F425" s="1125">
        <f t="shared" si="80"/>
        <v>0</v>
      </c>
      <c r="G425" s="1199"/>
      <c r="H425" s="1125">
        <f t="shared" si="81"/>
        <v>0</v>
      </c>
      <c r="I425" s="748"/>
      <c r="J425" s="748">
        <f t="shared" si="82"/>
        <v>0</v>
      </c>
      <c r="K425" s="1199"/>
      <c r="L425" s="1125">
        <f t="shared" si="83"/>
        <v>0</v>
      </c>
      <c r="M425" s="1200"/>
      <c r="N425" s="1339">
        <f t="shared" si="84"/>
        <v>0</v>
      </c>
      <c r="O425" s="1340">
        <f t="shared" si="85"/>
        <v>0</v>
      </c>
      <c r="P425" s="1339">
        <f t="shared" si="86"/>
        <v>0</v>
      </c>
      <c r="Q425" s="1340">
        <f t="shared" si="87"/>
        <v>0</v>
      </c>
      <c r="R425" s="1339">
        <f t="shared" si="88"/>
        <v>0</v>
      </c>
    </row>
    <row r="426" spans="1:20" s="700" customFormat="1" ht="70.5" hidden="1" customHeight="1">
      <c r="A426" s="1105">
        <v>70.3</v>
      </c>
      <c r="B426" s="538" t="s">
        <v>1825</v>
      </c>
      <c r="C426" s="602">
        <f>Data!K2271</f>
        <v>9.4</v>
      </c>
      <c r="D426" s="744" t="s">
        <v>1423</v>
      </c>
      <c r="E426" s="1276"/>
      <c r="F426" s="1125">
        <f t="shared" si="80"/>
        <v>0</v>
      </c>
      <c r="G426" s="1199"/>
      <c r="H426" s="1125">
        <f t="shared" si="81"/>
        <v>0</v>
      </c>
      <c r="I426" s="748"/>
      <c r="J426" s="748">
        <f t="shared" si="82"/>
        <v>0</v>
      </c>
      <c r="K426" s="1199"/>
      <c r="L426" s="1125">
        <f t="shared" si="83"/>
        <v>0</v>
      </c>
      <c r="M426" s="1200"/>
      <c r="N426" s="1339">
        <f t="shared" si="84"/>
        <v>0</v>
      </c>
      <c r="O426" s="1340">
        <f t="shared" si="85"/>
        <v>0</v>
      </c>
      <c r="P426" s="1339">
        <f t="shared" si="86"/>
        <v>0</v>
      </c>
      <c r="Q426" s="1340">
        <f t="shared" si="87"/>
        <v>0</v>
      </c>
      <c r="R426" s="1339">
        <f t="shared" si="88"/>
        <v>0</v>
      </c>
    </row>
    <row r="427" spans="1:20" s="700" customFormat="1" ht="70.5" hidden="1" customHeight="1">
      <c r="A427" s="1105">
        <v>70.400000000000006</v>
      </c>
      <c r="B427" s="538" t="s">
        <v>1412</v>
      </c>
      <c r="C427" s="602">
        <f>Data!K2272</f>
        <v>10</v>
      </c>
      <c r="D427" s="744" t="s">
        <v>1423</v>
      </c>
      <c r="E427" s="1276"/>
      <c r="F427" s="1125">
        <f t="shared" si="80"/>
        <v>0</v>
      </c>
      <c r="G427" s="1199"/>
      <c r="H427" s="1125">
        <f t="shared" si="81"/>
        <v>0</v>
      </c>
      <c r="I427" s="748"/>
      <c r="J427" s="748">
        <f t="shared" si="82"/>
        <v>0</v>
      </c>
      <c r="K427" s="1199"/>
      <c r="L427" s="1125">
        <f t="shared" si="83"/>
        <v>0</v>
      </c>
      <c r="M427" s="1200"/>
      <c r="N427" s="1339">
        <f t="shared" si="84"/>
        <v>0</v>
      </c>
      <c r="O427" s="1340">
        <f t="shared" si="85"/>
        <v>0</v>
      </c>
      <c r="P427" s="1339">
        <f t="shared" si="86"/>
        <v>0</v>
      </c>
      <c r="Q427" s="1340">
        <f t="shared" si="87"/>
        <v>0</v>
      </c>
      <c r="R427" s="1339">
        <f t="shared" si="88"/>
        <v>0</v>
      </c>
    </row>
    <row r="428" spans="1:20" s="700" customFormat="1" ht="70.5" hidden="1" customHeight="1">
      <c r="A428" s="1105">
        <v>71</v>
      </c>
      <c r="B428" s="538" t="s">
        <v>1413</v>
      </c>
      <c r="C428" s="743">
        <f>Data!K2273</f>
        <v>1345.6</v>
      </c>
      <c r="D428" s="744" t="s">
        <v>1423</v>
      </c>
      <c r="E428" s="1276"/>
      <c r="F428" s="1125">
        <f t="shared" si="80"/>
        <v>0</v>
      </c>
      <c r="G428" s="1199"/>
      <c r="H428" s="1125">
        <f t="shared" si="81"/>
        <v>0</v>
      </c>
      <c r="I428" s="748"/>
      <c r="J428" s="748">
        <f t="shared" si="82"/>
        <v>0</v>
      </c>
      <c r="K428" s="1199"/>
      <c r="L428" s="1125">
        <f t="shared" si="83"/>
        <v>0</v>
      </c>
      <c r="M428" s="1200"/>
      <c r="N428" s="1339">
        <f t="shared" si="84"/>
        <v>0</v>
      </c>
      <c r="O428" s="1340">
        <f t="shared" si="85"/>
        <v>0</v>
      </c>
      <c r="P428" s="1339">
        <f t="shared" si="86"/>
        <v>0</v>
      </c>
      <c r="Q428" s="1340">
        <f t="shared" si="87"/>
        <v>0</v>
      </c>
      <c r="R428" s="1339">
        <f t="shared" si="88"/>
        <v>0</v>
      </c>
    </row>
    <row r="429" spans="1:20" ht="50.25" customHeight="1">
      <c r="A429" s="1486">
        <v>72</v>
      </c>
      <c r="B429" s="1198" t="s">
        <v>918</v>
      </c>
      <c r="C429" s="1111">
        <f>Data!K2274</f>
        <v>33.9</v>
      </c>
      <c r="D429" s="1110" t="s">
        <v>1423</v>
      </c>
      <c r="E429" s="1336">
        <v>99</v>
      </c>
      <c r="F429" s="1125">
        <f t="shared" si="80"/>
        <v>3356.1</v>
      </c>
      <c r="G429" s="1335"/>
      <c r="H429" s="1125">
        <f t="shared" si="81"/>
        <v>0</v>
      </c>
      <c r="I429" s="1312"/>
      <c r="J429" s="1406">
        <f t="shared" si="82"/>
        <v>0</v>
      </c>
      <c r="K429" s="1335"/>
      <c r="L429" s="1125">
        <f t="shared" si="83"/>
        <v>0</v>
      </c>
      <c r="M429" s="1340"/>
      <c r="N429" s="1339">
        <f t="shared" si="84"/>
        <v>0</v>
      </c>
      <c r="O429" s="1340">
        <f t="shared" si="85"/>
        <v>0</v>
      </c>
      <c r="P429" s="1339">
        <f t="shared" si="86"/>
        <v>0</v>
      </c>
      <c r="Q429" s="1340">
        <f t="shared" si="87"/>
        <v>99</v>
      </c>
      <c r="R429" s="1339">
        <f t="shared" si="88"/>
        <v>3356.1</v>
      </c>
      <c r="S429" s="1322">
        <f>F429+P429</f>
        <v>3356.1</v>
      </c>
      <c r="T429" s="1322">
        <f>S429-R429</f>
        <v>0</v>
      </c>
    </row>
    <row r="430" spans="1:20" s="700" customFormat="1" ht="70.5" hidden="1" customHeight="1">
      <c r="A430" s="1415">
        <v>73.099999999999994</v>
      </c>
      <c r="B430" s="1415" t="s">
        <v>919</v>
      </c>
      <c r="C430" s="1418">
        <f>Data!K2275</f>
        <v>4212</v>
      </c>
      <c r="D430" s="1417" t="s">
        <v>1423</v>
      </c>
      <c r="E430" s="1278"/>
      <c r="F430" s="1125">
        <f t="shared" si="80"/>
        <v>0</v>
      </c>
      <c r="G430" s="1273"/>
      <c r="H430" s="1125">
        <f t="shared" si="81"/>
        <v>0</v>
      </c>
      <c r="I430" s="748"/>
      <c r="J430" s="748">
        <f t="shared" si="82"/>
        <v>0</v>
      </c>
      <c r="K430" s="1273"/>
      <c r="L430" s="1125">
        <f t="shared" si="83"/>
        <v>0</v>
      </c>
      <c r="M430" s="1412"/>
      <c r="N430" s="1339">
        <f t="shared" si="84"/>
        <v>0</v>
      </c>
      <c r="O430" s="1340">
        <f t="shared" si="85"/>
        <v>0</v>
      </c>
      <c r="P430" s="1339">
        <f t="shared" si="86"/>
        <v>0</v>
      </c>
      <c r="Q430" s="1340">
        <f t="shared" si="87"/>
        <v>0</v>
      </c>
      <c r="R430" s="1339">
        <f t="shared" si="88"/>
        <v>0</v>
      </c>
    </row>
    <row r="431" spans="1:20" s="700" customFormat="1" ht="70.5" hidden="1" customHeight="1">
      <c r="A431" s="1105">
        <v>73.2</v>
      </c>
      <c r="B431" s="538" t="s">
        <v>920</v>
      </c>
      <c r="C431" s="602">
        <f>Data!K2276</f>
        <v>3430</v>
      </c>
      <c r="D431" s="744" t="s">
        <v>1423</v>
      </c>
      <c r="E431" s="1276"/>
      <c r="F431" s="1125">
        <f t="shared" si="80"/>
        <v>0</v>
      </c>
      <c r="G431" s="1199"/>
      <c r="H431" s="1125">
        <f t="shared" si="81"/>
        <v>0</v>
      </c>
      <c r="I431" s="748"/>
      <c r="J431" s="748">
        <f t="shared" si="82"/>
        <v>0</v>
      </c>
      <c r="K431" s="1199"/>
      <c r="L431" s="1125">
        <f t="shared" si="83"/>
        <v>0</v>
      </c>
      <c r="M431" s="1200"/>
      <c r="N431" s="1339">
        <f t="shared" si="84"/>
        <v>0</v>
      </c>
      <c r="O431" s="1340">
        <f t="shared" si="85"/>
        <v>0</v>
      </c>
      <c r="P431" s="1339">
        <f t="shared" si="86"/>
        <v>0</v>
      </c>
      <c r="Q431" s="1340">
        <f t="shared" si="87"/>
        <v>0</v>
      </c>
      <c r="R431" s="1339">
        <f t="shared" si="88"/>
        <v>0</v>
      </c>
    </row>
    <row r="432" spans="1:20" ht="50.25" customHeight="1">
      <c r="A432" s="1486">
        <v>74</v>
      </c>
      <c r="B432" s="1198" t="s">
        <v>921</v>
      </c>
      <c r="C432" s="1111">
        <f>Data!K2277</f>
        <v>571</v>
      </c>
      <c r="D432" s="1110" t="s">
        <v>1423</v>
      </c>
      <c r="E432" s="1336">
        <v>70</v>
      </c>
      <c r="F432" s="1125">
        <f t="shared" si="80"/>
        <v>39970</v>
      </c>
      <c r="G432" s="1335"/>
      <c r="H432" s="1125">
        <f t="shared" si="81"/>
        <v>0</v>
      </c>
      <c r="I432" s="1312"/>
      <c r="J432" s="1406">
        <f t="shared" si="82"/>
        <v>0</v>
      </c>
      <c r="K432" s="1335"/>
      <c r="L432" s="1125">
        <f t="shared" si="83"/>
        <v>0</v>
      </c>
      <c r="M432" s="1340"/>
      <c r="N432" s="1339">
        <f t="shared" si="84"/>
        <v>0</v>
      </c>
      <c r="O432" s="1340">
        <f t="shared" si="85"/>
        <v>0</v>
      </c>
      <c r="P432" s="1339">
        <f t="shared" si="86"/>
        <v>0</v>
      </c>
      <c r="Q432" s="1340">
        <f t="shared" si="87"/>
        <v>70</v>
      </c>
      <c r="R432" s="1339">
        <f t="shared" si="88"/>
        <v>39970</v>
      </c>
      <c r="S432" s="1322">
        <f>F432+P432</f>
        <v>39970</v>
      </c>
      <c r="T432" s="1322">
        <f>S432-R432</f>
        <v>0</v>
      </c>
    </row>
    <row r="433" spans="1:20" s="700" customFormat="1" ht="70.5" hidden="1" customHeight="1">
      <c r="A433" s="1414">
        <v>75</v>
      </c>
      <c r="B433" s="1420" t="s">
        <v>922</v>
      </c>
      <c r="C433" s="1416"/>
      <c r="D433" s="1417"/>
      <c r="E433" s="1278"/>
      <c r="F433" s="1125">
        <f t="shared" si="80"/>
        <v>0</v>
      </c>
      <c r="G433" s="1273"/>
      <c r="H433" s="1125">
        <f t="shared" si="81"/>
        <v>0</v>
      </c>
      <c r="I433" s="748"/>
      <c r="J433" s="748">
        <f t="shared" si="82"/>
        <v>0</v>
      </c>
      <c r="K433" s="1273"/>
      <c r="L433" s="1125">
        <f t="shared" si="83"/>
        <v>0</v>
      </c>
      <c r="M433" s="1412"/>
      <c r="N433" s="1339">
        <f t="shared" si="84"/>
        <v>0</v>
      </c>
      <c r="O433" s="1340">
        <f t="shared" si="85"/>
        <v>0</v>
      </c>
      <c r="P433" s="1339">
        <f t="shared" si="86"/>
        <v>0</v>
      </c>
      <c r="Q433" s="1340">
        <f t="shared" si="87"/>
        <v>0</v>
      </c>
      <c r="R433" s="1339">
        <f t="shared" si="88"/>
        <v>0</v>
      </c>
    </row>
    <row r="434" spans="1:20" s="700" customFormat="1" ht="70.5" hidden="1" customHeight="1">
      <c r="A434" s="538"/>
      <c r="B434" s="538" t="s">
        <v>923</v>
      </c>
      <c r="C434" s="602"/>
      <c r="D434" s="744" t="s">
        <v>1423</v>
      </c>
      <c r="E434" s="1276"/>
      <c r="F434" s="1125">
        <f t="shared" si="80"/>
        <v>0</v>
      </c>
      <c r="G434" s="1199"/>
      <c r="H434" s="1125">
        <f t="shared" si="81"/>
        <v>0</v>
      </c>
      <c r="I434" s="748"/>
      <c r="J434" s="748">
        <f t="shared" si="82"/>
        <v>0</v>
      </c>
      <c r="K434" s="1199"/>
      <c r="L434" s="1125">
        <f t="shared" si="83"/>
        <v>0</v>
      </c>
      <c r="M434" s="1200"/>
      <c r="N434" s="1339">
        <f t="shared" si="84"/>
        <v>0</v>
      </c>
      <c r="O434" s="1340">
        <f t="shared" si="85"/>
        <v>0</v>
      </c>
      <c r="P434" s="1339">
        <f t="shared" si="86"/>
        <v>0</v>
      </c>
      <c r="Q434" s="1340">
        <f t="shared" si="87"/>
        <v>0</v>
      </c>
      <c r="R434" s="1339">
        <f t="shared" si="88"/>
        <v>0</v>
      </c>
    </row>
    <row r="435" spans="1:20" s="700" customFormat="1" ht="70.5" hidden="1" customHeight="1">
      <c r="A435" s="601"/>
      <c r="B435" s="538" t="s">
        <v>924</v>
      </c>
      <c r="C435" s="602"/>
      <c r="D435" s="744" t="s">
        <v>1423</v>
      </c>
      <c r="E435" s="1276"/>
      <c r="F435" s="1125">
        <f t="shared" si="80"/>
        <v>0</v>
      </c>
      <c r="G435" s="1199"/>
      <c r="H435" s="1125">
        <f t="shared" si="81"/>
        <v>0</v>
      </c>
      <c r="I435" s="748"/>
      <c r="J435" s="748">
        <f t="shared" si="82"/>
        <v>0</v>
      </c>
      <c r="K435" s="1199"/>
      <c r="L435" s="1125">
        <f t="shared" si="83"/>
        <v>0</v>
      </c>
      <c r="M435" s="1200"/>
      <c r="N435" s="1339">
        <f t="shared" si="84"/>
        <v>0</v>
      </c>
      <c r="O435" s="1340">
        <f t="shared" si="85"/>
        <v>0</v>
      </c>
      <c r="P435" s="1339">
        <f t="shared" si="86"/>
        <v>0</v>
      </c>
      <c r="Q435" s="1340">
        <f t="shared" si="87"/>
        <v>0</v>
      </c>
      <c r="R435" s="1339">
        <f t="shared" si="88"/>
        <v>0</v>
      </c>
    </row>
    <row r="436" spans="1:20" ht="50.25" customHeight="1">
      <c r="A436" s="1486">
        <v>76</v>
      </c>
      <c r="B436" s="1198" t="s">
        <v>925</v>
      </c>
      <c r="C436" s="1111">
        <f>Elec.Data!K464</f>
        <v>26.3</v>
      </c>
      <c r="D436" s="1110" t="s">
        <v>842</v>
      </c>
      <c r="E436" s="1336">
        <v>46</v>
      </c>
      <c r="F436" s="1125">
        <f t="shared" si="80"/>
        <v>1209.8</v>
      </c>
      <c r="G436" s="1335"/>
      <c r="H436" s="1125">
        <f t="shared" si="81"/>
        <v>0</v>
      </c>
      <c r="I436" s="1312"/>
      <c r="J436" s="1406">
        <f t="shared" si="82"/>
        <v>0</v>
      </c>
      <c r="K436" s="1335"/>
      <c r="L436" s="1125">
        <f t="shared" si="83"/>
        <v>0</v>
      </c>
      <c r="M436" s="1340"/>
      <c r="N436" s="1339">
        <f t="shared" si="84"/>
        <v>0</v>
      </c>
      <c r="O436" s="1340">
        <f t="shared" si="85"/>
        <v>0</v>
      </c>
      <c r="P436" s="1339">
        <f t="shared" si="86"/>
        <v>0</v>
      </c>
      <c r="Q436" s="1340">
        <f t="shared" si="87"/>
        <v>46</v>
      </c>
      <c r="R436" s="1339">
        <f t="shared" si="88"/>
        <v>1209.8</v>
      </c>
      <c r="S436" s="1322">
        <f>F436+P436</f>
        <v>1209.8</v>
      </c>
      <c r="T436" s="1322">
        <f>S436-R436</f>
        <v>0</v>
      </c>
    </row>
    <row r="437" spans="1:20" s="700" customFormat="1" ht="70.5" hidden="1" customHeight="1">
      <c r="A437" s="1414">
        <v>77</v>
      </c>
      <c r="B437" s="1415" t="s">
        <v>926</v>
      </c>
      <c r="C437" s="1416">
        <f>ROUND(Data!K2282,2)</f>
        <v>208</v>
      </c>
      <c r="D437" s="1417" t="s">
        <v>842</v>
      </c>
      <c r="E437" s="1278"/>
      <c r="F437" s="1125">
        <f t="shared" si="80"/>
        <v>0</v>
      </c>
      <c r="G437" s="1273"/>
      <c r="H437" s="1125">
        <f t="shared" si="81"/>
        <v>0</v>
      </c>
      <c r="I437" s="748"/>
      <c r="J437" s="748">
        <f t="shared" si="82"/>
        <v>0</v>
      </c>
      <c r="K437" s="1273"/>
      <c r="L437" s="1125">
        <f t="shared" si="83"/>
        <v>0</v>
      </c>
      <c r="M437" s="1412"/>
      <c r="N437" s="1339">
        <f t="shared" si="84"/>
        <v>0</v>
      </c>
      <c r="O437" s="1340">
        <f t="shared" si="85"/>
        <v>0</v>
      </c>
      <c r="P437" s="1339">
        <f t="shared" si="86"/>
        <v>0</v>
      </c>
      <c r="Q437" s="1340">
        <f t="shared" si="87"/>
        <v>0</v>
      </c>
      <c r="R437" s="1339">
        <f t="shared" si="88"/>
        <v>0</v>
      </c>
    </row>
    <row r="438" spans="1:20" s="700" customFormat="1" ht="70.5" hidden="1" customHeight="1">
      <c r="A438" s="1105">
        <v>77.099999999999994</v>
      </c>
      <c r="B438" s="538" t="s">
        <v>1959</v>
      </c>
      <c r="C438" s="602">
        <f>ROUND(Data!K2283,2)</f>
        <v>266</v>
      </c>
      <c r="D438" s="744" t="s">
        <v>842</v>
      </c>
      <c r="E438" s="1276"/>
      <c r="F438" s="1125">
        <f t="shared" si="80"/>
        <v>0</v>
      </c>
      <c r="G438" s="1199"/>
      <c r="H438" s="1125">
        <f t="shared" si="81"/>
        <v>0</v>
      </c>
      <c r="I438" s="748"/>
      <c r="J438" s="748">
        <f t="shared" si="82"/>
        <v>0</v>
      </c>
      <c r="K438" s="1199"/>
      <c r="L438" s="1125">
        <f t="shared" si="83"/>
        <v>0</v>
      </c>
      <c r="M438" s="1200"/>
      <c r="N438" s="1339">
        <f t="shared" si="84"/>
        <v>0</v>
      </c>
      <c r="O438" s="1340">
        <f t="shared" si="85"/>
        <v>0</v>
      </c>
      <c r="P438" s="1339">
        <f t="shared" si="86"/>
        <v>0</v>
      </c>
      <c r="Q438" s="1340">
        <f t="shared" si="87"/>
        <v>0</v>
      </c>
      <c r="R438" s="1339">
        <f t="shared" si="88"/>
        <v>0</v>
      </c>
    </row>
    <row r="439" spans="1:20" s="700" customFormat="1" ht="70.5" hidden="1" customHeight="1">
      <c r="A439" s="1105">
        <v>77.2</v>
      </c>
      <c r="B439" s="538" t="s">
        <v>5286</v>
      </c>
      <c r="C439" s="602">
        <v>1879</v>
      </c>
      <c r="D439" s="744" t="s">
        <v>1423</v>
      </c>
      <c r="E439" s="1276"/>
      <c r="F439" s="1125">
        <f t="shared" si="80"/>
        <v>0</v>
      </c>
      <c r="G439" s="1199"/>
      <c r="H439" s="1125">
        <f t="shared" si="81"/>
        <v>0</v>
      </c>
      <c r="I439" s="748"/>
      <c r="J439" s="748">
        <f t="shared" si="82"/>
        <v>0</v>
      </c>
      <c r="K439" s="1199"/>
      <c r="L439" s="1125">
        <f t="shared" si="83"/>
        <v>0</v>
      </c>
      <c r="M439" s="1200"/>
      <c r="N439" s="1339">
        <f t="shared" si="84"/>
        <v>0</v>
      </c>
      <c r="O439" s="1340">
        <f t="shared" si="85"/>
        <v>0</v>
      </c>
      <c r="P439" s="1339">
        <f t="shared" si="86"/>
        <v>0</v>
      </c>
      <c r="Q439" s="1340">
        <f t="shared" si="87"/>
        <v>0</v>
      </c>
      <c r="R439" s="1339">
        <f t="shared" si="88"/>
        <v>0</v>
      </c>
    </row>
    <row r="440" spans="1:20" ht="50.25" customHeight="1">
      <c r="A440" s="1486">
        <v>77.3</v>
      </c>
      <c r="B440" s="1198" t="s">
        <v>1368</v>
      </c>
      <c r="C440" s="1111">
        <f>Data!K2285</f>
        <v>77.010000000000005</v>
      </c>
      <c r="D440" s="1110" t="s">
        <v>1423</v>
      </c>
      <c r="E440" s="1336">
        <v>4</v>
      </c>
      <c r="F440" s="1125">
        <f t="shared" si="80"/>
        <v>308.04000000000002</v>
      </c>
      <c r="G440" s="1335"/>
      <c r="H440" s="1125">
        <f t="shared" si="81"/>
        <v>0</v>
      </c>
      <c r="I440" s="1312"/>
      <c r="J440" s="1406">
        <f t="shared" si="82"/>
        <v>0</v>
      </c>
      <c r="K440" s="1335"/>
      <c r="L440" s="1125">
        <f t="shared" si="83"/>
        <v>0</v>
      </c>
      <c r="M440" s="1340"/>
      <c r="N440" s="1339">
        <f t="shared" si="84"/>
        <v>0</v>
      </c>
      <c r="O440" s="1340">
        <f t="shared" si="85"/>
        <v>0</v>
      </c>
      <c r="P440" s="1339">
        <f t="shared" si="86"/>
        <v>0</v>
      </c>
      <c r="Q440" s="1340">
        <f t="shared" si="87"/>
        <v>4</v>
      </c>
      <c r="R440" s="1339">
        <f t="shared" si="88"/>
        <v>308.04000000000002</v>
      </c>
      <c r="S440" s="1322">
        <f t="shared" ref="S440:S442" si="89">F440+P440</f>
        <v>308.04000000000002</v>
      </c>
      <c r="T440" s="1322">
        <f t="shared" ref="T440:T442" si="90">S440-R440</f>
        <v>0</v>
      </c>
    </row>
    <row r="441" spans="1:20" ht="50.25" customHeight="1">
      <c r="A441" s="1486">
        <v>77.400000000000006</v>
      </c>
      <c r="B441" s="1198" t="s">
        <v>1071</v>
      </c>
      <c r="C441" s="1111">
        <f>Data!K2304</f>
        <v>87.66</v>
      </c>
      <c r="D441" s="1110" t="s">
        <v>842</v>
      </c>
      <c r="E441" s="1336">
        <v>60</v>
      </c>
      <c r="F441" s="1125">
        <f t="shared" si="80"/>
        <v>5259.6</v>
      </c>
      <c r="G441" s="1335"/>
      <c r="H441" s="1125">
        <f t="shared" si="81"/>
        <v>0</v>
      </c>
      <c r="I441" s="1312"/>
      <c r="J441" s="1406">
        <f t="shared" si="82"/>
        <v>0</v>
      </c>
      <c r="K441" s="1335"/>
      <c r="L441" s="1125">
        <f t="shared" si="83"/>
        <v>0</v>
      </c>
      <c r="M441" s="1340"/>
      <c r="N441" s="1339">
        <f t="shared" si="84"/>
        <v>0</v>
      </c>
      <c r="O441" s="1340">
        <f t="shared" si="85"/>
        <v>0</v>
      </c>
      <c r="P441" s="1339">
        <f t="shared" si="86"/>
        <v>0</v>
      </c>
      <c r="Q441" s="1340">
        <f t="shared" si="87"/>
        <v>60</v>
      </c>
      <c r="R441" s="1339">
        <f t="shared" si="88"/>
        <v>5259.6</v>
      </c>
      <c r="S441" s="1322">
        <f t="shared" si="89"/>
        <v>5259.6</v>
      </c>
      <c r="T441" s="1322">
        <f t="shared" si="90"/>
        <v>0</v>
      </c>
    </row>
    <row r="442" spans="1:20" ht="50.25" customHeight="1">
      <c r="A442" s="1486">
        <v>78</v>
      </c>
      <c r="B442" s="1198" t="s">
        <v>2205</v>
      </c>
      <c r="C442" s="1111">
        <f>Data!K2286</f>
        <v>2921</v>
      </c>
      <c r="D442" s="1110" t="s">
        <v>1423</v>
      </c>
      <c r="E442" s="1336">
        <v>4</v>
      </c>
      <c r="F442" s="1125">
        <f t="shared" si="80"/>
        <v>11684</v>
      </c>
      <c r="G442" s="1335"/>
      <c r="H442" s="1125">
        <f t="shared" si="81"/>
        <v>0</v>
      </c>
      <c r="I442" s="1312"/>
      <c r="J442" s="1406">
        <f t="shared" si="82"/>
        <v>0</v>
      </c>
      <c r="K442" s="1335"/>
      <c r="L442" s="1125">
        <f t="shared" si="83"/>
        <v>0</v>
      </c>
      <c r="M442" s="1340"/>
      <c r="N442" s="1339">
        <f t="shared" si="84"/>
        <v>0</v>
      </c>
      <c r="O442" s="1340">
        <f t="shared" si="85"/>
        <v>0</v>
      </c>
      <c r="P442" s="1339">
        <f t="shared" si="86"/>
        <v>0</v>
      </c>
      <c r="Q442" s="1340">
        <f t="shared" si="87"/>
        <v>4</v>
      </c>
      <c r="R442" s="1339">
        <f t="shared" si="88"/>
        <v>11684</v>
      </c>
      <c r="S442" s="1322">
        <f t="shared" si="89"/>
        <v>11684</v>
      </c>
      <c r="T442" s="1322">
        <f t="shared" si="90"/>
        <v>0</v>
      </c>
    </row>
    <row r="443" spans="1:20" s="700" customFormat="1" ht="70.5" hidden="1" customHeight="1">
      <c r="A443" s="1414">
        <v>78.099999999999994</v>
      </c>
      <c r="B443" s="1415" t="s">
        <v>2206</v>
      </c>
      <c r="C443" s="1416"/>
      <c r="D443" s="1417" t="s">
        <v>1423</v>
      </c>
      <c r="E443" s="1278"/>
      <c r="F443" s="1125">
        <f t="shared" si="80"/>
        <v>0</v>
      </c>
      <c r="G443" s="1273"/>
      <c r="H443" s="1125">
        <f t="shared" si="81"/>
        <v>0</v>
      </c>
      <c r="I443" s="748"/>
      <c r="J443" s="748">
        <f t="shared" si="82"/>
        <v>0</v>
      </c>
      <c r="K443" s="1273"/>
      <c r="L443" s="1125">
        <f t="shared" si="83"/>
        <v>0</v>
      </c>
      <c r="M443" s="1412"/>
      <c r="N443" s="1339">
        <f t="shared" si="84"/>
        <v>0</v>
      </c>
      <c r="O443" s="1340">
        <f t="shared" si="85"/>
        <v>0</v>
      </c>
      <c r="P443" s="1339">
        <f t="shared" si="86"/>
        <v>0</v>
      </c>
      <c r="Q443" s="1340">
        <f t="shared" si="87"/>
        <v>0</v>
      </c>
      <c r="R443" s="1339">
        <f t="shared" si="88"/>
        <v>0</v>
      </c>
    </row>
    <row r="444" spans="1:20" s="700" customFormat="1" ht="70.5" hidden="1" customHeight="1">
      <c r="A444" s="1105">
        <v>79.099999999999994</v>
      </c>
      <c r="B444" s="538" t="s">
        <v>2260</v>
      </c>
      <c r="C444" s="602">
        <f>Elec.Data!K570</f>
        <v>550</v>
      </c>
      <c r="D444" s="744" t="s">
        <v>1423</v>
      </c>
      <c r="E444" s="1276"/>
      <c r="F444" s="1125">
        <f t="shared" si="80"/>
        <v>0</v>
      </c>
      <c r="G444" s="1199"/>
      <c r="H444" s="1125">
        <f t="shared" si="81"/>
        <v>0</v>
      </c>
      <c r="I444" s="748"/>
      <c r="J444" s="748">
        <f t="shared" si="82"/>
        <v>0</v>
      </c>
      <c r="K444" s="1199"/>
      <c r="L444" s="1125">
        <f t="shared" si="83"/>
        <v>0</v>
      </c>
      <c r="M444" s="1200"/>
      <c r="N444" s="1339">
        <f t="shared" si="84"/>
        <v>0</v>
      </c>
      <c r="O444" s="1340">
        <f t="shared" si="85"/>
        <v>0</v>
      </c>
      <c r="P444" s="1339">
        <f t="shared" si="86"/>
        <v>0</v>
      </c>
      <c r="Q444" s="1340">
        <f t="shared" si="87"/>
        <v>0</v>
      </c>
      <c r="R444" s="1339">
        <f t="shared" si="88"/>
        <v>0</v>
      </c>
    </row>
    <row r="445" spans="1:20" s="700" customFormat="1" ht="70.5" hidden="1" customHeight="1">
      <c r="A445" s="1105">
        <v>79.2</v>
      </c>
      <c r="B445" s="538" t="s">
        <v>1211</v>
      </c>
      <c r="C445" s="602">
        <f>Elec.Data!K589</f>
        <v>825</v>
      </c>
      <c r="D445" s="744" t="s">
        <v>1423</v>
      </c>
      <c r="E445" s="1276"/>
      <c r="F445" s="1125">
        <f t="shared" si="80"/>
        <v>0</v>
      </c>
      <c r="G445" s="1199"/>
      <c r="H445" s="1125">
        <f t="shared" si="81"/>
        <v>0</v>
      </c>
      <c r="I445" s="748"/>
      <c r="J445" s="748">
        <f t="shared" si="82"/>
        <v>0</v>
      </c>
      <c r="K445" s="1199"/>
      <c r="L445" s="1125">
        <f t="shared" si="83"/>
        <v>0</v>
      </c>
      <c r="M445" s="1200"/>
      <c r="N445" s="1339">
        <f t="shared" si="84"/>
        <v>0</v>
      </c>
      <c r="O445" s="1340">
        <f t="shared" si="85"/>
        <v>0</v>
      </c>
      <c r="P445" s="1339">
        <f t="shared" si="86"/>
        <v>0</v>
      </c>
      <c r="Q445" s="1340">
        <f t="shared" si="87"/>
        <v>0</v>
      </c>
      <c r="R445" s="1339">
        <f t="shared" si="88"/>
        <v>0</v>
      </c>
    </row>
    <row r="446" spans="1:20" s="700" customFormat="1" ht="70.5" hidden="1" customHeight="1">
      <c r="A446" s="1105">
        <v>80</v>
      </c>
      <c r="B446" s="538" t="s">
        <v>646</v>
      </c>
      <c r="C446" s="743">
        <f>Data!K2287</f>
        <v>818.75</v>
      </c>
      <c r="D446" s="744" t="s">
        <v>1423</v>
      </c>
      <c r="E446" s="1276"/>
      <c r="F446" s="1125">
        <f t="shared" si="80"/>
        <v>0</v>
      </c>
      <c r="G446" s="1199"/>
      <c r="H446" s="1125">
        <f t="shared" si="81"/>
        <v>0</v>
      </c>
      <c r="I446" s="748"/>
      <c r="J446" s="748">
        <f t="shared" si="82"/>
        <v>0</v>
      </c>
      <c r="K446" s="1199"/>
      <c r="L446" s="1125">
        <f t="shared" si="83"/>
        <v>0</v>
      </c>
      <c r="M446" s="1200"/>
      <c r="N446" s="1339">
        <f t="shared" si="84"/>
        <v>0</v>
      </c>
      <c r="O446" s="1340">
        <f t="shared" si="85"/>
        <v>0</v>
      </c>
      <c r="P446" s="1339">
        <f t="shared" si="86"/>
        <v>0</v>
      </c>
      <c r="Q446" s="1340">
        <f t="shared" si="87"/>
        <v>0</v>
      </c>
      <c r="R446" s="1339">
        <f t="shared" si="88"/>
        <v>0</v>
      </c>
    </row>
    <row r="447" spans="1:20" s="812" customFormat="1" ht="41.25" hidden="1" customHeight="1">
      <c r="A447" s="1107">
        <v>81</v>
      </c>
      <c r="B447" s="1108" t="s">
        <v>295</v>
      </c>
      <c r="C447" s="1109">
        <f>ROUND(Data!K2288,2)</f>
        <v>2589.9</v>
      </c>
      <c r="D447" s="1110" t="s">
        <v>2322</v>
      </c>
      <c r="E447" s="1276"/>
      <c r="F447" s="1125">
        <f t="shared" si="80"/>
        <v>0</v>
      </c>
      <c r="G447" s="1199"/>
      <c r="H447" s="1125">
        <f t="shared" si="81"/>
        <v>0</v>
      </c>
      <c r="I447" s="748"/>
      <c r="J447" s="748">
        <f t="shared" si="82"/>
        <v>0</v>
      </c>
      <c r="K447" s="1199"/>
      <c r="L447" s="1125">
        <f t="shared" si="83"/>
        <v>0</v>
      </c>
      <c r="M447" s="1200"/>
      <c r="N447" s="1339">
        <f t="shared" si="84"/>
        <v>0</v>
      </c>
      <c r="O447" s="1340">
        <f t="shared" si="85"/>
        <v>0</v>
      </c>
      <c r="P447" s="1339">
        <f t="shared" si="86"/>
        <v>0</v>
      </c>
      <c r="Q447" s="1340">
        <f t="shared" si="87"/>
        <v>0</v>
      </c>
      <c r="R447" s="1339">
        <f t="shared" si="88"/>
        <v>0</v>
      </c>
    </row>
    <row r="448" spans="1:20" s="700" customFormat="1" ht="70.5" hidden="1" customHeight="1">
      <c r="A448" s="1127">
        <v>82</v>
      </c>
      <c r="B448" s="538" t="s">
        <v>1107</v>
      </c>
      <c r="C448" s="743">
        <f>ROUND(Data!K2289,2)</f>
        <v>2946</v>
      </c>
      <c r="D448" s="744" t="s">
        <v>1423</v>
      </c>
      <c r="E448" s="1276"/>
      <c r="F448" s="1125">
        <f t="shared" si="80"/>
        <v>0</v>
      </c>
      <c r="G448" s="1199"/>
      <c r="H448" s="1125">
        <f t="shared" si="81"/>
        <v>0</v>
      </c>
      <c r="I448" s="748"/>
      <c r="J448" s="748">
        <f t="shared" si="82"/>
        <v>0</v>
      </c>
      <c r="K448" s="1199"/>
      <c r="L448" s="1125">
        <f t="shared" si="83"/>
        <v>0</v>
      </c>
      <c r="M448" s="1200"/>
      <c r="N448" s="1339">
        <f t="shared" si="84"/>
        <v>0</v>
      </c>
      <c r="O448" s="1340">
        <f t="shared" si="85"/>
        <v>0</v>
      </c>
      <c r="P448" s="1339">
        <f t="shared" si="86"/>
        <v>0</v>
      </c>
      <c r="Q448" s="1340">
        <f t="shared" si="87"/>
        <v>0</v>
      </c>
      <c r="R448" s="1339">
        <f t="shared" si="88"/>
        <v>0</v>
      </c>
    </row>
    <row r="449" spans="1:20" s="700" customFormat="1" ht="70.5" hidden="1" customHeight="1">
      <c r="A449" s="1105">
        <v>83</v>
      </c>
      <c r="B449" s="538" t="s">
        <v>1212</v>
      </c>
      <c r="C449" s="602">
        <f>Elec.Data!K726</f>
        <v>190</v>
      </c>
      <c r="D449" s="744" t="s">
        <v>842</v>
      </c>
      <c r="E449" s="1276"/>
      <c r="F449" s="1125">
        <f t="shared" si="80"/>
        <v>0</v>
      </c>
      <c r="G449" s="1199"/>
      <c r="H449" s="1125">
        <f t="shared" si="81"/>
        <v>0</v>
      </c>
      <c r="I449" s="748"/>
      <c r="J449" s="748">
        <f t="shared" si="82"/>
        <v>0</v>
      </c>
      <c r="K449" s="1199"/>
      <c r="L449" s="1125">
        <f t="shared" si="83"/>
        <v>0</v>
      </c>
      <c r="M449" s="1200"/>
      <c r="N449" s="1339">
        <f t="shared" si="84"/>
        <v>0</v>
      </c>
      <c r="O449" s="1340">
        <f t="shared" si="85"/>
        <v>0</v>
      </c>
      <c r="P449" s="1339">
        <f t="shared" si="86"/>
        <v>0</v>
      </c>
      <c r="Q449" s="1340">
        <f t="shared" si="87"/>
        <v>0</v>
      </c>
      <c r="R449" s="1339">
        <f t="shared" si="88"/>
        <v>0</v>
      </c>
    </row>
    <row r="450" spans="1:20" s="700" customFormat="1" ht="70.5" hidden="1" customHeight="1">
      <c r="A450" s="1105">
        <v>84</v>
      </c>
      <c r="B450" s="538" t="s">
        <v>1213</v>
      </c>
      <c r="C450" s="602"/>
      <c r="D450" s="744" t="s">
        <v>842</v>
      </c>
      <c r="E450" s="1276"/>
      <c r="F450" s="1125">
        <f t="shared" si="80"/>
        <v>0</v>
      </c>
      <c r="G450" s="1199"/>
      <c r="H450" s="1125">
        <f t="shared" si="81"/>
        <v>0</v>
      </c>
      <c r="I450" s="748"/>
      <c r="J450" s="748">
        <f t="shared" si="82"/>
        <v>0</v>
      </c>
      <c r="K450" s="1199"/>
      <c r="L450" s="1125">
        <f t="shared" si="83"/>
        <v>0</v>
      </c>
      <c r="M450" s="1200"/>
      <c r="N450" s="1339">
        <f t="shared" si="84"/>
        <v>0</v>
      </c>
      <c r="O450" s="1340">
        <f t="shared" si="85"/>
        <v>0</v>
      </c>
      <c r="P450" s="1339">
        <f t="shared" si="86"/>
        <v>0</v>
      </c>
      <c r="Q450" s="1340">
        <f t="shared" si="87"/>
        <v>0</v>
      </c>
      <c r="R450" s="1339">
        <f t="shared" si="88"/>
        <v>0</v>
      </c>
    </row>
    <row r="451" spans="1:20" s="700" customFormat="1" ht="70.5" hidden="1" customHeight="1">
      <c r="A451" s="1105">
        <v>85</v>
      </c>
      <c r="B451" s="538" t="s">
        <v>1214</v>
      </c>
      <c r="C451" s="602">
        <f>Elec.Data!K685</f>
        <v>130</v>
      </c>
      <c r="D451" s="744" t="s">
        <v>842</v>
      </c>
      <c r="E451" s="1276"/>
      <c r="F451" s="1125">
        <f t="shared" si="80"/>
        <v>0</v>
      </c>
      <c r="G451" s="1199"/>
      <c r="H451" s="1125">
        <f t="shared" si="81"/>
        <v>0</v>
      </c>
      <c r="I451" s="748"/>
      <c r="J451" s="748">
        <f t="shared" si="82"/>
        <v>0</v>
      </c>
      <c r="K451" s="1199"/>
      <c r="L451" s="1125">
        <f t="shared" si="83"/>
        <v>0</v>
      </c>
      <c r="M451" s="1200"/>
      <c r="N451" s="1339">
        <f t="shared" si="84"/>
        <v>0</v>
      </c>
      <c r="O451" s="1340">
        <f t="shared" si="85"/>
        <v>0</v>
      </c>
      <c r="P451" s="1339">
        <f t="shared" si="86"/>
        <v>0</v>
      </c>
      <c r="Q451" s="1340">
        <f t="shared" si="87"/>
        <v>0</v>
      </c>
      <c r="R451" s="1339">
        <f t="shared" si="88"/>
        <v>0</v>
      </c>
    </row>
    <row r="452" spans="1:20" ht="50.25" customHeight="1">
      <c r="A452" s="1486">
        <v>86</v>
      </c>
      <c r="B452" s="1198" t="s">
        <v>246</v>
      </c>
      <c r="C452" s="1111">
        <v>34</v>
      </c>
      <c r="D452" s="1110" t="s">
        <v>1876</v>
      </c>
      <c r="E452" s="1336">
        <v>611.29999999999995</v>
      </c>
      <c r="F452" s="1125">
        <f t="shared" si="80"/>
        <v>20784.2</v>
      </c>
      <c r="G452" s="1335"/>
      <c r="H452" s="1125">
        <f t="shared" si="81"/>
        <v>0</v>
      </c>
      <c r="I452" s="1312"/>
      <c r="J452" s="1406">
        <f t="shared" si="82"/>
        <v>0</v>
      </c>
      <c r="K452" s="1335"/>
      <c r="L452" s="1125">
        <f t="shared" si="83"/>
        <v>0</v>
      </c>
      <c r="M452" s="1340"/>
      <c r="N452" s="1339">
        <f t="shared" si="84"/>
        <v>0</v>
      </c>
      <c r="O452" s="1340">
        <f t="shared" si="85"/>
        <v>0</v>
      </c>
      <c r="P452" s="1339">
        <f t="shared" si="86"/>
        <v>0</v>
      </c>
      <c r="Q452" s="1340">
        <f t="shared" si="87"/>
        <v>611.29999999999995</v>
      </c>
      <c r="R452" s="1339">
        <f t="shared" si="88"/>
        <v>20784.2</v>
      </c>
      <c r="S452" s="1322">
        <f>F452+P452</f>
        <v>20784.2</v>
      </c>
      <c r="T452" s="1322">
        <f>S452-R452</f>
        <v>0</v>
      </c>
    </row>
    <row r="453" spans="1:20" s="700" customFormat="1" ht="70.5" hidden="1" customHeight="1">
      <c r="A453" s="1429">
        <v>87</v>
      </c>
      <c r="B453" s="1415" t="s">
        <v>1918</v>
      </c>
      <c r="C453" s="1418">
        <f>ROUND(Data!K2290,2)</f>
        <v>2695</v>
      </c>
      <c r="D453" s="1417" t="s">
        <v>1423</v>
      </c>
      <c r="E453" s="1278"/>
      <c r="F453" s="1125">
        <f t="shared" si="80"/>
        <v>0</v>
      </c>
      <c r="G453" s="1273"/>
      <c r="H453" s="1125">
        <f t="shared" si="81"/>
        <v>0</v>
      </c>
      <c r="I453" s="748"/>
      <c r="J453" s="748">
        <f t="shared" si="82"/>
        <v>0</v>
      </c>
      <c r="K453" s="1273"/>
      <c r="L453" s="1125">
        <f t="shared" si="83"/>
        <v>0</v>
      </c>
      <c r="M453" s="1412"/>
      <c r="N453" s="1339">
        <f t="shared" si="84"/>
        <v>0</v>
      </c>
      <c r="O453" s="1340">
        <f t="shared" si="85"/>
        <v>0</v>
      </c>
      <c r="P453" s="1339">
        <f t="shared" si="86"/>
        <v>0</v>
      </c>
      <c r="Q453" s="1340">
        <f t="shared" si="87"/>
        <v>0</v>
      </c>
      <c r="R453" s="1339">
        <f t="shared" si="88"/>
        <v>0</v>
      </c>
    </row>
    <row r="454" spans="1:20" s="700" customFormat="1" ht="50.25" customHeight="1">
      <c r="A454" s="1105">
        <v>112</v>
      </c>
      <c r="B454" s="538" t="s">
        <v>3885</v>
      </c>
      <c r="C454" s="602">
        <f>ROUND(Data!K2280,2)</f>
        <v>2336</v>
      </c>
      <c r="D454" s="744" t="s">
        <v>1423</v>
      </c>
      <c r="E454" s="1100">
        <v>16</v>
      </c>
      <c r="F454" s="1125">
        <f t="shared" si="80"/>
        <v>37376</v>
      </c>
      <c r="G454" s="1199"/>
      <c r="H454" s="1125">
        <f t="shared" si="81"/>
        <v>0</v>
      </c>
      <c r="I454" s="748"/>
      <c r="J454" s="1407">
        <f t="shared" si="82"/>
        <v>0</v>
      </c>
      <c r="K454" s="1199"/>
      <c r="L454" s="1125">
        <f t="shared" si="83"/>
        <v>0</v>
      </c>
      <c r="M454" s="1200"/>
      <c r="N454" s="1339">
        <f t="shared" si="84"/>
        <v>0</v>
      </c>
      <c r="O454" s="1340">
        <f t="shared" si="85"/>
        <v>0</v>
      </c>
      <c r="P454" s="1339">
        <f t="shared" si="86"/>
        <v>0</v>
      </c>
      <c r="Q454" s="1340">
        <f t="shared" si="87"/>
        <v>16</v>
      </c>
      <c r="R454" s="1339">
        <f t="shared" si="88"/>
        <v>37376</v>
      </c>
    </row>
    <row r="455" spans="1:20" ht="50.25" customHeight="1">
      <c r="A455" s="1486">
        <v>238</v>
      </c>
      <c r="B455" s="1198" t="s">
        <v>4117</v>
      </c>
      <c r="C455" s="1111">
        <f>ROUND(Data!K1567,2)</f>
        <v>4755.5</v>
      </c>
      <c r="D455" s="1110" t="s">
        <v>535</v>
      </c>
      <c r="E455" s="1336">
        <v>101.43</v>
      </c>
      <c r="F455" s="1125">
        <f t="shared" ref="F455:F518" si="91">E455*C455</f>
        <v>482350.37</v>
      </c>
      <c r="G455" s="1335">
        <v>1.08</v>
      </c>
      <c r="H455" s="1125">
        <f t="shared" ref="H455:H518" si="92">G455*C455</f>
        <v>5135.9399999999996</v>
      </c>
      <c r="I455" s="1312"/>
      <c r="J455" s="1406">
        <f t="shared" ref="J455:J518" si="93">I455*C455</f>
        <v>0</v>
      </c>
      <c r="K455" s="1335"/>
      <c r="L455" s="1125">
        <f t="shared" ref="L455:L518" si="94">K455*C455</f>
        <v>0</v>
      </c>
      <c r="M455" s="1343"/>
      <c r="N455" s="1339">
        <f t="shared" ref="N455:N518" si="95">M455*C455</f>
        <v>0</v>
      </c>
      <c r="O455" s="1340">
        <f t="shared" ref="O455:O518" si="96">G455+K455+M455</f>
        <v>1.08</v>
      </c>
      <c r="P455" s="1339">
        <f t="shared" ref="P455:P518" si="97">O455*C455</f>
        <v>5135.9399999999996</v>
      </c>
      <c r="Q455" s="1340">
        <f t="shared" ref="Q455:Q518" si="98">O455+E455</f>
        <v>102.51</v>
      </c>
      <c r="R455" s="1339">
        <f t="shared" ref="R455:R518" si="99">Q455*C455</f>
        <v>487486.31</v>
      </c>
      <c r="S455" s="1322">
        <f t="shared" ref="S455:S456" si="100">F455+P455</f>
        <v>487486.31</v>
      </c>
      <c r="T455" s="1322">
        <f>R455-596387.26</f>
        <v>-108900.95</v>
      </c>
    </row>
    <row r="456" spans="1:20" ht="50.25" customHeight="1">
      <c r="A456" s="1486"/>
      <c r="B456" s="1332" t="s">
        <v>2961</v>
      </c>
      <c r="C456" s="1111"/>
      <c r="D456" s="1110"/>
      <c r="E456" s="1109"/>
      <c r="F456" s="1125">
        <f t="shared" si="91"/>
        <v>0</v>
      </c>
      <c r="G456" s="1335"/>
      <c r="H456" s="1125">
        <f t="shared" si="92"/>
        <v>0</v>
      </c>
      <c r="I456" s="1312"/>
      <c r="J456" s="1406">
        <f t="shared" si="93"/>
        <v>0</v>
      </c>
      <c r="K456" s="1335"/>
      <c r="L456" s="1125">
        <f t="shared" si="94"/>
        <v>0</v>
      </c>
      <c r="M456" s="1340"/>
      <c r="N456" s="1339">
        <f t="shared" si="95"/>
        <v>0</v>
      </c>
      <c r="O456" s="1340">
        <f t="shared" si="96"/>
        <v>0</v>
      </c>
      <c r="P456" s="1339">
        <f t="shared" si="97"/>
        <v>0</v>
      </c>
      <c r="Q456" s="1341" t="s">
        <v>2290</v>
      </c>
      <c r="R456" s="1339"/>
      <c r="S456" s="1322">
        <f t="shared" si="100"/>
        <v>0</v>
      </c>
      <c r="T456" s="1322">
        <f t="shared" ref="T456" si="101">S456-R456</f>
        <v>0</v>
      </c>
    </row>
    <row r="457" spans="1:20" s="700" customFormat="1" ht="70.5" hidden="1" customHeight="1">
      <c r="A457" s="1430" t="s">
        <v>1014</v>
      </c>
      <c r="B457" s="1431" t="s">
        <v>5883</v>
      </c>
      <c r="C457" s="1411"/>
      <c r="D457" s="1371"/>
      <c r="E457" s="1432"/>
      <c r="F457" s="1125">
        <f t="shared" si="91"/>
        <v>0</v>
      </c>
      <c r="G457" s="1273"/>
      <c r="H457" s="1125">
        <f t="shared" si="92"/>
        <v>0</v>
      </c>
      <c r="I457" s="748"/>
      <c r="J457" s="748">
        <f t="shared" si="93"/>
        <v>0</v>
      </c>
      <c r="K457" s="1273"/>
      <c r="L457" s="1125">
        <f t="shared" si="94"/>
        <v>0</v>
      </c>
      <c r="M457" s="1419"/>
      <c r="N457" s="1339">
        <f t="shared" si="95"/>
        <v>0</v>
      </c>
      <c r="O457" s="1340">
        <f t="shared" si="96"/>
        <v>0</v>
      </c>
      <c r="P457" s="1339">
        <f t="shared" si="97"/>
        <v>0</v>
      </c>
      <c r="Q457" s="1340">
        <f t="shared" si="98"/>
        <v>0</v>
      </c>
      <c r="R457" s="1339">
        <f t="shared" si="99"/>
        <v>0</v>
      </c>
    </row>
    <row r="458" spans="1:20" s="700" customFormat="1" ht="51.75" hidden="1" customHeight="1">
      <c r="A458" s="1108"/>
      <c r="B458" s="1108" t="s">
        <v>4947</v>
      </c>
      <c r="C458" s="1109">
        <f>Data!X537</f>
        <v>1539.84</v>
      </c>
      <c r="D458" s="1110" t="s">
        <v>1876</v>
      </c>
      <c r="E458" s="796"/>
      <c r="F458" s="1125">
        <f t="shared" si="91"/>
        <v>0</v>
      </c>
      <c r="G458" s="1199"/>
      <c r="H458" s="1125">
        <f t="shared" si="92"/>
        <v>0</v>
      </c>
      <c r="I458" s="748"/>
      <c r="J458" s="748">
        <f t="shared" si="93"/>
        <v>0</v>
      </c>
      <c r="K458" s="1199"/>
      <c r="L458" s="1125">
        <f t="shared" si="94"/>
        <v>0</v>
      </c>
      <c r="M458" s="1208"/>
      <c r="N458" s="1339">
        <f t="shared" si="95"/>
        <v>0</v>
      </c>
      <c r="O458" s="1340">
        <f t="shared" si="96"/>
        <v>0</v>
      </c>
      <c r="P458" s="1339">
        <f t="shared" si="97"/>
        <v>0</v>
      </c>
      <c r="Q458" s="1340">
        <f t="shared" si="98"/>
        <v>0</v>
      </c>
      <c r="R458" s="1339">
        <f t="shared" si="99"/>
        <v>0</v>
      </c>
    </row>
    <row r="459" spans="1:20" s="700" customFormat="1" ht="51.75" hidden="1" customHeight="1">
      <c r="A459" s="1108"/>
      <c r="B459" s="1108" t="s">
        <v>1411</v>
      </c>
      <c r="C459" s="1109">
        <f>Data!X538</f>
        <v>1544.81</v>
      </c>
      <c r="D459" s="1110" t="s">
        <v>1876</v>
      </c>
      <c r="E459" s="796"/>
      <c r="F459" s="1125">
        <f t="shared" si="91"/>
        <v>0</v>
      </c>
      <c r="G459" s="1199"/>
      <c r="H459" s="1125">
        <f t="shared" si="92"/>
        <v>0</v>
      </c>
      <c r="I459" s="748"/>
      <c r="J459" s="748">
        <f t="shared" si="93"/>
        <v>0</v>
      </c>
      <c r="K459" s="1199"/>
      <c r="L459" s="1125">
        <f t="shared" si="94"/>
        <v>0</v>
      </c>
      <c r="M459" s="1208"/>
      <c r="N459" s="1339">
        <f t="shared" si="95"/>
        <v>0</v>
      </c>
      <c r="O459" s="1340">
        <f t="shared" si="96"/>
        <v>0</v>
      </c>
      <c r="P459" s="1339">
        <f t="shared" si="97"/>
        <v>0</v>
      </c>
      <c r="Q459" s="1340">
        <f t="shared" si="98"/>
        <v>0</v>
      </c>
      <c r="R459" s="1339">
        <f t="shared" si="99"/>
        <v>0</v>
      </c>
    </row>
    <row r="460" spans="1:20" s="700" customFormat="1" ht="51.75" hidden="1" customHeight="1">
      <c r="A460" s="1108"/>
      <c r="B460" s="1108" t="s">
        <v>1459</v>
      </c>
      <c r="C460" s="1109">
        <f>Data!X539</f>
        <v>1549.78</v>
      </c>
      <c r="D460" s="1110" t="s">
        <v>1876</v>
      </c>
      <c r="E460" s="796"/>
      <c r="F460" s="1125">
        <f t="shared" si="91"/>
        <v>0</v>
      </c>
      <c r="G460" s="1199"/>
      <c r="H460" s="1125">
        <f t="shared" si="92"/>
        <v>0</v>
      </c>
      <c r="I460" s="748"/>
      <c r="J460" s="748">
        <f t="shared" si="93"/>
        <v>0</v>
      </c>
      <c r="K460" s="1199"/>
      <c r="L460" s="1125">
        <f t="shared" si="94"/>
        <v>0</v>
      </c>
      <c r="M460" s="1208"/>
      <c r="N460" s="1339">
        <f t="shared" si="95"/>
        <v>0</v>
      </c>
      <c r="O460" s="1340">
        <f t="shared" si="96"/>
        <v>0</v>
      </c>
      <c r="P460" s="1339">
        <f t="shared" si="97"/>
        <v>0</v>
      </c>
      <c r="Q460" s="1340">
        <f t="shared" si="98"/>
        <v>0</v>
      </c>
      <c r="R460" s="1339">
        <f t="shared" si="99"/>
        <v>0</v>
      </c>
    </row>
    <row r="461" spans="1:20" s="700" customFormat="1" ht="51.75" hidden="1" customHeight="1">
      <c r="A461" s="1108"/>
      <c r="B461" s="1108" t="s">
        <v>1348</v>
      </c>
      <c r="C461" s="1109">
        <f>Data!X540</f>
        <v>1554.75</v>
      </c>
      <c r="D461" s="1110" t="s">
        <v>1876</v>
      </c>
      <c r="E461" s="796"/>
      <c r="F461" s="1125">
        <f t="shared" si="91"/>
        <v>0</v>
      </c>
      <c r="G461" s="1199"/>
      <c r="H461" s="1125">
        <f t="shared" si="92"/>
        <v>0</v>
      </c>
      <c r="I461" s="748"/>
      <c r="J461" s="748">
        <f t="shared" si="93"/>
        <v>0</v>
      </c>
      <c r="K461" s="1199"/>
      <c r="L461" s="1125">
        <f t="shared" si="94"/>
        <v>0</v>
      </c>
      <c r="M461" s="1208"/>
      <c r="N461" s="1339">
        <f t="shared" si="95"/>
        <v>0</v>
      </c>
      <c r="O461" s="1340">
        <f t="shared" si="96"/>
        <v>0</v>
      </c>
      <c r="P461" s="1339">
        <f t="shared" si="97"/>
        <v>0</v>
      </c>
      <c r="Q461" s="1340">
        <f t="shared" si="98"/>
        <v>0</v>
      </c>
      <c r="R461" s="1339">
        <f t="shared" si="99"/>
        <v>0</v>
      </c>
    </row>
    <row r="462" spans="1:20" s="700" customFormat="1" ht="70.5" hidden="1" customHeight="1">
      <c r="A462" s="601"/>
      <c r="B462" s="538" t="s">
        <v>1099</v>
      </c>
      <c r="C462" s="1109">
        <f>Data!X541</f>
        <v>1559.72</v>
      </c>
      <c r="D462" s="744" t="s">
        <v>1876</v>
      </c>
      <c r="E462" s="796"/>
      <c r="F462" s="1125">
        <f t="shared" si="91"/>
        <v>0</v>
      </c>
      <c r="G462" s="1199"/>
      <c r="H462" s="1125">
        <f t="shared" si="92"/>
        <v>0</v>
      </c>
      <c r="I462" s="748"/>
      <c r="J462" s="748">
        <f t="shared" si="93"/>
        <v>0</v>
      </c>
      <c r="K462" s="1199"/>
      <c r="L462" s="1125">
        <f t="shared" si="94"/>
        <v>0</v>
      </c>
      <c r="M462" s="1200"/>
      <c r="N462" s="1339">
        <f t="shared" si="95"/>
        <v>0</v>
      </c>
      <c r="O462" s="1340">
        <f t="shared" si="96"/>
        <v>0</v>
      </c>
      <c r="P462" s="1339">
        <f t="shared" si="97"/>
        <v>0</v>
      </c>
      <c r="Q462" s="1340">
        <f t="shared" si="98"/>
        <v>0</v>
      </c>
      <c r="R462" s="1339">
        <f t="shared" si="99"/>
        <v>0</v>
      </c>
    </row>
    <row r="463" spans="1:20" s="700" customFormat="1" ht="70.5" hidden="1" customHeight="1">
      <c r="A463" s="1128" t="s">
        <v>1149</v>
      </c>
      <c r="B463" s="1112" t="s">
        <v>5884</v>
      </c>
      <c r="C463" s="1109"/>
      <c r="D463" s="1110"/>
      <c r="E463" s="796"/>
      <c r="F463" s="1125">
        <f t="shared" si="91"/>
        <v>0</v>
      </c>
      <c r="G463" s="1199"/>
      <c r="H463" s="1125">
        <f t="shared" si="92"/>
        <v>0</v>
      </c>
      <c r="I463" s="748"/>
      <c r="J463" s="748">
        <f t="shared" si="93"/>
        <v>0</v>
      </c>
      <c r="K463" s="1199"/>
      <c r="L463" s="1125">
        <f t="shared" si="94"/>
        <v>0</v>
      </c>
      <c r="M463" s="1208"/>
      <c r="N463" s="1339">
        <f t="shared" si="95"/>
        <v>0</v>
      </c>
      <c r="O463" s="1340">
        <f t="shared" si="96"/>
        <v>0</v>
      </c>
      <c r="P463" s="1339">
        <f t="shared" si="97"/>
        <v>0</v>
      </c>
      <c r="Q463" s="1340">
        <f t="shared" si="98"/>
        <v>0</v>
      </c>
      <c r="R463" s="1339">
        <f t="shared" si="99"/>
        <v>0</v>
      </c>
    </row>
    <row r="464" spans="1:20" s="700" customFormat="1" ht="51.75" hidden="1" customHeight="1">
      <c r="A464" s="1108"/>
      <c r="B464" s="1108" t="s">
        <v>631</v>
      </c>
      <c r="C464" s="1109">
        <f>Data!X559</f>
        <v>1687.42</v>
      </c>
      <c r="D464" s="1110" t="s">
        <v>1876</v>
      </c>
      <c r="E464" s="796"/>
      <c r="F464" s="1125">
        <f t="shared" si="91"/>
        <v>0</v>
      </c>
      <c r="G464" s="1199"/>
      <c r="H464" s="1125">
        <f t="shared" si="92"/>
        <v>0</v>
      </c>
      <c r="I464" s="748"/>
      <c r="J464" s="748">
        <f t="shared" si="93"/>
        <v>0</v>
      </c>
      <c r="K464" s="1199"/>
      <c r="L464" s="1125">
        <f t="shared" si="94"/>
        <v>0</v>
      </c>
      <c r="M464" s="1208"/>
      <c r="N464" s="1339">
        <f t="shared" si="95"/>
        <v>0</v>
      </c>
      <c r="O464" s="1340">
        <f t="shared" si="96"/>
        <v>0</v>
      </c>
      <c r="P464" s="1339">
        <f t="shared" si="97"/>
        <v>0</v>
      </c>
      <c r="Q464" s="1340">
        <f t="shared" si="98"/>
        <v>0</v>
      </c>
      <c r="R464" s="1339">
        <f t="shared" si="99"/>
        <v>0</v>
      </c>
    </row>
    <row r="465" spans="1:19" s="700" customFormat="1" ht="51.75" hidden="1" customHeight="1">
      <c r="A465" s="1108"/>
      <c r="B465" s="1108" t="s">
        <v>4948</v>
      </c>
      <c r="C465" s="1109">
        <f>Data!X561</f>
        <v>1692.47</v>
      </c>
      <c r="D465" s="1110" t="s">
        <v>1876</v>
      </c>
      <c r="E465" s="796"/>
      <c r="F465" s="1125">
        <f t="shared" si="91"/>
        <v>0</v>
      </c>
      <c r="G465" s="1199"/>
      <c r="H465" s="1125">
        <f t="shared" si="92"/>
        <v>0</v>
      </c>
      <c r="I465" s="748"/>
      <c r="J465" s="748">
        <f t="shared" si="93"/>
        <v>0</v>
      </c>
      <c r="K465" s="1199"/>
      <c r="L465" s="1125">
        <f t="shared" si="94"/>
        <v>0</v>
      </c>
      <c r="M465" s="1208"/>
      <c r="N465" s="1339">
        <f t="shared" si="95"/>
        <v>0</v>
      </c>
      <c r="O465" s="1340">
        <f t="shared" si="96"/>
        <v>0</v>
      </c>
      <c r="P465" s="1339">
        <f t="shared" si="97"/>
        <v>0</v>
      </c>
      <c r="Q465" s="1340">
        <f t="shared" si="98"/>
        <v>0</v>
      </c>
      <c r="R465" s="1339">
        <f t="shared" si="99"/>
        <v>0</v>
      </c>
    </row>
    <row r="466" spans="1:19" s="700" customFormat="1" ht="51.75" hidden="1" customHeight="1">
      <c r="A466" s="1108"/>
      <c r="B466" s="1108" t="s">
        <v>1270</v>
      </c>
      <c r="C466" s="1109">
        <f>Data!X562</f>
        <v>1702.41</v>
      </c>
      <c r="D466" s="1110" t="s">
        <v>1876</v>
      </c>
      <c r="E466" s="796"/>
      <c r="F466" s="1125">
        <f t="shared" si="91"/>
        <v>0</v>
      </c>
      <c r="G466" s="1199"/>
      <c r="H466" s="1125">
        <f t="shared" si="92"/>
        <v>0</v>
      </c>
      <c r="I466" s="748"/>
      <c r="J466" s="748">
        <f t="shared" si="93"/>
        <v>0</v>
      </c>
      <c r="K466" s="1199"/>
      <c r="L466" s="1125">
        <f t="shared" si="94"/>
        <v>0</v>
      </c>
      <c r="M466" s="1208"/>
      <c r="N466" s="1339">
        <f t="shared" si="95"/>
        <v>0</v>
      </c>
      <c r="O466" s="1340">
        <f t="shared" si="96"/>
        <v>0</v>
      </c>
      <c r="P466" s="1339">
        <f t="shared" si="97"/>
        <v>0</v>
      </c>
      <c r="Q466" s="1340">
        <f t="shared" si="98"/>
        <v>0</v>
      </c>
      <c r="R466" s="1339">
        <f t="shared" si="99"/>
        <v>0</v>
      </c>
    </row>
    <row r="467" spans="1:19" s="700" customFormat="1" ht="51.75" hidden="1" customHeight="1">
      <c r="A467" s="1108"/>
      <c r="B467" s="1108" t="s">
        <v>693</v>
      </c>
      <c r="C467" s="1109">
        <f>Data!X563</f>
        <v>1712.35</v>
      </c>
      <c r="D467" s="1110" t="s">
        <v>1876</v>
      </c>
      <c r="E467" s="796"/>
      <c r="F467" s="1125">
        <f t="shared" si="91"/>
        <v>0</v>
      </c>
      <c r="G467" s="1199"/>
      <c r="H467" s="1125">
        <f t="shared" si="92"/>
        <v>0</v>
      </c>
      <c r="I467" s="748"/>
      <c r="J467" s="748">
        <f t="shared" si="93"/>
        <v>0</v>
      </c>
      <c r="K467" s="1199"/>
      <c r="L467" s="1125">
        <f t="shared" si="94"/>
        <v>0</v>
      </c>
      <c r="M467" s="1208"/>
      <c r="N467" s="1339">
        <f t="shared" si="95"/>
        <v>0</v>
      </c>
      <c r="O467" s="1340">
        <f t="shared" si="96"/>
        <v>0</v>
      </c>
      <c r="P467" s="1339">
        <f t="shared" si="97"/>
        <v>0</v>
      </c>
      <c r="Q467" s="1340">
        <f t="shared" si="98"/>
        <v>0</v>
      </c>
      <c r="R467" s="1339">
        <f t="shared" si="99"/>
        <v>0</v>
      </c>
    </row>
    <row r="468" spans="1:19" s="700" customFormat="1" ht="51.75" hidden="1" customHeight="1">
      <c r="A468" s="1108"/>
      <c r="B468" s="1108" t="s">
        <v>694</v>
      </c>
      <c r="C468" s="1109">
        <f>Data!X564</f>
        <v>1722.29</v>
      </c>
      <c r="D468" s="1110" t="s">
        <v>1876</v>
      </c>
      <c r="E468" s="796"/>
      <c r="F468" s="1125">
        <f t="shared" si="91"/>
        <v>0</v>
      </c>
      <c r="G468" s="1199"/>
      <c r="H468" s="1125">
        <f t="shared" si="92"/>
        <v>0</v>
      </c>
      <c r="I468" s="748"/>
      <c r="J468" s="748">
        <f t="shared" si="93"/>
        <v>0</v>
      </c>
      <c r="K468" s="1199"/>
      <c r="L468" s="1125">
        <f t="shared" si="94"/>
        <v>0</v>
      </c>
      <c r="M468" s="1208"/>
      <c r="N468" s="1339">
        <f t="shared" si="95"/>
        <v>0</v>
      </c>
      <c r="O468" s="1340">
        <f t="shared" si="96"/>
        <v>0</v>
      </c>
      <c r="P468" s="1339">
        <f t="shared" si="97"/>
        <v>0</v>
      </c>
      <c r="Q468" s="1340">
        <f t="shared" si="98"/>
        <v>0</v>
      </c>
      <c r="R468" s="1339">
        <f t="shared" si="99"/>
        <v>0</v>
      </c>
    </row>
    <row r="469" spans="1:19" s="746" customFormat="1" ht="70.5" customHeight="1">
      <c r="A469" s="1128" t="s">
        <v>1014</v>
      </c>
      <c r="B469" s="1112" t="s">
        <v>4918</v>
      </c>
      <c r="C469" s="1111"/>
      <c r="D469" s="1110"/>
      <c r="E469" s="743"/>
      <c r="F469" s="1125">
        <f t="shared" si="91"/>
        <v>0</v>
      </c>
      <c r="G469" s="1199"/>
      <c r="H469" s="1125">
        <f t="shared" si="92"/>
        <v>0</v>
      </c>
      <c r="I469" s="748"/>
      <c r="J469" s="1407">
        <f t="shared" si="93"/>
        <v>0</v>
      </c>
      <c r="K469" s="1199"/>
      <c r="L469" s="1125">
        <f t="shared" si="94"/>
        <v>0</v>
      </c>
      <c r="M469" s="1200"/>
      <c r="N469" s="1339">
        <f t="shared" si="95"/>
        <v>0</v>
      </c>
      <c r="O469" s="1340">
        <f t="shared" si="96"/>
        <v>0</v>
      </c>
      <c r="P469" s="1339">
        <f t="shared" si="97"/>
        <v>0</v>
      </c>
      <c r="Q469" s="1341" t="s">
        <v>2290</v>
      </c>
      <c r="R469" s="1339"/>
      <c r="S469" s="1091"/>
    </row>
    <row r="470" spans="1:19" s="746" customFormat="1" ht="50.25" customHeight="1">
      <c r="A470" s="1108"/>
      <c r="B470" s="1108" t="s">
        <v>4947</v>
      </c>
      <c r="C470" s="1111">
        <f>Data!AK537</f>
        <v>1553.6</v>
      </c>
      <c r="D470" s="1110" t="s">
        <v>1876</v>
      </c>
      <c r="E470" s="1100">
        <v>23.1</v>
      </c>
      <c r="F470" s="1125">
        <f t="shared" si="91"/>
        <v>35888.160000000003</v>
      </c>
      <c r="G470" s="1199"/>
      <c r="H470" s="1125">
        <f t="shared" si="92"/>
        <v>0</v>
      </c>
      <c r="I470" s="748"/>
      <c r="J470" s="1407">
        <f t="shared" si="93"/>
        <v>0</v>
      </c>
      <c r="K470" s="1199"/>
      <c r="L470" s="1125">
        <f t="shared" si="94"/>
        <v>0</v>
      </c>
      <c r="M470" s="1200"/>
      <c r="N470" s="1339">
        <f t="shared" si="95"/>
        <v>0</v>
      </c>
      <c r="O470" s="1340">
        <f t="shared" si="96"/>
        <v>0</v>
      </c>
      <c r="P470" s="1339">
        <f t="shared" si="97"/>
        <v>0</v>
      </c>
      <c r="Q470" s="1340">
        <f t="shared" si="98"/>
        <v>23.1</v>
      </c>
      <c r="R470" s="1339">
        <f t="shared" si="99"/>
        <v>35888.160000000003</v>
      </c>
      <c r="S470" s="1091"/>
    </row>
    <row r="471" spans="1:19" s="746" customFormat="1" ht="50.25" customHeight="1">
      <c r="A471" s="1108"/>
      <c r="B471" s="1108" t="s">
        <v>1411</v>
      </c>
      <c r="C471" s="1111">
        <f>Data!AK538</f>
        <v>1558.57</v>
      </c>
      <c r="D471" s="1110" t="s">
        <v>1876</v>
      </c>
      <c r="E471" s="1100">
        <v>15.2</v>
      </c>
      <c r="F471" s="1125">
        <f t="shared" si="91"/>
        <v>23690.26</v>
      </c>
      <c r="G471" s="1199"/>
      <c r="H471" s="1125">
        <f t="shared" si="92"/>
        <v>0</v>
      </c>
      <c r="I471" s="748"/>
      <c r="J471" s="1407">
        <f t="shared" si="93"/>
        <v>0</v>
      </c>
      <c r="K471" s="1199"/>
      <c r="L471" s="1125">
        <f t="shared" si="94"/>
        <v>0</v>
      </c>
      <c r="M471" s="1200"/>
      <c r="N471" s="1339">
        <f t="shared" si="95"/>
        <v>0</v>
      </c>
      <c r="O471" s="1340">
        <f t="shared" si="96"/>
        <v>0</v>
      </c>
      <c r="P471" s="1339">
        <f t="shared" si="97"/>
        <v>0</v>
      </c>
      <c r="Q471" s="1340">
        <f t="shared" si="98"/>
        <v>15.2</v>
      </c>
      <c r="R471" s="1339">
        <f t="shared" si="99"/>
        <v>23690.26</v>
      </c>
      <c r="S471" s="1091"/>
    </row>
    <row r="472" spans="1:19" s="746" customFormat="1" ht="50.25" customHeight="1">
      <c r="A472" s="1108"/>
      <c r="B472" s="1108" t="s">
        <v>1459</v>
      </c>
      <c r="C472" s="1111">
        <f>Data!AK539</f>
        <v>1563.54</v>
      </c>
      <c r="D472" s="1110" t="s">
        <v>1876</v>
      </c>
      <c r="E472" s="1100">
        <v>37.5</v>
      </c>
      <c r="F472" s="1125">
        <f t="shared" si="91"/>
        <v>58632.75</v>
      </c>
      <c r="G472" s="1199"/>
      <c r="H472" s="1125">
        <f t="shared" si="92"/>
        <v>0</v>
      </c>
      <c r="I472" s="748"/>
      <c r="J472" s="1407">
        <f t="shared" si="93"/>
        <v>0</v>
      </c>
      <c r="K472" s="1199"/>
      <c r="L472" s="1125">
        <f t="shared" si="94"/>
        <v>0</v>
      </c>
      <c r="M472" s="1200"/>
      <c r="N472" s="1339">
        <f t="shared" si="95"/>
        <v>0</v>
      </c>
      <c r="O472" s="1340">
        <f t="shared" si="96"/>
        <v>0</v>
      </c>
      <c r="P472" s="1339">
        <f t="shared" si="97"/>
        <v>0</v>
      </c>
      <c r="Q472" s="1340">
        <f t="shared" si="98"/>
        <v>37.5</v>
      </c>
      <c r="R472" s="1339">
        <f t="shared" si="99"/>
        <v>58632.75</v>
      </c>
      <c r="S472" s="1091"/>
    </row>
    <row r="473" spans="1:19" s="746" customFormat="1" ht="50.25" customHeight="1">
      <c r="A473" s="1108"/>
      <c r="B473" s="1108" t="s">
        <v>1348</v>
      </c>
      <c r="C473" s="1111">
        <f>Data!AK540</f>
        <v>1568.51</v>
      </c>
      <c r="D473" s="1110" t="s">
        <v>1876</v>
      </c>
      <c r="E473" s="1100">
        <v>11.6</v>
      </c>
      <c r="F473" s="1125">
        <f t="shared" si="91"/>
        <v>18194.72</v>
      </c>
      <c r="G473" s="1199"/>
      <c r="H473" s="1125">
        <f t="shared" si="92"/>
        <v>0</v>
      </c>
      <c r="I473" s="748"/>
      <c r="J473" s="1407">
        <f t="shared" si="93"/>
        <v>0</v>
      </c>
      <c r="K473" s="1199"/>
      <c r="L473" s="1125">
        <f t="shared" si="94"/>
        <v>0</v>
      </c>
      <c r="M473" s="1200"/>
      <c r="N473" s="1339">
        <f t="shared" si="95"/>
        <v>0</v>
      </c>
      <c r="O473" s="1340">
        <f t="shared" si="96"/>
        <v>0</v>
      </c>
      <c r="P473" s="1339">
        <f t="shared" si="97"/>
        <v>0</v>
      </c>
      <c r="Q473" s="1340">
        <f t="shared" si="98"/>
        <v>11.6</v>
      </c>
      <c r="R473" s="1339">
        <f t="shared" si="99"/>
        <v>18194.72</v>
      </c>
      <c r="S473" s="1091"/>
    </row>
    <row r="474" spans="1:19" s="700" customFormat="1" ht="70.5" hidden="1" customHeight="1">
      <c r="A474" s="1433"/>
      <c r="B474" s="1415" t="s">
        <v>1099</v>
      </c>
      <c r="C474" s="1411">
        <f>Data!AK541</f>
        <v>1573.48</v>
      </c>
      <c r="D474" s="1417" t="s">
        <v>1876</v>
      </c>
      <c r="E474" s="1278"/>
      <c r="F474" s="1125">
        <f t="shared" si="91"/>
        <v>0</v>
      </c>
      <c r="G474" s="1273"/>
      <c r="H474" s="1125">
        <f t="shared" si="92"/>
        <v>0</v>
      </c>
      <c r="I474" s="748"/>
      <c r="J474" s="748">
        <f t="shared" si="93"/>
        <v>0</v>
      </c>
      <c r="K474" s="1273"/>
      <c r="L474" s="1125">
        <f t="shared" si="94"/>
        <v>0</v>
      </c>
      <c r="M474" s="1412"/>
      <c r="N474" s="1339">
        <f t="shared" si="95"/>
        <v>0</v>
      </c>
      <c r="O474" s="1340">
        <f t="shared" si="96"/>
        <v>0</v>
      </c>
      <c r="P474" s="1339">
        <f t="shared" si="97"/>
        <v>0</v>
      </c>
      <c r="Q474" s="1340">
        <f t="shared" si="98"/>
        <v>0</v>
      </c>
      <c r="R474" s="1339">
        <f t="shared" si="99"/>
        <v>0</v>
      </c>
      <c r="S474" s="810"/>
    </row>
    <row r="475" spans="1:19" s="746" customFormat="1" ht="70.5" customHeight="1">
      <c r="A475" s="1128" t="s">
        <v>1149</v>
      </c>
      <c r="B475" s="1112" t="s">
        <v>4919</v>
      </c>
      <c r="C475" s="1111"/>
      <c r="D475" s="1110"/>
      <c r="E475" s="1100"/>
      <c r="F475" s="1125">
        <f t="shared" si="91"/>
        <v>0</v>
      </c>
      <c r="G475" s="1199"/>
      <c r="H475" s="1125">
        <f t="shared" si="92"/>
        <v>0</v>
      </c>
      <c r="I475" s="748"/>
      <c r="J475" s="1407">
        <f t="shared" si="93"/>
        <v>0</v>
      </c>
      <c r="K475" s="1199"/>
      <c r="L475" s="1125">
        <f t="shared" si="94"/>
        <v>0</v>
      </c>
      <c r="M475" s="1200"/>
      <c r="N475" s="1339">
        <f t="shared" si="95"/>
        <v>0</v>
      </c>
      <c r="O475" s="1340">
        <f t="shared" si="96"/>
        <v>0</v>
      </c>
      <c r="P475" s="1339">
        <f t="shared" si="97"/>
        <v>0</v>
      </c>
      <c r="Q475" s="1341" t="s">
        <v>2290</v>
      </c>
      <c r="R475" s="1339"/>
      <c r="S475" s="1091"/>
    </row>
    <row r="476" spans="1:19" s="746" customFormat="1" ht="50.25" hidden="1" customHeight="1">
      <c r="A476" s="1108"/>
      <c r="B476" s="1108" t="s">
        <v>631</v>
      </c>
      <c r="C476" s="1109">
        <f>Data!AK559</f>
        <v>1714.94</v>
      </c>
      <c r="D476" s="1110" t="s">
        <v>1876</v>
      </c>
      <c r="E476" s="1100"/>
      <c r="F476" s="1125">
        <f t="shared" si="91"/>
        <v>0</v>
      </c>
      <c r="G476" s="1199"/>
      <c r="H476" s="1125">
        <f t="shared" si="92"/>
        <v>0</v>
      </c>
      <c r="I476" s="748"/>
      <c r="J476" s="1407">
        <f t="shared" si="93"/>
        <v>0</v>
      </c>
      <c r="K476" s="1199"/>
      <c r="L476" s="1125">
        <f t="shared" si="94"/>
        <v>0</v>
      </c>
      <c r="M476" s="1200"/>
      <c r="N476" s="1339">
        <f t="shared" si="95"/>
        <v>0</v>
      </c>
      <c r="O476" s="1340">
        <f t="shared" si="96"/>
        <v>0</v>
      </c>
      <c r="P476" s="1339">
        <f t="shared" si="97"/>
        <v>0</v>
      </c>
      <c r="Q476" s="1340">
        <f t="shared" si="98"/>
        <v>0</v>
      </c>
      <c r="R476" s="1339">
        <f t="shared" si="99"/>
        <v>0</v>
      </c>
      <c r="S476" s="1091"/>
    </row>
    <row r="477" spans="1:19" s="746" customFormat="1" ht="47.25" customHeight="1">
      <c r="A477" s="1108"/>
      <c r="B477" s="1108" t="s">
        <v>4948</v>
      </c>
      <c r="C477" s="1111">
        <f>Data!AK561</f>
        <v>1719.99</v>
      </c>
      <c r="D477" s="1110" t="s">
        <v>1876</v>
      </c>
      <c r="E477" s="1100">
        <v>5.8</v>
      </c>
      <c r="F477" s="1125">
        <f t="shared" si="91"/>
        <v>9975.94</v>
      </c>
      <c r="G477" s="1199"/>
      <c r="H477" s="1125">
        <f t="shared" si="92"/>
        <v>0</v>
      </c>
      <c r="I477" s="748"/>
      <c r="J477" s="1407">
        <f t="shared" si="93"/>
        <v>0</v>
      </c>
      <c r="K477" s="1199"/>
      <c r="L477" s="1125">
        <f t="shared" si="94"/>
        <v>0</v>
      </c>
      <c r="M477" s="1200"/>
      <c r="N477" s="1339">
        <f t="shared" si="95"/>
        <v>0</v>
      </c>
      <c r="O477" s="1340">
        <f t="shared" si="96"/>
        <v>0</v>
      </c>
      <c r="P477" s="1339">
        <f t="shared" si="97"/>
        <v>0</v>
      </c>
      <c r="Q477" s="1340">
        <f t="shared" si="98"/>
        <v>5.8</v>
      </c>
      <c r="R477" s="1339">
        <f t="shared" si="99"/>
        <v>9975.94</v>
      </c>
      <c r="S477" s="1091"/>
    </row>
    <row r="478" spans="1:19" s="746" customFormat="1" ht="47.25" customHeight="1">
      <c r="A478" s="1108"/>
      <c r="B478" s="1108" t="s">
        <v>1270</v>
      </c>
      <c r="C478" s="1111">
        <f>Data!AK562</f>
        <v>1729.93</v>
      </c>
      <c r="D478" s="1110" t="s">
        <v>1876</v>
      </c>
      <c r="E478" s="1100">
        <v>3.8</v>
      </c>
      <c r="F478" s="1125">
        <f t="shared" si="91"/>
        <v>6573.73</v>
      </c>
      <c r="G478" s="1199"/>
      <c r="H478" s="1125">
        <f t="shared" si="92"/>
        <v>0</v>
      </c>
      <c r="I478" s="748"/>
      <c r="J478" s="1407">
        <f t="shared" si="93"/>
        <v>0</v>
      </c>
      <c r="K478" s="1199"/>
      <c r="L478" s="1125">
        <f t="shared" si="94"/>
        <v>0</v>
      </c>
      <c r="M478" s="1200"/>
      <c r="N478" s="1339">
        <f t="shared" si="95"/>
        <v>0</v>
      </c>
      <c r="O478" s="1340">
        <f t="shared" si="96"/>
        <v>0</v>
      </c>
      <c r="P478" s="1339">
        <f t="shared" si="97"/>
        <v>0</v>
      </c>
      <c r="Q478" s="1340">
        <f t="shared" si="98"/>
        <v>3.8</v>
      </c>
      <c r="R478" s="1339">
        <f t="shared" si="99"/>
        <v>6573.73</v>
      </c>
      <c r="S478" s="1091"/>
    </row>
    <row r="479" spans="1:19" s="746" customFormat="1" ht="47.25" customHeight="1">
      <c r="A479" s="1108"/>
      <c r="B479" s="1108" t="s">
        <v>693</v>
      </c>
      <c r="C479" s="1111">
        <f>Data!AK563</f>
        <v>1739.87</v>
      </c>
      <c r="D479" s="1110" t="s">
        <v>1876</v>
      </c>
      <c r="E479" s="1100">
        <v>9.4</v>
      </c>
      <c r="F479" s="1125">
        <f t="shared" si="91"/>
        <v>16354.78</v>
      </c>
      <c r="G479" s="1199"/>
      <c r="H479" s="1125">
        <f t="shared" si="92"/>
        <v>0</v>
      </c>
      <c r="I479" s="748"/>
      <c r="J479" s="1407">
        <f t="shared" si="93"/>
        <v>0</v>
      </c>
      <c r="K479" s="1199"/>
      <c r="L479" s="1125">
        <f t="shared" si="94"/>
        <v>0</v>
      </c>
      <c r="M479" s="1200"/>
      <c r="N479" s="1339">
        <f t="shared" si="95"/>
        <v>0</v>
      </c>
      <c r="O479" s="1340">
        <f t="shared" si="96"/>
        <v>0</v>
      </c>
      <c r="P479" s="1339">
        <f t="shared" si="97"/>
        <v>0</v>
      </c>
      <c r="Q479" s="1340">
        <f t="shared" si="98"/>
        <v>9.4</v>
      </c>
      <c r="R479" s="1339">
        <f t="shared" si="99"/>
        <v>16354.78</v>
      </c>
      <c r="S479" s="1091"/>
    </row>
    <row r="480" spans="1:19" s="746" customFormat="1" ht="47.25" customHeight="1">
      <c r="A480" s="1410"/>
      <c r="B480" s="1410" t="s">
        <v>694</v>
      </c>
      <c r="C480" s="1450">
        <f>Data!AK564</f>
        <v>1749.81</v>
      </c>
      <c r="D480" s="1371" t="s">
        <v>1876</v>
      </c>
      <c r="E480" s="1440">
        <v>2.9</v>
      </c>
      <c r="F480" s="1125">
        <f t="shared" si="91"/>
        <v>5074.45</v>
      </c>
      <c r="G480" s="1273"/>
      <c r="H480" s="1125">
        <f t="shared" si="92"/>
        <v>0</v>
      </c>
      <c r="I480" s="748"/>
      <c r="J480" s="748">
        <f t="shared" si="93"/>
        <v>0</v>
      </c>
      <c r="K480" s="1273"/>
      <c r="L480" s="1125">
        <f t="shared" si="94"/>
        <v>0</v>
      </c>
      <c r="M480" s="1412"/>
      <c r="N480" s="1339">
        <f t="shared" si="95"/>
        <v>0</v>
      </c>
      <c r="O480" s="1340">
        <f t="shared" si="96"/>
        <v>0</v>
      </c>
      <c r="P480" s="1339">
        <f t="shared" si="97"/>
        <v>0</v>
      </c>
      <c r="Q480" s="1340">
        <f t="shared" si="98"/>
        <v>2.9</v>
      </c>
      <c r="R480" s="1339">
        <f t="shared" si="99"/>
        <v>5074.45</v>
      </c>
      <c r="S480" s="1091"/>
    </row>
    <row r="481" spans="1:19" s="700" customFormat="1" ht="23.25" hidden="1">
      <c r="A481" s="601"/>
      <c r="B481" s="538" t="s">
        <v>1297</v>
      </c>
      <c r="C481" s="1109">
        <f>Data!AK565</f>
        <v>1759.75</v>
      </c>
      <c r="D481" s="744" t="s">
        <v>1876</v>
      </c>
      <c r="E481" s="1276"/>
      <c r="F481" s="1125">
        <f t="shared" si="91"/>
        <v>0</v>
      </c>
      <c r="G481" s="1199"/>
      <c r="H481" s="1125">
        <f t="shared" si="92"/>
        <v>0</v>
      </c>
      <c r="I481" s="748"/>
      <c r="J481" s="748">
        <f t="shared" si="93"/>
        <v>0</v>
      </c>
      <c r="K481" s="1199"/>
      <c r="L481" s="1125">
        <f t="shared" si="94"/>
        <v>0</v>
      </c>
      <c r="M481" s="1200"/>
      <c r="N481" s="1339">
        <f t="shared" si="95"/>
        <v>0</v>
      </c>
      <c r="O481" s="1340">
        <f t="shared" si="96"/>
        <v>0</v>
      </c>
      <c r="P481" s="1339">
        <f t="shared" si="97"/>
        <v>0</v>
      </c>
      <c r="Q481" s="1340">
        <f t="shared" si="98"/>
        <v>0</v>
      </c>
      <c r="R481" s="1339">
        <f t="shared" si="99"/>
        <v>0</v>
      </c>
      <c r="S481" s="810"/>
    </row>
    <row r="482" spans="1:19" s="700" customFormat="1" ht="46.5" hidden="1">
      <c r="A482" s="1124" t="s">
        <v>1014</v>
      </c>
      <c r="B482" s="600" t="s">
        <v>4303</v>
      </c>
      <c r="C482" s="743"/>
      <c r="D482" s="744"/>
      <c r="E482" s="1276"/>
      <c r="F482" s="1125">
        <f t="shared" si="91"/>
        <v>0</v>
      </c>
      <c r="G482" s="1199"/>
      <c r="H482" s="1125">
        <f t="shared" si="92"/>
        <v>0</v>
      </c>
      <c r="I482" s="748"/>
      <c r="J482" s="748">
        <f t="shared" si="93"/>
        <v>0</v>
      </c>
      <c r="K482" s="1199"/>
      <c r="L482" s="1125">
        <f t="shared" si="94"/>
        <v>0</v>
      </c>
      <c r="M482" s="1200"/>
      <c r="N482" s="1339">
        <f t="shared" si="95"/>
        <v>0</v>
      </c>
      <c r="O482" s="1340">
        <f t="shared" si="96"/>
        <v>0</v>
      </c>
      <c r="P482" s="1339">
        <f t="shared" si="97"/>
        <v>0</v>
      </c>
      <c r="Q482" s="1340">
        <f t="shared" si="98"/>
        <v>0</v>
      </c>
      <c r="R482" s="1339">
        <f t="shared" si="99"/>
        <v>0</v>
      </c>
      <c r="S482" s="810"/>
    </row>
    <row r="483" spans="1:19" s="700" customFormat="1" ht="23.25" hidden="1">
      <c r="A483" s="538"/>
      <c r="B483" s="538" t="s">
        <v>1276</v>
      </c>
      <c r="C483" s="743">
        <f>Data!AD537</f>
        <v>1550.82</v>
      </c>
      <c r="D483" s="744" t="s">
        <v>1876</v>
      </c>
      <c r="E483" s="1276"/>
      <c r="F483" s="1125">
        <f t="shared" si="91"/>
        <v>0</v>
      </c>
      <c r="G483" s="1199"/>
      <c r="H483" s="1125">
        <f t="shared" si="92"/>
        <v>0</v>
      </c>
      <c r="I483" s="748"/>
      <c r="J483" s="748">
        <f t="shared" si="93"/>
        <v>0</v>
      </c>
      <c r="K483" s="1199"/>
      <c r="L483" s="1125">
        <f t="shared" si="94"/>
        <v>0</v>
      </c>
      <c r="M483" s="1200"/>
      <c r="N483" s="1339">
        <f t="shared" si="95"/>
        <v>0</v>
      </c>
      <c r="O483" s="1340">
        <f t="shared" si="96"/>
        <v>0</v>
      </c>
      <c r="P483" s="1339">
        <f t="shared" si="97"/>
        <v>0</v>
      </c>
      <c r="Q483" s="1340">
        <f t="shared" si="98"/>
        <v>0</v>
      </c>
      <c r="R483" s="1339">
        <f t="shared" si="99"/>
        <v>0</v>
      </c>
      <c r="S483" s="810"/>
    </row>
    <row r="484" spans="1:19" s="700" customFormat="1" ht="23.25" hidden="1">
      <c r="A484" s="538"/>
      <c r="B484" s="538" t="s">
        <v>1411</v>
      </c>
      <c r="C484" s="743">
        <f>Data!AD538</f>
        <v>1555.79</v>
      </c>
      <c r="D484" s="744" t="s">
        <v>1876</v>
      </c>
      <c r="E484" s="1276"/>
      <c r="F484" s="1125">
        <f t="shared" si="91"/>
        <v>0</v>
      </c>
      <c r="G484" s="1199"/>
      <c r="H484" s="1125">
        <f t="shared" si="92"/>
        <v>0</v>
      </c>
      <c r="I484" s="748"/>
      <c r="J484" s="748">
        <f t="shared" si="93"/>
        <v>0</v>
      </c>
      <c r="K484" s="1199"/>
      <c r="L484" s="1125">
        <f t="shared" si="94"/>
        <v>0</v>
      </c>
      <c r="M484" s="1200"/>
      <c r="N484" s="1339">
        <f t="shared" si="95"/>
        <v>0</v>
      </c>
      <c r="O484" s="1340">
        <f t="shared" si="96"/>
        <v>0</v>
      </c>
      <c r="P484" s="1339">
        <f t="shared" si="97"/>
        <v>0</v>
      </c>
      <c r="Q484" s="1340">
        <f t="shared" si="98"/>
        <v>0</v>
      </c>
      <c r="R484" s="1339">
        <f t="shared" si="99"/>
        <v>0</v>
      </c>
      <c r="S484" s="810"/>
    </row>
    <row r="485" spans="1:19" s="700" customFormat="1" ht="23.25" hidden="1">
      <c r="A485" s="538"/>
      <c r="B485" s="538" t="s">
        <v>1459</v>
      </c>
      <c r="C485" s="743">
        <f>Data!AD539</f>
        <v>1560.76</v>
      </c>
      <c r="D485" s="744" t="s">
        <v>1876</v>
      </c>
      <c r="E485" s="1276"/>
      <c r="F485" s="1125">
        <f t="shared" si="91"/>
        <v>0</v>
      </c>
      <c r="G485" s="1199"/>
      <c r="H485" s="1125">
        <f t="shared" si="92"/>
        <v>0</v>
      </c>
      <c r="I485" s="748"/>
      <c r="J485" s="748">
        <f t="shared" si="93"/>
        <v>0</v>
      </c>
      <c r="K485" s="1199"/>
      <c r="L485" s="1125">
        <f t="shared" si="94"/>
        <v>0</v>
      </c>
      <c r="M485" s="1200"/>
      <c r="N485" s="1339">
        <f t="shared" si="95"/>
        <v>0</v>
      </c>
      <c r="O485" s="1340">
        <f t="shared" si="96"/>
        <v>0</v>
      </c>
      <c r="P485" s="1339">
        <f t="shared" si="97"/>
        <v>0</v>
      </c>
      <c r="Q485" s="1340">
        <f t="shared" si="98"/>
        <v>0</v>
      </c>
      <c r="R485" s="1339">
        <f t="shared" si="99"/>
        <v>0</v>
      </c>
      <c r="S485" s="810"/>
    </row>
    <row r="486" spans="1:19" s="700" customFormat="1" ht="23.25" hidden="1">
      <c r="A486" s="538"/>
      <c r="B486" s="538" t="s">
        <v>1348</v>
      </c>
      <c r="C486" s="743">
        <f>Data!AD540</f>
        <v>1565.73</v>
      </c>
      <c r="D486" s="744" t="s">
        <v>1876</v>
      </c>
      <c r="E486" s="1276"/>
      <c r="F486" s="1125">
        <f t="shared" si="91"/>
        <v>0</v>
      </c>
      <c r="G486" s="1199"/>
      <c r="H486" s="1125">
        <f t="shared" si="92"/>
        <v>0</v>
      </c>
      <c r="I486" s="748"/>
      <c r="J486" s="748">
        <f t="shared" si="93"/>
        <v>0</v>
      </c>
      <c r="K486" s="1199"/>
      <c r="L486" s="1125">
        <f t="shared" si="94"/>
        <v>0</v>
      </c>
      <c r="M486" s="1200"/>
      <c r="N486" s="1339">
        <f t="shared" si="95"/>
        <v>0</v>
      </c>
      <c r="O486" s="1340">
        <f t="shared" si="96"/>
        <v>0</v>
      </c>
      <c r="P486" s="1339">
        <f t="shared" si="97"/>
        <v>0</v>
      </c>
      <c r="Q486" s="1340">
        <f t="shared" si="98"/>
        <v>0</v>
      </c>
      <c r="R486" s="1339">
        <f t="shared" si="99"/>
        <v>0</v>
      </c>
      <c r="S486" s="810"/>
    </row>
    <row r="487" spans="1:19" s="700" customFormat="1" ht="23.25" hidden="1">
      <c r="A487" s="601"/>
      <c r="B487" s="538" t="s">
        <v>1099</v>
      </c>
      <c r="C487" s="743">
        <f>Data!AD541</f>
        <v>1570.7</v>
      </c>
      <c r="D487" s="744" t="s">
        <v>1876</v>
      </c>
      <c r="E487" s="1276"/>
      <c r="F487" s="1125">
        <f t="shared" si="91"/>
        <v>0</v>
      </c>
      <c r="G487" s="1199"/>
      <c r="H487" s="1125">
        <f t="shared" si="92"/>
        <v>0</v>
      </c>
      <c r="I487" s="748"/>
      <c r="J487" s="748">
        <f t="shared" si="93"/>
        <v>0</v>
      </c>
      <c r="K487" s="1199"/>
      <c r="L487" s="1125">
        <f t="shared" si="94"/>
        <v>0</v>
      </c>
      <c r="M487" s="1200"/>
      <c r="N487" s="1339">
        <f t="shared" si="95"/>
        <v>0</v>
      </c>
      <c r="O487" s="1340">
        <f t="shared" si="96"/>
        <v>0</v>
      </c>
      <c r="P487" s="1339">
        <f t="shared" si="97"/>
        <v>0</v>
      </c>
      <c r="Q487" s="1340">
        <f t="shared" si="98"/>
        <v>0</v>
      </c>
      <c r="R487" s="1339">
        <f t="shared" si="99"/>
        <v>0</v>
      </c>
      <c r="S487" s="810"/>
    </row>
    <row r="488" spans="1:19" s="700" customFormat="1" ht="46.5" hidden="1">
      <c r="A488" s="1124" t="s">
        <v>1149</v>
      </c>
      <c r="B488" s="600" t="s">
        <v>4304</v>
      </c>
      <c r="C488" s="743"/>
      <c r="D488" s="744"/>
      <c r="E488" s="1276"/>
      <c r="F488" s="1125">
        <f t="shared" si="91"/>
        <v>0</v>
      </c>
      <c r="G488" s="1199"/>
      <c r="H488" s="1125">
        <f t="shared" si="92"/>
        <v>0</v>
      </c>
      <c r="I488" s="748"/>
      <c r="J488" s="748">
        <f t="shared" si="93"/>
        <v>0</v>
      </c>
      <c r="K488" s="1199"/>
      <c r="L488" s="1125">
        <f t="shared" si="94"/>
        <v>0</v>
      </c>
      <c r="M488" s="1200"/>
      <c r="N488" s="1339">
        <f t="shared" si="95"/>
        <v>0</v>
      </c>
      <c r="O488" s="1340">
        <f t="shared" si="96"/>
        <v>0</v>
      </c>
      <c r="P488" s="1339">
        <f t="shared" si="97"/>
        <v>0</v>
      </c>
      <c r="Q488" s="1340">
        <f t="shared" si="98"/>
        <v>0</v>
      </c>
      <c r="R488" s="1339">
        <f t="shared" si="99"/>
        <v>0</v>
      </c>
      <c r="S488" s="810"/>
    </row>
    <row r="489" spans="1:19" s="700" customFormat="1" ht="23.25" hidden="1">
      <c r="A489" s="538"/>
      <c r="B489" s="1108" t="s">
        <v>631</v>
      </c>
      <c r="C489" s="743">
        <f>Data!AD559</f>
        <v>1709.39</v>
      </c>
      <c r="D489" s="744" t="s">
        <v>1876</v>
      </c>
      <c r="E489" s="1276"/>
      <c r="F489" s="1125">
        <f t="shared" si="91"/>
        <v>0</v>
      </c>
      <c r="G489" s="1199"/>
      <c r="H489" s="1125">
        <f t="shared" si="92"/>
        <v>0</v>
      </c>
      <c r="I489" s="748"/>
      <c r="J489" s="748">
        <f t="shared" si="93"/>
        <v>0</v>
      </c>
      <c r="K489" s="1199"/>
      <c r="L489" s="1125">
        <f t="shared" si="94"/>
        <v>0</v>
      </c>
      <c r="M489" s="1200"/>
      <c r="N489" s="1339">
        <f t="shared" si="95"/>
        <v>0</v>
      </c>
      <c r="O489" s="1340">
        <f t="shared" si="96"/>
        <v>0</v>
      </c>
      <c r="P489" s="1339">
        <f t="shared" si="97"/>
        <v>0</v>
      </c>
      <c r="Q489" s="1340">
        <f t="shared" si="98"/>
        <v>0</v>
      </c>
      <c r="R489" s="1339">
        <f t="shared" si="99"/>
        <v>0</v>
      </c>
      <c r="S489" s="810"/>
    </row>
    <row r="490" spans="1:19" s="700" customFormat="1" ht="23.25" hidden="1">
      <c r="A490" s="538"/>
      <c r="B490" s="538" t="s">
        <v>632</v>
      </c>
      <c r="C490" s="743">
        <f>Data!AD561</f>
        <v>1714.44</v>
      </c>
      <c r="D490" s="744" t="s">
        <v>1876</v>
      </c>
      <c r="E490" s="1276"/>
      <c r="F490" s="1125">
        <f t="shared" si="91"/>
        <v>0</v>
      </c>
      <c r="G490" s="1199"/>
      <c r="H490" s="1125">
        <f t="shared" si="92"/>
        <v>0</v>
      </c>
      <c r="I490" s="748"/>
      <c r="J490" s="748">
        <f t="shared" si="93"/>
        <v>0</v>
      </c>
      <c r="K490" s="1199"/>
      <c r="L490" s="1125">
        <f t="shared" si="94"/>
        <v>0</v>
      </c>
      <c r="M490" s="1200"/>
      <c r="N490" s="1339">
        <f t="shared" si="95"/>
        <v>0</v>
      </c>
      <c r="O490" s="1340">
        <f t="shared" si="96"/>
        <v>0</v>
      </c>
      <c r="P490" s="1339">
        <f t="shared" si="97"/>
        <v>0</v>
      </c>
      <c r="Q490" s="1340">
        <f t="shared" si="98"/>
        <v>0</v>
      </c>
      <c r="R490" s="1339">
        <f t="shared" si="99"/>
        <v>0</v>
      </c>
      <c r="S490" s="810"/>
    </row>
    <row r="491" spans="1:19" s="700" customFormat="1" ht="23.25" hidden="1">
      <c r="A491" s="538"/>
      <c r="B491" s="538" t="s">
        <v>1270</v>
      </c>
      <c r="C491" s="743">
        <f>Data!AD562</f>
        <v>1724.38</v>
      </c>
      <c r="D491" s="744" t="s">
        <v>1876</v>
      </c>
      <c r="E491" s="1276"/>
      <c r="F491" s="1125">
        <f t="shared" si="91"/>
        <v>0</v>
      </c>
      <c r="G491" s="1199"/>
      <c r="H491" s="1125">
        <f t="shared" si="92"/>
        <v>0</v>
      </c>
      <c r="I491" s="748"/>
      <c r="J491" s="748">
        <f t="shared" si="93"/>
        <v>0</v>
      </c>
      <c r="K491" s="1199"/>
      <c r="L491" s="1125">
        <f t="shared" si="94"/>
        <v>0</v>
      </c>
      <c r="M491" s="1200"/>
      <c r="N491" s="1339">
        <f t="shared" si="95"/>
        <v>0</v>
      </c>
      <c r="O491" s="1340">
        <f t="shared" si="96"/>
        <v>0</v>
      </c>
      <c r="P491" s="1339">
        <f t="shared" si="97"/>
        <v>0</v>
      </c>
      <c r="Q491" s="1340">
        <f t="shared" si="98"/>
        <v>0</v>
      </c>
      <c r="R491" s="1339">
        <f t="shared" si="99"/>
        <v>0</v>
      </c>
      <c r="S491" s="810"/>
    </row>
    <row r="492" spans="1:19" s="700" customFormat="1" ht="23.25" hidden="1">
      <c r="A492" s="538"/>
      <c r="B492" s="538" t="s">
        <v>693</v>
      </c>
      <c r="C492" s="743">
        <f>Data!AD563</f>
        <v>1734.32</v>
      </c>
      <c r="D492" s="744" t="s">
        <v>1876</v>
      </c>
      <c r="E492" s="1276"/>
      <c r="F492" s="1125">
        <f t="shared" si="91"/>
        <v>0</v>
      </c>
      <c r="G492" s="1199"/>
      <c r="H492" s="1125">
        <f t="shared" si="92"/>
        <v>0</v>
      </c>
      <c r="I492" s="748"/>
      <c r="J492" s="748">
        <f t="shared" si="93"/>
        <v>0</v>
      </c>
      <c r="K492" s="1199"/>
      <c r="L492" s="1125">
        <f t="shared" si="94"/>
        <v>0</v>
      </c>
      <c r="M492" s="1200"/>
      <c r="N492" s="1339">
        <f t="shared" si="95"/>
        <v>0</v>
      </c>
      <c r="O492" s="1340">
        <f t="shared" si="96"/>
        <v>0</v>
      </c>
      <c r="P492" s="1339">
        <f t="shared" si="97"/>
        <v>0</v>
      </c>
      <c r="Q492" s="1340">
        <f t="shared" si="98"/>
        <v>0</v>
      </c>
      <c r="R492" s="1339">
        <f t="shared" si="99"/>
        <v>0</v>
      </c>
      <c r="S492" s="810"/>
    </row>
    <row r="493" spans="1:19" s="700" customFormat="1" ht="23.25" hidden="1">
      <c r="A493" s="538"/>
      <c r="B493" s="538" t="s">
        <v>694</v>
      </c>
      <c r="C493" s="743">
        <f>Data!AD564</f>
        <v>1744.26</v>
      </c>
      <c r="D493" s="744" t="s">
        <v>1876</v>
      </c>
      <c r="E493" s="1276"/>
      <c r="F493" s="1125">
        <f t="shared" si="91"/>
        <v>0</v>
      </c>
      <c r="G493" s="1199"/>
      <c r="H493" s="1125">
        <f t="shared" si="92"/>
        <v>0</v>
      </c>
      <c r="I493" s="748"/>
      <c r="J493" s="748">
        <f t="shared" si="93"/>
        <v>0</v>
      </c>
      <c r="K493" s="1199"/>
      <c r="L493" s="1125">
        <f t="shared" si="94"/>
        <v>0</v>
      </c>
      <c r="M493" s="1200"/>
      <c r="N493" s="1339">
        <f t="shared" si="95"/>
        <v>0</v>
      </c>
      <c r="O493" s="1340">
        <f t="shared" si="96"/>
        <v>0</v>
      </c>
      <c r="P493" s="1339">
        <f t="shared" si="97"/>
        <v>0</v>
      </c>
      <c r="Q493" s="1340">
        <f t="shared" si="98"/>
        <v>0</v>
      </c>
      <c r="R493" s="1339">
        <f t="shared" si="99"/>
        <v>0</v>
      </c>
      <c r="S493" s="810"/>
    </row>
    <row r="494" spans="1:19" s="700" customFormat="1" ht="23.25" hidden="1">
      <c r="A494" s="601"/>
      <c r="B494" s="538" t="s">
        <v>1297</v>
      </c>
      <c r="C494" s="743">
        <f>Data!AD565</f>
        <v>1754.2</v>
      </c>
      <c r="D494" s="744" t="s">
        <v>1876</v>
      </c>
      <c r="E494" s="1276"/>
      <c r="F494" s="1125">
        <f t="shared" si="91"/>
        <v>0</v>
      </c>
      <c r="G494" s="1199"/>
      <c r="H494" s="1125">
        <f t="shared" si="92"/>
        <v>0</v>
      </c>
      <c r="I494" s="748"/>
      <c r="J494" s="748">
        <f t="shared" si="93"/>
        <v>0</v>
      </c>
      <c r="K494" s="1199"/>
      <c r="L494" s="1125">
        <f t="shared" si="94"/>
        <v>0</v>
      </c>
      <c r="M494" s="1200"/>
      <c r="N494" s="1339">
        <f t="shared" si="95"/>
        <v>0</v>
      </c>
      <c r="O494" s="1340">
        <f t="shared" si="96"/>
        <v>0</v>
      </c>
      <c r="P494" s="1339">
        <f t="shared" si="97"/>
        <v>0</v>
      </c>
      <c r="Q494" s="1340">
        <f t="shared" si="98"/>
        <v>0</v>
      </c>
      <c r="R494" s="1339">
        <f t="shared" si="99"/>
        <v>0</v>
      </c>
      <c r="S494" s="810"/>
    </row>
    <row r="495" spans="1:19" s="700" customFormat="1" ht="46.5" hidden="1">
      <c r="A495" s="601"/>
      <c r="B495" s="1129" t="s">
        <v>4907</v>
      </c>
      <c r="C495" s="743"/>
      <c r="D495" s="744"/>
      <c r="E495" s="1276"/>
      <c r="F495" s="1125">
        <f t="shared" si="91"/>
        <v>0</v>
      </c>
      <c r="G495" s="1199"/>
      <c r="H495" s="1125">
        <f t="shared" si="92"/>
        <v>0</v>
      </c>
      <c r="I495" s="748"/>
      <c r="J495" s="748">
        <f t="shared" si="93"/>
        <v>0</v>
      </c>
      <c r="K495" s="1199"/>
      <c r="L495" s="1125">
        <f t="shared" si="94"/>
        <v>0</v>
      </c>
      <c r="M495" s="1200"/>
      <c r="N495" s="1339">
        <f t="shared" si="95"/>
        <v>0</v>
      </c>
      <c r="O495" s="1340">
        <f t="shared" si="96"/>
        <v>0</v>
      </c>
      <c r="P495" s="1339">
        <f t="shared" si="97"/>
        <v>0</v>
      </c>
      <c r="Q495" s="1340">
        <f t="shared" si="98"/>
        <v>0</v>
      </c>
      <c r="R495" s="1339">
        <f t="shared" si="99"/>
        <v>0</v>
      </c>
      <c r="S495" s="810"/>
    </row>
    <row r="496" spans="1:19" s="700" customFormat="1" ht="23.25" hidden="1">
      <c r="A496" s="601"/>
      <c r="B496" s="538" t="s">
        <v>4417</v>
      </c>
      <c r="C496" s="743">
        <f>Data!AD486</f>
        <v>3098.57</v>
      </c>
      <c r="D496" s="744" t="s">
        <v>1876</v>
      </c>
      <c r="E496" s="1276"/>
      <c r="F496" s="1125">
        <f t="shared" si="91"/>
        <v>0</v>
      </c>
      <c r="G496" s="1199"/>
      <c r="H496" s="1125">
        <f t="shared" si="92"/>
        <v>0</v>
      </c>
      <c r="I496" s="748"/>
      <c r="J496" s="748">
        <f t="shared" si="93"/>
        <v>0</v>
      </c>
      <c r="K496" s="1199"/>
      <c r="L496" s="1125">
        <f t="shared" si="94"/>
        <v>0</v>
      </c>
      <c r="M496" s="1200"/>
      <c r="N496" s="1339">
        <f t="shared" si="95"/>
        <v>0</v>
      </c>
      <c r="O496" s="1340">
        <f t="shared" si="96"/>
        <v>0</v>
      </c>
      <c r="P496" s="1339">
        <f t="shared" si="97"/>
        <v>0</v>
      </c>
      <c r="Q496" s="1340">
        <f t="shared" si="98"/>
        <v>0</v>
      </c>
      <c r="R496" s="1339">
        <f t="shared" si="99"/>
        <v>0</v>
      </c>
      <c r="S496" s="810"/>
    </row>
    <row r="497" spans="1:19" s="700" customFormat="1" ht="23.25" hidden="1">
      <c r="A497" s="601"/>
      <c r="B497" s="538" t="s">
        <v>1411</v>
      </c>
      <c r="C497" s="743">
        <f>Data!AD487</f>
        <v>3107.83</v>
      </c>
      <c r="D497" s="744" t="s">
        <v>1876</v>
      </c>
      <c r="E497" s="1276"/>
      <c r="F497" s="1125">
        <f t="shared" si="91"/>
        <v>0</v>
      </c>
      <c r="G497" s="1199"/>
      <c r="H497" s="1125">
        <f t="shared" si="92"/>
        <v>0</v>
      </c>
      <c r="I497" s="748"/>
      <c r="J497" s="748">
        <f t="shared" si="93"/>
        <v>0</v>
      </c>
      <c r="K497" s="1199"/>
      <c r="L497" s="1125">
        <f t="shared" si="94"/>
        <v>0</v>
      </c>
      <c r="M497" s="1200"/>
      <c r="N497" s="1339">
        <f t="shared" si="95"/>
        <v>0</v>
      </c>
      <c r="O497" s="1340">
        <f t="shared" si="96"/>
        <v>0</v>
      </c>
      <c r="P497" s="1339">
        <f t="shared" si="97"/>
        <v>0</v>
      </c>
      <c r="Q497" s="1340">
        <f t="shared" si="98"/>
        <v>0</v>
      </c>
      <c r="R497" s="1339">
        <f t="shared" si="99"/>
        <v>0</v>
      </c>
      <c r="S497" s="810"/>
    </row>
    <row r="498" spans="1:19" s="700" customFormat="1" ht="23.25" hidden="1">
      <c r="A498" s="601"/>
      <c r="B498" s="538" t="s">
        <v>1459</v>
      </c>
      <c r="C498" s="743">
        <f>Data!AD488</f>
        <v>3117.09</v>
      </c>
      <c r="D498" s="744" t="s">
        <v>1876</v>
      </c>
      <c r="E498" s="1276"/>
      <c r="F498" s="1125">
        <f t="shared" si="91"/>
        <v>0</v>
      </c>
      <c r="G498" s="1199"/>
      <c r="H498" s="1125">
        <f t="shared" si="92"/>
        <v>0</v>
      </c>
      <c r="I498" s="748"/>
      <c r="J498" s="748">
        <f t="shared" si="93"/>
        <v>0</v>
      </c>
      <c r="K498" s="1199"/>
      <c r="L498" s="1125">
        <f t="shared" si="94"/>
        <v>0</v>
      </c>
      <c r="M498" s="1200"/>
      <c r="N498" s="1339">
        <f t="shared" si="95"/>
        <v>0</v>
      </c>
      <c r="O498" s="1340">
        <f t="shared" si="96"/>
        <v>0</v>
      </c>
      <c r="P498" s="1339">
        <f t="shared" si="97"/>
        <v>0</v>
      </c>
      <c r="Q498" s="1340">
        <f t="shared" si="98"/>
        <v>0</v>
      </c>
      <c r="R498" s="1339">
        <f t="shared" si="99"/>
        <v>0</v>
      </c>
      <c r="S498" s="810"/>
    </row>
    <row r="499" spans="1:19" s="700" customFormat="1" ht="23.25" hidden="1">
      <c r="A499" s="601"/>
      <c r="B499" s="538" t="s">
        <v>1348</v>
      </c>
      <c r="C499" s="743">
        <f>Data!AD489</f>
        <v>3126.35</v>
      </c>
      <c r="D499" s="744" t="s">
        <v>1876</v>
      </c>
      <c r="E499" s="1276"/>
      <c r="F499" s="1125">
        <f t="shared" si="91"/>
        <v>0</v>
      </c>
      <c r="G499" s="1199"/>
      <c r="H499" s="1125">
        <f t="shared" si="92"/>
        <v>0</v>
      </c>
      <c r="I499" s="748"/>
      <c r="J499" s="748">
        <f t="shared" si="93"/>
        <v>0</v>
      </c>
      <c r="K499" s="1199"/>
      <c r="L499" s="1125">
        <f t="shared" si="94"/>
        <v>0</v>
      </c>
      <c r="M499" s="1200"/>
      <c r="N499" s="1339">
        <f t="shared" si="95"/>
        <v>0</v>
      </c>
      <c r="O499" s="1340">
        <f t="shared" si="96"/>
        <v>0</v>
      </c>
      <c r="P499" s="1339">
        <f t="shared" si="97"/>
        <v>0</v>
      </c>
      <c r="Q499" s="1340">
        <f t="shared" si="98"/>
        <v>0</v>
      </c>
      <c r="R499" s="1339">
        <f t="shared" si="99"/>
        <v>0</v>
      </c>
      <c r="S499" s="810"/>
    </row>
    <row r="500" spans="1:19" s="700" customFormat="1" ht="23.25" hidden="1">
      <c r="A500" s="601"/>
      <c r="B500" s="538" t="s">
        <v>1099</v>
      </c>
      <c r="C500" s="743">
        <f>Data!AD490</f>
        <v>3135.61</v>
      </c>
      <c r="D500" s="744" t="s">
        <v>1876</v>
      </c>
      <c r="E500" s="1276"/>
      <c r="F500" s="1125">
        <f t="shared" si="91"/>
        <v>0</v>
      </c>
      <c r="G500" s="1199"/>
      <c r="H500" s="1125">
        <f t="shared" si="92"/>
        <v>0</v>
      </c>
      <c r="I500" s="748"/>
      <c r="J500" s="748">
        <f t="shared" si="93"/>
        <v>0</v>
      </c>
      <c r="K500" s="1199"/>
      <c r="L500" s="1125">
        <f t="shared" si="94"/>
        <v>0</v>
      </c>
      <c r="M500" s="1200"/>
      <c r="N500" s="1339">
        <f t="shared" si="95"/>
        <v>0</v>
      </c>
      <c r="O500" s="1340">
        <f t="shared" si="96"/>
        <v>0</v>
      </c>
      <c r="P500" s="1339">
        <f t="shared" si="97"/>
        <v>0</v>
      </c>
      <c r="Q500" s="1340">
        <f t="shared" si="98"/>
        <v>0</v>
      </c>
      <c r="R500" s="1339">
        <f t="shared" si="99"/>
        <v>0</v>
      </c>
      <c r="S500" s="810"/>
    </row>
    <row r="501" spans="1:19" s="746" customFormat="1" ht="46.5" hidden="1">
      <c r="A501" s="1130"/>
      <c r="B501" s="1108" t="s">
        <v>4536</v>
      </c>
      <c r="C501" s="1109"/>
      <c r="D501" s="1110"/>
      <c r="E501" s="1276"/>
      <c r="F501" s="1125">
        <f t="shared" si="91"/>
        <v>0</v>
      </c>
      <c r="G501" s="1199"/>
      <c r="H501" s="1125">
        <f t="shared" si="92"/>
        <v>0</v>
      </c>
      <c r="I501" s="748"/>
      <c r="J501" s="748">
        <f t="shared" si="93"/>
        <v>0</v>
      </c>
      <c r="K501" s="1199"/>
      <c r="L501" s="1125">
        <f t="shared" si="94"/>
        <v>0</v>
      </c>
      <c r="M501" s="1208"/>
      <c r="N501" s="1339">
        <f t="shared" si="95"/>
        <v>0</v>
      </c>
      <c r="O501" s="1340">
        <f t="shared" si="96"/>
        <v>0</v>
      </c>
      <c r="P501" s="1339">
        <f t="shared" si="97"/>
        <v>0</v>
      </c>
      <c r="Q501" s="1340">
        <f t="shared" si="98"/>
        <v>0</v>
      </c>
      <c r="R501" s="1339">
        <f t="shared" si="99"/>
        <v>0</v>
      </c>
      <c r="S501" s="1091"/>
    </row>
    <row r="502" spans="1:19" s="746" customFormat="1" ht="23.25" hidden="1">
      <c r="A502" s="1107"/>
      <c r="B502" s="1108" t="s">
        <v>204</v>
      </c>
      <c r="C502" s="1109">
        <f>Data!X486</f>
        <v>3078.09</v>
      </c>
      <c r="D502" s="1110" t="s">
        <v>1876</v>
      </c>
      <c r="E502" s="1276"/>
      <c r="F502" s="1125">
        <f t="shared" si="91"/>
        <v>0</v>
      </c>
      <c r="G502" s="1199"/>
      <c r="H502" s="1125">
        <f t="shared" si="92"/>
        <v>0</v>
      </c>
      <c r="I502" s="748"/>
      <c r="J502" s="748">
        <f t="shared" si="93"/>
        <v>0</v>
      </c>
      <c r="K502" s="1199"/>
      <c r="L502" s="1125">
        <f t="shared" si="94"/>
        <v>0</v>
      </c>
      <c r="M502" s="1208"/>
      <c r="N502" s="1339">
        <f t="shared" si="95"/>
        <v>0</v>
      </c>
      <c r="O502" s="1340">
        <f t="shared" si="96"/>
        <v>0</v>
      </c>
      <c r="P502" s="1339">
        <f t="shared" si="97"/>
        <v>0</v>
      </c>
      <c r="Q502" s="1340">
        <f t="shared" si="98"/>
        <v>0</v>
      </c>
      <c r="R502" s="1339">
        <f t="shared" si="99"/>
        <v>0</v>
      </c>
      <c r="S502" s="1091"/>
    </row>
    <row r="503" spans="1:19" s="746" customFormat="1" ht="23.25" hidden="1">
      <c r="A503" s="1107"/>
      <c r="B503" s="1108" t="s">
        <v>1411</v>
      </c>
      <c r="C503" s="1109">
        <f>Data!X487</f>
        <v>3087.35</v>
      </c>
      <c r="D503" s="1110" t="s">
        <v>1876</v>
      </c>
      <c r="E503" s="1276"/>
      <c r="F503" s="1125">
        <f t="shared" si="91"/>
        <v>0</v>
      </c>
      <c r="G503" s="1199"/>
      <c r="H503" s="1125">
        <f t="shared" si="92"/>
        <v>0</v>
      </c>
      <c r="I503" s="748"/>
      <c r="J503" s="748">
        <f t="shared" si="93"/>
        <v>0</v>
      </c>
      <c r="K503" s="1199"/>
      <c r="L503" s="1125">
        <f t="shared" si="94"/>
        <v>0</v>
      </c>
      <c r="M503" s="1208"/>
      <c r="N503" s="1339">
        <f t="shared" si="95"/>
        <v>0</v>
      </c>
      <c r="O503" s="1340">
        <f t="shared" si="96"/>
        <v>0</v>
      </c>
      <c r="P503" s="1339">
        <f t="shared" si="97"/>
        <v>0</v>
      </c>
      <c r="Q503" s="1340">
        <f t="shared" si="98"/>
        <v>0</v>
      </c>
      <c r="R503" s="1339">
        <f t="shared" si="99"/>
        <v>0</v>
      </c>
      <c r="S503" s="1091"/>
    </row>
    <row r="504" spans="1:19" s="746" customFormat="1" ht="23.25" hidden="1">
      <c r="A504" s="1107"/>
      <c r="B504" s="1108" t="s">
        <v>1459</v>
      </c>
      <c r="C504" s="1109">
        <f>Data!X488</f>
        <v>3096.61</v>
      </c>
      <c r="D504" s="1110" t="s">
        <v>1876</v>
      </c>
      <c r="E504" s="1276"/>
      <c r="F504" s="1125">
        <f t="shared" si="91"/>
        <v>0</v>
      </c>
      <c r="G504" s="1199"/>
      <c r="H504" s="1125">
        <f t="shared" si="92"/>
        <v>0</v>
      </c>
      <c r="I504" s="748"/>
      <c r="J504" s="748">
        <f t="shared" si="93"/>
        <v>0</v>
      </c>
      <c r="K504" s="1199"/>
      <c r="L504" s="1125">
        <f t="shared" si="94"/>
        <v>0</v>
      </c>
      <c r="M504" s="1208"/>
      <c r="N504" s="1339">
        <f t="shared" si="95"/>
        <v>0</v>
      </c>
      <c r="O504" s="1340">
        <f t="shared" si="96"/>
        <v>0</v>
      </c>
      <c r="P504" s="1339">
        <f t="shared" si="97"/>
        <v>0</v>
      </c>
      <c r="Q504" s="1340">
        <f t="shared" si="98"/>
        <v>0</v>
      </c>
      <c r="R504" s="1339">
        <f t="shared" si="99"/>
        <v>0</v>
      </c>
      <c r="S504" s="1091"/>
    </row>
    <row r="505" spans="1:19" s="746" customFormat="1" ht="23.25" hidden="1">
      <c r="A505" s="1107"/>
      <c r="B505" s="1108" t="s">
        <v>1348</v>
      </c>
      <c r="C505" s="1109">
        <f>Data!X489</f>
        <v>3105.87</v>
      </c>
      <c r="D505" s="1110" t="s">
        <v>1876</v>
      </c>
      <c r="E505" s="1276"/>
      <c r="F505" s="1125">
        <f t="shared" si="91"/>
        <v>0</v>
      </c>
      <c r="G505" s="1199"/>
      <c r="H505" s="1125">
        <f t="shared" si="92"/>
        <v>0</v>
      </c>
      <c r="I505" s="748"/>
      <c r="J505" s="748">
        <f t="shared" si="93"/>
        <v>0</v>
      </c>
      <c r="K505" s="1199"/>
      <c r="L505" s="1125">
        <f t="shared" si="94"/>
        <v>0</v>
      </c>
      <c r="M505" s="1208"/>
      <c r="N505" s="1339">
        <f t="shared" si="95"/>
        <v>0</v>
      </c>
      <c r="O505" s="1340">
        <f t="shared" si="96"/>
        <v>0</v>
      </c>
      <c r="P505" s="1339">
        <f t="shared" si="97"/>
        <v>0</v>
      </c>
      <c r="Q505" s="1340">
        <f t="shared" si="98"/>
        <v>0</v>
      </c>
      <c r="R505" s="1339">
        <f t="shared" si="99"/>
        <v>0</v>
      </c>
      <c r="S505" s="1091"/>
    </row>
    <row r="506" spans="1:19" s="746" customFormat="1" ht="23.25" hidden="1">
      <c r="A506" s="1131"/>
      <c r="B506" s="1108" t="s">
        <v>1099</v>
      </c>
      <c r="C506" s="1109">
        <f>Data!X490</f>
        <v>3115.13</v>
      </c>
      <c r="D506" s="1110" t="s">
        <v>1876</v>
      </c>
      <c r="E506" s="1276"/>
      <c r="F506" s="1125">
        <f t="shared" si="91"/>
        <v>0</v>
      </c>
      <c r="G506" s="1199"/>
      <c r="H506" s="1125">
        <f t="shared" si="92"/>
        <v>0</v>
      </c>
      <c r="I506" s="748"/>
      <c r="J506" s="748">
        <f t="shared" si="93"/>
        <v>0</v>
      </c>
      <c r="K506" s="1199"/>
      <c r="L506" s="1125">
        <f t="shared" si="94"/>
        <v>0</v>
      </c>
      <c r="M506" s="1208"/>
      <c r="N506" s="1339">
        <f t="shared" si="95"/>
        <v>0</v>
      </c>
      <c r="O506" s="1340">
        <f t="shared" si="96"/>
        <v>0</v>
      </c>
      <c r="P506" s="1339">
        <f t="shared" si="97"/>
        <v>0</v>
      </c>
      <c r="Q506" s="1340">
        <f t="shared" si="98"/>
        <v>0</v>
      </c>
      <c r="R506" s="1339">
        <f t="shared" si="99"/>
        <v>0</v>
      </c>
      <c r="S506" s="1091"/>
    </row>
    <row r="507" spans="1:19" s="814" customFormat="1" ht="23.25" hidden="1">
      <c r="A507" s="1114"/>
      <c r="B507" s="538" t="s">
        <v>3852</v>
      </c>
      <c r="C507" s="743">
        <f>Data!X491</f>
        <v>0</v>
      </c>
      <c r="D507" s="744" t="s">
        <v>1876</v>
      </c>
      <c r="E507" s="1276"/>
      <c r="F507" s="1125">
        <f t="shared" si="91"/>
        <v>0</v>
      </c>
      <c r="G507" s="1199"/>
      <c r="H507" s="1125">
        <f t="shared" si="92"/>
        <v>0</v>
      </c>
      <c r="I507" s="748"/>
      <c r="J507" s="748">
        <f t="shared" si="93"/>
        <v>0</v>
      </c>
      <c r="K507" s="1199"/>
      <c r="L507" s="1125">
        <f t="shared" si="94"/>
        <v>0</v>
      </c>
      <c r="M507" s="1200"/>
      <c r="N507" s="1339">
        <f t="shared" si="95"/>
        <v>0</v>
      </c>
      <c r="O507" s="1340">
        <f t="shared" si="96"/>
        <v>0</v>
      </c>
      <c r="P507" s="1339">
        <f t="shared" si="97"/>
        <v>0</v>
      </c>
      <c r="Q507" s="1340">
        <f t="shared" si="98"/>
        <v>0</v>
      </c>
      <c r="R507" s="1339">
        <f t="shared" si="99"/>
        <v>0</v>
      </c>
      <c r="S507" s="813"/>
    </row>
    <row r="508" spans="1:19" s="814" customFormat="1" ht="23.25" hidden="1">
      <c r="A508" s="1114"/>
      <c r="B508" s="1112" t="s">
        <v>4159</v>
      </c>
      <c r="C508" s="743"/>
      <c r="D508" s="744"/>
      <c r="E508" s="1276"/>
      <c r="F508" s="1125">
        <f t="shared" si="91"/>
        <v>0</v>
      </c>
      <c r="G508" s="1199"/>
      <c r="H508" s="1125">
        <f t="shared" si="92"/>
        <v>0</v>
      </c>
      <c r="I508" s="748"/>
      <c r="J508" s="748">
        <f t="shared" si="93"/>
        <v>0</v>
      </c>
      <c r="K508" s="1199"/>
      <c r="L508" s="1125">
        <f t="shared" si="94"/>
        <v>0</v>
      </c>
      <c r="M508" s="1208"/>
      <c r="N508" s="1339">
        <f t="shared" si="95"/>
        <v>0</v>
      </c>
      <c r="O508" s="1340">
        <f t="shared" si="96"/>
        <v>0</v>
      </c>
      <c r="P508" s="1339">
        <f t="shared" si="97"/>
        <v>0</v>
      </c>
      <c r="Q508" s="1340">
        <f t="shared" si="98"/>
        <v>0</v>
      </c>
      <c r="R508" s="1339">
        <f t="shared" si="99"/>
        <v>0</v>
      </c>
      <c r="S508" s="813"/>
    </row>
    <row r="509" spans="1:19" s="814" customFormat="1" ht="23.25" hidden="1">
      <c r="A509" s="1114"/>
      <c r="B509" s="1108" t="s">
        <v>554</v>
      </c>
      <c r="C509" s="743">
        <f>Data!X718</f>
        <v>8026.96</v>
      </c>
      <c r="D509" s="1110" t="s">
        <v>2190</v>
      </c>
      <c r="E509" s="1276"/>
      <c r="F509" s="1125">
        <f t="shared" si="91"/>
        <v>0</v>
      </c>
      <c r="G509" s="1199"/>
      <c r="H509" s="1125">
        <f t="shared" si="92"/>
        <v>0</v>
      </c>
      <c r="I509" s="748"/>
      <c r="J509" s="748">
        <f t="shared" si="93"/>
        <v>0</v>
      </c>
      <c r="K509" s="1199"/>
      <c r="L509" s="1125">
        <f t="shared" si="94"/>
        <v>0</v>
      </c>
      <c r="M509" s="1208"/>
      <c r="N509" s="1339">
        <f t="shared" si="95"/>
        <v>0</v>
      </c>
      <c r="O509" s="1340">
        <f t="shared" si="96"/>
        <v>0</v>
      </c>
      <c r="P509" s="1339">
        <f t="shared" si="97"/>
        <v>0</v>
      </c>
      <c r="Q509" s="1340">
        <f t="shared" si="98"/>
        <v>0</v>
      </c>
      <c r="R509" s="1339">
        <f t="shared" si="99"/>
        <v>0</v>
      </c>
      <c r="S509" s="813"/>
    </row>
    <row r="510" spans="1:19" s="814" customFormat="1" ht="23.25" hidden="1">
      <c r="A510" s="1114"/>
      <c r="B510" s="1108" t="s">
        <v>4938</v>
      </c>
      <c r="C510" s="743">
        <f>Data!X720</f>
        <v>8151.92</v>
      </c>
      <c r="D510" s="1110" t="s">
        <v>2190</v>
      </c>
      <c r="E510" s="1276"/>
      <c r="F510" s="1125">
        <f t="shared" si="91"/>
        <v>0</v>
      </c>
      <c r="G510" s="1199"/>
      <c r="H510" s="1125">
        <f t="shared" si="92"/>
        <v>0</v>
      </c>
      <c r="I510" s="748"/>
      <c r="J510" s="748">
        <f t="shared" si="93"/>
        <v>0</v>
      </c>
      <c r="K510" s="1199"/>
      <c r="L510" s="1125">
        <f t="shared" si="94"/>
        <v>0</v>
      </c>
      <c r="M510" s="1208"/>
      <c r="N510" s="1339">
        <f t="shared" si="95"/>
        <v>0</v>
      </c>
      <c r="O510" s="1340">
        <f t="shared" si="96"/>
        <v>0</v>
      </c>
      <c r="P510" s="1339">
        <f t="shared" si="97"/>
        <v>0</v>
      </c>
      <c r="Q510" s="1340">
        <f t="shared" si="98"/>
        <v>0</v>
      </c>
      <c r="R510" s="1339">
        <f t="shared" si="99"/>
        <v>0</v>
      </c>
      <c r="S510" s="813"/>
    </row>
    <row r="511" spans="1:19" s="814" customFormat="1" ht="23.25" hidden="1">
      <c r="A511" s="1114"/>
      <c r="B511" s="1108" t="str">
        <f>B518</f>
        <v>c. In First Floor</v>
      </c>
      <c r="C511" s="743">
        <f>Data!X721</f>
        <v>8398.1</v>
      </c>
      <c r="D511" s="1110" t="s">
        <v>2190</v>
      </c>
      <c r="E511" s="1276"/>
      <c r="F511" s="1125">
        <f t="shared" si="91"/>
        <v>0</v>
      </c>
      <c r="G511" s="1199"/>
      <c r="H511" s="1125">
        <f t="shared" si="92"/>
        <v>0</v>
      </c>
      <c r="I511" s="748"/>
      <c r="J511" s="748">
        <f t="shared" si="93"/>
        <v>0</v>
      </c>
      <c r="K511" s="1199"/>
      <c r="L511" s="1125">
        <f t="shared" si="94"/>
        <v>0</v>
      </c>
      <c r="M511" s="1208"/>
      <c r="N511" s="1339">
        <f t="shared" si="95"/>
        <v>0</v>
      </c>
      <c r="O511" s="1340">
        <f t="shared" si="96"/>
        <v>0</v>
      </c>
      <c r="P511" s="1339">
        <f t="shared" si="97"/>
        <v>0</v>
      </c>
      <c r="Q511" s="1340">
        <f t="shared" si="98"/>
        <v>0</v>
      </c>
      <c r="R511" s="1339">
        <f t="shared" si="99"/>
        <v>0</v>
      </c>
      <c r="S511" s="813"/>
    </row>
    <row r="512" spans="1:19" s="814" customFormat="1" ht="23.25" hidden="1">
      <c r="A512" s="1114"/>
      <c r="B512" s="1108" t="str">
        <f t="shared" ref="B512:B514" si="102">B519</f>
        <v>d. In Second Floor</v>
      </c>
      <c r="C512" s="743">
        <f>Data!X722</f>
        <v>8644.2800000000007</v>
      </c>
      <c r="D512" s="1110" t="s">
        <v>2190</v>
      </c>
      <c r="E512" s="1276"/>
      <c r="F512" s="1125">
        <f t="shared" si="91"/>
        <v>0</v>
      </c>
      <c r="G512" s="1199"/>
      <c r="H512" s="1125">
        <f t="shared" si="92"/>
        <v>0</v>
      </c>
      <c r="I512" s="748"/>
      <c r="J512" s="748">
        <f t="shared" si="93"/>
        <v>0</v>
      </c>
      <c r="K512" s="1199"/>
      <c r="L512" s="1125">
        <f t="shared" si="94"/>
        <v>0</v>
      </c>
      <c r="M512" s="1208"/>
      <c r="N512" s="1339">
        <f t="shared" si="95"/>
        <v>0</v>
      </c>
      <c r="O512" s="1340">
        <f t="shared" si="96"/>
        <v>0</v>
      </c>
      <c r="P512" s="1339">
        <f t="shared" si="97"/>
        <v>0</v>
      </c>
      <c r="Q512" s="1340">
        <f t="shared" si="98"/>
        <v>0</v>
      </c>
      <c r="R512" s="1339">
        <f t="shared" si="99"/>
        <v>0</v>
      </c>
      <c r="S512" s="813"/>
    </row>
    <row r="513" spans="1:20" s="814" customFormat="1" ht="23.25" hidden="1">
      <c r="A513" s="1114"/>
      <c r="B513" s="1108" t="str">
        <f t="shared" si="102"/>
        <v>e. In Third floor</v>
      </c>
      <c r="C513" s="743">
        <f>Data!X723</f>
        <v>8890.4599999999991</v>
      </c>
      <c r="D513" s="1110" t="s">
        <v>2190</v>
      </c>
      <c r="E513" s="1276"/>
      <c r="F513" s="1125">
        <f t="shared" si="91"/>
        <v>0</v>
      </c>
      <c r="G513" s="1199"/>
      <c r="H513" s="1125">
        <f t="shared" si="92"/>
        <v>0</v>
      </c>
      <c r="I513" s="748"/>
      <c r="J513" s="748">
        <f t="shared" si="93"/>
        <v>0</v>
      </c>
      <c r="K513" s="1199"/>
      <c r="L513" s="1125">
        <f t="shared" si="94"/>
        <v>0</v>
      </c>
      <c r="M513" s="1208"/>
      <c r="N513" s="1339">
        <f t="shared" si="95"/>
        <v>0</v>
      </c>
      <c r="O513" s="1340">
        <f t="shared" si="96"/>
        <v>0</v>
      </c>
      <c r="P513" s="1339">
        <f t="shared" si="97"/>
        <v>0</v>
      </c>
      <c r="Q513" s="1340">
        <f t="shared" si="98"/>
        <v>0</v>
      </c>
      <c r="R513" s="1339">
        <f t="shared" si="99"/>
        <v>0</v>
      </c>
      <c r="S513" s="813"/>
    </row>
    <row r="514" spans="1:20" s="814" customFormat="1" ht="23.25" hidden="1">
      <c r="A514" s="1114"/>
      <c r="B514" s="1108" t="str">
        <f t="shared" si="102"/>
        <v>f.In fourth floor</v>
      </c>
      <c r="C514" s="743">
        <f>Data!X724</f>
        <v>9136.64</v>
      </c>
      <c r="D514" s="1110" t="s">
        <v>2190</v>
      </c>
      <c r="E514" s="1276"/>
      <c r="F514" s="1125">
        <f t="shared" si="91"/>
        <v>0</v>
      </c>
      <c r="G514" s="1199"/>
      <c r="H514" s="1125">
        <f t="shared" si="92"/>
        <v>0</v>
      </c>
      <c r="I514" s="748"/>
      <c r="J514" s="748">
        <f t="shared" si="93"/>
        <v>0</v>
      </c>
      <c r="K514" s="1199"/>
      <c r="L514" s="1125">
        <f t="shared" si="94"/>
        <v>0</v>
      </c>
      <c r="M514" s="1208"/>
      <c r="N514" s="1339">
        <f t="shared" si="95"/>
        <v>0</v>
      </c>
      <c r="O514" s="1340">
        <f t="shared" si="96"/>
        <v>0</v>
      </c>
      <c r="P514" s="1339">
        <f t="shared" si="97"/>
        <v>0</v>
      </c>
      <c r="Q514" s="1340">
        <f t="shared" si="98"/>
        <v>0</v>
      </c>
      <c r="R514" s="1339">
        <f t="shared" si="99"/>
        <v>0</v>
      </c>
      <c r="S514" s="813"/>
    </row>
    <row r="515" spans="1:20" s="812" customFormat="1" ht="47.25" customHeight="1">
      <c r="A515" s="1132">
        <v>4.0999999999999996</v>
      </c>
      <c r="B515" s="1112" t="s">
        <v>4830</v>
      </c>
      <c r="C515" s="1111"/>
      <c r="D515" s="1110"/>
      <c r="E515" s="743"/>
      <c r="F515" s="1125">
        <f t="shared" si="91"/>
        <v>0</v>
      </c>
      <c r="G515" s="1199"/>
      <c r="H515" s="1125">
        <f t="shared" si="92"/>
        <v>0</v>
      </c>
      <c r="I515" s="748"/>
      <c r="J515" s="1407">
        <f t="shared" si="93"/>
        <v>0</v>
      </c>
      <c r="K515" s="1199"/>
      <c r="L515" s="1125">
        <f t="shared" si="94"/>
        <v>0</v>
      </c>
      <c r="M515" s="1200"/>
      <c r="N515" s="1339">
        <f t="shared" si="95"/>
        <v>0</v>
      </c>
      <c r="O515" s="1340">
        <f t="shared" si="96"/>
        <v>0</v>
      </c>
      <c r="P515" s="1339">
        <f t="shared" si="97"/>
        <v>0</v>
      </c>
      <c r="Q515" s="1341" t="s">
        <v>2290</v>
      </c>
      <c r="R515" s="1339"/>
    </row>
    <row r="516" spans="1:20" s="812" customFormat="1" ht="23.25" hidden="1">
      <c r="A516" s="1434"/>
      <c r="B516" s="1410" t="s">
        <v>554</v>
      </c>
      <c r="C516" s="1411">
        <f>Data!X742</f>
        <v>8215.61</v>
      </c>
      <c r="D516" s="1371" t="s">
        <v>2190</v>
      </c>
      <c r="E516" s="1278"/>
      <c r="F516" s="1125">
        <f t="shared" si="91"/>
        <v>0</v>
      </c>
      <c r="G516" s="1273"/>
      <c r="H516" s="1125">
        <f t="shared" si="92"/>
        <v>0</v>
      </c>
      <c r="I516" s="748"/>
      <c r="J516" s="748">
        <f t="shared" si="93"/>
        <v>0</v>
      </c>
      <c r="K516" s="1273"/>
      <c r="L516" s="1125">
        <f t="shared" si="94"/>
        <v>0</v>
      </c>
      <c r="M516" s="1412"/>
      <c r="N516" s="1339">
        <f t="shared" si="95"/>
        <v>0</v>
      </c>
      <c r="O516" s="1340">
        <f t="shared" si="96"/>
        <v>0</v>
      </c>
      <c r="P516" s="1339">
        <f t="shared" si="97"/>
        <v>0</v>
      </c>
      <c r="Q516" s="1340">
        <f t="shared" si="98"/>
        <v>0</v>
      </c>
      <c r="R516" s="1339">
        <f t="shared" si="99"/>
        <v>0</v>
      </c>
    </row>
    <row r="517" spans="1:20" s="812" customFormat="1" ht="47.25" customHeight="1">
      <c r="A517" s="1132">
        <v>8.1</v>
      </c>
      <c r="B517" s="1108" t="s">
        <v>4938</v>
      </c>
      <c r="C517" s="1111">
        <f>Data!X744</f>
        <v>8340.57</v>
      </c>
      <c r="D517" s="1110" t="s">
        <v>2190</v>
      </c>
      <c r="E517" s="1100">
        <v>123.6</v>
      </c>
      <c r="F517" s="1125">
        <f t="shared" si="91"/>
        <v>1030894.45</v>
      </c>
      <c r="G517" s="1199"/>
      <c r="H517" s="1125">
        <f t="shared" si="92"/>
        <v>0</v>
      </c>
      <c r="I517" s="748"/>
      <c r="J517" s="1407">
        <f t="shared" si="93"/>
        <v>0</v>
      </c>
      <c r="K517" s="1199"/>
      <c r="L517" s="1125">
        <f t="shared" si="94"/>
        <v>0</v>
      </c>
      <c r="M517" s="1200"/>
      <c r="N517" s="1339">
        <f t="shared" si="95"/>
        <v>0</v>
      </c>
      <c r="O517" s="1340">
        <f t="shared" si="96"/>
        <v>0</v>
      </c>
      <c r="P517" s="1339">
        <f t="shared" si="97"/>
        <v>0</v>
      </c>
      <c r="Q517" s="1340">
        <f t="shared" si="98"/>
        <v>123.6</v>
      </c>
      <c r="R517" s="1339">
        <f t="shared" si="99"/>
        <v>1030894.45</v>
      </c>
    </row>
    <row r="518" spans="1:20" s="812" customFormat="1" ht="47.25" customHeight="1">
      <c r="A518" s="1132"/>
      <c r="B518" s="1108" t="s">
        <v>557</v>
      </c>
      <c r="C518" s="1111">
        <f>Data!X745</f>
        <v>8586.75</v>
      </c>
      <c r="D518" s="1110" t="s">
        <v>2190</v>
      </c>
      <c r="E518" s="1100">
        <v>151.9</v>
      </c>
      <c r="F518" s="1125">
        <f t="shared" si="91"/>
        <v>1304327.33</v>
      </c>
      <c r="G518" s="1199"/>
      <c r="H518" s="1125">
        <f t="shared" si="92"/>
        <v>0</v>
      </c>
      <c r="I518" s="748"/>
      <c r="J518" s="1407">
        <f t="shared" si="93"/>
        <v>0</v>
      </c>
      <c r="K518" s="1199"/>
      <c r="L518" s="1125">
        <f t="shared" si="94"/>
        <v>0</v>
      </c>
      <c r="M518" s="1200"/>
      <c r="N518" s="1339">
        <f t="shared" si="95"/>
        <v>0</v>
      </c>
      <c r="O518" s="1340">
        <f t="shared" si="96"/>
        <v>0</v>
      </c>
      <c r="P518" s="1339">
        <f t="shared" si="97"/>
        <v>0</v>
      </c>
      <c r="Q518" s="1340">
        <f t="shared" si="98"/>
        <v>151.9</v>
      </c>
      <c r="R518" s="1339">
        <f t="shared" si="99"/>
        <v>1304327.33</v>
      </c>
    </row>
    <row r="519" spans="1:20" s="812" customFormat="1" ht="47.25" customHeight="1">
      <c r="A519" s="1132"/>
      <c r="B519" s="1108" t="s">
        <v>1840</v>
      </c>
      <c r="C519" s="1111">
        <f>Data!X746</f>
        <v>8832.93</v>
      </c>
      <c r="D519" s="1110" t="s">
        <v>2190</v>
      </c>
      <c r="E519" s="1100">
        <v>151.69999999999999</v>
      </c>
      <c r="F519" s="1125">
        <f t="shared" ref="F519:F582" si="103">E519*C519</f>
        <v>1339955.48</v>
      </c>
      <c r="G519" s="1199"/>
      <c r="H519" s="1125">
        <f t="shared" ref="H519:H582" si="104">G519*C519</f>
        <v>0</v>
      </c>
      <c r="I519" s="748"/>
      <c r="J519" s="1407">
        <f t="shared" ref="J519:J582" si="105">I519*C519</f>
        <v>0</v>
      </c>
      <c r="K519" s="1199"/>
      <c r="L519" s="1125">
        <f t="shared" ref="L519:L582" si="106">K519*C519</f>
        <v>0</v>
      </c>
      <c r="M519" s="1200"/>
      <c r="N519" s="1339">
        <f t="shared" ref="N519:N582" si="107">M519*C519</f>
        <v>0</v>
      </c>
      <c r="O519" s="1340">
        <f t="shared" ref="O519:O582" si="108">G519+K519+M519</f>
        <v>0</v>
      </c>
      <c r="P519" s="1339">
        <f t="shared" ref="P519:P582" si="109">O519*C519</f>
        <v>0</v>
      </c>
      <c r="Q519" s="1340">
        <f t="shared" ref="Q519:Q582" si="110">O519+E519</f>
        <v>151.69999999999999</v>
      </c>
      <c r="R519" s="1339">
        <f t="shared" ref="R519:R582" si="111">Q519*C519</f>
        <v>1339955.48</v>
      </c>
    </row>
    <row r="520" spans="1:20" s="812" customFormat="1" ht="47.25" customHeight="1">
      <c r="A520" s="1132"/>
      <c r="B520" s="1108" t="s">
        <v>694</v>
      </c>
      <c r="C520" s="1111">
        <f>Data!X747</f>
        <v>9079.11</v>
      </c>
      <c r="D520" s="1110" t="s">
        <v>2190</v>
      </c>
      <c r="E520" s="1100">
        <v>150</v>
      </c>
      <c r="F520" s="1125">
        <f t="shared" si="103"/>
        <v>1361866.5</v>
      </c>
      <c r="G520" s="1199"/>
      <c r="H520" s="1125">
        <f t="shared" si="104"/>
        <v>0</v>
      </c>
      <c r="I520" s="748"/>
      <c r="J520" s="1407">
        <f t="shared" si="105"/>
        <v>0</v>
      </c>
      <c r="K520" s="1199"/>
      <c r="L520" s="1125">
        <f t="shared" si="106"/>
        <v>0</v>
      </c>
      <c r="M520" s="1200"/>
      <c r="N520" s="1339">
        <f t="shared" si="107"/>
        <v>0</v>
      </c>
      <c r="O520" s="1340">
        <f t="shared" si="108"/>
        <v>0</v>
      </c>
      <c r="P520" s="1339">
        <f t="shared" si="109"/>
        <v>0</v>
      </c>
      <c r="Q520" s="1340">
        <f t="shared" si="110"/>
        <v>150</v>
      </c>
      <c r="R520" s="1339">
        <f t="shared" si="111"/>
        <v>1361866.5</v>
      </c>
    </row>
    <row r="521" spans="1:20" s="812" customFormat="1" ht="50.25" customHeight="1">
      <c r="A521" s="1132"/>
      <c r="B521" s="1108" t="s">
        <v>4177</v>
      </c>
      <c r="C521" s="1111">
        <f>Data!X748</f>
        <v>9325.2900000000009</v>
      </c>
      <c r="D521" s="1110" t="s">
        <v>2190</v>
      </c>
      <c r="E521" s="1100">
        <v>45.3</v>
      </c>
      <c r="F521" s="1125">
        <f t="shared" si="103"/>
        <v>422435.64</v>
      </c>
      <c r="G521" s="1199"/>
      <c r="H521" s="1125">
        <f t="shared" si="104"/>
        <v>0</v>
      </c>
      <c r="I521" s="748"/>
      <c r="J521" s="1407">
        <f t="shared" si="105"/>
        <v>0</v>
      </c>
      <c r="K521" s="1199"/>
      <c r="L521" s="1125">
        <f t="shared" si="106"/>
        <v>0</v>
      </c>
      <c r="M521" s="1200"/>
      <c r="N521" s="1339">
        <f t="shared" si="107"/>
        <v>0</v>
      </c>
      <c r="O521" s="1340">
        <f t="shared" si="108"/>
        <v>0</v>
      </c>
      <c r="P521" s="1339">
        <f t="shared" si="109"/>
        <v>0</v>
      </c>
      <c r="Q521" s="1340">
        <f t="shared" si="110"/>
        <v>45.3</v>
      </c>
      <c r="R521" s="1339">
        <f t="shared" si="111"/>
        <v>422435.64</v>
      </c>
    </row>
    <row r="522" spans="1:20" s="812" customFormat="1" ht="70.5" hidden="1" customHeight="1">
      <c r="A522" s="1434"/>
      <c r="B522" s="1410" t="s">
        <v>4921</v>
      </c>
      <c r="C522" s="1411">
        <f>Data!X749</f>
        <v>9423.6299999999992</v>
      </c>
      <c r="D522" s="1371" t="s">
        <v>2190</v>
      </c>
      <c r="E522" s="1278"/>
      <c r="F522" s="1125">
        <f t="shared" si="103"/>
        <v>0</v>
      </c>
      <c r="G522" s="1273"/>
      <c r="H522" s="1125">
        <f t="shared" si="104"/>
        <v>0</v>
      </c>
      <c r="I522" s="748"/>
      <c r="J522" s="748">
        <f t="shared" si="105"/>
        <v>0</v>
      </c>
      <c r="K522" s="1273"/>
      <c r="L522" s="1125">
        <f t="shared" si="106"/>
        <v>0</v>
      </c>
      <c r="M522" s="1412"/>
      <c r="N522" s="1339">
        <f t="shared" si="107"/>
        <v>0</v>
      </c>
      <c r="O522" s="1340">
        <f t="shared" si="108"/>
        <v>0</v>
      </c>
      <c r="P522" s="1339">
        <f t="shared" si="109"/>
        <v>0</v>
      </c>
      <c r="Q522" s="1340">
        <f t="shared" si="110"/>
        <v>0</v>
      </c>
      <c r="R522" s="1339">
        <f t="shared" si="111"/>
        <v>0</v>
      </c>
    </row>
    <row r="523" spans="1:20" ht="50.25" customHeight="1">
      <c r="A523" s="1486" t="s">
        <v>4180</v>
      </c>
      <c r="B523" s="1347" t="s">
        <v>4158</v>
      </c>
      <c r="C523" s="1111"/>
      <c r="D523" s="1110"/>
      <c r="E523" s="1336"/>
      <c r="F523" s="1125">
        <f t="shared" si="103"/>
        <v>0</v>
      </c>
      <c r="G523" s="1335"/>
      <c r="H523" s="1125">
        <f t="shared" si="104"/>
        <v>0</v>
      </c>
      <c r="I523" s="1312"/>
      <c r="J523" s="1406">
        <f t="shared" si="105"/>
        <v>0</v>
      </c>
      <c r="K523" s="1335"/>
      <c r="L523" s="1125">
        <f t="shared" si="106"/>
        <v>0</v>
      </c>
      <c r="M523" s="1343"/>
      <c r="N523" s="1339">
        <f t="shared" si="107"/>
        <v>0</v>
      </c>
      <c r="O523" s="1340">
        <f t="shared" si="108"/>
        <v>0</v>
      </c>
      <c r="P523" s="1339">
        <f t="shared" si="109"/>
        <v>0</v>
      </c>
      <c r="Q523" s="1341" t="s">
        <v>2290</v>
      </c>
      <c r="R523" s="1339"/>
      <c r="S523" s="1322">
        <f t="shared" ref="S523:S529" si="112">F523+P523</f>
        <v>0</v>
      </c>
      <c r="T523" s="1322">
        <f t="shared" ref="T523:T529" si="113">S523-R523</f>
        <v>0</v>
      </c>
    </row>
    <row r="524" spans="1:20" ht="50.25" customHeight="1">
      <c r="A524" s="1486"/>
      <c r="B524" s="1198" t="s">
        <v>554</v>
      </c>
      <c r="C524" s="1111">
        <f>Data!X688</f>
        <v>8571.2199999999993</v>
      </c>
      <c r="D524" s="1110" t="s">
        <v>2190</v>
      </c>
      <c r="E524" s="1336">
        <v>137.19999999999999</v>
      </c>
      <c r="F524" s="1125">
        <f t="shared" si="103"/>
        <v>1175971.3799999999</v>
      </c>
      <c r="G524" s="1335">
        <v>9</v>
      </c>
      <c r="H524" s="1125">
        <f t="shared" si="104"/>
        <v>77140.98</v>
      </c>
      <c r="I524" s="1312"/>
      <c r="J524" s="1406">
        <f t="shared" si="105"/>
        <v>0</v>
      </c>
      <c r="K524" s="1335"/>
      <c r="L524" s="1125">
        <f t="shared" si="106"/>
        <v>0</v>
      </c>
      <c r="M524" s="1343"/>
      <c r="N524" s="1339">
        <f t="shared" si="107"/>
        <v>0</v>
      </c>
      <c r="O524" s="1340">
        <f t="shared" si="108"/>
        <v>9</v>
      </c>
      <c r="P524" s="1339">
        <f t="shared" si="109"/>
        <v>77140.98</v>
      </c>
      <c r="Q524" s="1340">
        <f t="shared" si="110"/>
        <v>146.19999999999999</v>
      </c>
      <c r="R524" s="1339">
        <f t="shared" si="111"/>
        <v>1253112.3600000001</v>
      </c>
      <c r="S524" s="1322">
        <f t="shared" si="112"/>
        <v>1253112.3600000001</v>
      </c>
      <c r="T524" s="1322">
        <f t="shared" si="113"/>
        <v>0</v>
      </c>
    </row>
    <row r="525" spans="1:20" ht="50.25" hidden="1" customHeight="1">
      <c r="A525" s="1486"/>
      <c r="B525" s="1198" t="s">
        <v>555</v>
      </c>
      <c r="C525" s="1109">
        <f>Data!X690</f>
        <v>8696.18</v>
      </c>
      <c r="D525" s="1110" t="s">
        <v>2190</v>
      </c>
      <c r="E525" s="1336"/>
      <c r="F525" s="1125">
        <f t="shared" si="103"/>
        <v>0</v>
      </c>
      <c r="G525" s="1335"/>
      <c r="H525" s="1125">
        <f t="shared" si="104"/>
        <v>0</v>
      </c>
      <c r="I525" s="1312"/>
      <c r="J525" s="1406">
        <f t="shared" si="105"/>
        <v>0</v>
      </c>
      <c r="K525" s="1335"/>
      <c r="L525" s="1125">
        <f t="shared" si="106"/>
        <v>0</v>
      </c>
      <c r="M525" s="1343"/>
      <c r="N525" s="1339">
        <f t="shared" si="107"/>
        <v>0</v>
      </c>
      <c r="O525" s="1340">
        <f t="shared" si="108"/>
        <v>0</v>
      </c>
      <c r="P525" s="1339">
        <f t="shared" si="109"/>
        <v>0</v>
      </c>
      <c r="Q525" s="1340">
        <f t="shared" si="110"/>
        <v>0</v>
      </c>
      <c r="R525" s="1339">
        <f t="shared" si="111"/>
        <v>0</v>
      </c>
      <c r="S525" s="1322">
        <f t="shared" si="112"/>
        <v>0</v>
      </c>
      <c r="T525" s="1322">
        <f t="shared" si="113"/>
        <v>0</v>
      </c>
    </row>
    <row r="526" spans="1:20" ht="41.25" hidden="1" customHeight="1">
      <c r="A526" s="1426"/>
      <c r="B526" s="1370" t="s">
        <v>557</v>
      </c>
      <c r="C526" s="1411">
        <f>Data!X691</f>
        <v>8942.36</v>
      </c>
      <c r="D526" s="1371" t="s">
        <v>2190</v>
      </c>
      <c r="E526" s="1372"/>
      <c r="F526" s="1125">
        <f t="shared" si="103"/>
        <v>0</v>
      </c>
      <c r="G526" s="1427"/>
      <c r="H526" s="1125">
        <f t="shared" si="104"/>
        <v>0</v>
      </c>
      <c r="I526" s="1312"/>
      <c r="J526" s="1312">
        <f t="shared" si="105"/>
        <v>0</v>
      </c>
      <c r="K526" s="1427"/>
      <c r="L526" s="1125">
        <f t="shared" si="106"/>
        <v>0</v>
      </c>
      <c r="M526" s="1435"/>
      <c r="N526" s="1339">
        <f t="shared" si="107"/>
        <v>0</v>
      </c>
      <c r="O526" s="1340">
        <f t="shared" si="108"/>
        <v>0</v>
      </c>
      <c r="P526" s="1339">
        <f t="shared" si="109"/>
        <v>0</v>
      </c>
      <c r="Q526" s="1340">
        <f t="shared" si="110"/>
        <v>0</v>
      </c>
      <c r="R526" s="1339">
        <f t="shared" si="111"/>
        <v>0</v>
      </c>
      <c r="S526" s="1322">
        <f t="shared" si="112"/>
        <v>0</v>
      </c>
      <c r="T526" s="1322">
        <f t="shared" si="113"/>
        <v>0</v>
      </c>
    </row>
    <row r="527" spans="1:20" ht="41.25" hidden="1" customHeight="1">
      <c r="A527" s="1324"/>
      <c r="B527" s="1198" t="s">
        <v>1840</v>
      </c>
      <c r="C527" s="1109">
        <f>Data!X692</f>
        <v>9188.5400000000009</v>
      </c>
      <c r="D527" s="1110" t="s">
        <v>2190</v>
      </c>
      <c r="E527" s="1342"/>
      <c r="F527" s="1125">
        <f t="shared" si="103"/>
        <v>0</v>
      </c>
      <c r="G527" s="1335"/>
      <c r="H527" s="1125">
        <f t="shared" si="104"/>
        <v>0</v>
      </c>
      <c r="I527" s="1312"/>
      <c r="J527" s="1312">
        <f t="shared" si="105"/>
        <v>0</v>
      </c>
      <c r="K527" s="1335"/>
      <c r="L527" s="1125">
        <f t="shared" si="106"/>
        <v>0</v>
      </c>
      <c r="M527" s="1343"/>
      <c r="N527" s="1339">
        <f t="shared" si="107"/>
        <v>0</v>
      </c>
      <c r="O527" s="1340">
        <f t="shared" si="108"/>
        <v>0</v>
      </c>
      <c r="P527" s="1339">
        <f t="shared" si="109"/>
        <v>0</v>
      </c>
      <c r="Q527" s="1340">
        <f t="shared" si="110"/>
        <v>0</v>
      </c>
      <c r="R527" s="1339">
        <f t="shared" si="111"/>
        <v>0</v>
      </c>
      <c r="S527" s="1322">
        <f t="shared" si="112"/>
        <v>0</v>
      </c>
      <c r="T527" s="1322">
        <f t="shared" si="113"/>
        <v>0</v>
      </c>
    </row>
    <row r="528" spans="1:20" ht="42.75" hidden="1" customHeight="1">
      <c r="A528" s="1324"/>
      <c r="B528" s="1198" t="s">
        <v>694</v>
      </c>
      <c r="C528" s="1109">
        <f>Data!X693</f>
        <v>9434.7199999999993</v>
      </c>
      <c r="D528" s="1110" t="s">
        <v>2190</v>
      </c>
      <c r="E528" s="1342"/>
      <c r="F528" s="1125">
        <f t="shared" si="103"/>
        <v>0</v>
      </c>
      <c r="G528" s="1335"/>
      <c r="H528" s="1125">
        <f t="shared" si="104"/>
        <v>0</v>
      </c>
      <c r="I528" s="1312"/>
      <c r="J528" s="1312">
        <f t="shared" si="105"/>
        <v>0</v>
      </c>
      <c r="K528" s="1335"/>
      <c r="L528" s="1125">
        <f t="shared" si="106"/>
        <v>0</v>
      </c>
      <c r="M528" s="1343"/>
      <c r="N528" s="1339">
        <f t="shared" si="107"/>
        <v>0</v>
      </c>
      <c r="O528" s="1340">
        <f t="shared" si="108"/>
        <v>0</v>
      </c>
      <c r="P528" s="1339">
        <f t="shared" si="109"/>
        <v>0</v>
      </c>
      <c r="Q528" s="1340">
        <f t="shared" si="110"/>
        <v>0</v>
      </c>
      <c r="R528" s="1339">
        <f t="shared" si="111"/>
        <v>0</v>
      </c>
      <c r="S528" s="1322">
        <f t="shared" si="112"/>
        <v>0</v>
      </c>
      <c r="T528" s="1322">
        <f t="shared" si="113"/>
        <v>0</v>
      </c>
    </row>
    <row r="529" spans="1:20" ht="45" hidden="1" customHeight="1">
      <c r="A529" s="1324"/>
      <c r="B529" s="1198" t="s">
        <v>5969</v>
      </c>
      <c r="C529" s="1109">
        <f>Data!X694</f>
        <v>9680.9</v>
      </c>
      <c r="D529" s="1110" t="s">
        <v>2190</v>
      </c>
      <c r="E529" s="1342"/>
      <c r="F529" s="1125">
        <f t="shared" si="103"/>
        <v>0</v>
      </c>
      <c r="G529" s="1335"/>
      <c r="H529" s="1125">
        <f t="shared" si="104"/>
        <v>0</v>
      </c>
      <c r="I529" s="1312"/>
      <c r="J529" s="1312">
        <f t="shared" si="105"/>
        <v>0</v>
      </c>
      <c r="K529" s="1335"/>
      <c r="L529" s="1125">
        <f t="shared" si="106"/>
        <v>0</v>
      </c>
      <c r="M529" s="1343"/>
      <c r="N529" s="1339">
        <f t="shared" si="107"/>
        <v>0</v>
      </c>
      <c r="O529" s="1340">
        <f t="shared" si="108"/>
        <v>0</v>
      </c>
      <c r="P529" s="1339">
        <f t="shared" si="109"/>
        <v>0</v>
      </c>
      <c r="Q529" s="1340">
        <f t="shared" si="110"/>
        <v>0</v>
      </c>
      <c r="R529" s="1339">
        <f t="shared" si="111"/>
        <v>0</v>
      </c>
      <c r="S529" s="1322">
        <f t="shared" si="112"/>
        <v>0</v>
      </c>
      <c r="T529" s="1322">
        <f t="shared" si="113"/>
        <v>0</v>
      </c>
    </row>
    <row r="530" spans="1:20" s="700" customFormat="1" ht="70.5" hidden="1" customHeight="1">
      <c r="A530" s="1127"/>
      <c r="B530" s="1133" t="s">
        <v>3633</v>
      </c>
      <c r="C530" s="602"/>
      <c r="D530" s="744"/>
      <c r="E530" s="1276"/>
      <c r="F530" s="1125">
        <f t="shared" si="103"/>
        <v>0</v>
      </c>
      <c r="G530" s="1199"/>
      <c r="H530" s="1125">
        <f t="shared" si="104"/>
        <v>0</v>
      </c>
      <c r="I530" s="748"/>
      <c r="J530" s="748">
        <f t="shared" si="105"/>
        <v>0</v>
      </c>
      <c r="K530" s="1199"/>
      <c r="L530" s="1125">
        <f t="shared" si="106"/>
        <v>0</v>
      </c>
      <c r="M530" s="1200"/>
      <c r="N530" s="1339">
        <f t="shared" si="107"/>
        <v>0</v>
      </c>
      <c r="O530" s="1340">
        <f t="shared" si="108"/>
        <v>0</v>
      </c>
      <c r="P530" s="1339">
        <f t="shared" si="109"/>
        <v>0</v>
      </c>
      <c r="Q530" s="1340">
        <f t="shared" si="110"/>
        <v>0</v>
      </c>
      <c r="R530" s="1339">
        <f t="shared" si="111"/>
        <v>0</v>
      </c>
    </row>
    <row r="531" spans="1:20" s="700" customFormat="1" ht="70.5" hidden="1" customHeight="1">
      <c r="A531" s="1127"/>
      <c r="B531" s="699" t="s">
        <v>2166</v>
      </c>
      <c r="C531" s="602">
        <f>Data!R1183</f>
        <v>8436.92</v>
      </c>
      <c r="D531" s="744" t="s">
        <v>2190</v>
      </c>
      <c r="E531" s="1276"/>
      <c r="F531" s="1125">
        <f t="shared" si="103"/>
        <v>0</v>
      </c>
      <c r="G531" s="1199"/>
      <c r="H531" s="1125">
        <f t="shared" si="104"/>
        <v>0</v>
      </c>
      <c r="I531" s="748"/>
      <c r="J531" s="748">
        <f t="shared" si="105"/>
        <v>0</v>
      </c>
      <c r="K531" s="1199"/>
      <c r="L531" s="1125">
        <f t="shared" si="106"/>
        <v>0</v>
      </c>
      <c r="M531" s="1200"/>
      <c r="N531" s="1339">
        <f t="shared" si="107"/>
        <v>0</v>
      </c>
      <c r="O531" s="1340">
        <f t="shared" si="108"/>
        <v>0</v>
      </c>
      <c r="P531" s="1339">
        <f t="shared" si="109"/>
        <v>0</v>
      </c>
      <c r="Q531" s="1340">
        <f t="shared" si="110"/>
        <v>0</v>
      </c>
      <c r="R531" s="1339">
        <f t="shared" si="111"/>
        <v>0</v>
      </c>
    </row>
    <row r="532" spans="1:20" s="700" customFormat="1" ht="70.5" hidden="1" customHeight="1">
      <c r="A532" s="1127"/>
      <c r="B532" s="699" t="s">
        <v>3634</v>
      </c>
      <c r="C532" s="602">
        <f>Data!R1184</f>
        <v>8561.8799999999992</v>
      </c>
      <c r="D532" s="744" t="s">
        <v>2190</v>
      </c>
      <c r="E532" s="1276"/>
      <c r="F532" s="1125">
        <f t="shared" si="103"/>
        <v>0</v>
      </c>
      <c r="G532" s="1199"/>
      <c r="H532" s="1125">
        <f t="shared" si="104"/>
        <v>0</v>
      </c>
      <c r="I532" s="748"/>
      <c r="J532" s="748">
        <f t="shared" si="105"/>
        <v>0</v>
      </c>
      <c r="K532" s="1199"/>
      <c r="L532" s="1125">
        <f t="shared" si="106"/>
        <v>0</v>
      </c>
      <c r="M532" s="1200"/>
      <c r="N532" s="1339">
        <f t="shared" si="107"/>
        <v>0</v>
      </c>
      <c r="O532" s="1340">
        <f t="shared" si="108"/>
        <v>0</v>
      </c>
      <c r="P532" s="1339">
        <f t="shared" si="109"/>
        <v>0</v>
      </c>
      <c r="Q532" s="1340">
        <f t="shared" si="110"/>
        <v>0</v>
      </c>
      <c r="R532" s="1339">
        <f t="shared" si="111"/>
        <v>0</v>
      </c>
    </row>
    <row r="533" spans="1:20" s="700" customFormat="1" ht="70.5" hidden="1" customHeight="1">
      <c r="A533" s="1127"/>
      <c r="B533" s="600" t="s">
        <v>3635</v>
      </c>
      <c r="C533" s="602"/>
      <c r="D533" s="744"/>
      <c r="E533" s="1276"/>
      <c r="F533" s="1125">
        <f t="shared" si="103"/>
        <v>0</v>
      </c>
      <c r="G533" s="1199"/>
      <c r="H533" s="1125">
        <f t="shared" si="104"/>
        <v>0</v>
      </c>
      <c r="I533" s="748"/>
      <c r="J533" s="748">
        <f t="shared" si="105"/>
        <v>0</v>
      </c>
      <c r="K533" s="1199"/>
      <c r="L533" s="1125">
        <f t="shared" si="106"/>
        <v>0</v>
      </c>
      <c r="M533" s="1200"/>
      <c r="N533" s="1339">
        <f t="shared" si="107"/>
        <v>0</v>
      </c>
      <c r="O533" s="1340">
        <f t="shared" si="108"/>
        <v>0</v>
      </c>
      <c r="P533" s="1339">
        <f t="shared" si="109"/>
        <v>0</v>
      </c>
      <c r="Q533" s="1340">
        <f t="shared" si="110"/>
        <v>0</v>
      </c>
      <c r="R533" s="1339">
        <f t="shared" si="111"/>
        <v>0</v>
      </c>
    </row>
    <row r="534" spans="1:20" s="700" customFormat="1" ht="70.5" hidden="1" customHeight="1">
      <c r="A534" s="1127"/>
      <c r="B534" s="538" t="s">
        <v>554</v>
      </c>
      <c r="C534" s="602">
        <f>Data!R1156</f>
        <v>8357.82</v>
      </c>
      <c r="D534" s="744" t="s">
        <v>1219</v>
      </c>
      <c r="E534" s="1276"/>
      <c r="F534" s="1125">
        <f t="shared" si="103"/>
        <v>0</v>
      </c>
      <c r="G534" s="1199"/>
      <c r="H534" s="1125">
        <f t="shared" si="104"/>
        <v>0</v>
      </c>
      <c r="I534" s="748"/>
      <c r="J534" s="748">
        <f t="shared" si="105"/>
        <v>0</v>
      </c>
      <c r="K534" s="1199"/>
      <c r="L534" s="1125">
        <f t="shared" si="106"/>
        <v>0</v>
      </c>
      <c r="M534" s="1200"/>
      <c r="N534" s="1339">
        <f t="shared" si="107"/>
        <v>0</v>
      </c>
      <c r="O534" s="1340">
        <f t="shared" si="108"/>
        <v>0</v>
      </c>
      <c r="P534" s="1339">
        <f t="shared" si="109"/>
        <v>0</v>
      </c>
      <c r="Q534" s="1340">
        <f t="shared" si="110"/>
        <v>0</v>
      </c>
      <c r="R534" s="1339">
        <f t="shared" si="111"/>
        <v>0</v>
      </c>
    </row>
    <row r="535" spans="1:20" s="700" customFormat="1" ht="70.5" hidden="1" customHeight="1">
      <c r="A535" s="1127"/>
      <c r="B535" s="538" t="s">
        <v>3677</v>
      </c>
      <c r="C535" s="602">
        <f>Data!R1158</f>
        <v>8482.7800000000007</v>
      </c>
      <c r="D535" s="744" t="s">
        <v>1219</v>
      </c>
      <c r="E535" s="1276"/>
      <c r="F535" s="1125">
        <f t="shared" si="103"/>
        <v>0</v>
      </c>
      <c r="G535" s="1199"/>
      <c r="H535" s="1125">
        <f t="shared" si="104"/>
        <v>0</v>
      </c>
      <c r="I535" s="748"/>
      <c r="J535" s="748">
        <f t="shared" si="105"/>
        <v>0</v>
      </c>
      <c r="K535" s="1199"/>
      <c r="L535" s="1125">
        <f t="shared" si="106"/>
        <v>0</v>
      </c>
      <c r="M535" s="1200"/>
      <c r="N535" s="1339">
        <f t="shared" si="107"/>
        <v>0</v>
      </c>
      <c r="O535" s="1340">
        <f t="shared" si="108"/>
        <v>0</v>
      </c>
      <c r="P535" s="1339">
        <f t="shared" si="109"/>
        <v>0</v>
      </c>
      <c r="Q535" s="1340">
        <f t="shared" si="110"/>
        <v>0</v>
      </c>
      <c r="R535" s="1339">
        <f t="shared" si="111"/>
        <v>0</v>
      </c>
    </row>
    <row r="536" spans="1:20" s="700" customFormat="1" ht="70.5" hidden="1" customHeight="1">
      <c r="A536" s="1127"/>
      <c r="B536" s="538" t="s">
        <v>557</v>
      </c>
      <c r="C536" s="602">
        <f>Data!R1159</f>
        <v>8728.9599999999991</v>
      </c>
      <c r="D536" s="744" t="s">
        <v>1219</v>
      </c>
      <c r="E536" s="1276"/>
      <c r="F536" s="1125">
        <f t="shared" si="103"/>
        <v>0</v>
      </c>
      <c r="G536" s="1199"/>
      <c r="H536" s="1125">
        <f t="shared" si="104"/>
        <v>0</v>
      </c>
      <c r="I536" s="748"/>
      <c r="J536" s="748">
        <f t="shared" si="105"/>
        <v>0</v>
      </c>
      <c r="K536" s="1199"/>
      <c r="L536" s="1125">
        <f t="shared" si="106"/>
        <v>0</v>
      </c>
      <c r="M536" s="1200"/>
      <c r="N536" s="1339">
        <f t="shared" si="107"/>
        <v>0</v>
      </c>
      <c r="O536" s="1340">
        <f t="shared" si="108"/>
        <v>0</v>
      </c>
      <c r="P536" s="1339">
        <f t="shared" si="109"/>
        <v>0</v>
      </c>
      <c r="Q536" s="1340">
        <f t="shared" si="110"/>
        <v>0</v>
      </c>
      <c r="R536" s="1339">
        <f t="shared" si="111"/>
        <v>0</v>
      </c>
    </row>
    <row r="537" spans="1:20" s="700" customFormat="1" ht="70.5" hidden="1" customHeight="1">
      <c r="A537" s="1127"/>
      <c r="B537" s="538" t="s">
        <v>1840</v>
      </c>
      <c r="C537" s="602">
        <f>Data!R1160</f>
        <v>8975.14</v>
      </c>
      <c r="D537" s="744" t="s">
        <v>1219</v>
      </c>
      <c r="E537" s="1276"/>
      <c r="F537" s="1125">
        <f t="shared" si="103"/>
        <v>0</v>
      </c>
      <c r="G537" s="1199"/>
      <c r="H537" s="1125">
        <f t="shared" si="104"/>
        <v>0</v>
      </c>
      <c r="I537" s="748"/>
      <c r="J537" s="748">
        <f t="shared" si="105"/>
        <v>0</v>
      </c>
      <c r="K537" s="1199"/>
      <c r="L537" s="1125">
        <f t="shared" si="106"/>
        <v>0</v>
      </c>
      <c r="M537" s="1200"/>
      <c r="N537" s="1339">
        <f t="shared" si="107"/>
        <v>0</v>
      </c>
      <c r="O537" s="1340">
        <f t="shared" si="108"/>
        <v>0</v>
      </c>
      <c r="P537" s="1339">
        <f t="shared" si="109"/>
        <v>0</v>
      </c>
      <c r="Q537" s="1340">
        <f t="shared" si="110"/>
        <v>0</v>
      </c>
      <c r="R537" s="1339">
        <f t="shared" si="111"/>
        <v>0</v>
      </c>
    </row>
    <row r="538" spans="1:20" s="700" customFormat="1" ht="70.5" hidden="1" customHeight="1">
      <c r="A538" s="1127"/>
      <c r="B538" s="538" t="s">
        <v>694</v>
      </c>
      <c r="C538" s="602">
        <f>Data!R1161</f>
        <v>9221.32</v>
      </c>
      <c r="D538" s="744" t="s">
        <v>1219</v>
      </c>
      <c r="E538" s="1276"/>
      <c r="F538" s="1125">
        <f t="shared" si="103"/>
        <v>0</v>
      </c>
      <c r="G538" s="1199"/>
      <c r="H538" s="1125">
        <f t="shared" si="104"/>
        <v>0</v>
      </c>
      <c r="I538" s="748"/>
      <c r="J538" s="748">
        <f t="shared" si="105"/>
        <v>0</v>
      </c>
      <c r="K538" s="1199"/>
      <c r="L538" s="1125">
        <f t="shared" si="106"/>
        <v>0</v>
      </c>
      <c r="M538" s="1200"/>
      <c r="N538" s="1339">
        <f t="shared" si="107"/>
        <v>0</v>
      </c>
      <c r="O538" s="1340">
        <f t="shared" si="108"/>
        <v>0</v>
      </c>
      <c r="P538" s="1339">
        <f t="shared" si="109"/>
        <v>0</v>
      </c>
      <c r="Q538" s="1340">
        <f t="shared" si="110"/>
        <v>0</v>
      </c>
      <c r="R538" s="1339">
        <f t="shared" si="111"/>
        <v>0</v>
      </c>
    </row>
    <row r="539" spans="1:20" s="700" customFormat="1" ht="70.5" hidden="1" customHeight="1">
      <c r="A539" s="1127"/>
      <c r="B539" s="538" t="s">
        <v>1085</v>
      </c>
      <c r="C539" s="602">
        <f>Data!R1162</f>
        <v>9467.5</v>
      </c>
      <c r="D539" s="744" t="s">
        <v>1219</v>
      </c>
      <c r="E539" s="1276"/>
      <c r="F539" s="1125">
        <f t="shared" si="103"/>
        <v>0</v>
      </c>
      <c r="G539" s="1199"/>
      <c r="H539" s="1125">
        <f t="shared" si="104"/>
        <v>0</v>
      </c>
      <c r="I539" s="748"/>
      <c r="J539" s="748">
        <f t="shared" si="105"/>
        <v>0</v>
      </c>
      <c r="K539" s="1199"/>
      <c r="L539" s="1125">
        <f t="shared" si="106"/>
        <v>0</v>
      </c>
      <c r="M539" s="1200"/>
      <c r="N539" s="1339">
        <f t="shared" si="107"/>
        <v>0</v>
      </c>
      <c r="O539" s="1340">
        <f t="shared" si="108"/>
        <v>0</v>
      </c>
      <c r="P539" s="1339">
        <f t="shared" si="109"/>
        <v>0</v>
      </c>
      <c r="Q539" s="1340">
        <f t="shared" si="110"/>
        <v>0</v>
      </c>
      <c r="R539" s="1339">
        <f t="shared" si="111"/>
        <v>0</v>
      </c>
    </row>
    <row r="540" spans="1:20" s="700" customFormat="1" ht="70.5" hidden="1" customHeight="1">
      <c r="A540" s="1127"/>
      <c r="B540" s="538" t="s">
        <v>3636</v>
      </c>
      <c r="C540" s="602">
        <f>Data!R1163</f>
        <v>9713.68</v>
      </c>
      <c r="D540" s="744" t="s">
        <v>1219</v>
      </c>
      <c r="E540" s="1276"/>
      <c r="F540" s="1125">
        <f t="shared" si="103"/>
        <v>0</v>
      </c>
      <c r="G540" s="1199"/>
      <c r="H540" s="1125">
        <f t="shared" si="104"/>
        <v>0</v>
      </c>
      <c r="I540" s="748"/>
      <c r="J540" s="748">
        <f t="shared" si="105"/>
        <v>0</v>
      </c>
      <c r="K540" s="1199"/>
      <c r="L540" s="1125">
        <f t="shared" si="106"/>
        <v>0</v>
      </c>
      <c r="M540" s="1200"/>
      <c r="N540" s="1339">
        <f t="shared" si="107"/>
        <v>0</v>
      </c>
      <c r="O540" s="1340">
        <f t="shared" si="108"/>
        <v>0</v>
      </c>
      <c r="P540" s="1339">
        <f t="shared" si="109"/>
        <v>0</v>
      </c>
      <c r="Q540" s="1340">
        <f t="shared" si="110"/>
        <v>0</v>
      </c>
      <c r="R540" s="1339">
        <f t="shared" si="111"/>
        <v>0</v>
      </c>
    </row>
    <row r="541" spans="1:20" s="700" customFormat="1" ht="70.5" hidden="1" customHeight="1">
      <c r="A541" s="1127"/>
      <c r="B541" s="538" t="s">
        <v>3681</v>
      </c>
      <c r="C541" s="602">
        <f>Data!R1164</f>
        <v>9959.86</v>
      </c>
      <c r="D541" s="744" t="s">
        <v>1219</v>
      </c>
      <c r="E541" s="1276"/>
      <c r="F541" s="1125">
        <f t="shared" si="103"/>
        <v>0</v>
      </c>
      <c r="G541" s="1199"/>
      <c r="H541" s="1125">
        <f t="shared" si="104"/>
        <v>0</v>
      </c>
      <c r="I541" s="748"/>
      <c r="J541" s="748">
        <f t="shared" si="105"/>
        <v>0</v>
      </c>
      <c r="K541" s="1199"/>
      <c r="L541" s="1125">
        <f t="shared" si="106"/>
        <v>0</v>
      </c>
      <c r="M541" s="1200"/>
      <c r="N541" s="1339">
        <f t="shared" si="107"/>
        <v>0</v>
      </c>
      <c r="O541" s="1340">
        <f t="shared" si="108"/>
        <v>0</v>
      </c>
      <c r="P541" s="1339">
        <f t="shared" si="109"/>
        <v>0</v>
      </c>
      <c r="Q541" s="1340">
        <f t="shared" si="110"/>
        <v>0</v>
      </c>
      <c r="R541" s="1339">
        <f t="shared" si="111"/>
        <v>0</v>
      </c>
    </row>
    <row r="542" spans="1:20" s="700" customFormat="1" ht="70.5" hidden="1" customHeight="1">
      <c r="A542" s="1127"/>
      <c r="B542" s="538" t="s">
        <v>3637</v>
      </c>
      <c r="C542" s="602">
        <f>Data!R1165</f>
        <v>10206.040000000001</v>
      </c>
      <c r="D542" s="744" t="s">
        <v>1219</v>
      </c>
      <c r="E542" s="1276"/>
      <c r="F542" s="1125">
        <f t="shared" si="103"/>
        <v>0</v>
      </c>
      <c r="G542" s="1199"/>
      <c r="H542" s="1125">
        <f t="shared" si="104"/>
        <v>0</v>
      </c>
      <c r="I542" s="748"/>
      <c r="J542" s="748">
        <f t="shared" si="105"/>
        <v>0</v>
      </c>
      <c r="K542" s="1199"/>
      <c r="L542" s="1125">
        <f t="shared" si="106"/>
        <v>0</v>
      </c>
      <c r="M542" s="1200"/>
      <c r="N542" s="1339">
        <f t="shared" si="107"/>
        <v>0</v>
      </c>
      <c r="O542" s="1340">
        <f t="shared" si="108"/>
        <v>0</v>
      </c>
      <c r="P542" s="1339">
        <f t="shared" si="109"/>
        <v>0</v>
      </c>
      <c r="Q542" s="1340">
        <f t="shared" si="110"/>
        <v>0</v>
      </c>
      <c r="R542" s="1339">
        <f t="shared" si="111"/>
        <v>0</v>
      </c>
    </row>
    <row r="543" spans="1:20" s="700" customFormat="1" ht="70.5" hidden="1" customHeight="1">
      <c r="A543" s="1127"/>
      <c r="B543" s="699" t="s">
        <v>3638</v>
      </c>
      <c r="C543" s="602">
        <f>Data!R1166</f>
        <v>10452.219999999999</v>
      </c>
      <c r="D543" s="744" t="s">
        <v>1219</v>
      </c>
      <c r="E543" s="1276"/>
      <c r="F543" s="1125">
        <f t="shared" si="103"/>
        <v>0</v>
      </c>
      <c r="G543" s="1199"/>
      <c r="H543" s="1125">
        <f t="shared" si="104"/>
        <v>0</v>
      </c>
      <c r="I543" s="748"/>
      <c r="J543" s="748">
        <f t="shared" si="105"/>
        <v>0</v>
      </c>
      <c r="K543" s="1199"/>
      <c r="L543" s="1125">
        <f t="shared" si="106"/>
        <v>0</v>
      </c>
      <c r="M543" s="1200"/>
      <c r="N543" s="1339">
        <f t="shared" si="107"/>
        <v>0</v>
      </c>
      <c r="O543" s="1340">
        <f t="shared" si="108"/>
        <v>0</v>
      </c>
      <c r="P543" s="1339">
        <f t="shared" si="109"/>
        <v>0</v>
      </c>
      <c r="Q543" s="1340">
        <f t="shared" si="110"/>
        <v>0</v>
      </c>
      <c r="R543" s="1339">
        <f t="shared" si="111"/>
        <v>0</v>
      </c>
    </row>
    <row r="544" spans="1:20" s="700" customFormat="1" ht="70.5" hidden="1" customHeight="1">
      <c r="A544" s="1127"/>
      <c r="B544" s="699" t="s">
        <v>3639</v>
      </c>
      <c r="C544" s="602">
        <f>Data!R1167</f>
        <v>10698.4</v>
      </c>
      <c r="D544" s="744" t="s">
        <v>1219</v>
      </c>
      <c r="E544" s="1276"/>
      <c r="F544" s="1125">
        <f t="shared" si="103"/>
        <v>0</v>
      </c>
      <c r="G544" s="1199"/>
      <c r="H544" s="1125">
        <f t="shared" si="104"/>
        <v>0</v>
      </c>
      <c r="I544" s="748"/>
      <c r="J544" s="748">
        <f t="shared" si="105"/>
        <v>0</v>
      </c>
      <c r="K544" s="1199"/>
      <c r="L544" s="1125">
        <f t="shared" si="106"/>
        <v>0</v>
      </c>
      <c r="M544" s="1200"/>
      <c r="N544" s="1339">
        <f t="shared" si="107"/>
        <v>0</v>
      </c>
      <c r="O544" s="1340">
        <f t="shared" si="108"/>
        <v>0</v>
      </c>
      <c r="P544" s="1339">
        <f t="shared" si="109"/>
        <v>0</v>
      </c>
      <c r="Q544" s="1340">
        <f t="shared" si="110"/>
        <v>0</v>
      </c>
      <c r="R544" s="1339">
        <f t="shared" si="111"/>
        <v>0</v>
      </c>
    </row>
    <row r="545" spans="1:18" s="700" customFormat="1" ht="70.5" hidden="1" customHeight="1">
      <c r="A545" s="1127"/>
      <c r="B545" s="699" t="s">
        <v>3640</v>
      </c>
      <c r="C545" s="602">
        <f>Data!R1168</f>
        <v>10944.58</v>
      </c>
      <c r="D545" s="744" t="s">
        <v>1219</v>
      </c>
      <c r="E545" s="1276"/>
      <c r="F545" s="1125">
        <f t="shared" si="103"/>
        <v>0</v>
      </c>
      <c r="G545" s="1199"/>
      <c r="H545" s="1125">
        <f t="shared" si="104"/>
        <v>0</v>
      </c>
      <c r="I545" s="748"/>
      <c r="J545" s="748">
        <f t="shared" si="105"/>
        <v>0</v>
      </c>
      <c r="K545" s="1199"/>
      <c r="L545" s="1125">
        <f t="shared" si="106"/>
        <v>0</v>
      </c>
      <c r="M545" s="1200"/>
      <c r="N545" s="1339">
        <f t="shared" si="107"/>
        <v>0</v>
      </c>
      <c r="O545" s="1340">
        <f t="shared" si="108"/>
        <v>0</v>
      </c>
      <c r="P545" s="1339">
        <f t="shared" si="109"/>
        <v>0</v>
      </c>
      <c r="Q545" s="1340">
        <f t="shared" si="110"/>
        <v>0</v>
      </c>
      <c r="R545" s="1339">
        <f t="shared" si="111"/>
        <v>0</v>
      </c>
    </row>
    <row r="546" spans="1:18" s="700" customFormat="1" ht="70.5" hidden="1" customHeight="1">
      <c r="A546" s="1127"/>
      <c r="B546" s="538" t="s">
        <v>3858</v>
      </c>
      <c r="C546" s="602">
        <f>Data!R1169</f>
        <v>11190.76</v>
      </c>
      <c r="D546" s="744" t="s">
        <v>1219</v>
      </c>
      <c r="E546" s="1276"/>
      <c r="F546" s="1125">
        <f t="shared" si="103"/>
        <v>0</v>
      </c>
      <c r="G546" s="1199"/>
      <c r="H546" s="1125">
        <f t="shared" si="104"/>
        <v>0</v>
      </c>
      <c r="I546" s="748"/>
      <c r="J546" s="748">
        <f t="shared" si="105"/>
        <v>0</v>
      </c>
      <c r="K546" s="1199"/>
      <c r="L546" s="1125">
        <f t="shared" si="106"/>
        <v>0</v>
      </c>
      <c r="M546" s="1200"/>
      <c r="N546" s="1339">
        <f t="shared" si="107"/>
        <v>0</v>
      </c>
      <c r="O546" s="1340">
        <f t="shared" si="108"/>
        <v>0</v>
      </c>
      <c r="P546" s="1339">
        <f t="shared" si="109"/>
        <v>0</v>
      </c>
      <c r="Q546" s="1340">
        <f t="shared" si="110"/>
        <v>0</v>
      </c>
      <c r="R546" s="1339">
        <f t="shared" si="111"/>
        <v>0</v>
      </c>
    </row>
    <row r="547" spans="1:18" s="700" customFormat="1" ht="70.5" hidden="1" customHeight="1">
      <c r="A547" s="1127"/>
      <c r="B547" s="538" t="s">
        <v>3859</v>
      </c>
      <c r="C547" s="602">
        <f>Data!R1170</f>
        <v>11436.94</v>
      </c>
      <c r="D547" s="744" t="s">
        <v>1219</v>
      </c>
      <c r="E547" s="1276"/>
      <c r="F547" s="1125">
        <f t="shared" si="103"/>
        <v>0</v>
      </c>
      <c r="G547" s="1199"/>
      <c r="H547" s="1125">
        <f t="shared" si="104"/>
        <v>0</v>
      </c>
      <c r="I547" s="748"/>
      <c r="J547" s="748">
        <f t="shared" si="105"/>
        <v>0</v>
      </c>
      <c r="K547" s="1199"/>
      <c r="L547" s="1125">
        <f t="shared" si="106"/>
        <v>0</v>
      </c>
      <c r="M547" s="1200"/>
      <c r="N547" s="1339">
        <f t="shared" si="107"/>
        <v>0</v>
      </c>
      <c r="O547" s="1340">
        <f t="shared" si="108"/>
        <v>0</v>
      </c>
      <c r="P547" s="1339">
        <f t="shared" si="109"/>
        <v>0</v>
      </c>
      <c r="Q547" s="1340">
        <f t="shared" si="110"/>
        <v>0</v>
      </c>
      <c r="R547" s="1339">
        <f t="shared" si="111"/>
        <v>0</v>
      </c>
    </row>
    <row r="548" spans="1:18" s="700" customFormat="1" ht="70.5" hidden="1" customHeight="1">
      <c r="A548" s="1127"/>
      <c r="B548" s="538" t="s">
        <v>3863</v>
      </c>
      <c r="C548" s="602">
        <f>Data!R1171</f>
        <v>11683.12</v>
      </c>
      <c r="D548" s="744" t="s">
        <v>1219</v>
      </c>
      <c r="E548" s="1276"/>
      <c r="F548" s="1125">
        <f t="shared" si="103"/>
        <v>0</v>
      </c>
      <c r="G548" s="1199"/>
      <c r="H548" s="1125">
        <f t="shared" si="104"/>
        <v>0</v>
      </c>
      <c r="I548" s="748"/>
      <c r="J548" s="748">
        <f t="shared" si="105"/>
        <v>0</v>
      </c>
      <c r="K548" s="1199"/>
      <c r="L548" s="1125">
        <f t="shared" si="106"/>
        <v>0</v>
      </c>
      <c r="M548" s="1200"/>
      <c r="N548" s="1339">
        <f t="shared" si="107"/>
        <v>0</v>
      </c>
      <c r="O548" s="1340">
        <f t="shared" si="108"/>
        <v>0</v>
      </c>
      <c r="P548" s="1339">
        <f t="shared" si="109"/>
        <v>0</v>
      </c>
      <c r="Q548" s="1340">
        <f t="shared" si="110"/>
        <v>0</v>
      </c>
      <c r="R548" s="1339">
        <f t="shared" si="111"/>
        <v>0</v>
      </c>
    </row>
    <row r="549" spans="1:18" s="700" customFormat="1" ht="99" hidden="1" customHeight="1">
      <c r="A549" s="1105">
        <v>6.2</v>
      </c>
      <c r="B549" s="600" t="s">
        <v>4928</v>
      </c>
      <c r="C549" s="743">
        <f>Data!AS73</f>
        <v>7104.8</v>
      </c>
      <c r="D549" s="744" t="s">
        <v>1219</v>
      </c>
      <c r="E549" s="1276"/>
      <c r="F549" s="1125">
        <f t="shared" si="103"/>
        <v>0</v>
      </c>
      <c r="G549" s="1199"/>
      <c r="H549" s="1125">
        <f t="shared" si="104"/>
        <v>0</v>
      </c>
      <c r="I549" s="748"/>
      <c r="J549" s="748">
        <f t="shared" si="105"/>
        <v>0</v>
      </c>
      <c r="K549" s="1199"/>
      <c r="L549" s="1125">
        <f t="shared" si="106"/>
        <v>0</v>
      </c>
      <c r="M549" s="1208"/>
      <c r="N549" s="1339">
        <f t="shared" si="107"/>
        <v>0</v>
      </c>
      <c r="O549" s="1340">
        <f t="shared" si="108"/>
        <v>0</v>
      </c>
      <c r="P549" s="1339">
        <f t="shared" si="109"/>
        <v>0</v>
      </c>
      <c r="Q549" s="1340">
        <f t="shared" si="110"/>
        <v>0</v>
      </c>
      <c r="R549" s="1339">
        <f t="shared" si="111"/>
        <v>0</v>
      </c>
    </row>
    <row r="550" spans="1:18" s="700" customFormat="1" ht="70.5" hidden="1" customHeight="1">
      <c r="A550" s="1105">
        <v>9.1999999999999993</v>
      </c>
      <c r="B550" s="600" t="s">
        <v>4915</v>
      </c>
      <c r="C550" s="602"/>
      <c r="D550" s="744"/>
      <c r="E550" s="796"/>
      <c r="F550" s="1125">
        <f t="shared" si="103"/>
        <v>0</v>
      </c>
      <c r="G550" s="1199"/>
      <c r="H550" s="1125">
        <f t="shared" si="104"/>
        <v>0</v>
      </c>
      <c r="I550" s="748"/>
      <c r="J550" s="748">
        <f t="shared" si="105"/>
        <v>0</v>
      </c>
      <c r="K550" s="1199"/>
      <c r="L550" s="1125">
        <f t="shared" si="106"/>
        <v>0</v>
      </c>
      <c r="M550" s="1208"/>
      <c r="N550" s="1339">
        <f t="shared" si="107"/>
        <v>0</v>
      </c>
      <c r="O550" s="1340">
        <f t="shared" si="108"/>
        <v>0</v>
      </c>
      <c r="P550" s="1339">
        <f t="shared" si="109"/>
        <v>0</v>
      </c>
      <c r="Q550" s="1340">
        <f t="shared" si="110"/>
        <v>0</v>
      </c>
      <c r="R550" s="1339">
        <f t="shared" si="111"/>
        <v>0</v>
      </c>
    </row>
    <row r="551" spans="1:18" s="700" customFormat="1" ht="51.75" hidden="1" customHeight="1">
      <c r="A551" s="1127"/>
      <c r="B551" s="538" t="s">
        <v>4947</v>
      </c>
      <c r="C551" s="602">
        <f>Data!AS99</f>
        <v>7114.59</v>
      </c>
      <c r="D551" s="744" t="s">
        <v>1219</v>
      </c>
      <c r="E551" s="1276"/>
      <c r="F551" s="1125">
        <f t="shared" si="103"/>
        <v>0</v>
      </c>
      <c r="G551" s="1199"/>
      <c r="H551" s="1125">
        <f t="shared" si="104"/>
        <v>0</v>
      </c>
      <c r="I551" s="748"/>
      <c r="J551" s="748">
        <f t="shared" si="105"/>
        <v>0</v>
      </c>
      <c r="K551" s="1199"/>
      <c r="L551" s="1125">
        <f t="shared" si="106"/>
        <v>0</v>
      </c>
      <c r="M551" s="1208"/>
      <c r="N551" s="1339">
        <f t="shared" si="107"/>
        <v>0</v>
      </c>
      <c r="O551" s="1340">
        <f t="shared" si="108"/>
        <v>0</v>
      </c>
      <c r="P551" s="1339">
        <f t="shared" si="109"/>
        <v>0</v>
      </c>
      <c r="Q551" s="1340">
        <f t="shared" si="110"/>
        <v>0</v>
      </c>
      <c r="R551" s="1339">
        <f t="shared" si="111"/>
        <v>0</v>
      </c>
    </row>
    <row r="552" spans="1:18" s="700" customFormat="1" ht="51.75" hidden="1" customHeight="1">
      <c r="A552" s="1127"/>
      <c r="B552" s="538" t="s">
        <v>205</v>
      </c>
      <c r="C552" s="602">
        <f>Data!AS100</f>
        <v>7280.58</v>
      </c>
      <c r="D552" s="744" t="s">
        <v>1219</v>
      </c>
      <c r="E552" s="1276"/>
      <c r="F552" s="1125">
        <f t="shared" si="103"/>
        <v>0</v>
      </c>
      <c r="G552" s="1199"/>
      <c r="H552" s="1125">
        <f t="shared" si="104"/>
        <v>0</v>
      </c>
      <c r="I552" s="748"/>
      <c r="J552" s="748">
        <f t="shared" si="105"/>
        <v>0</v>
      </c>
      <c r="K552" s="1199"/>
      <c r="L552" s="1125">
        <f t="shared" si="106"/>
        <v>0</v>
      </c>
      <c r="M552" s="1208"/>
      <c r="N552" s="1339">
        <f t="shared" si="107"/>
        <v>0</v>
      </c>
      <c r="O552" s="1340">
        <f t="shared" si="108"/>
        <v>0</v>
      </c>
      <c r="P552" s="1339">
        <f t="shared" si="109"/>
        <v>0</v>
      </c>
      <c r="Q552" s="1340">
        <f t="shared" si="110"/>
        <v>0</v>
      </c>
      <c r="R552" s="1339">
        <f t="shared" si="111"/>
        <v>0</v>
      </c>
    </row>
    <row r="553" spans="1:18" s="700" customFormat="1" ht="51.75" hidden="1" customHeight="1">
      <c r="A553" s="1127"/>
      <c r="B553" s="538" t="s">
        <v>206</v>
      </c>
      <c r="C553" s="602">
        <f>Data!AS101</f>
        <v>7446.57</v>
      </c>
      <c r="D553" s="744" t="s">
        <v>1219</v>
      </c>
      <c r="E553" s="1276"/>
      <c r="F553" s="1125">
        <f t="shared" si="103"/>
        <v>0</v>
      </c>
      <c r="G553" s="1199"/>
      <c r="H553" s="1125">
        <f t="shared" si="104"/>
        <v>0</v>
      </c>
      <c r="I553" s="748"/>
      <c r="J553" s="748">
        <f t="shared" si="105"/>
        <v>0</v>
      </c>
      <c r="K553" s="1199"/>
      <c r="L553" s="1125">
        <f t="shared" si="106"/>
        <v>0</v>
      </c>
      <c r="M553" s="1208"/>
      <c r="N553" s="1339">
        <f t="shared" si="107"/>
        <v>0</v>
      </c>
      <c r="O553" s="1340">
        <f t="shared" si="108"/>
        <v>0</v>
      </c>
      <c r="P553" s="1339">
        <f t="shared" si="109"/>
        <v>0</v>
      </c>
      <c r="Q553" s="1340">
        <f t="shared" si="110"/>
        <v>0</v>
      </c>
      <c r="R553" s="1339">
        <f t="shared" si="111"/>
        <v>0</v>
      </c>
    </row>
    <row r="554" spans="1:18" s="700" customFormat="1" ht="51.75" hidden="1" customHeight="1">
      <c r="A554" s="1127"/>
      <c r="B554" s="538" t="s">
        <v>207</v>
      </c>
      <c r="C554" s="602">
        <f>Data!AS102</f>
        <v>7612.56</v>
      </c>
      <c r="D554" s="744" t="s">
        <v>1219</v>
      </c>
      <c r="E554" s="1276"/>
      <c r="F554" s="1125">
        <f t="shared" si="103"/>
        <v>0</v>
      </c>
      <c r="G554" s="1199"/>
      <c r="H554" s="1125">
        <f t="shared" si="104"/>
        <v>0</v>
      </c>
      <c r="I554" s="748"/>
      <c r="J554" s="748">
        <f t="shared" si="105"/>
        <v>0</v>
      </c>
      <c r="K554" s="1199"/>
      <c r="L554" s="1125">
        <f t="shared" si="106"/>
        <v>0</v>
      </c>
      <c r="M554" s="1208"/>
      <c r="N554" s="1339">
        <f t="shared" si="107"/>
        <v>0</v>
      </c>
      <c r="O554" s="1340">
        <f t="shared" si="108"/>
        <v>0</v>
      </c>
      <c r="P554" s="1339">
        <f t="shared" si="109"/>
        <v>0</v>
      </c>
      <c r="Q554" s="1340">
        <f t="shared" si="110"/>
        <v>0</v>
      </c>
      <c r="R554" s="1339">
        <f t="shared" si="111"/>
        <v>0</v>
      </c>
    </row>
    <row r="555" spans="1:18" s="700" customFormat="1" ht="51.75" hidden="1" customHeight="1">
      <c r="A555" s="1127"/>
      <c r="B555" s="538" t="s">
        <v>618</v>
      </c>
      <c r="C555" s="602">
        <f>Data!AS103</f>
        <v>7778.55</v>
      </c>
      <c r="D555" s="744" t="s">
        <v>1219</v>
      </c>
      <c r="E555" s="1276"/>
      <c r="F555" s="1125">
        <f t="shared" si="103"/>
        <v>0</v>
      </c>
      <c r="G555" s="1199"/>
      <c r="H555" s="1125">
        <f t="shared" si="104"/>
        <v>0</v>
      </c>
      <c r="I555" s="748"/>
      <c r="J555" s="748">
        <f t="shared" si="105"/>
        <v>0</v>
      </c>
      <c r="K555" s="1199"/>
      <c r="L555" s="1125">
        <f t="shared" si="106"/>
        <v>0</v>
      </c>
      <c r="M555" s="1208"/>
      <c r="N555" s="1339">
        <f t="shared" si="107"/>
        <v>0</v>
      </c>
      <c r="O555" s="1340">
        <f t="shared" si="108"/>
        <v>0</v>
      </c>
      <c r="P555" s="1339">
        <f t="shared" si="109"/>
        <v>0</v>
      </c>
      <c r="Q555" s="1340">
        <f t="shared" si="110"/>
        <v>0</v>
      </c>
      <c r="R555" s="1339">
        <f t="shared" si="111"/>
        <v>0</v>
      </c>
    </row>
    <row r="556" spans="1:18" s="700" customFormat="1" ht="70.5" hidden="1" customHeight="1">
      <c r="A556" s="1127"/>
      <c r="B556" s="538" t="s">
        <v>4917</v>
      </c>
      <c r="C556" s="602">
        <f>Data!AS104</f>
        <v>7944.54</v>
      </c>
      <c r="D556" s="744" t="s">
        <v>1219</v>
      </c>
      <c r="E556" s="1276"/>
      <c r="F556" s="1125">
        <f t="shared" si="103"/>
        <v>0</v>
      </c>
      <c r="G556" s="1199"/>
      <c r="H556" s="1125">
        <f t="shared" si="104"/>
        <v>0</v>
      </c>
      <c r="I556" s="748"/>
      <c r="J556" s="748">
        <f t="shared" si="105"/>
        <v>0</v>
      </c>
      <c r="K556" s="1199"/>
      <c r="L556" s="1125">
        <f t="shared" si="106"/>
        <v>0</v>
      </c>
      <c r="M556" s="1200"/>
      <c r="N556" s="1339">
        <f t="shared" si="107"/>
        <v>0</v>
      </c>
      <c r="O556" s="1340">
        <f t="shared" si="108"/>
        <v>0</v>
      </c>
      <c r="P556" s="1339">
        <f t="shared" si="109"/>
        <v>0</v>
      </c>
      <c r="Q556" s="1340">
        <f t="shared" si="110"/>
        <v>0</v>
      </c>
      <c r="R556" s="1339">
        <f t="shared" si="111"/>
        <v>0</v>
      </c>
    </row>
    <row r="557" spans="1:18" s="700" customFormat="1" ht="70.5" hidden="1" customHeight="1">
      <c r="A557" s="1105">
        <v>10.199999999999999</v>
      </c>
      <c r="B557" s="600" t="s">
        <v>4916</v>
      </c>
      <c r="C557" s="602"/>
      <c r="D557" s="744"/>
      <c r="E557" s="796"/>
      <c r="F557" s="1125">
        <f t="shared" si="103"/>
        <v>0</v>
      </c>
      <c r="G557" s="1199"/>
      <c r="H557" s="1125">
        <f t="shared" si="104"/>
        <v>0</v>
      </c>
      <c r="I557" s="748"/>
      <c r="J557" s="748">
        <f t="shared" si="105"/>
        <v>0</v>
      </c>
      <c r="K557" s="1199"/>
      <c r="L557" s="1125">
        <f t="shared" si="106"/>
        <v>0</v>
      </c>
      <c r="M557" s="1208"/>
      <c r="N557" s="1339">
        <f t="shared" si="107"/>
        <v>0</v>
      </c>
      <c r="O557" s="1340">
        <f t="shared" si="108"/>
        <v>0</v>
      </c>
      <c r="P557" s="1339">
        <f t="shared" si="109"/>
        <v>0</v>
      </c>
      <c r="Q557" s="1340">
        <f t="shared" si="110"/>
        <v>0</v>
      </c>
      <c r="R557" s="1339">
        <f t="shared" si="111"/>
        <v>0</v>
      </c>
    </row>
    <row r="558" spans="1:18" s="700" customFormat="1" ht="70.5" hidden="1" customHeight="1">
      <c r="A558" s="1127"/>
      <c r="B558" s="538" t="s">
        <v>4929</v>
      </c>
      <c r="C558" s="602">
        <f>Data!AS153</f>
        <v>897.66</v>
      </c>
      <c r="D558" s="744" t="s">
        <v>2322</v>
      </c>
      <c r="E558" s="1276"/>
      <c r="F558" s="1125">
        <f t="shared" si="103"/>
        <v>0</v>
      </c>
      <c r="G558" s="1199"/>
      <c r="H558" s="1125">
        <f t="shared" si="104"/>
        <v>0</v>
      </c>
      <c r="I558" s="748"/>
      <c r="J558" s="748">
        <f t="shared" si="105"/>
        <v>0</v>
      </c>
      <c r="K558" s="1199"/>
      <c r="L558" s="1125">
        <f t="shared" si="106"/>
        <v>0</v>
      </c>
      <c r="M558" s="1200"/>
      <c r="N558" s="1339">
        <f t="shared" si="107"/>
        <v>0</v>
      </c>
      <c r="O558" s="1340">
        <f t="shared" si="108"/>
        <v>0</v>
      </c>
      <c r="P558" s="1339">
        <f t="shared" si="109"/>
        <v>0</v>
      </c>
      <c r="Q558" s="1340">
        <f t="shared" si="110"/>
        <v>0</v>
      </c>
      <c r="R558" s="1339">
        <f t="shared" si="111"/>
        <v>0</v>
      </c>
    </row>
    <row r="559" spans="1:18" s="700" customFormat="1" ht="51.75" hidden="1" customHeight="1">
      <c r="A559" s="1127"/>
      <c r="B559" s="538" t="s">
        <v>4948</v>
      </c>
      <c r="C559" s="602">
        <f>Data!AS155</f>
        <v>906.71</v>
      </c>
      <c r="D559" s="744" t="s">
        <v>2322</v>
      </c>
      <c r="E559" s="1276"/>
      <c r="F559" s="1125">
        <f t="shared" si="103"/>
        <v>0</v>
      </c>
      <c r="G559" s="1199"/>
      <c r="H559" s="1125">
        <f t="shared" si="104"/>
        <v>0</v>
      </c>
      <c r="I559" s="748"/>
      <c r="J559" s="748">
        <f t="shared" si="105"/>
        <v>0</v>
      </c>
      <c r="K559" s="1199"/>
      <c r="L559" s="1125">
        <f t="shared" si="106"/>
        <v>0</v>
      </c>
      <c r="M559" s="1208"/>
      <c r="N559" s="1339">
        <f t="shared" si="107"/>
        <v>0</v>
      </c>
      <c r="O559" s="1340">
        <f t="shared" si="108"/>
        <v>0</v>
      </c>
      <c r="P559" s="1339">
        <f t="shared" si="109"/>
        <v>0</v>
      </c>
      <c r="Q559" s="1340">
        <f t="shared" si="110"/>
        <v>0</v>
      </c>
      <c r="R559" s="1339">
        <f t="shared" si="111"/>
        <v>0</v>
      </c>
    </row>
    <row r="560" spans="1:18" s="700" customFormat="1" ht="51.75" hidden="1" customHeight="1">
      <c r="A560" s="1127"/>
      <c r="B560" s="538" t="s">
        <v>557</v>
      </c>
      <c r="C560" s="602">
        <f>Data!AS156</f>
        <v>924.97</v>
      </c>
      <c r="D560" s="744" t="s">
        <v>2322</v>
      </c>
      <c r="E560" s="1276"/>
      <c r="F560" s="1125">
        <f t="shared" si="103"/>
        <v>0</v>
      </c>
      <c r="G560" s="1199"/>
      <c r="H560" s="1125">
        <f t="shared" si="104"/>
        <v>0</v>
      </c>
      <c r="I560" s="748"/>
      <c r="J560" s="748">
        <f t="shared" si="105"/>
        <v>0</v>
      </c>
      <c r="K560" s="1199"/>
      <c r="L560" s="1125">
        <f t="shared" si="106"/>
        <v>0</v>
      </c>
      <c r="M560" s="1208"/>
      <c r="N560" s="1339">
        <f t="shared" si="107"/>
        <v>0</v>
      </c>
      <c r="O560" s="1340">
        <f t="shared" si="108"/>
        <v>0</v>
      </c>
      <c r="P560" s="1339">
        <f t="shared" si="109"/>
        <v>0</v>
      </c>
      <c r="Q560" s="1340">
        <f t="shared" si="110"/>
        <v>0</v>
      </c>
      <c r="R560" s="1339">
        <f t="shared" si="111"/>
        <v>0</v>
      </c>
    </row>
    <row r="561" spans="1:20" s="812" customFormat="1" ht="51.75" hidden="1" customHeight="1">
      <c r="A561" s="1132"/>
      <c r="B561" s="538" t="s">
        <v>1840</v>
      </c>
      <c r="C561" s="602">
        <f>Data!AS157</f>
        <v>943.23</v>
      </c>
      <c r="D561" s="744" t="s">
        <v>2322</v>
      </c>
      <c r="E561" s="1276"/>
      <c r="F561" s="1125">
        <f t="shared" si="103"/>
        <v>0</v>
      </c>
      <c r="G561" s="1199"/>
      <c r="H561" s="1125">
        <f t="shared" si="104"/>
        <v>0</v>
      </c>
      <c r="I561" s="748"/>
      <c r="J561" s="748">
        <f t="shared" si="105"/>
        <v>0</v>
      </c>
      <c r="K561" s="1199"/>
      <c r="L561" s="1125">
        <f t="shared" si="106"/>
        <v>0</v>
      </c>
      <c r="M561" s="1208"/>
      <c r="N561" s="1339">
        <f t="shared" si="107"/>
        <v>0</v>
      </c>
      <c r="O561" s="1340">
        <f t="shared" si="108"/>
        <v>0</v>
      </c>
      <c r="P561" s="1339">
        <f t="shared" si="109"/>
        <v>0</v>
      </c>
      <c r="Q561" s="1340">
        <f t="shared" si="110"/>
        <v>0</v>
      </c>
      <c r="R561" s="1339">
        <f t="shared" si="111"/>
        <v>0</v>
      </c>
    </row>
    <row r="562" spans="1:20" s="700" customFormat="1" ht="51.75" hidden="1" customHeight="1">
      <c r="A562" s="1127"/>
      <c r="B562" s="538" t="s">
        <v>2254</v>
      </c>
      <c r="C562" s="602">
        <f>Data!AS158</f>
        <v>961.49</v>
      </c>
      <c r="D562" s="744" t="s">
        <v>2322</v>
      </c>
      <c r="E562" s="1276"/>
      <c r="F562" s="1125">
        <f t="shared" si="103"/>
        <v>0</v>
      </c>
      <c r="G562" s="1199"/>
      <c r="H562" s="1125">
        <f t="shared" si="104"/>
        <v>0</v>
      </c>
      <c r="I562" s="748"/>
      <c r="J562" s="748">
        <f t="shared" si="105"/>
        <v>0</v>
      </c>
      <c r="K562" s="1199"/>
      <c r="L562" s="1125">
        <f t="shared" si="106"/>
        <v>0</v>
      </c>
      <c r="M562" s="1208"/>
      <c r="N562" s="1339">
        <f t="shared" si="107"/>
        <v>0</v>
      </c>
      <c r="O562" s="1340">
        <f t="shared" si="108"/>
        <v>0</v>
      </c>
      <c r="P562" s="1339">
        <f t="shared" si="109"/>
        <v>0</v>
      </c>
      <c r="Q562" s="1340">
        <f t="shared" si="110"/>
        <v>0</v>
      </c>
      <c r="R562" s="1339">
        <f t="shared" si="111"/>
        <v>0</v>
      </c>
    </row>
    <row r="563" spans="1:20" s="700" customFormat="1" ht="51.75" hidden="1" customHeight="1">
      <c r="A563" s="1127"/>
      <c r="B563" s="538" t="s">
        <v>1085</v>
      </c>
      <c r="C563" s="602">
        <f>Data!AS159</f>
        <v>979.75</v>
      </c>
      <c r="D563" s="744" t="s">
        <v>2322</v>
      </c>
      <c r="E563" s="1276"/>
      <c r="F563" s="1125">
        <f t="shared" si="103"/>
        <v>0</v>
      </c>
      <c r="G563" s="1199"/>
      <c r="H563" s="1125">
        <f t="shared" si="104"/>
        <v>0</v>
      </c>
      <c r="I563" s="748"/>
      <c r="J563" s="748">
        <f t="shared" si="105"/>
        <v>0</v>
      </c>
      <c r="K563" s="1199"/>
      <c r="L563" s="1125">
        <f t="shared" si="106"/>
        <v>0</v>
      </c>
      <c r="M563" s="1208"/>
      <c r="N563" s="1339">
        <f t="shared" si="107"/>
        <v>0</v>
      </c>
      <c r="O563" s="1340">
        <f t="shared" si="108"/>
        <v>0</v>
      </c>
      <c r="P563" s="1339">
        <f t="shared" si="109"/>
        <v>0</v>
      </c>
      <c r="Q563" s="1340">
        <f t="shared" si="110"/>
        <v>0</v>
      </c>
      <c r="R563" s="1339">
        <f t="shared" si="111"/>
        <v>0</v>
      </c>
    </row>
    <row r="564" spans="1:20" s="700" customFormat="1" ht="70.5" hidden="1" customHeight="1">
      <c r="A564" s="1127"/>
      <c r="B564" s="538" t="s">
        <v>3636</v>
      </c>
      <c r="C564" s="602">
        <f>Data!AS160</f>
        <v>0</v>
      </c>
      <c r="D564" s="744" t="s">
        <v>2322</v>
      </c>
      <c r="E564" s="1276"/>
      <c r="F564" s="1125">
        <f t="shared" si="103"/>
        <v>0</v>
      </c>
      <c r="G564" s="1199"/>
      <c r="H564" s="1125">
        <f t="shared" si="104"/>
        <v>0</v>
      </c>
      <c r="I564" s="748"/>
      <c r="J564" s="748">
        <f t="shared" si="105"/>
        <v>0</v>
      </c>
      <c r="K564" s="1199"/>
      <c r="L564" s="1125">
        <f t="shared" si="106"/>
        <v>0</v>
      </c>
      <c r="M564" s="1200"/>
      <c r="N564" s="1339">
        <f t="shared" si="107"/>
        <v>0</v>
      </c>
      <c r="O564" s="1340">
        <f t="shared" si="108"/>
        <v>0</v>
      </c>
      <c r="P564" s="1339">
        <f t="shared" si="109"/>
        <v>0</v>
      </c>
      <c r="Q564" s="1340">
        <f t="shared" si="110"/>
        <v>0</v>
      </c>
      <c r="R564" s="1339">
        <f t="shared" si="111"/>
        <v>0</v>
      </c>
    </row>
    <row r="565" spans="1:20" s="700" customFormat="1" ht="70.5" hidden="1" customHeight="1">
      <c r="A565" s="1105">
        <v>11.2</v>
      </c>
      <c r="B565" s="600" t="s">
        <v>4931</v>
      </c>
      <c r="C565" s="602"/>
      <c r="D565" s="744"/>
      <c r="E565" s="796"/>
      <c r="F565" s="1125">
        <f t="shared" si="103"/>
        <v>0</v>
      </c>
      <c r="G565" s="1199"/>
      <c r="H565" s="1125">
        <f t="shared" si="104"/>
        <v>0</v>
      </c>
      <c r="I565" s="748"/>
      <c r="J565" s="748">
        <f t="shared" si="105"/>
        <v>0</v>
      </c>
      <c r="K565" s="1199"/>
      <c r="L565" s="1125">
        <f t="shared" si="106"/>
        <v>0</v>
      </c>
      <c r="M565" s="1208"/>
      <c r="N565" s="1339">
        <f t="shared" si="107"/>
        <v>0</v>
      </c>
      <c r="O565" s="1340">
        <f t="shared" si="108"/>
        <v>0</v>
      </c>
      <c r="P565" s="1339">
        <f t="shared" si="109"/>
        <v>0</v>
      </c>
      <c r="Q565" s="1340">
        <f t="shared" si="110"/>
        <v>0</v>
      </c>
      <c r="R565" s="1339">
        <f t="shared" si="111"/>
        <v>0</v>
      </c>
    </row>
    <row r="566" spans="1:20" s="700" customFormat="1" ht="51.75" hidden="1" customHeight="1">
      <c r="A566" s="1127"/>
      <c r="B566" s="538" t="s">
        <v>4947</v>
      </c>
      <c r="C566" s="602">
        <f>Data!AS187</f>
        <v>614.88</v>
      </c>
      <c r="D566" s="744" t="s">
        <v>2322</v>
      </c>
      <c r="E566" s="1276"/>
      <c r="F566" s="1125">
        <f t="shared" si="103"/>
        <v>0</v>
      </c>
      <c r="G566" s="1199"/>
      <c r="H566" s="1125">
        <f t="shared" si="104"/>
        <v>0</v>
      </c>
      <c r="I566" s="748"/>
      <c r="J566" s="748">
        <f t="shared" si="105"/>
        <v>0</v>
      </c>
      <c r="K566" s="1199"/>
      <c r="L566" s="1125">
        <f t="shared" si="106"/>
        <v>0</v>
      </c>
      <c r="M566" s="1208"/>
      <c r="N566" s="1339">
        <f t="shared" si="107"/>
        <v>0</v>
      </c>
      <c r="O566" s="1340">
        <f t="shared" si="108"/>
        <v>0</v>
      </c>
      <c r="P566" s="1339">
        <f t="shared" si="109"/>
        <v>0</v>
      </c>
      <c r="Q566" s="1340">
        <f t="shared" si="110"/>
        <v>0</v>
      </c>
      <c r="R566" s="1339">
        <f t="shared" si="111"/>
        <v>0</v>
      </c>
    </row>
    <row r="567" spans="1:20" s="700" customFormat="1" ht="51.75" hidden="1" customHeight="1">
      <c r="A567" s="1127"/>
      <c r="B567" s="538" t="s">
        <v>205</v>
      </c>
      <c r="C567" s="602">
        <f>Data!AS188</f>
        <v>626.5</v>
      </c>
      <c r="D567" s="744" t="s">
        <v>2322</v>
      </c>
      <c r="E567" s="1276"/>
      <c r="F567" s="1125">
        <f t="shared" si="103"/>
        <v>0</v>
      </c>
      <c r="G567" s="1199"/>
      <c r="H567" s="1125">
        <f t="shared" si="104"/>
        <v>0</v>
      </c>
      <c r="I567" s="748"/>
      <c r="J567" s="748">
        <f t="shared" si="105"/>
        <v>0</v>
      </c>
      <c r="K567" s="1199"/>
      <c r="L567" s="1125">
        <f t="shared" si="106"/>
        <v>0</v>
      </c>
      <c r="M567" s="1208"/>
      <c r="N567" s="1339">
        <f t="shared" si="107"/>
        <v>0</v>
      </c>
      <c r="O567" s="1340">
        <f t="shared" si="108"/>
        <v>0</v>
      </c>
      <c r="P567" s="1339">
        <f t="shared" si="109"/>
        <v>0</v>
      </c>
      <c r="Q567" s="1340">
        <f t="shared" si="110"/>
        <v>0</v>
      </c>
      <c r="R567" s="1339">
        <f t="shared" si="111"/>
        <v>0</v>
      </c>
    </row>
    <row r="568" spans="1:20" s="700" customFormat="1" ht="51.75" hidden="1" customHeight="1">
      <c r="A568" s="1127"/>
      <c r="B568" s="538" t="s">
        <v>206</v>
      </c>
      <c r="C568" s="602">
        <f>Data!AS189</f>
        <v>638.12</v>
      </c>
      <c r="D568" s="744" t="s">
        <v>2322</v>
      </c>
      <c r="E568" s="1276"/>
      <c r="F568" s="1125">
        <f t="shared" si="103"/>
        <v>0</v>
      </c>
      <c r="G568" s="1199"/>
      <c r="H568" s="1125">
        <f t="shared" si="104"/>
        <v>0</v>
      </c>
      <c r="I568" s="748"/>
      <c r="J568" s="748">
        <f t="shared" si="105"/>
        <v>0</v>
      </c>
      <c r="K568" s="1199"/>
      <c r="L568" s="1125">
        <f t="shared" si="106"/>
        <v>0</v>
      </c>
      <c r="M568" s="1208"/>
      <c r="N568" s="1339">
        <f t="shared" si="107"/>
        <v>0</v>
      </c>
      <c r="O568" s="1340">
        <f t="shared" si="108"/>
        <v>0</v>
      </c>
      <c r="P568" s="1339">
        <f t="shared" si="109"/>
        <v>0</v>
      </c>
      <c r="Q568" s="1340">
        <f t="shared" si="110"/>
        <v>0</v>
      </c>
      <c r="R568" s="1339">
        <f t="shared" si="111"/>
        <v>0</v>
      </c>
    </row>
    <row r="569" spans="1:20" s="700" customFormat="1" ht="51.75" hidden="1" customHeight="1">
      <c r="A569" s="1127"/>
      <c r="B569" s="538" t="s">
        <v>207</v>
      </c>
      <c r="C569" s="602">
        <f>Data!AS190</f>
        <v>649.74</v>
      </c>
      <c r="D569" s="744" t="s">
        <v>2322</v>
      </c>
      <c r="E569" s="1276"/>
      <c r="F569" s="1125">
        <f t="shared" si="103"/>
        <v>0</v>
      </c>
      <c r="G569" s="1199"/>
      <c r="H569" s="1125">
        <f t="shared" si="104"/>
        <v>0</v>
      </c>
      <c r="I569" s="748"/>
      <c r="J569" s="748">
        <f t="shared" si="105"/>
        <v>0</v>
      </c>
      <c r="K569" s="1199"/>
      <c r="L569" s="1125">
        <f t="shared" si="106"/>
        <v>0</v>
      </c>
      <c r="M569" s="1208"/>
      <c r="N569" s="1339">
        <f t="shared" si="107"/>
        <v>0</v>
      </c>
      <c r="O569" s="1340">
        <f t="shared" si="108"/>
        <v>0</v>
      </c>
      <c r="P569" s="1339">
        <f t="shared" si="109"/>
        <v>0</v>
      </c>
      <c r="Q569" s="1340">
        <f t="shared" si="110"/>
        <v>0</v>
      </c>
      <c r="R569" s="1339">
        <f t="shared" si="111"/>
        <v>0</v>
      </c>
    </row>
    <row r="570" spans="1:20" s="700" customFormat="1" ht="70.5" hidden="1" customHeight="1">
      <c r="A570" s="1127"/>
      <c r="B570" s="538" t="s">
        <v>618</v>
      </c>
      <c r="C570" s="602">
        <f>Data!AS191</f>
        <v>661.36</v>
      </c>
      <c r="D570" s="744" t="s">
        <v>2322</v>
      </c>
      <c r="E570" s="1276"/>
      <c r="F570" s="1125">
        <f t="shared" si="103"/>
        <v>0</v>
      </c>
      <c r="G570" s="1199"/>
      <c r="H570" s="1125">
        <f t="shared" si="104"/>
        <v>0</v>
      </c>
      <c r="I570" s="748"/>
      <c r="J570" s="748">
        <f t="shared" si="105"/>
        <v>0</v>
      </c>
      <c r="K570" s="1199"/>
      <c r="L570" s="1125">
        <f t="shared" si="106"/>
        <v>0</v>
      </c>
      <c r="M570" s="1200"/>
      <c r="N570" s="1339">
        <f t="shared" si="107"/>
        <v>0</v>
      </c>
      <c r="O570" s="1340">
        <f t="shared" si="108"/>
        <v>0</v>
      </c>
      <c r="P570" s="1339">
        <f t="shared" si="109"/>
        <v>0</v>
      </c>
      <c r="Q570" s="1340">
        <f t="shared" si="110"/>
        <v>0</v>
      </c>
      <c r="R570" s="1339">
        <f t="shared" si="111"/>
        <v>0</v>
      </c>
    </row>
    <row r="571" spans="1:20" s="700" customFormat="1" ht="59.25" hidden="1" customHeight="1">
      <c r="A571" s="1127"/>
      <c r="B571" s="538" t="s">
        <v>3882</v>
      </c>
      <c r="C571" s="1111">
        <f>Data!K3515</f>
        <v>3627.75</v>
      </c>
      <c r="D571" s="744" t="s">
        <v>2190</v>
      </c>
      <c r="E571" s="1276"/>
      <c r="F571" s="1125">
        <f t="shared" si="103"/>
        <v>0</v>
      </c>
      <c r="G571" s="1199"/>
      <c r="H571" s="1125">
        <f t="shared" si="104"/>
        <v>0</v>
      </c>
      <c r="I571" s="748"/>
      <c r="J571" s="748">
        <f t="shared" si="105"/>
        <v>0</v>
      </c>
      <c r="K571" s="1199"/>
      <c r="L571" s="1125">
        <f t="shared" si="106"/>
        <v>0</v>
      </c>
      <c r="M571" s="1200"/>
      <c r="N571" s="1339">
        <f t="shared" si="107"/>
        <v>0</v>
      </c>
      <c r="O571" s="1340">
        <f t="shared" si="108"/>
        <v>0</v>
      </c>
      <c r="P571" s="1339">
        <f t="shared" si="109"/>
        <v>0</v>
      </c>
      <c r="Q571" s="1340">
        <f t="shared" si="110"/>
        <v>0</v>
      </c>
      <c r="R571" s="1339">
        <f t="shared" si="111"/>
        <v>0</v>
      </c>
    </row>
    <row r="572" spans="1:20" ht="50.25" customHeight="1">
      <c r="A572" s="1486"/>
      <c r="B572" s="1348" t="s">
        <v>4578</v>
      </c>
      <c r="C572" s="1111">
        <f>Data!R154</f>
        <v>327.64999999999998</v>
      </c>
      <c r="D572" s="1110" t="s">
        <v>1219</v>
      </c>
      <c r="E572" s="1336">
        <v>1401</v>
      </c>
      <c r="F572" s="1125">
        <f t="shared" si="103"/>
        <v>459037.65</v>
      </c>
      <c r="G572" s="1335"/>
      <c r="H572" s="1125">
        <f t="shared" si="104"/>
        <v>0</v>
      </c>
      <c r="I572" s="1312"/>
      <c r="J572" s="1406">
        <f t="shared" si="105"/>
        <v>0</v>
      </c>
      <c r="K572" s="1335"/>
      <c r="L572" s="1125">
        <f t="shared" si="106"/>
        <v>0</v>
      </c>
      <c r="M572" s="1343"/>
      <c r="N572" s="1339">
        <f t="shared" si="107"/>
        <v>0</v>
      </c>
      <c r="O572" s="1340">
        <f t="shared" si="108"/>
        <v>0</v>
      </c>
      <c r="P572" s="1339">
        <f t="shared" si="109"/>
        <v>0</v>
      </c>
      <c r="Q572" s="1340">
        <f t="shared" si="110"/>
        <v>1401</v>
      </c>
      <c r="R572" s="1339">
        <f t="shared" si="111"/>
        <v>459037.65</v>
      </c>
      <c r="S572" s="1322">
        <f t="shared" ref="S572:S573" si="114">F572+P572</f>
        <v>459037.65</v>
      </c>
      <c r="T572" s="1322">
        <f t="shared" ref="T572:T573" si="115">S572-R572</f>
        <v>0</v>
      </c>
    </row>
    <row r="573" spans="1:20" ht="50.25" customHeight="1">
      <c r="A573" s="1156"/>
      <c r="B573" s="1198" t="s">
        <v>3774</v>
      </c>
      <c r="C573" s="1111">
        <f>Data!K1442</f>
        <v>283.77</v>
      </c>
      <c r="D573" s="1110" t="s">
        <v>2322</v>
      </c>
      <c r="E573" s="1336">
        <v>149.5</v>
      </c>
      <c r="F573" s="1125">
        <f t="shared" si="103"/>
        <v>42423.62</v>
      </c>
      <c r="G573" s="1335">
        <v>67.7</v>
      </c>
      <c r="H573" s="1125">
        <f t="shared" si="104"/>
        <v>19211.23</v>
      </c>
      <c r="I573" s="1312"/>
      <c r="J573" s="1406">
        <f t="shared" si="105"/>
        <v>0</v>
      </c>
      <c r="K573" s="1335"/>
      <c r="L573" s="1125">
        <f t="shared" si="106"/>
        <v>0</v>
      </c>
      <c r="M573" s="1340"/>
      <c r="N573" s="1339">
        <f t="shared" si="107"/>
        <v>0</v>
      </c>
      <c r="O573" s="1340">
        <f t="shared" si="108"/>
        <v>67.7</v>
      </c>
      <c r="P573" s="1339">
        <f t="shared" si="109"/>
        <v>19211.23</v>
      </c>
      <c r="Q573" s="1340">
        <f t="shared" si="110"/>
        <v>217.2</v>
      </c>
      <c r="R573" s="1339">
        <f t="shared" si="111"/>
        <v>61634.84</v>
      </c>
      <c r="S573" s="1322">
        <f t="shared" si="114"/>
        <v>61634.85</v>
      </c>
      <c r="T573" s="1322">
        <f t="shared" si="115"/>
        <v>0.01</v>
      </c>
    </row>
    <row r="574" spans="1:20" s="815" customFormat="1" ht="70.5" hidden="1" customHeight="1">
      <c r="A574" s="1436"/>
      <c r="B574" s="1415" t="s">
        <v>3772</v>
      </c>
      <c r="C574" s="1415">
        <f>Data!R144</f>
        <v>407.22</v>
      </c>
      <c r="D574" s="1415" t="s">
        <v>2190</v>
      </c>
      <c r="E574" s="1278"/>
      <c r="F574" s="1125">
        <f t="shared" si="103"/>
        <v>0</v>
      </c>
      <c r="G574" s="1273"/>
      <c r="H574" s="1125">
        <f t="shared" si="104"/>
        <v>0</v>
      </c>
      <c r="I574" s="748"/>
      <c r="J574" s="748">
        <f t="shared" si="105"/>
        <v>0</v>
      </c>
      <c r="K574" s="1273"/>
      <c r="L574" s="1125">
        <f t="shared" si="106"/>
        <v>0</v>
      </c>
      <c r="M574" s="1419"/>
      <c r="N574" s="1339">
        <f t="shared" si="107"/>
        <v>0</v>
      </c>
      <c r="O574" s="1340">
        <f t="shared" si="108"/>
        <v>0</v>
      </c>
      <c r="P574" s="1339">
        <f t="shared" si="109"/>
        <v>0</v>
      </c>
      <c r="Q574" s="1340">
        <f t="shared" si="110"/>
        <v>0</v>
      </c>
      <c r="R574" s="1339">
        <f t="shared" si="111"/>
        <v>0</v>
      </c>
    </row>
    <row r="575" spans="1:20" s="812" customFormat="1" ht="70.5" hidden="1" customHeight="1">
      <c r="A575" s="1134"/>
      <c r="B575" s="1108" t="s">
        <v>4580</v>
      </c>
      <c r="C575" s="1111">
        <f>Data!K368</f>
        <v>7117.82</v>
      </c>
      <c r="D575" s="1110" t="s">
        <v>2190</v>
      </c>
      <c r="E575" s="1276"/>
      <c r="F575" s="1125">
        <f t="shared" si="103"/>
        <v>0</v>
      </c>
      <c r="G575" s="1199"/>
      <c r="H575" s="1125">
        <f t="shared" si="104"/>
        <v>0</v>
      </c>
      <c r="I575" s="748"/>
      <c r="J575" s="748">
        <f t="shared" si="105"/>
        <v>0</v>
      </c>
      <c r="K575" s="1199"/>
      <c r="L575" s="1125">
        <f t="shared" si="106"/>
        <v>0</v>
      </c>
      <c r="M575" s="1200"/>
      <c r="N575" s="1339">
        <f t="shared" si="107"/>
        <v>0</v>
      </c>
      <c r="O575" s="1340">
        <f t="shared" si="108"/>
        <v>0</v>
      </c>
      <c r="P575" s="1339">
        <f t="shared" si="109"/>
        <v>0</v>
      </c>
      <c r="Q575" s="1340">
        <f t="shared" si="110"/>
        <v>0</v>
      </c>
      <c r="R575" s="1339">
        <f t="shared" si="111"/>
        <v>0</v>
      </c>
    </row>
    <row r="576" spans="1:20" s="700" customFormat="1" ht="70.5" hidden="1" customHeight="1">
      <c r="A576" s="1135"/>
      <c r="B576" s="538" t="s">
        <v>4581</v>
      </c>
      <c r="C576" s="602">
        <f>Data!K369</f>
        <v>7283.81</v>
      </c>
      <c r="D576" s="1136" t="s">
        <v>2190</v>
      </c>
      <c r="E576" s="1276"/>
      <c r="F576" s="1125">
        <f t="shared" si="103"/>
        <v>0</v>
      </c>
      <c r="G576" s="1199"/>
      <c r="H576" s="1125">
        <f t="shared" si="104"/>
        <v>0</v>
      </c>
      <c r="I576" s="748"/>
      <c r="J576" s="748">
        <f t="shared" si="105"/>
        <v>0</v>
      </c>
      <c r="K576" s="1199"/>
      <c r="L576" s="1125">
        <f t="shared" si="106"/>
        <v>0</v>
      </c>
      <c r="M576" s="1200"/>
      <c r="N576" s="1339">
        <f t="shared" si="107"/>
        <v>0</v>
      </c>
      <c r="O576" s="1340">
        <f t="shared" si="108"/>
        <v>0</v>
      </c>
      <c r="P576" s="1339">
        <f t="shared" si="109"/>
        <v>0</v>
      </c>
      <c r="Q576" s="1340">
        <f t="shared" si="110"/>
        <v>0</v>
      </c>
      <c r="R576" s="1339">
        <f t="shared" si="111"/>
        <v>0</v>
      </c>
    </row>
    <row r="577" spans="1:18" s="812" customFormat="1" ht="70.5" hidden="1" customHeight="1">
      <c r="A577" s="1134"/>
      <c r="B577" s="1108" t="s">
        <v>4579</v>
      </c>
      <c r="C577" s="1111">
        <f>Data!$K$370</f>
        <v>7449.8</v>
      </c>
      <c r="D577" s="1110" t="s">
        <v>2190</v>
      </c>
      <c r="E577" s="1276"/>
      <c r="F577" s="1125">
        <f t="shared" si="103"/>
        <v>0</v>
      </c>
      <c r="G577" s="1199"/>
      <c r="H577" s="1125">
        <f t="shared" si="104"/>
        <v>0</v>
      </c>
      <c r="I577" s="748"/>
      <c r="J577" s="748">
        <f t="shared" si="105"/>
        <v>0</v>
      </c>
      <c r="K577" s="1199"/>
      <c r="L577" s="1125">
        <f t="shared" si="106"/>
        <v>0</v>
      </c>
      <c r="M577" s="1200"/>
      <c r="N577" s="1339">
        <f t="shared" si="107"/>
        <v>0</v>
      </c>
      <c r="O577" s="1340">
        <f t="shared" si="108"/>
        <v>0</v>
      </c>
      <c r="P577" s="1339">
        <f t="shared" si="109"/>
        <v>0</v>
      </c>
      <c r="Q577" s="1340">
        <f t="shared" si="110"/>
        <v>0</v>
      </c>
      <c r="R577" s="1339">
        <f t="shared" si="111"/>
        <v>0</v>
      </c>
    </row>
    <row r="578" spans="1:18" s="812" customFormat="1" ht="70.5" hidden="1" customHeight="1">
      <c r="A578" s="1134"/>
      <c r="B578" s="1108" t="s">
        <v>4582</v>
      </c>
      <c r="C578" s="1111">
        <f>Data!K371</f>
        <v>7615.79</v>
      </c>
      <c r="D578" s="1110" t="s">
        <v>2190</v>
      </c>
      <c r="E578" s="1276"/>
      <c r="F578" s="1125">
        <f t="shared" si="103"/>
        <v>0</v>
      </c>
      <c r="G578" s="1199"/>
      <c r="H578" s="1125">
        <f t="shared" si="104"/>
        <v>0</v>
      </c>
      <c r="I578" s="748"/>
      <c r="J578" s="748">
        <f t="shared" si="105"/>
        <v>0</v>
      </c>
      <c r="K578" s="1199"/>
      <c r="L578" s="1125">
        <f t="shared" si="106"/>
        <v>0</v>
      </c>
      <c r="M578" s="1200"/>
      <c r="N578" s="1339">
        <f t="shared" si="107"/>
        <v>0</v>
      </c>
      <c r="O578" s="1340">
        <f t="shared" si="108"/>
        <v>0</v>
      </c>
      <c r="P578" s="1339">
        <f t="shared" si="109"/>
        <v>0</v>
      </c>
      <c r="Q578" s="1340">
        <f t="shared" si="110"/>
        <v>0</v>
      </c>
      <c r="R578" s="1339">
        <f t="shared" si="111"/>
        <v>0</v>
      </c>
    </row>
    <row r="579" spans="1:18" s="700" customFormat="1" ht="70.5" hidden="1" customHeight="1">
      <c r="A579" s="601"/>
      <c r="B579" s="538" t="s">
        <v>4118</v>
      </c>
      <c r="C579" s="602">
        <f>Data!X88</f>
        <v>168</v>
      </c>
      <c r="D579" s="744"/>
      <c r="E579" s="1276"/>
      <c r="F579" s="1125">
        <f t="shared" si="103"/>
        <v>0</v>
      </c>
      <c r="G579" s="1199"/>
      <c r="H579" s="1125">
        <f t="shared" si="104"/>
        <v>0</v>
      </c>
      <c r="I579" s="748"/>
      <c r="J579" s="748">
        <f t="shared" si="105"/>
        <v>0</v>
      </c>
      <c r="K579" s="1199"/>
      <c r="L579" s="1125">
        <f t="shared" si="106"/>
        <v>0</v>
      </c>
      <c r="M579" s="1200"/>
      <c r="N579" s="1339">
        <f t="shared" si="107"/>
        <v>0</v>
      </c>
      <c r="O579" s="1340">
        <f t="shared" si="108"/>
        <v>0</v>
      </c>
      <c r="P579" s="1339">
        <f t="shared" si="109"/>
        <v>0</v>
      </c>
      <c r="Q579" s="1340">
        <f t="shared" si="110"/>
        <v>0</v>
      </c>
      <c r="R579" s="1339">
        <f t="shared" si="111"/>
        <v>0</v>
      </c>
    </row>
    <row r="580" spans="1:18" s="700" customFormat="1" ht="70.5" hidden="1" customHeight="1">
      <c r="A580" s="601"/>
      <c r="B580" s="538" t="s">
        <v>4119</v>
      </c>
      <c r="C580" s="602">
        <f>Data!X118</f>
        <v>78.05</v>
      </c>
      <c r="D580" s="744"/>
      <c r="E580" s="1276"/>
      <c r="F580" s="1125">
        <f t="shared" si="103"/>
        <v>0</v>
      </c>
      <c r="G580" s="1199"/>
      <c r="H580" s="1125">
        <f t="shared" si="104"/>
        <v>0</v>
      </c>
      <c r="I580" s="748"/>
      <c r="J580" s="748">
        <f t="shared" si="105"/>
        <v>0</v>
      </c>
      <c r="K580" s="1199"/>
      <c r="L580" s="1125">
        <f t="shared" si="106"/>
        <v>0</v>
      </c>
      <c r="M580" s="1200"/>
      <c r="N580" s="1339">
        <f t="shared" si="107"/>
        <v>0</v>
      </c>
      <c r="O580" s="1340">
        <f t="shared" si="108"/>
        <v>0</v>
      </c>
      <c r="P580" s="1339">
        <f t="shared" si="109"/>
        <v>0</v>
      </c>
      <c r="Q580" s="1340">
        <f t="shared" si="110"/>
        <v>0</v>
      </c>
      <c r="R580" s="1339">
        <f t="shared" si="111"/>
        <v>0</v>
      </c>
    </row>
    <row r="581" spans="1:18" s="700" customFormat="1" ht="70.5" hidden="1" customHeight="1">
      <c r="A581" s="601"/>
      <c r="B581" s="538" t="s">
        <v>4120</v>
      </c>
      <c r="C581" s="602">
        <f>Data!X133</f>
        <v>117.08</v>
      </c>
      <c r="D581" s="744"/>
      <c r="E581" s="1276"/>
      <c r="F581" s="1125">
        <f t="shared" si="103"/>
        <v>0</v>
      </c>
      <c r="G581" s="1199"/>
      <c r="H581" s="1125">
        <f t="shared" si="104"/>
        <v>0</v>
      </c>
      <c r="I581" s="748"/>
      <c r="J581" s="748">
        <f t="shared" si="105"/>
        <v>0</v>
      </c>
      <c r="K581" s="1199"/>
      <c r="L581" s="1125">
        <f t="shared" si="106"/>
        <v>0</v>
      </c>
      <c r="M581" s="1200"/>
      <c r="N581" s="1339">
        <f t="shared" si="107"/>
        <v>0</v>
      </c>
      <c r="O581" s="1340">
        <f t="shared" si="108"/>
        <v>0</v>
      </c>
      <c r="P581" s="1339">
        <f t="shared" si="109"/>
        <v>0</v>
      </c>
      <c r="Q581" s="1340">
        <f t="shared" si="110"/>
        <v>0</v>
      </c>
      <c r="R581" s="1339">
        <f t="shared" si="111"/>
        <v>0</v>
      </c>
    </row>
    <row r="582" spans="1:18" s="700" customFormat="1" ht="70.5" hidden="1" customHeight="1">
      <c r="A582" s="1127">
        <v>8.4</v>
      </c>
      <c r="B582" s="600" t="s">
        <v>237</v>
      </c>
      <c r="C582" s="602"/>
      <c r="D582" s="744"/>
      <c r="E582" s="1276"/>
      <c r="F582" s="1125">
        <f t="shared" si="103"/>
        <v>0</v>
      </c>
      <c r="G582" s="1199"/>
      <c r="H582" s="1125">
        <f t="shared" si="104"/>
        <v>0</v>
      </c>
      <c r="I582" s="748"/>
      <c r="J582" s="748">
        <f t="shared" si="105"/>
        <v>0</v>
      </c>
      <c r="K582" s="1199"/>
      <c r="L582" s="1125">
        <f t="shared" si="106"/>
        <v>0</v>
      </c>
      <c r="M582" s="1200"/>
      <c r="N582" s="1339">
        <f t="shared" si="107"/>
        <v>0</v>
      </c>
      <c r="O582" s="1340">
        <f t="shared" si="108"/>
        <v>0</v>
      </c>
      <c r="P582" s="1339">
        <f t="shared" si="109"/>
        <v>0</v>
      </c>
      <c r="Q582" s="1340">
        <f t="shared" si="110"/>
        <v>0</v>
      </c>
      <c r="R582" s="1339">
        <f t="shared" si="111"/>
        <v>0</v>
      </c>
    </row>
    <row r="583" spans="1:18" s="700" customFormat="1" ht="70.5" hidden="1" customHeight="1">
      <c r="A583" s="1127"/>
      <c r="B583" s="538" t="s">
        <v>2166</v>
      </c>
      <c r="C583" s="602">
        <f>ROUND(Data!K2911,2)</f>
        <v>7325.65</v>
      </c>
      <c r="D583" s="744" t="s">
        <v>2190</v>
      </c>
      <c r="E583" s="1276"/>
      <c r="F583" s="1125">
        <f t="shared" ref="F583:F646" si="116">E583*C583</f>
        <v>0</v>
      </c>
      <c r="G583" s="1199"/>
      <c r="H583" s="1125">
        <f t="shared" ref="H583:H646" si="117">G583*C583</f>
        <v>0</v>
      </c>
      <c r="I583" s="748"/>
      <c r="J583" s="748">
        <f t="shared" ref="J583:J648" si="118">I583*C583</f>
        <v>0</v>
      </c>
      <c r="K583" s="1199"/>
      <c r="L583" s="1125">
        <f t="shared" ref="L583:L646" si="119">K583*C583</f>
        <v>0</v>
      </c>
      <c r="M583" s="1200"/>
      <c r="N583" s="1339">
        <f t="shared" ref="N583:N646" si="120">M583*C583</f>
        <v>0</v>
      </c>
      <c r="O583" s="1340">
        <f t="shared" ref="O583:O646" si="121">G583+K583+M583</f>
        <v>0</v>
      </c>
      <c r="P583" s="1339">
        <f t="shared" ref="P583:P646" si="122">O583*C583</f>
        <v>0</v>
      </c>
      <c r="Q583" s="1340">
        <f t="shared" ref="Q583:Q646" si="123">O583+E583</f>
        <v>0</v>
      </c>
      <c r="R583" s="1339">
        <f t="shared" ref="R583:R646" si="124">Q583*C583</f>
        <v>0</v>
      </c>
    </row>
    <row r="584" spans="1:18" s="700" customFormat="1" ht="70.5" hidden="1" customHeight="1">
      <c r="A584" s="1127"/>
      <c r="B584" s="538" t="s">
        <v>2167</v>
      </c>
      <c r="C584" s="602">
        <f>ROUND(Data!K2913,2)</f>
        <v>7450.61</v>
      </c>
      <c r="D584" s="744" t="s">
        <v>2190</v>
      </c>
      <c r="E584" s="1276"/>
      <c r="F584" s="1125">
        <f t="shared" si="116"/>
        <v>0</v>
      </c>
      <c r="G584" s="1199"/>
      <c r="H584" s="1125">
        <f t="shared" si="117"/>
        <v>0</v>
      </c>
      <c r="I584" s="748"/>
      <c r="J584" s="748">
        <f t="shared" si="118"/>
        <v>0</v>
      </c>
      <c r="K584" s="1199"/>
      <c r="L584" s="1125">
        <f t="shared" si="119"/>
        <v>0</v>
      </c>
      <c r="M584" s="1200"/>
      <c r="N584" s="1339">
        <f t="shared" si="120"/>
        <v>0</v>
      </c>
      <c r="O584" s="1340">
        <f t="shared" si="121"/>
        <v>0</v>
      </c>
      <c r="P584" s="1339">
        <f t="shared" si="122"/>
        <v>0</v>
      </c>
      <c r="Q584" s="1340">
        <f t="shared" si="123"/>
        <v>0</v>
      </c>
      <c r="R584" s="1339">
        <f t="shared" si="124"/>
        <v>0</v>
      </c>
    </row>
    <row r="585" spans="1:18" s="700" customFormat="1" ht="70.5" hidden="1" customHeight="1">
      <c r="A585" s="1127"/>
      <c r="B585" s="538" t="s">
        <v>2168</v>
      </c>
      <c r="C585" s="602">
        <f>ROUND(Data!K2914,2)</f>
        <v>7696.79</v>
      </c>
      <c r="D585" s="744" t="s">
        <v>2190</v>
      </c>
      <c r="E585" s="1276"/>
      <c r="F585" s="1125">
        <f t="shared" si="116"/>
        <v>0</v>
      </c>
      <c r="G585" s="1199"/>
      <c r="H585" s="1125">
        <f t="shared" si="117"/>
        <v>0</v>
      </c>
      <c r="I585" s="748"/>
      <c r="J585" s="748">
        <f t="shared" si="118"/>
        <v>0</v>
      </c>
      <c r="K585" s="1199"/>
      <c r="L585" s="1125">
        <f t="shared" si="119"/>
        <v>0</v>
      </c>
      <c r="M585" s="1200"/>
      <c r="N585" s="1339">
        <f t="shared" si="120"/>
        <v>0</v>
      </c>
      <c r="O585" s="1340">
        <f t="shared" si="121"/>
        <v>0</v>
      </c>
      <c r="P585" s="1339">
        <f t="shared" si="122"/>
        <v>0</v>
      </c>
      <c r="Q585" s="1340">
        <f t="shared" si="123"/>
        <v>0</v>
      </c>
      <c r="R585" s="1339">
        <f t="shared" si="124"/>
        <v>0</v>
      </c>
    </row>
    <row r="586" spans="1:18" s="700" customFormat="1" ht="70.5" hidden="1" customHeight="1">
      <c r="A586" s="601"/>
      <c r="B586" s="538" t="s">
        <v>2169</v>
      </c>
      <c r="C586" s="602">
        <f>ROUND(Data!K2915,2)</f>
        <v>7942.97</v>
      </c>
      <c r="D586" s="744" t="s">
        <v>2190</v>
      </c>
      <c r="E586" s="1276"/>
      <c r="F586" s="1125">
        <f t="shared" si="116"/>
        <v>0</v>
      </c>
      <c r="G586" s="1199"/>
      <c r="H586" s="1125">
        <f t="shared" si="117"/>
        <v>0</v>
      </c>
      <c r="I586" s="748"/>
      <c r="J586" s="748">
        <f t="shared" si="118"/>
        <v>0</v>
      </c>
      <c r="K586" s="1199"/>
      <c r="L586" s="1125">
        <f t="shared" si="119"/>
        <v>0</v>
      </c>
      <c r="M586" s="1200"/>
      <c r="N586" s="1339">
        <f t="shared" si="120"/>
        <v>0</v>
      </c>
      <c r="O586" s="1340">
        <f t="shared" si="121"/>
        <v>0</v>
      </c>
      <c r="P586" s="1339">
        <f t="shared" si="122"/>
        <v>0</v>
      </c>
      <c r="Q586" s="1340">
        <f t="shared" si="123"/>
        <v>0</v>
      </c>
      <c r="R586" s="1339">
        <f t="shared" si="124"/>
        <v>0</v>
      </c>
    </row>
    <row r="587" spans="1:18" s="700" customFormat="1" ht="70.5" hidden="1" customHeight="1">
      <c r="A587" s="1127">
        <v>8.5</v>
      </c>
      <c r="B587" s="600" t="s">
        <v>1724</v>
      </c>
      <c r="C587" s="602"/>
      <c r="D587" s="744"/>
      <c r="E587" s="1276"/>
      <c r="F587" s="1125">
        <f t="shared" si="116"/>
        <v>0</v>
      </c>
      <c r="G587" s="1199"/>
      <c r="H587" s="1125">
        <f t="shared" si="117"/>
        <v>0</v>
      </c>
      <c r="I587" s="748"/>
      <c r="J587" s="748">
        <f t="shared" si="118"/>
        <v>0</v>
      </c>
      <c r="K587" s="1199"/>
      <c r="L587" s="1125">
        <f t="shared" si="119"/>
        <v>0</v>
      </c>
      <c r="M587" s="1200"/>
      <c r="N587" s="1339">
        <f t="shared" si="120"/>
        <v>0</v>
      </c>
      <c r="O587" s="1340">
        <f t="shared" si="121"/>
        <v>0</v>
      </c>
      <c r="P587" s="1339">
        <f t="shared" si="122"/>
        <v>0</v>
      </c>
      <c r="Q587" s="1340">
        <f t="shared" si="123"/>
        <v>0</v>
      </c>
      <c r="R587" s="1339">
        <f t="shared" si="124"/>
        <v>0</v>
      </c>
    </row>
    <row r="588" spans="1:18" s="700" customFormat="1" ht="70.5" hidden="1" customHeight="1">
      <c r="A588" s="1127"/>
      <c r="B588" s="538" t="s">
        <v>238</v>
      </c>
      <c r="C588" s="602">
        <f>ROUND(Data!K2931,2)</f>
        <v>710.21</v>
      </c>
      <c r="D588" s="744" t="s">
        <v>842</v>
      </c>
      <c r="E588" s="1276"/>
      <c r="F588" s="1125">
        <f t="shared" si="116"/>
        <v>0</v>
      </c>
      <c r="G588" s="1199"/>
      <c r="H588" s="1125">
        <f t="shared" si="117"/>
        <v>0</v>
      </c>
      <c r="I588" s="748"/>
      <c r="J588" s="748">
        <f t="shared" si="118"/>
        <v>0</v>
      </c>
      <c r="K588" s="1199"/>
      <c r="L588" s="1125">
        <f t="shared" si="119"/>
        <v>0</v>
      </c>
      <c r="M588" s="1200"/>
      <c r="N588" s="1339">
        <f t="shared" si="120"/>
        <v>0</v>
      </c>
      <c r="O588" s="1340">
        <f t="shared" si="121"/>
        <v>0</v>
      </c>
      <c r="P588" s="1339">
        <f t="shared" si="122"/>
        <v>0</v>
      </c>
      <c r="Q588" s="1340">
        <f t="shared" si="123"/>
        <v>0</v>
      </c>
      <c r="R588" s="1339">
        <f t="shared" si="124"/>
        <v>0</v>
      </c>
    </row>
    <row r="589" spans="1:18" s="700" customFormat="1" ht="70.5" hidden="1" customHeight="1">
      <c r="A589" s="1127"/>
      <c r="B589" s="538" t="s">
        <v>239</v>
      </c>
      <c r="C589" s="602">
        <f>ROUND(Data!K2940,2)</f>
        <v>714.43</v>
      </c>
      <c r="D589" s="744" t="s">
        <v>842</v>
      </c>
      <c r="E589" s="1276"/>
      <c r="F589" s="1125">
        <f t="shared" si="116"/>
        <v>0</v>
      </c>
      <c r="G589" s="1199"/>
      <c r="H589" s="1125">
        <f t="shared" si="117"/>
        <v>0</v>
      </c>
      <c r="I589" s="748"/>
      <c r="J589" s="748">
        <f t="shared" si="118"/>
        <v>0</v>
      </c>
      <c r="K589" s="1199"/>
      <c r="L589" s="1125">
        <f t="shared" si="119"/>
        <v>0</v>
      </c>
      <c r="M589" s="1200"/>
      <c r="N589" s="1339">
        <f t="shared" si="120"/>
        <v>0</v>
      </c>
      <c r="O589" s="1340">
        <f t="shared" si="121"/>
        <v>0</v>
      </c>
      <c r="P589" s="1339">
        <f t="shared" si="122"/>
        <v>0</v>
      </c>
      <c r="Q589" s="1340">
        <f t="shared" si="123"/>
        <v>0</v>
      </c>
      <c r="R589" s="1339">
        <f t="shared" si="124"/>
        <v>0</v>
      </c>
    </row>
    <row r="590" spans="1:18" s="700" customFormat="1" ht="70.5" hidden="1" customHeight="1">
      <c r="A590" s="1105"/>
      <c r="B590" s="538" t="s">
        <v>240</v>
      </c>
      <c r="C590" s="602">
        <f>ROUND(Data!K2950,2)</f>
        <v>718.65</v>
      </c>
      <c r="D590" s="744" t="s">
        <v>842</v>
      </c>
      <c r="E590" s="1276"/>
      <c r="F590" s="1125">
        <f t="shared" si="116"/>
        <v>0</v>
      </c>
      <c r="G590" s="1199"/>
      <c r="H590" s="1125">
        <f t="shared" si="117"/>
        <v>0</v>
      </c>
      <c r="I590" s="748"/>
      <c r="J590" s="748">
        <f t="shared" si="118"/>
        <v>0</v>
      </c>
      <c r="K590" s="1199"/>
      <c r="L590" s="1125">
        <f t="shared" si="119"/>
        <v>0</v>
      </c>
      <c r="M590" s="1200"/>
      <c r="N590" s="1339">
        <f t="shared" si="120"/>
        <v>0</v>
      </c>
      <c r="O590" s="1340">
        <f t="shared" si="121"/>
        <v>0</v>
      </c>
      <c r="P590" s="1339">
        <f t="shared" si="122"/>
        <v>0</v>
      </c>
      <c r="Q590" s="1340">
        <f t="shared" si="123"/>
        <v>0</v>
      </c>
      <c r="R590" s="1339">
        <f t="shared" si="124"/>
        <v>0</v>
      </c>
    </row>
    <row r="591" spans="1:18" s="700" customFormat="1" ht="90" customHeight="1">
      <c r="A591" s="601"/>
      <c r="B591" s="600" t="s">
        <v>6136</v>
      </c>
      <c r="C591" s="601"/>
      <c r="D591" s="601"/>
      <c r="E591" s="1100"/>
      <c r="F591" s="1125">
        <f t="shared" si="116"/>
        <v>0</v>
      </c>
      <c r="G591" s="1199"/>
      <c r="H591" s="1125">
        <f t="shared" si="117"/>
        <v>0</v>
      </c>
      <c r="I591" s="748"/>
      <c r="J591" s="1407">
        <f t="shared" si="118"/>
        <v>0</v>
      </c>
      <c r="K591" s="1199"/>
      <c r="L591" s="1125">
        <f t="shared" si="119"/>
        <v>0</v>
      </c>
      <c r="M591" s="1200"/>
      <c r="N591" s="1339">
        <f t="shared" si="120"/>
        <v>0</v>
      </c>
      <c r="O591" s="1340">
        <f t="shared" si="121"/>
        <v>0</v>
      </c>
      <c r="P591" s="1339">
        <f t="shared" si="122"/>
        <v>0</v>
      </c>
      <c r="Q591" s="1341" t="s">
        <v>2290</v>
      </c>
      <c r="R591" s="1339"/>
    </row>
    <row r="592" spans="1:18" s="700" customFormat="1" ht="70.5" hidden="1" customHeight="1">
      <c r="A592" s="1433"/>
      <c r="B592" s="1420" t="s">
        <v>4300</v>
      </c>
      <c r="C592" s="1415">
        <f>'pile data '!F17</f>
        <v>3258.07</v>
      </c>
      <c r="D592" s="1415" t="s">
        <v>842</v>
      </c>
      <c r="E592" s="1278"/>
      <c r="F592" s="1125">
        <f t="shared" si="116"/>
        <v>0</v>
      </c>
      <c r="G592" s="1273"/>
      <c r="H592" s="1125">
        <f t="shared" si="117"/>
        <v>0</v>
      </c>
      <c r="I592" s="748"/>
      <c r="J592" s="748">
        <f t="shared" si="118"/>
        <v>0</v>
      </c>
      <c r="K592" s="1273"/>
      <c r="L592" s="1125">
        <f t="shared" si="119"/>
        <v>0</v>
      </c>
      <c r="M592" s="1412"/>
      <c r="N592" s="1339">
        <f t="shared" si="120"/>
        <v>0</v>
      </c>
      <c r="O592" s="1340">
        <f t="shared" si="121"/>
        <v>0</v>
      </c>
      <c r="P592" s="1339">
        <f t="shared" si="122"/>
        <v>0</v>
      </c>
      <c r="Q592" s="1340">
        <f t="shared" si="123"/>
        <v>0</v>
      </c>
      <c r="R592" s="1339">
        <f t="shared" si="124"/>
        <v>0</v>
      </c>
    </row>
    <row r="593" spans="1:20" s="700" customFormat="1" ht="60.75" customHeight="1">
      <c r="A593" s="601"/>
      <c r="B593" s="600" t="s">
        <v>4301</v>
      </c>
      <c r="C593" s="538">
        <f>'pile data ( M30 grade) (2)'!F81</f>
        <v>2543.31</v>
      </c>
      <c r="D593" s="538" t="s">
        <v>842</v>
      </c>
      <c r="E593" s="1100">
        <v>1738</v>
      </c>
      <c r="F593" s="1125">
        <f t="shared" si="116"/>
        <v>4420272.78</v>
      </c>
      <c r="G593" s="1199"/>
      <c r="H593" s="1125">
        <f t="shared" si="117"/>
        <v>0</v>
      </c>
      <c r="I593" s="748"/>
      <c r="J593" s="1407">
        <f t="shared" si="118"/>
        <v>0</v>
      </c>
      <c r="K593" s="1199"/>
      <c r="L593" s="1125">
        <f t="shared" si="119"/>
        <v>0</v>
      </c>
      <c r="M593" s="1200"/>
      <c r="N593" s="1339">
        <f t="shared" si="120"/>
        <v>0</v>
      </c>
      <c r="O593" s="1340">
        <f t="shared" si="121"/>
        <v>0</v>
      </c>
      <c r="P593" s="1339">
        <f t="shared" si="122"/>
        <v>0</v>
      </c>
      <c r="Q593" s="1340">
        <f t="shared" si="123"/>
        <v>1738</v>
      </c>
      <c r="R593" s="1339">
        <f t="shared" si="124"/>
        <v>4420272.78</v>
      </c>
    </row>
    <row r="594" spans="1:20" s="700" customFormat="1" ht="70.5" hidden="1" customHeight="1">
      <c r="A594" s="1414"/>
      <c r="B594" s="1420" t="s">
        <v>4302</v>
      </c>
      <c r="C594" s="1415">
        <f>'pile data '!F141</f>
        <v>2495.96</v>
      </c>
      <c r="D594" s="1415" t="s">
        <v>842</v>
      </c>
      <c r="E594" s="1278"/>
      <c r="F594" s="1125">
        <f t="shared" si="116"/>
        <v>0</v>
      </c>
      <c r="G594" s="1273"/>
      <c r="H594" s="1125">
        <f t="shared" si="117"/>
        <v>0</v>
      </c>
      <c r="I594" s="748"/>
      <c r="J594" s="748">
        <f t="shared" si="118"/>
        <v>0</v>
      </c>
      <c r="K594" s="1273"/>
      <c r="L594" s="1125">
        <f t="shared" si="119"/>
        <v>0</v>
      </c>
      <c r="M594" s="1412"/>
      <c r="N594" s="1339">
        <f t="shared" si="120"/>
        <v>0</v>
      </c>
      <c r="O594" s="1340">
        <f t="shared" si="121"/>
        <v>0</v>
      </c>
      <c r="P594" s="1339">
        <f t="shared" si="122"/>
        <v>0</v>
      </c>
      <c r="Q594" s="1340">
        <f t="shared" si="123"/>
        <v>0</v>
      </c>
      <c r="R594" s="1339">
        <f t="shared" si="124"/>
        <v>0</v>
      </c>
    </row>
    <row r="595" spans="1:20" s="700" customFormat="1" ht="96.75" customHeight="1">
      <c r="A595" s="1105"/>
      <c r="B595" s="1137" t="s">
        <v>6114</v>
      </c>
      <c r="C595" s="602"/>
      <c r="D595" s="744"/>
      <c r="E595" s="1100"/>
      <c r="F595" s="1125">
        <f t="shared" si="116"/>
        <v>0</v>
      </c>
      <c r="G595" s="1199"/>
      <c r="H595" s="1125">
        <f t="shared" si="117"/>
        <v>0</v>
      </c>
      <c r="I595" s="748"/>
      <c r="J595" s="1407">
        <f t="shared" si="118"/>
        <v>0</v>
      </c>
      <c r="K595" s="1199"/>
      <c r="L595" s="1125">
        <f t="shared" si="119"/>
        <v>0</v>
      </c>
      <c r="M595" s="1200"/>
      <c r="N595" s="1339">
        <f t="shared" si="120"/>
        <v>0</v>
      </c>
      <c r="O595" s="1340">
        <f t="shared" si="121"/>
        <v>0</v>
      </c>
      <c r="P595" s="1339">
        <f t="shared" si="122"/>
        <v>0</v>
      </c>
      <c r="Q595" s="1341" t="s">
        <v>2290</v>
      </c>
      <c r="R595" s="1339"/>
    </row>
    <row r="596" spans="1:20" s="700" customFormat="1" ht="70.5" hidden="1" customHeight="1">
      <c r="A596" s="1414"/>
      <c r="B596" s="1420" t="s">
        <v>4300</v>
      </c>
      <c r="C596" s="1271">
        <f>'pile data '!F17</f>
        <v>3258.07</v>
      </c>
      <c r="D596" s="1437" t="s">
        <v>842</v>
      </c>
      <c r="E596" s="1278"/>
      <c r="F596" s="1125">
        <f t="shared" si="116"/>
        <v>0</v>
      </c>
      <c r="G596" s="1273"/>
      <c r="H596" s="1125">
        <f t="shared" si="117"/>
        <v>0</v>
      </c>
      <c r="I596" s="748"/>
      <c r="J596" s="748">
        <f t="shared" si="118"/>
        <v>0</v>
      </c>
      <c r="K596" s="1273"/>
      <c r="L596" s="1125">
        <f t="shared" si="119"/>
        <v>0</v>
      </c>
      <c r="M596" s="1412"/>
      <c r="N596" s="1339">
        <f t="shared" si="120"/>
        <v>0</v>
      </c>
      <c r="O596" s="1340">
        <f t="shared" si="121"/>
        <v>0</v>
      </c>
      <c r="P596" s="1339">
        <f t="shared" si="122"/>
        <v>0</v>
      </c>
      <c r="Q596" s="1340">
        <f t="shared" si="123"/>
        <v>0</v>
      </c>
      <c r="R596" s="1339">
        <f t="shared" si="124"/>
        <v>0</v>
      </c>
    </row>
    <row r="597" spans="1:20" s="700" customFormat="1" ht="48.75" customHeight="1">
      <c r="A597" s="1105"/>
      <c r="B597" s="600" t="s">
        <v>4301</v>
      </c>
      <c r="C597" s="602">
        <f>'pile data ( M30 grade) (2)'!F92</f>
        <v>1126.6600000000001</v>
      </c>
      <c r="D597" s="744"/>
      <c r="E597" s="1100">
        <v>59.3</v>
      </c>
      <c r="F597" s="1125">
        <f t="shared" si="116"/>
        <v>66810.94</v>
      </c>
      <c r="G597" s="1199"/>
      <c r="H597" s="1125">
        <f t="shared" si="117"/>
        <v>0</v>
      </c>
      <c r="I597" s="748"/>
      <c r="J597" s="1407">
        <f t="shared" si="118"/>
        <v>0</v>
      </c>
      <c r="K597" s="1199"/>
      <c r="L597" s="1125">
        <f t="shared" si="119"/>
        <v>0</v>
      </c>
      <c r="M597" s="1200"/>
      <c r="N597" s="1339">
        <f t="shared" si="120"/>
        <v>0</v>
      </c>
      <c r="O597" s="1340">
        <f t="shared" si="121"/>
        <v>0</v>
      </c>
      <c r="P597" s="1339">
        <f t="shared" si="122"/>
        <v>0</v>
      </c>
      <c r="Q597" s="1340">
        <f t="shared" si="123"/>
        <v>59.3</v>
      </c>
      <c r="R597" s="1339">
        <f t="shared" si="124"/>
        <v>66810.94</v>
      </c>
    </row>
    <row r="598" spans="1:20" s="700" customFormat="1" ht="70.5" hidden="1" customHeight="1">
      <c r="A598" s="1414"/>
      <c r="B598" s="1420" t="s">
        <v>4302</v>
      </c>
      <c r="C598" s="1271">
        <f>'pile data '!F152</f>
        <v>816.25</v>
      </c>
      <c r="D598" s="1437" t="s">
        <v>842</v>
      </c>
      <c r="E598" s="1278"/>
      <c r="F598" s="1125">
        <f t="shared" si="116"/>
        <v>0</v>
      </c>
      <c r="G598" s="1273"/>
      <c r="H598" s="1125">
        <f t="shared" si="117"/>
        <v>0</v>
      </c>
      <c r="I598" s="748"/>
      <c r="J598" s="748">
        <f t="shared" si="118"/>
        <v>0</v>
      </c>
      <c r="K598" s="1273"/>
      <c r="L598" s="1125">
        <f t="shared" si="119"/>
        <v>0</v>
      </c>
      <c r="M598" s="1412"/>
      <c r="N598" s="1339">
        <f t="shared" si="120"/>
        <v>0</v>
      </c>
      <c r="O598" s="1340">
        <f t="shared" si="121"/>
        <v>0</v>
      </c>
      <c r="P598" s="1339">
        <f t="shared" si="122"/>
        <v>0</v>
      </c>
      <c r="Q598" s="1340">
        <f t="shared" si="123"/>
        <v>0</v>
      </c>
      <c r="R598" s="1339">
        <f t="shared" si="124"/>
        <v>0</v>
      </c>
    </row>
    <row r="599" spans="1:20" s="700" customFormat="1" ht="70.5" customHeight="1">
      <c r="A599" s="1105"/>
      <c r="B599" s="1137" t="s">
        <v>3861</v>
      </c>
      <c r="C599" s="1502">
        <v>70000</v>
      </c>
      <c r="D599" s="1139" t="s">
        <v>1457</v>
      </c>
      <c r="E599" s="1100">
        <v>1</v>
      </c>
      <c r="F599" s="1125">
        <f t="shared" si="116"/>
        <v>70000</v>
      </c>
      <c r="G599" s="1199"/>
      <c r="H599" s="1125">
        <f t="shared" si="117"/>
        <v>0</v>
      </c>
      <c r="I599" s="748"/>
      <c r="J599" s="1407">
        <f t="shared" si="118"/>
        <v>0</v>
      </c>
      <c r="K599" s="1199"/>
      <c r="L599" s="1125">
        <f t="shared" si="119"/>
        <v>0</v>
      </c>
      <c r="M599" s="1200"/>
      <c r="N599" s="1339">
        <f t="shared" si="120"/>
        <v>0</v>
      </c>
      <c r="O599" s="1340">
        <f t="shared" si="121"/>
        <v>0</v>
      </c>
      <c r="P599" s="1339">
        <f t="shared" si="122"/>
        <v>0</v>
      </c>
      <c r="Q599" s="1340">
        <f t="shared" si="123"/>
        <v>1</v>
      </c>
      <c r="R599" s="1339">
        <f t="shared" si="124"/>
        <v>70000</v>
      </c>
    </row>
    <row r="600" spans="1:20" s="700" customFormat="1" ht="70.5" customHeight="1">
      <c r="A600" s="1105"/>
      <c r="B600" s="1137" t="s">
        <v>3862</v>
      </c>
      <c r="C600" s="1502">
        <v>50000</v>
      </c>
      <c r="D600" s="1139" t="s">
        <v>286</v>
      </c>
      <c r="E600" s="1100">
        <v>1</v>
      </c>
      <c r="F600" s="1125">
        <f t="shared" si="116"/>
        <v>50000</v>
      </c>
      <c r="G600" s="1199"/>
      <c r="H600" s="1125">
        <f t="shared" si="117"/>
        <v>0</v>
      </c>
      <c r="I600" s="748"/>
      <c r="J600" s="1407">
        <f t="shared" si="118"/>
        <v>0</v>
      </c>
      <c r="K600" s="1199"/>
      <c r="L600" s="1125">
        <f t="shared" si="119"/>
        <v>0</v>
      </c>
      <c r="M600" s="1200"/>
      <c r="N600" s="1339">
        <f t="shared" si="120"/>
        <v>0</v>
      </c>
      <c r="O600" s="1340">
        <f t="shared" si="121"/>
        <v>0</v>
      </c>
      <c r="P600" s="1339">
        <f t="shared" si="122"/>
        <v>0</v>
      </c>
      <c r="Q600" s="1340">
        <f t="shared" si="123"/>
        <v>1</v>
      </c>
      <c r="R600" s="1339">
        <f t="shared" si="124"/>
        <v>50000</v>
      </c>
    </row>
    <row r="601" spans="1:20" s="700" customFormat="1" ht="70.5" hidden="1" customHeight="1">
      <c r="A601" s="1414"/>
      <c r="B601" s="1438" t="s">
        <v>3865</v>
      </c>
      <c r="C601" s="1271">
        <f>Data!K2448</f>
        <v>784.92</v>
      </c>
      <c r="D601" s="1439" t="s">
        <v>2322</v>
      </c>
      <c r="E601" s="1278"/>
      <c r="F601" s="1125">
        <f t="shared" si="116"/>
        <v>0</v>
      </c>
      <c r="G601" s="1273"/>
      <c r="H601" s="1125">
        <f t="shared" si="117"/>
        <v>0</v>
      </c>
      <c r="I601" s="748"/>
      <c r="J601" s="748">
        <f t="shared" si="118"/>
        <v>0</v>
      </c>
      <c r="K601" s="1273"/>
      <c r="L601" s="1125">
        <f t="shared" si="119"/>
        <v>0</v>
      </c>
      <c r="M601" s="1412"/>
      <c r="N601" s="1339">
        <f t="shared" si="120"/>
        <v>0</v>
      </c>
      <c r="O601" s="1340">
        <f t="shared" si="121"/>
        <v>0</v>
      </c>
      <c r="P601" s="1339">
        <f t="shared" si="122"/>
        <v>0</v>
      </c>
      <c r="Q601" s="1340">
        <f t="shared" si="123"/>
        <v>0</v>
      </c>
      <c r="R601" s="1339">
        <f t="shared" si="124"/>
        <v>0</v>
      </c>
    </row>
    <row r="602" spans="1:20" s="700" customFormat="1" ht="70.5" hidden="1" customHeight="1">
      <c r="A602" s="1140">
        <v>3.8</v>
      </c>
      <c r="B602" s="1129" t="s">
        <v>4584</v>
      </c>
      <c r="C602" s="1129">
        <f>Data!R204</f>
        <v>5781.86</v>
      </c>
      <c r="D602" s="1141" t="s">
        <v>2190</v>
      </c>
      <c r="E602" s="1276"/>
      <c r="F602" s="1125">
        <f t="shared" si="116"/>
        <v>0</v>
      </c>
      <c r="G602" s="1199"/>
      <c r="H602" s="1125">
        <f t="shared" si="117"/>
        <v>0</v>
      </c>
      <c r="I602" s="748"/>
      <c r="J602" s="748">
        <f t="shared" si="118"/>
        <v>0</v>
      </c>
      <c r="K602" s="1199"/>
      <c r="L602" s="1125">
        <f t="shared" si="119"/>
        <v>0</v>
      </c>
      <c r="M602" s="1200"/>
      <c r="N602" s="1339">
        <f t="shared" si="120"/>
        <v>0</v>
      </c>
      <c r="O602" s="1340">
        <f t="shared" si="121"/>
        <v>0</v>
      </c>
      <c r="P602" s="1339">
        <f t="shared" si="122"/>
        <v>0</v>
      </c>
      <c r="Q602" s="1340">
        <f t="shared" si="123"/>
        <v>0</v>
      </c>
      <c r="R602" s="1339">
        <f t="shared" si="124"/>
        <v>0</v>
      </c>
    </row>
    <row r="603" spans="1:20" s="700" customFormat="1" ht="41.25" hidden="1" customHeight="1">
      <c r="A603" s="1142">
        <v>3.3</v>
      </c>
      <c r="B603" s="1129" t="s">
        <v>4583</v>
      </c>
      <c r="C603" s="1129">
        <f>Data!R240</f>
        <v>5084</v>
      </c>
      <c r="D603" s="1141" t="s">
        <v>2190</v>
      </c>
      <c r="E603" s="1276"/>
      <c r="F603" s="1125">
        <f t="shared" si="116"/>
        <v>0</v>
      </c>
      <c r="G603" s="1199"/>
      <c r="H603" s="1125">
        <f t="shared" si="117"/>
        <v>0</v>
      </c>
      <c r="I603" s="748"/>
      <c r="J603" s="748">
        <f t="shared" si="118"/>
        <v>0</v>
      </c>
      <c r="K603" s="1199"/>
      <c r="L603" s="1125">
        <f t="shared" si="119"/>
        <v>0</v>
      </c>
      <c r="M603" s="1200"/>
      <c r="N603" s="1339">
        <f t="shared" si="120"/>
        <v>0</v>
      </c>
      <c r="O603" s="1340">
        <f t="shared" si="121"/>
        <v>0</v>
      </c>
      <c r="P603" s="1339">
        <f t="shared" si="122"/>
        <v>0</v>
      </c>
      <c r="Q603" s="1340">
        <f t="shared" si="123"/>
        <v>0</v>
      </c>
      <c r="R603" s="1339">
        <f t="shared" si="124"/>
        <v>0</v>
      </c>
      <c r="S603" s="700">
        <f>F603+P603</f>
        <v>0</v>
      </c>
      <c r="T603" s="700">
        <f>S603-R603</f>
        <v>0</v>
      </c>
    </row>
    <row r="604" spans="1:20" s="700" customFormat="1" ht="70.5" hidden="1" customHeight="1">
      <c r="A604" s="1142"/>
      <c r="B604" s="1129" t="s">
        <v>3594</v>
      </c>
      <c r="C604" s="1129">
        <f>Data!X204</f>
        <v>5410.16</v>
      </c>
      <c r="D604" s="1139" t="s">
        <v>2190</v>
      </c>
      <c r="E604" s="1276"/>
      <c r="F604" s="1125">
        <f t="shared" si="116"/>
        <v>0</v>
      </c>
      <c r="G604" s="1199"/>
      <c r="H604" s="1125">
        <f t="shared" si="117"/>
        <v>0</v>
      </c>
      <c r="I604" s="748"/>
      <c r="J604" s="748">
        <f t="shared" si="118"/>
        <v>0</v>
      </c>
      <c r="K604" s="1199"/>
      <c r="L604" s="1125">
        <f t="shared" si="119"/>
        <v>0</v>
      </c>
      <c r="M604" s="1200"/>
      <c r="N604" s="1339">
        <f t="shared" si="120"/>
        <v>0</v>
      </c>
      <c r="O604" s="1340">
        <f t="shared" si="121"/>
        <v>0</v>
      </c>
      <c r="P604" s="1339">
        <f t="shared" si="122"/>
        <v>0</v>
      </c>
      <c r="Q604" s="1340">
        <f t="shared" si="123"/>
        <v>0</v>
      </c>
      <c r="R604" s="1339">
        <f t="shared" si="124"/>
        <v>0</v>
      </c>
    </row>
    <row r="605" spans="1:20" ht="41.25" customHeight="1">
      <c r="A605" s="1486">
        <v>18.100000000000001</v>
      </c>
      <c r="B605" s="1344" t="s">
        <v>199</v>
      </c>
      <c r="C605" s="1111"/>
      <c r="D605" s="1110"/>
      <c r="E605" s="1109"/>
      <c r="F605" s="1125">
        <f t="shared" si="116"/>
        <v>0</v>
      </c>
      <c r="G605" s="1335"/>
      <c r="H605" s="1125">
        <f t="shared" si="117"/>
        <v>0</v>
      </c>
      <c r="I605" s="1312"/>
      <c r="J605" s="1406">
        <f t="shared" si="118"/>
        <v>0</v>
      </c>
      <c r="K605" s="1335"/>
      <c r="L605" s="1125">
        <f t="shared" si="119"/>
        <v>0</v>
      </c>
      <c r="M605" s="1340"/>
      <c r="N605" s="1339">
        <f t="shared" si="120"/>
        <v>0</v>
      </c>
      <c r="O605" s="1340">
        <f t="shared" si="121"/>
        <v>0</v>
      </c>
      <c r="P605" s="1339">
        <f t="shared" si="122"/>
        <v>0</v>
      </c>
      <c r="Q605" s="1341" t="s">
        <v>2290</v>
      </c>
      <c r="R605" s="1339"/>
      <c r="S605" s="1322">
        <f t="shared" ref="S605:S609" si="125">F605+P605</f>
        <v>0</v>
      </c>
      <c r="T605" s="1322">
        <f t="shared" ref="T605:T609" si="126">S605-R605</f>
        <v>0</v>
      </c>
    </row>
    <row r="606" spans="1:20" ht="70.5" customHeight="1">
      <c r="A606" s="1486"/>
      <c r="B606" s="1198" t="s">
        <v>1861</v>
      </c>
      <c r="C606" s="1111">
        <f>ROUND(Data!I2354,2)</f>
        <v>881.39</v>
      </c>
      <c r="D606" s="1110" t="s">
        <v>2322</v>
      </c>
      <c r="E606" s="1336">
        <v>824</v>
      </c>
      <c r="F606" s="1125">
        <f t="shared" si="116"/>
        <v>726265.36</v>
      </c>
      <c r="G606" s="1335"/>
      <c r="H606" s="1125">
        <f t="shared" si="117"/>
        <v>0</v>
      </c>
      <c r="I606" s="1312"/>
      <c r="J606" s="1406">
        <f t="shared" si="118"/>
        <v>0</v>
      </c>
      <c r="K606" s="1335"/>
      <c r="L606" s="1125">
        <f t="shared" si="119"/>
        <v>0</v>
      </c>
      <c r="M606" s="1340"/>
      <c r="N606" s="1339">
        <f t="shared" si="120"/>
        <v>0</v>
      </c>
      <c r="O606" s="1340">
        <f t="shared" si="121"/>
        <v>0</v>
      </c>
      <c r="P606" s="1339">
        <f t="shared" si="122"/>
        <v>0</v>
      </c>
      <c r="Q606" s="1340">
        <f t="shared" si="123"/>
        <v>824</v>
      </c>
      <c r="R606" s="1339">
        <f t="shared" si="124"/>
        <v>726265.36</v>
      </c>
      <c r="S606" s="1322">
        <f t="shared" si="125"/>
        <v>726265.36</v>
      </c>
      <c r="T606" s="1322">
        <f t="shared" si="126"/>
        <v>0</v>
      </c>
    </row>
    <row r="607" spans="1:20" ht="96.75" customHeight="1">
      <c r="A607" s="1486"/>
      <c r="B607" s="1198" t="s">
        <v>1096</v>
      </c>
      <c r="C607" s="1111">
        <f>ROUND(Data!I2356,2)</f>
        <v>982.08</v>
      </c>
      <c r="D607" s="1110" t="s">
        <v>2322</v>
      </c>
      <c r="E607" s="1336">
        <v>3699</v>
      </c>
      <c r="F607" s="1125">
        <f t="shared" si="116"/>
        <v>3632713.92</v>
      </c>
      <c r="G607" s="1335"/>
      <c r="H607" s="1125">
        <f t="shared" si="117"/>
        <v>0</v>
      </c>
      <c r="I607" s="1312"/>
      <c r="J607" s="1406">
        <f t="shared" si="118"/>
        <v>0</v>
      </c>
      <c r="K607" s="1335"/>
      <c r="L607" s="1125">
        <f t="shared" si="119"/>
        <v>0</v>
      </c>
      <c r="M607" s="1340"/>
      <c r="N607" s="1339">
        <f t="shared" si="120"/>
        <v>0</v>
      </c>
      <c r="O607" s="1340">
        <f t="shared" si="121"/>
        <v>0</v>
      </c>
      <c r="P607" s="1339">
        <f t="shared" si="122"/>
        <v>0</v>
      </c>
      <c r="Q607" s="1340">
        <f t="shared" si="123"/>
        <v>3699</v>
      </c>
      <c r="R607" s="1339">
        <f t="shared" si="124"/>
        <v>3632713.92</v>
      </c>
      <c r="S607" s="1322">
        <f t="shared" si="125"/>
        <v>3632713.92</v>
      </c>
      <c r="T607" s="1322">
        <f t="shared" si="126"/>
        <v>0</v>
      </c>
    </row>
    <row r="608" spans="1:20" ht="47.25" customHeight="1">
      <c r="A608" s="1110"/>
      <c r="B608" s="1198" t="s">
        <v>1686</v>
      </c>
      <c r="C608" s="1111">
        <f>ROUND(Data!I2358,2)</f>
        <v>1178.5</v>
      </c>
      <c r="D608" s="1110" t="s">
        <v>2322</v>
      </c>
      <c r="E608" s="1336">
        <v>776</v>
      </c>
      <c r="F608" s="1125">
        <f t="shared" si="116"/>
        <v>914516</v>
      </c>
      <c r="G608" s="1335"/>
      <c r="H608" s="1125">
        <f t="shared" si="117"/>
        <v>0</v>
      </c>
      <c r="I608" s="1312"/>
      <c r="J608" s="1406">
        <f t="shared" si="118"/>
        <v>0</v>
      </c>
      <c r="K608" s="1335"/>
      <c r="L608" s="1125">
        <f t="shared" si="119"/>
        <v>0</v>
      </c>
      <c r="M608" s="1340"/>
      <c r="N608" s="1339">
        <f t="shared" si="120"/>
        <v>0</v>
      </c>
      <c r="O608" s="1340">
        <f t="shared" si="121"/>
        <v>0</v>
      </c>
      <c r="P608" s="1339">
        <f t="shared" si="122"/>
        <v>0</v>
      </c>
      <c r="Q608" s="1340">
        <f t="shared" si="123"/>
        <v>776</v>
      </c>
      <c r="R608" s="1339">
        <f t="shared" si="124"/>
        <v>914516</v>
      </c>
      <c r="S608" s="1322">
        <f t="shared" si="125"/>
        <v>914516</v>
      </c>
      <c r="T608" s="1322">
        <f t="shared" si="126"/>
        <v>0</v>
      </c>
    </row>
    <row r="609" spans="1:20" ht="47.25" customHeight="1">
      <c r="A609" s="1156"/>
      <c r="B609" s="1198" t="s">
        <v>4157</v>
      </c>
      <c r="C609" s="1111">
        <f>Data!I2360</f>
        <v>1080.29</v>
      </c>
      <c r="D609" s="1110" t="s">
        <v>2322</v>
      </c>
      <c r="E609" s="1336">
        <v>34</v>
      </c>
      <c r="F609" s="1125">
        <f t="shared" si="116"/>
        <v>36729.86</v>
      </c>
      <c r="G609" s="1335"/>
      <c r="H609" s="1125">
        <f t="shared" si="117"/>
        <v>0</v>
      </c>
      <c r="I609" s="1312"/>
      <c r="J609" s="1406">
        <f t="shared" si="118"/>
        <v>0</v>
      </c>
      <c r="K609" s="1335"/>
      <c r="L609" s="1125">
        <f t="shared" si="119"/>
        <v>0</v>
      </c>
      <c r="M609" s="1343"/>
      <c r="N609" s="1339">
        <f t="shared" si="120"/>
        <v>0</v>
      </c>
      <c r="O609" s="1340">
        <f t="shared" si="121"/>
        <v>0</v>
      </c>
      <c r="P609" s="1339">
        <f t="shared" si="122"/>
        <v>0</v>
      </c>
      <c r="Q609" s="1340">
        <f t="shared" si="123"/>
        <v>34</v>
      </c>
      <c r="R609" s="1339">
        <f t="shared" si="124"/>
        <v>36729.86</v>
      </c>
      <c r="S609" s="1322">
        <f t="shared" si="125"/>
        <v>36729.86</v>
      </c>
      <c r="T609" s="1322">
        <f t="shared" si="126"/>
        <v>0</v>
      </c>
    </row>
    <row r="610" spans="1:20" s="700" customFormat="1" ht="70.5" hidden="1" customHeight="1">
      <c r="A610" s="1433"/>
      <c r="B610" s="1415" t="s">
        <v>3886</v>
      </c>
      <c r="C610" s="1418">
        <f>C608*2</f>
        <v>2357</v>
      </c>
      <c r="D610" s="1417" t="s">
        <v>2322</v>
      </c>
      <c r="E610" s="1440"/>
      <c r="F610" s="1125">
        <f t="shared" si="116"/>
        <v>0</v>
      </c>
      <c r="G610" s="1273"/>
      <c r="H610" s="1125">
        <f t="shared" si="117"/>
        <v>0</v>
      </c>
      <c r="I610" s="748"/>
      <c r="J610" s="748">
        <f t="shared" si="118"/>
        <v>0</v>
      </c>
      <c r="K610" s="1273"/>
      <c r="L610" s="1125">
        <f t="shared" si="119"/>
        <v>0</v>
      </c>
      <c r="M610" s="1412"/>
      <c r="N610" s="1339">
        <f t="shared" si="120"/>
        <v>0</v>
      </c>
      <c r="O610" s="1340">
        <f t="shared" si="121"/>
        <v>0</v>
      </c>
      <c r="P610" s="1339">
        <f t="shared" si="122"/>
        <v>0</v>
      </c>
      <c r="Q610" s="1340">
        <f t="shared" si="123"/>
        <v>0</v>
      </c>
      <c r="R610" s="1339">
        <f t="shared" si="124"/>
        <v>0</v>
      </c>
    </row>
    <row r="611" spans="1:20" s="700" customFormat="1" ht="47.25" customHeight="1">
      <c r="A611" s="601"/>
      <c r="B611" s="538" t="s">
        <v>3889</v>
      </c>
      <c r="C611" s="602">
        <f>C607*1.5</f>
        <v>1473.12</v>
      </c>
      <c r="D611" s="744" t="s">
        <v>2322</v>
      </c>
      <c r="E611" s="1100"/>
      <c r="F611" s="1125">
        <f t="shared" si="116"/>
        <v>0</v>
      </c>
      <c r="G611" s="1199">
        <v>63.4</v>
      </c>
      <c r="H611" s="1125">
        <f t="shared" si="117"/>
        <v>93395.81</v>
      </c>
      <c r="I611" s="748"/>
      <c r="J611" s="1407">
        <f t="shared" si="118"/>
        <v>0</v>
      </c>
      <c r="K611" s="1199"/>
      <c r="L611" s="1125">
        <f t="shared" si="119"/>
        <v>0</v>
      </c>
      <c r="M611" s="1200"/>
      <c r="N611" s="1339">
        <f t="shared" si="120"/>
        <v>0</v>
      </c>
      <c r="O611" s="1340">
        <f t="shared" si="121"/>
        <v>63.4</v>
      </c>
      <c r="P611" s="1339">
        <f t="shared" si="122"/>
        <v>93395.81</v>
      </c>
      <c r="Q611" s="1340">
        <f t="shared" si="123"/>
        <v>63.4</v>
      </c>
      <c r="R611" s="1339">
        <f t="shared" si="124"/>
        <v>93395.81</v>
      </c>
    </row>
    <row r="612" spans="1:20" ht="47.25" customHeight="1">
      <c r="A612" s="1274"/>
      <c r="B612" s="1198" t="s">
        <v>3673</v>
      </c>
      <c r="C612" s="1111">
        <f>C607*2</f>
        <v>1964.16</v>
      </c>
      <c r="D612" s="1110" t="s">
        <v>2322</v>
      </c>
      <c r="E612" s="1336">
        <v>409</v>
      </c>
      <c r="F612" s="1125">
        <f t="shared" si="116"/>
        <v>803341.44</v>
      </c>
      <c r="G612" s="1335"/>
      <c r="H612" s="1125">
        <f t="shared" si="117"/>
        <v>0</v>
      </c>
      <c r="I612" s="1312"/>
      <c r="J612" s="1406">
        <f t="shared" si="118"/>
        <v>0</v>
      </c>
      <c r="K612" s="1335"/>
      <c r="L612" s="1125">
        <f t="shared" si="119"/>
        <v>0</v>
      </c>
      <c r="M612" s="1343"/>
      <c r="N612" s="1339">
        <f t="shared" si="120"/>
        <v>0</v>
      </c>
      <c r="O612" s="1340">
        <f t="shared" si="121"/>
        <v>0</v>
      </c>
      <c r="P612" s="1339">
        <f t="shared" si="122"/>
        <v>0</v>
      </c>
      <c r="Q612" s="1340">
        <f t="shared" si="123"/>
        <v>409</v>
      </c>
      <c r="R612" s="1339">
        <f t="shared" si="124"/>
        <v>803341.44</v>
      </c>
      <c r="S612" s="1322">
        <f t="shared" ref="S612:S614" si="127">F612+P612</f>
        <v>803341.44</v>
      </c>
      <c r="T612" s="1322">
        <f t="shared" ref="T612:T614" si="128">S612-R612</f>
        <v>0</v>
      </c>
    </row>
    <row r="613" spans="1:20" ht="96.75" customHeight="1">
      <c r="A613" s="1486">
        <v>21.6</v>
      </c>
      <c r="B613" s="1344" t="s">
        <v>5968</v>
      </c>
      <c r="C613" s="1111"/>
      <c r="D613" s="1110"/>
      <c r="E613" s="1336"/>
      <c r="F613" s="1125">
        <f t="shared" si="116"/>
        <v>0</v>
      </c>
      <c r="G613" s="1335"/>
      <c r="H613" s="1125">
        <f t="shared" si="117"/>
        <v>0</v>
      </c>
      <c r="I613" s="1312"/>
      <c r="J613" s="1406">
        <f t="shared" si="118"/>
        <v>0</v>
      </c>
      <c r="K613" s="1335"/>
      <c r="L613" s="1125">
        <f t="shared" si="119"/>
        <v>0</v>
      </c>
      <c r="M613" s="1340"/>
      <c r="N613" s="1339">
        <f t="shared" si="120"/>
        <v>0</v>
      </c>
      <c r="O613" s="1340">
        <f t="shared" si="121"/>
        <v>0</v>
      </c>
      <c r="P613" s="1339">
        <f t="shared" si="122"/>
        <v>0</v>
      </c>
      <c r="Q613" s="1341" t="s">
        <v>2290</v>
      </c>
      <c r="R613" s="1339"/>
      <c r="S613" s="1322">
        <f t="shared" si="127"/>
        <v>0</v>
      </c>
      <c r="T613" s="1322">
        <f t="shared" si="128"/>
        <v>0</v>
      </c>
    </row>
    <row r="614" spans="1:20" ht="61.5" customHeight="1">
      <c r="A614" s="1162"/>
      <c r="B614" s="1198" t="s">
        <v>583</v>
      </c>
      <c r="C614" s="1111">
        <f>ROUND(Data!K889,2)</f>
        <v>2883.15</v>
      </c>
      <c r="D614" s="1156" t="s">
        <v>1423</v>
      </c>
      <c r="E614" s="1336">
        <v>11</v>
      </c>
      <c r="F614" s="1125">
        <f t="shared" si="116"/>
        <v>31714.65</v>
      </c>
      <c r="G614" s="1335"/>
      <c r="H614" s="1125">
        <f t="shared" si="117"/>
        <v>0</v>
      </c>
      <c r="I614" s="1312"/>
      <c r="J614" s="1406">
        <f t="shared" si="118"/>
        <v>0</v>
      </c>
      <c r="K614" s="1335"/>
      <c r="L614" s="1125">
        <f t="shared" si="119"/>
        <v>0</v>
      </c>
      <c r="M614" s="1340"/>
      <c r="N614" s="1339">
        <f t="shared" si="120"/>
        <v>0</v>
      </c>
      <c r="O614" s="1340">
        <f t="shared" si="121"/>
        <v>0</v>
      </c>
      <c r="P614" s="1339">
        <f t="shared" si="122"/>
        <v>0</v>
      </c>
      <c r="Q614" s="1340">
        <f t="shared" si="123"/>
        <v>11</v>
      </c>
      <c r="R614" s="1339">
        <f t="shared" si="124"/>
        <v>31714.65</v>
      </c>
      <c r="S614" s="1322">
        <f t="shared" si="127"/>
        <v>31714.65</v>
      </c>
      <c r="T614" s="1322">
        <f t="shared" si="128"/>
        <v>0</v>
      </c>
    </row>
    <row r="615" spans="1:20" s="700" customFormat="1" ht="70.5" hidden="1" customHeight="1">
      <c r="A615" s="1428"/>
      <c r="B615" s="1415" t="s">
        <v>3871</v>
      </c>
      <c r="C615" s="1418">
        <f>Data!R864</f>
        <v>3445.01</v>
      </c>
      <c r="D615" s="1418" t="s">
        <v>1423</v>
      </c>
      <c r="E615" s="1440"/>
      <c r="F615" s="1125">
        <f t="shared" si="116"/>
        <v>0</v>
      </c>
      <c r="G615" s="1273"/>
      <c r="H615" s="1125">
        <f t="shared" si="117"/>
        <v>0</v>
      </c>
      <c r="I615" s="748"/>
      <c r="J615" s="748">
        <f t="shared" si="118"/>
        <v>0</v>
      </c>
      <c r="K615" s="1273"/>
      <c r="L615" s="1125">
        <f t="shared" si="119"/>
        <v>0</v>
      </c>
      <c r="M615" s="1412"/>
      <c r="N615" s="1339">
        <f t="shared" si="120"/>
        <v>0</v>
      </c>
      <c r="O615" s="1340">
        <f t="shared" si="121"/>
        <v>0</v>
      </c>
      <c r="P615" s="1339">
        <f t="shared" si="122"/>
        <v>0</v>
      </c>
      <c r="Q615" s="1340">
        <f t="shared" si="123"/>
        <v>0</v>
      </c>
      <c r="R615" s="1339">
        <f t="shared" si="124"/>
        <v>0</v>
      </c>
    </row>
    <row r="616" spans="1:20" ht="61.5" customHeight="1">
      <c r="A616" s="1162"/>
      <c r="B616" s="1198" t="s">
        <v>1939</v>
      </c>
      <c r="C616" s="1111">
        <f>ROUND(Data!K871,2)</f>
        <v>2905.94</v>
      </c>
      <c r="D616" s="1156" t="s">
        <v>1423</v>
      </c>
      <c r="E616" s="1336">
        <v>21</v>
      </c>
      <c r="F616" s="1125">
        <f t="shared" si="116"/>
        <v>61024.74</v>
      </c>
      <c r="G616" s="1335"/>
      <c r="H616" s="1125">
        <f t="shared" si="117"/>
        <v>0</v>
      </c>
      <c r="I616" s="1312"/>
      <c r="J616" s="1406">
        <f t="shared" si="118"/>
        <v>0</v>
      </c>
      <c r="K616" s="1335"/>
      <c r="L616" s="1125">
        <f t="shared" si="119"/>
        <v>0</v>
      </c>
      <c r="M616" s="1343"/>
      <c r="N616" s="1339">
        <f t="shared" si="120"/>
        <v>0</v>
      </c>
      <c r="O616" s="1340">
        <f t="shared" si="121"/>
        <v>0</v>
      </c>
      <c r="P616" s="1339">
        <f t="shared" si="122"/>
        <v>0</v>
      </c>
      <c r="Q616" s="1340">
        <f t="shared" si="123"/>
        <v>21</v>
      </c>
      <c r="R616" s="1339">
        <f t="shared" si="124"/>
        <v>61024.74</v>
      </c>
      <c r="S616" s="1322">
        <f>F616+P616</f>
        <v>61024.74</v>
      </c>
      <c r="T616" s="1322">
        <f>S616-R616</f>
        <v>0</v>
      </c>
    </row>
    <row r="617" spans="1:20" s="700" customFormat="1" ht="23.25" hidden="1">
      <c r="A617" s="1428"/>
      <c r="B617" s="1415" t="s">
        <v>3775</v>
      </c>
      <c r="C617" s="1418">
        <f>Data!K905</f>
        <v>0</v>
      </c>
      <c r="D617" s="1418" t="s">
        <v>1423</v>
      </c>
      <c r="E617" s="1278"/>
      <c r="F617" s="1125">
        <f t="shared" si="116"/>
        <v>0</v>
      </c>
      <c r="G617" s="1273"/>
      <c r="H617" s="1125">
        <f t="shared" si="117"/>
        <v>0</v>
      </c>
      <c r="I617" s="748"/>
      <c r="J617" s="748">
        <f t="shared" si="118"/>
        <v>0</v>
      </c>
      <c r="K617" s="1273"/>
      <c r="L617" s="1125">
        <f t="shared" si="119"/>
        <v>0</v>
      </c>
      <c r="M617" s="1412"/>
      <c r="N617" s="1339">
        <f t="shared" si="120"/>
        <v>0</v>
      </c>
      <c r="O617" s="1340">
        <f t="shared" si="121"/>
        <v>0</v>
      </c>
      <c r="P617" s="1339">
        <f t="shared" si="122"/>
        <v>0</v>
      </c>
      <c r="Q617" s="1340">
        <f t="shared" si="123"/>
        <v>0</v>
      </c>
      <c r="R617" s="1339">
        <f t="shared" si="124"/>
        <v>0</v>
      </c>
    </row>
    <row r="618" spans="1:20" s="700" customFormat="1" ht="61.5" customHeight="1">
      <c r="A618" s="1428"/>
      <c r="B618" s="1415" t="s">
        <v>6115</v>
      </c>
      <c r="C618" s="1416">
        <f>Data!X889</f>
        <v>3149.42</v>
      </c>
      <c r="D618" s="1418" t="s">
        <v>1423</v>
      </c>
      <c r="E618" s="1491">
        <v>5</v>
      </c>
      <c r="F618" s="1125">
        <f t="shared" si="116"/>
        <v>15747.1</v>
      </c>
      <c r="G618" s="1273"/>
      <c r="H618" s="1125">
        <f t="shared" si="117"/>
        <v>0</v>
      </c>
      <c r="I618" s="748"/>
      <c r="J618" s="748"/>
      <c r="K618" s="1273"/>
      <c r="L618" s="1125">
        <f t="shared" si="119"/>
        <v>0</v>
      </c>
      <c r="M618" s="1412"/>
      <c r="N618" s="1339">
        <f t="shared" si="120"/>
        <v>0</v>
      </c>
      <c r="O618" s="1340">
        <f t="shared" si="121"/>
        <v>0</v>
      </c>
      <c r="P618" s="1339">
        <f t="shared" si="122"/>
        <v>0</v>
      </c>
      <c r="Q618" s="1340">
        <f t="shared" si="123"/>
        <v>5</v>
      </c>
      <c r="R618" s="1339">
        <f t="shared" si="124"/>
        <v>15747.1</v>
      </c>
    </row>
    <row r="619" spans="1:20" s="700" customFormat="1" ht="46.5" hidden="1">
      <c r="A619" s="601"/>
      <c r="B619" s="600" t="s">
        <v>3910</v>
      </c>
      <c r="C619" s="602"/>
      <c r="D619" s="744"/>
      <c r="E619" s="1276"/>
      <c r="F619" s="1125">
        <f t="shared" si="116"/>
        <v>0</v>
      </c>
      <c r="G619" s="1199"/>
      <c r="H619" s="1125">
        <f t="shared" si="117"/>
        <v>0</v>
      </c>
      <c r="I619" s="748"/>
      <c r="J619" s="748">
        <f t="shared" si="118"/>
        <v>0</v>
      </c>
      <c r="K619" s="1199"/>
      <c r="L619" s="1125">
        <f t="shared" si="119"/>
        <v>0</v>
      </c>
      <c r="M619" s="1200"/>
      <c r="N619" s="1339">
        <f t="shared" si="120"/>
        <v>0</v>
      </c>
      <c r="O619" s="1340">
        <f t="shared" si="121"/>
        <v>0</v>
      </c>
      <c r="P619" s="1339">
        <f t="shared" si="122"/>
        <v>0</v>
      </c>
      <c r="Q619" s="1340">
        <f t="shared" si="123"/>
        <v>0</v>
      </c>
      <c r="R619" s="1339">
        <f t="shared" si="124"/>
        <v>0</v>
      </c>
    </row>
    <row r="620" spans="1:20" s="700" customFormat="1" ht="23.25" hidden="1">
      <c r="A620" s="601"/>
      <c r="B620" s="538" t="s">
        <v>1391</v>
      </c>
      <c r="C620" s="602">
        <f>Data!K1081</f>
        <v>3659.42</v>
      </c>
      <c r="D620" s="744" t="s">
        <v>1876</v>
      </c>
      <c r="E620" s="1276"/>
      <c r="F620" s="1125">
        <f t="shared" si="116"/>
        <v>0</v>
      </c>
      <c r="G620" s="1199"/>
      <c r="H620" s="1125">
        <f t="shared" si="117"/>
        <v>0</v>
      </c>
      <c r="I620" s="748"/>
      <c r="J620" s="748">
        <f t="shared" si="118"/>
        <v>0</v>
      </c>
      <c r="K620" s="1199"/>
      <c r="L620" s="1125">
        <f t="shared" si="119"/>
        <v>0</v>
      </c>
      <c r="M620" s="1200"/>
      <c r="N620" s="1339">
        <f t="shared" si="120"/>
        <v>0</v>
      </c>
      <c r="O620" s="1340">
        <f t="shared" si="121"/>
        <v>0</v>
      </c>
      <c r="P620" s="1339">
        <f t="shared" si="122"/>
        <v>0</v>
      </c>
      <c r="Q620" s="1340">
        <f t="shared" si="123"/>
        <v>0</v>
      </c>
      <c r="R620" s="1339">
        <f t="shared" si="124"/>
        <v>0</v>
      </c>
    </row>
    <row r="621" spans="1:20" s="700" customFormat="1" ht="23.25" hidden="1">
      <c r="A621" s="601"/>
      <c r="B621" s="538" t="s">
        <v>274</v>
      </c>
      <c r="C621" s="602"/>
      <c r="D621" s="744" t="s">
        <v>1876</v>
      </c>
      <c r="E621" s="1276"/>
      <c r="F621" s="1125">
        <f t="shared" si="116"/>
        <v>0</v>
      </c>
      <c r="G621" s="1199"/>
      <c r="H621" s="1125">
        <f t="shared" si="117"/>
        <v>0</v>
      </c>
      <c r="I621" s="748"/>
      <c r="J621" s="748">
        <f t="shared" si="118"/>
        <v>0</v>
      </c>
      <c r="K621" s="1199"/>
      <c r="L621" s="1125">
        <f t="shared" si="119"/>
        <v>0</v>
      </c>
      <c r="M621" s="1200"/>
      <c r="N621" s="1339">
        <f t="shared" si="120"/>
        <v>0</v>
      </c>
      <c r="O621" s="1340">
        <f t="shared" si="121"/>
        <v>0</v>
      </c>
      <c r="P621" s="1339">
        <f t="shared" si="122"/>
        <v>0</v>
      </c>
      <c r="Q621" s="1340">
        <f t="shared" si="123"/>
        <v>0</v>
      </c>
      <c r="R621" s="1339">
        <f t="shared" si="124"/>
        <v>0</v>
      </c>
    </row>
    <row r="622" spans="1:20" s="700" customFormat="1" ht="23.25" hidden="1">
      <c r="A622" s="601"/>
      <c r="B622" s="538" t="s">
        <v>275</v>
      </c>
      <c r="C622" s="602">
        <f>Data!K1097</f>
        <v>3858.29</v>
      </c>
      <c r="D622" s="744" t="s">
        <v>1876</v>
      </c>
      <c r="E622" s="1276"/>
      <c r="F622" s="1125">
        <f t="shared" si="116"/>
        <v>0</v>
      </c>
      <c r="G622" s="1199"/>
      <c r="H622" s="1125">
        <f t="shared" si="117"/>
        <v>0</v>
      </c>
      <c r="I622" s="748"/>
      <c r="J622" s="748">
        <f t="shared" si="118"/>
        <v>0</v>
      </c>
      <c r="K622" s="1199"/>
      <c r="L622" s="1125">
        <f t="shared" si="119"/>
        <v>0</v>
      </c>
      <c r="M622" s="1200"/>
      <c r="N622" s="1339">
        <f t="shared" si="120"/>
        <v>0</v>
      </c>
      <c r="O622" s="1340">
        <f t="shared" si="121"/>
        <v>0</v>
      </c>
      <c r="P622" s="1339">
        <f t="shared" si="122"/>
        <v>0</v>
      </c>
      <c r="Q622" s="1340">
        <f t="shared" si="123"/>
        <v>0</v>
      </c>
      <c r="R622" s="1339">
        <f t="shared" si="124"/>
        <v>0</v>
      </c>
    </row>
    <row r="623" spans="1:20" s="700" customFormat="1" ht="23.25" hidden="1">
      <c r="A623" s="601"/>
      <c r="B623" s="538" t="s">
        <v>276</v>
      </c>
      <c r="C623" s="602">
        <f>Data!K1112</f>
        <v>2856.35</v>
      </c>
      <c r="D623" s="744" t="s">
        <v>1876</v>
      </c>
      <c r="E623" s="1276"/>
      <c r="F623" s="1125">
        <f t="shared" si="116"/>
        <v>0</v>
      </c>
      <c r="G623" s="1199"/>
      <c r="H623" s="1125">
        <f t="shared" si="117"/>
        <v>0</v>
      </c>
      <c r="I623" s="748"/>
      <c r="J623" s="748">
        <f t="shared" si="118"/>
        <v>0</v>
      </c>
      <c r="K623" s="1199"/>
      <c r="L623" s="1125">
        <f t="shared" si="119"/>
        <v>0</v>
      </c>
      <c r="M623" s="1200"/>
      <c r="N623" s="1339">
        <f t="shared" si="120"/>
        <v>0</v>
      </c>
      <c r="O623" s="1340">
        <f t="shared" si="121"/>
        <v>0</v>
      </c>
      <c r="P623" s="1339">
        <f t="shared" si="122"/>
        <v>0</v>
      </c>
      <c r="Q623" s="1340">
        <f t="shared" si="123"/>
        <v>0</v>
      </c>
      <c r="R623" s="1339">
        <f t="shared" si="124"/>
        <v>0</v>
      </c>
    </row>
    <row r="624" spans="1:20" s="700" customFormat="1" ht="23.25" hidden="1">
      <c r="A624" s="601"/>
      <c r="B624" s="538" t="s">
        <v>3893</v>
      </c>
      <c r="C624" s="602">
        <v>2203.2800000000002</v>
      </c>
      <c r="D624" s="744" t="s">
        <v>1876</v>
      </c>
      <c r="E624" s="1276"/>
      <c r="F624" s="1125">
        <f t="shared" si="116"/>
        <v>0</v>
      </c>
      <c r="G624" s="1199"/>
      <c r="H624" s="1125">
        <f t="shared" si="117"/>
        <v>0</v>
      </c>
      <c r="I624" s="748"/>
      <c r="J624" s="748">
        <f t="shared" si="118"/>
        <v>0</v>
      </c>
      <c r="K624" s="1199"/>
      <c r="L624" s="1125">
        <f t="shared" si="119"/>
        <v>0</v>
      </c>
      <c r="M624" s="1200"/>
      <c r="N624" s="1339">
        <f t="shared" si="120"/>
        <v>0</v>
      </c>
      <c r="O624" s="1340">
        <f t="shared" si="121"/>
        <v>0</v>
      </c>
      <c r="P624" s="1339">
        <f t="shared" si="122"/>
        <v>0</v>
      </c>
      <c r="Q624" s="1340">
        <f t="shared" si="123"/>
        <v>0</v>
      </c>
      <c r="R624" s="1339">
        <f t="shared" si="124"/>
        <v>0</v>
      </c>
    </row>
    <row r="625" spans="1:20" s="812" customFormat="1" ht="46.5" hidden="1">
      <c r="A625" s="1132" t="s">
        <v>1725</v>
      </c>
      <c r="B625" s="1108" t="s">
        <v>1323</v>
      </c>
      <c r="C625" s="1143">
        <f>Data!K2877</f>
        <v>2208.35</v>
      </c>
      <c r="D625" s="1144" t="s">
        <v>2322</v>
      </c>
      <c r="E625" s="1276"/>
      <c r="F625" s="1125">
        <f t="shared" si="116"/>
        <v>0</v>
      </c>
      <c r="G625" s="1199"/>
      <c r="H625" s="1125">
        <f t="shared" si="117"/>
        <v>0</v>
      </c>
      <c r="I625" s="748"/>
      <c r="J625" s="748">
        <f t="shared" si="118"/>
        <v>0</v>
      </c>
      <c r="K625" s="1199"/>
      <c r="L625" s="1125">
        <f t="shared" si="119"/>
        <v>0</v>
      </c>
      <c r="M625" s="1200"/>
      <c r="N625" s="1339">
        <f t="shared" si="120"/>
        <v>0</v>
      </c>
      <c r="O625" s="1340">
        <f t="shared" si="121"/>
        <v>0</v>
      </c>
      <c r="P625" s="1339">
        <f t="shared" si="122"/>
        <v>0</v>
      </c>
      <c r="Q625" s="1340">
        <f t="shared" si="123"/>
        <v>0</v>
      </c>
      <c r="R625" s="1339">
        <f t="shared" si="124"/>
        <v>0</v>
      </c>
    </row>
    <row r="626" spans="1:20" ht="69.75">
      <c r="A626" s="1486"/>
      <c r="B626" s="1198" t="s">
        <v>1546</v>
      </c>
      <c r="C626" s="1111">
        <f>ROUND(Data!K3114,2)</f>
        <v>4319.62</v>
      </c>
      <c r="D626" s="1110" t="s">
        <v>2322</v>
      </c>
      <c r="E626" s="1336">
        <v>42.9</v>
      </c>
      <c r="F626" s="1125">
        <f t="shared" si="116"/>
        <v>185311.7</v>
      </c>
      <c r="G626" s="1335"/>
      <c r="H626" s="1125">
        <f t="shared" si="117"/>
        <v>0</v>
      </c>
      <c r="I626" s="1312"/>
      <c r="J626" s="1406">
        <f t="shared" si="118"/>
        <v>0</v>
      </c>
      <c r="K626" s="1335"/>
      <c r="L626" s="1125">
        <f t="shared" si="119"/>
        <v>0</v>
      </c>
      <c r="M626" s="1340"/>
      <c r="N626" s="1339">
        <f t="shared" si="120"/>
        <v>0</v>
      </c>
      <c r="O626" s="1340">
        <f t="shared" si="121"/>
        <v>0</v>
      </c>
      <c r="P626" s="1339">
        <f t="shared" si="122"/>
        <v>0</v>
      </c>
      <c r="Q626" s="1340">
        <f t="shared" si="123"/>
        <v>42.9</v>
      </c>
      <c r="R626" s="1339">
        <f t="shared" si="124"/>
        <v>185311.7</v>
      </c>
      <c r="S626" s="1322">
        <f>F626+P626</f>
        <v>185311.7</v>
      </c>
      <c r="T626" s="1322">
        <f>S626-R626</f>
        <v>0</v>
      </c>
    </row>
    <row r="627" spans="1:20" ht="102" customHeight="1">
      <c r="A627" s="1486"/>
      <c r="B627" s="1198" t="s">
        <v>6075</v>
      </c>
      <c r="C627" s="1503">
        <v>5047</v>
      </c>
      <c r="D627" s="1110" t="s">
        <v>2322</v>
      </c>
      <c r="E627" s="1336">
        <v>25.2</v>
      </c>
      <c r="F627" s="1125">
        <f t="shared" si="116"/>
        <v>127184.4</v>
      </c>
      <c r="G627" s="1335"/>
      <c r="H627" s="1125">
        <f t="shared" si="117"/>
        <v>0</v>
      </c>
      <c r="I627" s="1312"/>
      <c r="J627" s="1406"/>
      <c r="K627" s="1335"/>
      <c r="L627" s="1125">
        <f t="shared" si="119"/>
        <v>0</v>
      </c>
      <c r="M627" s="1340"/>
      <c r="N627" s="1339">
        <f t="shared" si="120"/>
        <v>0</v>
      </c>
      <c r="O627" s="1340">
        <f t="shared" si="121"/>
        <v>0</v>
      </c>
      <c r="P627" s="1339">
        <f t="shared" si="122"/>
        <v>0</v>
      </c>
      <c r="Q627" s="1340">
        <f t="shared" si="123"/>
        <v>25.2</v>
      </c>
      <c r="R627" s="1339">
        <f t="shared" si="124"/>
        <v>127184.4</v>
      </c>
    </row>
    <row r="628" spans="1:20" s="816" customFormat="1" ht="70.5" hidden="1" customHeight="1">
      <c r="A628" s="1441">
        <v>22.8</v>
      </c>
      <c r="B628" s="1442" t="s">
        <v>2023</v>
      </c>
      <c r="C628" s="1443"/>
      <c r="D628" s="1444"/>
      <c r="E628" s="1278"/>
      <c r="F628" s="1125">
        <f t="shared" si="116"/>
        <v>0</v>
      </c>
      <c r="G628" s="1273"/>
      <c r="H628" s="1125">
        <f t="shared" si="117"/>
        <v>0</v>
      </c>
      <c r="I628" s="748"/>
      <c r="J628" s="748">
        <f t="shared" si="118"/>
        <v>0</v>
      </c>
      <c r="K628" s="1273"/>
      <c r="L628" s="1125">
        <f t="shared" si="119"/>
        <v>0</v>
      </c>
      <c r="M628" s="1412"/>
      <c r="N628" s="1339">
        <f t="shared" si="120"/>
        <v>0</v>
      </c>
      <c r="O628" s="1340">
        <f t="shared" si="121"/>
        <v>0</v>
      </c>
      <c r="P628" s="1339">
        <f t="shared" si="122"/>
        <v>0</v>
      </c>
      <c r="Q628" s="1340">
        <f t="shared" si="123"/>
        <v>0</v>
      </c>
      <c r="R628" s="1339">
        <f t="shared" si="124"/>
        <v>0</v>
      </c>
    </row>
    <row r="629" spans="1:20" s="816" customFormat="1" ht="70.5" hidden="1" customHeight="1">
      <c r="A629" s="1149"/>
      <c r="B629" s="1146" t="s">
        <v>2024</v>
      </c>
      <c r="C629" s="1147">
        <f>ROUND(Data!K2845,2)</f>
        <v>2816.03</v>
      </c>
      <c r="D629" s="1148" t="s">
        <v>2322</v>
      </c>
      <c r="E629" s="1276"/>
      <c r="F629" s="1125">
        <f t="shared" si="116"/>
        <v>0</v>
      </c>
      <c r="G629" s="1199"/>
      <c r="H629" s="1125">
        <f t="shared" si="117"/>
        <v>0</v>
      </c>
      <c r="I629" s="748"/>
      <c r="J629" s="748">
        <f t="shared" si="118"/>
        <v>0</v>
      </c>
      <c r="K629" s="1199"/>
      <c r="L629" s="1125">
        <f t="shared" si="119"/>
        <v>0</v>
      </c>
      <c r="M629" s="1200"/>
      <c r="N629" s="1339">
        <f t="shared" si="120"/>
        <v>0</v>
      </c>
      <c r="O629" s="1340">
        <f t="shared" si="121"/>
        <v>0</v>
      </c>
      <c r="P629" s="1339">
        <f t="shared" si="122"/>
        <v>0</v>
      </c>
      <c r="Q629" s="1340">
        <f t="shared" si="123"/>
        <v>0</v>
      </c>
      <c r="R629" s="1339">
        <f t="shared" si="124"/>
        <v>0</v>
      </c>
    </row>
    <row r="630" spans="1:20" s="816" customFormat="1" ht="70.5" hidden="1" customHeight="1">
      <c r="A630" s="1149"/>
      <c r="B630" s="1146" t="s">
        <v>709</v>
      </c>
      <c r="C630" s="1147">
        <f>ROUND(Data!K2981,2)</f>
        <v>2861.95</v>
      </c>
      <c r="D630" s="1148" t="s">
        <v>2322</v>
      </c>
      <c r="E630" s="1276"/>
      <c r="F630" s="1125">
        <f t="shared" si="116"/>
        <v>0</v>
      </c>
      <c r="G630" s="1199"/>
      <c r="H630" s="1125">
        <f t="shared" si="117"/>
        <v>0</v>
      </c>
      <c r="I630" s="748"/>
      <c r="J630" s="748">
        <f t="shared" si="118"/>
        <v>0</v>
      </c>
      <c r="K630" s="1199"/>
      <c r="L630" s="1125">
        <f t="shared" si="119"/>
        <v>0</v>
      </c>
      <c r="M630" s="1200"/>
      <c r="N630" s="1339">
        <f t="shared" si="120"/>
        <v>0</v>
      </c>
      <c r="O630" s="1340">
        <f t="shared" si="121"/>
        <v>0</v>
      </c>
      <c r="P630" s="1339">
        <f t="shared" si="122"/>
        <v>0</v>
      </c>
      <c r="Q630" s="1340">
        <f t="shared" si="123"/>
        <v>0</v>
      </c>
      <c r="R630" s="1339">
        <f t="shared" si="124"/>
        <v>0</v>
      </c>
    </row>
    <row r="631" spans="1:20" s="816" customFormat="1" ht="70.5" hidden="1" customHeight="1">
      <c r="A631" s="1150"/>
      <c r="B631" s="1146" t="s">
        <v>232</v>
      </c>
      <c r="C631" s="1147"/>
      <c r="D631" s="1148" t="s">
        <v>2322</v>
      </c>
      <c r="E631" s="1276"/>
      <c r="F631" s="1125">
        <f t="shared" si="116"/>
        <v>0</v>
      </c>
      <c r="G631" s="1199"/>
      <c r="H631" s="1125">
        <f t="shared" si="117"/>
        <v>0</v>
      </c>
      <c r="I631" s="748"/>
      <c r="J631" s="748">
        <f t="shared" si="118"/>
        <v>0</v>
      </c>
      <c r="K631" s="1199"/>
      <c r="L631" s="1125">
        <f t="shared" si="119"/>
        <v>0</v>
      </c>
      <c r="M631" s="1200"/>
      <c r="N631" s="1339">
        <f t="shared" si="120"/>
        <v>0</v>
      </c>
      <c r="O631" s="1340">
        <f t="shared" si="121"/>
        <v>0</v>
      </c>
      <c r="P631" s="1339">
        <f t="shared" si="122"/>
        <v>0</v>
      </c>
      <c r="Q631" s="1340">
        <f t="shared" si="123"/>
        <v>0</v>
      </c>
      <c r="R631" s="1339">
        <f t="shared" si="124"/>
        <v>0</v>
      </c>
    </row>
    <row r="632" spans="1:20" ht="70.5" customHeight="1">
      <c r="A632" s="1156"/>
      <c r="B632" s="1344" t="s">
        <v>6062</v>
      </c>
      <c r="C632" s="1111"/>
      <c r="D632" s="1110"/>
      <c r="E632" s="1336"/>
      <c r="F632" s="1125">
        <f t="shared" si="116"/>
        <v>0</v>
      </c>
      <c r="G632" s="1335"/>
      <c r="H632" s="1125">
        <f t="shared" si="117"/>
        <v>0</v>
      </c>
      <c r="I632" s="1312"/>
      <c r="J632" s="1406">
        <f t="shared" si="118"/>
        <v>0</v>
      </c>
      <c r="K632" s="1335"/>
      <c r="L632" s="1125">
        <f t="shared" si="119"/>
        <v>0</v>
      </c>
      <c r="M632" s="1340"/>
      <c r="N632" s="1339">
        <f t="shared" si="120"/>
        <v>0</v>
      </c>
      <c r="O632" s="1340">
        <f t="shared" si="121"/>
        <v>0</v>
      </c>
      <c r="P632" s="1339">
        <f t="shared" si="122"/>
        <v>0</v>
      </c>
      <c r="Q632" s="1341" t="s">
        <v>2290</v>
      </c>
      <c r="R632" s="1339"/>
      <c r="S632" s="1322">
        <f>F632+P632</f>
        <v>0</v>
      </c>
      <c r="T632" s="1322">
        <f>S632-R632</f>
        <v>0</v>
      </c>
    </row>
    <row r="633" spans="1:20" s="812" customFormat="1" ht="59.25" customHeight="1">
      <c r="A633" s="1111"/>
      <c r="B633" s="1108" t="s">
        <v>4571</v>
      </c>
      <c r="C633" s="1111">
        <f>ROUND(Data!K2827,2)</f>
        <v>6752.88</v>
      </c>
      <c r="D633" s="1110" t="s">
        <v>2322</v>
      </c>
      <c r="E633" s="1100">
        <v>1.9</v>
      </c>
      <c r="F633" s="1125">
        <f t="shared" si="116"/>
        <v>12830.47</v>
      </c>
      <c r="G633" s="1199"/>
      <c r="H633" s="1125">
        <f t="shared" si="117"/>
        <v>0</v>
      </c>
      <c r="I633" s="748"/>
      <c r="J633" s="1407">
        <f t="shared" si="118"/>
        <v>0</v>
      </c>
      <c r="K633" s="1199"/>
      <c r="L633" s="1125">
        <f t="shared" si="119"/>
        <v>0</v>
      </c>
      <c r="M633" s="1208"/>
      <c r="N633" s="1339">
        <f t="shared" si="120"/>
        <v>0</v>
      </c>
      <c r="O633" s="1340">
        <f t="shared" si="121"/>
        <v>0</v>
      </c>
      <c r="P633" s="1339">
        <f t="shared" si="122"/>
        <v>0</v>
      </c>
      <c r="Q633" s="1340">
        <f t="shared" si="123"/>
        <v>1.9</v>
      </c>
      <c r="R633" s="1339">
        <f t="shared" si="124"/>
        <v>12830.47</v>
      </c>
    </row>
    <row r="634" spans="1:20" s="700" customFormat="1" ht="70.5" hidden="1" customHeight="1">
      <c r="A634" s="601"/>
      <c r="B634" s="538" t="s">
        <v>6074</v>
      </c>
      <c r="C634" s="602">
        <f>Data!R3203</f>
        <v>6286.31</v>
      </c>
      <c r="D634" s="744" t="s">
        <v>2322</v>
      </c>
      <c r="E634" s="1100"/>
      <c r="F634" s="1125">
        <f t="shared" si="116"/>
        <v>0</v>
      </c>
      <c r="G634" s="1199"/>
      <c r="H634" s="1125">
        <f t="shared" si="117"/>
        <v>0</v>
      </c>
      <c r="I634" s="748"/>
      <c r="J634" s="1407">
        <f t="shared" si="118"/>
        <v>0</v>
      </c>
      <c r="K634" s="1199"/>
      <c r="L634" s="1125">
        <f t="shared" si="119"/>
        <v>0</v>
      </c>
      <c r="M634" s="1200"/>
      <c r="N634" s="1339">
        <f t="shared" si="120"/>
        <v>0</v>
      </c>
      <c r="O634" s="1340">
        <f t="shared" si="121"/>
        <v>0</v>
      </c>
      <c r="P634" s="1339">
        <f t="shared" si="122"/>
        <v>0</v>
      </c>
      <c r="Q634" s="1340">
        <f t="shared" si="123"/>
        <v>0</v>
      </c>
      <c r="R634" s="1339">
        <f t="shared" si="124"/>
        <v>0</v>
      </c>
    </row>
    <row r="635" spans="1:20" ht="70.5" hidden="1" customHeight="1">
      <c r="A635" s="1369"/>
      <c r="B635" s="1370" t="s">
        <v>6073</v>
      </c>
      <c r="C635" s="1411">
        <f>Data!R2654</f>
        <v>7218.85</v>
      </c>
      <c r="D635" s="1371" t="s">
        <v>2322</v>
      </c>
      <c r="E635" s="1372"/>
      <c r="F635" s="1125">
        <f t="shared" si="116"/>
        <v>0</v>
      </c>
      <c r="G635" s="1427"/>
      <c r="H635" s="1125">
        <f t="shared" si="117"/>
        <v>0</v>
      </c>
      <c r="I635" s="1312"/>
      <c r="J635" s="1312">
        <f t="shared" si="118"/>
        <v>0</v>
      </c>
      <c r="K635" s="1427"/>
      <c r="L635" s="1125">
        <f t="shared" si="119"/>
        <v>0</v>
      </c>
      <c r="M635" s="1435"/>
      <c r="N635" s="1339">
        <f t="shared" si="120"/>
        <v>0</v>
      </c>
      <c r="O635" s="1340">
        <f t="shared" si="121"/>
        <v>0</v>
      </c>
      <c r="P635" s="1339">
        <f t="shared" si="122"/>
        <v>0</v>
      </c>
      <c r="Q635" s="1340">
        <f t="shared" si="123"/>
        <v>0</v>
      </c>
      <c r="R635" s="1339">
        <f t="shared" si="124"/>
        <v>0</v>
      </c>
      <c r="S635" s="1322">
        <f>F635+P635</f>
        <v>0</v>
      </c>
      <c r="T635" s="1322">
        <f>S635-R635</f>
        <v>0</v>
      </c>
    </row>
    <row r="636" spans="1:20" s="700" customFormat="1" ht="70.5" hidden="1" customHeight="1">
      <c r="A636" s="601"/>
      <c r="B636" s="538" t="s">
        <v>4876</v>
      </c>
      <c r="C636" s="602">
        <f>Data!R2834</f>
        <v>6116.01</v>
      </c>
      <c r="D636" s="744" t="s">
        <v>2322</v>
      </c>
      <c r="E636" s="1276"/>
      <c r="F636" s="1125">
        <f t="shared" si="116"/>
        <v>0</v>
      </c>
      <c r="G636" s="1199"/>
      <c r="H636" s="1125">
        <f t="shared" si="117"/>
        <v>0</v>
      </c>
      <c r="I636" s="748"/>
      <c r="J636" s="748">
        <f t="shared" si="118"/>
        <v>0</v>
      </c>
      <c r="K636" s="1199"/>
      <c r="L636" s="1125">
        <f t="shared" si="119"/>
        <v>0</v>
      </c>
      <c r="M636" s="1200"/>
      <c r="N636" s="1339">
        <f t="shared" si="120"/>
        <v>0</v>
      </c>
      <c r="O636" s="1340">
        <f t="shared" si="121"/>
        <v>0</v>
      </c>
      <c r="P636" s="1339">
        <f t="shared" si="122"/>
        <v>0</v>
      </c>
      <c r="Q636" s="1340">
        <f t="shared" si="123"/>
        <v>0</v>
      </c>
      <c r="R636" s="1339">
        <f t="shared" si="124"/>
        <v>0</v>
      </c>
    </row>
    <row r="637" spans="1:20" s="700" customFormat="1" ht="70.5" hidden="1" customHeight="1">
      <c r="A637" s="601"/>
      <c r="B637" s="538" t="s">
        <v>5953</v>
      </c>
      <c r="C637" s="745">
        <f>Data!K1000</f>
        <v>5112.2700000000004</v>
      </c>
      <c r="D637" s="744" t="s">
        <v>2322</v>
      </c>
      <c r="E637" s="1276"/>
      <c r="F637" s="1125">
        <f t="shared" si="116"/>
        <v>0</v>
      </c>
      <c r="G637" s="1199"/>
      <c r="H637" s="1125">
        <f t="shared" si="117"/>
        <v>0</v>
      </c>
      <c r="I637" s="748"/>
      <c r="J637" s="748">
        <f t="shared" si="118"/>
        <v>0</v>
      </c>
      <c r="K637" s="1199"/>
      <c r="L637" s="1125">
        <f t="shared" si="119"/>
        <v>0</v>
      </c>
      <c r="M637" s="1200"/>
      <c r="N637" s="1339">
        <f t="shared" si="120"/>
        <v>0</v>
      </c>
      <c r="O637" s="1340">
        <f t="shared" si="121"/>
        <v>0</v>
      </c>
      <c r="P637" s="1339">
        <f t="shared" si="122"/>
        <v>0</v>
      </c>
      <c r="Q637" s="1340">
        <f t="shared" si="123"/>
        <v>0</v>
      </c>
      <c r="R637" s="1339">
        <f t="shared" si="124"/>
        <v>0</v>
      </c>
    </row>
    <row r="638" spans="1:20" s="700" customFormat="1" ht="70.5" hidden="1" customHeight="1">
      <c r="A638" s="601"/>
      <c r="B638" s="538" t="s">
        <v>4953</v>
      </c>
      <c r="C638" s="747">
        <f>Data!K1000</f>
        <v>5112.2700000000004</v>
      </c>
      <c r="D638" s="744" t="s">
        <v>2322</v>
      </c>
      <c r="E638" s="1276"/>
      <c r="F638" s="1125">
        <f t="shared" si="116"/>
        <v>0</v>
      </c>
      <c r="G638" s="1199"/>
      <c r="H638" s="1125">
        <f t="shared" si="117"/>
        <v>0</v>
      </c>
      <c r="I638" s="748"/>
      <c r="J638" s="748">
        <f t="shared" si="118"/>
        <v>0</v>
      </c>
      <c r="K638" s="1199"/>
      <c r="L638" s="1125">
        <f t="shared" si="119"/>
        <v>0</v>
      </c>
      <c r="M638" s="1200"/>
      <c r="N638" s="1339">
        <f t="shared" si="120"/>
        <v>0</v>
      </c>
      <c r="O638" s="1340">
        <f t="shared" si="121"/>
        <v>0</v>
      </c>
      <c r="P638" s="1339">
        <f t="shared" si="122"/>
        <v>0</v>
      </c>
      <c r="Q638" s="1340">
        <f t="shared" si="123"/>
        <v>0</v>
      </c>
      <c r="R638" s="1339">
        <f t="shared" si="124"/>
        <v>0</v>
      </c>
    </row>
    <row r="639" spans="1:20" s="700" customFormat="1" ht="70.5" hidden="1" customHeight="1">
      <c r="A639" s="601"/>
      <c r="B639" s="600" t="s">
        <v>4574</v>
      </c>
      <c r="C639" s="602"/>
      <c r="D639" s="744"/>
      <c r="E639" s="1276"/>
      <c r="F639" s="1125">
        <f t="shared" si="116"/>
        <v>0</v>
      </c>
      <c r="G639" s="1199"/>
      <c r="H639" s="1125">
        <f t="shared" si="117"/>
        <v>0</v>
      </c>
      <c r="I639" s="748"/>
      <c r="J639" s="748">
        <f t="shared" si="118"/>
        <v>0</v>
      </c>
      <c r="K639" s="1199"/>
      <c r="L639" s="1125">
        <f t="shared" si="119"/>
        <v>0</v>
      </c>
      <c r="M639" s="1200"/>
      <c r="N639" s="1339">
        <f t="shared" si="120"/>
        <v>0</v>
      </c>
      <c r="O639" s="1340">
        <f t="shared" si="121"/>
        <v>0</v>
      </c>
      <c r="P639" s="1339">
        <f t="shared" si="122"/>
        <v>0</v>
      </c>
      <c r="Q639" s="1340">
        <f t="shared" si="123"/>
        <v>0</v>
      </c>
      <c r="R639" s="1339">
        <f t="shared" si="124"/>
        <v>0</v>
      </c>
    </row>
    <row r="640" spans="1:20" s="700" customFormat="1" ht="70.5" hidden="1" customHeight="1">
      <c r="A640" s="601"/>
      <c r="B640" s="538" t="s">
        <v>4573</v>
      </c>
      <c r="C640" s="602">
        <f>Data!K3434</f>
        <v>5325.2</v>
      </c>
      <c r="D640" s="744" t="s">
        <v>2322</v>
      </c>
      <c r="E640" s="1276"/>
      <c r="F640" s="1125">
        <f t="shared" si="116"/>
        <v>0</v>
      </c>
      <c r="G640" s="1199"/>
      <c r="H640" s="1125">
        <f t="shared" si="117"/>
        <v>0</v>
      </c>
      <c r="I640" s="748"/>
      <c r="J640" s="748">
        <f t="shared" si="118"/>
        <v>0</v>
      </c>
      <c r="K640" s="1199"/>
      <c r="L640" s="1125">
        <f t="shared" si="119"/>
        <v>0</v>
      </c>
      <c r="M640" s="1200"/>
      <c r="N640" s="1339">
        <f t="shared" si="120"/>
        <v>0</v>
      </c>
      <c r="O640" s="1340">
        <f t="shared" si="121"/>
        <v>0</v>
      </c>
      <c r="P640" s="1339">
        <f t="shared" si="122"/>
        <v>0</v>
      </c>
      <c r="Q640" s="1340">
        <f t="shared" si="123"/>
        <v>0</v>
      </c>
      <c r="R640" s="1339">
        <f t="shared" si="124"/>
        <v>0</v>
      </c>
    </row>
    <row r="641" spans="1:20" s="700" customFormat="1" ht="70.5" hidden="1" customHeight="1">
      <c r="A641" s="601"/>
      <c r="B641" s="1129" t="s">
        <v>4908</v>
      </c>
      <c r="C641" s="602">
        <f>Data!AG2629</f>
        <v>5937.12</v>
      </c>
      <c r="D641" s="744" t="s">
        <v>2322</v>
      </c>
      <c r="E641" s="1276"/>
      <c r="F641" s="1125">
        <f t="shared" si="116"/>
        <v>0</v>
      </c>
      <c r="G641" s="1199"/>
      <c r="H641" s="1125">
        <f t="shared" si="117"/>
        <v>0</v>
      </c>
      <c r="I641" s="748"/>
      <c r="J641" s="748">
        <f t="shared" si="118"/>
        <v>0</v>
      </c>
      <c r="K641" s="1199"/>
      <c r="L641" s="1125">
        <f t="shared" si="119"/>
        <v>0</v>
      </c>
      <c r="M641" s="1200"/>
      <c r="N641" s="1339">
        <f t="shared" si="120"/>
        <v>0</v>
      </c>
      <c r="O641" s="1340">
        <f t="shared" si="121"/>
        <v>0</v>
      </c>
      <c r="P641" s="1339">
        <f t="shared" si="122"/>
        <v>0</v>
      </c>
      <c r="Q641" s="1340">
        <f t="shared" si="123"/>
        <v>0</v>
      </c>
      <c r="R641" s="1339">
        <f t="shared" si="124"/>
        <v>0</v>
      </c>
    </row>
    <row r="642" spans="1:20" s="700" customFormat="1" ht="70.5" customHeight="1">
      <c r="A642" s="601"/>
      <c r="B642" s="538" t="s">
        <v>4954</v>
      </c>
      <c r="C642" s="1111">
        <f>Data!K3331</f>
        <v>6196.56</v>
      </c>
      <c r="D642" s="1151" t="s">
        <v>2322</v>
      </c>
      <c r="E642" s="1100">
        <v>4</v>
      </c>
      <c r="F642" s="1125">
        <f t="shared" si="116"/>
        <v>24786.240000000002</v>
      </c>
      <c r="G642" s="1199"/>
      <c r="H642" s="1125">
        <f t="shared" si="117"/>
        <v>0</v>
      </c>
      <c r="I642" s="748"/>
      <c r="J642" s="748">
        <f t="shared" si="118"/>
        <v>0</v>
      </c>
      <c r="K642" s="1199"/>
      <c r="L642" s="1125">
        <f t="shared" si="119"/>
        <v>0</v>
      </c>
      <c r="M642" s="1200"/>
      <c r="N642" s="1339">
        <f t="shared" si="120"/>
        <v>0</v>
      </c>
      <c r="O642" s="1340">
        <f t="shared" si="121"/>
        <v>0</v>
      </c>
      <c r="P642" s="1339">
        <f t="shared" si="122"/>
        <v>0</v>
      </c>
      <c r="Q642" s="1340">
        <f t="shared" si="123"/>
        <v>4</v>
      </c>
      <c r="R642" s="1339">
        <f t="shared" si="124"/>
        <v>24786.240000000002</v>
      </c>
    </row>
    <row r="643" spans="1:20" s="700" customFormat="1" ht="70.5" hidden="1" customHeight="1">
      <c r="A643" s="601"/>
      <c r="B643" s="538" t="s">
        <v>4688</v>
      </c>
      <c r="C643" s="602">
        <f>Data!R3203</f>
        <v>6286.31</v>
      </c>
      <c r="D643" s="744" t="s">
        <v>2322</v>
      </c>
      <c r="E643" s="1100"/>
      <c r="F643" s="1125">
        <f t="shared" si="116"/>
        <v>0</v>
      </c>
      <c r="G643" s="1199"/>
      <c r="H643" s="1125">
        <f t="shared" si="117"/>
        <v>0</v>
      </c>
      <c r="I643" s="748"/>
      <c r="J643" s="748">
        <f t="shared" si="118"/>
        <v>0</v>
      </c>
      <c r="K643" s="1199"/>
      <c r="L643" s="1125">
        <f t="shared" si="119"/>
        <v>0</v>
      </c>
      <c r="M643" s="1200"/>
      <c r="N643" s="1339">
        <f t="shared" si="120"/>
        <v>0</v>
      </c>
      <c r="O643" s="1340">
        <f t="shared" si="121"/>
        <v>0</v>
      </c>
      <c r="P643" s="1339">
        <f t="shared" si="122"/>
        <v>0</v>
      </c>
      <c r="Q643" s="1340">
        <f t="shared" si="123"/>
        <v>0</v>
      </c>
      <c r="R643" s="1339">
        <f t="shared" si="124"/>
        <v>0</v>
      </c>
    </row>
    <row r="644" spans="1:20" s="700" customFormat="1" ht="70.5" hidden="1" customHeight="1">
      <c r="A644" s="601"/>
      <c r="B644" s="1152" t="s">
        <v>4572</v>
      </c>
      <c r="C644" s="602">
        <f>Data!K2647</f>
        <v>6604.12</v>
      </c>
      <c r="D644" s="744" t="s">
        <v>2322</v>
      </c>
      <c r="E644" s="1276"/>
      <c r="F644" s="1125">
        <f t="shared" si="116"/>
        <v>0</v>
      </c>
      <c r="G644" s="1199"/>
      <c r="H644" s="1125">
        <f t="shared" si="117"/>
        <v>0</v>
      </c>
      <c r="I644" s="748"/>
      <c r="J644" s="748">
        <f t="shared" si="118"/>
        <v>0</v>
      </c>
      <c r="K644" s="1199"/>
      <c r="L644" s="1125">
        <f t="shared" si="119"/>
        <v>0</v>
      </c>
      <c r="M644" s="1200"/>
      <c r="N644" s="1339">
        <f t="shared" si="120"/>
        <v>0</v>
      </c>
      <c r="O644" s="1340">
        <f t="shared" si="121"/>
        <v>0</v>
      </c>
      <c r="P644" s="1339">
        <f t="shared" si="122"/>
        <v>0</v>
      </c>
      <c r="Q644" s="1340">
        <f t="shared" si="123"/>
        <v>0</v>
      </c>
      <c r="R644" s="1339">
        <f t="shared" si="124"/>
        <v>0</v>
      </c>
    </row>
    <row r="645" spans="1:20" s="700" customFormat="1" ht="70.5" hidden="1" customHeight="1">
      <c r="A645" s="601"/>
      <c r="B645" s="1129" t="s">
        <v>4909</v>
      </c>
      <c r="C645" s="602">
        <f>Data!R2654</f>
        <v>7218.85</v>
      </c>
      <c r="D645" s="744" t="s">
        <v>2322</v>
      </c>
      <c r="E645" s="1276"/>
      <c r="F645" s="1125">
        <f t="shared" si="116"/>
        <v>0</v>
      </c>
      <c r="G645" s="1199"/>
      <c r="H645" s="1125">
        <f t="shared" si="117"/>
        <v>0</v>
      </c>
      <c r="I645" s="748"/>
      <c r="J645" s="748">
        <f t="shared" si="118"/>
        <v>0</v>
      </c>
      <c r="K645" s="1199"/>
      <c r="L645" s="1125">
        <f t="shared" si="119"/>
        <v>0</v>
      </c>
      <c r="M645" s="1200"/>
      <c r="N645" s="1339">
        <f t="shared" si="120"/>
        <v>0</v>
      </c>
      <c r="O645" s="1340">
        <f t="shared" si="121"/>
        <v>0</v>
      </c>
      <c r="P645" s="1339">
        <f t="shared" si="122"/>
        <v>0</v>
      </c>
      <c r="Q645" s="1340">
        <f t="shared" si="123"/>
        <v>0</v>
      </c>
      <c r="R645" s="1339">
        <f t="shared" si="124"/>
        <v>0</v>
      </c>
    </row>
    <row r="646" spans="1:20" s="700" customFormat="1" ht="70.5" hidden="1" customHeight="1">
      <c r="A646" s="601"/>
      <c r="B646" s="1153" t="s">
        <v>4910</v>
      </c>
      <c r="C646" s="602">
        <f>'Sliding and french window'!G219</f>
        <v>27750</v>
      </c>
      <c r="D646" s="744" t="s">
        <v>1423</v>
      </c>
      <c r="E646" s="1276"/>
      <c r="F646" s="1125">
        <f t="shared" si="116"/>
        <v>0</v>
      </c>
      <c r="G646" s="1199"/>
      <c r="H646" s="1125">
        <f t="shared" si="117"/>
        <v>0</v>
      </c>
      <c r="I646" s="748"/>
      <c r="J646" s="748">
        <f t="shared" si="118"/>
        <v>0</v>
      </c>
      <c r="K646" s="1199"/>
      <c r="L646" s="1125">
        <f t="shared" si="119"/>
        <v>0</v>
      </c>
      <c r="M646" s="1200"/>
      <c r="N646" s="1339">
        <f t="shared" si="120"/>
        <v>0</v>
      </c>
      <c r="O646" s="1340">
        <f t="shared" si="121"/>
        <v>0</v>
      </c>
      <c r="P646" s="1339">
        <f t="shared" si="122"/>
        <v>0</v>
      </c>
      <c r="Q646" s="1340">
        <f t="shared" si="123"/>
        <v>0</v>
      </c>
      <c r="R646" s="1339">
        <f t="shared" si="124"/>
        <v>0</v>
      </c>
    </row>
    <row r="647" spans="1:20" s="700" customFormat="1" ht="70.5" hidden="1" customHeight="1">
      <c r="A647" s="601"/>
      <c r="B647" s="1112" t="s">
        <v>4956</v>
      </c>
      <c r="C647" s="601"/>
      <c r="D647" s="601"/>
      <c r="E647" s="1276"/>
      <c r="F647" s="1125">
        <f t="shared" ref="F647:F710" si="129">E647*C647</f>
        <v>0</v>
      </c>
      <c r="G647" s="1199"/>
      <c r="H647" s="1125">
        <f t="shared" ref="H647:H710" si="130">G647*C647</f>
        <v>0</v>
      </c>
      <c r="I647" s="748"/>
      <c r="J647" s="748">
        <f t="shared" si="118"/>
        <v>0</v>
      </c>
      <c r="K647" s="1199"/>
      <c r="L647" s="1125">
        <f t="shared" ref="L647:L710" si="131">K647*C647</f>
        <v>0</v>
      </c>
      <c r="M647" s="1200"/>
      <c r="N647" s="1339">
        <f t="shared" ref="N647:N710" si="132">M647*C647</f>
        <v>0</v>
      </c>
      <c r="O647" s="1340">
        <f t="shared" ref="O647:O710" si="133">G647+K647+M647</f>
        <v>0</v>
      </c>
      <c r="P647" s="1339">
        <f t="shared" ref="P647:P710" si="134">O647*C647</f>
        <v>0</v>
      </c>
      <c r="Q647" s="1340">
        <f t="shared" ref="Q647:Q710" si="135">O647+E647</f>
        <v>0</v>
      </c>
      <c r="R647" s="1339">
        <f t="shared" ref="R647:R710" si="136">Q647*C647</f>
        <v>0</v>
      </c>
    </row>
    <row r="648" spans="1:20" s="700" customFormat="1" ht="70.5" hidden="1" customHeight="1">
      <c r="A648" s="601"/>
      <c r="B648" s="538" t="s">
        <v>4951</v>
      </c>
      <c r="C648" s="1111">
        <v>3346.03</v>
      </c>
      <c r="D648" s="744" t="s">
        <v>236</v>
      </c>
      <c r="E648" s="1276"/>
      <c r="F648" s="1125">
        <f t="shared" si="129"/>
        <v>0</v>
      </c>
      <c r="G648" s="1199"/>
      <c r="H648" s="1125">
        <f t="shared" si="130"/>
        <v>0</v>
      </c>
      <c r="I648" s="748"/>
      <c r="J648" s="748">
        <f t="shared" si="118"/>
        <v>0</v>
      </c>
      <c r="K648" s="1199"/>
      <c r="L648" s="1125">
        <f t="shared" si="131"/>
        <v>0</v>
      </c>
      <c r="M648" s="1200"/>
      <c r="N648" s="1339">
        <f t="shared" si="132"/>
        <v>0</v>
      </c>
      <c r="O648" s="1340">
        <f t="shared" si="133"/>
        <v>0</v>
      </c>
      <c r="P648" s="1339">
        <f t="shared" si="134"/>
        <v>0</v>
      </c>
      <c r="Q648" s="1340">
        <f t="shared" si="135"/>
        <v>0</v>
      </c>
      <c r="R648" s="1339">
        <f t="shared" si="136"/>
        <v>0</v>
      </c>
    </row>
    <row r="649" spans="1:20" s="700" customFormat="1" ht="70.5" hidden="1" customHeight="1">
      <c r="A649" s="601"/>
      <c r="B649" s="538" t="s">
        <v>4952</v>
      </c>
      <c r="C649" s="1125">
        <v>2819.29</v>
      </c>
      <c r="D649" s="744" t="s">
        <v>236</v>
      </c>
      <c r="E649" s="1276"/>
      <c r="F649" s="1125">
        <f t="shared" si="129"/>
        <v>0</v>
      </c>
      <c r="G649" s="1199"/>
      <c r="H649" s="1125">
        <f t="shared" si="130"/>
        <v>0</v>
      </c>
      <c r="I649" s="748"/>
      <c r="J649" s="748">
        <f t="shared" ref="J649:J713" si="137">I649*C649</f>
        <v>0</v>
      </c>
      <c r="K649" s="1199"/>
      <c r="L649" s="1125">
        <f t="shared" si="131"/>
        <v>0</v>
      </c>
      <c r="M649" s="1200"/>
      <c r="N649" s="1339">
        <f t="shared" si="132"/>
        <v>0</v>
      </c>
      <c r="O649" s="1340">
        <f t="shared" si="133"/>
        <v>0</v>
      </c>
      <c r="P649" s="1339">
        <f t="shared" si="134"/>
        <v>0</v>
      </c>
      <c r="Q649" s="1340">
        <f t="shared" si="135"/>
        <v>0</v>
      </c>
      <c r="R649" s="1339">
        <f t="shared" si="136"/>
        <v>0</v>
      </c>
    </row>
    <row r="650" spans="1:20" s="700" customFormat="1" ht="70.5" hidden="1" customHeight="1">
      <c r="A650" s="602"/>
      <c r="B650" s="538" t="s">
        <v>4955</v>
      </c>
      <c r="C650" s="1125">
        <v>2596.6799999999998</v>
      </c>
      <c r="D650" s="744" t="s">
        <v>2322</v>
      </c>
      <c r="E650" s="1276"/>
      <c r="F650" s="1125">
        <f t="shared" si="129"/>
        <v>0</v>
      </c>
      <c r="G650" s="1199"/>
      <c r="H650" s="1125">
        <f t="shared" si="130"/>
        <v>0</v>
      </c>
      <c r="I650" s="748"/>
      <c r="J650" s="748">
        <f t="shared" si="137"/>
        <v>0</v>
      </c>
      <c r="K650" s="1199"/>
      <c r="L650" s="1125">
        <f t="shared" si="131"/>
        <v>0</v>
      </c>
      <c r="M650" s="1200"/>
      <c r="N650" s="1339">
        <f t="shared" si="132"/>
        <v>0</v>
      </c>
      <c r="O650" s="1340">
        <f t="shared" si="133"/>
        <v>0</v>
      </c>
      <c r="P650" s="1339">
        <f t="shared" si="134"/>
        <v>0</v>
      </c>
      <c r="Q650" s="1340">
        <f t="shared" si="135"/>
        <v>0</v>
      </c>
      <c r="R650" s="1339">
        <f t="shared" si="136"/>
        <v>0</v>
      </c>
    </row>
    <row r="651" spans="1:20" s="700" customFormat="1" ht="70.5" hidden="1" customHeight="1">
      <c r="A651" s="601"/>
      <c r="B651" s="538" t="s">
        <v>4575</v>
      </c>
      <c r="C651" s="1109">
        <f>Data!R1000</f>
        <v>4124.04</v>
      </c>
      <c r="D651" s="1109" t="s">
        <v>2322</v>
      </c>
      <c r="E651" s="1276"/>
      <c r="F651" s="1125">
        <f t="shared" si="129"/>
        <v>0</v>
      </c>
      <c r="G651" s="1199"/>
      <c r="H651" s="1125">
        <f t="shared" si="130"/>
        <v>0</v>
      </c>
      <c r="I651" s="748"/>
      <c r="J651" s="748">
        <f t="shared" si="137"/>
        <v>0</v>
      </c>
      <c r="K651" s="1199"/>
      <c r="L651" s="1125">
        <f t="shared" si="131"/>
        <v>0</v>
      </c>
      <c r="M651" s="1200"/>
      <c r="N651" s="1339">
        <f t="shared" si="132"/>
        <v>0</v>
      </c>
      <c r="O651" s="1340">
        <f t="shared" si="133"/>
        <v>0</v>
      </c>
      <c r="P651" s="1339">
        <f t="shared" si="134"/>
        <v>0</v>
      </c>
      <c r="Q651" s="1340">
        <f t="shared" si="135"/>
        <v>0</v>
      </c>
      <c r="R651" s="1339">
        <f t="shared" si="136"/>
        <v>0</v>
      </c>
    </row>
    <row r="652" spans="1:20" s="700" customFormat="1" ht="70.5" hidden="1" customHeight="1">
      <c r="A652" s="601"/>
      <c r="B652" s="538" t="s">
        <v>5955</v>
      </c>
      <c r="C652" s="1109">
        <f>Sheet1!G38</f>
        <v>3489.37</v>
      </c>
      <c r="D652" s="1109" t="s">
        <v>2322</v>
      </c>
      <c r="E652" s="1276"/>
      <c r="F652" s="1125">
        <f t="shared" si="129"/>
        <v>0</v>
      </c>
      <c r="G652" s="1199"/>
      <c r="H652" s="1125">
        <f t="shared" si="130"/>
        <v>0</v>
      </c>
      <c r="I652" s="748"/>
      <c r="J652" s="748">
        <f t="shared" si="137"/>
        <v>0</v>
      </c>
      <c r="K652" s="1199"/>
      <c r="L652" s="1125">
        <f t="shared" si="131"/>
        <v>0</v>
      </c>
      <c r="M652" s="1200"/>
      <c r="N652" s="1339">
        <f t="shared" si="132"/>
        <v>0</v>
      </c>
      <c r="O652" s="1340">
        <f t="shared" si="133"/>
        <v>0</v>
      </c>
      <c r="P652" s="1339">
        <f t="shared" si="134"/>
        <v>0</v>
      </c>
      <c r="Q652" s="1340">
        <f t="shared" si="135"/>
        <v>0</v>
      </c>
      <c r="R652" s="1339">
        <f t="shared" si="136"/>
        <v>0</v>
      </c>
      <c r="S652" s="700">
        <f>F652+P652</f>
        <v>0</v>
      </c>
      <c r="T652" s="700">
        <f>S652-R652</f>
        <v>0</v>
      </c>
    </row>
    <row r="653" spans="1:20" s="700" customFormat="1" ht="70.5" hidden="1" customHeight="1">
      <c r="A653" s="601"/>
      <c r="B653" s="538" t="s">
        <v>5954</v>
      </c>
      <c r="C653" s="1109">
        <f>Data!R3166</f>
        <v>3371.53</v>
      </c>
      <c r="D653" s="1109" t="s">
        <v>2322</v>
      </c>
      <c r="E653" s="1276"/>
      <c r="F653" s="1125">
        <f t="shared" si="129"/>
        <v>0</v>
      </c>
      <c r="G653" s="1199"/>
      <c r="H653" s="1125">
        <f t="shared" si="130"/>
        <v>0</v>
      </c>
      <c r="I653" s="748"/>
      <c r="J653" s="748">
        <f t="shared" si="137"/>
        <v>0</v>
      </c>
      <c r="K653" s="1199"/>
      <c r="L653" s="1125">
        <f t="shared" si="131"/>
        <v>0</v>
      </c>
      <c r="M653" s="1200"/>
      <c r="N653" s="1339">
        <f t="shared" si="132"/>
        <v>0</v>
      </c>
      <c r="O653" s="1340">
        <f t="shared" si="133"/>
        <v>0</v>
      </c>
      <c r="P653" s="1339">
        <f t="shared" si="134"/>
        <v>0</v>
      </c>
      <c r="Q653" s="1340">
        <f t="shared" si="135"/>
        <v>0</v>
      </c>
      <c r="R653" s="1339">
        <f t="shared" si="136"/>
        <v>0</v>
      </c>
    </row>
    <row r="654" spans="1:20" s="700" customFormat="1" ht="70.5" hidden="1" customHeight="1">
      <c r="A654" s="601"/>
      <c r="B654" s="538" t="s">
        <v>5886</v>
      </c>
      <c r="C654" s="1109">
        <f>Data!K1066</f>
        <v>3687.68</v>
      </c>
      <c r="D654" s="1109" t="s">
        <v>2322</v>
      </c>
      <c r="E654" s="1276"/>
      <c r="F654" s="1125">
        <f t="shared" si="129"/>
        <v>0</v>
      </c>
      <c r="G654" s="1199"/>
      <c r="H654" s="1125">
        <f t="shared" si="130"/>
        <v>0</v>
      </c>
      <c r="I654" s="748"/>
      <c r="J654" s="748">
        <f t="shared" si="137"/>
        <v>0</v>
      </c>
      <c r="K654" s="1199"/>
      <c r="L654" s="1125">
        <f t="shared" si="131"/>
        <v>0</v>
      </c>
      <c r="M654" s="1208"/>
      <c r="N654" s="1339">
        <f t="shared" si="132"/>
        <v>0</v>
      </c>
      <c r="O654" s="1340">
        <f t="shared" si="133"/>
        <v>0</v>
      </c>
      <c r="P654" s="1339">
        <f t="shared" si="134"/>
        <v>0</v>
      </c>
      <c r="Q654" s="1340">
        <f t="shared" si="135"/>
        <v>0</v>
      </c>
      <c r="R654" s="1339">
        <f t="shared" si="136"/>
        <v>0</v>
      </c>
    </row>
    <row r="655" spans="1:20" s="700" customFormat="1" ht="70.5" hidden="1" customHeight="1">
      <c r="A655" s="601"/>
      <c r="B655" s="538" t="s">
        <v>4934</v>
      </c>
      <c r="C655" s="602">
        <v>8847.7900000000009</v>
      </c>
      <c r="D655" s="744" t="s">
        <v>2322</v>
      </c>
      <c r="E655" s="1276"/>
      <c r="F655" s="1125">
        <f t="shared" si="129"/>
        <v>0</v>
      </c>
      <c r="G655" s="1199"/>
      <c r="H655" s="1125">
        <f t="shared" si="130"/>
        <v>0</v>
      </c>
      <c r="I655" s="748"/>
      <c r="J655" s="748">
        <f t="shared" si="137"/>
        <v>0</v>
      </c>
      <c r="K655" s="1199"/>
      <c r="L655" s="1125">
        <f t="shared" si="131"/>
        <v>0</v>
      </c>
      <c r="M655" s="1200"/>
      <c r="N655" s="1339">
        <f t="shared" si="132"/>
        <v>0</v>
      </c>
      <c r="O655" s="1340">
        <f t="shared" si="133"/>
        <v>0</v>
      </c>
      <c r="P655" s="1339">
        <f t="shared" si="134"/>
        <v>0</v>
      </c>
      <c r="Q655" s="1340">
        <f t="shared" si="135"/>
        <v>0</v>
      </c>
      <c r="R655" s="1339">
        <f t="shared" si="136"/>
        <v>0</v>
      </c>
    </row>
    <row r="656" spans="1:20" ht="70.5" customHeight="1">
      <c r="A656" s="1486" t="s">
        <v>3598</v>
      </c>
      <c r="B656" s="1198" t="s">
        <v>4541</v>
      </c>
      <c r="C656" s="1111">
        <f>Data!C704</f>
        <v>3325</v>
      </c>
      <c r="D656" s="1110" t="s">
        <v>2322</v>
      </c>
      <c r="E656" s="1336">
        <v>50.4</v>
      </c>
      <c r="F656" s="1125">
        <f t="shared" si="129"/>
        <v>167580</v>
      </c>
      <c r="G656" s="1335"/>
      <c r="H656" s="1125">
        <f t="shared" si="130"/>
        <v>0</v>
      </c>
      <c r="I656" s="1312"/>
      <c r="J656" s="1406">
        <f t="shared" si="137"/>
        <v>0</v>
      </c>
      <c r="K656" s="1335"/>
      <c r="L656" s="1125">
        <f t="shared" si="131"/>
        <v>0</v>
      </c>
      <c r="M656" s="1340"/>
      <c r="N656" s="1339">
        <f t="shared" si="132"/>
        <v>0</v>
      </c>
      <c r="O656" s="1340">
        <f t="shared" si="133"/>
        <v>0</v>
      </c>
      <c r="P656" s="1339">
        <f t="shared" si="134"/>
        <v>0</v>
      </c>
      <c r="Q656" s="1340">
        <f t="shared" si="135"/>
        <v>50.4</v>
      </c>
      <c r="R656" s="1339">
        <f t="shared" si="136"/>
        <v>167580</v>
      </c>
      <c r="S656" s="1322">
        <f t="shared" ref="S656:S657" si="138">F656+P656</f>
        <v>167580</v>
      </c>
      <c r="T656" s="1322">
        <f t="shared" ref="T656:T657" si="139">S656-R656</f>
        <v>0</v>
      </c>
    </row>
    <row r="657" spans="1:20" ht="70.5" hidden="1" customHeight="1">
      <c r="A657" s="1426"/>
      <c r="B657" s="1370" t="s">
        <v>6033</v>
      </c>
      <c r="C657" s="1411">
        <v>3562</v>
      </c>
      <c r="D657" s="1371" t="s">
        <v>2322</v>
      </c>
      <c r="E657" s="1372"/>
      <c r="F657" s="1125">
        <f t="shared" si="129"/>
        <v>0</v>
      </c>
      <c r="G657" s="1427"/>
      <c r="H657" s="1125">
        <f t="shared" si="130"/>
        <v>0</v>
      </c>
      <c r="I657" s="1312"/>
      <c r="J657" s="1312">
        <f t="shared" ref="J657" si="140">I657*C657</f>
        <v>0</v>
      </c>
      <c r="K657" s="1427"/>
      <c r="L657" s="1125">
        <f t="shared" si="131"/>
        <v>0</v>
      </c>
      <c r="M657" s="1413"/>
      <c r="N657" s="1339">
        <f t="shared" si="132"/>
        <v>0</v>
      </c>
      <c r="O657" s="1340">
        <f t="shared" si="133"/>
        <v>0</v>
      </c>
      <c r="P657" s="1339">
        <f t="shared" si="134"/>
        <v>0</v>
      </c>
      <c r="Q657" s="1340">
        <f t="shared" si="135"/>
        <v>0</v>
      </c>
      <c r="R657" s="1339">
        <f t="shared" si="136"/>
        <v>0</v>
      </c>
      <c r="S657" s="1322">
        <f t="shared" si="138"/>
        <v>0</v>
      </c>
      <c r="T657" s="1322">
        <f t="shared" si="139"/>
        <v>0</v>
      </c>
    </row>
    <row r="658" spans="1:20" s="700" customFormat="1" ht="70.5" hidden="1" customHeight="1">
      <c r="A658" s="1154" t="s">
        <v>710</v>
      </c>
      <c r="B658" s="1108" t="s">
        <v>5880</v>
      </c>
      <c r="C658" s="1109">
        <f>Data!K1185</f>
        <v>845.1</v>
      </c>
      <c r="D658" s="1110" t="s">
        <v>2322</v>
      </c>
      <c r="E658" s="1276"/>
      <c r="F658" s="1125">
        <f t="shared" si="129"/>
        <v>0</v>
      </c>
      <c r="G658" s="1199"/>
      <c r="H658" s="1125">
        <f t="shared" si="130"/>
        <v>0</v>
      </c>
      <c r="I658" s="748"/>
      <c r="J658" s="748">
        <f t="shared" si="137"/>
        <v>0</v>
      </c>
      <c r="K658" s="1199"/>
      <c r="L658" s="1125">
        <f t="shared" si="131"/>
        <v>0</v>
      </c>
      <c r="M658" s="1208"/>
      <c r="N658" s="1339">
        <f t="shared" si="132"/>
        <v>0</v>
      </c>
      <c r="O658" s="1340">
        <f t="shared" si="133"/>
        <v>0</v>
      </c>
      <c r="P658" s="1339">
        <f t="shared" si="134"/>
        <v>0</v>
      </c>
      <c r="Q658" s="1340">
        <f t="shared" si="135"/>
        <v>0</v>
      </c>
      <c r="R658" s="1339">
        <f t="shared" si="136"/>
        <v>0</v>
      </c>
    </row>
    <row r="659" spans="1:20" s="812" customFormat="1" ht="70.5" hidden="1" customHeight="1">
      <c r="A659" s="1154" t="s">
        <v>710</v>
      </c>
      <c r="B659" s="1108" t="s">
        <v>4950</v>
      </c>
      <c r="C659" s="1109">
        <f>Data!R1200</f>
        <v>900.7</v>
      </c>
      <c r="D659" s="1110" t="s">
        <v>2322</v>
      </c>
      <c r="E659" s="1276"/>
      <c r="F659" s="1125">
        <f t="shared" si="129"/>
        <v>0</v>
      </c>
      <c r="G659" s="1199"/>
      <c r="H659" s="1125">
        <f t="shared" si="130"/>
        <v>0</v>
      </c>
      <c r="I659" s="748"/>
      <c r="J659" s="748">
        <f t="shared" si="137"/>
        <v>0</v>
      </c>
      <c r="K659" s="1199"/>
      <c r="L659" s="1125">
        <f t="shared" si="131"/>
        <v>0</v>
      </c>
      <c r="M659" s="1200"/>
      <c r="N659" s="1339">
        <f t="shared" si="132"/>
        <v>0</v>
      </c>
      <c r="O659" s="1340">
        <f t="shared" si="133"/>
        <v>0</v>
      </c>
      <c r="P659" s="1339">
        <f t="shared" si="134"/>
        <v>0</v>
      </c>
      <c r="Q659" s="1340">
        <f t="shared" si="135"/>
        <v>0</v>
      </c>
      <c r="R659" s="1339">
        <f t="shared" si="136"/>
        <v>0</v>
      </c>
    </row>
    <row r="660" spans="1:20" s="700" customFormat="1" ht="70.5" hidden="1" customHeight="1">
      <c r="A660" s="1124"/>
      <c r="B660" s="600" t="s">
        <v>229</v>
      </c>
      <c r="C660" s="743"/>
      <c r="D660" s="744"/>
      <c r="E660" s="1276"/>
      <c r="F660" s="1125">
        <f t="shared" si="129"/>
        <v>0</v>
      </c>
      <c r="G660" s="1199"/>
      <c r="H660" s="1125">
        <f t="shared" si="130"/>
        <v>0</v>
      </c>
      <c r="I660" s="748"/>
      <c r="J660" s="748">
        <f t="shared" si="137"/>
        <v>0</v>
      </c>
      <c r="K660" s="1199"/>
      <c r="L660" s="1125">
        <f t="shared" si="131"/>
        <v>0</v>
      </c>
      <c r="M660" s="1200"/>
      <c r="N660" s="1339">
        <f t="shared" si="132"/>
        <v>0</v>
      </c>
      <c r="O660" s="1340">
        <f t="shared" si="133"/>
        <v>0</v>
      </c>
      <c r="P660" s="1339">
        <f t="shared" si="134"/>
        <v>0</v>
      </c>
      <c r="Q660" s="1340">
        <f t="shared" si="135"/>
        <v>0</v>
      </c>
      <c r="R660" s="1339">
        <f t="shared" si="136"/>
        <v>0</v>
      </c>
    </row>
    <row r="661" spans="1:20" s="700" customFormat="1" ht="70.5" hidden="1" customHeight="1">
      <c r="A661" s="538"/>
      <c r="B661" s="538" t="s">
        <v>1276</v>
      </c>
      <c r="C661" s="743">
        <f>ROUND(Data!K628,2)</f>
        <v>606.92999999999995</v>
      </c>
      <c r="D661" s="744" t="s">
        <v>1876</v>
      </c>
      <c r="E661" s="1276"/>
      <c r="F661" s="1125">
        <f t="shared" si="129"/>
        <v>0</v>
      </c>
      <c r="G661" s="1199"/>
      <c r="H661" s="1125">
        <f t="shared" si="130"/>
        <v>0</v>
      </c>
      <c r="I661" s="748"/>
      <c r="J661" s="748">
        <f t="shared" si="137"/>
        <v>0</v>
      </c>
      <c r="K661" s="1199"/>
      <c r="L661" s="1125">
        <f t="shared" si="131"/>
        <v>0</v>
      </c>
      <c r="M661" s="1200"/>
      <c r="N661" s="1339">
        <f t="shared" si="132"/>
        <v>0</v>
      </c>
      <c r="O661" s="1340">
        <f t="shared" si="133"/>
        <v>0</v>
      </c>
      <c r="P661" s="1339">
        <f t="shared" si="134"/>
        <v>0</v>
      </c>
      <c r="Q661" s="1340">
        <f t="shared" si="135"/>
        <v>0</v>
      </c>
      <c r="R661" s="1339">
        <f t="shared" si="136"/>
        <v>0</v>
      </c>
    </row>
    <row r="662" spans="1:20" s="700" customFormat="1" ht="70.5" hidden="1" customHeight="1">
      <c r="A662" s="538"/>
      <c r="B662" s="538" t="s">
        <v>1411</v>
      </c>
      <c r="C662" s="743">
        <f>ROUND(Data!K629,2)</f>
        <v>611.85</v>
      </c>
      <c r="D662" s="744" t="s">
        <v>1876</v>
      </c>
      <c r="E662" s="1276"/>
      <c r="F662" s="1125">
        <f t="shared" si="129"/>
        <v>0</v>
      </c>
      <c r="G662" s="1199"/>
      <c r="H662" s="1125">
        <f t="shared" si="130"/>
        <v>0</v>
      </c>
      <c r="I662" s="748"/>
      <c r="J662" s="748">
        <f t="shared" si="137"/>
        <v>0</v>
      </c>
      <c r="K662" s="1199"/>
      <c r="L662" s="1125">
        <f t="shared" si="131"/>
        <v>0</v>
      </c>
      <c r="M662" s="1200"/>
      <c r="N662" s="1339">
        <f t="shared" si="132"/>
        <v>0</v>
      </c>
      <c r="O662" s="1340">
        <f t="shared" si="133"/>
        <v>0</v>
      </c>
      <c r="P662" s="1339">
        <f t="shared" si="134"/>
        <v>0</v>
      </c>
      <c r="Q662" s="1340">
        <f t="shared" si="135"/>
        <v>0</v>
      </c>
      <c r="R662" s="1339">
        <f t="shared" si="136"/>
        <v>0</v>
      </c>
    </row>
    <row r="663" spans="1:20" s="700" customFormat="1" ht="70.5" hidden="1" customHeight="1">
      <c r="A663" s="538"/>
      <c r="B663" s="538" t="s">
        <v>1459</v>
      </c>
      <c r="C663" s="743">
        <f>ROUND(Data!K630,2)</f>
        <v>616.77</v>
      </c>
      <c r="D663" s="744" t="s">
        <v>1876</v>
      </c>
      <c r="E663" s="1276"/>
      <c r="F663" s="1125">
        <f t="shared" si="129"/>
        <v>0</v>
      </c>
      <c r="G663" s="1199"/>
      <c r="H663" s="1125">
        <f t="shared" si="130"/>
        <v>0</v>
      </c>
      <c r="I663" s="748"/>
      <c r="J663" s="748">
        <f t="shared" si="137"/>
        <v>0</v>
      </c>
      <c r="K663" s="1199"/>
      <c r="L663" s="1125">
        <f t="shared" si="131"/>
        <v>0</v>
      </c>
      <c r="M663" s="1200"/>
      <c r="N663" s="1339">
        <f t="shared" si="132"/>
        <v>0</v>
      </c>
      <c r="O663" s="1340">
        <f t="shared" si="133"/>
        <v>0</v>
      </c>
      <c r="P663" s="1339">
        <f t="shared" si="134"/>
        <v>0</v>
      </c>
      <c r="Q663" s="1340">
        <f t="shared" si="135"/>
        <v>0</v>
      </c>
      <c r="R663" s="1339">
        <f t="shared" si="136"/>
        <v>0</v>
      </c>
    </row>
    <row r="664" spans="1:20" s="700" customFormat="1" ht="70.5" hidden="1" customHeight="1">
      <c r="A664" s="538"/>
      <c r="B664" s="538" t="s">
        <v>1348</v>
      </c>
      <c r="C664" s="743">
        <f>ROUND(Data!K631,2)</f>
        <v>621.69000000000005</v>
      </c>
      <c r="D664" s="744" t="s">
        <v>1876</v>
      </c>
      <c r="E664" s="1276"/>
      <c r="F664" s="1125">
        <f t="shared" si="129"/>
        <v>0</v>
      </c>
      <c r="G664" s="1199"/>
      <c r="H664" s="1125">
        <f t="shared" si="130"/>
        <v>0</v>
      </c>
      <c r="I664" s="748"/>
      <c r="J664" s="748">
        <f t="shared" si="137"/>
        <v>0</v>
      </c>
      <c r="K664" s="1199"/>
      <c r="L664" s="1125">
        <f t="shared" si="131"/>
        <v>0</v>
      </c>
      <c r="M664" s="1200"/>
      <c r="N664" s="1339">
        <f t="shared" si="132"/>
        <v>0</v>
      </c>
      <c r="O664" s="1340">
        <f t="shared" si="133"/>
        <v>0</v>
      </c>
      <c r="P664" s="1339">
        <f t="shared" si="134"/>
        <v>0</v>
      </c>
      <c r="Q664" s="1340">
        <f t="shared" si="135"/>
        <v>0</v>
      </c>
      <c r="R664" s="1339">
        <f t="shared" si="136"/>
        <v>0</v>
      </c>
    </row>
    <row r="665" spans="1:20" s="700" customFormat="1" ht="70.5" hidden="1" customHeight="1">
      <c r="A665" s="601"/>
      <c r="B665" s="538" t="s">
        <v>1099</v>
      </c>
      <c r="C665" s="602">
        <f>ROUND(Data!K632,2)</f>
        <v>626.61</v>
      </c>
      <c r="D665" s="744" t="s">
        <v>1876</v>
      </c>
      <c r="E665" s="1276"/>
      <c r="F665" s="1125">
        <f t="shared" si="129"/>
        <v>0</v>
      </c>
      <c r="G665" s="1199"/>
      <c r="H665" s="1125">
        <f t="shared" si="130"/>
        <v>0</v>
      </c>
      <c r="I665" s="748"/>
      <c r="J665" s="748">
        <f t="shared" si="137"/>
        <v>0</v>
      </c>
      <c r="K665" s="1199"/>
      <c r="L665" s="1125">
        <f t="shared" si="131"/>
        <v>0</v>
      </c>
      <c r="M665" s="1200"/>
      <c r="N665" s="1339">
        <f t="shared" si="132"/>
        <v>0</v>
      </c>
      <c r="O665" s="1340">
        <f t="shared" si="133"/>
        <v>0</v>
      </c>
      <c r="P665" s="1339">
        <f t="shared" si="134"/>
        <v>0</v>
      </c>
      <c r="Q665" s="1340">
        <f t="shared" si="135"/>
        <v>0</v>
      </c>
      <c r="R665" s="1339">
        <f t="shared" si="136"/>
        <v>0</v>
      </c>
    </row>
    <row r="666" spans="1:20" ht="51.75" hidden="1" customHeight="1">
      <c r="A666" s="1349"/>
      <c r="B666" s="1344" t="s">
        <v>3378</v>
      </c>
      <c r="C666" s="1109"/>
      <c r="D666" s="1110"/>
      <c r="E666" s="1342"/>
      <c r="F666" s="1125">
        <f t="shared" si="129"/>
        <v>0</v>
      </c>
      <c r="G666" s="1335"/>
      <c r="H666" s="1125">
        <f t="shared" si="130"/>
        <v>0</v>
      </c>
      <c r="I666" s="1312"/>
      <c r="J666" s="1312">
        <f t="shared" si="137"/>
        <v>0</v>
      </c>
      <c r="K666" s="1335"/>
      <c r="L666" s="1125">
        <f t="shared" si="131"/>
        <v>0</v>
      </c>
      <c r="M666" s="1343"/>
      <c r="N666" s="1339">
        <f t="shared" si="132"/>
        <v>0</v>
      </c>
      <c r="O666" s="1340">
        <f t="shared" si="133"/>
        <v>0</v>
      </c>
      <c r="P666" s="1339">
        <f t="shared" si="134"/>
        <v>0</v>
      </c>
      <c r="Q666" s="1340">
        <f t="shared" si="135"/>
        <v>0</v>
      </c>
      <c r="R666" s="1339">
        <f t="shared" si="136"/>
        <v>0</v>
      </c>
      <c r="S666" s="1322">
        <f t="shared" ref="S666:S670" si="141">F666+P666</f>
        <v>0</v>
      </c>
      <c r="T666" s="1322">
        <f t="shared" ref="T666:T670" si="142">S666-R666</f>
        <v>0</v>
      </c>
    </row>
    <row r="667" spans="1:20" ht="59.25" hidden="1" customHeight="1">
      <c r="A667" s="1349"/>
      <c r="B667" s="1198" t="s">
        <v>3700</v>
      </c>
      <c r="C667" s="1109">
        <f>Data!K590</f>
        <v>563.35</v>
      </c>
      <c r="D667" s="1110" t="s">
        <v>1876</v>
      </c>
      <c r="E667" s="1342"/>
      <c r="F667" s="1125">
        <f t="shared" si="129"/>
        <v>0</v>
      </c>
      <c r="G667" s="1335"/>
      <c r="H667" s="1125">
        <f t="shared" si="130"/>
        <v>0</v>
      </c>
      <c r="I667" s="1312"/>
      <c r="J667" s="1312">
        <f t="shared" si="137"/>
        <v>0</v>
      </c>
      <c r="K667" s="1335"/>
      <c r="L667" s="1125">
        <f t="shared" si="131"/>
        <v>0</v>
      </c>
      <c r="M667" s="1343"/>
      <c r="N667" s="1339">
        <f t="shared" si="132"/>
        <v>0</v>
      </c>
      <c r="O667" s="1340">
        <f t="shared" si="133"/>
        <v>0</v>
      </c>
      <c r="P667" s="1339">
        <f t="shared" si="134"/>
        <v>0</v>
      </c>
      <c r="Q667" s="1340">
        <f t="shared" si="135"/>
        <v>0</v>
      </c>
      <c r="R667" s="1339">
        <f t="shared" si="136"/>
        <v>0</v>
      </c>
      <c r="S667" s="1322">
        <f t="shared" si="141"/>
        <v>0</v>
      </c>
      <c r="T667" s="1322">
        <f t="shared" si="142"/>
        <v>0</v>
      </c>
    </row>
    <row r="668" spans="1:20" ht="51.75" hidden="1" customHeight="1">
      <c r="A668" s="1349"/>
      <c r="B668" s="1198" t="s">
        <v>1411</v>
      </c>
      <c r="C668" s="1109">
        <f>Data!K591</f>
        <v>568.27</v>
      </c>
      <c r="D668" s="1110" t="s">
        <v>1876</v>
      </c>
      <c r="E668" s="1342"/>
      <c r="F668" s="1125">
        <f t="shared" si="129"/>
        <v>0</v>
      </c>
      <c r="G668" s="1335"/>
      <c r="H668" s="1125">
        <f t="shared" si="130"/>
        <v>0</v>
      </c>
      <c r="I668" s="1312"/>
      <c r="J668" s="1312">
        <f t="shared" si="137"/>
        <v>0</v>
      </c>
      <c r="K668" s="1335"/>
      <c r="L668" s="1125">
        <f t="shared" si="131"/>
        <v>0</v>
      </c>
      <c r="M668" s="1343"/>
      <c r="N668" s="1339">
        <f t="shared" si="132"/>
        <v>0</v>
      </c>
      <c r="O668" s="1340">
        <f t="shared" si="133"/>
        <v>0</v>
      </c>
      <c r="P668" s="1339">
        <f t="shared" si="134"/>
        <v>0</v>
      </c>
      <c r="Q668" s="1340">
        <f t="shared" si="135"/>
        <v>0</v>
      </c>
      <c r="R668" s="1339">
        <f t="shared" si="136"/>
        <v>0</v>
      </c>
      <c r="S668" s="1322">
        <f t="shared" si="141"/>
        <v>0</v>
      </c>
      <c r="T668" s="1322">
        <f t="shared" si="142"/>
        <v>0</v>
      </c>
    </row>
    <row r="669" spans="1:20" ht="51.75" hidden="1" customHeight="1">
      <c r="A669" s="1349"/>
      <c r="B669" s="1198" t="s">
        <v>1459</v>
      </c>
      <c r="C669" s="1109">
        <f>Data!K592</f>
        <v>573.19000000000005</v>
      </c>
      <c r="D669" s="1110" t="s">
        <v>1876</v>
      </c>
      <c r="E669" s="1342"/>
      <c r="F669" s="1125">
        <f t="shared" si="129"/>
        <v>0</v>
      </c>
      <c r="G669" s="1335"/>
      <c r="H669" s="1125">
        <f t="shared" si="130"/>
        <v>0</v>
      </c>
      <c r="I669" s="1312"/>
      <c r="J669" s="1312">
        <f t="shared" si="137"/>
        <v>0</v>
      </c>
      <c r="K669" s="1335"/>
      <c r="L669" s="1125">
        <f t="shared" si="131"/>
        <v>0</v>
      </c>
      <c r="M669" s="1343"/>
      <c r="N669" s="1339">
        <f t="shared" si="132"/>
        <v>0</v>
      </c>
      <c r="O669" s="1340">
        <f t="shared" si="133"/>
        <v>0</v>
      </c>
      <c r="P669" s="1339">
        <f t="shared" si="134"/>
        <v>0</v>
      </c>
      <c r="Q669" s="1340">
        <f t="shared" si="135"/>
        <v>0</v>
      </c>
      <c r="R669" s="1339">
        <f t="shared" si="136"/>
        <v>0</v>
      </c>
      <c r="S669" s="1322">
        <f t="shared" si="141"/>
        <v>0</v>
      </c>
      <c r="T669" s="1322">
        <f t="shared" si="142"/>
        <v>0</v>
      </c>
    </row>
    <row r="670" spans="1:20" ht="70.5" hidden="1" customHeight="1">
      <c r="A670" s="1349"/>
      <c r="B670" s="1198" t="s">
        <v>1348</v>
      </c>
      <c r="C670" s="1109">
        <f>Data!K593</f>
        <v>578.11</v>
      </c>
      <c r="D670" s="1110" t="s">
        <v>1876</v>
      </c>
      <c r="E670" s="1342"/>
      <c r="F670" s="1125">
        <f t="shared" si="129"/>
        <v>0</v>
      </c>
      <c r="G670" s="1335"/>
      <c r="H670" s="1125">
        <f t="shared" si="130"/>
        <v>0</v>
      </c>
      <c r="I670" s="1312"/>
      <c r="J670" s="1312">
        <f t="shared" si="137"/>
        <v>0</v>
      </c>
      <c r="K670" s="1335"/>
      <c r="L670" s="1125">
        <f t="shared" si="131"/>
        <v>0</v>
      </c>
      <c r="M670" s="1343"/>
      <c r="N670" s="1339">
        <f t="shared" si="132"/>
        <v>0</v>
      </c>
      <c r="O670" s="1340">
        <f t="shared" si="133"/>
        <v>0</v>
      </c>
      <c r="P670" s="1339">
        <f t="shared" si="134"/>
        <v>0</v>
      </c>
      <c r="Q670" s="1340">
        <f t="shared" si="135"/>
        <v>0</v>
      </c>
      <c r="R670" s="1339">
        <f t="shared" si="136"/>
        <v>0</v>
      </c>
      <c r="S670" s="1322">
        <f t="shared" si="141"/>
        <v>0</v>
      </c>
      <c r="T670" s="1322">
        <f t="shared" si="142"/>
        <v>0</v>
      </c>
    </row>
    <row r="671" spans="1:20" s="700" customFormat="1" ht="70.5" hidden="1" customHeight="1">
      <c r="A671" s="601"/>
      <c r="B671" s="538" t="s">
        <v>1099</v>
      </c>
      <c r="C671" s="602">
        <f>Data!K594</f>
        <v>583.03</v>
      </c>
      <c r="D671" s="744" t="s">
        <v>1876</v>
      </c>
      <c r="E671" s="1276"/>
      <c r="F671" s="1125">
        <f t="shared" si="129"/>
        <v>0</v>
      </c>
      <c r="G671" s="1199"/>
      <c r="H671" s="1125">
        <f t="shared" si="130"/>
        <v>0</v>
      </c>
      <c r="I671" s="748"/>
      <c r="J671" s="748">
        <f t="shared" si="137"/>
        <v>0</v>
      </c>
      <c r="K671" s="1199"/>
      <c r="L671" s="1125">
        <f t="shared" si="131"/>
        <v>0</v>
      </c>
      <c r="M671" s="1200"/>
      <c r="N671" s="1339">
        <f t="shared" si="132"/>
        <v>0</v>
      </c>
      <c r="O671" s="1340">
        <f t="shared" si="133"/>
        <v>0</v>
      </c>
      <c r="P671" s="1339">
        <f t="shared" si="134"/>
        <v>0</v>
      </c>
      <c r="Q671" s="1340">
        <f t="shared" si="135"/>
        <v>0</v>
      </c>
      <c r="R671" s="1339">
        <f t="shared" si="136"/>
        <v>0</v>
      </c>
    </row>
    <row r="672" spans="1:20" ht="51.75" hidden="1" customHeight="1">
      <c r="A672" s="1349"/>
      <c r="B672" s="1344" t="s">
        <v>688</v>
      </c>
      <c r="C672" s="1109"/>
      <c r="D672" s="1110"/>
      <c r="E672" s="1342"/>
      <c r="F672" s="1125">
        <f t="shared" si="129"/>
        <v>0</v>
      </c>
      <c r="G672" s="1335"/>
      <c r="H672" s="1125">
        <f t="shared" si="130"/>
        <v>0</v>
      </c>
      <c r="I672" s="1312"/>
      <c r="J672" s="1312">
        <f t="shared" si="137"/>
        <v>0</v>
      </c>
      <c r="K672" s="1335"/>
      <c r="L672" s="1125">
        <f t="shared" si="131"/>
        <v>0</v>
      </c>
      <c r="M672" s="1343"/>
      <c r="N672" s="1339">
        <f t="shared" si="132"/>
        <v>0</v>
      </c>
      <c r="O672" s="1340">
        <f t="shared" si="133"/>
        <v>0</v>
      </c>
      <c r="P672" s="1339">
        <f t="shared" si="134"/>
        <v>0</v>
      </c>
      <c r="Q672" s="1340">
        <f t="shared" si="135"/>
        <v>0</v>
      </c>
      <c r="R672" s="1339">
        <f t="shared" si="136"/>
        <v>0</v>
      </c>
      <c r="S672" s="1322">
        <f t="shared" ref="S672:S676" si="143">F672+P672</f>
        <v>0</v>
      </c>
      <c r="T672" s="1322">
        <f t="shared" ref="T672:T676" si="144">S672-R672</f>
        <v>0</v>
      </c>
    </row>
    <row r="673" spans="1:20" ht="70.5" hidden="1" customHeight="1">
      <c r="A673" s="1349"/>
      <c r="B673" s="1198" t="s">
        <v>1276</v>
      </c>
      <c r="C673" s="1109">
        <f>Data!X590</f>
        <v>597.15</v>
      </c>
      <c r="D673" s="1110" t="s">
        <v>1876</v>
      </c>
      <c r="E673" s="1342"/>
      <c r="F673" s="1125">
        <f t="shared" si="129"/>
        <v>0</v>
      </c>
      <c r="G673" s="1335"/>
      <c r="H673" s="1125">
        <f t="shared" si="130"/>
        <v>0</v>
      </c>
      <c r="I673" s="1312"/>
      <c r="J673" s="1312">
        <f t="shared" si="137"/>
        <v>0</v>
      </c>
      <c r="K673" s="1335"/>
      <c r="L673" s="1125">
        <f t="shared" si="131"/>
        <v>0</v>
      </c>
      <c r="M673" s="1343"/>
      <c r="N673" s="1339">
        <f t="shared" si="132"/>
        <v>0</v>
      </c>
      <c r="O673" s="1340">
        <f t="shared" si="133"/>
        <v>0</v>
      </c>
      <c r="P673" s="1339">
        <f t="shared" si="134"/>
        <v>0</v>
      </c>
      <c r="Q673" s="1340">
        <f t="shared" si="135"/>
        <v>0</v>
      </c>
      <c r="R673" s="1339">
        <f t="shared" si="136"/>
        <v>0</v>
      </c>
      <c r="S673" s="1322">
        <f t="shared" si="143"/>
        <v>0</v>
      </c>
      <c r="T673" s="1322">
        <f t="shared" si="144"/>
        <v>0</v>
      </c>
    </row>
    <row r="674" spans="1:20" ht="51.75" hidden="1" customHeight="1">
      <c r="A674" s="1349"/>
      <c r="B674" s="1198" t="s">
        <v>1411</v>
      </c>
      <c r="C674" s="1109">
        <f>Data!X591</f>
        <v>607</v>
      </c>
      <c r="D674" s="1110" t="s">
        <v>1876</v>
      </c>
      <c r="E674" s="1342"/>
      <c r="F674" s="1125">
        <f t="shared" si="129"/>
        <v>0</v>
      </c>
      <c r="G674" s="1335"/>
      <c r="H674" s="1125">
        <f t="shared" si="130"/>
        <v>0</v>
      </c>
      <c r="I674" s="1312"/>
      <c r="J674" s="1312">
        <f t="shared" si="137"/>
        <v>0</v>
      </c>
      <c r="K674" s="1335"/>
      <c r="L674" s="1125">
        <f t="shared" si="131"/>
        <v>0</v>
      </c>
      <c r="M674" s="1343"/>
      <c r="N674" s="1339">
        <f t="shared" si="132"/>
        <v>0</v>
      </c>
      <c r="O674" s="1340">
        <f t="shared" si="133"/>
        <v>0</v>
      </c>
      <c r="P674" s="1339">
        <f t="shared" si="134"/>
        <v>0</v>
      </c>
      <c r="Q674" s="1340">
        <f t="shared" si="135"/>
        <v>0</v>
      </c>
      <c r="R674" s="1339">
        <f t="shared" si="136"/>
        <v>0</v>
      </c>
      <c r="S674" s="1322">
        <f t="shared" si="143"/>
        <v>0</v>
      </c>
      <c r="T674" s="1322">
        <f t="shared" si="144"/>
        <v>0</v>
      </c>
    </row>
    <row r="675" spans="1:20" ht="51.75" hidden="1" customHeight="1">
      <c r="A675" s="1349"/>
      <c r="B675" s="1198" t="s">
        <v>1459</v>
      </c>
      <c r="C675" s="1109">
        <f>Data!X592</f>
        <v>616.85</v>
      </c>
      <c r="D675" s="1110" t="s">
        <v>1876</v>
      </c>
      <c r="E675" s="1342"/>
      <c r="F675" s="1125">
        <f t="shared" si="129"/>
        <v>0</v>
      </c>
      <c r="G675" s="1335"/>
      <c r="H675" s="1125">
        <f t="shared" si="130"/>
        <v>0</v>
      </c>
      <c r="I675" s="1312"/>
      <c r="J675" s="1312">
        <f t="shared" si="137"/>
        <v>0</v>
      </c>
      <c r="K675" s="1335"/>
      <c r="L675" s="1125">
        <f t="shared" si="131"/>
        <v>0</v>
      </c>
      <c r="M675" s="1343"/>
      <c r="N675" s="1339">
        <f t="shared" si="132"/>
        <v>0</v>
      </c>
      <c r="O675" s="1340">
        <f t="shared" si="133"/>
        <v>0</v>
      </c>
      <c r="P675" s="1339">
        <f t="shared" si="134"/>
        <v>0</v>
      </c>
      <c r="Q675" s="1340">
        <f t="shared" si="135"/>
        <v>0</v>
      </c>
      <c r="R675" s="1339">
        <f t="shared" si="136"/>
        <v>0</v>
      </c>
      <c r="S675" s="1322">
        <f t="shared" si="143"/>
        <v>0</v>
      </c>
      <c r="T675" s="1322">
        <f t="shared" si="144"/>
        <v>0</v>
      </c>
    </row>
    <row r="676" spans="1:20" ht="70.5" hidden="1" customHeight="1">
      <c r="A676" s="1349"/>
      <c r="B676" s="1198" t="s">
        <v>1348</v>
      </c>
      <c r="C676" s="1109">
        <f>Data!X593</f>
        <v>626.70000000000005</v>
      </c>
      <c r="D676" s="1110" t="s">
        <v>1876</v>
      </c>
      <c r="E676" s="1342"/>
      <c r="F676" s="1125">
        <f t="shared" si="129"/>
        <v>0</v>
      </c>
      <c r="G676" s="1335"/>
      <c r="H676" s="1125">
        <f t="shared" si="130"/>
        <v>0</v>
      </c>
      <c r="I676" s="1312"/>
      <c r="J676" s="1312">
        <f t="shared" si="137"/>
        <v>0</v>
      </c>
      <c r="K676" s="1335"/>
      <c r="L676" s="1125">
        <f t="shared" si="131"/>
        <v>0</v>
      </c>
      <c r="M676" s="1343"/>
      <c r="N676" s="1339">
        <f t="shared" si="132"/>
        <v>0</v>
      </c>
      <c r="O676" s="1340">
        <f t="shared" si="133"/>
        <v>0</v>
      </c>
      <c r="P676" s="1339">
        <f t="shared" si="134"/>
        <v>0</v>
      </c>
      <c r="Q676" s="1340">
        <f t="shared" si="135"/>
        <v>0</v>
      </c>
      <c r="R676" s="1339">
        <f t="shared" si="136"/>
        <v>0</v>
      </c>
      <c r="S676" s="1322">
        <f t="shared" si="143"/>
        <v>0</v>
      </c>
      <c r="T676" s="1322">
        <f t="shared" si="144"/>
        <v>0</v>
      </c>
    </row>
    <row r="677" spans="1:20" s="700" customFormat="1" ht="70.5" hidden="1" customHeight="1">
      <c r="A677" s="601"/>
      <c r="B677" s="538" t="s">
        <v>1099</v>
      </c>
      <c r="C677" s="602">
        <f>Data!X593</f>
        <v>626.70000000000005</v>
      </c>
      <c r="D677" s="744"/>
      <c r="E677" s="1276"/>
      <c r="F677" s="1125">
        <f t="shared" si="129"/>
        <v>0</v>
      </c>
      <c r="G677" s="1199"/>
      <c r="H677" s="1125">
        <f t="shared" si="130"/>
        <v>0</v>
      </c>
      <c r="I677" s="748"/>
      <c r="J677" s="748">
        <f t="shared" si="137"/>
        <v>0</v>
      </c>
      <c r="K677" s="1199"/>
      <c r="L677" s="1125">
        <f t="shared" si="131"/>
        <v>0</v>
      </c>
      <c r="M677" s="1200"/>
      <c r="N677" s="1339">
        <f t="shared" si="132"/>
        <v>0</v>
      </c>
      <c r="O677" s="1340">
        <f t="shared" si="133"/>
        <v>0</v>
      </c>
      <c r="P677" s="1339">
        <f t="shared" si="134"/>
        <v>0</v>
      </c>
      <c r="Q677" s="1340">
        <f t="shared" si="135"/>
        <v>0</v>
      </c>
      <c r="R677" s="1339">
        <f t="shared" si="136"/>
        <v>0</v>
      </c>
    </row>
    <row r="678" spans="1:20" s="700" customFormat="1" ht="70.5" hidden="1" customHeight="1">
      <c r="A678" s="601"/>
      <c r="B678" s="600" t="s">
        <v>3941</v>
      </c>
      <c r="C678" s="602"/>
      <c r="D678" s="744"/>
      <c r="E678" s="1276"/>
      <c r="F678" s="1125">
        <f t="shared" si="129"/>
        <v>0</v>
      </c>
      <c r="G678" s="1199"/>
      <c r="H678" s="1125">
        <f t="shared" si="130"/>
        <v>0</v>
      </c>
      <c r="I678" s="748"/>
      <c r="J678" s="748">
        <f t="shared" si="137"/>
        <v>0</v>
      </c>
      <c r="K678" s="1199"/>
      <c r="L678" s="1125">
        <f t="shared" si="131"/>
        <v>0</v>
      </c>
      <c r="M678" s="1200"/>
      <c r="N678" s="1339">
        <f t="shared" si="132"/>
        <v>0</v>
      </c>
      <c r="O678" s="1340">
        <f t="shared" si="133"/>
        <v>0</v>
      </c>
      <c r="P678" s="1339">
        <f t="shared" si="134"/>
        <v>0</v>
      </c>
      <c r="Q678" s="1340">
        <f t="shared" si="135"/>
        <v>0</v>
      </c>
      <c r="R678" s="1339">
        <f t="shared" si="136"/>
        <v>0</v>
      </c>
    </row>
    <row r="679" spans="1:20" s="700" customFormat="1" ht="70.5" hidden="1" customHeight="1">
      <c r="A679" s="601"/>
      <c r="B679" s="538" t="s">
        <v>1276</v>
      </c>
      <c r="C679" s="602">
        <f>Data!K612</f>
        <v>2142.63</v>
      </c>
      <c r="D679" s="744" t="s">
        <v>1876</v>
      </c>
      <c r="E679" s="1276"/>
      <c r="F679" s="1125">
        <f t="shared" si="129"/>
        <v>0</v>
      </c>
      <c r="G679" s="1199"/>
      <c r="H679" s="1125">
        <f t="shared" si="130"/>
        <v>0</v>
      </c>
      <c r="I679" s="748"/>
      <c r="J679" s="748">
        <f t="shared" si="137"/>
        <v>0</v>
      </c>
      <c r="K679" s="1199"/>
      <c r="L679" s="1125">
        <f t="shared" si="131"/>
        <v>0</v>
      </c>
      <c r="M679" s="1200"/>
      <c r="N679" s="1339">
        <f t="shared" si="132"/>
        <v>0</v>
      </c>
      <c r="O679" s="1340">
        <f t="shared" si="133"/>
        <v>0</v>
      </c>
      <c r="P679" s="1339">
        <f t="shared" si="134"/>
        <v>0</v>
      </c>
      <c r="Q679" s="1340">
        <f t="shared" si="135"/>
        <v>0</v>
      </c>
      <c r="R679" s="1339">
        <f t="shared" si="136"/>
        <v>0</v>
      </c>
    </row>
    <row r="680" spans="1:20" s="700" customFormat="1" ht="70.5" hidden="1" customHeight="1">
      <c r="A680" s="601"/>
      <c r="B680" s="538" t="s">
        <v>1411</v>
      </c>
      <c r="C680" s="602">
        <f>Data!K613</f>
        <v>2152.48</v>
      </c>
      <c r="D680" s="744" t="s">
        <v>1876</v>
      </c>
      <c r="E680" s="1276"/>
      <c r="F680" s="1125">
        <f t="shared" si="129"/>
        <v>0</v>
      </c>
      <c r="G680" s="1199"/>
      <c r="H680" s="1125">
        <f t="shared" si="130"/>
        <v>0</v>
      </c>
      <c r="I680" s="748"/>
      <c r="J680" s="748">
        <f t="shared" si="137"/>
        <v>0</v>
      </c>
      <c r="K680" s="1199"/>
      <c r="L680" s="1125">
        <f t="shared" si="131"/>
        <v>0</v>
      </c>
      <c r="M680" s="1200"/>
      <c r="N680" s="1339">
        <f t="shared" si="132"/>
        <v>0</v>
      </c>
      <c r="O680" s="1340">
        <f t="shared" si="133"/>
        <v>0</v>
      </c>
      <c r="P680" s="1339">
        <f t="shared" si="134"/>
        <v>0</v>
      </c>
      <c r="Q680" s="1340">
        <f t="shared" si="135"/>
        <v>0</v>
      </c>
      <c r="R680" s="1339">
        <f t="shared" si="136"/>
        <v>0</v>
      </c>
    </row>
    <row r="681" spans="1:20" s="700" customFormat="1" ht="70.5" hidden="1" customHeight="1">
      <c r="A681" s="601"/>
      <c r="B681" s="538" t="s">
        <v>1459</v>
      </c>
      <c r="C681" s="602">
        <f>Data!K614</f>
        <v>2162.33</v>
      </c>
      <c r="D681" s="744" t="s">
        <v>1876</v>
      </c>
      <c r="E681" s="1276"/>
      <c r="F681" s="1125">
        <f t="shared" si="129"/>
        <v>0</v>
      </c>
      <c r="G681" s="1199"/>
      <c r="H681" s="1125">
        <f t="shared" si="130"/>
        <v>0</v>
      </c>
      <c r="I681" s="748"/>
      <c r="J681" s="748">
        <f t="shared" si="137"/>
        <v>0</v>
      </c>
      <c r="K681" s="1199"/>
      <c r="L681" s="1125">
        <f t="shared" si="131"/>
        <v>0</v>
      </c>
      <c r="M681" s="1200"/>
      <c r="N681" s="1339">
        <f t="shared" si="132"/>
        <v>0</v>
      </c>
      <c r="O681" s="1340">
        <f t="shared" si="133"/>
        <v>0</v>
      </c>
      <c r="P681" s="1339">
        <f t="shared" si="134"/>
        <v>0</v>
      </c>
      <c r="Q681" s="1340">
        <f t="shared" si="135"/>
        <v>0</v>
      </c>
      <c r="R681" s="1339">
        <f t="shared" si="136"/>
        <v>0</v>
      </c>
    </row>
    <row r="682" spans="1:20" s="700" customFormat="1" ht="70.5" hidden="1" customHeight="1">
      <c r="A682" s="601"/>
      <c r="B682" s="538" t="s">
        <v>1348</v>
      </c>
      <c r="C682" s="602">
        <f>Data!K615</f>
        <v>2172.1799999999998</v>
      </c>
      <c r="D682" s="744" t="s">
        <v>1876</v>
      </c>
      <c r="E682" s="1276"/>
      <c r="F682" s="1125">
        <f t="shared" si="129"/>
        <v>0</v>
      </c>
      <c r="G682" s="1199"/>
      <c r="H682" s="1125">
        <f t="shared" si="130"/>
        <v>0</v>
      </c>
      <c r="I682" s="748"/>
      <c r="J682" s="748">
        <f t="shared" si="137"/>
        <v>0</v>
      </c>
      <c r="K682" s="1199"/>
      <c r="L682" s="1125">
        <f t="shared" si="131"/>
        <v>0</v>
      </c>
      <c r="M682" s="1200"/>
      <c r="N682" s="1339">
        <f t="shared" si="132"/>
        <v>0</v>
      </c>
      <c r="O682" s="1340">
        <f t="shared" si="133"/>
        <v>0</v>
      </c>
      <c r="P682" s="1339">
        <f t="shared" si="134"/>
        <v>0</v>
      </c>
      <c r="Q682" s="1340">
        <f t="shared" si="135"/>
        <v>0</v>
      </c>
      <c r="R682" s="1339">
        <f t="shared" si="136"/>
        <v>0</v>
      </c>
    </row>
    <row r="683" spans="1:20" s="700" customFormat="1" ht="70.5" hidden="1" customHeight="1">
      <c r="A683" s="601"/>
      <c r="B683" s="538" t="s">
        <v>1099</v>
      </c>
      <c r="C683" s="602">
        <f>Data!K616</f>
        <v>2182.0300000000002</v>
      </c>
      <c r="D683" s="744" t="s">
        <v>1876</v>
      </c>
      <c r="E683" s="1276"/>
      <c r="F683" s="1125">
        <f t="shared" si="129"/>
        <v>0</v>
      </c>
      <c r="G683" s="1199"/>
      <c r="H683" s="1125">
        <f t="shared" si="130"/>
        <v>0</v>
      </c>
      <c r="I683" s="748"/>
      <c r="J683" s="748">
        <f t="shared" si="137"/>
        <v>0</v>
      </c>
      <c r="K683" s="1199"/>
      <c r="L683" s="1125">
        <f t="shared" si="131"/>
        <v>0</v>
      </c>
      <c r="M683" s="1200"/>
      <c r="N683" s="1339">
        <f t="shared" si="132"/>
        <v>0</v>
      </c>
      <c r="O683" s="1340">
        <f t="shared" si="133"/>
        <v>0</v>
      </c>
      <c r="P683" s="1339">
        <f t="shared" si="134"/>
        <v>0</v>
      </c>
      <c r="Q683" s="1340">
        <f t="shared" si="135"/>
        <v>0</v>
      </c>
      <c r="R683" s="1339">
        <f t="shared" si="136"/>
        <v>0</v>
      </c>
    </row>
    <row r="684" spans="1:20" ht="70.5" customHeight="1">
      <c r="A684" s="1486">
        <v>29.8</v>
      </c>
      <c r="B684" s="1198" t="s">
        <v>4925</v>
      </c>
      <c r="C684" s="1111">
        <f>ROUND(Data!K1278,2)</f>
        <v>1413.66</v>
      </c>
      <c r="D684" s="1110" t="s">
        <v>2322</v>
      </c>
      <c r="E684" s="1336">
        <v>351</v>
      </c>
      <c r="F684" s="1125">
        <f t="shared" si="129"/>
        <v>496194.66</v>
      </c>
      <c r="G684" s="1335"/>
      <c r="H684" s="1125">
        <f t="shared" si="130"/>
        <v>0</v>
      </c>
      <c r="I684" s="1312"/>
      <c r="J684" s="1406">
        <f t="shared" si="137"/>
        <v>0</v>
      </c>
      <c r="K684" s="1335"/>
      <c r="L684" s="1125">
        <f t="shared" si="131"/>
        <v>0</v>
      </c>
      <c r="M684" s="1340"/>
      <c r="N684" s="1339">
        <f t="shared" si="132"/>
        <v>0</v>
      </c>
      <c r="O684" s="1340">
        <f t="shared" si="133"/>
        <v>0</v>
      </c>
      <c r="P684" s="1339">
        <f t="shared" si="134"/>
        <v>0</v>
      </c>
      <c r="Q684" s="1340">
        <f t="shared" si="135"/>
        <v>351</v>
      </c>
      <c r="R684" s="1339">
        <f t="shared" si="136"/>
        <v>496194.66</v>
      </c>
      <c r="S684" s="1322">
        <f>F684+P684</f>
        <v>496194.66</v>
      </c>
      <c r="T684" s="1322">
        <f>S684-R684</f>
        <v>0</v>
      </c>
    </row>
    <row r="685" spans="1:20" s="700" customFormat="1" ht="70.5" hidden="1" customHeight="1">
      <c r="A685" s="1414"/>
      <c r="B685" s="1415" t="s">
        <v>2213</v>
      </c>
      <c r="C685" s="1416">
        <f>ROUND(Data!K1264,2)</f>
        <v>1239.0899999999999</v>
      </c>
      <c r="D685" s="1417" t="s">
        <v>2322</v>
      </c>
      <c r="E685" s="1440"/>
      <c r="F685" s="1125">
        <f t="shared" si="129"/>
        <v>0</v>
      </c>
      <c r="G685" s="1273"/>
      <c r="H685" s="1125">
        <f t="shared" si="130"/>
        <v>0</v>
      </c>
      <c r="I685" s="748"/>
      <c r="J685" s="748">
        <f t="shared" si="137"/>
        <v>0</v>
      </c>
      <c r="K685" s="1273"/>
      <c r="L685" s="1125">
        <f t="shared" si="131"/>
        <v>0</v>
      </c>
      <c r="M685" s="1412"/>
      <c r="N685" s="1339">
        <f t="shared" si="132"/>
        <v>0</v>
      </c>
      <c r="O685" s="1340">
        <f t="shared" si="133"/>
        <v>0</v>
      </c>
      <c r="P685" s="1339">
        <f t="shared" si="134"/>
        <v>0</v>
      </c>
      <c r="Q685" s="1340">
        <f t="shared" si="135"/>
        <v>0</v>
      </c>
      <c r="R685" s="1339">
        <f t="shared" si="136"/>
        <v>0</v>
      </c>
    </row>
    <row r="686" spans="1:20" ht="70.5" customHeight="1">
      <c r="A686" s="1486">
        <v>29.9</v>
      </c>
      <c r="B686" s="1198" t="s">
        <v>1729</v>
      </c>
      <c r="C686" s="1111">
        <f>ROUND(Data!K1264,2)</f>
        <v>1239.0899999999999</v>
      </c>
      <c r="D686" s="1110" t="s">
        <v>2322</v>
      </c>
      <c r="E686" s="1336">
        <v>146.19999999999999</v>
      </c>
      <c r="F686" s="1125">
        <f t="shared" si="129"/>
        <v>181154.96</v>
      </c>
      <c r="G686" s="1335"/>
      <c r="H686" s="1125">
        <f t="shared" si="130"/>
        <v>0</v>
      </c>
      <c r="I686" s="1312"/>
      <c r="J686" s="1406">
        <f t="shared" si="137"/>
        <v>0</v>
      </c>
      <c r="K686" s="1335"/>
      <c r="L686" s="1125">
        <f t="shared" si="131"/>
        <v>0</v>
      </c>
      <c r="M686" s="1340"/>
      <c r="N686" s="1339">
        <f t="shared" si="132"/>
        <v>0</v>
      </c>
      <c r="O686" s="1340">
        <f t="shared" si="133"/>
        <v>0</v>
      </c>
      <c r="P686" s="1339">
        <f t="shared" si="134"/>
        <v>0</v>
      </c>
      <c r="Q686" s="1340">
        <f t="shared" si="135"/>
        <v>146.19999999999999</v>
      </c>
      <c r="R686" s="1339">
        <f t="shared" si="136"/>
        <v>181154.96</v>
      </c>
      <c r="S686" s="1322">
        <f>F686+P686</f>
        <v>181154.96</v>
      </c>
      <c r="T686" s="1322">
        <f>S686-R686</f>
        <v>0</v>
      </c>
    </row>
    <row r="687" spans="1:20" s="812" customFormat="1" ht="70.5" customHeight="1">
      <c r="A687" s="1107">
        <v>38.4</v>
      </c>
      <c r="B687" s="1108" t="s">
        <v>1730</v>
      </c>
      <c r="C687" s="1111">
        <f>Data!K2725</f>
        <v>135.33000000000001</v>
      </c>
      <c r="D687" s="1110" t="s">
        <v>2322</v>
      </c>
      <c r="E687" s="1100">
        <v>142.19999999999999</v>
      </c>
      <c r="F687" s="1125">
        <f t="shared" si="129"/>
        <v>19243.93</v>
      </c>
      <c r="G687" s="1199"/>
      <c r="H687" s="1125">
        <f t="shared" si="130"/>
        <v>0</v>
      </c>
      <c r="I687" s="748"/>
      <c r="J687" s="1407">
        <f t="shared" si="137"/>
        <v>0</v>
      </c>
      <c r="K687" s="1199"/>
      <c r="L687" s="1125">
        <f t="shared" si="131"/>
        <v>0</v>
      </c>
      <c r="M687" s="1200"/>
      <c r="N687" s="1339">
        <f t="shared" si="132"/>
        <v>0</v>
      </c>
      <c r="O687" s="1340">
        <f t="shared" si="133"/>
        <v>0</v>
      </c>
      <c r="P687" s="1339">
        <f t="shared" si="134"/>
        <v>0</v>
      </c>
      <c r="Q687" s="1340">
        <f t="shared" si="135"/>
        <v>142.19999999999999</v>
      </c>
      <c r="R687" s="1339">
        <f t="shared" si="136"/>
        <v>19243.93</v>
      </c>
    </row>
    <row r="688" spans="1:20" s="700" customFormat="1" ht="70.5" hidden="1" customHeight="1">
      <c r="A688" s="1414">
        <v>38.5</v>
      </c>
      <c r="B688" s="1415" t="s">
        <v>33</v>
      </c>
      <c r="C688" s="1416">
        <f>ROUND(Data!K1526,2)</f>
        <v>169</v>
      </c>
      <c r="D688" s="1417" t="s">
        <v>2322</v>
      </c>
      <c r="E688" s="1278"/>
      <c r="F688" s="1125">
        <f t="shared" si="129"/>
        <v>0</v>
      </c>
      <c r="G688" s="1273"/>
      <c r="H688" s="1125">
        <f t="shared" si="130"/>
        <v>0</v>
      </c>
      <c r="I688" s="748"/>
      <c r="J688" s="748">
        <f t="shared" si="137"/>
        <v>0</v>
      </c>
      <c r="K688" s="1273"/>
      <c r="L688" s="1125">
        <f t="shared" si="131"/>
        <v>0</v>
      </c>
      <c r="M688" s="1412"/>
      <c r="N688" s="1339">
        <f t="shared" si="132"/>
        <v>0</v>
      </c>
      <c r="O688" s="1340">
        <f t="shared" si="133"/>
        <v>0</v>
      </c>
      <c r="P688" s="1339">
        <f t="shared" si="134"/>
        <v>0</v>
      </c>
      <c r="Q688" s="1340">
        <f t="shared" si="135"/>
        <v>0</v>
      </c>
      <c r="R688" s="1339">
        <f t="shared" si="136"/>
        <v>0</v>
      </c>
    </row>
    <row r="689" spans="1:20" ht="70.5" hidden="1" customHeight="1">
      <c r="A689" s="1324">
        <v>38.6</v>
      </c>
      <c r="B689" s="1198" t="s">
        <v>1731</v>
      </c>
      <c r="C689" s="1109">
        <f>ROUND(Data!K2716,2)</f>
        <v>64.16</v>
      </c>
      <c r="D689" s="1110" t="s">
        <v>2322</v>
      </c>
      <c r="E689" s="1342"/>
      <c r="F689" s="1125">
        <f t="shared" si="129"/>
        <v>0</v>
      </c>
      <c r="G689" s="1335"/>
      <c r="H689" s="1125">
        <f t="shared" si="130"/>
        <v>0</v>
      </c>
      <c r="I689" s="1312"/>
      <c r="J689" s="1312">
        <f t="shared" si="137"/>
        <v>0</v>
      </c>
      <c r="K689" s="1335"/>
      <c r="L689" s="1125">
        <f t="shared" si="131"/>
        <v>0</v>
      </c>
      <c r="M689" s="1340"/>
      <c r="N689" s="1339">
        <f t="shared" si="132"/>
        <v>0</v>
      </c>
      <c r="O689" s="1340">
        <f t="shared" si="133"/>
        <v>0</v>
      </c>
      <c r="P689" s="1339">
        <f t="shared" si="134"/>
        <v>0</v>
      </c>
      <c r="Q689" s="1340">
        <f t="shared" si="135"/>
        <v>0</v>
      </c>
      <c r="R689" s="1339">
        <f t="shared" si="136"/>
        <v>0</v>
      </c>
      <c r="S689" s="1322">
        <f>F689+P689</f>
        <v>0</v>
      </c>
      <c r="T689" s="1322">
        <f>S689-R689</f>
        <v>0</v>
      </c>
    </row>
    <row r="690" spans="1:20" s="700" customFormat="1" ht="70.5" hidden="1" customHeight="1">
      <c r="A690" s="1105">
        <v>42</v>
      </c>
      <c r="B690" s="538" t="s">
        <v>4121</v>
      </c>
      <c r="C690" s="743">
        <f>ROUND(Data!K1582,2)</f>
        <v>92263.5</v>
      </c>
      <c r="D690" s="744" t="s">
        <v>535</v>
      </c>
      <c r="E690" s="1276"/>
      <c r="F690" s="1125">
        <f t="shared" si="129"/>
        <v>0</v>
      </c>
      <c r="G690" s="1199"/>
      <c r="H690" s="1125">
        <f t="shared" si="130"/>
        <v>0</v>
      </c>
      <c r="I690" s="748"/>
      <c r="J690" s="748">
        <f t="shared" si="137"/>
        <v>0</v>
      </c>
      <c r="K690" s="1199"/>
      <c r="L690" s="1125">
        <f t="shared" si="131"/>
        <v>0</v>
      </c>
      <c r="M690" s="1200"/>
      <c r="N690" s="1339">
        <f t="shared" si="132"/>
        <v>0</v>
      </c>
      <c r="O690" s="1340">
        <f t="shared" si="133"/>
        <v>0</v>
      </c>
      <c r="P690" s="1339">
        <f t="shared" si="134"/>
        <v>0</v>
      </c>
      <c r="Q690" s="1340">
        <f t="shared" si="135"/>
        <v>0</v>
      </c>
      <c r="R690" s="1339">
        <f t="shared" si="136"/>
        <v>0</v>
      </c>
    </row>
    <row r="691" spans="1:20" s="812" customFormat="1" ht="70.5" customHeight="1">
      <c r="A691" s="1107">
        <v>43</v>
      </c>
      <c r="B691" s="1108" t="s">
        <v>4083</v>
      </c>
      <c r="C691" s="1111">
        <f>ROUND(Data!K1608,2)</f>
        <v>90172</v>
      </c>
      <c r="D691" s="1110" t="s">
        <v>535</v>
      </c>
      <c r="E691" s="1100">
        <v>124.33</v>
      </c>
      <c r="F691" s="1125">
        <f t="shared" si="129"/>
        <v>11211084.76</v>
      </c>
      <c r="G691" s="1199">
        <v>1.08</v>
      </c>
      <c r="H691" s="1125">
        <f t="shared" si="130"/>
        <v>97385.76</v>
      </c>
      <c r="I691" s="748"/>
      <c r="J691" s="1407">
        <f t="shared" si="137"/>
        <v>0</v>
      </c>
      <c r="K691" s="1199"/>
      <c r="L691" s="1125">
        <f t="shared" si="131"/>
        <v>0</v>
      </c>
      <c r="M691" s="1208"/>
      <c r="N691" s="1339">
        <f t="shared" si="132"/>
        <v>0</v>
      </c>
      <c r="O691" s="1340">
        <f t="shared" si="133"/>
        <v>1.08</v>
      </c>
      <c r="P691" s="1339">
        <f t="shared" si="134"/>
        <v>97385.76</v>
      </c>
      <c r="Q691" s="1340">
        <f t="shared" si="135"/>
        <v>125.41</v>
      </c>
      <c r="R691" s="1339">
        <f t="shared" si="136"/>
        <v>11308470.52</v>
      </c>
    </row>
    <row r="692" spans="1:20" ht="70.5" customHeight="1">
      <c r="A692" s="1486">
        <v>44.6</v>
      </c>
      <c r="B692" s="1198" t="s">
        <v>4537</v>
      </c>
      <c r="C692" s="1111">
        <f>ROUND(Data!K1638,2)</f>
        <v>349.29</v>
      </c>
      <c r="D692" s="1110" t="s">
        <v>842</v>
      </c>
      <c r="E692" s="1336">
        <v>185.2</v>
      </c>
      <c r="F692" s="1125">
        <f t="shared" si="129"/>
        <v>64688.51</v>
      </c>
      <c r="G692" s="1335"/>
      <c r="H692" s="1125">
        <f t="shared" si="130"/>
        <v>0</v>
      </c>
      <c r="I692" s="1312"/>
      <c r="J692" s="1406">
        <f t="shared" si="137"/>
        <v>0</v>
      </c>
      <c r="K692" s="1335"/>
      <c r="L692" s="1125">
        <f t="shared" si="131"/>
        <v>0</v>
      </c>
      <c r="M692" s="1340"/>
      <c r="N692" s="1339">
        <f t="shared" si="132"/>
        <v>0</v>
      </c>
      <c r="O692" s="1340">
        <f t="shared" si="133"/>
        <v>0</v>
      </c>
      <c r="P692" s="1339">
        <f t="shared" si="134"/>
        <v>0</v>
      </c>
      <c r="Q692" s="1340">
        <f t="shared" si="135"/>
        <v>185.2</v>
      </c>
      <c r="R692" s="1339">
        <f t="shared" si="136"/>
        <v>64688.51</v>
      </c>
      <c r="S692" s="1322">
        <f>F692+P692</f>
        <v>64688.51</v>
      </c>
      <c r="T692" s="1322">
        <f>S692-R692</f>
        <v>0</v>
      </c>
    </row>
    <row r="693" spans="1:20" s="812" customFormat="1" ht="59.25" customHeight="1">
      <c r="A693" s="1107">
        <v>50.6</v>
      </c>
      <c r="B693" s="1108" t="s">
        <v>1098</v>
      </c>
      <c r="C693" s="1111">
        <f>ROUND(Data!K2392,2)</f>
        <v>412.01</v>
      </c>
      <c r="D693" s="1110" t="s">
        <v>2322</v>
      </c>
      <c r="E693" s="1100">
        <v>43.1</v>
      </c>
      <c r="F693" s="1125">
        <f t="shared" si="129"/>
        <v>17757.63</v>
      </c>
      <c r="G693" s="1199"/>
      <c r="H693" s="1125">
        <f t="shared" si="130"/>
        <v>0</v>
      </c>
      <c r="I693" s="748"/>
      <c r="J693" s="1407">
        <f t="shared" si="137"/>
        <v>0</v>
      </c>
      <c r="K693" s="1199"/>
      <c r="L693" s="1125">
        <f t="shared" si="131"/>
        <v>0</v>
      </c>
      <c r="M693" s="1200"/>
      <c r="N693" s="1339">
        <f t="shared" si="132"/>
        <v>0</v>
      </c>
      <c r="O693" s="1340">
        <f t="shared" si="133"/>
        <v>0</v>
      </c>
      <c r="P693" s="1339">
        <f t="shared" si="134"/>
        <v>0</v>
      </c>
      <c r="Q693" s="1340">
        <f t="shared" si="135"/>
        <v>43.1</v>
      </c>
      <c r="R693" s="1339">
        <f t="shared" si="136"/>
        <v>17757.63</v>
      </c>
    </row>
    <row r="694" spans="1:20" ht="70.5" hidden="1" customHeight="1">
      <c r="A694" s="1426">
        <v>52.4</v>
      </c>
      <c r="B694" s="1370" t="s">
        <v>2267</v>
      </c>
      <c r="C694" s="1411">
        <f>ROUND(Data!K2767,2)</f>
        <v>240.64</v>
      </c>
      <c r="D694" s="1371" t="s">
        <v>842</v>
      </c>
      <c r="E694" s="1372"/>
      <c r="F694" s="1125">
        <f t="shared" si="129"/>
        <v>0</v>
      </c>
      <c r="G694" s="1427"/>
      <c r="H694" s="1125">
        <f t="shared" si="130"/>
        <v>0</v>
      </c>
      <c r="I694" s="1312"/>
      <c r="J694" s="1312">
        <f t="shared" si="137"/>
        <v>0</v>
      </c>
      <c r="K694" s="1427"/>
      <c r="L694" s="1125">
        <f t="shared" si="131"/>
        <v>0</v>
      </c>
      <c r="M694" s="1413"/>
      <c r="N694" s="1339">
        <f t="shared" si="132"/>
        <v>0</v>
      </c>
      <c r="O694" s="1340">
        <f t="shared" si="133"/>
        <v>0</v>
      </c>
      <c r="P694" s="1339">
        <f t="shared" si="134"/>
        <v>0</v>
      </c>
      <c r="Q694" s="1340">
        <f t="shared" si="135"/>
        <v>0</v>
      </c>
      <c r="R694" s="1339">
        <f t="shared" si="136"/>
        <v>0</v>
      </c>
      <c r="S694" s="1322">
        <f t="shared" ref="S694:S696" si="145">F694+P694</f>
        <v>0</v>
      </c>
      <c r="T694" s="1322">
        <f t="shared" ref="T694:T696" si="146">S694-R694</f>
        <v>0</v>
      </c>
    </row>
    <row r="695" spans="1:20" ht="51.75" customHeight="1">
      <c r="A695" s="1486">
        <v>53.4</v>
      </c>
      <c r="B695" s="1198" t="s">
        <v>71</v>
      </c>
      <c r="C695" s="1111">
        <f>Data!K1951</f>
        <v>1864</v>
      </c>
      <c r="D695" s="1110" t="s">
        <v>1423</v>
      </c>
      <c r="E695" s="1336">
        <v>5</v>
      </c>
      <c r="F695" s="1125">
        <f t="shared" si="129"/>
        <v>9320</v>
      </c>
      <c r="G695" s="1335">
        <v>2</v>
      </c>
      <c r="H695" s="1125">
        <f t="shared" si="130"/>
        <v>3728</v>
      </c>
      <c r="I695" s="1312"/>
      <c r="J695" s="1406">
        <f t="shared" si="137"/>
        <v>0</v>
      </c>
      <c r="K695" s="1335"/>
      <c r="L695" s="1125">
        <f t="shared" si="131"/>
        <v>0</v>
      </c>
      <c r="M695" s="1343"/>
      <c r="N695" s="1339">
        <f t="shared" si="132"/>
        <v>0</v>
      </c>
      <c r="O695" s="1340">
        <f t="shared" si="133"/>
        <v>2</v>
      </c>
      <c r="P695" s="1339">
        <f t="shared" si="134"/>
        <v>3728</v>
      </c>
      <c r="Q695" s="1340">
        <f t="shared" si="135"/>
        <v>7</v>
      </c>
      <c r="R695" s="1339">
        <f t="shared" si="136"/>
        <v>13048</v>
      </c>
      <c r="S695" s="1322">
        <f t="shared" si="145"/>
        <v>13048</v>
      </c>
      <c r="T695" s="1322">
        <f t="shared" si="146"/>
        <v>0</v>
      </c>
    </row>
    <row r="696" spans="1:20" ht="70.5" customHeight="1">
      <c r="A696" s="1486"/>
      <c r="B696" s="1198" t="s">
        <v>4922</v>
      </c>
      <c r="C696" s="1111">
        <f>Data!R3572</f>
        <v>3406.02</v>
      </c>
      <c r="D696" s="1110" t="s">
        <v>1423</v>
      </c>
      <c r="E696" s="1336">
        <v>21</v>
      </c>
      <c r="F696" s="1125">
        <f t="shared" si="129"/>
        <v>71526.42</v>
      </c>
      <c r="G696" s="1335"/>
      <c r="H696" s="1125">
        <f t="shared" si="130"/>
        <v>0</v>
      </c>
      <c r="I696" s="1312"/>
      <c r="J696" s="1406">
        <f t="shared" si="137"/>
        <v>0</v>
      </c>
      <c r="K696" s="1335"/>
      <c r="L696" s="1125">
        <f t="shared" si="131"/>
        <v>0</v>
      </c>
      <c r="M696" s="1340"/>
      <c r="N696" s="1339">
        <f t="shared" si="132"/>
        <v>0</v>
      </c>
      <c r="O696" s="1340">
        <f t="shared" si="133"/>
        <v>0</v>
      </c>
      <c r="P696" s="1339">
        <f t="shared" si="134"/>
        <v>0</v>
      </c>
      <c r="Q696" s="1340">
        <f t="shared" si="135"/>
        <v>21</v>
      </c>
      <c r="R696" s="1339">
        <f t="shared" si="136"/>
        <v>71526.42</v>
      </c>
      <c r="S696" s="1322">
        <f t="shared" si="145"/>
        <v>71526.42</v>
      </c>
      <c r="T696" s="1322">
        <f t="shared" si="146"/>
        <v>0</v>
      </c>
    </row>
    <row r="697" spans="1:20" s="700" customFormat="1" ht="70.5" hidden="1" customHeight="1">
      <c r="A697" s="1414"/>
      <c r="B697" s="1415" t="s">
        <v>5932</v>
      </c>
      <c r="C697" s="1418">
        <v>2899</v>
      </c>
      <c r="D697" s="1417" t="s">
        <v>1423</v>
      </c>
      <c r="E697" s="1278"/>
      <c r="F697" s="1125">
        <f t="shared" si="129"/>
        <v>0</v>
      </c>
      <c r="G697" s="1273"/>
      <c r="H697" s="1125">
        <f t="shared" si="130"/>
        <v>0</v>
      </c>
      <c r="I697" s="748"/>
      <c r="J697" s="748">
        <f t="shared" si="137"/>
        <v>0</v>
      </c>
      <c r="K697" s="1273"/>
      <c r="L697" s="1125">
        <f t="shared" si="131"/>
        <v>0</v>
      </c>
      <c r="M697" s="1419"/>
      <c r="N697" s="1339">
        <f t="shared" si="132"/>
        <v>0</v>
      </c>
      <c r="O697" s="1340">
        <f t="shared" si="133"/>
        <v>0</v>
      </c>
      <c r="P697" s="1339">
        <f t="shared" si="134"/>
        <v>0</v>
      </c>
      <c r="Q697" s="1340">
        <f t="shared" si="135"/>
        <v>0</v>
      </c>
      <c r="R697" s="1339">
        <f t="shared" si="136"/>
        <v>0</v>
      </c>
    </row>
    <row r="698" spans="1:20" s="700" customFormat="1" ht="70.5" hidden="1" customHeight="1">
      <c r="A698" s="1105">
        <v>54.3</v>
      </c>
      <c r="B698" s="538" t="s">
        <v>4122</v>
      </c>
      <c r="C698" s="602">
        <f>ROUND(Data!K1954,2)</f>
        <v>206</v>
      </c>
      <c r="D698" s="744" t="s">
        <v>1423</v>
      </c>
      <c r="E698" s="1276"/>
      <c r="F698" s="1125">
        <f t="shared" si="129"/>
        <v>0</v>
      </c>
      <c r="G698" s="1199"/>
      <c r="H698" s="1125">
        <f t="shared" si="130"/>
        <v>0</v>
      </c>
      <c r="I698" s="748"/>
      <c r="J698" s="748">
        <f t="shared" si="137"/>
        <v>0</v>
      </c>
      <c r="K698" s="1199"/>
      <c r="L698" s="1125">
        <f t="shared" si="131"/>
        <v>0</v>
      </c>
      <c r="M698" s="1200"/>
      <c r="N698" s="1339">
        <f t="shared" si="132"/>
        <v>0</v>
      </c>
      <c r="O698" s="1340">
        <f t="shared" si="133"/>
        <v>0</v>
      </c>
      <c r="P698" s="1339">
        <f t="shared" si="134"/>
        <v>0</v>
      </c>
      <c r="Q698" s="1340">
        <f t="shared" si="135"/>
        <v>0</v>
      </c>
      <c r="R698" s="1339">
        <f t="shared" si="136"/>
        <v>0</v>
      </c>
    </row>
    <row r="699" spans="1:20" s="700" customFormat="1" ht="70.5" hidden="1" customHeight="1">
      <c r="A699" s="1105">
        <v>56.3</v>
      </c>
      <c r="B699" s="538" t="s">
        <v>840</v>
      </c>
      <c r="C699" s="743">
        <f>ROUND(Data!K1977,2)</f>
        <v>3447.45</v>
      </c>
      <c r="D699" s="744" t="s">
        <v>1423</v>
      </c>
      <c r="E699" s="1276"/>
      <c r="F699" s="1125">
        <f t="shared" si="129"/>
        <v>0</v>
      </c>
      <c r="G699" s="1199"/>
      <c r="H699" s="1125">
        <f t="shared" si="130"/>
        <v>0</v>
      </c>
      <c r="I699" s="748"/>
      <c r="J699" s="748">
        <f t="shared" si="137"/>
        <v>0</v>
      </c>
      <c r="K699" s="1199"/>
      <c r="L699" s="1125">
        <f t="shared" si="131"/>
        <v>0</v>
      </c>
      <c r="M699" s="1200"/>
      <c r="N699" s="1339">
        <f t="shared" si="132"/>
        <v>0</v>
      </c>
      <c r="O699" s="1340">
        <f t="shared" si="133"/>
        <v>0</v>
      </c>
      <c r="P699" s="1339">
        <f t="shared" si="134"/>
        <v>0</v>
      </c>
      <c r="Q699" s="1340">
        <f t="shared" si="135"/>
        <v>0</v>
      </c>
      <c r="R699" s="1339">
        <f t="shared" si="136"/>
        <v>0</v>
      </c>
    </row>
    <row r="700" spans="1:20" s="700" customFormat="1" ht="70.5" hidden="1" customHeight="1">
      <c r="A700" s="1105">
        <v>56.4</v>
      </c>
      <c r="B700" s="538" t="s">
        <v>1305</v>
      </c>
      <c r="C700" s="743">
        <f>ROUND(Data!K1998,2)</f>
        <v>5401.74</v>
      </c>
      <c r="D700" s="744" t="s">
        <v>1423</v>
      </c>
      <c r="E700" s="1276"/>
      <c r="F700" s="1125">
        <f t="shared" si="129"/>
        <v>0</v>
      </c>
      <c r="G700" s="1199"/>
      <c r="H700" s="1125">
        <f t="shared" si="130"/>
        <v>0</v>
      </c>
      <c r="I700" s="748"/>
      <c r="J700" s="748">
        <f t="shared" si="137"/>
        <v>0</v>
      </c>
      <c r="K700" s="1199"/>
      <c r="L700" s="1125">
        <f t="shared" si="131"/>
        <v>0</v>
      </c>
      <c r="M700" s="1200"/>
      <c r="N700" s="1339">
        <f t="shared" si="132"/>
        <v>0</v>
      </c>
      <c r="O700" s="1340">
        <f t="shared" si="133"/>
        <v>0</v>
      </c>
      <c r="P700" s="1339">
        <f t="shared" si="134"/>
        <v>0</v>
      </c>
      <c r="Q700" s="1340">
        <f t="shared" si="135"/>
        <v>0</v>
      </c>
      <c r="R700" s="1339">
        <f t="shared" si="136"/>
        <v>0</v>
      </c>
    </row>
    <row r="701" spans="1:20" ht="51.75" customHeight="1">
      <c r="A701" s="1486">
        <v>58.3</v>
      </c>
      <c r="B701" s="1344" t="s">
        <v>1306</v>
      </c>
      <c r="C701" s="1111"/>
      <c r="D701" s="1155"/>
      <c r="E701" s="1336"/>
      <c r="F701" s="1125">
        <f t="shared" si="129"/>
        <v>0</v>
      </c>
      <c r="G701" s="1335"/>
      <c r="H701" s="1125">
        <f t="shared" si="130"/>
        <v>0</v>
      </c>
      <c r="I701" s="1312"/>
      <c r="J701" s="1406">
        <f t="shared" si="137"/>
        <v>0</v>
      </c>
      <c r="K701" s="1335"/>
      <c r="L701" s="1125">
        <f t="shared" si="131"/>
        <v>0</v>
      </c>
      <c r="M701" s="1340"/>
      <c r="N701" s="1339">
        <f t="shared" si="132"/>
        <v>0</v>
      </c>
      <c r="O701" s="1340">
        <f t="shared" si="133"/>
        <v>0</v>
      </c>
      <c r="P701" s="1339">
        <f t="shared" si="134"/>
        <v>0</v>
      </c>
      <c r="Q701" s="1341" t="s">
        <v>2290</v>
      </c>
      <c r="R701" s="1339"/>
      <c r="S701" s="1322">
        <f t="shared" ref="S701:S704" si="147">F701+P701</f>
        <v>0</v>
      </c>
      <c r="T701" s="1322">
        <f t="shared" ref="T701:T704" si="148">S701-R701</f>
        <v>0</v>
      </c>
    </row>
    <row r="702" spans="1:20" ht="51.75" customHeight="1">
      <c r="A702" s="1486"/>
      <c r="B702" s="1198" t="s">
        <v>37</v>
      </c>
      <c r="C702" s="1111">
        <f>ROUND(Data!K2063,2)</f>
        <v>735.27</v>
      </c>
      <c r="D702" s="1110" t="s">
        <v>842</v>
      </c>
      <c r="E702" s="1336">
        <v>273.2</v>
      </c>
      <c r="F702" s="1125">
        <f t="shared" si="129"/>
        <v>200875.76</v>
      </c>
      <c r="G702" s="1335"/>
      <c r="H702" s="1125">
        <f t="shared" si="130"/>
        <v>0</v>
      </c>
      <c r="I702" s="1312"/>
      <c r="J702" s="1406">
        <f t="shared" si="137"/>
        <v>0</v>
      </c>
      <c r="K702" s="1335"/>
      <c r="L702" s="1125">
        <f t="shared" si="131"/>
        <v>0</v>
      </c>
      <c r="M702" s="1340"/>
      <c r="N702" s="1339">
        <f t="shared" si="132"/>
        <v>0</v>
      </c>
      <c r="O702" s="1340">
        <f t="shared" si="133"/>
        <v>0</v>
      </c>
      <c r="P702" s="1339">
        <f t="shared" si="134"/>
        <v>0</v>
      </c>
      <c r="Q702" s="1340">
        <f t="shared" si="135"/>
        <v>273.2</v>
      </c>
      <c r="R702" s="1339">
        <f t="shared" si="136"/>
        <v>200875.76</v>
      </c>
      <c r="S702" s="1322">
        <f t="shared" si="147"/>
        <v>200875.76</v>
      </c>
      <c r="T702" s="1322">
        <f t="shared" si="148"/>
        <v>0</v>
      </c>
    </row>
    <row r="703" spans="1:20" ht="51.75" customHeight="1">
      <c r="A703" s="1156"/>
      <c r="B703" s="1198" t="s">
        <v>38</v>
      </c>
      <c r="C703" s="1111">
        <f>ROUND(Data!K2087,2)</f>
        <v>617.97</v>
      </c>
      <c r="D703" s="1110" t="s">
        <v>842</v>
      </c>
      <c r="E703" s="1336">
        <v>232.8</v>
      </c>
      <c r="F703" s="1125">
        <f t="shared" si="129"/>
        <v>143863.42000000001</v>
      </c>
      <c r="G703" s="1335"/>
      <c r="H703" s="1125">
        <f t="shared" si="130"/>
        <v>0</v>
      </c>
      <c r="I703" s="1312"/>
      <c r="J703" s="1406">
        <f t="shared" si="137"/>
        <v>0</v>
      </c>
      <c r="K703" s="1335"/>
      <c r="L703" s="1125">
        <f t="shared" si="131"/>
        <v>0</v>
      </c>
      <c r="M703" s="1340"/>
      <c r="N703" s="1339">
        <f t="shared" si="132"/>
        <v>0</v>
      </c>
      <c r="O703" s="1340">
        <f t="shared" si="133"/>
        <v>0</v>
      </c>
      <c r="P703" s="1339">
        <f t="shared" si="134"/>
        <v>0</v>
      </c>
      <c r="Q703" s="1340">
        <f t="shared" si="135"/>
        <v>232.8</v>
      </c>
      <c r="R703" s="1339">
        <f t="shared" si="136"/>
        <v>143863.42000000001</v>
      </c>
      <c r="S703" s="1322">
        <f t="shared" si="147"/>
        <v>143863.42000000001</v>
      </c>
      <c r="T703" s="1322">
        <f t="shared" si="148"/>
        <v>0</v>
      </c>
    </row>
    <row r="704" spans="1:20" ht="102" customHeight="1">
      <c r="A704" s="1486">
        <v>58.4</v>
      </c>
      <c r="B704" s="1198" t="s">
        <v>865</v>
      </c>
      <c r="C704" s="1111">
        <f>ROUND(Data!K2888,2)</f>
        <v>114.45</v>
      </c>
      <c r="D704" s="1155" t="s">
        <v>842</v>
      </c>
      <c r="E704" s="1336">
        <v>21</v>
      </c>
      <c r="F704" s="1125">
        <f t="shared" si="129"/>
        <v>2403.4499999999998</v>
      </c>
      <c r="G704" s="1335"/>
      <c r="H704" s="1125">
        <f t="shared" si="130"/>
        <v>0</v>
      </c>
      <c r="I704" s="1312"/>
      <c r="J704" s="1406">
        <f t="shared" si="137"/>
        <v>0</v>
      </c>
      <c r="K704" s="1335"/>
      <c r="L704" s="1125">
        <f t="shared" si="131"/>
        <v>0</v>
      </c>
      <c r="M704" s="1340"/>
      <c r="N704" s="1339">
        <f t="shared" si="132"/>
        <v>0</v>
      </c>
      <c r="O704" s="1340">
        <f t="shared" si="133"/>
        <v>0</v>
      </c>
      <c r="P704" s="1339">
        <f t="shared" si="134"/>
        <v>0</v>
      </c>
      <c r="Q704" s="1340">
        <f t="shared" si="135"/>
        <v>21</v>
      </c>
      <c r="R704" s="1339">
        <f t="shared" si="136"/>
        <v>2403.4499999999998</v>
      </c>
      <c r="S704" s="1322">
        <f t="shared" si="147"/>
        <v>2403.4499999999998</v>
      </c>
      <c r="T704" s="1322">
        <f t="shared" si="148"/>
        <v>0</v>
      </c>
    </row>
    <row r="705" spans="1:20" s="812" customFormat="1" ht="70.5" hidden="1" customHeight="1">
      <c r="A705" s="1409">
        <v>58.5</v>
      </c>
      <c r="B705" s="1410" t="s">
        <v>866</v>
      </c>
      <c r="C705" s="1411">
        <f>ROUND(Data!K2098,2)</f>
        <v>454</v>
      </c>
      <c r="D705" s="1445" t="s">
        <v>1423</v>
      </c>
      <c r="E705" s="1278"/>
      <c r="F705" s="1125">
        <f t="shared" si="129"/>
        <v>0</v>
      </c>
      <c r="G705" s="1273"/>
      <c r="H705" s="1125">
        <f t="shared" si="130"/>
        <v>0</v>
      </c>
      <c r="I705" s="748"/>
      <c r="J705" s="748">
        <f t="shared" si="137"/>
        <v>0</v>
      </c>
      <c r="K705" s="1273"/>
      <c r="L705" s="1125">
        <f t="shared" si="131"/>
        <v>0</v>
      </c>
      <c r="M705" s="1412"/>
      <c r="N705" s="1339">
        <f t="shared" si="132"/>
        <v>0</v>
      </c>
      <c r="O705" s="1340">
        <f t="shared" si="133"/>
        <v>0</v>
      </c>
      <c r="P705" s="1339">
        <f t="shared" si="134"/>
        <v>0</v>
      </c>
      <c r="Q705" s="1340">
        <f t="shared" si="135"/>
        <v>0</v>
      </c>
      <c r="R705" s="1339">
        <f t="shared" si="136"/>
        <v>0</v>
      </c>
    </row>
    <row r="706" spans="1:20" s="812" customFormat="1" ht="96.75" customHeight="1">
      <c r="A706" s="1107"/>
      <c r="B706" s="1112" t="s">
        <v>6137</v>
      </c>
      <c r="C706" s="1111"/>
      <c r="D706" s="1155"/>
      <c r="E706" s="1100"/>
      <c r="F706" s="1125">
        <f t="shared" si="129"/>
        <v>0</v>
      </c>
      <c r="G706" s="1199"/>
      <c r="H706" s="1125">
        <f t="shared" si="130"/>
        <v>0</v>
      </c>
      <c r="I706" s="748"/>
      <c r="J706" s="1407">
        <f t="shared" si="137"/>
        <v>0</v>
      </c>
      <c r="K706" s="1199"/>
      <c r="L706" s="1125">
        <f t="shared" si="131"/>
        <v>0</v>
      </c>
      <c r="M706" s="1208"/>
      <c r="N706" s="1339">
        <f t="shared" si="132"/>
        <v>0</v>
      </c>
      <c r="O706" s="1340">
        <f t="shared" si="133"/>
        <v>0</v>
      </c>
      <c r="P706" s="1339">
        <f t="shared" si="134"/>
        <v>0</v>
      </c>
      <c r="Q706" s="1341" t="s">
        <v>2290</v>
      </c>
      <c r="R706" s="1339"/>
    </row>
    <row r="707" spans="1:20" s="812" customFormat="1" ht="61.5" customHeight="1">
      <c r="A707" s="1107"/>
      <c r="B707" s="1108" t="s">
        <v>2180</v>
      </c>
      <c r="C707" s="1111">
        <f>Elec.Data!K29</f>
        <v>1630</v>
      </c>
      <c r="D707" s="1156" t="s">
        <v>1423</v>
      </c>
      <c r="E707" s="1100">
        <v>143</v>
      </c>
      <c r="F707" s="1125">
        <f t="shared" si="129"/>
        <v>233090</v>
      </c>
      <c r="G707" s="1199"/>
      <c r="H707" s="1125">
        <f t="shared" si="130"/>
        <v>0</v>
      </c>
      <c r="I707" s="748"/>
      <c r="J707" s="1407">
        <f t="shared" si="137"/>
        <v>0</v>
      </c>
      <c r="K707" s="1199"/>
      <c r="L707" s="1125">
        <f t="shared" si="131"/>
        <v>0</v>
      </c>
      <c r="M707" s="1208"/>
      <c r="N707" s="1339">
        <f t="shared" si="132"/>
        <v>0</v>
      </c>
      <c r="O707" s="1340">
        <f t="shared" si="133"/>
        <v>0</v>
      </c>
      <c r="P707" s="1339">
        <f t="shared" si="134"/>
        <v>0</v>
      </c>
      <c r="Q707" s="1340">
        <f t="shared" si="135"/>
        <v>143</v>
      </c>
      <c r="R707" s="1339">
        <f t="shared" si="136"/>
        <v>233090</v>
      </c>
    </row>
    <row r="708" spans="1:20" s="812" customFormat="1" ht="61.5" customHeight="1">
      <c r="A708" s="1107"/>
      <c r="B708" s="1108" t="s">
        <v>1294</v>
      </c>
      <c r="C708" s="1111">
        <f>Elec.Data!K53</f>
        <v>1633</v>
      </c>
      <c r="D708" s="1156" t="s">
        <v>1423</v>
      </c>
      <c r="E708" s="1100">
        <v>99</v>
      </c>
      <c r="F708" s="1125">
        <f t="shared" si="129"/>
        <v>161667</v>
      </c>
      <c r="G708" s="1199"/>
      <c r="H708" s="1125">
        <f t="shared" si="130"/>
        <v>0</v>
      </c>
      <c r="I708" s="748"/>
      <c r="J708" s="1407">
        <f t="shared" si="137"/>
        <v>0</v>
      </c>
      <c r="K708" s="1199"/>
      <c r="L708" s="1125">
        <f t="shared" si="131"/>
        <v>0</v>
      </c>
      <c r="M708" s="1208"/>
      <c r="N708" s="1339">
        <f t="shared" si="132"/>
        <v>0</v>
      </c>
      <c r="O708" s="1340">
        <f t="shared" si="133"/>
        <v>0</v>
      </c>
      <c r="P708" s="1339">
        <f t="shared" si="134"/>
        <v>0</v>
      </c>
      <c r="Q708" s="1340">
        <f t="shared" si="135"/>
        <v>99</v>
      </c>
      <c r="R708" s="1339">
        <f t="shared" si="136"/>
        <v>161667</v>
      </c>
    </row>
    <row r="709" spans="1:20" s="812" customFormat="1" ht="61.5" customHeight="1">
      <c r="A709" s="1111"/>
      <c r="B709" s="1108" t="s">
        <v>303</v>
      </c>
      <c r="C709" s="1111">
        <f>Elec.Data!K68</f>
        <v>1670</v>
      </c>
      <c r="D709" s="1156" t="s">
        <v>1423</v>
      </c>
      <c r="E709" s="1100">
        <v>5</v>
      </c>
      <c r="F709" s="1125">
        <f t="shared" si="129"/>
        <v>8350</v>
      </c>
      <c r="G709" s="1199"/>
      <c r="H709" s="1125">
        <f t="shared" si="130"/>
        <v>0</v>
      </c>
      <c r="I709" s="748"/>
      <c r="J709" s="1407">
        <f t="shared" si="137"/>
        <v>0</v>
      </c>
      <c r="K709" s="1199"/>
      <c r="L709" s="1125">
        <f t="shared" si="131"/>
        <v>0</v>
      </c>
      <c r="M709" s="1208"/>
      <c r="N709" s="1339">
        <f t="shared" si="132"/>
        <v>0</v>
      </c>
      <c r="O709" s="1340">
        <f t="shared" si="133"/>
        <v>0</v>
      </c>
      <c r="P709" s="1339">
        <f t="shared" si="134"/>
        <v>0</v>
      </c>
      <c r="Q709" s="1340">
        <f t="shared" si="135"/>
        <v>5</v>
      </c>
      <c r="R709" s="1339">
        <f t="shared" si="136"/>
        <v>8350</v>
      </c>
    </row>
    <row r="710" spans="1:20" s="812" customFormat="1" ht="125.25" customHeight="1">
      <c r="A710" s="1107">
        <v>65.099999999999994</v>
      </c>
      <c r="B710" s="1108" t="s">
        <v>6138</v>
      </c>
      <c r="C710" s="1111">
        <f>Elec.Data!K90</f>
        <v>1705</v>
      </c>
      <c r="D710" s="1156" t="s">
        <v>1423</v>
      </c>
      <c r="E710" s="1100">
        <v>70</v>
      </c>
      <c r="F710" s="1125">
        <f t="shared" si="129"/>
        <v>119350</v>
      </c>
      <c r="G710" s="1199"/>
      <c r="H710" s="1125">
        <f t="shared" si="130"/>
        <v>0</v>
      </c>
      <c r="I710" s="748"/>
      <c r="J710" s="1407">
        <f t="shared" si="137"/>
        <v>0</v>
      </c>
      <c r="K710" s="1199"/>
      <c r="L710" s="1125">
        <f t="shared" si="131"/>
        <v>0</v>
      </c>
      <c r="M710" s="1208"/>
      <c r="N710" s="1339">
        <f t="shared" si="132"/>
        <v>0</v>
      </c>
      <c r="O710" s="1340">
        <f t="shared" si="133"/>
        <v>0</v>
      </c>
      <c r="P710" s="1339">
        <f t="shared" si="134"/>
        <v>0</v>
      </c>
      <c r="Q710" s="1340">
        <f t="shared" si="135"/>
        <v>70</v>
      </c>
      <c r="R710" s="1339">
        <f t="shared" si="136"/>
        <v>119350</v>
      </c>
    </row>
    <row r="711" spans="1:20" s="812" customFormat="1" ht="115.5" customHeight="1">
      <c r="A711" s="1107">
        <v>66.099999999999994</v>
      </c>
      <c r="B711" s="1108" t="s">
        <v>6139</v>
      </c>
      <c r="C711" s="1111">
        <f>Elec.Data!K114</f>
        <v>3052</v>
      </c>
      <c r="D711" s="1156" t="s">
        <v>1423</v>
      </c>
      <c r="E711" s="1100">
        <v>8</v>
      </c>
      <c r="F711" s="1125">
        <f t="shared" ref="F711:F774" si="149">E711*C711</f>
        <v>24416</v>
      </c>
      <c r="G711" s="1199"/>
      <c r="H711" s="1125">
        <f t="shared" ref="H711:H774" si="150">G711*C711</f>
        <v>0</v>
      </c>
      <c r="I711" s="748"/>
      <c r="J711" s="1407">
        <f t="shared" si="137"/>
        <v>0</v>
      </c>
      <c r="K711" s="1199"/>
      <c r="L711" s="1125">
        <f t="shared" ref="L711:L774" si="151">K711*C711</f>
        <v>0</v>
      </c>
      <c r="M711" s="1208"/>
      <c r="N711" s="1339">
        <f t="shared" ref="N711:N774" si="152">M711*C711</f>
        <v>0</v>
      </c>
      <c r="O711" s="1340">
        <f t="shared" ref="O711:O774" si="153">G711+K711+M711</f>
        <v>0</v>
      </c>
      <c r="P711" s="1339">
        <f t="shared" ref="P711:P774" si="154">O711*C711</f>
        <v>0</v>
      </c>
      <c r="Q711" s="1340">
        <f t="shared" ref="Q711:Q774" si="155">O711+E711</f>
        <v>8</v>
      </c>
      <c r="R711" s="1339">
        <f t="shared" ref="R711:R774" si="156">Q711*C711</f>
        <v>24416</v>
      </c>
    </row>
    <row r="712" spans="1:20" s="812" customFormat="1" ht="136.5" customHeight="1">
      <c r="A712" s="1107"/>
      <c r="B712" s="1108" t="s">
        <v>6140</v>
      </c>
      <c r="C712" s="1111">
        <f>Elec.Data!K146</f>
        <v>835</v>
      </c>
      <c r="D712" s="1156" t="s">
        <v>1423</v>
      </c>
      <c r="E712" s="1100">
        <v>52</v>
      </c>
      <c r="F712" s="1125">
        <f t="shared" si="149"/>
        <v>43420</v>
      </c>
      <c r="G712" s="1199"/>
      <c r="H712" s="1125">
        <f t="shared" si="150"/>
        <v>0</v>
      </c>
      <c r="I712" s="748"/>
      <c r="J712" s="1407">
        <f t="shared" si="137"/>
        <v>0</v>
      </c>
      <c r="K712" s="1199"/>
      <c r="L712" s="1125">
        <f t="shared" si="151"/>
        <v>0</v>
      </c>
      <c r="M712" s="1208"/>
      <c r="N712" s="1339">
        <f t="shared" si="152"/>
        <v>0</v>
      </c>
      <c r="O712" s="1340">
        <f t="shared" si="153"/>
        <v>0</v>
      </c>
      <c r="P712" s="1339">
        <f t="shared" si="154"/>
        <v>0</v>
      </c>
      <c r="Q712" s="1340">
        <f t="shared" si="155"/>
        <v>52</v>
      </c>
      <c r="R712" s="1339">
        <f t="shared" si="156"/>
        <v>43420</v>
      </c>
    </row>
    <row r="713" spans="1:20" s="812" customFormat="1" ht="130.5" customHeight="1">
      <c r="A713" s="1107">
        <v>68.2</v>
      </c>
      <c r="B713" s="1108" t="s">
        <v>6141</v>
      </c>
      <c r="C713" s="1111">
        <f>Elec.Data!K134</f>
        <v>1133</v>
      </c>
      <c r="D713" s="1156" t="s">
        <v>1423</v>
      </c>
      <c r="E713" s="1100">
        <v>40</v>
      </c>
      <c r="F713" s="1125">
        <f t="shared" si="149"/>
        <v>45320</v>
      </c>
      <c r="G713" s="1199"/>
      <c r="H713" s="1125">
        <f t="shared" si="150"/>
        <v>0</v>
      </c>
      <c r="I713" s="748"/>
      <c r="J713" s="1407">
        <f t="shared" si="137"/>
        <v>0</v>
      </c>
      <c r="K713" s="1199"/>
      <c r="L713" s="1125">
        <f t="shared" si="151"/>
        <v>0</v>
      </c>
      <c r="M713" s="1208"/>
      <c r="N713" s="1339">
        <f t="shared" si="152"/>
        <v>0</v>
      </c>
      <c r="O713" s="1340">
        <f t="shared" si="153"/>
        <v>0</v>
      </c>
      <c r="P713" s="1339">
        <f t="shared" si="154"/>
        <v>0</v>
      </c>
      <c r="Q713" s="1340">
        <f t="shared" si="155"/>
        <v>40</v>
      </c>
      <c r="R713" s="1339">
        <f t="shared" si="156"/>
        <v>45320</v>
      </c>
    </row>
    <row r="714" spans="1:20" s="700" customFormat="1" ht="70.5" hidden="1" customHeight="1">
      <c r="A714" s="1414">
        <v>70.5</v>
      </c>
      <c r="B714" s="1415" t="s">
        <v>4949</v>
      </c>
      <c r="C714" s="1446">
        <f>Elec.Data!K157</f>
        <v>150</v>
      </c>
      <c r="D714" s="1447" t="s">
        <v>1423</v>
      </c>
      <c r="E714" s="1278"/>
      <c r="F714" s="1125">
        <f t="shared" si="149"/>
        <v>0</v>
      </c>
      <c r="G714" s="1273"/>
      <c r="H714" s="1125">
        <f t="shared" si="150"/>
        <v>0</v>
      </c>
      <c r="I714" s="748"/>
      <c r="J714" s="748">
        <f t="shared" ref="J714:J775" si="157">I714*C714</f>
        <v>0</v>
      </c>
      <c r="K714" s="1273"/>
      <c r="L714" s="1125">
        <f t="shared" si="151"/>
        <v>0</v>
      </c>
      <c r="M714" s="1412"/>
      <c r="N714" s="1339">
        <f t="shared" si="152"/>
        <v>0</v>
      </c>
      <c r="O714" s="1340">
        <f t="shared" si="153"/>
        <v>0</v>
      </c>
      <c r="P714" s="1339">
        <f t="shared" si="154"/>
        <v>0</v>
      </c>
      <c r="Q714" s="1340">
        <f t="shared" si="155"/>
        <v>0</v>
      </c>
      <c r="R714" s="1339">
        <f t="shared" si="156"/>
        <v>0</v>
      </c>
    </row>
    <row r="715" spans="1:20" ht="70.5" customHeight="1">
      <c r="A715" s="1156"/>
      <c r="B715" s="1198" t="s">
        <v>4539</v>
      </c>
      <c r="C715" s="1111">
        <f>ROUND(Data!K3038,2)</f>
        <v>1552.7</v>
      </c>
      <c r="D715" s="1156" t="s">
        <v>1423</v>
      </c>
      <c r="E715" s="1336">
        <v>70</v>
      </c>
      <c r="F715" s="1125">
        <f t="shared" si="149"/>
        <v>108689</v>
      </c>
      <c r="G715" s="1335"/>
      <c r="H715" s="1125">
        <f t="shared" si="150"/>
        <v>0</v>
      </c>
      <c r="I715" s="1312"/>
      <c r="J715" s="1406">
        <f t="shared" si="157"/>
        <v>0</v>
      </c>
      <c r="K715" s="1335"/>
      <c r="L715" s="1125">
        <f t="shared" si="151"/>
        <v>0</v>
      </c>
      <c r="M715" s="1340"/>
      <c r="N715" s="1339">
        <f t="shared" si="152"/>
        <v>0</v>
      </c>
      <c r="O715" s="1340">
        <f t="shared" si="153"/>
        <v>0</v>
      </c>
      <c r="P715" s="1339">
        <f t="shared" si="154"/>
        <v>0</v>
      </c>
      <c r="Q715" s="1340">
        <f t="shared" si="155"/>
        <v>70</v>
      </c>
      <c r="R715" s="1339">
        <f t="shared" si="156"/>
        <v>108689</v>
      </c>
      <c r="S715" s="1322">
        <f t="shared" ref="S715:S722" si="158">F715+P715</f>
        <v>108689</v>
      </c>
      <c r="T715" s="1322">
        <f t="shared" ref="T715:T722" si="159">S715-R715</f>
        <v>0</v>
      </c>
    </row>
    <row r="716" spans="1:20" ht="96.75" customHeight="1">
      <c r="A716" s="1156"/>
      <c r="B716" s="1198" t="s">
        <v>3596</v>
      </c>
      <c r="C716" s="1111">
        <f>Data!K2283</f>
        <v>266</v>
      </c>
      <c r="D716" s="1155" t="s">
        <v>842</v>
      </c>
      <c r="E716" s="1336">
        <v>160</v>
      </c>
      <c r="F716" s="1125">
        <f t="shared" si="149"/>
        <v>42560</v>
      </c>
      <c r="G716" s="1335"/>
      <c r="H716" s="1125">
        <f t="shared" si="150"/>
        <v>0</v>
      </c>
      <c r="I716" s="1312"/>
      <c r="J716" s="1406">
        <f t="shared" si="157"/>
        <v>0</v>
      </c>
      <c r="K716" s="1335"/>
      <c r="L716" s="1125">
        <f t="shared" si="151"/>
        <v>0</v>
      </c>
      <c r="M716" s="1340"/>
      <c r="N716" s="1339">
        <f t="shared" si="152"/>
        <v>0</v>
      </c>
      <c r="O716" s="1340">
        <f t="shared" si="153"/>
        <v>0</v>
      </c>
      <c r="P716" s="1339">
        <f t="shared" si="154"/>
        <v>0</v>
      </c>
      <c r="Q716" s="1340">
        <f t="shared" si="155"/>
        <v>160</v>
      </c>
      <c r="R716" s="1339">
        <f t="shared" si="156"/>
        <v>42560</v>
      </c>
      <c r="S716" s="1322">
        <f t="shared" si="158"/>
        <v>42560</v>
      </c>
      <c r="T716" s="1322">
        <f t="shared" si="159"/>
        <v>0</v>
      </c>
    </row>
    <row r="717" spans="1:20" ht="89.25" customHeight="1">
      <c r="A717" s="1486">
        <v>77.5</v>
      </c>
      <c r="B717" s="1198" t="s">
        <v>3597</v>
      </c>
      <c r="C717" s="1111">
        <f>ROUND(Data!K2282,2)</f>
        <v>208</v>
      </c>
      <c r="D717" s="1155" t="s">
        <v>842</v>
      </c>
      <c r="E717" s="1336">
        <v>120</v>
      </c>
      <c r="F717" s="1125">
        <f t="shared" si="149"/>
        <v>24960</v>
      </c>
      <c r="G717" s="1335"/>
      <c r="H717" s="1125">
        <f t="shared" si="150"/>
        <v>0</v>
      </c>
      <c r="I717" s="1312"/>
      <c r="J717" s="1406">
        <f t="shared" si="157"/>
        <v>0</v>
      </c>
      <c r="K717" s="1335"/>
      <c r="L717" s="1125">
        <f t="shared" si="151"/>
        <v>0</v>
      </c>
      <c r="M717" s="1343"/>
      <c r="N717" s="1339">
        <f t="shared" si="152"/>
        <v>0</v>
      </c>
      <c r="O717" s="1340">
        <f t="shared" si="153"/>
        <v>0</v>
      </c>
      <c r="P717" s="1339">
        <f t="shared" si="154"/>
        <v>0</v>
      </c>
      <c r="Q717" s="1340">
        <f t="shared" si="155"/>
        <v>120</v>
      </c>
      <c r="R717" s="1339">
        <f t="shared" si="156"/>
        <v>24960</v>
      </c>
      <c r="S717" s="1322">
        <f t="shared" si="158"/>
        <v>24960</v>
      </c>
      <c r="T717" s="1322">
        <f t="shared" si="159"/>
        <v>0</v>
      </c>
    </row>
    <row r="718" spans="1:20" ht="102.75" customHeight="1">
      <c r="A718" s="1486"/>
      <c r="B718" s="1198" t="s">
        <v>3645</v>
      </c>
      <c r="C718" s="1111">
        <f>C1124</f>
        <v>226</v>
      </c>
      <c r="D718" s="1162" t="s">
        <v>842</v>
      </c>
      <c r="E718" s="1336">
        <v>780</v>
      </c>
      <c r="F718" s="1125">
        <f t="shared" si="149"/>
        <v>176280</v>
      </c>
      <c r="G718" s="1335"/>
      <c r="H718" s="1125">
        <f t="shared" si="150"/>
        <v>0</v>
      </c>
      <c r="I718" s="1312"/>
      <c r="J718" s="1406">
        <f t="shared" si="157"/>
        <v>0</v>
      </c>
      <c r="K718" s="1335"/>
      <c r="L718" s="1125">
        <f t="shared" si="151"/>
        <v>0</v>
      </c>
      <c r="M718" s="1340"/>
      <c r="N718" s="1339">
        <f t="shared" si="152"/>
        <v>0</v>
      </c>
      <c r="O718" s="1340">
        <f t="shared" si="153"/>
        <v>0</v>
      </c>
      <c r="P718" s="1339">
        <f t="shared" si="154"/>
        <v>0</v>
      </c>
      <c r="Q718" s="1340">
        <f t="shared" si="155"/>
        <v>780</v>
      </c>
      <c r="R718" s="1339">
        <f t="shared" si="156"/>
        <v>176280</v>
      </c>
      <c r="S718" s="1322">
        <f t="shared" si="158"/>
        <v>176280</v>
      </c>
      <c r="T718" s="1322">
        <f t="shared" si="159"/>
        <v>0</v>
      </c>
    </row>
    <row r="719" spans="1:20" ht="70.5" hidden="1" customHeight="1">
      <c r="A719" s="1426"/>
      <c r="B719" s="1370" t="s">
        <v>4586</v>
      </c>
      <c r="C719" s="1411">
        <f>Elec.Data!K709</f>
        <v>270</v>
      </c>
      <c r="D719" s="1445" t="s">
        <v>842</v>
      </c>
      <c r="E719" s="1372"/>
      <c r="F719" s="1125">
        <f t="shared" si="149"/>
        <v>0</v>
      </c>
      <c r="G719" s="1427"/>
      <c r="H719" s="1125">
        <f t="shared" si="150"/>
        <v>0</v>
      </c>
      <c r="I719" s="1312"/>
      <c r="J719" s="1312">
        <f t="shared" si="157"/>
        <v>0</v>
      </c>
      <c r="K719" s="1427"/>
      <c r="L719" s="1125">
        <f t="shared" si="151"/>
        <v>0</v>
      </c>
      <c r="M719" s="1435"/>
      <c r="N719" s="1339">
        <f t="shared" si="152"/>
        <v>0</v>
      </c>
      <c r="O719" s="1340">
        <f t="shared" si="153"/>
        <v>0</v>
      </c>
      <c r="P719" s="1339">
        <f t="shared" si="154"/>
        <v>0</v>
      </c>
      <c r="Q719" s="1340">
        <f t="shared" si="155"/>
        <v>0</v>
      </c>
      <c r="R719" s="1339">
        <f t="shared" si="156"/>
        <v>0</v>
      </c>
      <c r="S719" s="1322">
        <f t="shared" si="158"/>
        <v>0</v>
      </c>
      <c r="T719" s="1322">
        <f t="shared" si="159"/>
        <v>0</v>
      </c>
    </row>
    <row r="720" spans="1:20" ht="70.5" hidden="1" customHeight="1">
      <c r="A720" s="1324"/>
      <c r="B720" s="1305" t="s">
        <v>3727</v>
      </c>
      <c r="C720" s="1109">
        <f>Elec.Data!R288</f>
        <v>492</v>
      </c>
      <c r="D720" s="1162" t="s">
        <v>842</v>
      </c>
      <c r="E720" s="1342"/>
      <c r="F720" s="1125">
        <f t="shared" si="149"/>
        <v>0</v>
      </c>
      <c r="G720" s="1335"/>
      <c r="H720" s="1125">
        <f t="shared" si="150"/>
        <v>0</v>
      </c>
      <c r="I720" s="1312"/>
      <c r="J720" s="1312">
        <f t="shared" si="157"/>
        <v>0</v>
      </c>
      <c r="K720" s="1335"/>
      <c r="L720" s="1125">
        <f t="shared" si="151"/>
        <v>0</v>
      </c>
      <c r="M720" s="1340"/>
      <c r="N720" s="1339">
        <f t="shared" si="152"/>
        <v>0</v>
      </c>
      <c r="O720" s="1340">
        <f t="shared" si="153"/>
        <v>0</v>
      </c>
      <c r="P720" s="1339">
        <f t="shared" si="154"/>
        <v>0</v>
      </c>
      <c r="Q720" s="1340">
        <f t="shared" si="155"/>
        <v>0</v>
      </c>
      <c r="R720" s="1339">
        <f t="shared" si="156"/>
        <v>0</v>
      </c>
      <c r="S720" s="1322">
        <f t="shared" si="158"/>
        <v>0</v>
      </c>
      <c r="T720" s="1322">
        <f t="shared" si="159"/>
        <v>0</v>
      </c>
    </row>
    <row r="721" spans="1:20" ht="70.5" customHeight="1">
      <c r="A721" s="1486"/>
      <c r="B721" s="1305" t="s">
        <v>3728</v>
      </c>
      <c r="C721" s="1111">
        <f>Elec.Data!R302</f>
        <v>609.89</v>
      </c>
      <c r="D721" s="1162" t="s">
        <v>842</v>
      </c>
      <c r="E721" s="1336">
        <v>135</v>
      </c>
      <c r="F721" s="1125">
        <f t="shared" si="149"/>
        <v>82335.149999999994</v>
      </c>
      <c r="G721" s="1335"/>
      <c r="H721" s="1125">
        <f t="shared" si="150"/>
        <v>0</v>
      </c>
      <c r="I721" s="1312"/>
      <c r="J721" s="1406">
        <f t="shared" si="157"/>
        <v>0</v>
      </c>
      <c r="K721" s="1335"/>
      <c r="L721" s="1125">
        <f t="shared" si="151"/>
        <v>0</v>
      </c>
      <c r="M721" s="1343"/>
      <c r="N721" s="1339">
        <f t="shared" si="152"/>
        <v>0</v>
      </c>
      <c r="O721" s="1340">
        <f t="shared" si="153"/>
        <v>0</v>
      </c>
      <c r="P721" s="1339">
        <f t="shared" si="154"/>
        <v>0</v>
      </c>
      <c r="Q721" s="1340">
        <f t="shared" si="155"/>
        <v>135</v>
      </c>
      <c r="R721" s="1339">
        <f t="shared" si="156"/>
        <v>82335.149999999994</v>
      </c>
      <c r="S721" s="1322">
        <f t="shared" si="158"/>
        <v>82335.149999999994</v>
      </c>
      <c r="T721" s="1322">
        <f t="shared" si="159"/>
        <v>0</v>
      </c>
    </row>
    <row r="722" spans="1:20" ht="57.75" hidden="1" customHeight="1">
      <c r="A722" s="1426">
        <v>112.1</v>
      </c>
      <c r="B722" s="1370" t="s">
        <v>1954</v>
      </c>
      <c r="C722" s="1411">
        <f>Data!K3018</f>
        <v>2150</v>
      </c>
      <c r="D722" s="1448" t="s">
        <v>1423</v>
      </c>
      <c r="E722" s="1372"/>
      <c r="F722" s="1125">
        <f t="shared" si="149"/>
        <v>0</v>
      </c>
      <c r="G722" s="1427"/>
      <c r="H722" s="1125">
        <f t="shared" si="150"/>
        <v>0</v>
      </c>
      <c r="I722" s="1312"/>
      <c r="J722" s="1312">
        <f t="shared" si="157"/>
        <v>0</v>
      </c>
      <c r="K722" s="1427"/>
      <c r="L722" s="1125">
        <f t="shared" si="151"/>
        <v>0</v>
      </c>
      <c r="M722" s="1413"/>
      <c r="N722" s="1339">
        <f t="shared" si="152"/>
        <v>0</v>
      </c>
      <c r="O722" s="1340">
        <f t="shared" si="153"/>
        <v>0</v>
      </c>
      <c r="P722" s="1339">
        <f t="shared" si="154"/>
        <v>0</v>
      </c>
      <c r="Q722" s="1340">
        <f t="shared" si="155"/>
        <v>0</v>
      </c>
      <c r="R722" s="1339">
        <f t="shared" si="156"/>
        <v>0</v>
      </c>
      <c r="S722" s="1322">
        <f t="shared" si="158"/>
        <v>0</v>
      </c>
      <c r="T722" s="1322">
        <f t="shared" si="159"/>
        <v>0</v>
      </c>
    </row>
    <row r="723" spans="1:20" s="816" customFormat="1" ht="70.5" hidden="1" customHeight="1">
      <c r="A723" s="1145"/>
      <c r="B723" s="1158" t="s">
        <v>1029</v>
      </c>
      <c r="C723" s="1159"/>
      <c r="D723" s="1160"/>
      <c r="E723" s="1276"/>
      <c r="F723" s="1125">
        <f t="shared" si="149"/>
        <v>0</v>
      </c>
      <c r="G723" s="1199"/>
      <c r="H723" s="1125">
        <f t="shared" si="150"/>
        <v>0</v>
      </c>
      <c r="I723" s="748"/>
      <c r="J723" s="748">
        <f t="shared" si="157"/>
        <v>0</v>
      </c>
      <c r="K723" s="1199"/>
      <c r="L723" s="1125">
        <f t="shared" si="151"/>
        <v>0</v>
      </c>
      <c r="M723" s="1200"/>
      <c r="N723" s="1339">
        <f t="shared" si="152"/>
        <v>0</v>
      </c>
      <c r="O723" s="1340">
        <f t="shared" si="153"/>
        <v>0</v>
      </c>
      <c r="P723" s="1339">
        <f t="shared" si="154"/>
        <v>0</v>
      </c>
      <c r="Q723" s="1340">
        <f t="shared" si="155"/>
        <v>0</v>
      </c>
      <c r="R723" s="1339">
        <f t="shared" si="156"/>
        <v>0</v>
      </c>
    </row>
    <row r="724" spans="1:20" s="816" customFormat="1" ht="70.5" hidden="1" customHeight="1">
      <c r="A724" s="1145"/>
      <c r="B724" s="1146" t="s">
        <v>1461</v>
      </c>
      <c r="C724" s="1159">
        <f>ROUND(Data!K3032,2)</f>
        <v>0</v>
      </c>
      <c r="D724" s="1160" t="s">
        <v>1423</v>
      </c>
      <c r="E724" s="1276"/>
      <c r="F724" s="1125">
        <f t="shared" si="149"/>
        <v>0</v>
      </c>
      <c r="G724" s="1199"/>
      <c r="H724" s="1125">
        <f t="shared" si="150"/>
        <v>0</v>
      </c>
      <c r="I724" s="748"/>
      <c r="J724" s="748">
        <f t="shared" si="157"/>
        <v>0</v>
      </c>
      <c r="K724" s="1199"/>
      <c r="L724" s="1125">
        <f t="shared" si="151"/>
        <v>0</v>
      </c>
      <c r="M724" s="1200"/>
      <c r="N724" s="1339">
        <f t="shared" si="152"/>
        <v>0</v>
      </c>
      <c r="O724" s="1340">
        <f t="shared" si="153"/>
        <v>0</v>
      </c>
      <c r="P724" s="1339">
        <f t="shared" si="154"/>
        <v>0</v>
      </c>
      <c r="Q724" s="1340">
        <f t="shared" si="155"/>
        <v>0</v>
      </c>
      <c r="R724" s="1339">
        <f t="shared" si="156"/>
        <v>0</v>
      </c>
    </row>
    <row r="725" spans="1:20" s="816" customFormat="1" ht="70.5" hidden="1" customHeight="1">
      <c r="A725" s="1145"/>
      <c r="B725" s="1146" t="s">
        <v>1460</v>
      </c>
      <c r="C725" s="1159">
        <f>Data!K3034</f>
        <v>0</v>
      </c>
      <c r="D725" s="1160" t="s">
        <v>1423</v>
      </c>
      <c r="E725" s="1276"/>
      <c r="F725" s="1125">
        <f t="shared" si="149"/>
        <v>0</v>
      </c>
      <c r="G725" s="1199"/>
      <c r="H725" s="1125">
        <f t="shared" si="150"/>
        <v>0</v>
      </c>
      <c r="I725" s="748"/>
      <c r="J725" s="748">
        <f t="shared" si="157"/>
        <v>0</v>
      </c>
      <c r="K725" s="1199"/>
      <c r="L725" s="1125">
        <f t="shared" si="151"/>
        <v>0</v>
      </c>
      <c r="M725" s="1200"/>
      <c r="N725" s="1339">
        <f t="shared" si="152"/>
        <v>0</v>
      </c>
      <c r="O725" s="1340">
        <f t="shared" si="153"/>
        <v>0</v>
      </c>
      <c r="P725" s="1339">
        <f t="shared" si="154"/>
        <v>0</v>
      </c>
      <c r="Q725" s="1340">
        <f t="shared" si="155"/>
        <v>0</v>
      </c>
      <c r="R725" s="1339">
        <f t="shared" si="156"/>
        <v>0</v>
      </c>
    </row>
    <row r="726" spans="1:20" s="816" customFormat="1" ht="70.5" hidden="1" customHeight="1">
      <c r="A726" s="1145"/>
      <c r="B726" s="1146" t="s">
        <v>200</v>
      </c>
      <c r="C726" s="1159">
        <f>Data!K3037</f>
        <v>0</v>
      </c>
      <c r="D726" s="1160" t="s">
        <v>1423</v>
      </c>
      <c r="E726" s="1276"/>
      <c r="F726" s="1125">
        <f t="shared" si="149"/>
        <v>0</v>
      </c>
      <c r="G726" s="1199"/>
      <c r="H726" s="1125">
        <f t="shared" si="150"/>
        <v>0</v>
      </c>
      <c r="I726" s="748"/>
      <c r="J726" s="748">
        <f t="shared" si="157"/>
        <v>0</v>
      </c>
      <c r="K726" s="1199"/>
      <c r="L726" s="1125">
        <f t="shared" si="151"/>
        <v>0</v>
      </c>
      <c r="M726" s="1200"/>
      <c r="N726" s="1339">
        <f t="shared" si="152"/>
        <v>0</v>
      </c>
      <c r="O726" s="1340">
        <f t="shared" si="153"/>
        <v>0</v>
      </c>
      <c r="P726" s="1339">
        <f t="shared" si="154"/>
        <v>0</v>
      </c>
      <c r="Q726" s="1340">
        <f t="shared" si="155"/>
        <v>0</v>
      </c>
      <c r="R726" s="1339">
        <f t="shared" si="156"/>
        <v>0</v>
      </c>
    </row>
    <row r="727" spans="1:20" ht="70.5" customHeight="1">
      <c r="A727" s="1486">
        <v>44.2</v>
      </c>
      <c r="B727" s="1344" t="s">
        <v>1940</v>
      </c>
      <c r="C727" s="1111"/>
      <c r="D727" s="1156"/>
      <c r="E727" s="1336"/>
      <c r="F727" s="1125">
        <f t="shared" si="149"/>
        <v>0</v>
      </c>
      <c r="G727" s="1335"/>
      <c r="H727" s="1125">
        <f t="shared" si="150"/>
        <v>0</v>
      </c>
      <c r="I727" s="1312"/>
      <c r="J727" s="1406">
        <f t="shared" si="157"/>
        <v>0</v>
      </c>
      <c r="K727" s="1335"/>
      <c r="L727" s="1125">
        <f t="shared" si="151"/>
        <v>0</v>
      </c>
      <c r="M727" s="1340"/>
      <c r="N727" s="1339">
        <f t="shared" si="152"/>
        <v>0</v>
      </c>
      <c r="O727" s="1340">
        <f t="shared" si="153"/>
        <v>0</v>
      </c>
      <c r="P727" s="1339">
        <f t="shared" si="154"/>
        <v>0</v>
      </c>
      <c r="Q727" s="1341" t="s">
        <v>2290</v>
      </c>
      <c r="R727" s="1339"/>
      <c r="S727" s="1322">
        <f t="shared" ref="S727:S731" si="160">F727+P727</f>
        <v>0</v>
      </c>
      <c r="T727" s="1322">
        <f t="shared" ref="T727:T731" si="161">S727-R727</f>
        <v>0</v>
      </c>
    </row>
    <row r="728" spans="1:20" ht="54" customHeight="1">
      <c r="A728" s="1486"/>
      <c r="B728" s="1198" t="s">
        <v>6116</v>
      </c>
      <c r="C728" s="1111">
        <f>Data!R2350</f>
        <v>2160.77</v>
      </c>
      <c r="D728" s="1156" t="s">
        <v>1423</v>
      </c>
      <c r="E728" s="1336">
        <v>8</v>
      </c>
      <c r="F728" s="1125">
        <f t="shared" si="149"/>
        <v>17286.16</v>
      </c>
      <c r="G728" s="1335"/>
      <c r="H728" s="1125">
        <f t="shared" si="150"/>
        <v>0</v>
      </c>
      <c r="I728" s="1312"/>
      <c r="J728" s="1406">
        <f t="shared" si="157"/>
        <v>0</v>
      </c>
      <c r="K728" s="1335"/>
      <c r="L728" s="1125">
        <f t="shared" si="151"/>
        <v>0</v>
      </c>
      <c r="M728" s="1340"/>
      <c r="N728" s="1339">
        <f t="shared" si="152"/>
        <v>0</v>
      </c>
      <c r="O728" s="1340">
        <f t="shared" si="153"/>
        <v>0</v>
      </c>
      <c r="P728" s="1339">
        <f t="shared" si="154"/>
        <v>0</v>
      </c>
      <c r="Q728" s="1340">
        <f t="shared" si="155"/>
        <v>8</v>
      </c>
      <c r="R728" s="1339">
        <f t="shared" si="156"/>
        <v>17286.16</v>
      </c>
      <c r="S728" s="1322">
        <f t="shared" si="160"/>
        <v>17286.16</v>
      </c>
      <c r="T728" s="1322">
        <f t="shared" si="161"/>
        <v>0</v>
      </c>
    </row>
    <row r="729" spans="1:20" ht="54" customHeight="1">
      <c r="A729" s="1486"/>
      <c r="B729" s="1198" t="s">
        <v>323</v>
      </c>
      <c r="C729" s="1111">
        <f>Data!R2357</f>
        <v>507.77</v>
      </c>
      <c r="D729" s="1156" t="s">
        <v>842</v>
      </c>
      <c r="E729" s="1336">
        <v>24</v>
      </c>
      <c r="F729" s="1125">
        <f t="shared" si="149"/>
        <v>12186.48</v>
      </c>
      <c r="G729" s="1335"/>
      <c r="H729" s="1125">
        <f t="shared" si="150"/>
        <v>0</v>
      </c>
      <c r="I729" s="1312"/>
      <c r="J729" s="1406">
        <f t="shared" si="157"/>
        <v>0</v>
      </c>
      <c r="K729" s="1335"/>
      <c r="L729" s="1125">
        <f t="shared" si="151"/>
        <v>0</v>
      </c>
      <c r="M729" s="1340"/>
      <c r="N729" s="1339">
        <f t="shared" si="152"/>
        <v>0</v>
      </c>
      <c r="O729" s="1340">
        <f t="shared" si="153"/>
        <v>0</v>
      </c>
      <c r="P729" s="1339">
        <f t="shared" si="154"/>
        <v>0</v>
      </c>
      <c r="Q729" s="1340">
        <f t="shared" si="155"/>
        <v>24</v>
      </c>
      <c r="R729" s="1339">
        <f t="shared" si="156"/>
        <v>12186.48</v>
      </c>
      <c r="S729" s="1322">
        <f t="shared" si="160"/>
        <v>12186.48</v>
      </c>
      <c r="T729" s="1322">
        <f t="shared" si="161"/>
        <v>0</v>
      </c>
    </row>
    <row r="730" spans="1:20" s="700" customFormat="1" ht="70.5" hidden="1" customHeight="1">
      <c r="A730" s="1414">
        <v>257.10000000000002</v>
      </c>
      <c r="B730" s="1415" t="s">
        <v>1408</v>
      </c>
      <c r="C730" s="1416">
        <f>ROUND(Data!K2703,2)</f>
        <v>278.39999999999998</v>
      </c>
      <c r="D730" s="1272" t="s">
        <v>842</v>
      </c>
      <c r="E730" s="1440"/>
      <c r="F730" s="1125">
        <f t="shared" si="149"/>
        <v>0</v>
      </c>
      <c r="G730" s="1273"/>
      <c r="H730" s="1125">
        <f t="shared" si="150"/>
        <v>0</v>
      </c>
      <c r="I730" s="748"/>
      <c r="J730" s="748">
        <f t="shared" si="157"/>
        <v>0</v>
      </c>
      <c r="K730" s="1273"/>
      <c r="L730" s="1125">
        <f t="shared" si="151"/>
        <v>0</v>
      </c>
      <c r="M730" s="1412"/>
      <c r="N730" s="1339">
        <f t="shared" si="152"/>
        <v>0</v>
      </c>
      <c r="O730" s="1340">
        <f t="shared" si="153"/>
        <v>0</v>
      </c>
      <c r="P730" s="1339">
        <f t="shared" si="154"/>
        <v>0</v>
      </c>
      <c r="Q730" s="1340">
        <f t="shared" si="155"/>
        <v>0</v>
      </c>
      <c r="R730" s="1339">
        <f t="shared" si="156"/>
        <v>0</v>
      </c>
      <c r="S730" s="700">
        <f t="shared" si="160"/>
        <v>0</v>
      </c>
      <c r="T730" s="700">
        <f t="shared" si="161"/>
        <v>0</v>
      </c>
    </row>
    <row r="731" spans="1:20" ht="54" customHeight="1">
      <c r="A731" s="1486">
        <v>344.2</v>
      </c>
      <c r="B731" s="1198" t="s">
        <v>780</v>
      </c>
      <c r="C731" s="1111">
        <f>ROUND(Data!K3014,2)</f>
        <v>398.3</v>
      </c>
      <c r="D731" s="1156" t="s">
        <v>1423</v>
      </c>
      <c r="E731" s="1336">
        <v>21</v>
      </c>
      <c r="F731" s="1125">
        <f t="shared" si="149"/>
        <v>8364.2999999999993</v>
      </c>
      <c r="G731" s="1335"/>
      <c r="H731" s="1125">
        <f t="shared" si="150"/>
        <v>0</v>
      </c>
      <c r="I731" s="1312"/>
      <c r="J731" s="1406">
        <f t="shared" si="157"/>
        <v>0</v>
      </c>
      <c r="K731" s="1335"/>
      <c r="L731" s="1125">
        <f t="shared" si="151"/>
        <v>0</v>
      </c>
      <c r="M731" s="1340"/>
      <c r="N731" s="1339">
        <f t="shared" si="152"/>
        <v>0</v>
      </c>
      <c r="O731" s="1340">
        <f t="shared" si="153"/>
        <v>0</v>
      </c>
      <c r="P731" s="1339">
        <f t="shared" si="154"/>
        <v>0</v>
      </c>
      <c r="Q731" s="1340">
        <f t="shared" si="155"/>
        <v>21</v>
      </c>
      <c r="R731" s="1339">
        <f t="shared" si="156"/>
        <v>8364.2999999999993</v>
      </c>
      <c r="S731" s="1322">
        <f t="shared" si="160"/>
        <v>8364.2999999999993</v>
      </c>
      <c r="T731" s="1322">
        <f t="shared" si="161"/>
        <v>0</v>
      </c>
    </row>
    <row r="732" spans="1:20" s="812" customFormat="1" ht="54" customHeight="1">
      <c r="A732" s="1449">
        <v>383</v>
      </c>
      <c r="B732" s="1410" t="s">
        <v>1654</v>
      </c>
      <c r="C732" s="1450">
        <f>Data!C764</f>
        <v>1020</v>
      </c>
      <c r="D732" s="1371" t="s">
        <v>1423</v>
      </c>
      <c r="E732" s="1440">
        <v>1</v>
      </c>
      <c r="F732" s="1125">
        <f t="shared" si="149"/>
        <v>1020</v>
      </c>
      <c r="G732" s="1273"/>
      <c r="H732" s="1125">
        <f t="shared" si="150"/>
        <v>0</v>
      </c>
      <c r="I732" s="748"/>
      <c r="J732" s="748">
        <f t="shared" si="157"/>
        <v>0</v>
      </c>
      <c r="K732" s="1273"/>
      <c r="L732" s="1125">
        <f t="shared" si="151"/>
        <v>0</v>
      </c>
      <c r="M732" s="1419"/>
      <c r="N732" s="1339">
        <f t="shared" si="152"/>
        <v>0</v>
      </c>
      <c r="O732" s="1340">
        <f t="shared" si="153"/>
        <v>0</v>
      </c>
      <c r="P732" s="1339">
        <f t="shared" si="154"/>
        <v>0</v>
      </c>
      <c r="Q732" s="1340">
        <f t="shared" si="155"/>
        <v>1</v>
      </c>
      <c r="R732" s="1339">
        <f t="shared" si="156"/>
        <v>1020</v>
      </c>
    </row>
    <row r="733" spans="1:20" ht="70.5" hidden="1" customHeight="1">
      <c r="A733" s="1324">
        <v>383.1</v>
      </c>
      <c r="B733" s="1198" t="s">
        <v>5933</v>
      </c>
      <c r="C733" s="1109">
        <v>195.7</v>
      </c>
      <c r="D733" s="1156" t="s">
        <v>842</v>
      </c>
      <c r="E733" s="1342"/>
      <c r="F733" s="1125">
        <f t="shared" si="149"/>
        <v>0</v>
      </c>
      <c r="G733" s="1335"/>
      <c r="H733" s="1125">
        <f t="shared" si="150"/>
        <v>0</v>
      </c>
      <c r="I733" s="1312"/>
      <c r="J733" s="1312">
        <f t="shared" si="157"/>
        <v>0</v>
      </c>
      <c r="K733" s="1335"/>
      <c r="L733" s="1125">
        <f t="shared" si="151"/>
        <v>0</v>
      </c>
      <c r="M733" s="1343"/>
      <c r="N733" s="1339">
        <f t="shared" si="152"/>
        <v>0</v>
      </c>
      <c r="O733" s="1340">
        <f t="shared" si="153"/>
        <v>0</v>
      </c>
      <c r="P733" s="1339">
        <f t="shared" si="154"/>
        <v>0</v>
      </c>
      <c r="Q733" s="1340">
        <f t="shared" si="155"/>
        <v>0</v>
      </c>
      <c r="R733" s="1339">
        <f t="shared" si="156"/>
        <v>0</v>
      </c>
      <c r="S733" s="1322">
        <f>F733+P733</f>
        <v>0</v>
      </c>
      <c r="T733" s="1322">
        <f>S733-R733</f>
        <v>0</v>
      </c>
    </row>
    <row r="734" spans="1:20" s="700" customFormat="1" ht="70.5" hidden="1" customHeight="1">
      <c r="A734" s="1105"/>
      <c r="B734" s="538" t="s">
        <v>5764</v>
      </c>
      <c r="C734" s="796">
        <v>370.25</v>
      </c>
      <c r="D734" s="1151" t="s">
        <v>842</v>
      </c>
      <c r="E734" s="1276"/>
      <c r="F734" s="1125">
        <f t="shared" si="149"/>
        <v>0</v>
      </c>
      <c r="G734" s="1199"/>
      <c r="H734" s="1125">
        <f t="shared" si="150"/>
        <v>0</v>
      </c>
      <c r="I734" s="748"/>
      <c r="J734" s="748">
        <f t="shared" si="157"/>
        <v>0</v>
      </c>
      <c r="K734" s="1199"/>
      <c r="L734" s="1125">
        <f t="shared" si="151"/>
        <v>0</v>
      </c>
      <c r="M734" s="1200"/>
      <c r="N734" s="1339">
        <f t="shared" si="152"/>
        <v>0</v>
      </c>
      <c r="O734" s="1340">
        <f t="shared" si="153"/>
        <v>0</v>
      </c>
      <c r="P734" s="1339">
        <f t="shared" si="154"/>
        <v>0</v>
      </c>
      <c r="Q734" s="1340">
        <f t="shared" si="155"/>
        <v>0</v>
      </c>
      <c r="R734" s="1339">
        <f t="shared" si="156"/>
        <v>0</v>
      </c>
    </row>
    <row r="735" spans="1:20" s="700" customFormat="1" ht="70.5" hidden="1" customHeight="1">
      <c r="A735" s="1105"/>
      <c r="B735" s="538" t="s">
        <v>3668</v>
      </c>
      <c r="C735" s="602">
        <f>Data!R1912</f>
        <v>331.79</v>
      </c>
      <c r="D735" s="1151" t="s">
        <v>842</v>
      </c>
      <c r="E735" s="1276"/>
      <c r="F735" s="1125">
        <f t="shared" si="149"/>
        <v>0</v>
      </c>
      <c r="G735" s="1199"/>
      <c r="H735" s="1125">
        <f t="shared" si="150"/>
        <v>0</v>
      </c>
      <c r="I735" s="748"/>
      <c r="J735" s="748">
        <f t="shared" si="157"/>
        <v>0</v>
      </c>
      <c r="K735" s="1199"/>
      <c r="L735" s="1125">
        <f t="shared" si="151"/>
        <v>0</v>
      </c>
      <c r="M735" s="1200"/>
      <c r="N735" s="1339">
        <f t="shared" si="152"/>
        <v>0</v>
      </c>
      <c r="O735" s="1340">
        <f t="shared" si="153"/>
        <v>0</v>
      </c>
      <c r="P735" s="1339">
        <f t="shared" si="154"/>
        <v>0</v>
      </c>
      <c r="Q735" s="1340">
        <f t="shared" si="155"/>
        <v>0</v>
      </c>
      <c r="R735" s="1339">
        <f t="shared" si="156"/>
        <v>0</v>
      </c>
    </row>
    <row r="736" spans="1:20" s="812" customFormat="1" ht="54" hidden="1" customHeight="1">
      <c r="A736" s="1161">
        <v>384</v>
      </c>
      <c r="B736" s="1108" t="s">
        <v>230</v>
      </c>
      <c r="C736" s="1111">
        <f>Data!K3046</f>
        <v>1786.45</v>
      </c>
      <c r="D736" s="1162" t="s">
        <v>1423</v>
      </c>
      <c r="E736" s="1276"/>
      <c r="F736" s="1125">
        <f t="shared" si="149"/>
        <v>0</v>
      </c>
      <c r="G736" s="1199"/>
      <c r="H736" s="1125">
        <f t="shared" si="150"/>
        <v>0</v>
      </c>
      <c r="I736" s="748"/>
      <c r="J736" s="748">
        <f t="shared" si="157"/>
        <v>0</v>
      </c>
      <c r="K736" s="1199"/>
      <c r="L736" s="1125">
        <f t="shared" si="151"/>
        <v>0</v>
      </c>
      <c r="M736" s="1208"/>
      <c r="N736" s="1339">
        <f t="shared" si="152"/>
        <v>0</v>
      </c>
      <c r="O736" s="1340">
        <f t="shared" si="153"/>
        <v>0</v>
      </c>
      <c r="P736" s="1339">
        <f t="shared" si="154"/>
        <v>0</v>
      </c>
      <c r="Q736" s="1340">
        <f t="shared" si="155"/>
        <v>0</v>
      </c>
      <c r="R736" s="1339">
        <f t="shared" si="156"/>
        <v>0</v>
      </c>
    </row>
    <row r="737" spans="1:20" s="700" customFormat="1" ht="70.5" hidden="1" customHeight="1">
      <c r="A737" s="1126">
        <v>385</v>
      </c>
      <c r="B737" s="538" t="s">
        <v>231</v>
      </c>
      <c r="C737" s="602">
        <f>ROUND(Data!K2690,2)</f>
        <v>847.52</v>
      </c>
      <c r="D737" s="744" t="s">
        <v>1423</v>
      </c>
      <c r="E737" s="1276"/>
      <c r="F737" s="1125">
        <f t="shared" si="149"/>
        <v>0</v>
      </c>
      <c r="G737" s="1199"/>
      <c r="H737" s="1125">
        <f t="shared" si="150"/>
        <v>0</v>
      </c>
      <c r="I737" s="748"/>
      <c r="J737" s="748">
        <f t="shared" si="157"/>
        <v>0</v>
      </c>
      <c r="K737" s="1199"/>
      <c r="L737" s="1125">
        <f t="shared" si="151"/>
        <v>0</v>
      </c>
      <c r="M737" s="1200"/>
      <c r="N737" s="1339">
        <f t="shared" si="152"/>
        <v>0</v>
      </c>
      <c r="O737" s="1340">
        <f t="shared" si="153"/>
        <v>0</v>
      </c>
      <c r="P737" s="1339">
        <f t="shared" si="154"/>
        <v>0</v>
      </c>
      <c r="Q737" s="1340">
        <f t="shared" si="155"/>
        <v>0</v>
      </c>
      <c r="R737" s="1339">
        <f t="shared" si="156"/>
        <v>0</v>
      </c>
    </row>
    <row r="738" spans="1:20" ht="59.25" customHeight="1">
      <c r="A738" s="1486">
        <v>238.1</v>
      </c>
      <c r="B738" s="1198" t="s">
        <v>4124</v>
      </c>
      <c r="C738" s="1111">
        <f>ROUND(Data!K2778,2)</f>
        <v>2954.25</v>
      </c>
      <c r="D738" s="1162" t="s">
        <v>535</v>
      </c>
      <c r="E738" s="1336">
        <v>5.3369999999999997</v>
      </c>
      <c r="F738" s="1125">
        <f t="shared" si="149"/>
        <v>15766.83</v>
      </c>
      <c r="G738" s="1335"/>
      <c r="H738" s="1125">
        <f t="shared" si="150"/>
        <v>0</v>
      </c>
      <c r="I738" s="1313"/>
      <c r="J738" s="1406">
        <f t="shared" si="157"/>
        <v>0</v>
      </c>
      <c r="K738" s="1335"/>
      <c r="L738" s="1125">
        <f t="shared" si="151"/>
        <v>0</v>
      </c>
      <c r="M738" s="1343"/>
      <c r="N738" s="1339">
        <f t="shared" si="152"/>
        <v>0</v>
      </c>
      <c r="O738" s="1340">
        <f t="shared" si="153"/>
        <v>0</v>
      </c>
      <c r="P738" s="1339">
        <f t="shared" si="154"/>
        <v>0</v>
      </c>
      <c r="Q738" s="1340">
        <f t="shared" si="155"/>
        <v>5.3369999999999997</v>
      </c>
      <c r="R738" s="1339">
        <f t="shared" si="156"/>
        <v>15766.83</v>
      </c>
      <c r="S738" s="1322">
        <f t="shared" ref="S738:S746" si="162">F738+P738</f>
        <v>15766.83</v>
      </c>
      <c r="T738" s="1322">
        <f t="shared" ref="T738:T746" si="163">S738-R738</f>
        <v>0</v>
      </c>
    </row>
    <row r="739" spans="1:20" s="812" customFormat="1" ht="70.5" customHeight="1">
      <c r="A739" s="1107">
        <v>71.2</v>
      </c>
      <c r="B739" s="1108" t="s">
        <v>3593</v>
      </c>
      <c r="C739" s="1111">
        <f>Elec.Data!K379</f>
        <v>2159</v>
      </c>
      <c r="D739" s="1162" t="s">
        <v>1423</v>
      </c>
      <c r="E739" s="1100">
        <v>9</v>
      </c>
      <c r="F739" s="1125">
        <f t="shared" si="149"/>
        <v>19431</v>
      </c>
      <c r="G739" s="1199"/>
      <c r="H739" s="1125">
        <f t="shared" si="150"/>
        <v>0</v>
      </c>
      <c r="I739" s="748"/>
      <c r="J739" s="1407">
        <f t="shared" si="157"/>
        <v>0</v>
      </c>
      <c r="K739" s="1199"/>
      <c r="L739" s="1125">
        <f t="shared" si="151"/>
        <v>0</v>
      </c>
      <c r="M739" s="1200"/>
      <c r="N739" s="1339">
        <f t="shared" si="152"/>
        <v>0</v>
      </c>
      <c r="O739" s="1340">
        <f t="shared" si="153"/>
        <v>0</v>
      </c>
      <c r="P739" s="1339">
        <f t="shared" si="154"/>
        <v>0</v>
      </c>
      <c r="Q739" s="1340">
        <f t="shared" si="155"/>
        <v>9</v>
      </c>
      <c r="R739" s="1339">
        <f t="shared" si="156"/>
        <v>19431</v>
      </c>
      <c r="S739" s="700">
        <f t="shared" si="162"/>
        <v>19431</v>
      </c>
      <c r="T739" s="700">
        <f t="shared" si="163"/>
        <v>0</v>
      </c>
    </row>
    <row r="740" spans="1:20" ht="53.25" customHeight="1">
      <c r="A740" s="1486">
        <v>80.099999999999994</v>
      </c>
      <c r="B740" s="1198" t="s">
        <v>3890</v>
      </c>
      <c r="C740" s="1504">
        <f>C1106</f>
        <v>1309</v>
      </c>
      <c r="D740" s="1162" t="s">
        <v>1423</v>
      </c>
      <c r="E740" s="1336">
        <v>1</v>
      </c>
      <c r="F740" s="1125">
        <f t="shared" si="149"/>
        <v>1309</v>
      </c>
      <c r="G740" s="1335"/>
      <c r="H740" s="1125">
        <f t="shared" si="150"/>
        <v>0</v>
      </c>
      <c r="I740" s="1312"/>
      <c r="J740" s="1406">
        <f t="shared" si="157"/>
        <v>0</v>
      </c>
      <c r="K740" s="1335"/>
      <c r="L740" s="1125">
        <f t="shared" si="151"/>
        <v>0</v>
      </c>
      <c r="M740" s="1343"/>
      <c r="N740" s="1339">
        <f t="shared" si="152"/>
        <v>0</v>
      </c>
      <c r="O740" s="1340">
        <f t="shared" si="153"/>
        <v>0</v>
      </c>
      <c r="P740" s="1339">
        <f t="shared" si="154"/>
        <v>0</v>
      </c>
      <c r="Q740" s="1340">
        <f t="shared" si="155"/>
        <v>1</v>
      </c>
      <c r="R740" s="1339">
        <f t="shared" si="156"/>
        <v>1309</v>
      </c>
      <c r="S740" s="1322">
        <f t="shared" si="162"/>
        <v>1309</v>
      </c>
      <c r="T740" s="1322">
        <f t="shared" si="163"/>
        <v>0</v>
      </c>
    </row>
    <row r="741" spans="1:20" ht="53.25" hidden="1" customHeight="1">
      <c r="A741" s="1426"/>
      <c r="B741" s="1370" t="s">
        <v>3599</v>
      </c>
      <c r="C741" s="1411">
        <f>Elec.Data!K589</f>
        <v>825</v>
      </c>
      <c r="D741" s="1451" t="s">
        <v>1423</v>
      </c>
      <c r="E741" s="1372"/>
      <c r="F741" s="1125">
        <f t="shared" si="149"/>
        <v>0</v>
      </c>
      <c r="G741" s="1427"/>
      <c r="H741" s="1125">
        <f t="shared" si="150"/>
        <v>0</v>
      </c>
      <c r="I741" s="1312"/>
      <c r="J741" s="1312">
        <f t="shared" si="157"/>
        <v>0</v>
      </c>
      <c r="K741" s="1427"/>
      <c r="L741" s="1125">
        <f t="shared" si="151"/>
        <v>0</v>
      </c>
      <c r="M741" s="1435"/>
      <c r="N741" s="1339">
        <f t="shared" si="152"/>
        <v>0</v>
      </c>
      <c r="O741" s="1340">
        <f t="shared" si="153"/>
        <v>0</v>
      </c>
      <c r="P741" s="1339">
        <f t="shared" si="154"/>
        <v>0</v>
      </c>
      <c r="Q741" s="1340">
        <f t="shared" si="155"/>
        <v>0</v>
      </c>
      <c r="R741" s="1339">
        <f t="shared" si="156"/>
        <v>0</v>
      </c>
      <c r="S741" s="1322">
        <f t="shared" si="162"/>
        <v>0</v>
      </c>
      <c r="T741" s="1322">
        <f t="shared" si="163"/>
        <v>0</v>
      </c>
    </row>
    <row r="742" spans="1:20" s="700" customFormat="1" ht="53.25" hidden="1" customHeight="1">
      <c r="A742" s="1105"/>
      <c r="B742" s="538" t="s">
        <v>3887</v>
      </c>
      <c r="C742" s="602">
        <f>Elec.Data!K570</f>
        <v>550</v>
      </c>
      <c r="D742" s="1157" t="s">
        <v>1423</v>
      </c>
      <c r="E742" s="1276"/>
      <c r="F742" s="1125">
        <f t="shared" si="149"/>
        <v>0</v>
      </c>
      <c r="G742" s="1199"/>
      <c r="H742" s="1125">
        <f t="shared" si="150"/>
        <v>0</v>
      </c>
      <c r="I742" s="748"/>
      <c r="J742" s="748">
        <f t="shared" si="157"/>
        <v>0</v>
      </c>
      <c r="K742" s="1199"/>
      <c r="L742" s="1125">
        <f t="shared" si="151"/>
        <v>0</v>
      </c>
      <c r="M742" s="1200"/>
      <c r="N742" s="1339">
        <f t="shared" si="152"/>
        <v>0</v>
      </c>
      <c r="O742" s="1340">
        <f t="shared" si="153"/>
        <v>0</v>
      </c>
      <c r="P742" s="1339">
        <f t="shared" si="154"/>
        <v>0</v>
      </c>
      <c r="Q742" s="1340">
        <f t="shared" si="155"/>
        <v>0</v>
      </c>
      <c r="R742" s="1339">
        <f t="shared" si="156"/>
        <v>0</v>
      </c>
      <c r="S742" s="700">
        <f t="shared" si="162"/>
        <v>0</v>
      </c>
      <c r="T742" s="700">
        <f t="shared" si="163"/>
        <v>0</v>
      </c>
    </row>
    <row r="743" spans="1:20" ht="70.5" hidden="1" customHeight="1">
      <c r="A743" s="1324">
        <v>87.1</v>
      </c>
      <c r="B743" s="1198" t="str">
        <f>B1140</f>
        <v>Supplying and delivery of Three phase ELCB/RCCB</v>
      </c>
      <c r="C743" s="1109">
        <f>Elec.Data!K638</f>
        <v>3068.5</v>
      </c>
      <c r="D743" s="1162" t="s">
        <v>1423</v>
      </c>
      <c r="E743" s="1342"/>
      <c r="F743" s="1125">
        <f t="shared" si="149"/>
        <v>0</v>
      </c>
      <c r="G743" s="1335"/>
      <c r="H743" s="1125">
        <f t="shared" si="150"/>
        <v>0</v>
      </c>
      <c r="I743" s="1312"/>
      <c r="J743" s="1312">
        <f t="shared" si="157"/>
        <v>0</v>
      </c>
      <c r="K743" s="1335"/>
      <c r="L743" s="1125">
        <f t="shared" si="151"/>
        <v>0</v>
      </c>
      <c r="M743" s="1343"/>
      <c r="N743" s="1339">
        <f t="shared" si="152"/>
        <v>0</v>
      </c>
      <c r="O743" s="1340">
        <f t="shared" si="153"/>
        <v>0</v>
      </c>
      <c r="P743" s="1339">
        <f t="shared" si="154"/>
        <v>0</v>
      </c>
      <c r="Q743" s="1340">
        <f t="shared" si="155"/>
        <v>0</v>
      </c>
      <c r="R743" s="1339">
        <f t="shared" si="156"/>
        <v>0</v>
      </c>
      <c r="S743" s="1322">
        <f t="shared" si="162"/>
        <v>0</v>
      </c>
      <c r="T743" s="1322">
        <f t="shared" si="163"/>
        <v>0</v>
      </c>
    </row>
    <row r="744" spans="1:20" s="700" customFormat="1" ht="53.25" hidden="1" customHeight="1">
      <c r="A744" s="1105"/>
      <c r="B744" s="538" t="s">
        <v>3891</v>
      </c>
      <c r="C744" s="602">
        <f>C1143</f>
        <v>165</v>
      </c>
      <c r="D744" s="1157" t="s">
        <v>842</v>
      </c>
      <c r="E744" s="1276"/>
      <c r="F744" s="1125">
        <f t="shared" si="149"/>
        <v>0</v>
      </c>
      <c r="G744" s="1199"/>
      <c r="H744" s="1125">
        <f t="shared" si="150"/>
        <v>0</v>
      </c>
      <c r="I744" s="748"/>
      <c r="J744" s="748">
        <f t="shared" si="157"/>
        <v>0</v>
      </c>
      <c r="K744" s="1199"/>
      <c r="L744" s="1125">
        <f t="shared" si="151"/>
        <v>0</v>
      </c>
      <c r="M744" s="1208"/>
      <c r="N744" s="1339">
        <f t="shared" si="152"/>
        <v>0</v>
      </c>
      <c r="O744" s="1340">
        <f t="shared" si="153"/>
        <v>0</v>
      </c>
      <c r="P744" s="1339">
        <f t="shared" si="154"/>
        <v>0</v>
      </c>
      <c r="Q744" s="1340">
        <f t="shared" si="155"/>
        <v>0</v>
      </c>
      <c r="R744" s="1339">
        <f t="shared" si="156"/>
        <v>0</v>
      </c>
      <c r="S744" s="700">
        <f t="shared" si="162"/>
        <v>0</v>
      </c>
      <c r="T744" s="700">
        <f t="shared" si="163"/>
        <v>0</v>
      </c>
    </row>
    <row r="745" spans="1:20" ht="70.5" customHeight="1">
      <c r="A745" s="1486"/>
      <c r="B745" s="1198" t="s">
        <v>5946</v>
      </c>
      <c r="C745" s="1111">
        <f>Data!R1326</f>
        <v>239.05</v>
      </c>
      <c r="D745" s="1162" t="s">
        <v>2322</v>
      </c>
      <c r="E745" s="1336">
        <v>3766.6</v>
      </c>
      <c r="F745" s="1125">
        <f t="shared" si="149"/>
        <v>900405.73</v>
      </c>
      <c r="G745" s="1335"/>
      <c r="H745" s="1125">
        <f t="shared" si="150"/>
        <v>0</v>
      </c>
      <c r="I745" s="1312"/>
      <c r="J745" s="1406">
        <f t="shared" si="157"/>
        <v>0</v>
      </c>
      <c r="K745" s="1335"/>
      <c r="L745" s="1125">
        <f t="shared" si="151"/>
        <v>0</v>
      </c>
      <c r="M745" s="1340"/>
      <c r="N745" s="1339">
        <f t="shared" si="152"/>
        <v>0</v>
      </c>
      <c r="O745" s="1340">
        <f t="shared" si="153"/>
        <v>0</v>
      </c>
      <c r="P745" s="1339">
        <f t="shared" si="154"/>
        <v>0</v>
      </c>
      <c r="Q745" s="1340">
        <f t="shared" si="155"/>
        <v>3766.6</v>
      </c>
      <c r="R745" s="1339">
        <f t="shared" si="156"/>
        <v>900405.73</v>
      </c>
      <c r="S745" s="1322">
        <f t="shared" si="162"/>
        <v>900405.73</v>
      </c>
      <c r="T745" s="1322">
        <f t="shared" si="163"/>
        <v>0</v>
      </c>
    </row>
    <row r="746" spans="1:20" s="812" customFormat="1" ht="70.5" customHeight="1">
      <c r="A746" s="1107"/>
      <c r="B746" s="538" t="s">
        <v>5947</v>
      </c>
      <c r="C746" s="1111">
        <f>Data!AD1326</f>
        <v>240.6</v>
      </c>
      <c r="D746" s="1162" t="s">
        <v>2322</v>
      </c>
      <c r="E746" s="1100">
        <v>1556.6</v>
      </c>
      <c r="F746" s="1125">
        <f t="shared" si="149"/>
        <v>374517.96</v>
      </c>
      <c r="G746" s="1199"/>
      <c r="H746" s="1125">
        <f t="shared" si="150"/>
        <v>0</v>
      </c>
      <c r="I746" s="748"/>
      <c r="J746" s="1407">
        <f t="shared" si="157"/>
        <v>0</v>
      </c>
      <c r="K746" s="1199"/>
      <c r="L746" s="1125">
        <f t="shared" si="151"/>
        <v>0</v>
      </c>
      <c r="M746" s="1200"/>
      <c r="N746" s="1339">
        <f t="shared" si="152"/>
        <v>0</v>
      </c>
      <c r="O746" s="1340">
        <f t="shared" si="153"/>
        <v>0</v>
      </c>
      <c r="P746" s="1339">
        <f t="shared" si="154"/>
        <v>0</v>
      </c>
      <c r="Q746" s="1340">
        <f t="shared" si="155"/>
        <v>1556.6</v>
      </c>
      <c r="R746" s="1339">
        <f t="shared" si="156"/>
        <v>374517.96</v>
      </c>
      <c r="S746" s="700">
        <f t="shared" si="162"/>
        <v>374517.96</v>
      </c>
      <c r="T746" s="700">
        <f t="shared" si="163"/>
        <v>0</v>
      </c>
    </row>
    <row r="747" spans="1:20" ht="70.5" hidden="1" customHeight="1">
      <c r="A747" s="1426" t="s">
        <v>4529</v>
      </c>
      <c r="B747" s="1370" t="s">
        <v>3892</v>
      </c>
      <c r="C747" s="1411">
        <f>Data!K3348</f>
        <v>130.34</v>
      </c>
      <c r="D747" s="1451" t="s">
        <v>2322</v>
      </c>
      <c r="E747" s="1372"/>
      <c r="F747" s="1125">
        <f t="shared" si="149"/>
        <v>0</v>
      </c>
      <c r="G747" s="1427"/>
      <c r="H747" s="1125">
        <f t="shared" si="150"/>
        <v>0</v>
      </c>
      <c r="I747" s="1312"/>
      <c r="J747" s="1312">
        <f t="shared" si="157"/>
        <v>0</v>
      </c>
      <c r="K747" s="1427"/>
      <c r="L747" s="1125">
        <f t="shared" si="151"/>
        <v>0</v>
      </c>
      <c r="M747" s="1413"/>
      <c r="N747" s="1339">
        <f t="shared" si="152"/>
        <v>0</v>
      </c>
      <c r="O747" s="1340">
        <f t="shared" si="153"/>
        <v>0</v>
      </c>
      <c r="P747" s="1339">
        <f t="shared" si="154"/>
        <v>0</v>
      </c>
      <c r="Q747" s="1340">
        <f t="shared" si="155"/>
        <v>0</v>
      </c>
      <c r="R747" s="1339">
        <f t="shared" si="156"/>
        <v>0</v>
      </c>
    </row>
    <row r="748" spans="1:20" s="700" customFormat="1" ht="70.5" hidden="1" customHeight="1">
      <c r="A748" s="1105"/>
      <c r="B748" s="538" t="str">
        <f>B1141</f>
        <v>2 x 4 Sqmm Copper PVC insulated unsheathed single core 1 KV grade cable for EB service single phase.</v>
      </c>
      <c r="C748" s="602">
        <f>Elec.Data!K671</f>
        <v>154.5</v>
      </c>
      <c r="D748" s="1157" t="s">
        <v>842</v>
      </c>
      <c r="E748" s="1276"/>
      <c r="F748" s="1125">
        <f t="shared" si="149"/>
        <v>0</v>
      </c>
      <c r="G748" s="1199"/>
      <c r="H748" s="1125">
        <f t="shared" si="150"/>
        <v>0</v>
      </c>
      <c r="I748" s="748"/>
      <c r="J748" s="748">
        <f t="shared" si="157"/>
        <v>0</v>
      </c>
      <c r="K748" s="1199"/>
      <c r="L748" s="1125">
        <f t="shared" si="151"/>
        <v>0</v>
      </c>
      <c r="M748" s="1200"/>
      <c r="N748" s="1339">
        <f t="shared" si="152"/>
        <v>0</v>
      </c>
      <c r="O748" s="1340">
        <f t="shared" si="153"/>
        <v>0</v>
      </c>
      <c r="P748" s="1339">
        <f t="shared" si="154"/>
        <v>0</v>
      </c>
      <c r="Q748" s="1340">
        <f t="shared" si="155"/>
        <v>0</v>
      </c>
      <c r="R748" s="1339">
        <f t="shared" si="156"/>
        <v>0</v>
      </c>
    </row>
    <row r="749" spans="1:20" s="700" customFormat="1" ht="70.5" hidden="1" customHeight="1">
      <c r="A749" s="1105"/>
      <c r="B749" s="538" t="str">
        <f>B1107</f>
        <v>40 mm dia GI pipe "B"class</v>
      </c>
      <c r="C749" s="538">
        <f>C1107</f>
        <v>165</v>
      </c>
      <c r="D749" s="1157" t="s">
        <v>842</v>
      </c>
      <c r="E749" s="1276"/>
      <c r="F749" s="1125">
        <f t="shared" si="149"/>
        <v>0</v>
      </c>
      <c r="G749" s="1199"/>
      <c r="H749" s="1125">
        <f t="shared" si="150"/>
        <v>0</v>
      </c>
      <c r="I749" s="748"/>
      <c r="J749" s="748">
        <f t="shared" si="157"/>
        <v>0</v>
      </c>
      <c r="K749" s="1199"/>
      <c r="L749" s="1125">
        <f t="shared" si="151"/>
        <v>0</v>
      </c>
      <c r="M749" s="1200"/>
      <c r="N749" s="1339">
        <f t="shared" si="152"/>
        <v>0</v>
      </c>
      <c r="O749" s="1340">
        <f t="shared" si="153"/>
        <v>0</v>
      </c>
      <c r="P749" s="1339">
        <f t="shared" si="154"/>
        <v>0</v>
      </c>
      <c r="Q749" s="1340">
        <f t="shared" si="155"/>
        <v>0</v>
      </c>
      <c r="R749" s="1339">
        <f t="shared" si="156"/>
        <v>0</v>
      </c>
    </row>
    <row r="750" spans="1:20" ht="70.5" hidden="1" customHeight="1">
      <c r="A750" s="1324"/>
      <c r="B750" s="1198" t="s">
        <v>6072</v>
      </c>
      <c r="C750" s="1109">
        <v>7140</v>
      </c>
      <c r="D750" s="1110" t="s">
        <v>1423</v>
      </c>
      <c r="E750" s="1342"/>
      <c r="F750" s="1125">
        <f t="shared" si="149"/>
        <v>0</v>
      </c>
      <c r="G750" s="1335"/>
      <c r="H750" s="1125">
        <f t="shared" si="150"/>
        <v>0</v>
      </c>
      <c r="I750" s="1312"/>
      <c r="J750" s="1312">
        <f t="shared" si="157"/>
        <v>0</v>
      </c>
      <c r="K750" s="1335"/>
      <c r="L750" s="1125">
        <f t="shared" si="151"/>
        <v>0</v>
      </c>
      <c r="M750" s="1343"/>
      <c r="N750" s="1339">
        <f t="shared" si="152"/>
        <v>0</v>
      </c>
      <c r="O750" s="1340">
        <f t="shared" si="153"/>
        <v>0</v>
      </c>
      <c r="P750" s="1339">
        <f t="shared" si="154"/>
        <v>0</v>
      </c>
      <c r="Q750" s="1340">
        <f t="shared" si="155"/>
        <v>0</v>
      </c>
      <c r="R750" s="1339">
        <f t="shared" si="156"/>
        <v>0</v>
      </c>
      <c r="S750" s="1322">
        <f t="shared" ref="S750:S755" si="164">F750+P750</f>
        <v>0</v>
      </c>
      <c r="T750" s="1322">
        <f t="shared" ref="T750:T755" si="165">S750-R750</f>
        <v>0</v>
      </c>
    </row>
    <row r="751" spans="1:20" ht="70.5" customHeight="1">
      <c r="A751" s="1486"/>
      <c r="B751" s="1198" t="s">
        <v>5765</v>
      </c>
      <c r="C751" s="1108">
        <v>5536</v>
      </c>
      <c r="D751" s="1162" t="s">
        <v>2322</v>
      </c>
      <c r="E751" s="1336">
        <v>60.3</v>
      </c>
      <c r="F751" s="1125">
        <f t="shared" si="149"/>
        <v>333820.79999999999</v>
      </c>
      <c r="G751" s="1335"/>
      <c r="H751" s="1125">
        <f t="shared" si="150"/>
        <v>0</v>
      </c>
      <c r="I751" s="1312"/>
      <c r="J751" s="1406">
        <f t="shared" si="157"/>
        <v>0</v>
      </c>
      <c r="K751" s="1335"/>
      <c r="L751" s="1125">
        <f t="shared" si="151"/>
        <v>0</v>
      </c>
      <c r="M751" s="1343"/>
      <c r="N751" s="1339">
        <f t="shared" si="152"/>
        <v>0</v>
      </c>
      <c r="O751" s="1340">
        <f t="shared" si="153"/>
        <v>0</v>
      </c>
      <c r="P751" s="1339">
        <f t="shared" si="154"/>
        <v>0</v>
      </c>
      <c r="Q751" s="1340">
        <f t="shared" si="155"/>
        <v>60.3</v>
      </c>
      <c r="R751" s="1339">
        <f t="shared" si="156"/>
        <v>333820.79999999999</v>
      </c>
      <c r="S751" s="1322">
        <f t="shared" si="164"/>
        <v>333820.79999999999</v>
      </c>
      <c r="T751" s="1322">
        <f t="shared" si="165"/>
        <v>0</v>
      </c>
    </row>
    <row r="752" spans="1:20" ht="70.5" hidden="1" customHeight="1">
      <c r="A752" s="1426"/>
      <c r="B752" s="1370" t="s">
        <v>5926</v>
      </c>
      <c r="C752" s="1430">
        <v>1843</v>
      </c>
      <c r="D752" s="1451" t="s">
        <v>2322</v>
      </c>
      <c r="E752" s="1372"/>
      <c r="F752" s="1125">
        <f t="shared" si="149"/>
        <v>0</v>
      </c>
      <c r="G752" s="1427"/>
      <c r="H752" s="1125">
        <f t="shared" si="150"/>
        <v>0</v>
      </c>
      <c r="I752" s="1312"/>
      <c r="J752" s="1312">
        <f t="shared" si="157"/>
        <v>0</v>
      </c>
      <c r="K752" s="1427"/>
      <c r="L752" s="1125">
        <f t="shared" si="151"/>
        <v>0</v>
      </c>
      <c r="M752" s="1435"/>
      <c r="N752" s="1339">
        <f t="shared" si="152"/>
        <v>0</v>
      </c>
      <c r="O752" s="1340">
        <f t="shared" si="153"/>
        <v>0</v>
      </c>
      <c r="P752" s="1339">
        <f t="shared" si="154"/>
        <v>0</v>
      </c>
      <c r="Q752" s="1340">
        <f t="shared" si="155"/>
        <v>0</v>
      </c>
      <c r="R752" s="1339">
        <f t="shared" si="156"/>
        <v>0</v>
      </c>
      <c r="S752" s="1322">
        <f t="shared" si="164"/>
        <v>0</v>
      </c>
      <c r="T752" s="1322">
        <f t="shared" si="165"/>
        <v>0</v>
      </c>
    </row>
    <row r="753" spans="1:20" s="812" customFormat="1" ht="57" hidden="1" customHeight="1">
      <c r="A753" s="1107">
        <v>448.2</v>
      </c>
      <c r="B753" s="1108" t="s">
        <v>4433</v>
      </c>
      <c r="C753" s="1109">
        <f>Data!R3123</f>
        <v>142.96</v>
      </c>
      <c r="D753" s="1162" t="s">
        <v>1423</v>
      </c>
      <c r="E753" s="1276"/>
      <c r="F753" s="1125">
        <f t="shared" si="149"/>
        <v>0</v>
      </c>
      <c r="G753" s="1199"/>
      <c r="H753" s="1125">
        <f t="shared" si="150"/>
        <v>0</v>
      </c>
      <c r="I753" s="748"/>
      <c r="J753" s="748">
        <f t="shared" si="157"/>
        <v>0</v>
      </c>
      <c r="K753" s="1199"/>
      <c r="L753" s="1125">
        <f t="shared" si="151"/>
        <v>0</v>
      </c>
      <c r="M753" s="1208"/>
      <c r="N753" s="1339">
        <f t="shared" si="152"/>
        <v>0</v>
      </c>
      <c r="O753" s="1340">
        <f t="shared" si="153"/>
        <v>0</v>
      </c>
      <c r="P753" s="1339">
        <f t="shared" si="154"/>
        <v>0</v>
      </c>
      <c r="Q753" s="1340">
        <f t="shared" si="155"/>
        <v>0</v>
      </c>
      <c r="R753" s="1339">
        <f t="shared" si="156"/>
        <v>0</v>
      </c>
      <c r="S753" s="700">
        <f t="shared" si="164"/>
        <v>0</v>
      </c>
      <c r="T753" s="700">
        <f t="shared" si="165"/>
        <v>0</v>
      </c>
    </row>
    <row r="754" spans="1:20" ht="70.5" customHeight="1">
      <c r="A754" s="1486"/>
      <c r="B754" s="1198" t="s">
        <v>6118</v>
      </c>
      <c r="C754" s="1111">
        <f>Data!AD1271</f>
        <v>1747.66</v>
      </c>
      <c r="D754" s="1156" t="s">
        <v>2322</v>
      </c>
      <c r="E754" s="1336">
        <v>38</v>
      </c>
      <c r="F754" s="1125">
        <f t="shared" si="149"/>
        <v>66411.08</v>
      </c>
      <c r="G754" s="1335"/>
      <c r="H754" s="1125">
        <f t="shared" si="150"/>
        <v>0</v>
      </c>
      <c r="I754" s="1312"/>
      <c r="J754" s="1406">
        <f t="shared" si="157"/>
        <v>0</v>
      </c>
      <c r="K754" s="1335"/>
      <c r="L754" s="1125">
        <f t="shared" si="151"/>
        <v>0</v>
      </c>
      <c r="M754" s="1343"/>
      <c r="N754" s="1339">
        <f t="shared" si="152"/>
        <v>0</v>
      </c>
      <c r="O754" s="1340">
        <f t="shared" si="153"/>
        <v>0</v>
      </c>
      <c r="P754" s="1339">
        <f t="shared" si="154"/>
        <v>0</v>
      </c>
      <c r="Q754" s="1340">
        <f t="shared" si="155"/>
        <v>38</v>
      </c>
      <c r="R754" s="1339">
        <f t="shared" si="156"/>
        <v>66411.08</v>
      </c>
      <c r="S754" s="1322">
        <f t="shared" si="164"/>
        <v>66411.08</v>
      </c>
      <c r="T754" s="1322">
        <f t="shared" si="165"/>
        <v>0</v>
      </c>
    </row>
    <row r="755" spans="1:20" ht="53.25" customHeight="1">
      <c r="A755" s="1426"/>
      <c r="B755" s="1370" t="s">
        <v>4540</v>
      </c>
      <c r="C755" s="1450">
        <f>Data!R2416</f>
        <v>1483.02</v>
      </c>
      <c r="D755" s="1448" t="s">
        <v>2322</v>
      </c>
      <c r="E755" s="1492">
        <v>12.6</v>
      </c>
      <c r="F755" s="1125">
        <f t="shared" si="149"/>
        <v>18686.05</v>
      </c>
      <c r="G755" s="1427"/>
      <c r="H755" s="1125">
        <f t="shared" si="150"/>
        <v>0</v>
      </c>
      <c r="I755" s="1312"/>
      <c r="J755" s="1312">
        <f t="shared" si="157"/>
        <v>0</v>
      </c>
      <c r="K755" s="1427"/>
      <c r="L755" s="1125">
        <f t="shared" si="151"/>
        <v>0</v>
      </c>
      <c r="M755" s="1413"/>
      <c r="N755" s="1339">
        <f t="shared" si="152"/>
        <v>0</v>
      </c>
      <c r="O755" s="1340">
        <f t="shared" si="153"/>
        <v>0</v>
      </c>
      <c r="P755" s="1339">
        <f t="shared" si="154"/>
        <v>0</v>
      </c>
      <c r="Q755" s="1340">
        <f t="shared" si="155"/>
        <v>12.6</v>
      </c>
      <c r="R755" s="1339">
        <f t="shared" si="156"/>
        <v>18686.05</v>
      </c>
      <c r="S755" s="1322">
        <f t="shared" si="164"/>
        <v>18686.05</v>
      </c>
      <c r="T755" s="1322">
        <f t="shared" si="165"/>
        <v>0</v>
      </c>
    </row>
    <row r="756" spans="1:20" s="700" customFormat="1" ht="70.5" hidden="1" customHeight="1">
      <c r="A756" s="1105"/>
      <c r="B756" s="538" t="s">
        <v>4939</v>
      </c>
      <c r="C756" s="1109">
        <f>Data!AD1271</f>
        <v>1747.66</v>
      </c>
      <c r="D756" s="1151" t="s">
        <v>2322</v>
      </c>
      <c r="E756" s="1276"/>
      <c r="F756" s="1125">
        <f t="shared" si="149"/>
        <v>0</v>
      </c>
      <c r="G756" s="1199"/>
      <c r="H756" s="1125">
        <f t="shared" si="150"/>
        <v>0</v>
      </c>
      <c r="I756" s="748"/>
      <c r="J756" s="748">
        <f t="shared" si="157"/>
        <v>0</v>
      </c>
      <c r="K756" s="1199"/>
      <c r="L756" s="1125">
        <f t="shared" si="151"/>
        <v>0</v>
      </c>
      <c r="M756" s="1200"/>
      <c r="N756" s="1339">
        <f t="shared" si="152"/>
        <v>0</v>
      </c>
      <c r="O756" s="1340">
        <f t="shared" si="153"/>
        <v>0</v>
      </c>
      <c r="P756" s="1339">
        <f t="shared" si="154"/>
        <v>0</v>
      </c>
      <c r="Q756" s="1340">
        <f t="shared" si="155"/>
        <v>0</v>
      </c>
      <c r="R756" s="1339">
        <f t="shared" si="156"/>
        <v>0</v>
      </c>
    </row>
    <row r="757" spans="1:20" ht="70.5" hidden="1" customHeight="1">
      <c r="A757" s="1324"/>
      <c r="B757" s="1198" t="s">
        <v>4926</v>
      </c>
      <c r="C757" s="1109">
        <f>Data!K2435</f>
        <v>1520.05</v>
      </c>
      <c r="D757" s="1156" t="s">
        <v>236</v>
      </c>
      <c r="E757" s="1342"/>
      <c r="F757" s="1125">
        <f t="shared" si="149"/>
        <v>0</v>
      </c>
      <c r="G757" s="1335"/>
      <c r="H757" s="1125">
        <f t="shared" si="150"/>
        <v>0</v>
      </c>
      <c r="I757" s="1312"/>
      <c r="J757" s="1312">
        <f t="shared" si="157"/>
        <v>0</v>
      </c>
      <c r="K757" s="1335"/>
      <c r="L757" s="1125">
        <f t="shared" si="151"/>
        <v>0</v>
      </c>
      <c r="M757" s="1343"/>
      <c r="N757" s="1339">
        <f t="shared" si="152"/>
        <v>0</v>
      </c>
      <c r="O757" s="1340">
        <f t="shared" si="153"/>
        <v>0</v>
      </c>
      <c r="P757" s="1339">
        <f t="shared" si="154"/>
        <v>0</v>
      </c>
      <c r="Q757" s="1340">
        <f t="shared" si="155"/>
        <v>0</v>
      </c>
      <c r="R757" s="1339">
        <f t="shared" si="156"/>
        <v>0</v>
      </c>
      <c r="S757" s="1322">
        <f t="shared" ref="S757:S758" si="166">F757+P757</f>
        <v>0</v>
      </c>
      <c r="T757" s="1322">
        <f t="shared" ref="T757:T758" si="167">S757-R757</f>
        <v>0</v>
      </c>
    </row>
    <row r="758" spans="1:20" ht="65.25" customHeight="1">
      <c r="A758" s="1486"/>
      <c r="B758" s="1328" t="s">
        <v>6034</v>
      </c>
      <c r="C758" s="1111">
        <f>Data!R1272</f>
        <v>1282.53</v>
      </c>
      <c r="D758" s="1329" t="s">
        <v>2322</v>
      </c>
      <c r="E758" s="1336">
        <v>1247</v>
      </c>
      <c r="F758" s="1125">
        <f t="shared" si="149"/>
        <v>1599314.91</v>
      </c>
      <c r="G758" s="1335"/>
      <c r="H758" s="1125">
        <f t="shared" si="150"/>
        <v>0</v>
      </c>
      <c r="I758" s="1312"/>
      <c r="J758" s="1406">
        <f t="shared" si="157"/>
        <v>0</v>
      </c>
      <c r="K758" s="1335"/>
      <c r="L758" s="1125">
        <f t="shared" si="151"/>
        <v>0</v>
      </c>
      <c r="M758" s="1343"/>
      <c r="N758" s="1339">
        <f t="shared" si="152"/>
        <v>0</v>
      </c>
      <c r="O758" s="1340">
        <f t="shared" si="153"/>
        <v>0</v>
      </c>
      <c r="P758" s="1339">
        <f t="shared" si="154"/>
        <v>0</v>
      </c>
      <c r="Q758" s="1340">
        <f t="shared" si="155"/>
        <v>1247</v>
      </c>
      <c r="R758" s="1339">
        <f t="shared" si="156"/>
        <v>1599314.91</v>
      </c>
      <c r="S758" s="1322">
        <f t="shared" si="166"/>
        <v>1599314.91</v>
      </c>
      <c r="T758" s="1322">
        <f t="shared" si="167"/>
        <v>0</v>
      </c>
    </row>
    <row r="759" spans="1:20" s="700" customFormat="1" ht="114" hidden="1" customHeight="1">
      <c r="A759" s="1414"/>
      <c r="B759" s="1452" t="s">
        <v>4935</v>
      </c>
      <c r="C759" s="1453">
        <f>Data!R1272</f>
        <v>1282.53</v>
      </c>
      <c r="D759" s="1454" t="s">
        <v>2322</v>
      </c>
      <c r="E759" s="1278"/>
      <c r="F759" s="1125">
        <f t="shared" si="149"/>
        <v>0</v>
      </c>
      <c r="G759" s="1273"/>
      <c r="H759" s="1125">
        <f t="shared" si="150"/>
        <v>0</v>
      </c>
      <c r="I759" s="748"/>
      <c r="J759" s="748">
        <f t="shared" si="157"/>
        <v>0</v>
      </c>
      <c r="K759" s="1273"/>
      <c r="L759" s="1125">
        <f t="shared" si="151"/>
        <v>0</v>
      </c>
      <c r="M759" s="1419"/>
      <c r="N759" s="1339">
        <f t="shared" si="152"/>
        <v>0</v>
      </c>
      <c r="O759" s="1340">
        <f t="shared" si="153"/>
        <v>0</v>
      </c>
      <c r="P759" s="1339">
        <f t="shared" si="154"/>
        <v>0</v>
      </c>
      <c r="Q759" s="1340">
        <f t="shared" si="155"/>
        <v>0</v>
      </c>
      <c r="R759" s="1339">
        <f t="shared" si="156"/>
        <v>0</v>
      </c>
    </row>
    <row r="760" spans="1:20" ht="59.25" customHeight="1">
      <c r="A760" s="1486"/>
      <c r="B760" s="1198" t="s">
        <v>3888</v>
      </c>
      <c r="C760" s="1111">
        <f>Data!R1230</f>
        <v>1512.46</v>
      </c>
      <c r="D760" s="1156" t="s">
        <v>2322</v>
      </c>
      <c r="E760" s="1336">
        <v>281.2</v>
      </c>
      <c r="F760" s="1125">
        <f t="shared" si="149"/>
        <v>425303.75</v>
      </c>
      <c r="G760" s="1335"/>
      <c r="H760" s="1125">
        <f t="shared" si="150"/>
        <v>0</v>
      </c>
      <c r="I760" s="1312"/>
      <c r="J760" s="1406">
        <f t="shared" si="157"/>
        <v>0</v>
      </c>
      <c r="K760" s="1335"/>
      <c r="L760" s="1125">
        <f t="shared" si="151"/>
        <v>0</v>
      </c>
      <c r="M760" s="1343"/>
      <c r="N760" s="1339">
        <f t="shared" si="152"/>
        <v>0</v>
      </c>
      <c r="O760" s="1340">
        <f t="shared" si="153"/>
        <v>0</v>
      </c>
      <c r="P760" s="1339">
        <f t="shared" si="154"/>
        <v>0</v>
      </c>
      <c r="Q760" s="1340">
        <f t="shared" si="155"/>
        <v>281.2</v>
      </c>
      <c r="R760" s="1339">
        <f t="shared" si="156"/>
        <v>425303.75</v>
      </c>
      <c r="S760" s="1322">
        <f>F760+P760</f>
        <v>425303.75</v>
      </c>
      <c r="T760" s="1322">
        <f>S760-R760</f>
        <v>0</v>
      </c>
    </row>
    <row r="761" spans="1:20" s="700" customFormat="1" ht="70.5" hidden="1" customHeight="1">
      <c r="A761" s="1414"/>
      <c r="B761" s="1415" t="s">
        <v>4930</v>
      </c>
      <c r="C761" s="1411">
        <f>Data!AD1257</f>
        <v>1654.23</v>
      </c>
      <c r="D761" s="1272" t="s">
        <v>2322</v>
      </c>
      <c r="E761" s="1278"/>
      <c r="F761" s="1125">
        <f t="shared" si="149"/>
        <v>0</v>
      </c>
      <c r="G761" s="1273"/>
      <c r="H761" s="1125">
        <f t="shared" si="150"/>
        <v>0</v>
      </c>
      <c r="I761" s="748"/>
      <c r="J761" s="748">
        <f t="shared" si="157"/>
        <v>0</v>
      </c>
      <c r="K761" s="1273"/>
      <c r="L761" s="1125">
        <f t="shared" si="151"/>
        <v>0</v>
      </c>
      <c r="M761" s="1412"/>
      <c r="N761" s="1339">
        <f t="shared" si="152"/>
        <v>0</v>
      </c>
      <c r="O761" s="1340">
        <f t="shared" si="153"/>
        <v>0</v>
      </c>
      <c r="P761" s="1339">
        <f t="shared" si="154"/>
        <v>0</v>
      </c>
      <c r="Q761" s="1340">
        <f t="shared" si="155"/>
        <v>0</v>
      </c>
      <c r="R761" s="1339">
        <f t="shared" si="156"/>
        <v>0</v>
      </c>
    </row>
    <row r="762" spans="1:20" s="700" customFormat="1" ht="70.5" hidden="1" customHeight="1">
      <c r="A762" s="1105"/>
      <c r="B762" s="1163" t="s">
        <v>3692</v>
      </c>
      <c r="C762" s="1106"/>
      <c r="D762" s="1164"/>
      <c r="E762" s="1276"/>
      <c r="F762" s="1125">
        <f t="shared" si="149"/>
        <v>0</v>
      </c>
      <c r="G762" s="1199"/>
      <c r="H762" s="1125">
        <f t="shared" si="150"/>
        <v>0</v>
      </c>
      <c r="I762" s="748"/>
      <c r="J762" s="748">
        <f t="shared" si="157"/>
        <v>0</v>
      </c>
      <c r="K762" s="1199"/>
      <c r="L762" s="1125">
        <f t="shared" si="151"/>
        <v>0</v>
      </c>
      <c r="M762" s="1200"/>
      <c r="N762" s="1339">
        <f t="shared" si="152"/>
        <v>0</v>
      </c>
      <c r="O762" s="1340">
        <f t="shared" si="153"/>
        <v>0</v>
      </c>
      <c r="P762" s="1339">
        <f t="shared" si="154"/>
        <v>0</v>
      </c>
      <c r="Q762" s="1340">
        <f t="shared" si="155"/>
        <v>0</v>
      </c>
      <c r="R762" s="1339">
        <f t="shared" si="156"/>
        <v>0</v>
      </c>
    </row>
    <row r="763" spans="1:20" s="700" customFormat="1" ht="70.5" hidden="1" customHeight="1">
      <c r="A763" s="1105"/>
      <c r="B763" s="1165" t="s">
        <v>4685</v>
      </c>
      <c r="C763" s="1106">
        <f>'Sliding and french window'!G350</f>
        <v>3353.03</v>
      </c>
      <c r="D763" s="1164" t="s">
        <v>2322</v>
      </c>
      <c r="E763" s="1276"/>
      <c r="F763" s="1125">
        <f t="shared" si="149"/>
        <v>0</v>
      </c>
      <c r="G763" s="1199"/>
      <c r="H763" s="1125">
        <f t="shared" si="150"/>
        <v>0</v>
      </c>
      <c r="I763" s="748"/>
      <c r="J763" s="748">
        <f t="shared" si="157"/>
        <v>0</v>
      </c>
      <c r="K763" s="1199"/>
      <c r="L763" s="1125">
        <f t="shared" si="151"/>
        <v>0</v>
      </c>
      <c r="M763" s="1200"/>
      <c r="N763" s="1339">
        <f t="shared" si="152"/>
        <v>0</v>
      </c>
      <c r="O763" s="1340">
        <f t="shared" si="153"/>
        <v>0</v>
      </c>
      <c r="P763" s="1339">
        <f t="shared" si="154"/>
        <v>0</v>
      </c>
      <c r="Q763" s="1340">
        <f t="shared" si="155"/>
        <v>0</v>
      </c>
      <c r="R763" s="1339">
        <f t="shared" si="156"/>
        <v>0</v>
      </c>
    </row>
    <row r="764" spans="1:20" s="700" customFormat="1" ht="70.5" hidden="1" customHeight="1">
      <c r="A764" s="1105"/>
      <c r="B764" s="1165" t="s">
        <v>4686</v>
      </c>
      <c r="C764" s="1106">
        <f>'Sliding and french window'!G491</f>
        <v>3169.22</v>
      </c>
      <c r="D764" s="1164" t="s">
        <v>2322</v>
      </c>
      <c r="E764" s="1276"/>
      <c r="F764" s="1125">
        <f t="shared" si="149"/>
        <v>0</v>
      </c>
      <c r="G764" s="1199"/>
      <c r="H764" s="1125">
        <f t="shared" si="150"/>
        <v>0</v>
      </c>
      <c r="I764" s="748"/>
      <c r="J764" s="748">
        <f t="shared" si="157"/>
        <v>0</v>
      </c>
      <c r="K764" s="1199"/>
      <c r="L764" s="1125">
        <f t="shared" si="151"/>
        <v>0</v>
      </c>
      <c r="M764" s="1200"/>
      <c r="N764" s="1339">
        <f t="shared" si="152"/>
        <v>0</v>
      </c>
      <c r="O764" s="1340">
        <f t="shared" si="153"/>
        <v>0</v>
      </c>
      <c r="P764" s="1339">
        <f t="shared" si="154"/>
        <v>0</v>
      </c>
      <c r="Q764" s="1340">
        <f t="shared" si="155"/>
        <v>0</v>
      </c>
      <c r="R764" s="1339">
        <f t="shared" si="156"/>
        <v>0</v>
      </c>
    </row>
    <row r="765" spans="1:20" s="700" customFormat="1" ht="70.5" hidden="1" customHeight="1">
      <c r="A765" s="1105"/>
      <c r="B765" s="1165" t="s">
        <v>4687</v>
      </c>
      <c r="C765" s="1106">
        <f>'Sliding and french window'!G395</f>
        <v>4048</v>
      </c>
      <c r="D765" s="1164" t="s">
        <v>2322</v>
      </c>
      <c r="E765" s="1276"/>
      <c r="F765" s="1125">
        <f t="shared" si="149"/>
        <v>0</v>
      </c>
      <c r="G765" s="1199"/>
      <c r="H765" s="1125">
        <f t="shared" si="150"/>
        <v>0</v>
      </c>
      <c r="I765" s="748"/>
      <c r="J765" s="748">
        <f t="shared" si="157"/>
        <v>0</v>
      </c>
      <c r="K765" s="1199"/>
      <c r="L765" s="1125">
        <f t="shared" si="151"/>
        <v>0</v>
      </c>
      <c r="M765" s="1200"/>
      <c r="N765" s="1339">
        <f t="shared" si="152"/>
        <v>0</v>
      </c>
      <c r="O765" s="1340">
        <f t="shared" si="153"/>
        <v>0</v>
      </c>
      <c r="P765" s="1339">
        <f t="shared" si="154"/>
        <v>0</v>
      </c>
      <c r="Q765" s="1340">
        <f t="shared" si="155"/>
        <v>0</v>
      </c>
      <c r="R765" s="1339">
        <f t="shared" si="156"/>
        <v>0</v>
      </c>
    </row>
    <row r="766" spans="1:20" s="700" customFormat="1" ht="70.5" hidden="1" customHeight="1">
      <c r="A766" s="1105"/>
      <c r="B766" s="1165" t="s">
        <v>4689</v>
      </c>
      <c r="C766" s="1106">
        <f>'Sliding and french window'!G440</f>
        <v>3758.93</v>
      </c>
      <c r="D766" s="1164" t="s">
        <v>2322</v>
      </c>
      <c r="E766" s="1276"/>
      <c r="F766" s="1125">
        <f t="shared" si="149"/>
        <v>0</v>
      </c>
      <c r="G766" s="1199"/>
      <c r="H766" s="1125">
        <f t="shared" si="150"/>
        <v>0</v>
      </c>
      <c r="I766" s="748"/>
      <c r="J766" s="748">
        <f t="shared" si="157"/>
        <v>0</v>
      </c>
      <c r="K766" s="1199"/>
      <c r="L766" s="1125">
        <f t="shared" si="151"/>
        <v>0</v>
      </c>
      <c r="M766" s="1200"/>
      <c r="N766" s="1339">
        <f t="shared" si="152"/>
        <v>0</v>
      </c>
      <c r="O766" s="1340">
        <f t="shared" si="153"/>
        <v>0</v>
      </c>
      <c r="P766" s="1339">
        <f t="shared" si="154"/>
        <v>0</v>
      </c>
      <c r="Q766" s="1340">
        <f t="shared" si="155"/>
        <v>0</v>
      </c>
      <c r="R766" s="1339">
        <f t="shared" si="156"/>
        <v>0</v>
      </c>
    </row>
    <row r="767" spans="1:20" s="700" customFormat="1" ht="70.5" hidden="1" customHeight="1">
      <c r="A767" s="1105"/>
      <c r="B767" s="1129" t="s">
        <v>3657</v>
      </c>
      <c r="C767" s="1138">
        <f>Data!X1293</f>
        <v>1399.44</v>
      </c>
      <c r="D767" s="1139" t="s">
        <v>1876</v>
      </c>
      <c r="E767" s="1276"/>
      <c r="F767" s="1125">
        <f t="shared" si="149"/>
        <v>0</v>
      </c>
      <c r="G767" s="1199"/>
      <c r="H767" s="1125">
        <f t="shared" si="150"/>
        <v>0</v>
      </c>
      <c r="I767" s="748"/>
      <c r="J767" s="748">
        <f t="shared" si="157"/>
        <v>0</v>
      </c>
      <c r="K767" s="1199"/>
      <c r="L767" s="1125">
        <f t="shared" si="151"/>
        <v>0</v>
      </c>
      <c r="M767" s="1200"/>
      <c r="N767" s="1339">
        <f t="shared" si="152"/>
        <v>0</v>
      </c>
      <c r="O767" s="1340">
        <f t="shared" si="153"/>
        <v>0</v>
      </c>
      <c r="P767" s="1339">
        <f t="shared" si="154"/>
        <v>0</v>
      </c>
      <c r="Q767" s="1340">
        <f t="shared" si="155"/>
        <v>0</v>
      </c>
      <c r="R767" s="1339">
        <f t="shared" si="156"/>
        <v>0</v>
      </c>
    </row>
    <row r="768" spans="1:20" s="700" customFormat="1" ht="70.5" hidden="1" customHeight="1">
      <c r="A768" s="1105"/>
      <c r="B768" s="1129" t="s">
        <v>3658</v>
      </c>
      <c r="C768" s="1138">
        <f>Data!K1292</f>
        <v>2989.22</v>
      </c>
      <c r="D768" s="1139" t="s">
        <v>1876</v>
      </c>
      <c r="E768" s="1276"/>
      <c r="F768" s="1125">
        <f t="shared" si="149"/>
        <v>0</v>
      </c>
      <c r="G768" s="1199"/>
      <c r="H768" s="1125">
        <f t="shared" si="150"/>
        <v>0</v>
      </c>
      <c r="I768" s="748"/>
      <c r="J768" s="748">
        <f t="shared" si="157"/>
        <v>0</v>
      </c>
      <c r="K768" s="1199"/>
      <c r="L768" s="1125">
        <f t="shared" si="151"/>
        <v>0</v>
      </c>
      <c r="M768" s="1200"/>
      <c r="N768" s="1339">
        <f t="shared" si="152"/>
        <v>0</v>
      </c>
      <c r="O768" s="1340">
        <f t="shared" si="153"/>
        <v>0</v>
      </c>
      <c r="P768" s="1339">
        <f t="shared" si="154"/>
        <v>0</v>
      </c>
      <c r="Q768" s="1340">
        <f t="shared" si="155"/>
        <v>0</v>
      </c>
      <c r="R768" s="1339">
        <f t="shared" si="156"/>
        <v>0</v>
      </c>
    </row>
    <row r="769" spans="1:20" s="700" customFormat="1" ht="70.5" hidden="1" customHeight="1">
      <c r="A769" s="1105" t="s">
        <v>4894</v>
      </c>
      <c r="B769" s="1166" t="s">
        <v>4889</v>
      </c>
      <c r="C769" s="1138">
        <f>Data!R3720</f>
        <v>4656.42</v>
      </c>
      <c r="D769" s="744" t="s">
        <v>2322</v>
      </c>
      <c r="E769" s="1276"/>
      <c r="F769" s="1125">
        <f t="shared" si="149"/>
        <v>0</v>
      </c>
      <c r="G769" s="1199"/>
      <c r="H769" s="1125">
        <f t="shared" si="150"/>
        <v>0</v>
      </c>
      <c r="I769" s="748"/>
      <c r="J769" s="748">
        <f t="shared" si="157"/>
        <v>0</v>
      </c>
      <c r="K769" s="1199"/>
      <c r="L769" s="1125">
        <f t="shared" si="151"/>
        <v>0</v>
      </c>
      <c r="M769" s="1200"/>
      <c r="N769" s="1339">
        <f t="shared" si="152"/>
        <v>0</v>
      </c>
      <c r="O769" s="1340">
        <f t="shared" si="153"/>
        <v>0</v>
      </c>
      <c r="P769" s="1339">
        <f t="shared" si="154"/>
        <v>0</v>
      </c>
      <c r="Q769" s="1340">
        <f t="shared" si="155"/>
        <v>0</v>
      </c>
      <c r="R769" s="1339">
        <f t="shared" si="156"/>
        <v>0</v>
      </c>
    </row>
    <row r="770" spans="1:20" s="700" customFormat="1" ht="80.25" customHeight="1">
      <c r="A770" s="1105">
        <f>11.6-7.25</f>
        <v>4.4000000000000004</v>
      </c>
      <c r="B770" s="538" t="s">
        <v>6119</v>
      </c>
      <c r="C770" s="1502">
        <v>968</v>
      </c>
      <c r="D770" s="744" t="s">
        <v>2322</v>
      </c>
      <c r="E770" s="1100">
        <v>56.7</v>
      </c>
      <c r="F770" s="1125">
        <f t="shared" si="149"/>
        <v>54885.599999999999</v>
      </c>
      <c r="G770" s="1199"/>
      <c r="H770" s="1125">
        <f t="shared" si="150"/>
        <v>0</v>
      </c>
      <c r="I770" s="748"/>
      <c r="J770" s="1407">
        <f t="shared" si="157"/>
        <v>0</v>
      </c>
      <c r="K770" s="1199"/>
      <c r="L770" s="1125">
        <f t="shared" si="151"/>
        <v>0</v>
      </c>
      <c r="M770" s="1200"/>
      <c r="N770" s="1339">
        <f t="shared" si="152"/>
        <v>0</v>
      </c>
      <c r="O770" s="1340">
        <f t="shared" si="153"/>
        <v>0</v>
      </c>
      <c r="P770" s="1339">
        <f t="shared" si="154"/>
        <v>0</v>
      </c>
      <c r="Q770" s="1340">
        <f t="shared" si="155"/>
        <v>56.7</v>
      </c>
      <c r="R770" s="1339">
        <f t="shared" si="156"/>
        <v>54885.599999999999</v>
      </c>
    </row>
    <row r="771" spans="1:20" s="700" customFormat="1" ht="70.5" hidden="1" customHeight="1">
      <c r="A771" s="1414"/>
      <c r="B771" s="1415" t="s">
        <v>4125</v>
      </c>
      <c r="C771" s="1455">
        <v>990</v>
      </c>
      <c r="D771" s="1417" t="s">
        <v>2322</v>
      </c>
      <c r="E771" s="1278"/>
      <c r="F771" s="1125">
        <f t="shared" si="149"/>
        <v>0</v>
      </c>
      <c r="G771" s="1273"/>
      <c r="H771" s="1125">
        <f t="shared" si="150"/>
        <v>0</v>
      </c>
      <c r="I771" s="748"/>
      <c r="J771" s="748">
        <f t="shared" si="157"/>
        <v>0</v>
      </c>
      <c r="K771" s="1273"/>
      <c r="L771" s="1125">
        <f t="shared" si="151"/>
        <v>0</v>
      </c>
      <c r="M771" s="1412"/>
      <c r="N771" s="1339">
        <f t="shared" si="152"/>
        <v>0</v>
      </c>
      <c r="O771" s="1340">
        <f t="shared" si="153"/>
        <v>0</v>
      </c>
      <c r="P771" s="1339">
        <f t="shared" si="154"/>
        <v>0</v>
      </c>
      <c r="Q771" s="1340">
        <f t="shared" si="155"/>
        <v>0</v>
      </c>
      <c r="R771" s="1339">
        <f t="shared" si="156"/>
        <v>0</v>
      </c>
    </row>
    <row r="772" spans="1:20" s="700" customFormat="1" ht="70.5" hidden="1" customHeight="1">
      <c r="A772" s="1105"/>
      <c r="B772" s="538" t="s">
        <v>3646</v>
      </c>
      <c r="C772" s="1138">
        <v>905</v>
      </c>
      <c r="D772" s="744" t="s">
        <v>842</v>
      </c>
      <c r="E772" s="1276"/>
      <c r="F772" s="1125">
        <f t="shared" si="149"/>
        <v>0</v>
      </c>
      <c r="G772" s="1199"/>
      <c r="H772" s="1125">
        <f t="shared" si="150"/>
        <v>0</v>
      </c>
      <c r="I772" s="748"/>
      <c r="J772" s="748">
        <f t="shared" si="157"/>
        <v>0</v>
      </c>
      <c r="K772" s="1199"/>
      <c r="L772" s="1125">
        <f t="shared" si="151"/>
        <v>0</v>
      </c>
      <c r="M772" s="1200"/>
      <c r="N772" s="1339">
        <f t="shared" si="152"/>
        <v>0</v>
      </c>
      <c r="O772" s="1340">
        <f t="shared" si="153"/>
        <v>0</v>
      </c>
      <c r="P772" s="1339">
        <f t="shared" si="154"/>
        <v>0</v>
      </c>
      <c r="Q772" s="1340">
        <f t="shared" si="155"/>
        <v>0</v>
      </c>
      <c r="R772" s="1339">
        <f t="shared" si="156"/>
        <v>0</v>
      </c>
    </row>
    <row r="773" spans="1:20" s="700" customFormat="1" ht="70.5" customHeight="1">
      <c r="A773" s="1105"/>
      <c r="B773" s="538" t="s">
        <v>3684</v>
      </c>
      <c r="C773" s="1502">
        <v>7575</v>
      </c>
      <c r="D773" s="744" t="s">
        <v>1423</v>
      </c>
      <c r="E773" s="1100">
        <v>1</v>
      </c>
      <c r="F773" s="1125">
        <f t="shared" si="149"/>
        <v>7575</v>
      </c>
      <c r="G773" s="1199"/>
      <c r="H773" s="1125">
        <f t="shared" si="150"/>
        <v>0</v>
      </c>
      <c r="I773" s="748"/>
      <c r="J773" s="1407">
        <f t="shared" si="157"/>
        <v>0</v>
      </c>
      <c r="K773" s="1199"/>
      <c r="L773" s="1125">
        <f t="shared" si="151"/>
        <v>0</v>
      </c>
      <c r="M773" s="1200"/>
      <c r="N773" s="1339">
        <f t="shared" si="152"/>
        <v>0</v>
      </c>
      <c r="O773" s="1340">
        <f t="shared" si="153"/>
        <v>0</v>
      </c>
      <c r="P773" s="1339">
        <f t="shared" si="154"/>
        <v>0</v>
      </c>
      <c r="Q773" s="1340">
        <f t="shared" si="155"/>
        <v>1</v>
      </c>
      <c r="R773" s="1339">
        <f t="shared" si="156"/>
        <v>7575</v>
      </c>
      <c r="S773" s="700">
        <f t="shared" ref="S773:S775" si="168">F773+P773</f>
        <v>7575</v>
      </c>
      <c r="T773" s="700">
        <f t="shared" ref="T773:T775" si="169">S773-R773</f>
        <v>0</v>
      </c>
    </row>
    <row r="774" spans="1:20" s="700" customFormat="1" ht="110.25" customHeight="1">
      <c r="A774" s="1105"/>
      <c r="B774" s="538" t="s">
        <v>4126</v>
      </c>
      <c r="C774" s="1502">
        <v>3409</v>
      </c>
      <c r="D774" s="744" t="s">
        <v>1423</v>
      </c>
      <c r="E774" s="1100">
        <v>1</v>
      </c>
      <c r="F774" s="1125">
        <f t="shared" si="149"/>
        <v>3409</v>
      </c>
      <c r="G774" s="1199"/>
      <c r="H774" s="1125">
        <f t="shared" si="150"/>
        <v>0</v>
      </c>
      <c r="I774" s="748"/>
      <c r="J774" s="1407">
        <f t="shared" si="157"/>
        <v>0</v>
      </c>
      <c r="K774" s="1199"/>
      <c r="L774" s="1125">
        <f t="shared" si="151"/>
        <v>0</v>
      </c>
      <c r="M774" s="1200"/>
      <c r="N774" s="1339">
        <f t="shared" si="152"/>
        <v>0</v>
      </c>
      <c r="O774" s="1340">
        <f t="shared" si="153"/>
        <v>0</v>
      </c>
      <c r="P774" s="1339">
        <f t="shared" si="154"/>
        <v>0</v>
      </c>
      <c r="Q774" s="1340">
        <f t="shared" si="155"/>
        <v>1</v>
      </c>
      <c r="R774" s="1339">
        <f t="shared" si="156"/>
        <v>3409</v>
      </c>
      <c r="S774" s="700">
        <f t="shared" si="168"/>
        <v>3409</v>
      </c>
      <c r="T774" s="700">
        <f t="shared" si="169"/>
        <v>0</v>
      </c>
    </row>
    <row r="775" spans="1:20" ht="86.25" hidden="1" customHeight="1">
      <c r="A775" s="1426"/>
      <c r="B775" s="1370" t="s">
        <v>6035</v>
      </c>
      <c r="C775" s="1456">
        <v>1181</v>
      </c>
      <c r="D775" s="1371" t="s">
        <v>1423</v>
      </c>
      <c r="E775" s="1372"/>
      <c r="F775" s="1125">
        <f t="shared" ref="F775:F838" si="170">E775*C775</f>
        <v>0</v>
      </c>
      <c r="G775" s="1427"/>
      <c r="H775" s="1125">
        <f t="shared" ref="H775:H838" si="171">G775*C775</f>
        <v>0</v>
      </c>
      <c r="I775" s="1312"/>
      <c r="J775" s="1312">
        <f t="shared" si="157"/>
        <v>0</v>
      </c>
      <c r="K775" s="1427"/>
      <c r="L775" s="1125">
        <f t="shared" ref="L775:L838" si="172">K775*C775</f>
        <v>0</v>
      </c>
      <c r="M775" s="1435"/>
      <c r="N775" s="1339">
        <f t="shared" ref="N775:N838" si="173">M775*C775</f>
        <v>0</v>
      </c>
      <c r="O775" s="1340">
        <f t="shared" ref="O775:O838" si="174">G775+K775+M775</f>
        <v>0</v>
      </c>
      <c r="P775" s="1339">
        <f t="shared" ref="P775:P838" si="175">O775*C775</f>
        <v>0</v>
      </c>
      <c r="Q775" s="1340">
        <f t="shared" ref="Q775:Q838" si="176">O775+E775</f>
        <v>0</v>
      </c>
      <c r="R775" s="1339">
        <f t="shared" ref="R775:R838" si="177">Q775*C775</f>
        <v>0</v>
      </c>
      <c r="S775" s="1322">
        <f t="shared" si="168"/>
        <v>0</v>
      </c>
      <c r="T775" s="1322">
        <f t="shared" si="169"/>
        <v>0</v>
      </c>
    </row>
    <row r="776" spans="1:20" s="700" customFormat="1" ht="70.5" hidden="1" customHeight="1">
      <c r="A776" s="1105"/>
      <c r="B776" s="538" t="s">
        <v>4127</v>
      </c>
      <c r="C776" s="1138"/>
      <c r="D776" s="744"/>
      <c r="E776" s="1276"/>
      <c r="F776" s="1125">
        <f t="shared" si="170"/>
        <v>0</v>
      </c>
      <c r="G776" s="1199"/>
      <c r="H776" s="1125">
        <f t="shared" si="171"/>
        <v>0</v>
      </c>
      <c r="I776" s="748"/>
      <c r="J776" s="748">
        <f t="shared" ref="J776:J837" si="178">I776*C776</f>
        <v>0</v>
      </c>
      <c r="K776" s="1199"/>
      <c r="L776" s="1125">
        <f t="shared" si="172"/>
        <v>0</v>
      </c>
      <c r="M776" s="1200"/>
      <c r="N776" s="1339">
        <f t="shared" si="173"/>
        <v>0</v>
      </c>
      <c r="O776" s="1340">
        <f t="shared" si="174"/>
        <v>0</v>
      </c>
      <c r="P776" s="1339">
        <f t="shared" si="175"/>
        <v>0</v>
      </c>
      <c r="Q776" s="1340">
        <f t="shared" si="176"/>
        <v>0</v>
      </c>
      <c r="R776" s="1339">
        <f t="shared" si="177"/>
        <v>0</v>
      </c>
    </row>
    <row r="777" spans="1:20" s="700" customFormat="1" ht="70.5" hidden="1" customHeight="1">
      <c r="A777" s="1105"/>
      <c r="B777" s="538" t="s">
        <v>2180</v>
      </c>
      <c r="C777" s="1138">
        <v>1000.51</v>
      </c>
      <c r="D777" s="744" t="s">
        <v>1423</v>
      </c>
      <c r="E777" s="1276"/>
      <c r="F777" s="1125">
        <f t="shared" si="170"/>
        <v>0</v>
      </c>
      <c r="G777" s="1199"/>
      <c r="H777" s="1125">
        <f t="shared" si="171"/>
        <v>0</v>
      </c>
      <c r="I777" s="748"/>
      <c r="J777" s="748">
        <f t="shared" si="178"/>
        <v>0</v>
      </c>
      <c r="K777" s="1199"/>
      <c r="L777" s="1125">
        <f t="shared" si="172"/>
        <v>0</v>
      </c>
      <c r="M777" s="1200"/>
      <c r="N777" s="1339">
        <f t="shared" si="173"/>
        <v>0</v>
      </c>
      <c r="O777" s="1340">
        <f t="shared" si="174"/>
        <v>0</v>
      </c>
      <c r="P777" s="1339">
        <f t="shared" si="175"/>
        <v>0</v>
      </c>
      <c r="Q777" s="1340">
        <f t="shared" si="176"/>
        <v>0</v>
      </c>
      <c r="R777" s="1339">
        <f t="shared" si="177"/>
        <v>0</v>
      </c>
    </row>
    <row r="778" spans="1:20" s="700" customFormat="1" ht="70.5" hidden="1" customHeight="1">
      <c r="A778" s="1105"/>
      <c r="B778" s="538" t="s">
        <v>1294</v>
      </c>
      <c r="C778" s="1138">
        <v>1003.51</v>
      </c>
      <c r="D778" s="744" t="s">
        <v>1423</v>
      </c>
      <c r="E778" s="1276"/>
      <c r="F778" s="1125">
        <f t="shared" si="170"/>
        <v>0</v>
      </c>
      <c r="G778" s="1199"/>
      <c r="H778" s="1125">
        <f t="shared" si="171"/>
        <v>0</v>
      </c>
      <c r="I778" s="748"/>
      <c r="J778" s="748">
        <f t="shared" si="178"/>
        <v>0</v>
      </c>
      <c r="K778" s="1199"/>
      <c r="L778" s="1125">
        <f t="shared" si="172"/>
        <v>0</v>
      </c>
      <c r="M778" s="1200"/>
      <c r="N778" s="1339">
        <f t="shared" si="173"/>
        <v>0</v>
      </c>
      <c r="O778" s="1340">
        <f t="shared" si="174"/>
        <v>0</v>
      </c>
      <c r="P778" s="1339">
        <f t="shared" si="175"/>
        <v>0</v>
      </c>
      <c r="Q778" s="1340">
        <f t="shared" si="176"/>
        <v>0</v>
      </c>
      <c r="R778" s="1339">
        <f t="shared" si="177"/>
        <v>0</v>
      </c>
    </row>
    <row r="779" spans="1:20" s="700" customFormat="1" ht="70.5" hidden="1" customHeight="1">
      <c r="A779" s="1105"/>
      <c r="B779" s="538" t="s">
        <v>4128</v>
      </c>
      <c r="C779" s="1138">
        <v>769.3</v>
      </c>
      <c r="D779" s="744" t="s">
        <v>1423</v>
      </c>
      <c r="E779" s="1276"/>
      <c r="F779" s="1125">
        <f t="shared" si="170"/>
        <v>0</v>
      </c>
      <c r="G779" s="1199"/>
      <c r="H779" s="1125">
        <f t="shared" si="171"/>
        <v>0</v>
      </c>
      <c r="I779" s="748"/>
      <c r="J779" s="748">
        <f t="shared" si="178"/>
        <v>0</v>
      </c>
      <c r="K779" s="1199"/>
      <c r="L779" s="1125">
        <f t="shared" si="172"/>
        <v>0</v>
      </c>
      <c r="M779" s="1200"/>
      <c r="N779" s="1339">
        <f t="shared" si="173"/>
        <v>0</v>
      </c>
      <c r="O779" s="1340">
        <f t="shared" si="174"/>
        <v>0</v>
      </c>
      <c r="P779" s="1339">
        <f t="shared" si="175"/>
        <v>0</v>
      </c>
      <c r="Q779" s="1340">
        <f t="shared" si="176"/>
        <v>0</v>
      </c>
      <c r="R779" s="1339">
        <f t="shared" si="177"/>
        <v>0</v>
      </c>
    </row>
    <row r="780" spans="1:20" s="700" customFormat="1" ht="70.5" hidden="1" customHeight="1">
      <c r="A780" s="1105"/>
      <c r="B780" s="538" t="s">
        <v>4129</v>
      </c>
      <c r="C780" s="1138">
        <v>536.54999999999995</v>
      </c>
      <c r="D780" s="744" t="s">
        <v>1423</v>
      </c>
      <c r="E780" s="1276"/>
      <c r="F780" s="1125">
        <f t="shared" si="170"/>
        <v>0</v>
      </c>
      <c r="G780" s="1199"/>
      <c r="H780" s="1125">
        <f t="shared" si="171"/>
        <v>0</v>
      </c>
      <c r="I780" s="748"/>
      <c r="J780" s="748">
        <f t="shared" si="178"/>
        <v>0</v>
      </c>
      <c r="K780" s="1199"/>
      <c r="L780" s="1125">
        <f t="shared" si="172"/>
        <v>0</v>
      </c>
      <c r="M780" s="1200"/>
      <c r="N780" s="1339">
        <f t="shared" si="173"/>
        <v>0</v>
      </c>
      <c r="O780" s="1340">
        <f t="shared" si="174"/>
        <v>0</v>
      </c>
      <c r="P780" s="1339">
        <f t="shared" si="175"/>
        <v>0</v>
      </c>
      <c r="Q780" s="1340">
        <f t="shared" si="176"/>
        <v>0</v>
      </c>
      <c r="R780" s="1339">
        <f t="shared" si="177"/>
        <v>0</v>
      </c>
    </row>
    <row r="781" spans="1:20" s="700" customFormat="1" ht="70.5" hidden="1" customHeight="1">
      <c r="A781" s="1105"/>
      <c r="B781" s="538" t="s">
        <v>4878</v>
      </c>
      <c r="C781" s="1138">
        <v>675</v>
      </c>
      <c r="D781" s="1167" t="s">
        <v>1805</v>
      </c>
      <c r="E781" s="1276"/>
      <c r="F781" s="1125">
        <f t="shared" si="170"/>
        <v>0</v>
      </c>
      <c r="G781" s="1199"/>
      <c r="H781" s="1125">
        <f t="shared" si="171"/>
        <v>0</v>
      </c>
      <c r="I781" s="748"/>
      <c r="J781" s="748">
        <f t="shared" si="178"/>
        <v>0</v>
      </c>
      <c r="K781" s="1199"/>
      <c r="L781" s="1125">
        <f t="shared" si="172"/>
        <v>0</v>
      </c>
      <c r="M781" s="1200"/>
      <c r="N781" s="1339">
        <f t="shared" si="173"/>
        <v>0</v>
      </c>
      <c r="O781" s="1340">
        <f t="shared" si="174"/>
        <v>0</v>
      </c>
      <c r="P781" s="1339">
        <f t="shared" si="175"/>
        <v>0</v>
      </c>
      <c r="Q781" s="1340">
        <f t="shared" si="176"/>
        <v>0</v>
      </c>
      <c r="R781" s="1339">
        <f t="shared" si="177"/>
        <v>0</v>
      </c>
    </row>
    <row r="782" spans="1:20" s="700" customFormat="1" ht="70.5" hidden="1" customHeight="1">
      <c r="A782" s="1105"/>
      <c r="B782" s="538" t="s">
        <v>3690</v>
      </c>
      <c r="C782" s="1138">
        <v>435</v>
      </c>
      <c r="D782" s="1167" t="s">
        <v>1805</v>
      </c>
      <c r="E782" s="1276"/>
      <c r="F782" s="1125">
        <f t="shared" si="170"/>
        <v>0</v>
      </c>
      <c r="G782" s="1199"/>
      <c r="H782" s="1125">
        <f t="shared" si="171"/>
        <v>0</v>
      </c>
      <c r="I782" s="748"/>
      <c r="J782" s="1407">
        <f t="shared" si="178"/>
        <v>0</v>
      </c>
      <c r="K782" s="1199"/>
      <c r="L782" s="1125">
        <f t="shared" si="172"/>
        <v>0</v>
      </c>
      <c r="M782" s="1200"/>
      <c r="N782" s="1339">
        <f t="shared" si="173"/>
        <v>0</v>
      </c>
      <c r="O782" s="1340">
        <f t="shared" si="174"/>
        <v>0</v>
      </c>
      <c r="P782" s="1339">
        <f t="shared" si="175"/>
        <v>0</v>
      </c>
      <c r="Q782" s="1340">
        <f t="shared" si="176"/>
        <v>0</v>
      </c>
      <c r="R782" s="1339">
        <f t="shared" si="177"/>
        <v>0</v>
      </c>
    </row>
    <row r="783" spans="1:20" s="700" customFormat="1" ht="70.5" hidden="1" customHeight="1">
      <c r="A783" s="1414"/>
      <c r="B783" s="1415" t="s">
        <v>3647</v>
      </c>
      <c r="C783" s="1271">
        <v>356</v>
      </c>
      <c r="D783" s="1457" t="s">
        <v>1805</v>
      </c>
      <c r="E783" s="1278"/>
      <c r="F783" s="1125">
        <f t="shared" si="170"/>
        <v>0</v>
      </c>
      <c r="G783" s="1273"/>
      <c r="H783" s="1125">
        <f t="shared" si="171"/>
        <v>0</v>
      </c>
      <c r="I783" s="748"/>
      <c r="J783" s="748">
        <f t="shared" si="178"/>
        <v>0</v>
      </c>
      <c r="K783" s="1273"/>
      <c r="L783" s="1125">
        <f t="shared" si="172"/>
        <v>0</v>
      </c>
      <c r="M783" s="1412"/>
      <c r="N783" s="1339">
        <f t="shared" si="173"/>
        <v>0</v>
      </c>
      <c r="O783" s="1340">
        <f t="shared" si="174"/>
        <v>0</v>
      </c>
      <c r="P783" s="1339">
        <f t="shared" si="175"/>
        <v>0</v>
      </c>
      <c r="Q783" s="1340">
        <f t="shared" si="176"/>
        <v>0</v>
      </c>
      <c r="R783" s="1339">
        <f t="shared" si="177"/>
        <v>0</v>
      </c>
    </row>
    <row r="784" spans="1:20" s="700" customFormat="1" ht="70.5" hidden="1" customHeight="1">
      <c r="A784" s="1105"/>
      <c r="B784" s="538" t="s">
        <v>3648</v>
      </c>
      <c r="C784" s="1138">
        <v>317</v>
      </c>
      <c r="D784" s="1167" t="s">
        <v>1805</v>
      </c>
      <c r="E784" s="1276"/>
      <c r="F784" s="1125">
        <f t="shared" si="170"/>
        <v>0</v>
      </c>
      <c r="G784" s="1199"/>
      <c r="H784" s="1125">
        <f t="shared" si="171"/>
        <v>0</v>
      </c>
      <c r="I784" s="748"/>
      <c r="J784" s="748">
        <f t="shared" si="178"/>
        <v>0</v>
      </c>
      <c r="K784" s="1199"/>
      <c r="L784" s="1125">
        <f t="shared" si="172"/>
        <v>0</v>
      </c>
      <c r="M784" s="1200"/>
      <c r="N784" s="1339">
        <f t="shared" si="173"/>
        <v>0</v>
      </c>
      <c r="O784" s="1340">
        <f t="shared" si="174"/>
        <v>0</v>
      </c>
      <c r="P784" s="1339">
        <f t="shared" si="175"/>
        <v>0</v>
      </c>
      <c r="Q784" s="1340">
        <f t="shared" si="176"/>
        <v>0</v>
      </c>
      <c r="R784" s="1339">
        <f t="shared" si="177"/>
        <v>0</v>
      </c>
    </row>
    <row r="785" spans="1:18" s="700" customFormat="1" ht="70.5" hidden="1" customHeight="1">
      <c r="A785" s="1105"/>
      <c r="B785" s="538" t="s">
        <v>3680</v>
      </c>
      <c r="C785" s="1138">
        <v>176.84</v>
      </c>
      <c r="D785" s="1167" t="s">
        <v>842</v>
      </c>
      <c r="E785" s="1276"/>
      <c r="F785" s="1125">
        <f t="shared" si="170"/>
        <v>0</v>
      </c>
      <c r="G785" s="1199"/>
      <c r="H785" s="1125">
        <f t="shared" si="171"/>
        <v>0</v>
      </c>
      <c r="I785" s="748"/>
      <c r="J785" s="748">
        <f t="shared" si="178"/>
        <v>0</v>
      </c>
      <c r="K785" s="1199"/>
      <c r="L785" s="1125">
        <f t="shared" si="172"/>
        <v>0</v>
      </c>
      <c r="M785" s="1200"/>
      <c r="N785" s="1339">
        <f t="shared" si="173"/>
        <v>0</v>
      </c>
      <c r="O785" s="1340">
        <f t="shared" si="174"/>
        <v>0</v>
      </c>
      <c r="P785" s="1339">
        <f t="shared" si="175"/>
        <v>0</v>
      </c>
      <c r="Q785" s="1340">
        <f t="shared" si="176"/>
        <v>0</v>
      </c>
      <c r="R785" s="1339">
        <f t="shared" si="177"/>
        <v>0</v>
      </c>
    </row>
    <row r="786" spans="1:18" s="700" customFormat="1" ht="70.5" hidden="1" customHeight="1">
      <c r="A786" s="1105"/>
      <c r="B786" s="538" t="s">
        <v>4130</v>
      </c>
      <c r="C786" s="1138">
        <v>463</v>
      </c>
      <c r="D786" s="1167" t="s">
        <v>1423</v>
      </c>
      <c r="E786" s="1100"/>
      <c r="F786" s="1125">
        <f t="shared" si="170"/>
        <v>0</v>
      </c>
      <c r="G786" s="1199"/>
      <c r="H786" s="1125">
        <f t="shared" si="171"/>
        <v>0</v>
      </c>
      <c r="I786" s="748"/>
      <c r="J786" s="748">
        <f t="shared" si="178"/>
        <v>0</v>
      </c>
      <c r="K786" s="1199"/>
      <c r="L786" s="1125">
        <f t="shared" si="172"/>
        <v>0</v>
      </c>
      <c r="M786" s="1200"/>
      <c r="N786" s="1339">
        <f t="shared" si="173"/>
        <v>0</v>
      </c>
      <c r="O786" s="1340">
        <f t="shared" si="174"/>
        <v>0</v>
      </c>
      <c r="P786" s="1339">
        <f t="shared" si="175"/>
        <v>0</v>
      </c>
      <c r="Q786" s="1340">
        <f t="shared" si="176"/>
        <v>0</v>
      </c>
      <c r="R786" s="1339">
        <f t="shared" si="177"/>
        <v>0</v>
      </c>
    </row>
    <row r="787" spans="1:18" s="700" customFormat="1" ht="70.5" hidden="1" customHeight="1">
      <c r="A787" s="1105"/>
      <c r="B787" s="538" t="s">
        <v>4879</v>
      </c>
      <c r="C787" s="1138">
        <v>293</v>
      </c>
      <c r="D787" s="1138" t="s">
        <v>1423</v>
      </c>
      <c r="E787" s="1100"/>
      <c r="F787" s="1125">
        <f t="shared" si="170"/>
        <v>0</v>
      </c>
      <c r="G787" s="1199"/>
      <c r="H787" s="1125">
        <f t="shared" si="171"/>
        <v>0</v>
      </c>
      <c r="I787" s="748"/>
      <c r="J787" s="748">
        <f t="shared" si="178"/>
        <v>0</v>
      </c>
      <c r="K787" s="1199"/>
      <c r="L787" s="1125">
        <f t="shared" si="172"/>
        <v>0</v>
      </c>
      <c r="M787" s="1200"/>
      <c r="N787" s="1339">
        <f t="shared" si="173"/>
        <v>0</v>
      </c>
      <c r="O787" s="1340">
        <f t="shared" si="174"/>
        <v>0</v>
      </c>
      <c r="P787" s="1339">
        <f t="shared" si="175"/>
        <v>0</v>
      </c>
      <c r="Q787" s="1340">
        <f t="shared" si="176"/>
        <v>0</v>
      </c>
      <c r="R787" s="1339">
        <f t="shared" si="177"/>
        <v>0</v>
      </c>
    </row>
    <row r="788" spans="1:18" s="700" customFormat="1" ht="70.5" hidden="1" customHeight="1">
      <c r="A788" s="1105"/>
      <c r="B788" s="1168" t="s">
        <v>4727</v>
      </c>
      <c r="C788" s="1169">
        <f>Data!R1455</f>
        <v>6324.28</v>
      </c>
      <c r="D788" s="1170" t="s">
        <v>2322</v>
      </c>
      <c r="E788" s="1276"/>
      <c r="F788" s="1125">
        <f t="shared" si="170"/>
        <v>0</v>
      </c>
      <c r="G788" s="1199"/>
      <c r="H788" s="1125">
        <f t="shared" si="171"/>
        <v>0</v>
      </c>
      <c r="I788" s="748"/>
      <c r="J788" s="748">
        <f t="shared" si="178"/>
        <v>0</v>
      </c>
      <c r="K788" s="1199"/>
      <c r="L788" s="1125">
        <f t="shared" si="172"/>
        <v>0</v>
      </c>
      <c r="M788" s="1200"/>
      <c r="N788" s="1339">
        <f t="shared" si="173"/>
        <v>0</v>
      </c>
      <c r="O788" s="1340">
        <f t="shared" si="174"/>
        <v>0</v>
      </c>
      <c r="P788" s="1339">
        <f t="shared" si="175"/>
        <v>0</v>
      </c>
      <c r="Q788" s="1340">
        <f t="shared" si="176"/>
        <v>0</v>
      </c>
      <c r="R788" s="1339">
        <f t="shared" si="177"/>
        <v>0</v>
      </c>
    </row>
    <row r="789" spans="1:18" s="700" customFormat="1" ht="70.5" hidden="1" customHeight="1">
      <c r="A789" s="1105"/>
      <c r="B789" s="1168" t="s">
        <v>4731</v>
      </c>
      <c r="C789" s="1168">
        <f>Data!K4000</f>
        <v>0</v>
      </c>
      <c r="D789" s="1168" t="s">
        <v>2322</v>
      </c>
      <c r="E789" s="1276"/>
      <c r="F789" s="1125">
        <f t="shared" si="170"/>
        <v>0</v>
      </c>
      <c r="G789" s="1199"/>
      <c r="H789" s="1125">
        <f t="shared" si="171"/>
        <v>0</v>
      </c>
      <c r="I789" s="748"/>
      <c r="J789" s="748">
        <f t="shared" si="178"/>
        <v>0</v>
      </c>
      <c r="K789" s="1199"/>
      <c r="L789" s="1125">
        <f t="shared" si="172"/>
        <v>0</v>
      </c>
      <c r="M789" s="1200"/>
      <c r="N789" s="1339">
        <f t="shared" si="173"/>
        <v>0</v>
      </c>
      <c r="O789" s="1340">
        <f t="shared" si="174"/>
        <v>0</v>
      </c>
      <c r="P789" s="1339">
        <f t="shared" si="175"/>
        <v>0</v>
      </c>
      <c r="Q789" s="1340">
        <f t="shared" si="176"/>
        <v>0</v>
      </c>
      <c r="R789" s="1339">
        <f t="shared" si="177"/>
        <v>0</v>
      </c>
    </row>
    <row r="790" spans="1:18" s="700" customFormat="1" ht="70.5" hidden="1" customHeight="1">
      <c r="A790" s="1105"/>
      <c r="B790" s="1168" t="s">
        <v>4725</v>
      </c>
      <c r="C790" s="1168">
        <f>'Sliding and french window'!F310</f>
        <v>5668.5</v>
      </c>
      <c r="D790" s="1168" t="s">
        <v>2322</v>
      </c>
      <c r="E790" s="1276"/>
      <c r="F790" s="1125">
        <f t="shared" si="170"/>
        <v>0</v>
      </c>
      <c r="G790" s="1199"/>
      <c r="H790" s="1125">
        <f t="shared" si="171"/>
        <v>0</v>
      </c>
      <c r="I790" s="748"/>
      <c r="J790" s="748">
        <f t="shared" si="178"/>
        <v>0</v>
      </c>
      <c r="K790" s="1199"/>
      <c r="L790" s="1125">
        <f t="shared" si="172"/>
        <v>0</v>
      </c>
      <c r="M790" s="1200"/>
      <c r="N790" s="1339">
        <f t="shared" si="173"/>
        <v>0</v>
      </c>
      <c r="O790" s="1340">
        <f t="shared" si="174"/>
        <v>0</v>
      </c>
      <c r="P790" s="1339">
        <f t="shared" si="175"/>
        <v>0</v>
      </c>
      <c r="Q790" s="1340">
        <f t="shared" si="176"/>
        <v>0</v>
      </c>
      <c r="R790" s="1339">
        <f t="shared" si="177"/>
        <v>0</v>
      </c>
    </row>
    <row r="791" spans="1:18" s="700" customFormat="1" ht="70.5" hidden="1" customHeight="1">
      <c r="A791" s="1105"/>
      <c r="B791" s="1168" t="s">
        <v>4728</v>
      </c>
      <c r="C791" s="1168">
        <f>'Sliding and french window'!F145</f>
        <v>5660.6</v>
      </c>
      <c r="D791" s="1168" t="s">
        <v>2322</v>
      </c>
      <c r="E791" s="1276"/>
      <c r="F791" s="1125">
        <f t="shared" si="170"/>
        <v>0</v>
      </c>
      <c r="G791" s="1199"/>
      <c r="H791" s="1125">
        <f t="shared" si="171"/>
        <v>0</v>
      </c>
      <c r="I791" s="748"/>
      <c r="J791" s="748">
        <f t="shared" si="178"/>
        <v>0</v>
      </c>
      <c r="K791" s="1199"/>
      <c r="L791" s="1125">
        <f t="shared" si="172"/>
        <v>0</v>
      </c>
      <c r="M791" s="1200"/>
      <c r="N791" s="1339">
        <f t="shared" si="173"/>
        <v>0</v>
      </c>
      <c r="O791" s="1340">
        <f t="shared" si="174"/>
        <v>0</v>
      </c>
      <c r="P791" s="1339">
        <f t="shared" si="175"/>
        <v>0</v>
      </c>
      <c r="Q791" s="1340">
        <f t="shared" si="176"/>
        <v>0</v>
      </c>
      <c r="R791" s="1339">
        <f t="shared" si="177"/>
        <v>0</v>
      </c>
    </row>
    <row r="792" spans="1:18" s="700" customFormat="1" ht="70.5" hidden="1" customHeight="1">
      <c r="A792" s="1105"/>
      <c r="B792" s="1168" t="s">
        <v>4729</v>
      </c>
      <c r="C792" s="1168">
        <f>'Sliding and french window'!F167</f>
        <v>4963.51</v>
      </c>
      <c r="D792" s="1168" t="s">
        <v>2322</v>
      </c>
      <c r="E792" s="1276"/>
      <c r="F792" s="1125">
        <f t="shared" si="170"/>
        <v>0</v>
      </c>
      <c r="G792" s="1199"/>
      <c r="H792" s="1125">
        <f t="shared" si="171"/>
        <v>0</v>
      </c>
      <c r="I792" s="748"/>
      <c r="J792" s="748">
        <f t="shared" si="178"/>
        <v>0</v>
      </c>
      <c r="K792" s="1199"/>
      <c r="L792" s="1125">
        <f t="shared" si="172"/>
        <v>0</v>
      </c>
      <c r="M792" s="1200"/>
      <c r="N792" s="1339">
        <f t="shared" si="173"/>
        <v>0</v>
      </c>
      <c r="O792" s="1340">
        <f t="shared" si="174"/>
        <v>0</v>
      </c>
      <c r="P792" s="1339">
        <f t="shared" si="175"/>
        <v>0</v>
      </c>
      <c r="Q792" s="1340">
        <f t="shared" si="176"/>
        <v>0</v>
      </c>
      <c r="R792" s="1339">
        <f t="shared" si="177"/>
        <v>0</v>
      </c>
    </row>
    <row r="793" spans="1:18" s="700" customFormat="1" ht="70.5" hidden="1" customHeight="1">
      <c r="A793" s="1105"/>
      <c r="B793" s="1168" t="s">
        <v>4730</v>
      </c>
      <c r="C793" s="1168">
        <f>Data!K4016</f>
        <v>0</v>
      </c>
      <c r="D793" s="1168" t="s">
        <v>2322</v>
      </c>
      <c r="E793" s="1276"/>
      <c r="F793" s="1125">
        <f t="shared" si="170"/>
        <v>0</v>
      </c>
      <c r="G793" s="1199"/>
      <c r="H793" s="1125">
        <f t="shared" si="171"/>
        <v>0</v>
      </c>
      <c r="I793" s="748"/>
      <c r="J793" s="748">
        <f t="shared" si="178"/>
        <v>0</v>
      </c>
      <c r="K793" s="1199"/>
      <c r="L793" s="1125">
        <f t="shared" si="172"/>
        <v>0</v>
      </c>
      <c r="M793" s="1200"/>
      <c r="N793" s="1339">
        <f t="shared" si="173"/>
        <v>0</v>
      </c>
      <c r="O793" s="1340">
        <f t="shared" si="174"/>
        <v>0</v>
      </c>
      <c r="P793" s="1339">
        <f t="shared" si="175"/>
        <v>0</v>
      </c>
      <c r="Q793" s="1340">
        <f t="shared" si="176"/>
        <v>0</v>
      </c>
      <c r="R793" s="1339">
        <f t="shared" si="177"/>
        <v>0</v>
      </c>
    </row>
    <row r="794" spans="1:18" s="700" customFormat="1" ht="70.5" hidden="1" customHeight="1">
      <c r="A794" s="1105"/>
      <c r="B794" s="1168" t="s">
        <v>4506</v>
      </c>
      <c r="C794" s="1168">
        <f>Data!K4031</f>
        <v>0</v>
      </c>
      <c r="D794" s="1168" t="s">
        <v>2322</v>
      </c>
      <c r="E794" s="1276"/>
      <c r="F794" s="1125">
        <f t="shared" si="170"/>
        <v>0</v>
      </c>
      <c r="G794" s="1199"/>
      <c r="H794" s="1125">
        <f t="shared" si="171"/>
        <v>0</v>
      </c>
      <c r="I794" s="748"/>
      <c r="J794" s="748">
        <f t="shared" si="178"/>
        <v>0</v>
      </c>
      <c r="K794" s="1199"/>
      <c r="L794" s="1125">
        <f t="shared" si="172"/>
        <v>0</v>
      </c>
      <c r="M794" s="1200"/>
      <c r="N794" s="1339">
        <f t="shared" si="173"/>
        <v>0</v>
      </c>
      <c r="O794" s="1340">
        <f t="shared" si="174"/>
        <v>0</v>
      </c>
      <c r="P794" s="1339">
        <f t="shared" si="175"/>
        <v>0</v>
      </c>
      <c r="Q794" s="1340">
        <f t="shared" si="176"/>
        <v>0</v>
      </c>
      <c r="R794" s="1339">
        <f t="shared" si="177"/>
        <v>0</v>
      </c>
    </row>
    <row r="795" spans="1:18" s="700" customFormat="1" ht="70.5" hidden="1" customHeight="1">
      <c r="A795" s="1105"/>
      <c r="B795" s="1168" t="s">
        <v>4507</v>
      </c>
      <c r="C795" s="1168">
        <f>Data!K4043</f>
        <v>0</v>
      </c>
      <c r="D795" s="1168" t="s">
        <v>2322</v>
      </c>
      <c r="E795" s="1276"/>
      <c r="F795" s="1125">
        <f t="shared" si="170"/>
        <v>0</v>
      </c>
      <c r="G795" s="1199"/>
      <c r="H795" s="1125">
        <f t="shared" si="171"/>
        <v>0</v>
      </c>
      <c r="I795" s="748"/>
      <c r="J795" s="748">
        <f t="shared" si="178"/>
        <v>0</v>
      </c>
      <c r="K795" s="1199"/>
      <c r="L795" s="1125">
        <f t="shared" si="172"/>
        <v>0</v>
      </c>
      <c r="M795" s="1200"/>
      <c r="N795" s="1339">
        <f t="shared" si="173"/>
        <v>0</v>
      </c>
      <c r="O795" s="1340">
        <f t="shared" si="174"/>
        <v>0</v>
      </c>
      <c r="P795" s="1339">
        <f t="shared" si="175"/>
        <v>0</v>
      </c>
      <c r="Q795" s="1340">
        <f t="shared" si="176"/>
        <v>0</v>
      </c>
      <c r="R795" s="1339">
        <f t="shared" si="177"/>
        <v>0</v>
      </c>
    </row>
    <row r="796" spans="1:18" s="700" customFormat="1" ht="70.5" hidden="1" customHeight="1">
      <c r="A796" s="1105"/>
      <c r="B796" s="1168" t="s">
        <v>4726</v>
      </c>
      <c r="C796" s="1168">
        <f>Data!R1545</f>
        <v>5078.75</v>
      </c>
      <c r="D796" s="1168" t="s">
        <v>2322</v>
      </c>
      <c r="E796" s="1276"/>
      <c r="F796" s="1125">
        <f t="shared" si="170"/>
        <v>0</v>
      </c>
      <c r="G796" s="1199"/>
      <c r="H796" s="1125">
        <f t="shared" si="171"/>
        <v>0</v>
      </c>
      <c r="I796" s="748"/>
      <c r="J796" s="748">
        <f t="shared" si="178"/>
        <v>0</v>
      </c>
      <c r="K796" s="1199"/>
      <c r="L796" s="1125">
        <f t="shared" si="172"/>
        <v>0</v>
      </c>
      <c r="M796" s="1200"/>
      <c r="N796" s="1339">
        <f t="shared" si="173"/>
        <v>0</v>
      </c>
      <c r="O796" s="1340">
        <f t="shared" si="174"/>
        <v>0</v>
      </c>
      <c r="P796" s="1339">
        <f t="shared" si="175"/>
        <v>0</v>
      </c>
      <c r="Q796" s="1340">
        <f t="shared" si="176"/>
        <v>0</v>
      </c>
      <c r="R796" s="1339">
        <f t="shared" si="177"/>
        <v>0</v>
      </c>
    </row>
    <row r="797" spans="1:18" s="700" customFormat="1" ht="70.5" hidden="1" customHeight="1">
      <c r="A797" s="1105"/>
      <c r="B797" s="538" t="s">
        <v>3679</v>
      </c>
      <c r="C797" s="1138">
        <v>6950</v>
      </c>
      <c r="D797" s="1167" t="s">
        <v>1423</v>
      </c>
      <c r="E797" s="1276"/>
      <c r="F797" s="1125">
        <f t="shared" si="170"/>
        <v>0</v>
      </c>
      <c r="G797" s="1199"/>
      <c r="H797" s="1125">
        <f t="shared" si="171"/>
        <v>0</v>
      </c>
      <c r="I797" s="748"/>
      <c r="J797" s="748">
        <f t="shared" si="178"/>
        <v>0</v>
      </c>
      <c r="K797" s="1199"/>
      <c r="L797" s="1125">
        <f t="shared" si="172"/>
        <v>0</v>
      </c>
      <c r="M797" s="1200"/>
      <c r="N797" s="1339">
        <f t="shared" si="173"/>
        <v>0</v>
      </c>
      <c r="O797" s="1340">
        <f t="shared" si="174"/>
        <v>0</v>
      </c>
      <c r="P797" s="1339">
        <f t="shared" si="175"/>
        <v>0</v>
      </c>
      <c r="Q797" s="1340">
        <f t="shared" si="176"/>
        <v>0</v>
      </c>
      <c r="R797" s="1339">
        <f t="shared" si="177"/>
        <v>0</v>
      </c>
    </row>
    <row r="798" spans="1:18" s="700" customFormat="1" ht="70.5" hidden="1" customHeight="1">
      <c r="A798" s="1105"/>
      <c r="B798" s="538" t="s">
        <v>3709</v>
      </c>
      <c r="C798" s="1138">
        <v>634</v>
      </c>
      <c r="D798" s="1167" t="s">
        <v>1423</v>
      </c>
      <c r="E798" s="1276"/>
      <c r="F798" s="1125">
        <f t="shared" si="170"/>
        <v>0</v>
      </c>
      <c r="G798" s="1199"/>
      <c r="H798" s="1125">
        <f t="shared" si="171"/>
        <v>0</v>
      </c>
      <c r="I798" s="748"/>
      <c r="J798" s="748">
        <f t="shared" si="178"/>
        <v>0</v>
      </c>
      <c r="K798" s="1199"/>
      <c r="L798" s="1125">
        <f t="shared" si="172"/>
        <v>0</v>
      </c>
      <c r="M798" s="1200"/>
      <c r="N798" s="1339">
        <f t="shared" si="173"/>
        <v>0</v>
      </c>
      <c r="O798" s="1340">
        <f t="shared" si="174"/>
        <v>0</v>
      </c>
      <c r="P798" s="1339">
        <f t="shared" si="175"/>
        <v>0</v>
      </c>
      <c r="Q798" s="1340">
        <f t="shared" si="176"/>
        <v>0</v>
      </c>
      <c r="R798" s="1339">
        <f t="shared" si="177"/>
        <v>0</v>
      </c>
    </row>
    <row r="799" spans="1:18" s="700" customFormat="1" ht="70.5" hidden="1" customHeight="1">
      <c r="A799" s="1105"/>
      <c r="B799" s="538" t="s">
        <v>3726</v>
      </c>
      <c r="C799" s="1138">
        <v>9470</v>
      </c>
      <c r="D799" s="1167" t="s">
        <v>1423</v>
      </c>
      <c r="E799" s="1276"/>
      <c r="F799" s="1125">
        <f t="shared" si="170"/>
        <v>0</v>
      </c>
      <c r="G799" s="1199"/>
      <c r="H799" s="1125">
        <f t="shared" si="171"/>
        <v>0</v>
      </c>
      <c r="I799" s="748"/>
      <c r="J799" s="748">
        <f t="shared" si="178"/>
        <v>0</v>
      </c>
      <c r="K799" s="1199"/>
      <c r="L799" s="1125">
        <f t="shared" si="172"/>
        <v>0</v>
      </c>
      <c r="M799" s="1200"/>
      <c r="N799" s="1339">
        <f t="shared" si="173"/>
        <v>0</v>
      </c>
      <c r="O799" s="1340">
        <f t="shared" si="174"/>
        <v>0</v>
      </c>
      <c r="P799" s="1339">
        <f t="shared" si="175"/>
        <v>0</v>
      </c>
      <c r="Q799" s="1340">
        <f t="shared" si="176"/>
        <v>0</v>
      </c>
      <c r="R799" s="1339">
        <f t="shared" si="177"/>
        <v>0</v>
      </c>
    </row>
    <row r="800" spans="1:18" s="700" customFormat="1" ht="70.5" hidden="1" customHeight="1">
      <c r="A800" s="1105"/>
      <c r="B800" s="538" t="s">
        <v>3691</v>
      </c>
      <c r="C800" s="1138">
        <v>293</v>
      </c>
      <c r="D800" s="1167" t="s">
        <v>1423</v>
      </c>
      <c r="E800" s="1276"/>
      <c r="F800" s="1125">
        <f t="shared" si="170"/>
        <v>0</v>
      </c>
      <c r="G800" s="1199"/>
      <c r="H800" s="1125">
        <f t="shared" si="171"/>
        <v>0</v>
      </c>
      <c r="I800" s="748"/>
      <c r="J800" s="748">
        <f t="shared" si="178"/>
        <v>0</v>
      </c>
      <c r="K800" s="1199"/>
      <c r="L800" s="1125">
        <f t="shared" si="172"/>
        <v>0</v>
      </c>
      <c r="M800" s="1200"/>
      <c r="N800" s="1339">
        <f t="shared" si="173"/>
        <v>0</v>
      </c>
      <c r="O800" s="1340">
        <f t="shared" si="174"/>
        <v>0</v>
      </c>
      <c r="P800" s="1339">
        <f t="shared" si="175"/>
        <v>0</v>
      </c>
      <c r="Q800" s="1340">
        <f t="shared" si="176"/>
        <v>0</v>
      </c>
      <c r="R800" s="1339">
        <f t="shared" si="177"/>
        <v>0</v>
      </c>
    </row>
    <row r="801" spans="1:18" s="700" customFormat="1" ht="70.5" hidden="1" customHeight="1">
      <c r="A801" s="1105"/>
      <c r="B801" s="538" t="s">
        <v>4131</v>
      </c>
      <c r="C801" s="1138">
        <v>704.75</v>
      </c>
      <c r="D801" s="744" t="s">
        <v>1423</v>
      </c>
      <c r="E801" s="1276"/>
      <c r="F801" s="1125">
        <f t="shared" si="170"/>
        <v>0</v>
      </c>
      <c r="G801" s="1199"/>
      <c r="H801" s="1125">
        <f t="shared" si="171"/>
        <v>0</v>
      </c>
      <c r="I801" s="748"/>
      <c r="J801" s="748">
        <f t="shared" si="178"/>
        <v>0</v>
      </c>
      <c r="K801" s="1199"/>
      <c r="L801" s="1125">
        <f t="shared" si="172"/>
        <v>0</v>
      </c>
      <c r="M801" s="1200"/>
      <c r="N801" s="1339">
        <f t="shared" si="173"/>
        <v>0</v>
      </c>
      <c r="O801" s="1340">
        <f t="shared" si="174"/>
        <v>0</v>
      </c>
      <c r="P801" s="1339">
        <f t="shared" si="175"/>
        <v>0</v>
      </c>
      <c r="Q801" s="1340">
        <f t="shared" si="176"/>
        <v>0</v>
      </c>
      <c r="R801" s="1339">
        <f t="shared" si="177"/>
        <v>0</v>
      </c>
    </row>
    <row r="802" spans="1:18" s="700" customFormat="1" ht="70.5" hidden="1" customHeight="1">
      <c r="A802" s="1105"/>
      <c r="B802" s="538" t="s">
        <v>4132</v>
      </c>
      <c r="C802" s="1138">
        <v>514.85</v>
      </c>
      <c r="D802" s="744" t="s">
        <v>1423</v>
      </c>
      <c r="E802" s="1276"/>
      <c r="F802" s="1125">
        <f t="shared" si="170"/>
        <v>0</v>
      </c>
      <c r="G802" s="1199"/>
      <c r="H802" s="1125">
        <f t="shared" si="171"/>
        <v>0</v>
      </c>
      <c r="I802" s="748"/>
      <c r="J802" s="748">
        <f t="shared" si="178"/>
        <v>0</v>
      </c>
      <c r="K802" s="1199"/>
      <c r="L802" s="1125">
        <f t="shared" si="172"/>
        <v>0</v>
      </c>
      <c r="M802" s="1200"/>
      <c r="N802" s="1339">
        <f t="shared" si="173"/>
        <v>0</v>
      </c>
      <c r="O802" s="1340">
        <f t="shared" si="174"/>
        <v>0</v>
      </c>
      <c r="P802" s="1339">
        <f t="shared" si="175"/>
        <v>0</v>
      </c>
      <c r="Q802" s="1340">
        <f t="shared" si="176"/>
        <v>0</v>
      </c>
      <c r="R802" s="1339">
        <f t="shared" si="177"/>
        <v>0</v>
      </c>
    </row>
    <row r="803" spans="1:18" s="700" customFormat="1" ht="70.5" hidden="1" customHeight="1">
      <c r="A803" s="1105"/>
      <c r="B803" s="1171" t="s">
        <v>4133</v>
      </c>
      <c r="C803" s="1138">
        <v>473.5</v>
      </c>
      <c r="D803" s="1167" t="s">
        <v>842</v>
      </c>
      <c r="E803" s="1276"/>
      <c r="F803" s="1125">
        <f t="shared" si="170"/>
        <v>0</v>
      </c>
      <c r="G803" s="1199"/>
      <c r="H803" s="1125">
        <f t="shared" si="171"/>
        <v>0</v>
      </c>
      <c r="I803" s="748"/>
      <c r="J803" s="748">
        <f t="shared" si="178"/>
        <v>0</v>
      </c>
      <c r="K803" s="1199"/>
      <c r="L803" s="1125">
        <f t="shared" si="172"/>
        <v>0</v>
      </c>
      <c r="M803" s="1200"/>
      <c r="N803" s="1339">
        <f t="shared" si="173"/>
        <v>0</v>
      </c>
      <c r="O803" s="1340">
        <f t="shared" si="174"/>
        <v>0</v>
      </c>
      <c r="P803" s="1339">
        <f t="shared" si="175"/>
        <v>0</v>
      </c>
      <c r="Q803" s="1340">
        <f t="shared" si="176"/>
        <v>0</v>
      </c>
      <c r="R803" s="1339">
        <f t="shared" si="177"/>
        <v>0</v>
      </c>
    </row>
    <row r="804" spans="1:18" s="700" customFormat="1" ht="70.5" hidden="1" customHeight="1">
      <c r="A804" s="1105"/>
      <c r="B804" s="1171" t="s">
        <v>4134</v>
      </c>
      <c r="C804" s="1172">
        <v>1003</v>
      </c>
      <c r="D804" s="1167" t="s">
        <v>1423</v>
      </c>
      <c r="E804" s="1276"/>
      <c r="F804" s="1125">
        <f t="shared" si="170"/>
        <v>0</v>
      </c>
      <c r="G804" s="1199"/>
      <c r="H804" s="1125">
        <f t="shared" si="171"/>
        <v>0</v>
      </c>
      <c r="I804" s="748"/>
      <c r="J804" s="748">
        <f t="shared" si="178"/>
        <v>0</v>
      </c>
      <c r="K804" s="1199"/>
      <c r="L804" s="1125">
        <f t="shared" si="172"/>
        <v>0</v>
      </c>
      <c r="M804" s="1200"/>
      <c r="N804" s="1339">
        <f t="shared" si="173"/>
        <v>0</v>
      </c>
      <c r="O804" s="1340">
        <f t="shared" si="174"/>
        <v>0</v>
      </c>
      <c r="P804" s="1339">
        <f t="shared" si="175"/>
        <v>0</v>
      </c>
      <c r="Q804" s="1340">
        <f t="shared" si="176"/>
        <v>0</v>
      </c>
      <c r="R804" s="1339">
        <f t="shared" si="177"/>
        <v>0</v>
      </c>
    </row>
    <row r="805" spans="1:18" s="700" customFormat="1" ht="70.5" hidden="1" customHeight="1">
      <c r="A805" s="1105"/>
      <c r="B805" s="1171" t="s">
        <v>3685</v>
      </c>
      <c r="C805" s="1138">
        <v>11481.8</v>
      </c>
      <c r="D805" s="1167" t="s">
        <v>1423</v>
      </c>
      <c r="E805" s="1276"/>
      <c r="F805" s="1125">
        <f t="shared" si="170"/>
        <v>0</v>
      </c>
      <c r="G805" s="1199"/>
      <c r="H805" s="1125">
        <f t="shared" si="171"/>
        <v>0</v>
      </c>
      <c r="I805" s="748"/>
      <c r="J805" s="748">
        <f t="shared" si="178"/>
        <v>0</v>
      </c>
      <c r="K805" s="1199"/>
      <c r="L805" s="1125">
        <f t="shared" si="172"/>
        <v>0</v>
      </c>
      <c r="M805" s="1200"/>
      <c r="N805" s="1339">
        <f t="shared" si="173"/>
        <v>0</v>
      </c>
      <c r="O805" s="1340">
        <f t="shared" si="174"/>
        <v>0</v>
      </c>
      <c r="P805" s="1339">
        <f t="shared" si="175"/>
        <v>0</v>
      </c>
      <c r="Q805" s="1340">
        <f t="shared" si="176"/>
        <v>0</v>
      </c>
      <c r="R805" s="1339">
        <f t="shared" si="177"/>
        <v>0</v>
      </c>
    </row>
    <row r="806" spans="1:18" s="700" customFormat="1" ht="70.5" hidden="1" customHeight="1">
      <c r="A806" s="1105"/>
      <c r="B806" s="1171" t="s">
        <v>3701</v>
      </c>
      <c r="C806" s="1138">
        <v>5325.6</v>
      </c>
      <c r="D806" s="1167" t="s">
        <v>1423</v>
      </c>
      <c r="E806" s="1276"/>
      <c r="F806" s="1125">
        <f t="shared" si="170"/>
        <v>0</v>
      </c>
      <c r="G806" s="1199"/>
      <c r="H806" s="1125">
        <f t="shared" si="171"/>
        <v>0</v>
      </c>
      <c r="I806" s="748"/>
      <c r="J806" s="748">
        <f t="shared" si="178"/>
        <v>0</v>
      </c>
      <c r="K806" s="1199"/>
      <c r="L806" s="1125">
        <f t="shared" si="172"/>
        <v>0</v>
      </c>
      <c r="M806" s="1200"/>
      <c r="N806" s="1339">
        <f t="shared" si="173"/>
        <v>0</v>
      </c>
      <c r="O806" s="1340">
        <f t="shared" si="174"/>
        <v>0</v>
      </c>
      <c r="P806" s="1339">
        <f t="shared" si="175"/>
        <v>0</v>
      </c>
      <c r="Q806" s="1340">
        <f t="shared" si="176"/>
        <v>0</v>
      </c>
      <c r="R806" s="1339">
        <f t="shared" si="177"/>
        <v>0</v>
      </c>
    </row>
    <row r="807" spans="1:18" s="700" customFormat="1" ht="70.5" hidden="1" customHeight="1">
      <c r="A807" s="1105"/>
      <c r="B807" s="1171" t="s">
        <v>3702</v>
      </c>
      <c r="C807" s="1138">
        <v>8254.6</v>
      </c>
      <c r="D807" s="1167" t="s">
        <v>1423</v>
      </c>
      <c r="E807" s="1276"/>
      <c r="F807" s="1125">
        <f t="shared" si="170"/>
        <v>0</v>
      </c>
      <c r="G807" s="1199"/>
      <c r="H807" s="1125">
        <f t="shared" si="171"/>
        <v>0</v>
      </c>
      <c r="I807" s="748"/>
      <c r="J807" s="748">
        <f t="shared" si="178"/>
        <v>0</v>
      </c>
      <c r="K807" s="1199"/>
      <c r="L807" s="1125">
        <f t="shared" si="172"/>
        <v>0</v>
      </c>
      <c r="M807" s="1200"/>
      <c r="N807" s="1339">
        <f t="shared" si="173"/>
        <v>0</v>
      </c>
      <c r="O807" s="1340">
        <f t="shared" si="174"/>
        <v>0</v>
      </c>
      <c r="P807" s="1339">
        <f t="shared" si="175"/>
        <v>0</v>
      </c>
      <c r="Q807" s="1340">
        <f t="shared" si="176"/>
        <v>0</v>
      </c>
      <c r="R807" s="1339">
        <f t="shared" si="177"/>
        <v>0</v>
      </c>
    </row>
    <row r="808" spans="1:18" s="700" customFormat="1" ht="70.5" hidden="1" customHeight="1">
      <c r="A808" s="1105"/>
      <c r="B808" s="1171" t="s">
        <v>3703</v>
      </c>
      <c r="C808" s="1138">
        <v>6588</v>
      </c>
      <c r="D808" s="1167" t="s">
        <v>1423</v>
      </c>
      <c r="E808" s="1276"/>
      <c r="F808" s="1125">
        <f t="shared" si="170"/>
        <v>0</v>
      </c>
      <c r="G808" s="1199"/>
      <c r="H808" s="1125">
        <f t="shared" si="171"/>
        <v>0</v>
      </c>
      <c r="I808" s="748"/>
      <c r="J808" s="748">
        <f t="shared" si="178"/>
        <v>0</v>
      </c>
      <c r="K808" s="1199"/>
      <c r="L808" s="1125">
        <f t="shared" si="172"/>
        <v>0</v>
      </c>
      <c r="M808" s="1200"/>
      <c r="N808" s="1339">
        <f t="shared" si="173"/>
        <v>0</v>
      </c>
      <c r="O808" s="1340">
        <f t="shared" si="174"/>
        <v>0</v>
      </c>
      <c r="P808" s="1339">
        <f t="shared" si="175"/>
        <v>0</v>
      </c>
      <c r="Q808" s="1340">
        <f t="shared" si="176"/>
        <v>0</v>
      </c>
      <c r="R808" s="1339">
        <f t="shared" si="177"/>
        <v>0</v>
      </c>
    </row>
    <row r="809" spans="1:18" s="700" customFormat="1" ht="70.5" hidden="1" customHeight="1">
      <c r="A809" s="1105"/>
      <c r="B809" s="1171" t="s">
        <v>4135</v>
      </c>
      <c r="C809" s="1138">
        <v>593</v>
      </c>
      <c r="D809" s="1173" t="s">
        <v>1423</v>
      </c>
      <c r="E809" s="1276"/>
      <c r="F809" s="1125">
        <f t="shared" si="170"/>
        <v>0</v>
      </c>
      <c r="G809" s="1199"/>
      <c r="H809" s="1125">
        <f t="shared" si="171"/>
        <v>0</v>
      </c>
      <c r="I809" s="748"/>
      <c r="J809" s="748">
        <f t="shared" si="178"/>
        <v>0</v>
      </c>
      <c r="K809" s="1199"/>
      <c r="L809" s="1125">
        <f t="shared" si="172"/>
        <v>0</v>
      </c>
      <c r="M809" s="1200"/>
      <c r="N809" s="1339">
        <f t="shared" si="173"/>
        <v>0</v>
      </c>
      <c r="O809" s="1340">
        <f t="shared" si="174"/>
        <v>0</v>
      </c>
      <c r="P809" s="1339">
        <f t="shared" si="175"/>
        <v>0</v>
      </c>
      <c r="Q809" s="1340">
        <f t="shared" si="176"/>
        <v>0</v>
      </c>
      <c r="R809" s="1339">
        <f t="shared" si="177"/>
        <v>0</v>
      </c>
    </row>
    <row r="810" spans="1:18" s="700" customFormat="1" ht="70.5" hidden="1" customHeight="1">
      <c r="A810" s="1174"/>
      <c r="B810" s="1175" t="s">
        <v>4587</v>
      </c>
      <c r="C810" s="1176"/>
      <c r="D810" s="1177"/>
      <c r="E810" s="1276"/>
      <c r="F810" s="1125">
        <f t="shared" si="170"/>
        <v>0</v>
      </c>
      <c r="G810" s="1199"/>
      <c r="H810" s="1125">
        <f t="shared" si="171"/>
        <v>0</v>
      </c>
      <c r="I810" s="748"/>
      <c r="J810" s="748">
        <f t="shared" si="178"/>
        <v>0</v>
      </c>
      <c r="K810" s="1199"/>
      <c r="L810" s="1125">
        <f t="shared" si="172"/>
        <v>0</v>
      </c>
      <c r="M810" s="1200"/>
      <c r="N810" s="1339">
        <f t="shared" si="173"/>
        <v>0</v>
      </c>
      <c r="O810" s="1340">
        <f t="shared" si="174"/>
        <v>0</v>
      </c>
      <c r="P810" s="1339">
        <f t="shared" si="175"/>
        <v>0</v>
      </c>
      <c r="Q810" s="1340">
        <f t="shared" si="176"/>
        <v>0</v>
      </c>
      <c r="R810" s="1339">
        <f t="shared" si="177"/>
        <v>0</v>
      </c>
    </row>
    <row r="811" spans="1:18" s="817" customFormat="1" ht="70.5" hidden="1" customHeight="1">
      <c r="A811" s="1105"/>
      <c r="B811" s="1137" t="s">
        <v>3649</v>
      </c>
      <c r="C811" s="1138">
        <v>6300</v>
      </c>
      <c r="D811" s="1139" t="s">
        <v>2322</v>
      </c>
      <c r="E811" s="1276"/>
      <c r="F811" s="1125">
        <f t="shared" si="170"/>
        <v>0</v>
      </c>
      <c r="G811" s="1199"/>
      <c r="H811" s="1125">
        <f t="shared" si="171"/>
        <v>0</v>
      </c>
      <c r="I811" s="748"/>
      <c r="J811" s="748">
        <f t="shared" si="178"/>
        <v>0</v>
      </c>
      <c r="K811" s="1199"/>
      <c r="L811" s="1125">
        <f t="shared" si="172"/>
        <v>0</v>
      </c>
      <c r="M811" s="1200"/>
      <c r="N811" s="1339">
        <f t="shared" si="173"/>
        <v>0</v>
      </c>
      <c r="O811" s="1340">
        <f t="shared" si="174"/>
        <v>0</v>
      </c>
      <c r="P811" s="1339">
        <f t="shared" si="175"/>
        <v>0</v>
      </c>
      <c r="Q811" s="1340">
        <f t="shared" si="176"/>
        <v>0</v>
      </c>
      <c r="R811" s="1339">
        <f t="shared" si="177"/>
        <v>0</v>
      </c>
    </row>
    <row r="812" spans="1:18" s="700" customFormat="1" ht="70.5" hidden="1" customHeight="1">
      <c r="A812" s="1105"/>
      <c r="B812" s="1137" t="s">
        <v>3650</v>
      </c>
      <c r="C812" s="1138">
        <v>6300</v>
      </c>
      <c r="D812" s="1139" t="s">
        <v>2322</v>
      </c>
      <c r="E812" s="1276"/>
      <c r="F812" s="1125">
        <f t="shared" si="170"/>
        <v>0</v>
      </c>
      <c r="G812" s="1199"/>
      <c r="H812" s="1125">
        <f t="shared" si="171"/>
        <v>0</v>
      </c>
      <c r="I812" s="748"/>
      <c r="J812" s="748">
        <f t="shared" si="178"/>
        <v>0</v>
      </c>
      <c r="K812" s="1199"/>
      <c r="L812" s="1125">
        <f t="shared" si="172"/>
        <v>0</v>
      </c>
      <c r="M812" s="1200"/>
      <c r="N812" s="1339">
        <f t="shared" si="173"/>
        <v>0</v>
      </c>
      <c r="O812" s="1340">
        <f t="shared" si="174"/>
        <v>0</v>
      </c>
      <c r="P812" s="1339">
        <f t="shared" si="175"/>
        <v>0</v>
      </c>
      <c r="Q812" s="1340">
        <f t="shared" si="176"/>
        <v>0</v>
      </c>
      <c r="R812" s="1339">
        <f t="shared" si="177"/>
        <v>0</v>
      </c>
    </row>
    <row r="813" spans="1:18" s="700" customFormat="1" ht="70.5" hidden="1" customHeight="1">
      <c r="A813" s="1105"/>
      <c r="B813" s="1137" t="s">
        <v>3651</v>
      </c>
      <c r="C813" s="1138">
        <v>6300</v>
      </c>
      <c r="D813" s="1139" t="s">
        <v>2322</v>
      </c>
      <c r="E813" s="1276"/>
      <c r="F813" s="1125">
        <f t="shared" si="170"/>
        <v>0</v>
      </c>
      <c r="G813" s="1199"/>
      <c r="H813" s="1125">
        <f t="shared" si="171"/>
        <v>0</v>
      </c>
      <c r="I813" s="748"/>
      <c r="J813" s="748">
        <f t="shared" si="178"/>
        <v>0</v>
      </c>
      <c r="K813" s="1199"/>
      <c r="L813" s="1125">
        <f t="shared" si="172"/>
        <v>0</v>
      </c>
      <c r="M813" s="1200"/>
      <c r="N813" s="1339">
        <f t="shared" si="173"/>
        <v>0</v>
      </c>
      <c r="O813" s="1340">
        <f t="shared" si="174"/>
        <v>0</v>
      </c>
      <c r="P813" s="1339">
        <f t="shared" si="175"/>
        <v>0</v>
      </c>
      <c r="Q813" s="1340">
        <f t="shared" si="176"/>
        <v>0</v>
      </c>
      <c r="R813" s="1339">
        <f t="shared" si="177"/>
        <v>0</v>
      </c>
    </row>
    <row r="814" spans="1:18" s="700" customFormat="1" ht="70.5" hidden="1" customHeight="1">
      <c r="A814" s="1105"/>
      <c r="B814" s="1137" t="s">
        <v>3652</v>
      </c>
      <c r="C814" s="1138">
        <v>6300</v>
      </c>
      <c r="D814" s="1139" t="s">
        <v>2322</v>
      </c>
      <c r="E814" s="1276"/>
      <c r="F814" s="1125">
        <f t="shared" si="170"/>
        <v>0</v>
      </c>
      <c r="G814" s="1199"/>
      <c r="H814" s="1125">
        <f t="shared" si="171"/>
        <v>0</v>
      </c>
      <c r="I814" s="748"/>
      <c r="J814" s="748">
        <f t="shared" si="178"/>
        <v>0</v>
      </c>
      <c r="K814" s="1199"/>
      <c r="L814" s="1125">
        <f t="shared" si="172"/>
        <v>0</v>
      </c>
      <c r="M814" s="1200"/>
      <c r="N814" s="1339">
        <f t="shared" si="173"/>
        <v>0</v>
      </c>
      <c r="O814" s="1340">
        <f t="shared" si="174"/>
        <v>0</v>
      </c>
      <c r="P814" s="1339">
        <f t="shared" si="175"/>
        <v>0</v>
      </c>
      <c r="Q814" s="1340">
        <f t="shared" si="176"/>
        <v>0</v>
      </c>
      <c r="R814" s="1339">
        <f t="shared" si="177"/>
        <v>0</v>
      </c>
    </row>
    <row r="815" spans="1:18" s="700" customFormat="1" ht="70.5" hidden="1" customHeight="1">
      <c r="A815" s="1105"/>
      <c r="B815" s="1137" t="s">
        <v>3653</v>
      </c>
      <c r="C815" s="1138">
        <v>6300</v>
      </c>
      <c r="D815" s="1139" t="s">
        <v>2322</v>
      </c>
      <c r="E815" s="1276"/>
      <c r="F815" s="1125">
        <f t="shared" si="170"/>
        <v>0</v>
      </c>
      <c r="G815" s="1199"/>
      <c r="H815" s="1125">
        <f t="shared" si="171"/>
        <v>0</v>
      </c>
      <c r="I815" s="748"/>
      <c r="J815" s="748">
        <f t="shared" si="178"/>
        <v>0</v>
      </c>
      <c r="K815" s="1199"/>
      <c r="L815" s="1125">
        <f t="shared" si="172"/>
        <v>0</v>
      </c>
      <c r="M815" s="1200"/>
      <c r="N815" s="1339">
        <f t="shared" si="173"/>
        <v>0</v>
      </c>
      <c r="O815" s="1340">
        <f t="shared" si="174"/>
        <v>0</v>
      </c>
      <c r="P815" s="1339">
        <f t="shared" si="175"/>
        <v>0</v>
      </c>
      <c r="Q815" s="1340">
        <f t="shared" si="176"/>
        <v>0</v>
      </c>
      <c r="R815" s="1339">
        <f t="shared" si="177"/>
        <v>0</v>
      </c>
    </row>
    <row r="816" spans="1:18" s="700" customFormat="1" ht="70.5" hidden="1" customHeight="1">
      <c r="A816" s="1105"/>
      <c r="B816" s="1137">
        <v>0</v>
      </c>
      <c r="C816" s="1138">
        <v>6300</v>
      </c>
      <c r="D816" s="1139" t="s">
        <v>2322</v>
      </c>
      <c r="E816" s="1276"/>
      <c r="F816" s="1125">
        <f t="shared" si="170"/>
        <v>0</v>
      </c>
      <c r="G816" s="1199"/>
      <c r="H816" s="1125">
        <f t="shared" si="171"/>
        <v>0</v>
      </c>
      <c r="I816" s="748"/>
      <c r="J816" s="748">
        <f t="shared" si="178"/>
        <v>0</v>
      </c>
      <c r="K816" s="1199"/>
      <c r="L816" s="1125">
        <f t="shared" si="172"/>
        <v>0</v>
      </c>
      <c r="M816" s="1200"/>
      <c r="N816" s="1339">
        <f t="shared" si="173"/>
        <v>0</v>
      </c>
      <c r="O816" s="1340">
        <f t="shared" si="174"/>
        <v>0</v>
      </c>
      <c r="P816" s="1339">
        <f t="shared" si="175"/>
        <v>0</v>
      </c>
      <c r="Q816" s="1340">
        <f t="shared" si="176"/>
        <v>0</v>
      </c>
      <c r="R816" s="1339">
        <f t="shared" si="177"/>
        <v>0</v>
      </c>
    </row>
    <row r="817" spans="1:20" s="700" customFormat="1" ht="70.5" hidden="1" customHeight="1">
      <c r="A817" s="1105"/>
      <c r="B817" s="1137" t="s">
        <v>3654</v>
      </c>
      <c r="C817" s="1138">
        <v>6300</v>
      </c>
      <c r="D817" s="1139" t="s">
        <v>2322</v>
      </c>
      <c r="E817" s="1276"/>
      <c r="F817" s="1125">
        <f t="shared" si="170"/>
        <v>0</v>
      </c>
      <c r="G817" s="1199"/>
      <c r="H817" s="1125">
        <f t="shared" si="171"/>
        <v>0</v>
      </c>
      <c r="I817" s="748"/>
      <c r="J817" s="748">
        <f t="shared" si="178"/>
        <v>0</v>
      </c>
      <c r="K817" s="1199"/>
      <c r="L817" s="1125">
        <f t="shared" si="172"/>
        <v>0</v>
      </c>
      <c r="M817" s="1200"/>
      <c r="N817" s="1339">
        <f t="shared" si="173"/>
        <v>0</v>
      </c>
      <c r="O817" s="1340">
        <f t="shared" si="174"/>
        <v>0</v>
      </c>
      <c r="P817" s="1339">
        <f t="shared" si="175"/>
        <v>0</v>
      </c>
      <c r="Q817" s="1340">
        <f t="shared" si="176"/>
        <v>0</v>
      </c>
      <c r="R817" s="1339">
        <f t="shared" si="177"/>
        <v>0</v>
      </c>
    </row>
    <row r="818" spans="1:20" s="700" customFormat="1" ht="70.5" hidden="1" customHeight="1">
      <c r="A818" s="1105"/>
      <c r="B818" s="1137" t="s">
        <v>3655</v>
      </c>
      <c r="C818" s="1138">
        <v>6300</v>
      </c>
      <c r="D818" s="1139" t="s">
        <v>2322</v>
      </c>
      <c r="E818" s="1276"/>
      <c r="F818" s="1125">
        <f t="shared" si="170"/>
        <v>0</v>
      </c>
      <c r="G818" s="1199"/>
      <c r="H818" s="1125">
        <f t="shared" si="171"/>
        <v>0</v>
      </c>
      <c r="I818" s="748"/>
      <c r="J818" s="748">
        <f t="shared" si="178"/>
        <v>0</v>
      </c>
      <c r="K818" s="1199"/>
      <c r="L818" s="1125">
        <f t="shared" si="172"/>
        <v>0</v>
      </c>
      <c r="M818" s="1200"/>
      <c r="N818" s="1339">
        <f t="shared" si="173"/>
        <v>0</v>
      </c>
      <c r="O818" s="1340">
        <f t="shared" si="174"/>
        <v>0</v>
      </c>
      <c r="P818" s="1339">
        <f t="shared" si="175"/>
        <v>0</v>
      </c>
      <c r="Q818" s="1340">
        <f t="shared" si="176"/>
        <v>0</v>
      </c>
      <c r="R818" s="1339">
        <f t="shared" si="177"/>
        <v>0</v>
      </c>
    </row>
    <row r="819" spans="1:20" s="700" customFormat="1" ht="70.5" hidden="1" customHeight="1">
      <c r="A819" s="1105"/>
      <c r="B819" s="1129" t="s">
        <v>3694</v>
      </c>
      <c r="C819" s="602">
        <v>5654</v>
      </c>
      <c r="D819" s="1151" t="s">
        <v>3695</v>
      </c>
      <c r="E819" s="1276"/>
      <c r="F819" s="1125">
        <f t="shared" si="170"/>
        <v>0</v>
      </c>
      <c r="G819" s="1199"/>
      <c r="H819" s="1125">
        <f t="shared" si="171"/>
        <v>0</v>
      </c>
      <c r="I819" s="748"/>
      <c r="J819" s="748">
        <f t="shared" si="178"/>
        <v>0</v>
      </c>
      <c r="K819" s="1199"/>
      <c r="L819" s="1125">
        <f t="shared" si="172"/>
        <v>0</v>
      </c>
      <c r="M819" s="1200"/>
      <c r="N819" s="1339">
        <f t="shared" si="173"/>
        <v>0</v>
      </c>
      <c r="O819" s="1340">
        <f t="shared" si="174"/>
        <v>0</v>
      </c>
      <c r="P819" s="1339">
        <f t="shared" si="175"/>
        <v>0</v>
      </c>
      <c r="Q819" s="1340">
        <f t="shared" si="176"/>
        <v>0</v>
      </c>
      <c r="R819" s="1339">
        <f t="shared" si="177"/>
        <v>0</v>
      </c>
    </row>
    <row r="820" spans="1:20" ht="80.25" customHeight="1">
      <c r="A820" s="1486"/>
      <c r="B820" s="1350" t="s">
        <v>5768</v>
      </c>
      <c r="C820" s="1111">
        <v>8106</v>
      </c>
      <c r="D820" s="1351" t="s">
        <v>2322</v>
      </c>
      <c r="E820" s="1109">
        <v>23.4</v>
      </c>
      <c r="F820" s="1125">
        <f t="shared" si="170"/>
        <v>189680.4</v>
      </c>
      <c r="G820" s="1335"/>
      <c r="H820" s="1125">
        <f t="shared" si="171"/>
        <v>0</v>
      </c>
      <c r="I820" s="1312"/>
      <c r="J820" s="1406">
        <f t="shared" si="178"/>
        <v>0</v>
      </c>
      <c r="K820" s="1335"/>
      <c r="L820" s="1125">
        <f t="shared" si="172"/>
        <v>0</v>
      </c>
      <c r="M820" s="1343"/>
      <c r="N820" s="1339">
        <f t="shared" si="173"/>
        <v>0</v>
      </c>
      <c r="O820" s="1340">
        <f t="shared" si="174"/>
        <v>0</v>
      </c>
      <c r="P820" s="1339">
        <f t="shared" si="175"/>
        <v>0</v>
      </c>
      <c r="Q820" s="1340">
        <f t="shared" si="176"/>
        <v>23.4</v>
      </c>
      <c r="R820" s="1339">
        <f t="shared" si="177"/>
        <v>189680.4</v>
      </c>
      <c r="S820" s="1322">
        <f t="shared" ref="S820:S821" si="179">F820+P820</f>
        <v>189680.4</v>
      </c>
      <c r="T820" s="1322">
        <f t="shared" ref="T820:T821" si="180">S820-R820</f>
        <v>0</v>
      </c>
    </row>
    <row r="821" spans="1:20" ht="81.75" customHeight="1">
      <c r="A821" s="1486"/>
      <c r="B821" s="1350" t="s">
        <v>5766</v>
      </c>
      <c r="C821" s="1111">
        <v>7482</v>
      </c>
      <c r="D821" s="1351" t="s">
        <v>2322</v>
      </c>
      <c r="E821" s="1109">
        <v>201</v>
      </c>
      <c r="F821" s="1125">
        <f t="shared" si="170"/>
        <v>1503882</v>
      </c>
      <c r="G821" s="1335"/>
      <c r="H821" s="1125">
        <f t="shared" si="171"/>
        <v>0</v>
      </c>
      <c r="I821" s="1312"/>
      <c r="J821" s="1406">
        <f t="shared" si="178"/>
        <v>0</v>
      </c>
      <c r="K821" s="1335"/>
      <c r="L821" s="1125">
        <f t="shared" si="172"/>
        <v>0</v>
      </c>
      <c r="M821" s="1343"/>
      <c r="N821" s="1339">
        <f t="shared" si="173"/>
        <v>0</v>
      </c>
      <c r="O821" s="1340">
        <f t="shared" si="174"/>
        <v>0</v>
      </c>
      <c r="P821" s="1339">
        <f t="shared" si="175"/>
        <v>0</v>
      </c>
      <c r="Q821" s="1340">
        <f t="shared" si="176"/>
        <v>201</v>
      </c>
      <c r="R821" s="1339">
        <f t="shared" si="177"/>
        <v>1503882</v>
      </c>
      <c r="S821" s="1322">
        <f t="shared" si="179"/>
        <v>1503882</v>
      </c>
      <c r="T821" s="1322">
        <f t="shared" si="180"/>
        <v>0</v>
      </c>
    </row>
    <row r="822" spans="1:20" s="700" customFormat="1" ht="70.5" hidden="1" customHeight="1">
      <c r="A822" s="1414"/>
      <c r="B822" s="1458" t="s">
        <v>4940</v>
      </c>
      <c r="C822" s="1271">
        <v>25000</v>
      </c>
      <c r="D822" s="1439" t="s">
        <v>286</v>
      </c>
      <c r="E822" s="1278"/>
      <c r="F822" s="1125">
        <f t="shared" si="170"/>
        <v>0</v>
      </c>
      <c r="G822" s="1273"/>
      <c r="H822" s="1125">
        <f t="shared" si="171"/>
        <v>0</v>
      </c>
      <c r="I822" s="748"/>
      <c r="J822" s="748">
        <f t="shared" si="178"/>
        <v>0</v>
      </c>
      <c r="K822" s="1273"/>
      <c r="L822" s="1125">
        <f t="shared" si="172"/>
        <v>0</v>
      </c>
      <c r="M822" s="1412"/>
      <c r="N822" s="1339">
        <f t="shared" si="173"/>
        <v>0</v>
      </c>
      <c r="O822" s="1340">
        <f t="shared" si="174"/>
        <v>0</v>
      </c>
      <c r="P822" s="1339">
        <f t="shared" si="175"/>
        <v>0</v>
      </c>
      <c r="Q822" s="1340">
        <f t="shared" si="176"/>
        <v>0</v>
      </c>
      <c r="R822" s="1339">
        <f t="shared" si="177"/>
        <v>0</v>
      </c>
    </row>
    <row r="823" spans="1:20" s="700" customFormat="1" ht="70.5" hidden="1" customHeight="1">
      <c r="A823" s="1105"/>
      <c r="B823" s="1129" t="s">
        <v>5767</v>
      </c>
      <c r="C823" s="601">
        <v>2419</v>
      </c>
      <c r="D823" s="818" t="s">
        <v>2322</v>
      </c>
      <c r="E823" s="1276"/>
      <c r="F823" s="1125">
        <f t="shared" si="170"/>
        <v>0</v>
      </c>
      <c r="G823" s="1199"/>
      <c r="H823" s="1125">
        <f t="shared" si="171"/>
        <v>0</v>
      </c>
      <c r="I823" s="748"/>
      <c r="J823" s="748">
        <f t="shared" si="178"/>
        <v>0</v>
      </c>
      <c r="K823" s="1199"/>
      <c r="L823" s="1125">
        <f t="shared" si="172"/>
        <v>0</v>
      </c>
      <c r="M823" s="1200"/>
      <c r="N823" s="1339">
        <f t="shared" si="173"/>
        <v>0</v>
      </c>
      <c r="O823" s="1340">
        <f t="shared" si="174"/>
        <v>0</v>
      </c>
      <c r="P823" s="1339">
        <f t="shared" si="175"/>
        <v>0</v>
      </c>
      <c r="Q823" s="1340">
        <f t="shared" si="176"/>
        <v>0</v>
      </c>
      <c r="R823" s="1339">
        <f t="shared" si="177"/>
        <v>0</v>
      </c>
    </row>
    <row r="824" spans="1:20" s="700" customFormat="1" ht="70.5" hidden="1" customHeight="1">
      <c r="A824" s="1105"/>
      <c r="B824" s="1178" t="s">
        <v>4936</v>
      </c>
      <c r="C824" s="1179"/>
      <c r="D824" s="1180"/>
      <c r="E824" s="1276"/>
      <c r="F824" s="1125">
        <f t="shared" si="170"/>
        <v>0</v>
      </c>
      <c r="G824" s="1199"/>
      <c r="H824" s="1125">
        <f t="shared" si="171"/>
        <v>0</v>
      </c>
      <c r="I824" s="748"/>
      <c r="J824" s="748">
        <f t="shared" si="178"/>
        <v>0</v>
      </c>
      <c r="K824" s="1199"/>
      <c r="L824" s="1125">
        <f t="shared" si="172"/>
        <v>0</v>
      </c>
      <c r="M824" s="1200"/>
      <c r="N824" s="1339">
        <f t="shared" si="173"/>
        <v>0</v>
      </c>
      <c r="O824" s="1340">
        <f t="shared" si="174"/>
        <v>0</v>
      </c>
      <c r="P824" s="1339">
        <f t="shared" si="175"/>
        <v>0</v>
      </c>
      <c r="Q824" s="1340">
        <f t="shared" si="176"/>
        <v>0</v>
      </c>
      <c r="R824" s="1339">
        <f t="shared" si="177"/>
        <v>0</v>
      </c>
    </row>
    <row r="825" spans="1:20" ht="70.5" customHeight="1">
      <c r="A825" s="1486"/>
      <c r="B825" s="1350" t="s">
        <v>3678</v>
      </c>
      <c r="C825" s="1505"/>
      <c r="D825" s="1352"/>
      <c r="E825" s="1336"/>
      <c r="F825" s="1125">
        <f t="shared" si="170"/>
        <v>0</v>
      </c>
      <c r="G825" s="1335"/>
      <c r="H825" s="1125">
        <f t="shared" si="171"/>
        <v>0</v>
      </c>
      <c r="I825" s="1312"/>
      <c r="J825" s="1406">
        <f t="shared" si="178"/>
        <v>0</v>
      </c>
      <c r="K825" s="1335"/>
      <c r="L825" s="1125">
        <f t="shared" si="172"/>
        <v>0</v>
      </c>
      <c r="M825" s="1343"/>
      <c r="N825" s="1339">
        <f t="shared" si="173"/>
        <v>0</v>
      </c>
      <c r="O825" s="1340">
        <f t="shared" si="174"/>
        <v>0</v>
      </c>
      <c r="P825" s="1339">
        <f t="shared" si="175"/>
        <v>0</v>
      </c>
      <c r="Q825" s="1341" t="s">
        <v>2290</v>
      </c>
      <c r="R825" s="1339"/>
      <c r="S825" s="1322">
        <f>F825+P825</f>
        <v>0</v>
      </c>
      <c r="T825" s="1322">
        <f>S825-R825</f>
        <v>0</v>
      </c>
    </row>
    <row r="826" spans="1:20" s="700" customFormat="1" ht="70.5" hidden="1" customHeight="1">
      <c r="A826" s="1414"/>
      <c r="B826" s="1459" t="s">
        <v>4589</v>
      </c>
      <c r="C826" s="1460">
        <f>Data!X3596</f>
        <v>3059.37</v>
      </c>
      <c r="D826" s="1461" t="s">
        <v>2322</v>
      </c>
      <c r="E826" s="1278"/>
      <c r="F826" s="1125">
        <f t="shared" si="170"/>
        <v>0</v>
      </c>
      <c r="G826" s="1273"/>
      <c r="H826" s="1125">
        <f t="shared" si="171"/>
        <v>0</v>
      </c>
      <c r="I826" s="748"/>
      <c r="J826" s="748">
        <f t="shared" si="178"/>
        <v>0</v>
      </c>
      <c r="K826" s="1273"/>
      <c r="L826" s="1125">
        <f t="shared" si="172"/>
        <v>0</v>
      </c>
      <c r="M826" s="1412"/>
      <c r="N826" s="1339">
        <f t="shared" si="173"/>
        <v>0</v>
      </c>
      <c r="O826" s="1340">
        <f t="shared" si="174"/>
        <v>0</v>
      </c>
      <c r="P826" s="1339">
        <f t="shared" si="175"/>
        <v>0</v>
      </c>
      <c r="Q826" s="1340">
        <f t="shared" si="176"/>
        <v>0</v>
      </c>
      <c r="R826" s="1339">
        <f t="shared" si="177"/>
        <v>0</v>
      </c>
    </row>
    <row r="827" spans="1:20" s="700" customFormat="1" ht="70.5" hidden="1" customHeight="1">
      <c r="A827" s="1105"/>
      <c r="B827" s="1183" t="s">
        <v>4942</v>
      </c>
      <c r="C827" s="1182">
        <f>Data!X3613</f>
        <v>3075.49</v>
      </c>
      <c r="D827" s="1139" t="s">
        <v>2322</v>
      </c>
      <c r="E827" s="1276"/>
      <c r="F827" s="1125">
        <f t="shared" si="170"/>
        <v>0</v>
      </c>
      <c r="G827" s="1199"/>
      <c r="H827" s="1125">
        <f t="shared" si="171"/>
        <v>0</v>
      </c>
      <c r="I827" s="748"/>
      <c r="J827" s="748">
        <f t="shared" si="178"/>
        <v>0</v>
      </c>
      <c r="K827" s="1199"/>
      <c r="L827" s="1125">
        <f t="shared" si="172"/>
        <v>0</v>
      </c>
      <c r="M827" s="1200"/>
      <c r="N827" s="1339">
        <f t="shared" si="173"/>
        <v>0</v>
      </c>
      <c r="O827" s="1340">
        <f t="shared" si="174"/>
        <v>0</v>
      </c>
      <c r="P827" s="1339">
        <f t="shared" si="175"/>
        <v>0</v>
      </c>
      <c r="Q827" s="1340">
        <f t="shared" si="176"/>
        <v>0</v>
      </c>
      <c r="R827" s="1339">
        <f t="shared" si="177"/>
        <v>0</v>
      </c>
    </row>
    <row r="828" spans="1:20" s="700" customFormat="1" ht="70.5" hidden="1" customHeight="1">
      <c r="A828" s="1105"/>
      <c r="B828" s="1181" t="s">
        <v>4590</v>
      </c>
      <c r="C828" s="1182">
        <f>Data!X3581</f>
        <v>3101.78</v>
      </c>
      <c r="D828" s="1139" t="s">
        <v>2322</v>
      </c>
      <c r="E828" s="1276"/>
      <c r="F828" s="1125">
        <f t="shared" si="170"/>
        <v>0</v>
      </c>
      <c r="G828" s="1199"/>
      <c r="H828" s="1125">
        <f t="shared" si="171"/>
        <v>0</v>
      </c>
      <c r="I828" s="748"/>
      <c r="J828" s="748">
        <f t="shared" si="178"/>
        <v>0</v>
      </c>
      <c r="K828" s="1199"/>
      <c r="L828" s="1125">
        <f t="shared" si="172"/>
        <v>0</v>
      </c>
      <c r="M828" s="1200"/>
      <c r="N828" s="1339">
        <f t="shared" si="173"/>
        <v>0</v>
      </c>
      <c r="O828" s="1340">
        <f t="shared" si="174"/>
        <v>0</v>
      </c>
      <c r="P828" s="1339">
        <f t="shared" si="175"/>
        <v>0</v>
      </c>
      <c r="Q828" s="1340">
        <f t="shared" si="176"/>
        <v>0</v>
      </c>
      <c r="R828" s="1339">
        <f t="shared" si="177"/>
        <v>0</v>
      </c>
    </row>
    <row r="829" spans="1:20" s="700" customFormat="1" ht="70.5" customHeight="1">
      <c r="A829" s="1105"/>
      <c r="B829" s="1183" t="s">
        <v>4943</v>
      </c>
      <c r="C829" s="1506">
        <f>Data!X3565</f>
        <v>3176.09</v>
      </c>
      <c r="D829" s="1139" t="s">
        <v>2322</v>
      </c>
      <c r="E829" s="1100">
        <v>14.4</v>
      </c>
      <c r="F829" s="1125">
        <f t="shared" si="170"/>
        <v>45735.7</v>
      </c>
      <c r="G829" s="1199"/>
      <c r="H829" s="1125">
        <f t="shared" si="171"/>
        <v>0</v>
      </c>
      <c r="I829" s="748"/>
      <c r="J829" s="748">
        <f t="shared" si="178"/>
        <v>0</v>
      </c>
      <c r="K829" s="1199"/>
      <c r="L829" s="1125">
        <f t="shared" si="172"/>
        <v>0</v>
      </c>
      <c r="M829" s="1200"/>
      <c r="N829" s="1339">
        <f t="shared" si="173"/>
        <v>0</v>
      </c>
      <c r="O829" s="1340">
        <f t="shared" si="174"/>
        <v>0</v>
      </c>
      <c r="P829" s="1339">
        <f t="shared" si="175"/>
        <v>0</v>
      </c>
      <c r="Q829" s="1340">
        <f t="shared" si="176"/>
        <v>14.4</v>
      </c>
      <c r="R829" s="1339">
        <f t="shared" si="177"/>
        <v>45735.7</v>
      </c>
    </row>
    <row r="830" spans="1:20" s="700" customFormat="1" ht="70.5" hidden="1" customHeight="1">
      <c r="A830" s="1105"/>
      <c r="B830" s="1181" t="s">
        <v>4591</v>
      </c>
      <c r="C830" s="1182">
        <f>Data!K3533</f>
        <v>3309.18</v>
      </c>
      <c r="D830" s="1139" t="s">
        <v>2322</v>
      </c>
      <c r="E830" s="1276"/>
      <c r="F830" s="1125">
        <f t="shared" si="170"/>
        <v>0</v>
      </c>
      <c r="G830" s="1199"/>
      <c r="H830" s="1125">
        <f t="shared" si="171"/>
        <v>0</v>
      </c>
      <c r="I830" s="748"/>
      <c r="J830" s="748">
        <f t="shared" si="178"/>
        <v>0</v>
      </c>
      <c r="K830" s="1199"/>
      <c r="L830" s="1125">
        <f t="shared" si="172"/>
        <v>0</v>
      </c>
      <c r="M830" s="1200"/>
      <c r="N830" s="1339">
        <f t="shared" si="173"/>
        <v>0</v>
      </c>
      <c r="O830" s="1340">
        <f t="shared" si="174"/>
        <v>0</v>
      </c>
      <c r="P830" s="1339">
        <f t="shared" si="175"/>
        <v>0</v>
      </c>
      <c r="Q830" s="1340">
        <f t="shared" si="176"/>
        <v>0</v>
      </c>
      <c r="R830" s="1339">
        <f t="shared" si="177"/>
        <v>0</v>
      </c>
    </row>
    <row r="831" spans="1:20" s="700" customFormat="1" ht="70.5" hidden="1" customHeight="1">
      <c r="A831" s="1105"/>
      <c r="B831" s="1183" t="s">
        <v>4941</v>
      </c>
      <c r="C831" s="1184">
        <f>Data!X3628</f>
        <v>3333.87</v>
      </c>
      <c r="D831" s="1139" t="s">
        <v>2322</v>
      </c>
      <c r="E831" s="1276"/>
      <c r="F831" s="1125">
        <f t="shared" si="170"/>
        <v>0</v>
      </c>
      <c r="G831" s="1199"/>
      <c r="H831" s="1125">
        <f t="shared" si="171"/>
        <v>0</v>
      </c>
      <c r="I831" s="748"/>
      <c r="J831" s="748">
        <f t="shared" si="178"/>
        <v>0</v>
      </c>
      <c r="K831" s="1199"/>
      <c r="L831" s="1125">
        <f t="shared" si="172"/>
        <v>0</v>
      </c>
      <c r="M831" s="1200"/>
      <c r="N831" s="1339">
        <f t="shared" si="173"/>
        <v>0</v>
      </c>
      <c r="O831" s="1340">
        <f t="shared" si="174"/>
        <v>0</v>
      </c>
      <c r="P831" s="1339">
        <f t="shared" si="175"/>
        <v>0</v>
      </c>
      <c r="Q831" s="1340">
        <f t="shared" si="176"/>
        <v>0</v>
      </c>
      <c r="R831" s="1339">
        <f t="shared" si="177"/>
        <v>0</v>
      </c>
    </row>
    <row r="832" spans="1:20" ht="70.5" customHeight="1">
      <c r="A832" s="1486"/>
      <c r="B832" s="1326" t="s">
        <v>4592</v>
      </c>
      <c r="C832" s="1507">
        <f>Data!K3549</f>
        <v>3021.75</v>
      </c>
      <c r="D832" s="1352" t="s">
        <v>2322</v>
      </c>
      <c r="E832" s="1336">
        <v>38.799999999999997</v>
      </c>
      <c r="F832" s="1125">
        <f t="shared" si="170"/>
        <v>117243.9</v>
      </c>
      <c r="G832" s="1335"/>
      <c r="H832" s="1125">
        <f t="shared" si="171"/>
        <v>0</v>
      </c>
      <c r="I832" s="1312"/>
      <c r="J832" s="1406">
        <f t="shared" si="178"/>
        <v>0</v>
      </c>
      <c r="K832" s="1335"/>
      <c r="L832" s="1125">
        <f t="shared" si="172"/>
        <v>0</v>
      </c>
      <c r="M832" s="1343"/>
      <c r="N832" s="1339">
        <f t="shared" si="173"/>
        <v>0</v>
      </c>
      <c r="O832" s="1340">
        <f t="shared" si="174"/>
        <v>0</v>
      </c>
      <c r="P832" s="1339">
        <f t="shared" si="175"/>
        <v>0</v>
      </c>
      <c r="Q832" s="1340">
        <f t="shared" si="176"/>
        <v>38.799999999999997</v>
      </c>
      <c r="R832" s="1339">
        <f t="shared" si="177"/>
        <v>117243.9</v>
      </c>
      <c r="S832" s="1322">
        <f>F832+P832</f>
        <v>117243.9</v>
      </c>
      <c r="T832" s="1322">
        <f>S832-R832</f>
        <v>0</v>
      </c>
    </row>
    <row r="833" spans="1:20" s="700" customFormat="1" ht="70.5" hidden="1" customHeight="1">
      <c r="A833" s="1414"/>
      <c r="B833" s="1459" t="s">
        <v>4593</v>
      </c>
      <c r="C833" s="1460">
        <f>Data!X3549</f>
        <v>2994.41</v>
      </c>
      <c r="D833" s="1439" t="s">
        <v>2322</v>
      </c>
      <c r="E833" s="1278"/>
      <c r="F833" s="1125">
        <f t="shared" si="170"/>
        <v>0</v>
      </c>
      <c r="G833" s="1273"/>
      <c r="H833" s="1125">
        <f t="shared" si="171"/>
        <v>0</v>
      </c>
      <c r="I833" s="748"/>
      <c r="J833" s="748">
        <f t="shared" si="178"/>
        <v>0</v>
      </c>
      <c r="K833" s="1273"/>
      <c r="L833" s="1125">
        <f t="shared" si="172"/>
        <v>0</v>
      </c>
      <c r="M833" s="1412"/>
      <c r="N833" s="1339">
        <f t="shared" si="173"/>
        <v>0</v>
      </c>
      <c r="O833" s="1340">
        <f t="shared" si="174"/>
        <v>0</v>
      </c>
      <c r="P833" s="1339">
        <f t="shared" si="175"/>
        <v>0</v>
      </c>
      <c r="Q833" s="1340">
        <f t="shared" si="176"/>
        <v>0</v>
      </c>
      <c r="R833" s="1339">
        <f t="shared" si="177"/>
        <v>0</v>
      </c>
    </row>
    <row r="834" spans="1:20" ht="70.5" customHeight="1">
      <c r="A834" s="1486"/>
      <c r="B834" s="1326" t="s">
        <v>4594</v>
      </c>
      <c r="C834" s="1507">
        <f>Data!AG3549</f>
        <v>3088.84</v>
      </c>
      <c r="D834" s="1352" t="s">
        <v>2322</v>
      </c>
      <c r="E834" s="1336">
        <v>18.100000000000001</v>
      </c>
      <c r="F834" s="1125">
        <f t="shared" si="170"/>
        <v>55908</v>
      </c>
      <c r="G834" s="1335"/>
      <c r="H834" s="1125">
        <f t="shared" si="171"/>
        <v>0</v>
      </c>
      <c r="I834" s="1312"/>
      <c r="J834" s="1406">
        <f t="shared" si="178"/>
        <v>0</v>
      </c>
      <c r="K834" s="1335"/>
      <c r="L834" s="1125">
        <f t="shared" si="172"/>
        <v>0</v>
      </c>
      <c r="M834" s="1343"/>
      <c r="N834" s="1339">
        <f t="shared" si="173"/>
        <v>0</v>
      </c>
      <c r="O834" s="1340">
        <f t="shared" si="174"/>
        <v>0</v>
      </c>
      <c r="P834" s="1339">
        <f t="shared" si="175"/>
        <v>0</v>
      </c>
      <c r="Q834" s="1340">
        <f t="shared" si="176"/>
        <v>18.100000000000001</v>
      </c>
      <c r="R834" s="1339">
        <f t="shared" si="177"/>
        <v>55908</v>
      </c>
      <c r="S834" s="1322">
        <f>F834+P834</f>
        <v>55908</v>
      </c>
      <c r="T834" s="1322">
        <f>S834-R834</f>
        <v>0</v>
      </c>
    </row>
    <row r="835" spans="1:20" s="700" customFormat="1" ht="70.5" hidden="1" customHeight="1">
      <c r="A835" s="1414"/>
      <c r="B835" s="1462" t="s">
        <v>4944</v>
      </c>
      <c r="C835" s="1460">
        <f>Data!AD3629</f>
        <v>2608.59</v>
      </c>
      <c r="D835" s="1439" t="s">
        <v>2322</v>
      </c>
      <c r="E835" s="1278"/>
      <c r="F835" s="1125">
        <f t="shared" si="170"/>
        <v>0</v>
      </c>
      <c r="G835" s="1273"/>
      <c r="H835" s="1125">
        <f t="shared" si="171"/>
        <v>0</v>
      </c>
      <c r="I835" s="748"/>
      <c r="J835" s="748">
        <f t="shared" si="178"/>
        <v>0</v>
      </c>
      <c r="K835" s="1273"/>
      <c r="L835" s="1125">
        <f t="shared" si="172"/>
        <v>0</v>
      </c>
      <c r="M835" s="1412"/>
      <c r="N835" s="1339">
        <f t="shared" si="173"/>
        <v>0</v>
      </c>
      <c r="O835" s="1340">
        <f t="shared" si="174"/>
        <v>0</v>
      </c>
      <c r="P835" s="1339">
        <f t="shared" si="175"/>
        <v>0</v>
      </c>
      <c r="Q835" s="1340">
        <f t="shared" si="176"/>
        <v>0</v>
      </c>
      <c r="R835" s="1339">
        <f t="shared" si="177"/>
        <v>0</v>
      </c>
    </row>
    <row r="836" spans="1:20" s="700" customFormat="1" ht="70.5" hidden="1" customHeight="1">
      <c r="A836" s="1105"/>
      <c r="B836" s="538" t="s">
        <v>3656</v>
      </c>
      <c r="C836" s="743">
        <f>Data!K2353</f>
        <v>33.56</v>
      </c>
      <c r="D836" s="1151" t="s">
        <v>2322</v>
      </c>
      <c r="E836" s="1276"/>
      <c r="F836" s="1125">
        <f t="shared" si="170"/>
        <v>0</v>
      </c>
      <c r="G836" s="1199"/>
      <c r="H836" s="1125">
        <f t="shared" si="171"/>
        <v>0</v>
      </c>
      <c r="I836" s="748"/>
      <c r="J836" s="748">
        <f t="shared" si="178"/>
        <v>0</v>
      </c>
      <c r="K836" s="1199"/>
      <c r="L836" s="1125">
        <f t="shared" si="172"/>
        <v>0</v>
      </c>
      <c r="M836" s="1200"/>
      <c r="N836" s="1339">
        <f t="shared" si="173"/>
        <v>0</v>
      </c>
      <c r="O836" s="1340">
        <f t="shared" si="174"/>
        <v>0</v>
      </c>
      <c r="P836" s="1339">
        <f t="shared" si="175"/>
        <v>0</v>
      </c>
      <c r="Q836" s="1340">
        <f t="shared" si="176"/>
        <v>0</v>
      </c>
      <c r="R836" s="1339">
        <f t="shared" si="177"/>
        <v>0</v>
      </c>
    </row>
    <row r="837" spans="1:20" ht="70.5" hidden="1" customHeight="1">
      <c r="A837" s="1486"/>
      <c r="B837" s="1350" t="s">
        <v>5975</v>
      </c>
      <c r="C837" s="1109"/>
      <c r="D837" s="1156"/>
      <c r="E837" s="1336"/>
      <c r="F837" s="1125">
        <f t="shared" si="170"/>
        <v>0</v>
      </c>
      <c r="G837" s="1335"/>
      <c r="H837" s="1125">
        <f t="shared" si="171"/>
        <v>0</v>
      </c>
      <c r="I837" s="1312"/>
      <c r="J837" s="1406">
        <f t="shared" si="178"/>
        <v>0</v>
      </c>
      <c r="K837" s="1335"/>
      <c r="L837" s="1125">
        <f t="shared" si="172"/>
        <v>0</v>
      </c>
      <c r="M837" s="1343"/>
      <c r="N837" s="1339">
        <f t="shared" si="173"/>
        <v>0</v>
      </c>
      <c r="O837" s="1340">
        <f t="shared" si="174"/>
        <v>0</v>
      </c>
      <c r="P837" s="1339">
        <f t="shared" si="175"/>
        <v>0</v>
      </c>
      <c r="Q837" s="1340">
        <f t="shared" si="176"/>
        <v>0</v>
      </c>
      <c r="R837" s="1339">
        <f t="shared" si="177"/>
        <v>0</v>
      </c>
      <c r="S837" s="1322">
        <f t="shared" ref="S837:S838" si="181">F837+P837</f>
        <v>0</v>
      </c>
      <c r="T837" s="1322">
        <f t="shared" ref="T837:T838" si="182">S837-R837</f>
        <v>0</v>
      </c>
    </row>
    <row r="838" spans="1:20" ht="50.25" hidden="1" customHeight="1">
      <c r="A838" s="1486"/>
      <c r="B838" s="1198" t="s">
        <v>1276</v>
      </c>
      <c r="C838" s="1109">
        <f>Data!AD1197</f>
        <v>1967.23</v>
      </c>
      <c r="D838" s="1156" t="s">
        <v>2322</v>
      </c>
      <c r="E838" s="1342"/>
      <c r="F838" s="1125">
        <f t="shared" si="170"/>
        <v>0</v>
      </c>
      <c r="G838" s="1335"/>
      <c r="H838" s="1125">
        <f t="shared" si="171"/>
        <v>0</v>
      </c>
      <c r="I838" s="1312"/>
      <c r="J838" s="1406">
        <f t="shared" ref="J838:J901" si="183">I838*C838</f>
        <v>0</v>
      </c>
      <c r="K838" s="1335"/>
      <c r="L838" s="1125">
        <f t="shared" si="172"/>
        <v>0</v>
      </c>
      <c r="M838" s="1343"/>
      <c r="N838" s="1339">
        <f t="shared" si="173"/>
        <v>0</v>
      </c>
      <c r="O838" s="1340">
        <f t="shared" si="174"/>
        <v>0</v>
      </c>
      <c r="P838" s="1339">
        <f t="shared" si="175"/>
        <v>0</v>
      </c>
      <c r="Q838" s="1340">
        <f t="shared" si="176"/>
        <v>0</v>
      </c>
      <c r="R838" s="1339">
        <f t="shared" si="177"/>
        <v>0</v>
      </c>
      <c r="S838" s="1322">
        <f t="shared" si="181"/>
        <v>0</v>
      </c>
      <c r="T838" s="1322">
        <f t="shared" si="182"/>
        <v>0</v>
      </c>
    </row>
    <row r="839" spans="1:20" s="700" customFormat="1" ht="70.5" hidden="1" customHeight="1">
      <c r="A839" s="1414"/>
      <c r="B839" s="1415" t="s">
        <v>1411</v>
      </c>
      <c r="C839" s="1418">
        <f>Data!AD1198</f>
        <v>1972.15</v>
      </c>
      <c r="D839" s="1272" t="s">
        <v>2322</v>
      </c>
      <c r="E839" s="1278"/>
      <c r="F839" s="1125">
        <f t="shared" ref="F839:F902" si="184">E839*C839</f>
        <v>0</v>
      </c>
      <c r="G839" s="1273"/>
      <c r="H839" s="1125">
        <f t="shared" ref="H839:H902" si="185">G839*C839</f>
        <v>0</v>
      </c>
      <c r="I839" s="748"/>
      <c r="J839" s="748">
        <f t="shared" si="183"/>
        <v>0</v>
      </c>
      <c r="K839" s="1273"/>
      <c r="L839" s="1125">
        <f t="shared" ref="L839:L902" si="186">K839*C839</f>
        <v>0</v>
      </c>
      <c r="M839" s="1412"/>
      <c r="N839" s="1339">
        <f t="shared" ref="N839:N902" si="187">M839*C839</f>
        <v>0</v>
      </c>
      <c r="O839" s="1340">
        <f t="shared" ref="O839:O902" si="188">G839+K839+M839</f>
        <v>0</v>
      </c>
      <c r="P839" s="1339">
        <f t="shared" ref="P839:P902" si="189">O839*C839</f>
        <v>0</v>
      </c>
      <c r="Q839" s="1340">
        <f t="shared" ref="Q839:Q902" si="190">O839+E839</f>
        <v>0</v>
      </c>
      <c r="R839" s="1339">
        <f t="shared" ref="R839:R902" si="191">Q839*C839</f>
        <v>0</v>
      </c>
    </row>
    <row r="840" spans="1:20" s="700" customFormat="1" ht="70.5" hidden="1" customHeight="1">
      <c r="A840" s="1105"/>
      <c r="B840" s="538" t="s">
        <v>1459</v>
      </c>
      <c r="C840" s="743">
        <f>Data!AD1199</f>
        <v>1977.07</v>
      </c>
      <c r="D840" s="1151" t="s">
        <v>2322</v>
      </c>
      <c r="E840" s="1276"/>
      <c r="F840" s="1125">
        <f t="shared" si="184"/>
        <v>0</v>
      </c>
      <c r="G840" s="1199"/>
      <c r="H840" s="1125">
        <f t="shared" si="185"/>
        <v>0</v>
      </c>
      <c r="I840" s="748"/>
      <c r="J840" s="748">
        <f t="shared" si="183"/>
        <v>0</v>
      </c>
      <c r="K840" s="1199"/>
      <c r="L840" s="1125">
        <f t="shared" si="186"/>
        <v>0</v>
      </c>
      <c r="M840" s="1200"/>
      <c r="N840" s="1339">
        <f t="shared" si="187"/>
        <v>0</v>
      </c>
      <c r="O840" s="1340">
        <f t="shared" si="188"/>
        <v>0</v>
      </c>
      <c r="P840" s="1339">
        <f t="shared" si="189"/>
        <v>0</v>
      </c>
      <c r="Q840" s="1340">
        <f t="shared" si="190"/>
        <v>0</v>
      </c>
      <c r="R840" s="1339">
        <f t="shared" si="191"/>
        <v>0</v>
      </c>
    </row>
    <row r="841" spans="1:20" s="700" customFormat="1" ht="70.5" hidden="1" customHeight="1">
      <c r="A841" s="1105"/>
      <c r="B841" s="538" t="s">
        <v>1348</v>
      </c>
      <c r="C841" s="743">
        <f>Data!AD1200</f>
        <v>1981.99</v>
      </c>
      <c r="D841" s="1151" t="s">
        <v>2322</v>
      </c>
      <c r="E841" s="1276"/>
      <c r="F841" s="1125">
        <f t="shared" si="184"/>
        <v>0</v>
      </c>
      <c r="G841" s="1199"/>
      <c r="H841" s="1125">
        <f t="shared" si="185"/>
        <v>0</v>
      </c>
      <c r="I841" s="748"/>
      <c r="J841" s="748">
        <f t="shared" si="183"/>
        <v>0</v>
      </c>
      <c r="K841" s="1199"/>
      <c r="L841" s="1125">
        <f t="shared" si="186"/>
        <v>0</v>
      </c>
      <c r="M841" s="1200"/>
      <c r="N841" s="1339">
        <f t="shared" si="187"/>
        <v>0</v>
      </c>
      <c r="O841" s="1340">
        <f t="shared" si="188"/>
        <v>0</v>
      </c>
      <c r="P841" s="1339">
        <f t="shared" si="189"/>
        <v>0</v>
      </c>
      <c r="Q841" s="1340">
        <f t="shared" si="190"/>
        <v>0</v>
      </c>
      <c r="R841" s="1339">
        <f t="shared" si="191"/>
        <v>0</v>
      </c>
    </row>
    <row r="842" spans="1:20" s="700" customFormat="1" ht="83.25" hidden="1" customHeight="1">
      <c r="A842" s="1107"/>
      <c r="B842" s="1185" t="s">
        <v>5927</v>
      </c>
      <c r="C842" s="1109"/>
      <c r="D842" s="1156"/>
      <c r="E842" s="1276"/>
      <c r="F842" s="1125">
        <f t="shared" si="184"/>
        <v>0</v>
      </c>
      <c r="G842" s="1199"/>
      <c r="H842" s="1125">
        <f t="shared" si="185"/>
        <v>0</v>
      </c>
      <c r="I842" s="748"/>
      <c r="J842" s="748">
        <f t="shared" si="183"/>
        <v>0</v>
      </c>
      <c r="K842" s="1199"/>
      <c r="L842" s="1125">
        <f t="shared" si="186"/>
        <v>0</v>
      </c>
      <c r="M842" s="1208"/>
      <c r="N842" s="1339">
        <f t="shared" si="187"/>
        <v>0</v>
      </c>
      <c r="O842" s="1340">
        <f t="shared" si="188"/>
        <v>0</v>
      </c>
      <c r="P842" s="1339">
        <f t="shared" si="189"/>
        <v>0</v>
      </c>
      <c r="Q842" s="1340">
        <f t="shared" si="190"/>
        <v>0</v>
      </c>
      <c r="R842" s="1339">
        <f t="shared" si="191"/>
        <v>0</v>
      </c>
    </row>
    <row r="843" spans="1:20" s="812" customFormat="1" ht="51.75" hidden="1" customHeight="1">
      <c r="A843" s="1107"/>
      <c r="B843" s="1108" t="s">
        <v>1276</v>
      </c>
      <c r="C843" s="1109">
        <f>Data!R1293</f>
        <v>2596.46</v>
      </c>
      <c r="D843" s="1156" t="s">
        <v>2322</v>
      </c>
      <c r="E843" s="1276"/>
      <c r="F843" s="1125">
        <f t="shared" si="184"/>
        <v>0</v>
      </c>
      <c r="G843" s="1199"/>
      <c r="H843" s="1125">
        <f t="shared" si="185"/>
        <v>0</v>
      </c>
      <c r="I843" s="748"/>
      <c r="J843" s="748">
        <f t="shared" si="183"/>
        <v>0</v>
      </c>
      <c r="K843" s="1199"/>
      <c r="L843" s="1125">
        <f t="shared" si="186"/>
        <v>0</v>
      </c>
      <c r="M843" s="1208"/>
      <c r="N843" s="1339">
        <f t="shared" si="187"/>
        <v>0</v>
      </c>
      <c r="O843" s="1340">
        <f t="shared" si="188"/>
        <v>0</v>
      </c>
      <c r="P843" s="1339">
        <f t="shared" si="189"/>
        <v>0</v>
      </c>
      <c r="Q843" s="1340">
        <f t="shared" si="190"/>
        <v>0</v>
      </c>
      <c r="R843" s="1339">
        <f t="shared" si="191"/>
        <v>0</v>
      </c>
    </row>
    <row r="844" spans="1:20" s="812" customFormat="1" ht="51.75" hidden="1" customHeight="1">
      <c r="A844" s="1107"/>
      <c r="B844" s="1108" t="s">
        <v>1411</v>
      </c>
      <c r="C844" s="1109">
        <f>Data!AK1198</f>
        <v>1968.44</v>
      </c>
      <c r="D844" s="1156" t="s">
        <v>2322</v>
      </c>
      <c r="E844" s="1276"/>
      <c r="F844" s="1125">
        <f t="shared" si="184"/>
        <v>0</v>
      </c>
      <c r="G844" s="1199"/>
      <c r="H844" s="1125">
        <f t="shared" si="185"/>
        <v>0</v>
      </c>
      <c r="I844" s="748"/>
      <c r="J844" s="748">
        <f t="shared" si="183"/>
        <v>0</v>
      </c>
      <c r="K844" s="1199"/>
      <c r="L844" s="1125">
        <f t="shared" si="186"/>
        <v>0</v>
      </c>
      <c r="M844" s="1208"/>
      <c r="N844" s="1339">
        <f t="shared" si="187"/>
        <v>0</v>
      </c>
      <c r="O844" s="1340">
        <f t="shared" si="188"/>
        <v>0</v>
      </c>
      <c r="P844" s="1339">
        <f t="shared" si="189"/>
        <v>0</v>
      </c>
      <c r="Q844" s="1340">
        <f t="shared" si="190"/>
        <v>0</v>
      </c>
      <c r="R844" s="1339">
        <f t="shared" si="191"/>
        <v>0</v>
      </c>
    </row>
    <row r="845" spans="1:20" s="812" customFormat="1" ht="51.75" hidden="1" customHeight="1">
      <c r="A845" s="1107"/>
      <c r="B845" s="1108" t="s">
        <v>1459</v>
      </c>
      <c r="C845" s="1109">
        <f>Data!AK1199</f>
        <v>1970.9</v>
      </c>
      <c r="D845" s="1156" t="s">
        <v>2322</v>
      </c>
      <c r="E845" s="1276"/>
      <c r="F845" s="1125">
        <f t="shared" si="184"/>
        <v>0</v>
      </c>
      <c r="G845" s="1199"/>
      <c r="H845" s="1125">
        <f t="shared" si="185"/>
        <v>0</v>
      </c>
      <c r="I845" s="748"/>
      <c r="J845" s="748">
        <f t="shared" si="183"/>
        <v>0</v>
      </c>
      <c r="K845" s="1199"/>
      <c r="L845" s="1125">
        <f t="shared" si="186"/>
        <v>0</v>
      </c>
      <c r="M845" s="1208"/>
      <c r="N845" s="1339">
        <f t="shared" si="187"/>
        <v>0</v>
      </c>
      <c r="O845" s="1340">
        <f t="shared" si="188"/>
        <v>0</v>
      </c>
      <c r="P845" s="1339">
        <f t="shared" si="189"/>
        <v>0</v>
      </c>
      <c r="Q845" s="1340">
        <f t="shared" si="190"/>
        <v>0</v>
      </c>
      <c r="R845" s="1339">
        <f t="shared" si="191"/>
        <v>0</v>
      </c>
    </row>
    <row r="846" spans="1:20" s="812" customFormat="1" ht="51.75" hidden="1" customHeight="1">
      <c r="A846" s="1107"/>
      <c r="B846" s="1108" t="s">
        <v>4429</v>
      </c>
      <c r="C846" s="1109">
        <f>Data!AK1200</f>
        <v>1972.85</v>
      </c>
      <c r="D846" s="1156" t="s">
        <v>2322</v>
      </c>
      <c r="E846" s="1276"/>
      <c r="F846" s="1125">
        <f t="shared" si="184"/>
        <v>0</v>
      </c>
      <c r="G846" s="1199"/>
      <c r="H846" s="1125">
        <f t="shared" si="185"/>
        <v>0</v>
      </c>
      <c r="I846" s="748"/>
      <c r="J846" s="748">
        <f t="shared" si="183"/>
        <v>0</v>
      </c>
      <c r="K846" s="1199"/>
      <c r="L846" s="1125">
        <f t="shared" si="186"/>
        <v>0</v>
      </c>
      <c r="M846" s="1208"/>
      <c r="N846" s="1339">
        <f t="shared" si="187"/>
        <v>0</v>
      </c>
      <c r="O846" s="1340">
        <f t="shared" si="188"/>
        <v>0</v>
      </c>
      <c r="P846" s="1339">
        <f t="shared" si="189"/>
        <v>0</v>
      </c>
      <c r="Q846" s="1340">
        <f t="shared" si="190"/>
        <v>0</v>
      </c>
      <c r="R846" s="1339">
        <f t="shared" si="191"/>
        <v>0</v>
      </c>
    </row>
    <row r="847" spans="1:20" s="812" customFormat="1" ht="70.5" hidden="1" customHeight="1">
      <c r="A847" s="1105"/>
      <c r="B847" s="1168" t="s">
        <v>3883</v>
      </c>
      <c r="C847" s="1138"/>
      <c r="D847" s="1139"/>
      <c r="E847" s="1276"/>
      <c r="F847" s="1125">
        <f t="shared" si="184"/>
        <v>0</v>
      </c>
      <c r="G847" s="1199"/>
      <c r="H847" s="1125">
        <f t="shared" si="185"/>
        <v>0</v>
      </c>
      <c r="I847" s="748"/>
      <c r="J847" s="748">
        <f t="shared" si="183"/>
        <v>0</v>
      </c>
      <c r="K847" s="1199"/>
      <c r="L847" s="1125">
        <f t="shared" si="186"/>
        <v>0</v>
      </c>
      <c r="M847" s="1200"/>
      <c r="N847" s="1339">
        <f t="shared" si="187"/>
        <v>0</v>
      </c>
      <c r="O847" s="1340">
        <f t="shared" si="188"/>
        <v>0</v>
      </c>
      <c r="P847" s="1339">
        <f t="shared" si="189"/>
        <v>0</v>
      </c>
      <c r="Q847" s="1340">
        <f t="shared" si="190"/>
        <v>0</v>
      </c>
      <c r="R847" s="1339">
        <f t="shared" si="191"/>
        <v>0</v>
      </c>
    </row>
    <row r="848" spans="1:20" s="700" customFormat="1" ht="70.5" hidden="1" customHeight="1">
      <c r="A848" s="1105"/>
      <c r="B848" s="1186" t="s">
        <v>4570</v>
      </c>
      <c r="C848" s="1138">
        <f>Data!R1486</f>
        <v>5206</v>
      </c>
      <c r="D848" s="1139" t="s">
        <v>2322</v>
      </c>
      <c r="E848" s="1276"/>
      <c r="F848" s="1125">
        <f t="shared" si="184"/>
        <v>0</v>
      </c>
      <c r="G848" s="1199"/>
      <c r="H848" s="1125">
        <f t="shared" si="185"/>
        <v>0</v>
      </c>
      <c r="I848" s="748"/>
      <c r="J848" s="748">
        <f t="shared" si="183"/>
        <v>0</v>
      </c>
      <c r="K848" s="1199"/>
      <c r="L848" s="1125">
        <f t="shared" si="186"/>
        <v>0</v>
      </c>
      <c r="M848" s="1200"/>
      <c r="N848" s="1339">
        <f t="shared" si="187"/>
        <v>0</v>
      </c>
      <c r="O848" s="1340">
        <f t="shared" si="188"/>
        <v>0</v>
      </c>
      <c r="P848" s="1339">
        <f t="shared" si="189"/>
        <v>0</v>
      </c>
      <c r="Q848" s="1340">
        <f t="shared" si="190"/>
        <v>0</v>
      </c>
      <c r="R848" s="1339">
        <f t="shared" si="191"/>
        <v>0</v>
      </c>
    </row>
    <row r="849" spans="1:18" s="700" customFormat="1" ht="70.5" hidden="1" customHeight="1">
      <c r="A849" s="1105"/>
      <c r="B849" s="1186" t="s">
        <v>4389</v>
      </c>
      <c r="C849" s="1138">
        <f>Data!R1479</f>
        <v>5203.1499999999996</v>
      </c>
      <c r="D849" s="1139" t="s">
        <v>2322</v>
      </c>
      <c r="E849" s="1276"/>
      <c r="F849" s="1125">
        <f t="shared" si="184"/>
        <v>0</v>
      </c>
      <c r="G849" s="1199"/>
      <c r="H849" s="1125">
        <f t="shared" si="185"/>
        <v>0</v>
      </c>
      <c r="I849" s="748"/>
      <c r="J849" s="748">
        <f t="shared" si="183"/>
        <v>0</v>
      </c>
      <c r="K849" s="1199"/>
      <c r="L849" s="1125">
        <f t="shared" si="186"/>
        <v>0</v>
      </c>
      <c r="M849" s="1200"/>
      <c r="N849" s="1339">
        <f t="shared" si="187"/>
        <v>0</v>
      </c>
      <c r="O849" s="1340">
        <f t="shared" si="188"/>
        <v>0</v>
      </c>
      <c r="P849" s="1339">
        <f t="shared" si="189"/>
        <v>0</v>
      </c>
      <c r="Q849" s="1340">
        <f t="shared" si="190"/>
        <v>0</v>
      </c>
      <c r="R849" s="1339">
        <f t="shared" si="191"/>
        <v>0</v>
      </c>
    </row>
    <row r="850" spans="1:18" s="700" customFormat="1" ht="70.5" hidden="1" customHeight="1">
      <c r="A850" s="1105"/>
      <c r="B850" s="1186" t="s">
        <v>3884</v>
      </c>
      <c r="C850" s="1138">
        <f>Data!R1479</f>
        <v>5203.1499999999996</v>
      </c>
      <c r="D850" s="1139" t="s">
        <v>2322</v>
      </c>
      <c r="E850" s="1276"/>
      <c r="F850" s="1125">
        <f t="shared" si="184"/>
        <v>0</v>
      </c>
      <c r="G850" s="1199"/>
      <c r="H850" s="1125">
        <f t="shared" si="185"/>
        <v>0</v>
      </c>
      <c r="I850" s="748"/>
      <c r="J850" s="748">
        <f t="shared" si="183"/>
        <v>0</v>
      </c>
      <c r="K850" s="1199"/>
      <c r="L850" s="1125">
        <f t="shared" si="186"/>
        <v>0</v>
      </c>
      <c r="M850" s="1200"/>
      <c r="N850" s="1339">
        <f t="shared" si="187"/>
        <v>0</v>
      </c>
      <c r="O850" s="1340">
        <f t="shared" si="188"/>
        <v>0</v>
      </c>
      <c r="P850" s="1339">
        <f t="shared" si="189"/>
        <v>0</v>
      </c>
      <c r="Q850" s="1340">
        <f t="shared" si="190"/>
        <v>0</v>
      </c>
      <c r="R850" s="1339">
        <f t="shared" si="191"/>
        <v>0</v>
      </c>
    </row>
    <row r="851" spans="1:18" s="700" customFormat="1" ht="70.5" hidden="1" customHeight="1">
      <c r="A851" s="1105"/>
      <c r="B851" s="1186" t="s">
        <v>4034</v>
      </c>
      <c r="C851" s="1138">
        <f>Data!X1447</f>
        <v>5433.07</v>
      </c>
      <c r="D851" s="1139" t="s">
        <v>2322</v>
      </c>
      <c r="E851" s="1276"/>
      <c r="F851" s="1125">
        <f t="shared" si="184"/>
        <v>0</v>
      </c>
      <c r="G851" s="1199"/>
      <c r="H851" s="1125">
        <f t="shared" si="185"/>
        <v>0</v>
      </c>
      <c r="I851" s="748"/>
      <c r="J851" s="748">
        <f t="shared" si="183"/>
        <v>0</v>
      </c>
      <c r="K851" s="1199"/>
      <c r="L851" s="1125">
        <f t="shared" si="186"/>
        <v>0</v>
      </c>
      <c r="M851" s="1200"/>
      <c r="N851" s="1339">
        <f t="shared" si="187"/>
        <v>0</v>
      </c>
      <c r="O851" s="1340">
        <f t="shared" si="188"/>
        <v>0</v>
      </c>
      <c r="P851" s="1339">
        <f t="shared" si="189"/>
        <v>0</v>
      </c>
      <c r="Q851" s="1340">
        <f t="shared" si="190"/>
        <v>0</v>
      </c>
      <c r="R851" s="1339">
        <f t="shared" si="191"/>
        <v>0</v>
      </c>
    </row>
    <row r="852" spans="1:18" s="700" customFormat="1" ht="70.5" hidden="1" customHeight="1">
      <c r="A852" s="1105"/>
      <c r="B852" s="1186" t="s">
        <v>4033</v>
      </c>
      <c r="C852" s="1138">
        <f>Data!X1440</f>
        <v>5768</v>
      </c>
      <c r="D852" s="1139" t="s">
        <v>2322</v>
      </c>
      <c r="E852" s="1276"/>
      <c r="F852" s="1125">
        <f t="shared" si="184"/>
        <v>0</v>
      </c>
      <c r="G852" s="1199"/>
      <c r="H852" s="1125">
        <f t="shared" si="185"/>
        <v>0</v>
      </c>
      <c r="I852" s="748"/>
      <c r="J852" s="748">
        <f t="shared" si="183"/>
        <v>0</v>
      </c>
      <c r="K852" s="1199"/>
      <c r="L852" s="1125">
        <f t="shared" si="186"/>
        <v>0</v>
      </c>
      <c r="M852" s="1200"/>
      <c r="N852" s="1339">
        <f t="shared" si="187"/>
        <v>0</v>
      </c>
      <c r="O852" s="1340">
        <f t="shared" si="188"/>
        <v>0</v>
      </c>
      <c r="P852" s="1339">
        <f t="shared" si="189"/>
        <v>0</v>
      </c>
      <c r="Q852" s="1340">
        <f t="shared" si="190"/>
        <v>0</v>
      </c>
      <c r="R852" s="1339">
        <f t="shared" si="191"/>
        <v>0</v>
      </c>
    </row>
    <row r="853" spans="1:18" s="700" customFormat="1" ht="70.5" hidden="1" customHeight="1">
      <c r="A853" s="1105"/>
      <c r="B853" s="1168" t="str">
        <f>'[10]Bldg+Dev'!$B$566</f>
        <v>Supply &amp; Fixing of MS door  (for lockup door )</v>
      </c>
      <c r="C853" s="743"/>
      <c r="D853" s="1151"/>
      <c r="E853" s="1276"/>
      <c r="F853" s="1125">
        <f t="shared" si="184"/>
        <v>0</v>
      </c>
      <c r="G853" s="1199"/>
      <c r="H853" s="1125">
        <f t="shared" si="185"/>
        <v>0</v>
      </c>
      <c r="I853" s="748"/>
      <c r="J853" s="748">
        <f t="shared" si="183"/>
        <v>0</v>
      </c>
      <c r="K853" s="1199"/>
      <c r="L853" s="1125">
        <f t="shared" si="186"/>
        <v>0</v>
      </c>
      <c r="M853" s="1200"/>
      <c r="N853" s="1339">
        <f t="shared" si="187"/>
        <v>0</v>
      </c>
      <c r="O853" s="1340">
        <f t="shared" si="188"/>
        <v>0</v>
      </c>
      <c r="P853" s="1339">
        <f t="shared" si="189"/>
        <v>0</v>
      </c>
      <c r="Q853" s="1340">
        <f t="shared" si="190"/>
        <v>0</v>
      </c>
      <c r="R853" s="1339">
        <f t="shared" si="191"/>
        <v>0</v>
      </c>
    </row>
    <row r="854" spans="1:18" s="700" customFormat="1" ht="70.5" hidden="1" customHeight="1">
      <c r="A854" s="1105"/>
      <c r="B854" s="1152" t="s">
        <v>2086</v>
      </c>
      <c r="C854" s="743">
        <f>Data!K2545</f>
        <v>9385.85</v>
      </c>
      <c r="D854" s="1151" t="s">
        <v>1746</v>
      </c>
      <c r="E854" s="1276"/>
      <c r="F854" s="1125">
        <f t="shared" si="184"/>
        <v>0</v>
      </c>
      <c r="G854" s="1199"/>
      <c r="H854" s="1125">
        <f t="shared" si="185"/>
        <v>0</v>
      </c>
      <c r="I854" s="748"/>
      <c r="J854" s="748">
        <f t="shared" si="183"/>
        <v>0</v>
      </c>
      <c r="K854" s="1199"/>
      <c r="L854" s="1125">
        <f t="shared" si="186"/>
        <v>0</v>
      </c>
      <c r="M854" s="1200"/>
      <c r="N854" s="1339">
        <f t="shared" si="187"/>
        <v>0</v>
      </c>
      <c r="O854" s="1340">
        <f t="shared" si="188"/>
        <v>0</v>
      </c>
      <c r="P854" s="1339">
        <f t="shared" si="189"/>
        <v>0</v>
      </c>
      <c r="Q854" s="1340">
        <f t="shared" si="190"/>
        <v>0</v>
      </c>
      <c r="R854" s="1339">
        <f t="shared" si="191"/>
        <v>0</v>
      </c>
    </row>
    <row r="855" spans="1:18" s="700" customFormat="1" ht="70.5" hidden="1" customHeight="1">
      <c r="A855" s="1105"/>
      <c r="B855" s="1152" t="s">
        <v>608</v>
      </c>
      <c r="C855" s="743">
        <f>Data!K2580</f>
        <v>6112.29</v>
      </c>
      <c r="D855" s="1151" t="s">
        <v>1423</v>
      </c>
      <c r="E855" s="1276"/>
      <c r="F855" s="1125">
        <f t="shared" si="184"/>
        <v>0</v>
      </c>
      <c r="G855" s="1199"/>
      <c r="H855" s="1125">
        <f t="shared" si="185"/>
        <v>0</v>
      </c>
      <c r="I855" s="748"/>
      <c r="J855" s="748">
        <f t="shared" si="183"/>
        <v>0</v>
      </c>
      <c r="K855" s="1199"/>
      <c r="L855" s="1125">
        <f t="shared" si="186"/>
        <v>0</v>
      </c>
      <c r="M855" s="1200"/>
      <c r="N855" s="1339">
        <f t="shared" si="187"/>
        <v>0</v>
      </c>
      <c r="O855" s="1340">
        <f t="shared" si="188"/>
        <v>0</v>
      </c>
      <c r="P855" s="1339">
        <f t="shared" si="189"/>
        <v>0</v>
      </c>
      <c r="Q855" s="1340">
        <f t="shared" si="190"/>
        <v>0</v>
      </c>
      <c r="R855" s="1339">
        <f t="shared" si="191"/>
        <v>0</v>
      </c>
    </row>
    <row r="856" spans="1:18" s="700" customFormat="1" ht="70.5" hidden="1" customHeight="1">
      <c r="A856" s="1105"/>
      <c r="B856" s="1170" t="s">
        <v>3924</v>
      </c>
      <c r="C856" s="743"/>
      <c r="D856" s="1151"/>
      <c r="E856" s="1276"/>
      <c r="F856" s="1125">
        <f t="shared" si="184"/>
        <v>0</v>
      </c>
      <c r="G856" s="1199"/>
      <c r="H856" s="1125">
        <f t="shared" si="185"/>
        <v>0</v>
      </c>
      <c r="I856" s="748"/>
      <c r="J856" s="748">
        <f t="shared" si="183"/>
        <v>0</v>
      </c>
      <c r="K856" s="1199"/>
      <c r="L856" s="1125">
        <f t="shared" si="186"/>
        <v>0</v>
      </c>
      <c r="M856" s="1200"/>
      <c r="N856" s="1339">
        <f t="shared" si="187"/>
        <v>0</v>
      </c>
      <c r="O856" s="1340">
        <f t="shared" si="188"/>
        <v>0</v>
      </c>
      <c r="P856" s="1339">
        <f t="shared" si="189"/>
        <v>0</v>
      </c>
      <c r="Q856" s="1340">
        <f t="shared" si="190"/>
        <v>0</v>
      </c>
      <c r="R856" s="1339">
        <f t="shared" si="191"/>
        <v>0</v>
      </c>
    </row>
    <row r="857" spans="1:18" s="700" customFormat="1" ht="70.5" hidden="1" customHeight="1">
      <c r="A857" s="1105"/>
      <c r="B857" s="1152" t="s">
        <v>2246</v>
      </c>
      <c r="C857" s="743">
        <f>Data!K2473</f>
        <v>4297.0600000000004</v>
      </c>
      <c r="D857" s="1151" t="s">
        <v>2322</v>
      </c>
      <c r="E857" s="1276"/>
      <c r="F857" s="1125">
        <f t="shared" si="184"/>
        <v>0</v>
      </c>
      <c r="G857" s="1199"/>
      <c r="H857" s="1125">
        <f t="shared" si="185"/>
        <v>0</v>
      </c>
      <c r="I857" s="748"/>
      <c r="J857" s="748">
        <f t="shared" si="183"/>
        <v>0</v>
      </c>
      <c r="K857" s="1199"/>
      <c r="L857" s="1125">
        <f t="shared" si="186"/>
        <v>0</v>
      </c>
      <c r="M857" s="1200"/>
      <c r="N857" s="1339">
        <f t="shared" si="187"/>
        <v>0</v>
      </c>
      <c r="O857" s="1340">
        <f t="shared" si="188"/>
        <v>0</v>
      </c>
      <c r="P857" s="1339">
        <f t="shared" si="189"/>
        <v>0</v>
      </c>
      <c r="Q857" s="1340">
        <f t="shared" si="190"/>
        <v>0</v>
      </c>
      <c r="R857" s="1339">
        <f t="shared" si="191"/>
        <v>0</v>
      </c>
    </row>
    <row r="858" spans="1:18" s="700" customFormat="1" ht="70.5" hidden="1" customHeight="1">
      <c r="A858" s="1105"/>
      <c r="B858" s="1152" t="s">
        <v>4568</v>
      </c>
      <c r="C858" s="1138">
        <f>Data!J3860</f>
        <v>0</v>
      </c>
      <c r="D858" s="1139" t="s">
        <v>2322</v>
      </c>
      <c r="E858" s="1276"/>
      <c r="F858" s="1125">
        <f t="shared" si="184"/>
        <v>0</v>
      </c>
      <c r="G858" s="1199"/>
      <c r="H858" s="1125">
        <f t="shared" si="185"/>
        <v>0</v>
      </c>
      <c r="I858" s="748"/>
      <c r="J858" s="748">
        <f t="shared" si="183"/>
        <v>0</v>
      </c>
      <c r="K858" s="1199"/>
      <c r="L858" s="1125">
        <f t="shared" si="186"/>
        <v>0</v>
      </c>
      <c r="M858" s="1200"/>
      <c r="N858" s="1339">
        <f t="shared" si="187"/>
        <v>0</v>
      </c>
      <c r="O858" s="1340">
        <f t="shared" si="188"/>
        <v>0</v>
      </c>
      <c r="P858" s="1339">
        <f t="shared" si="189"/>
        <v>0</v>
      </c>
      <c r="Q858" s="1340">
        <f t="shared" si="190"/>
        <v>0</v>
      </c>
      <c r="R858" s="1339">
        <f t="shared" si="191"/>
        <v>0</v>
      </c>
    </row>
    <row r="859" spans="1:18" s="700" customFormat="1" ht="70.5" hidden="1" customHeight="1">
      <c r="A859" s="1105"/>
      <c r="B859" s="1152" t="s">
        <v>4569</v>
      </c>
      <c r="C859" s="1138">
        <f>Data!R2521</f>
        <v>4348.82</v>
      </c>
      <c r="D859" s="1139" t="s">
        <v>2322</v>
      </c>
      <c r="E859" s="1276"/>
      <c r="F859" s="1125">
        <f t="shared" si="184"/>
        <v>0</v>
      </c>
      <c r="G859" s="1199"/>
      <c r="H859" s="1125">
        <f t="shared" si="185"/>
        <v>0</v>
      </c>
      <c r="I859" s="748"/>
      <c r="J859" s="748">
        <f t="shared" si="183"/>
        <v>0</v>
      </c>
      <c r="K859" s="1199"/>
      <c r="L859" s="1125">
        <f t="shared" si="186"/>
        <v>0</v>
      </c>
      <c r="M859" s="1200"/>
      <c r="N859" s="1339">
        <f t="shared" si="187"/>
        <v>0</v>
      </c>
      <c r="O859" s="1340">
        <f t="shared" si="188"/>
        <v>0</v>
      </c>
      <c r="P859" s="1339">
        <f t="shared" si="189"/>
        <v>0</v>
      </c>
      <c r="Q859" s="1340">
        <f t="shared" si="190"/>
        <v>0</v>
      </c>
      <c r="R859" s="1339">
        <f t="shared" si="191"/>
        <v>0</v>
      </c>
    </row>
    <row r="860" spans="1:18" s="700" customFormat="1" ht="70.5" hidden="1" customHeight="1">
      <c r="A860" s="1105"/>
      <c r="B860" s="1152" t="s">
        <v>4264</v>
      </c>
      <c r="C860" s="1138">
        <f>Data!J3881</f>
        <v>0</v>
      </c>
      <c r="D860" s="1139" t="s">
        <v>2322</v>
      </c>
      <c r="E860" s="1276"/>
      <c r="F860" s="1125">
        <f t="shared" si="184"/>
        <v>0</v>
      </c>
      <c r="G860" s="1199"/>
      <c r="H860" s="1125">
        <f t="shared" si="185"/>
        <v>0</v>
      </c>
      <c r="I860" s="748"/>
      <c r="J860" s="748">
        <f t="shared" si="183"/>
        <v>0</v>
      </c>
      <c r="K860" s="1199"/>
      <c r="L860" s="1125">
        <f t="shared" si="186"/>
        <v>0</v>
      </c>
      <c r="M860" s="1200"/>
      <c r="N860" s="1339">
        <f t="shared" si="187"/>
        <v>0</v>
      </c>
      <c r="O860" s="1340">
        <f t="shared" si="188"/>
        <v>0</v>
      </c>
      <c r="P860" s="1339">
        <f t="shared" si="189"/>
        <v>0</v>
      </c>
      <c r="Q860" s="1340">
        <f t="shared" si="190"/>
        <v>0</v>
      </c>
      <c r="R860" s="1339">
        <f t="shared" si="191"/>
        <v>0</v>
      </c>
    </row>
    <row r="861" spans="1:18" s="700" customFormat="1" ht="70.5" hidden="1" customHeight="1">
      <c r="A861" s="1107"/>
      <c r="B861" s="1152" t="s">
        <v>609</v>
      </c>
      <c r="C861" s="1109">
        <f>C1079</f>
        <v>4881.1899999999996</v>
      </c>
      <c r="D861" s="1156" t="s">
        <v>2322</v>
      </c>
      <c r="E861" s="1276"/>
      <c r="F861" s="1125">
        <f t="shared" si="184"/>
        <v>0</v>
      </c>
      <c r="G861" s="1199"/>
      <c r="H861" s="1125">
        <f t="shared" si="185"/>
        <v>0</v>
      </c>
      <c r="I861" s="748"/>
      <c r="J861" s="748">
        <f t="shared" si="183"/>
        <v>0</v>
      </c>
      <c r="K861" s="1199"/>
      <c r="L861" s="1125">
        <f t="shared" si="186"/>
        <v>0</v>
      </c>
      <c r="M861" s="1200"/>
      <c r="N861" s="1339">
        <f t="shared" si="187"/>
        <v>0</v>
      </c>
      <c r="O861" s="1340">
        <f t="shared" si="188"/>
        <v>0</v>
      </c>
      <c r="P861" s="1339">
        <f t="shared" si="189"/>
        <v>0</v>
      </c>
      <c r="Q861" s="1340">
        <f t="shared" si="190"/>
        <v>0</v>
      </c>
      <c r="R861" s="1339">
        <f t="shared" si="191"/>
        <v>0</v>
      </c>
    </row>
    <row r="862" spans="1:18" s="812" customFormat="1" ht="70.5" hidden="1" customHeight="1">
      <c r="A862" s="1105"/>
      <c r="B862" s="1152" t="s">
        <v>1935</v>
      </c>
      <c r="C862" s="743">
        <f>buildingfinal!C1080</f>
        <v>5175.3599999999997</v>
      </c>
      <c r="D862" s="1151" t="s">
        <v>2322</v>
      </c>
      <c r="E862" s="1276"/>
      <c r="F862" s="1125">
        <f t="shared" si="184"/>
        <v>0</v>
      </c>
      <c r="G862" s="1199"/>
      <c r="H862" s="1125">
        <f t="shared" si="185"/>
        <v>0</v>
      </c>
      <c r="I862" s="748"/>
      <c r="J862" s="748">
        <f t="shared" si="183"/>
        <v>0</v>
      </c>
      <c r="K862" s="1199"/>
      <c r="L862" s="1125">
        <f t="shared" si="186"/>
        <v>0</v>
      </c>
      <c r="M862" s="1200"/>
      <c r="N862" s="1339">
        <f t="shared" si="187"/>
        <v>0</v>
      </c>
      <c r="O862" s="1340">
        <f t="shared" si="188"/>
        <v>0</v>
      </c>
      <c r="P862" s="1339">
        <f t="shared" si="189"/>
        <v>0</v>
      </c>
      <c r="Q862" s="1340">
        <f t="shared" si="190"/>
        <v>0</v>
      </c>
      <c r="R862" s="1339">
        <f t="shared" si="191"/>
        <v>0</v>
      </c>
    </row>
    <row r="863" spans="1:18" s="700" customFormat="1" ht="70.5" hidden="1" customHeight="1">
      <c r="A863" s="1105"/>
      <c r="B863" s="1152" t="s">
        <v>2245</v>
      </c>
      <c r="C863" s="743">
        <f>C1081</f>
        <v>4457.7700000000004</v>
      </c>
      <c r="D863" s="1151" t="s">
        <v>2322</v>
      </c>
      <c r="E863" s="1276"/>
      <c r="F863" s="1125">
        <f t="shared" si="184"/>
        <v>0</v>
      </c>
      <c r="G863" s="1199"/>
      <c r="H863" s="1125">
        <f t="shared" si="185"/>
        <v>0</v>
      </c>
      <c r="I863" s="748"/>
      <c r="J863" s="748">
        <f t="shared" si="183"/>
        <v>0</v>
      </c>
      <c r="K863" s="1199"/>
      <c r="L863" s="1125">
        <f t="shared" si="186"/>
        <v>0</v>
      </c>
      <c r="M863" s="1200"/>
      <c r="N863" s="1339">
        <f t="shared" si="187"/>
        <v>0</v>
      </c>
      <c r="O863" s="1340">
        <f t="shared" si="188"/>
        <v>0</v>
      </c>
      <c r="P863" s="1339">
        <f t="shared" si="189"/>
        <v>0</v>
      </c>
      <c r="Q863" s="1340">
        <f t="shared" si="190"/>
        <v>0</v>
      </c>
      <c r="R863" s="1339">
        <f t="shared" si="191"/>
        <v>0</v>
      </c>
    </row>
    <row r="864" spans="1:18" s="700" customFormat="1" ht="70.5" hidden="1" customHeight="1">
      <c r="A864" s="1105"/>
      <c r="B864" s="538" t="s">
        <v>4275</v>
      </c>
      <c r="C864" s="1138">
        <v>61.8</v>
      </c>
      <c r="D864" s="1151" t="s">
        <v>1423</v>
      </c>
      <c r="E864" s="1276"/>
      <c r="F864" s="1125">
        <f t="shared" si="184"/>
        <v>0</v>
      </c>
      <c r="G864" s="1199"/>
      <c r="H864" s="1125">
        <f t="shared" si="185"/>
        <v>0</v>
      </c>
      <c r="I864" s="748"/>
      <c r="J864" s="748">
        <f t="shared" si="183"/>
        <v>0</v>
      </c>
      <c r="K864" s="1199"/>
      <c r="L864" s="1125">
        <f t="shared" si="186"/>
        <v>0</v>
      </c>
      <c r="M864" s="1200"/>
      <c r="N864" s="1339">
        <f t="shared" si="187"/>
        <v>0</v>
      </c>
      <c r="O864" s="1340">
        <f t="shared" si="188"/>
        <v>0</v>
      </c>
      <c r="P864" s="1339">
        <f t="shared" si="189"/>
        <v>0</v>
      </c>
      <c r="Q864" s="1340">
        <f t="shared" si="190"/>
        <v>0</v>
      </c>
      <c r="R864" s="1339">
        <f t="shared" si="191"/>
        <v>0</v>
      </c>
    </row>
    <row r="865" spans="1:20" s="700" customFormat="1" ht="70.5" hidden="1" customHeight="1">
      <c r="A865" s="1105"/>
      <c r="B865" s="538" t="s">
        <v>3705</v>
      </c>
      <c r="C865" s="1138">
        <v>405</v>
      </c>
      <c r="D865" s="744" t="s">
        <v>842</v>
      </c>
      <c r="E865" s="1276"/>
      <c r="F865" s="1125">
        <f t="shared" si="184"/>
        <v>0</v>
      </c>
      <c r="G865" s="1199"/>
      <c r="H865" s="1125">
        <f t="shared" si="185"/>
        <v>0</v>
      </c>
      <c r="I865" s="748"/>
      <c r="J865" s="748">
        <f t="shared" si="183"/>
        <v>0</v>
      </c>
      <c r="K865" s="1199"/>
      <c r="L865" s="1125">
        <f t="shared" si="186"/>
        <v>0</v>
      </c>
      <c r="M865" s="1200"/>
      <c r="N865" s="1339">
        <f t="shared" si="187"/>
        <v>0</v>
      </c>
      <c r="O865" s="1340">
        <f t="shared" si="188"/>
        <v>0</v>
      </c>
      <c r="P865" s="1339">
        <f t="shared" si="189"/>
        <v>0</v>
      </c>
      <c r="Q865" s="1340">
        <f t="shared" si="190"/>
        <v>0</v>
      </c>
      <c r="R865" s="1339">
        <f t="shared" si="191"/>
        <v>0</v>
      </c>
    </row>
    <row r="866" spans="1:20" s="700" customFormat="1" ht="70.5" hidden="1" customHeight="1">
      <c r="A866" s="1105"/>
      <c r="B866" s="538" t="s">
        <v>3710</v>
      </c>
      <c r="C866" s="601">
        <v>325</v>
      </c>
      <c r="D866" s="818" t="s">
        <v>2322</v>
      </c>
      <c r="E866" s="1276"/>
      <c r="F866" s="1125">
        <f t="shared" si="184"/>
        <v>0</v>
      </c>
      <c r="G866" s="1199"/>
      <c r="H866" s="1125">
        <f t="shared" si="185"/>
        <v>0</v>
      </c>
      <c r="I866" s="748"/>
      <c r="J866" s="748">
        <f t="shared" si="183"/>
        <v>0</v>
      </c>
      <c r="K866" s="1199"/>
      <c r="L866" s="1125">
        <f t="shared" si="186"/>
        <v>0</v>
      </c>
      <c r="M866" s="1200"/>
      <c r="N866" s="1339">
        <f t="shared" si="187"/>
        <v>0</v>
      </c>
      <c r="O866" s="1340">
        <f t="shared" si="188"/>
        <v>0</v>
      </c>
      <c r="P866" s="1339">
        <f t="shared" si="189"/>
        <v>0</v>
      </c>
      <c r="Q866" s="1340">
        <f t="shared" si="190"/>
        <v>0</v>
      </c>
      <c r="R866" s="1339">
        <f t="shared" si="191"/>
        <v>0</v>
      </c>
    </row>
    <row r="867" spans="1:20" s="700" customFormat="1" ht="70.5" hidden="1" customHeight="1">
      <c r="A867" s="1105"/>
      <c r="B867" s="538" t="s">
        <v>3711</v>
      </c>
      <c r="C867" s="601">
        <v>35</v>
      </c>
      <c r="D867" s="818" t="s">
        <v>2322</v>
      </c>
      <c r="E867" s="1276"/>
      <c r="F867" s="1125">
        <f t="shared" si="184"/>
        <v>0</v>
      </c>
      <c r="G867" s="1199"/>
      <c r="H867" s="1125">
        <f t="shared" si="185"/>
        <v>0</v>
      </c>
      <c r="I867" s="748"/>
      <c r="J867" s="748">
        <f t="shared" si="183"/>
        <v>0</v>
      </c>
      <c r="K867" s="1199"/>
      <c r="L867" s="1125">
        <f t="shared" si="186"/>
        <v>0</v>
      </c>
      <c r="M867" s="1200"/>
      <c r="N867" s="1339">
        <f t="shared" si="187"/>
        <v>0</v>
      </c>
      <c r="O867" s="1340">
        <f t="shared" si="188"/>
        <v>0</v>
      </c>
      <c r="P867" s="1339">
        <f t="shared" si="189"/>
        <v>0</v>
      </c>
      <c r="Q867" s="1340">
        <f t="shared" si="190"/>
        <v>0</v>
      </c>
      <c r="R867" s="1339">
        <f t="shared" si="191"/>
        <v>0</v>
      </c>
    </row>
    <row r="868" spans="1:20" ht="70.5" hidden="1" customHeight="1">
      <c r="A868" s="1486"/>
      <c r="B868" s="1353" t="s">
        <v>4136</v>
      </c>
      <c r="C868" s="1354">
        <f>Data!AQ3116</f>
        <v>259</v>
      </c>
      <c r="D868" s="1352" t="s">
        <v>1423</v>
      </c>
      <c r="E868" s="1342"/>
      <c r="F868" s="1125">
        <f t="shared" si="184"/>
        <v>0</v>
      </c>
      <c r="G868" s="1335"/>
      <c r="H868" s="1125">
        <f t="shared" si="185"/>
        <v>0</v>
      </c>
      <c r="I868" s="1312"/>
      <c r="J868" s="1406">
        <f t="shared" si="183"/>
        <v>0</v>
      </c>
      <c r="K868" s="1335"/>
      <c r="L868" s="1125">
        <f t="shared" si="186"/>
        <v>0</v>
      </c>
      <c r="M868" s="1343"/>
      <c r="N868" s="1339">
        <f t="shared" si="187"/>
        <v>0</v>
      </c>
      <c r="O868" s="1340">
        <f t="shared" si="188"/>
        <v>0</v>
      </c>
      <c r="P868" s="1339">
        <f t="shared" si="189"/>
        <v>0</v>
      </c>
      <c r="Q868" s="1340">
        <f t="shared" si="190"/>
        <v>0</v>
      </c>
      <c r="R868" s="1339">
        <f t="shared" si="191"/>
        <v>0</v>
      </c>
    </row>
    <row r="869" spans="1:20" ht="70.5" hidden="1" customHeight="1">
      <c r="A869" s="1486"/>
      <c r="B869" s="1353" t="s">
        <v>4137</v>
      </c>
      <c r="C869" s="1354">
        <f>Data!AR3116</f>
        <v>248</v>
      </c>
      <c r="D869" s="1352" t="s">
        <v>1423</v>
      </c>
      <c r="E869" s="1342"/>
      <c r="F869" s="1125">
        <f t="shared" si="184"/>
        <v>0</v>
      </c>
      <c r="G869" s="1335"/>
      <c r="H869" s="1125">
        <f t="shared" si="185"/>
        <v>0</v>
      </c>
      <c r="I869" s="1312"/>
      <c r="J869" s="1406">
        <f t="shared" si="183"/>
        <v>0</v>
      </c>
      <c r="K869" s="1335"/>
      <c r="L869" s="1125">
        <f t="shared" si="186"/>
        <v>0</v>
      </c>
      <c r="M869" s="1343"/>
      <c r="N869" s="1339">
        <f t="shared" si="187"/>
        <v>0</v>
      </c>
      <c r="O869" s="1340">
        <f t="shared" si="188"/>
        <v>0</v>
      </c>
      <c r="P869" s="1339">
        <f t="shared" si="189"/>
        <v>0</v>
      </c>
      <c r="Q869" s="1340">
        <f t="shared" si="190"/>
        <v>0</v>
      </c>
      <c r="R869" s="1339">
        <f t="shared" si="191"/>
        <v>0</v>
      </c>
    </row>
    <row r="870" spans="1:20" s="700" customFormat="1" ht="70.5" hidden="1" customHeight="1">
      <c r="A870" s="1414"/>
      <c r="B870" s="1458" t="s">
        <v>3708</v>
      </c>
      <c r="C870" s="1463">
        <f>Elec.Data!R808</f>
        <v>3367</v>
      </c>
      <c r="D870" s="1464" t="s">
        <v>1423</v>
      </c>
      <c r="E870" s="1278"/>
      <c r="F870" s="1125">
        <f t="shared" si="184"/>
        <v>0</v>
      </c>
      <c r="G870" s="1273"/>
      <c r="H870" s="1125">
        <f t="shared" si="185"/>
        <v>0</v>
      </c>
      <c r="I870" s="748"/>
      <c r="J870" s="748">
        <f t="shared" si="183"/>
        <v>0</v>
      </c>
      <c r="K870" s="1273"/>
      <c r="L870" s="1125">
        <f t="shared" si="186"/>
        <v>0</v>
      </c>
      <c r="M870" s="1412"/>
      <c r="N870" s="1339">
        <f t="shared" si="187"/>
        <v>0</v>
      </c>
      <c r="O870" s="1340">
        <f t="shared" si="188"/>
        <v>0</v>
      </c>
      <c r="P870" s="1339">
        <f t="shared" si="189"/>
        <v>0</v>
      </c>
      <c r="Q870" s="1340">
        <f t="shared" si="190"/>
        <v>0</v>
      </c>
      <c r="R870" s="1339">
        <f t="shared" si="191"/>
        <v>0</v>
      </c>
    </row>
    <row r="871" spans="1:20" s="700" customFormat="1" ht="72.75" hidden="1" customHeight="1">
      <c r="A871" s="1105"/>
      <c r="B871" s="538" t="s">
        <v>5944</v>
      </c>
      <c r="C871" s="538">
        <f>Data!K2343</f>
        <v>1017.6</v>
      </c>
      <c r="D871" s="744" t="s">
        <v>842</v>
      </c>
      <c r="E871" s="1276"/>
      <c r="F871" s="1125">
        <f t="shared" si="184"/>
        <v>0</v>
      </c>
      <c r="G871" s="1199"/>
      <c r="H871" s="1125">
        <f t="shared" si="185"/>
        <v>0</v>
      </c>
      <c r="I871" s="748"/>
      <c r="J871" s="748">
        <f t="shared" si="183"/>
        <v>0</v>
      </c>
      <c r="K871" s="1199"/>
      <c r="L871" s="1125">
        <f t="shared" si="186"/>
        <v>0</v>
      </c>
      <c r="M871" s="1200"/>
      <c r="N871" s="1339">
        <f t="shared" si="187"/>
        <v>0</v>
      </c>
      <c r="O871" s="1340">
        <f t="shared" si="188"/>
        <v>0</v>
      </c>
      <c r="P871" s="1339">
        <f t="shared" si="189"/>
        <v>0</v>
      </c>
      <c r="Q871" s="1340">
        <f t="shared" si="190"/>
        <v>0</v>
      </c>
      <c r="R871" s="1339">
        <f t="shared" si="191"/>
        <v>0</v>
      </c>
    </row>
    <row r="872" spans="1:20" s="700" customFormat="1" ht="70.5" hidden="1" customHeight="1">
      <c r="A872" s="1105"/>
      <c r="B872" s="538" t="s">
        <v>5549</v>
      </c>
      <c r="C872" s="538">
        <f>Data!R2448</f>
        <v>978.96</v>
      </c>
      <c r="D872" s="744"/>
      <c r="E872" s="1276"/>
      <c r="F872" s="1125">
        <f t="shared" si="184"/>
        <v>0</v>
      </c>
      <c r="G872" s="1199"/>
      <c r="H872" s="1125">
        <f t="shared" si="185"/>
        <v>0</v>
      </c>
      <c r="I872" s="748"/>
      <c r="J872" s="748">
        <f t="shared" si="183"/>
        <v>0</v>
      </c>
      <c r="K872" s="1199"/>
      <c r="L872" s="1125">
        <f t="shared" si="186"/>
        <v>0</v>
      </c>
      <c r="M872" s="1200"/>
      <c r="N872" s="1339">
        <f t="shared" si="187"/>
        <v>0</v>
      </c>
      <c r="O872" s="1340">
        <f t="shared" si="188"/>
        <v>0</v>
      </c>
      <c r="P872" s="1339">
        <f t="shared" si="189"/>
        <v>0</v>
      </c>
      <c r="Q872" s="1340">
        <f t="shared" si="190"/>
        <v>0</v>
      </c>
      <c r="R872" s="1339">
        <f t="shared" si="191"/>
        <v>0</v>
      </c>
    </row>
    <row r="873" spans="1:20" s="700" customFormat="1" ht="70.5" hidden="1" customHeight="1">
      <c r="A873" s="1105"/>
      <c r="B873" s="538" t="s">
        <v>4945</v>
      </c>
      <c r="C873" s="1138">
        <f>Data!X1347</f>
        <v>1724.71</v>
      </c>
      <c r="D873" s="744" t="s">
        <v>1876</v>
      </c>
      <c r="E873" s="1276"/>
      <c r="F873" s="1125">
        <f t="shared" si="184"/>
        <v>0</v>
      </c>
      <c r="G873" s="1199"/>
      <c r="H873" s="1125">
        <f t="shared" si="185"/>
        <v>0</v>
      </c>
      <c r="I873" s="748"/>
      <c r="J873" s="748">
        <f t="shared" si="183"/>
        <v>0</v>
      </c>
      <c r="K873" s="1199"/>
      <c r="L873" s="1125">
        <f t="shared" si="186"/>
        <v>0</v>
      </c>
      <c r="M873" s="1200"/>
      <c r="N873" s="1339">
        <f t="shared" si="187"/>
        <v>0</v>
      </c>
      <c r="O873" s="1340">
        <f t="shared" si="188"/>
        <v>0</v>
      </c>
      <c r="P873" s="1339">
        <f t="shared" si="189"/>
        <v>0</v>
      </c>
      <c r="Q873" s="1340">
        <f t="shared" si="190"/>
        <v>0</v>
      </c>
      <c r="R873" s="1339">
        <f t="shared" si="191"/>
        <v>0</v>
      </c>
    </row>
    <row r="874" spans="1:20" s="700" customFormat="1" ht="70.5" hidden="1" customHeight="1">
      <c r="A874" s="1105"/>
      <c r="B874" s="538" t="s">
        <v>5027</v>
      </c>
      <c r="C874" s="1138">
        <f>C873-(Data!X1341/10)</f>
        <v>1489.95</v>
      </c>
      <c r="D874" s="744" t="s">
        <v>1876</v>
      </c>
      <c r="E874" s="1276"/>
      <c r="F874" s="1125">
        <f t="shared" si="184"/>
        <v>0</v>
      </c>
      <c r="G874" s="1199"/>
      <c r="H874" s="1125">
        <f t="shared" si="185"/>
        <v>0</v>
      </c>
      <c r="I874" s="748"/>
      <c r="J874" s="748">
        <f t="shared" si="183"/>
        <v>0</v>
      </c>
      <c r="K874" s="1199"/>
      <c r="L874" s="1125">
        <f t="shared" si="186"/>
        <v>0</v>
      </c>
      <c r="M874" s="1200"/>
      <c r="N874" s="1339">
        <f t="shared" si="187"/>
        <v>0</v>
      </c>
      <c r="O874" s="1340">
        <f t="shared" si="188"/>
        <v>0</v>
      </c>
      <c r="P874" s="1339">
        <f t="shared" si="189"/>
        <v>0</v>
      </c>
      <c r="Q874" s="1340">
        <f t="shared" si="190"/>
        <v>0</v>
      </c>
      <c r="R874" s="1339">
        <f t="shared" si="191"/>
        <v>0</v>
      </c>
    </row>
    <row r="875" spans="1:20" s="700" customFormat="1" ht="70.5" hidden="1" customHeight="1">
      <c r="A875" s="1105"/>
      <c r="B875" s="538" t="s">
        <v>4927</v>
      </c>
      <c r="C875" s="1138">
        <f>C1090</f>
        <v>1694.35</v>
      </c>
      <c r="D875" s="744" t="s">
        <v>1876</v>
      </c>
      <c r="E875" s="1276"/>
      <c r="F875" s="1125">
        <f t="shared" si="184"/>
        <v>0</v>
      </c>
      <c r="G875" s="1199"/>
      <c r="H875" s="1125">
        <f t="shared" si="185"/>
        <v>0</v>
      </c>
      <c r="I875" s="748"/>
      <c r="J875" s="748">
        <f t="shared" si="183"/>
        <v>0</v>
      </c>
      <c r="K875" s="1199"/>
      <c r="L875" s="1125">
        <f t="shared" si="186"/>
        <v>0</v>
      </c>
      <c r="M875" s="1200"/>
      <c r="N875" s="1339">
        <f t="shared" si="187"/>
        <v>0</v>
      </c>
      <c r="O875" s="1340">
        <f t="shared" si="188"/>
        <v>0</v>
      </c>
      <c r="P875" s="1339">
        <f t="shared" si="189"/>
        <v>0</v>
      </c>
      <c r="Q875" s="1340">
        <f t="shared" si="190"/>
        <v>0</v>
      </c>
      <c r="R875" s="1339">
        <f t="shared" si="191"/>
        <v>0</v>
      </c>
    </row>
    <row r="876" spans="1:20" s="700" customFormat="1" ht="70.5" hidden="1" customHeight="1">
      <c r="A876" s="1105" t="s">
        <v>1355</v>
      </c>
      <c r="B876" s="538" t="s">
        <v>1433</v>
      </c>
      <c r="C876" s="602">
        <f>Data!K1797</f>
        <v>2010</v>
      </c>
      <c r="D876" s="744" t="s">
        <v>1423</v>
      </c>
      <c r="E876" s="1276"/>
      <c r="F876" s="1125">
        <f t="shared" si="184"/>
        <v>0</v>
      </c>
      <c r="G876" s="1199"/>
      <c r="H876" s="1125">
        <f t="shared" si="185"/>
        <v>0</v>
      </c>
      <c r="I876" s="748"/>
      <c r="J876" s="748">
        <f t="shared" si="183"/>
        <v>0</v>
      </c>
      <c r="K876" s="1199"/>
      <c r="L876" s="1125">
        <f t="shared" si="186"/>
        <v>0</v>
      </c>
      <c r="M876" s="1200"/>
      <c r="N876" s="1339">
        <f t="shared" si="187"/>
        <v>0</v>
      </c>
      <c r="O876" s="1340">
        <f t="shared" si="188"/>
        <v>0</v>
      </c>
      <c r="P876" s="1339">
        <f t="shared" si="189"/>
        <v>0</v>
      </c>
      <c r="Q876" s="1340">
        <f t="shared" si="190"/>
        <v>0</v>
      </c>
      <c r="R876" s="1339">
        <f t="shared" si="191"/>
        <v>0</v>
      </c>
    </row>
    <row r="877" spans="1:20" ht="70.5" customHeight="1">
      <c r="A877" s="1486"/>
      <c r="B877" s="1344" t="s">
        <v>3901</v>
      </c>
      <c r="C877" s="1111"/>
      <c r="D877" s="1110"/>
      <c r="E877" s="1109"/>
      <c r="F877" s="1125">
        <f t="shared" si="184"/>
        <v>0</v>
      </c>
      <c r="G877" s="1335"/>
      <c r="H877" s="1125">
        <f t="shared" si="185"/>
        <v>0</v>
      </c>
      <c r="I877" s="1312"/>
      <c r="J877" s="1406">
        <f t="shared" si="183"/>
        <v>0</v>
      </c>
      <c r="K877" s="1335"/>
      <c r="L877" s="1125">
        <f t="shared" si="186"/>
        <v>0</v>
      </c>
      <c r="M877" s="1340"/>
      <c r="N877" s="1339">
        <f t="shared" si="187"/>
        <v>0</v>
      </c>
      <c r="O877" s="1340">
        <f t="shared" si="188"/>
        <v>0</v>
      </c>
      <c r="P877" s="1339">
        <f t="shared" si="189"/>
        <v>0</v>
      </c>
      <c r="Q877" s="1341" t="s">
        <v>2290</v>
      </c>
      <c r="R877" s="1339"/>
      <c r="S877" s="1322">
        <f t="shared" ref="S877:S879" si="192">F877+P877</f>
        <v>0</v>
      </c>
      <c r="T877" s="1322">
        <f t="shared" ref="T877:T879" si="193">S877-R877</f>
        <v>0</v>
      </c>
    </row>
    <row r="878" spans="1:20" ht="54" customHeight="1">
      <c r="A878" s="1486"/>
      <c r="B878" s="1198" t="s">
        <v>3902</v>
      </c>
      <c r="C878" s="1505">
        <f>Data!K3677</f>
        <v>490.75</v>
      </c>
      <c r="D878" s="1110" t="s">
        <v>842</v>
      </c>
      <c r="E878" s="1336">
        <v>60</v>
      </c>
      <c r="F878" s="1125">
        <f t="shared" si="184"/>
        <v>29445</v>
      </c>
      <c r="G878" s="1335"/>
      <c r="H878" s="1125">
        <f t="shared" si="185"/>
        <v>0</v>
      </c>
      <c r="I878" s="1312"/>
      <c r="J878" s="1406">
        <f t="shared" si="183"/>
        <v>0</v>
      </c>
      <c r="K878" s="1335"/>
      <c r="L878" s="1125">
        <f t="shared" si="186"/>
        <v>0</v>
      </c>
      <c r="M878" s="1340"/>
      <c r="N878" s="1339">
        <f t="shared" si="187"/>
        <v>0</v>
      </c>
      <c r="O878" s="1340">
        <f t="shared" si="188"/>
        <v>0</v>
      </c>
      <c r="P878" s="1339">
        <f t="shared" si="189"/>
        <v>0</v>
      </c>
      <c r="Q878" s="1340">
        <f t="shared" si="190"/>
        <v>60</v>
      </c>
      <c r="R878" s="1339">
        <f t="shared" si="191"/>
        <v>29445</v>
      </c>
      <c r="S878" s="1322">
        <f t="shared" si="192"/>
        <v>29445</v>
      </c>
      <c r="T878" s="1322">
        <f t="shared" si="193"/>
        <v>0</v>
      </c>
    </row>
    <row r="879" spans="1:20" ht="54.75" customHeight="1">
      <c r="A879" s="1486"/>
      <c r="B879" s="1198" t="s">
        <v>4071</v>
      </c>
      <c r="C879" s="1505">
        <f>Data!K3697</f>
        <v>815</v>
      </c>
      <c r="D879" s="1110" t="s">
        <v>842</v>
      </c>
      <c r="E879" s="1336">
        <v>50</v>
      </c>
      <c r="F879" s="1125">
        <f t="shared" si="184"/>
        <v>40750</v>
      </c>
      <c r="G879" s="1335"/>
      <c r="H879" s="1125">
        <f t="shared" si="185"/>
        <v>0</v>
      </c>
      <c r="I879" s="1312"/>
      <c r="J879" s="1406">
        <f t="shared" si="183"/>
        <v>0</v>
      </c>
      <c r="K879" s="1335"/>
      <c r="L879" s="1125">
        <f t="shared" si="186"/>
        <v>0</v>
      </c>
      <c r="M879" s="1340"/>
      <c r="N879" s="1339">
        <f t="shared" si="187"/>
        <v>0</v>
      </c>
      <c r="O879" s="1340">
        <f t="shared" si="188"/>
        <v>0</v>
      </c>
      <c r="P879" s="1339">
        <f t="shared" si="189"/>
        <v>0</v>
      </c>
      <c r="Q879" s="1340">
        <f t="shared" si="190"/>
        <v>50</v>
      </c>
      <c r="R879" s="1339">
        <f t="shared" si="191"/>
        <v>40750</v>
      </c>
      <c r="S879" s="1322">
        <f t="shared" si="192"/>
        <v>40750</v>
      </c>
      <c r="T879" s="1322">
        <f t="shared" si="193"/>
        <v>0</v>
      </c>
    </row>
    <row r="880" spans="1:20" s="812" customFormat="1" ht="54.75" customHeight="1">
      <c r="A880" s="1107"/>
      <c r="B880" s="1112" t="s">
        <v>3903</v>
      </c>
      <c r="C880" s="1505"/>
      <c r="D880" s="1110"/>
      <c r="E880" s="743"/>
      <c r="F880" s="1125">
        <f t="shared" si="184"/>
        <v>0</v>
      </c>
      <c r="G880" s="1199"/>
      <c r="H880" s="1125">
        <f t="shared" si="185"/>
        <v>0</v>
      </c>
      <c r="I880" s="748"/>
      <c r="J880" s="1407">
        <f t="shared" si="183"/>
        <v>0</v>
      </c>
      <c r="K880" s="1199"/>
      <c r="L880" s="1125">
        <f t="shared" si="186"/>
        <v>0</v>
      </c>
      <c r="M880" s="1208"/>
      <c r="N880" s="1339">
        <f t="shared" si="187"/>
        <v>0</v>
      </c>
      <c r="O880" s="1340">
        <f t="shared" si="188"/>
        <v>0</v>
      </c>
      <c r="P880" s="1339">
        <f t="shared" si="189"/>
        <v>0</v>
      </c>
      <c r="Q880" s="1341" t="s">
        <v>2290</v>
      </c>
      <c r="R880" s="1339"/>
    </row>
    <row r="881" spans="1:20" s="812" customFormat="1" ht="54.75" customHeight="1">
      <c r="A881" s="1107"/>
      <c r="B881" s="1108" t="s">
        <v>5405</v>
      </c>
      <c r="C881" s="1505">
        <v>175.2</v>
      </c>
      <c r="D881" s="1110" t="s">
        <v>1423</v>
      </c>
      <c r="E881" s="1100">
        <v>2</v>
      </c>
      <c r="F881" s="1125">
        <f t="shared" si="184"/>
        <v>350.4</v>
      </c>
      <c r="G881" s="1199"/>
      <c r="H881" s="1125">
        <f t="shared" si="185"/>
        <v>0</v>
      </c>
      <c r="I881" s="748"/>
      <c r="J881" s="1407">
        <f t="shared" si="183"/>
        <v>0</v>
      </c>
      <c r="K881" s="1199"/>
      <c r="L881" s="1125">
        <f t="shared" si="186"/>
        <v>0</v>
      </c>
      <c r="M881" s="1208"/>
      <c r="N881" s="1339">
        <f t="shared" si="187"/>
        <v>0</v>
      </c>
      <c r="O881" s="1340">
        <f t="shared" si="188"/>
        <v>0</v>
      </c>
      <c r="P881" s="1339">
        <f t="shared" si="189"/>
        <v>0</v>
      </c>
      <c r="Q881" s="1340">
        <f t="shared" si="190"/>
        <v>2</v>
      </c>
      <c r="R881" s="1339">
        <f t="shared" si="191"/>
        <v>350.4</v>
      </c>
    </row>
    <row r="882" spans="1:20" s="812" customFormat="1" ht="54.75" customHeight="1">
      <c r="A882" s="1107"/>
      <c r="B882" s="1108" t="s">
        <v>5406</v>
      </c>
      <c r="C882" s="1505">
        <v>560.20000000000005</v>
      </c>
      <c r="D882" s="1110" t="s">
        <v>1423</v>
      </c>
      <c r="E882" s="1100">
        <v>2</v>
      </c>
      <c r="F882" s="1125">
        <f t="shared" si="184"/>
        <v>1120.4000000000001</v>
      </c>
      <c r="G882" s="1199"/>
      <c r="H882" s="1125">
        <f t="shared" si="185"/>
        <v>0</v>
      </c>
      <c r="I882" s="748"/>
      <c r="J882" s="1407">
        <f t="shared" si="183"/>
        <v>0</v>
      </c>
      <c r="K882" s="1199"/>
      <c r="L882" s="1125">
        <f t="shared" si="186"/>
        <v>0</v>
      </c>
      <c r="M882" s="1208"/>
      <c r="N882" s="1339">
        <f t="shared" si="187"/>
        <v>0</v>
      </c>
      <c r="O882" s="1340">
        <f t="shared" si="188"/>
        <v>0</v>
      </c>
      <c r="P882" s="1339">
        <f t="shared" si="189"/>
        <v>0</v>
      </c>
      <c r="Q882" s="1340">
        <f t="shared" si="190"/>
        <v>2</v>
      </c>
      <c r="R882" s="1339">
        <f t="shared" si="191"/>
        <v>1120.4000000000001</v>
      </c>
    </row>
    <row r="883" spans="1:20" s="812" customFormat="1" ht="54.75" customHeight="1">
      <c r="A883" s="1107"/>
      <c r="B883" s="1112" t="s">
        <v>3904</v>
      </c>
      <c r="C883" s="1505"/>
      <c r="D883" s="1110"/>
      <c r="E883" s="743"/>
      <c r="F883" s="1125">
        <f t="shared" si="184"/>
        <v>0</v>
      </c>
      <c r="G883" s="1199"/>
      <c r="H883" s="1125">
        <f t="shared" si="185"/>
        <v>0</v>
      </c>
      <c r="I883" s="748"/>
      <c r="J883" s="1407">
        <f t="shared" si="183"/>
        <v>0</v>
      </c>
      <c r="K883" s="1199"/>
      <c r="L883" s="1125">
        <f t="shared" si="186"/>
        <v>0</v>
      </c>
      <c r="M883" s="1208"/>
      <c r="N883" s="1339">
        <f t="shared" si="187"/>
        <v>0</v>
      </c>
      <c r="O883" s="1340">
        <f t="shared" si="188"/>
        <v>0</v>
      </c>
      <c r="P883" s="1339">
        <f t="shared" si="189"/>
        <v>0</v>
      </c>
      <c r="Q883" s="1341" t="s">
        <v>2290</v>
      </c>
      <c r="R883" s="1339"/>
    </row>
    <row r="884" spans="1:20" s="812" customFormat="1" ht="60.75" customHeight="1">
      <c r="A884" s="1107"/>
      <c r="B884" s="1108" t="s">
        <v>5407</v>
      </c>
      <c r="C884" s="1505">
        <v>197.5</v>
      </c>
      <c r="D884" s="1110" t="s">
        <v>1423</v>
      </c>
      <c r="E884" s="1100">
        <v>2</v>
      </c>
      <c r="F884" s="1125">
        <f t="shared" si="184"/>
        <v>395</v>
      </c>
      <c r="G884" s="1199"/>
      <c r="H884" s="1125">
        <f t="shared" si="185"/>
        <v>0</v>
      </c>
      <c r="I884" s="748"/>
      <c r="J884" s="1407">
        <f t="shared" si="183"/>
        <v>0</v>
      </c>
      <c r="K884" s="1199"/>
      <c r="L884" s="1125">
        <f t="shared" si="186"/>
        <v>0</v>
      </c>
      <c r="M884" s="1208"/>
      <c r="N884" s="1339">
        <f t="shared" si="187"/>
        <v>0</v>
      </c>
      <c r="O884" s="1340">
        <f t="shared" si="188"/>
        <v>0</v>
      </c>
      <c r="P884" s="1339">
        <f t="shared" si="189"/>
        <v>0</v>
      </c>
      <c r="Q884" s="1340">
        <f t="shared" si="190"/>
        <v>2</v>
      </c>
      <c r="R884" s="1339">
        <f t="shared" si="191"/>
        <v>395</v>
      </c>
    </row>
    <row r="885" spans="1:20" s="812" customFormat="1" ht="48.75" customHeight="1">
      <c r="A885" s="1107"/>
      <c r="B885" s="1108" t="s">
        <v>4924</v>
      </c>
      <c r="C885" s="1505">
        <v>371.8</v>
      </c>
      <c r="D885" s="1188" t="s">
        <v>1423</v>
      </c>
      <c r="E885" s="1100">
        <v>2</v>
      </c>
      <c r="F885" s="1125">
        <f t="shared" si="184"/>
        <v>743.6</v>
      </c>
      <c r="G885" s="1199"/>
      <c r="H885" s="1125">
        <f t="shared" si="185"/>
        <v>0</v>
      </c>
      <c r="I885" s="748"/>
      <c r="J885" s="1407">
        <f t="shared" si="183"/>
        <v>0</v>
      </c>
      <c r="K885" s="1199"/>
      <c r="L885" s="1125">
        <f t="shared" si="186"/>
        <v>0</v>
      </c>
      <c r="M885" s="1208"/>
      <c r="N885" s="1339">
        <f t="shared" si="187"/>
        <v>0</v>
      </c>
      <c r="O885" s="1340">
        <f t="shared" si="188"/>
        <v>0</v>
      </c>
      <c r="P885" s="1339">
        <f t="shared" si="189"/>
        <v>0</v>
      </c>
      <c r="Q885" s="1340">
        <f t="shared" si="190"/>
        <v>2</v>
      </c>
      <c r="R885" s="1339">
        <f t="shared" si="191"/>
        <v>743.6</v>
      </c>
    </row>
    <row r="886" spans="1:20" ht="90.75" customHeight="1">
      <c r="A886" s="1486"/>
      <c r="B886" s="1198" t="s">
        <v>5935</v>
      </c>
      <c r="C886" s="1507">
        <f>Data!R1978</f>
        <v>3416.69</v>
      </c>
      <c r="D886" s="1110" t="s">
        <v>1423</v>
      </c>
      <c r="E886" s="1336">
        <v>1</v>
      </c>
      <c r="F886" s="1125">
        <f t="shared" si="184"/>
        <v>3416.69</v>
      </c>
      <c r="G886" s="1335"/>
      <c r="H886" s="1125">
        <f t="shared" si="185"/>
        <v>0</v>
      </c>
      <c r="I886" s="1312"/>
      <c r="J886" s="1406">
        <f t="shared" si="183"/>
        <v>0</v>
      </c>
      <c r="K886" s="1335"/>
      <c r="L886" s="1125">
        <f t="shared" si="186"/>
        <v>0</v>
      </c>
      <c r="M886" s="1340"/>
      <c r="N886" s="1339">
        <f t="shared" si="187"/>
        <v>0</v>
      </c>
      <c r="O886" s="1340">
        <f t="shared" si="188"/>
        <v>0</v>
      </c>
      <c r="P886" s="1339">
        <f t="shared" si="189"/>
        <v>0</v>
      </c>
      <c r="Q886" s="1340">
        <f t="shared" si="190"/>
        <v>1</v>
      </c>
      <c r="R886" s="1339">
        <f t="shared" si="191"/>
        <v>3416.69</v>
      </c>
      <c r="S886" s="1322">
        <f t="shared" ref="S886:S888" si="194">F886+P886</f>
        <v>3416.69</v>
      </c>
      <c r="T886" s="1322">
        <f t="shared" ref="T886:T888" si="195">S886-R886</f>
        <v>0</v>
      </c>
    </row>
    <row r="887" spans="1:20" ht="90.75" customHeight="1">
      <c r="A887" s="1486"/>
      <c r="B887" s="1198" t="s">
        <v>4754</v>
      </c>
      <c r="C887" s="1507">
        <f>Data!R1999</f>
        <v>5371.28</v>
      </c>
      <c r="D887" s="1110" t="s">
        <v>1423</v>
      </c>
      <c r="E887" s="1336">
        <v>6</v>
      </c>
      <c r="F887" s="1125">
        <f t="shared" si="184"/>
        <v>32227.68</v>
      </c>
      <c r="G887" s="1335"/>
      <c r="H887" s="1125">
        <f t="shared" si="185"/>
        <v>0</v>
      </c>
      <c r="I887" s="1312"/>
      <c r="J887" s="1406">
        <f t="shared" si="183"/>
        <v>0</v>
      </c>
      <c r="K887" s="1335"/>
      <c r="L887" s="1125">
        <f t="shared" si="186"/>
        <v>0</v>
      </c>
      <c r="M887" s="1340"/>
      <c r="N887" s="1339">
        <f t="shared" si="187"/>
        <v>0</v>
      </c>
      <c r="O887" s="1340">
        <f t="shared" si="188"/>
        <v>0</v>
      </c>
      <c r="P887" s="1339">
        <f t="shared" si="189"/>
        <v>0</v>
      </c>
      <c r="Q887" s="1340">
        <f t="shared" si="190"/>
        <v>6</v>
      </c>
      <c r="R887" s="1339">
        <f t="shared" si="191"/>
        <v>32227.68</v>
      </c>
      <c r="S887" s="1322">
        <f t="shared" si="194"/>
        <v>32227.68</v>
      </c>
      <c r="T887" s="1322">
        <f t="shared" si="195"/>
        <v>0</v>
      </c>
    </row>
    <row r="888" spans="1:20" ht="70.5" customHeight="1">
      <c r="A888" s="1486"/>
      <c r="B888" s="1198" t="s">
        <v>4753</v>
      </c>
      <c r="C888" s="1505">
        <f>Data!R2018</f>
        <v>7257.85</v>
      </c>
      <c r="D888" s="1110" t="s">
        <v>1423</v>
      </c>
      <c r="E888" s="1336">
        <v>17</v>
      </c>
      <c r="F888" s="1125">
        <f t="shared" si="184"/>
        <v>123383.45</v>
      </c>
      <c r="G888" s="1335"/>
      <c r="H888" s="1125">
        <f t="shared" si="185"/>
        <v>0</v>
      </c>
      <c r="I888" s="1312"/>
      <c r="J888" s="1406">
        <f t="shared" si="183"/>
        <v>0</v>
      </c>
      <c r="K888" s="1335"/>
      <c r="L888" s="1125">
        <f t="shared" si="186"/>
        <v>0</v>
      </c>
      <c r="M888" s="1340"/>
      <c r="N888" s="1339">
        <f t="shared" si="187"/>
        <v>0</v>
      </c>
      <c r="O888" s="1340">
        <f t="shared" si="188"/>
        <v>0</v>
      </c>
      <c r="P888" s="1339">
        <f t="shared" si="189"/>
        <v>0</v>
      </c>
      <c r="Q888" s="1340">
        <f t="shared" si="190"/>
        <v>17</v>
      </c>
      <c r="R888" s="1339">
        <f t="shared" si="191"/>
        <v>123383.45</v>
      </c>
      <c r="S888" s="1322">
        <f t="shared" si="194"/>
        <v>123383.45</v>
      </c>
      <c r="T888" s="1322">
        <f t="shared" si="195"/>
        <v>0</v>
      </c>
    </row>
    <row r="889" spans="1:20" s="812" customFormat="1" ht="70.5" hidden="1" customHeight="1">
      <c r="A889" s="1409"/>
      <c r="B889" s="1410" t="s">
        <v>4752</v>
      </c>
      <c r="C889" s="1456">
        <f>Data!R2037</f>
        <v>7651.85</v>
      </c>
      <c r="D889" s="1371" t="s">
        <v>1423</v>
      </c>
      <c r="E889" s="1278"/>
      <c r="F889" s="1125">
        <f t="shared" si="184"/>
        <v>0</v>
      </c>
      <c r="G889" s="1273"/>
      <c r="H889" s="1125">
        <f t="shared" si="185"/>
        <v>0</v>
      </c>
      <c r="I889" s="748"/>
      <c r="J889" s="748">
        <f t="shared" si="183"/>
        <v>0</v>
      </c>
      <c r="K889" s="1273"/>
      <c r="L889" s="1125">
        <f t="shared" si="186"/>
        <v>0</v>
      </c>
      <c r="M889" s="1412"/>
      <c r="N889" s="1339">
        <f t="shared" si="187"/>
        <v>0</v>
      </c>
      <c r="O889" s="1340">
        <f t="shared" si="188"/>
        <v>0</v>
      </c>
      <c r="P889" s="1339">
        <f t="shared" si="189"/>
        <v>0</v>
      </c>
      <c r="Q889" s="1340">
        <f t="shared" si="190"/>
        <v>0</v>
      </c>
      <c r="R889" s="1339">
        <f t="shared" si="191"/>
        <v>0</v>
      </c>
    </row>
    <row r="890" spans="1:20" s="812" customFormat="1" ht="70.5" hidden="1" customHeight="1">
      <c r="A890" s="1105"/>
      <c r="B890" s="1170" t="s">
        <v>4720</v>
      </c>
      <c r="C890" s="1138"/>
      <c r="D890" s="744"/>
      <c r="E890" s="1276"/>
      <c r="F890" s="1125">
        <f t="shared" si="184"/>
        <v>0</v>
      </c>
      <c r="G890" s="1199"/>
      <c r="H890" s="1125">
        <f t="shared" si="185"/>
        <v>0</v>
      </c>
      <c r="I890" s="748"/>
      <c r="J890" s="748">
        <f t="shared" si="183"/>
        <v>0</v>
      </c>
      <c r="K890" s="1199"/>
      <c r="L890" s="1125">
        <f t="shared" si="186"/>
        <v>0</v>
      </c>
      <c r="M890" s="1200"/>
      <c r="N890" s="1339">
        <f t="shared" si="187"/>
        <v>0</v>
      </c>
      <c r="O890" s="1340">
        <f t="shared" si="188"/>
        <v>0</v>
      </c>
      <c r="P890" s="1339">
        <f t="shared" si="189"/>
        <v>0</v>
      </c>
      <c r="Q890" s="1340">
        <f t="shared" si="190"/>
        <v>0</v>
      </c>
      <c r="R890" s="1339">
        <f t="shared" si="191"/>
        <v>0</v>
      </c>
    </row>
    <row r="891" spans="1:20" s="700" customFormat="1" ht="70.5" hidden="1" customHeight="1">
      <c r="A891" s="1105"/>
      <c r="B891" s="1152" t="s">
        <v>3918</v>
      </c>
      <c r="C891" s="1176">
        <f>'Sliding and french window'!F595</f>
        <v>2118.38</v>
      </c>
      <c r="D891" s="818" t="s">
        <v>2322</v>
      </c>
      <c r="E891" s="1276"/>
      <c r="F891" s="1125">
        <f t="shared" si="184"/>
        <v>0</v>
      </c>
      <c r="G891" s="1199"/>
      <c r="H891" s="1125">
        <f t="shared" si="185"/>
        <v>0</v>
      </c>
      <c r="I891" s="748"/>
      <c r="J891" s="748">
        <f t="shared" si="183"/>
        <v>0</v>
      </c>
      <c r="K891" s="1199"/>
      <c r="L891" s="1125">
        <f t="shared" si="186"/>
        <v>0</v>
      </c>
      <c r="M891" s="1200"/>
      <c r="N891" s="1339">
        <f t="shared" si="187"/>
        <v>0</v>
      </c>
      <c r="O891" s="1340">
        <f t="shared" si="188"/>
        <v>0</v>
      </c>
      <c r="P891" s="1339">
        <f t="shared" si="189"/>
        <v>0</v>
      </c>
      <c r="Q891" s="1340">
        <f t="shared" si="190"/>
        <v>0</v>
      </c>
      <c r="R891" s="1339">
        <f t="shared" si="191"/>
        <v>0</v>
      </c>
    </row>
    <row r="892" spans="1:20" s="700" customFormat="1" ht="70.5" hidden="1" customHeight="1">
      <c r="A892" s="1105"/>
      <c r="B892" s="1152" t="s">
        <v>3919</v>
      </c>
      <c r="C892" s="1138">
        <f>'Sliding and french window'!F558</f>
        <v>2413.36</v>
      </c>
      <c r="D892" s="818" t="s">
        <v>2322</v>
      </c>
      <c r="E892" s="1276"/>
      <c r="F892" s="1125">
        <f t="shared" si="184"/>
        <v>0</v>
      </c>
      <c r="G892" s="1199"/>
      <c r="H892" s="1125">
        <f t="shared" si="185"/>
        <v>0</v>
      </c>
      <c r="I892" s="748"/>
      <c r="J892" s="748">
        <f t="shared" si="183"/>
        <v>0</v>
      </c>
      <c r="K892" s="1199"/>
      <c r="L892" s="1125">
        <f t="shared" si="186"/>
        <v>0</v>
      </c>
      <c r="M892" s="1200"/>
      <c r="N892" s="1339">
        <f t="shared" si="187"/>
        <v>0</v>
      </c>
      <c r="O892" s="1340">
        <f t="shared" si="188"/>
        <v>0</v>
      </c>
      <c r="P892" s="1339">
        <f t="shared" si="189"/>
        <v>0</v>
      </c>
      <c r="Q892" s="1340">
        <f t="shared" si="190"/>
        <v>0</v>
      </c>
      <c r="R892" s="1339">
        <f t="shared" si="191"/>
        <v>0</v>
      </c>
    </row>
    <row r="893" spans="1:20" s="700" customFormat="1" ht="70.5" hidden="1" customHeight="1">
      <c r="A893" s="1105"/>
      <c r="B893" s="1152" t="s">
        <v>3920</v>
      </c>
      <c r="C893" s="1138">
        <f>'Sliding and french window'!F630</f>
        <v>2413.37</v>
      </c>
      <c r="D893" s="818" t="s">
        <v>2322</v>
      </c>
      <c r="E893" s="1276"/>
      <c r="F893" s="1125">
        <f t="shared" si="184"/>
        <v>0</v>
      </c>
      <c r="G893" s="1199"/>
      <c r="H893" s="1125">
        <f t="shared" si="185"/>
        <v>0</v>
      </c>
      <c r="I893" s="748"/>
      <c r="J893" s="748">
        <f t="shared" si="183"/>
        <v>0</v>
      </c>
      <c r="K893" s="1199"/>
      <c r="L893" s="1125">
        <f t="shared" si="186"/>
        <v>0</v>
      </c>
      <c r="M893" s="1200"/>
      <c r="N893" s="1339">
        <f t="shared" si="187"/>
        <v>0</v>
      </c>
      <c r="O893" s="1340">
        <f t="shared" si="188"/>
        <v>0</v>
      </c>
      <c r="P893" s="1339">
        <f t="shared" si="189"/>
        <v>0</v>
      </c>
      <c r="Q893" s="1340">
        <f t="shared" si="190"/>
        <v>0</v>
      </c>
      <c r="R893" s="1339">
        <f t="shared" si="191"/>
        <v>0</v>
      </c>
    </row>
    <row r="894" spans="1:20" s="700" customFormat="1" ht="70.5" hidden="1" customHeight="1">
      <c r="A894" s="1105"/>
      <c r="B894" s="1152" t="s">
        <v>3921</v>
      </c>
      <c r="C894" s="1138">
        <f>'Sliding and french window'!F666</f>
        <v>2870.15</v>
      </c>
      <c r="D894" s="818" t="s">
        <v>2322</v>
      </c>
      <c r="E894" s="1276"/>
      <c r="F894" s="1125">
        <f t="shared" si="184"/>
        <v>0</v>
      </c>
      <c r="G894" s="1199"/>
      <c r="H894" s="1125">
        <f t="shared" si="185"/>
        <v>0</v>
      </c>
      <c r="I894" s="748"/>
      <c r="J894" s="748">
        <f t="shared" si="183"/>
        <v>0</v>
      </c>
      <c r="K894" s="1199"/>
      <c r="L894" s="1125">
        <f t="shared" si="186"/>
        <v>0</v>
      </c>
      <c r="M894" s="1200"/>
      <c r="N894" s="1339">
        <f t="shared" si="187"/>
        <v>0</v>
      </c>
      <c r="O894" s="1340">
        <f t="shared" si="188"/>
        <v>0</v>
      </c>
      <c r="P894" s="1339">
        <f t="shared" si="189"/>
        <v>0</v>
      </c>
      <c r="Q894" s="1340">
        <f t="shared" si="190"/>
        <v>0</v>
      </c>
      <c r="R894" s="1339">
        <f t="shared" si="191"/>
        <v>0</v>
      </c>
    </row>
    <row r="895" spans="1:20" s="700" customFormat="1" ht="70.5" hidden="1" customHeight="1">
      <c r="A895" s="1105"/>
      <c r="B895" s="1152" t="s">
        <v>4721</v>
      </c>
      <c r="C895" s="1138">
        <f>'Sliding and french window'!F702</f>
        <v>3714.01</v>
      </c>
      <c r="D895" s="818" t="s">
        <v>2322</v>
      </c>
      <c r="E895" s="1276"/>
      <c r="F895" s="1125">
        <f t="shared" si="184"/>
        <v>0</v>
      </c>
      <c r="G895" s="1199"/>
      <c r="H895" s="1125">
        <f t="shared" si="185"/>
        <v>0</v>
      </c>
      <c r="I895" s="748"/>
      <c r="J895" s="748">
        <f t="shared" si="183"/>
        <v>0</v>
      </c>
      <c r="K895" s="1199"/>
      <c r="L895" s="1125">
        <f t="shared" si="186"/>
        <v>0</v>
      </c>
      <c r="M895" s="1200"/>
      <c r="N895" s="1339">
        <f t="shared" si="187"/>
        <v>0</v>
      </c>
      <c r="O895" s="1340">
        <f t="shared" si="188"/>
        <v>0</v>
      </c>
      <c r="P895" s="1339">
        <f t="shared" si="189"/>
        <v>0</v>
      </c>
      <c r="Q895" s="1340">
        <f t="shared" si="190"/>
        <v>0</v>
      </c>
      <c r="R895" s="1339">
        <f t="shared" si="191"/>
        <v>0</v>
      </c>
    </row>
    <row r="896" spans="1:20" s="700" customFormat="1" ht="70.5" hidden="1" customHeight="1">
      <c r="A896" s="1105"/>
      <c r="B896" s="1168" t="s">
        <v>4724</v>
      </c>
      <c r="C896" s="601">
        <f>Data!X3168</f>
        <v>3509.07</v>
      </c>
      <c r="D896" s="1129" t="s">
        <v>2322</v>
      </c>
      <c r="E896" s="1276"/>
      <c r="F896" s="1125">
        <f t="shared" si="184"/>
        <v>0</v>
      </c>
      <c r="G896" s="1199"/>
      <c r="H896" s="1125">
        <f t="shared" si="185"/>
        <v>0</v>
      </c>
      <c r="I896" s="748"/>
      <c r="J896" s="748">
        <f t="shared" si="183"/>
        <v>0</v>
      </c>
      <c r="K896" s="1199"/>
      <c r="L896" s="1125">
        <f t="shared" si="186"/>
        <v>0</v>
      </c>
      <c r="M896" s="1200"/>
      <c r="N896" s="1339">
        <f t="shared" si="187"/>
        <v>0</v>
      </c>
      <c r="O896" s="1340">
        <f t="shared" si="188"/>
        <v>0</v>
      </c>
      <c r="P896" s="1339">
        <f t="shared" si="189"/>
        <v>0</v>
      </c>
      <c r="Q896" s="1340">
        <f t="shared" si="190"/>
        <v>0</v>
      </c>
      <c r="R896" s="1339">
        <f t="shared" si="191"/>
        <v>0</v>
      </c>
    </row>
    <row r="897" spans="1:23" ht="115.5" hidden="1" customHeight="1">
      <c r="A897" s="1324"/>
      <c r="B897" s="1344" t="s">
        <v>3998</v>
      </c>
      <c r="C897" s="1187"/>
      <c r="D897" s="1155"/>
      <c r="E897" s="1342"/>
      <c r="F897" s="1125">
        <f t="shared" si="184"/>
        <v>0</v>
      </c>
      <c r="G897" s="1335"/>
      <c r="H897" s="1125">
        <f t="shared" si="185"/>
        <v>0</v>
      </c>
      <c r="I897" s="1312"/>
      <c r="J897" s="1312">
        <f t="shared" si="183"/>
        <v>0</v>
      </c>
      <c r="K897" s="1335"/>
      <c r="L897" s="1125">
        <f t="shared" si="186"/>
        <v>0</v>
      </c>
      <c r="M897" s="1343"/>
      <c r="N897" s="1339">
        <f t="shared" si="187"/>
        <v>0</v>
      </c>
      <c r="O897" s="1340">
        <f t="shared" si="188"/>
        <v>0</v>
      </c>
      <c r="P897" s="1339">
        <f t="shared" si="189"/>
        <v>0</v>
      </c>
      <c r="Q897" s="1340">
        <f t="shared" si="190"/>
        <v>0</v>
      </c>
      <c r="R897" s="1339">
        <f t="shared" si="191"/>
        <v>0</v>
      </c>
      <c r="S897" s="1322">
        <f t="shared" ref="S897:S907" si="196">F897+P897</f>
        <v>0</v>
      </c>
      <c r="T897" s="1322">
        <f t="shared" ref="T897:T907" si="197">S897-R897</f>
        <v>0</v>
      </c>
    </row>
    <row r="898" spans="1:23" ht="52.5" hidden="1" customHeight="1">
      <c r="A898" s="1324"/>
      <c r="B898" s="1198" t="s">
        <v>2180</v>
      </c>
      <c r="C898" s="1187">
        <f>'  Coastal  Elec.Data  (2)'!K29</f>
        <v>1617</v>
      </c>
      <c r="D898" s="1156" t="s">
        <v>1423</v>
      </c>
      <c r="E898" s="1342"/>
      <c r="F898" s="1125">
        <f t="shared" si="184"/>
        <v>0</v>
      </c>
      <c r="G898" s="1335"/>
      <c r="H898" s="1125">
        <f t="shared" si="185"/>
        <v>0</v>
      </c>
      <c r="I898" s="1312"/>
      <c r="J898" s="1312">
        <f t="shared" si="183"/>
        <v>0</v>
      </c>
      <c r="K898" s="1335"/>
      <c r="L898" s="1125">
        <f t="shared" si="186"/>
        <v>0</v>
      </c>
      <c r="M898" s="1343"/>
      <c r="N898" s="1339">
        <f t="shared" si="187"/>
        <v>0</v>
      </c>
      <c r="O898" s="1340">
        <f t="shared" si="188"/>
        <v>0</v>
      </c>
      <c r="P898" s="1339">
        <f t="shared" si="189"/>
        <v>0</v>
      </c>
      <c r="Q898" s="1340">
        <f t="shared" si="190"/>
        <v>0</v>
      </c>
      <c r="R898" s="1339">
        <f t="shared" si="191"/>
        <v>0</v>
      </c>
      <c r="S898" s="1322">
        <f t="shared" si="196"/>
        <v>0</v>
      </c>
      <c r="T898" s="1322">
        <f t="shared" si="197"/>
        <v>0</v>
      </c>
    </row>
    <row r="899" spans="1:23" ht="52.5" hidden="1" customHeight="1">
      <c r="A899" s="1324"/>
      <c r="B899" s="1198" t="s">
        <v>1294</v>
      </c>
      <c r="C899" s="1187">
        <f>'  Coastal  Elec.Data  (2)'!K53</f>
        <v>1620</v>
      </c>
      <c r="D899" s="1156" t="s">
        <v>1423</v>
      </c>
      <c r="E899" s="1342"/>
      <c r="F899" s="1125">
        <f t="shared" si="184"/>
        <v>0</v>
      </c>
      <c r="G899" s="1335"/>
      <c r="H899" s="1125">
        <f t="shared" si="185"/>
        <v>0</v>
      </c>
      <c r="I899" s="1312"/>
      <c r="J899" s="1312">
        <f t="shared" si="183"/>
        <v>0</v>
      </c>
      <c r="K899" s="1335"/>
      <c r="L899" s="1125">
        <f t="shared" si="186"/>
        <v>0</v>
      </c>
      <c r="M899" s="1343"/>
      <c r="N899" s="1339">
        <f t="shared" si="187"/>
        <v>0</v>
      </c>
      <c r="O899" s="1340">
        <f t="shared" si="188"/>
        <v>0</v>
      </c>
      <c r="P899" s="1339">
        <f t="shared" si="189"/>
        <v>0</v>
      </c>
      <c r="Q899" s="1340">
        <f t="shared" si="190"/>
        <v>0</v>
      </c>
      <c r="R899" s="1339">
        <f t="shared" si="191"/>
        <v>0</v>
      </c>
      <c r="S899" s="1322">
        <f t="shared" si="196"/>
        <v>0</v>
      </c>
      <c r="T899" s="1322">
        <f t="shared" si="197"/>
        <v>0</v>
      </c>
    </row>
    <row r="900" spans="1:23" ht="70.5" hidden="1" customHeight="1">
      <c r="A900" s="1349"/>
      <c r="B900" s="1198" t="s">
        <v>303</v>
      </c>
      <c r="C900" s="1187">
        <f>'  Coastal  Elec.Data  (2)'!K68</f>
        <v>1651</v>
      </c>
      <c r="D900" s="1156" t="s">
        <v>1423</v>
      </c>
      <c r="E900" s="1342"/>
      <c r="F900" s="1125">
        <f t="shared" si="184"/>
        <v>0</v>
      </c>
      <c r="G900" s="1335"/>
      <c r="H900" s="1125">
        <f t="shared" si="185"/>
        <v>0</v>
      </c>
      <c r="I900" s="1312"/>
      <c r="J900" s="1312">
        <f t="shared" si="183"/>
        <v>0</v>
      </c>
      <c r="K900" s="1335"/>
      <c r="L900" s="1125">
        <f t="shared" si="186"/>
        <v>0</v>
      </c>
      <c r="M900" s="1343"/>
      <c r="N900" s="1339">
        <f t="shared" si="187"/>
        <v>0</v>
      </c>
      <c r="O900" s="1340">
        <f t="shared" si="188"/>
        <v>0</v>
      </c>
      <c r="P900" s="1339">
        <f t="shared" si="189"/>
        <v>0</v>
      </c>
      <c r="Q900" s="1340">
        <f t="shared" si="190"/>
        <v>0</v>
      </c>
      <c r="R900" s="1339">
        <f t="shared" si="191"/>
        <v>0</v>
      </c>
      <c r="S900" s="1322">
        <f t="shared" si="196"/>
        <v>0</v>
      </c>
      <c r="T900" s="1322">
        <f t="shared" si="197"/>
        <v>0</v>
      </c>
    </row>
    <row r="901" spans="1:23" ht="110.25" hidden="1" customHeight="1">
      <c r="A901" s="1324"/>
      <c r="B901" s="1198" t="s">
        <v>4138</v>
      </c>
      <c r="C901" s="1187">
        <f>'  Coastal  Elec.Data '!K2921</f>
        <v>1672</v>
      </c>
      <c r="D901" s="1156" t="s">
        <v>1423</v>
      </c>
      <c r="E901" s="1342"/>
      <c r="F901" s="1125">
        <f t="shared" si="184"/>
        <v>0</v>
      </c>
      <c r="G901" s="1335"/>
      <c r="H901" s="1125">
        <f t="shared" si="185"/>
        <v>0</v>
      </c>
      <c r="I901" s="1312"/>
      <c r="J901" s="1312">
        <f t="shared" si="183"/>
        <v>0</v>
      </c>
      <c r="K901" s="1335"/>
      <c r="L901" s="1125">
        <f t="shared" si="186"/>
        <v>0</v>
      </c>
      <c r="M901" s="1343"/>
      <c r="N901" s="1339">
        <f t="shared" si="187"/>
        <v>0</v>
      </c>
      <c r="O901" s="1340">
        <f t="shared" si="188"/>
        <v>0</v>
      </c>
      <c r="P901" s="1339">
        <f t="shared" si="189"/>
        <v>0</v>
      </c>
      <c r="Q901" s="1340">
        <f t="shared" si="190"/>
        <v>0</v>
      </c>
      <c r="R901" s="1339">
        <f t="shared" si="191"/>
        <v>0</v>
      </c>
      <c r="S901" s="1322">
        <f t="shared" si="196"/>
        <v>0</v>
      </c>
      <c r="T901" s="1322">
        <f t="shared" si="197"/>
        <v>0</v>
      </c>
    </row>
    <row r="902" spans="1:23" ht="106.5" hidden="1" customHeight="1">
      <c r="A902" s="1324"/>
      <c r="B902" s="1198" t="s">
        <v>4139</v>
      </c>
      <c r="C902" s="1187">
        <f>'  Coastal  Elec.Data  (2)'!K114</f>
        <v>3038</v>
      </c>
      <c r="D902" s="1156" t="s">
        <v>1423</v>
      </c>
      <c r="E902" s="1342"/>
      <c r="F902" s="1125">
        <f t="shared" si="184"/>
        <v>0</v>
      </c>
      <c r="G902" s="1335"/>
      <c r="H902" s="1125">
        <f t="shared" si="185"/>
        <v>0</v>
      </c>
      <c r="I902" s="1312"/>
      <c r="J902" s="1312">
        <f t="shared" ref="J902:J965" si="198">I902*C902</f>
        <v>0</v>
      </c>
      <c r="K902" s="1335"/>
      <c r="L902" s="1125">
        <f t="shared" si="186"/>
        <v>0</v>
      </c>
      <c r="M902" s="1343"/>
      <c r="N902" s="1339">
        <f t="shared" si="187"/>
        <v>0</v>
      </c>
      <c r="O902" s="1340">
        <f t="shared" si="188"/>
        <v>0</v>
      </c>
      <c r="P902" s="1339">
        <f t="shared" si="189"/>
        <v>0</v>
      </c>
      <c r="Q902" s="1340">
        <f t="shared" si="190"/>
        <v>0</v>
      </c>
      <c r="R902" s="1339">
        <f t="shared" si="191"/>
        <v>0</v>
      </c>
      <c r="S902" s="1322">
        <f t="shared" si="196"/>
        <v>0</v>
      </c>
      <c r="T902" s="1322">
        <f t="shared" si="197"/>
        <v>0</v>
      </c>
    </row>
    <row r="903" spans="1:23" ht="117" hidden="1" customHeight="1">
      <c r="A903" s="1324">
        <v>67.099999999999994</v>
      </c>
      <c r="B903" s="1198" t="s">
        <v>4123</v>
      </c>
      <c r="C903" s="1187">
        <f>'  Coastal  Elec.Data  (2)'!K146</f>
        <v>830</v>
      </c>
      <c r="D903" s="1156" t="s">
        <v>1423</v>
      </c>
      <c r="E903" s="1342"/>
      <c r="F903" s="1125">
        <f t="shared" ref="F903:F966" si="199">E903*C903</f>
        <v>0</v>
      </c>
      <c r="G903" s="1335"/>
      <c r="H903" s="1125">
        <f t="shared" ref="H903:H966" si="200">G903*C903</f>
        <v>0</v>
      </c>
      <c r="I903" s="1312"/>
      <c r="J903" s="1312">
        <f t="shared" si="198"/>
        <v>0</v>
      </c>
      <c r="K903" s="1335"/>
      <c r="L903" s="1125">
        <f t="shared" ref="L903:L966" si="201">K903*C903</f>
        <v>0</v>
      </c>
      <c r="M903" s="1343"/>
      <c r="N903" s="1339">
        <f t="shared" ref="N903:N966" si="202">M903*C903</f>
        <v>0</v>
      </c>
      <c r="O903" s="1340">
        <f t="shared" ref="O903:O966" si="203">G903+K903+M903</f>
        <v>0</v>
      </c>
      <c r="P903" s="1339">
        <f t="shared" ref="P903:P966" si="204">O903*C903</f>
        <v>0</v>
      </c>
      <c r="Q903" s="1340">
        <f t="shared" ref="Q903:Q966" si="205">O903+E903</f>
        <v>0</v>
      </c>
      <c r="R903" s="1339">
        <f t="shared" ref="R903:R966" si="206">Q903*C903</f>
        <v>0</v>
      </c>
      <c r="S903" s="1322">
        <f t="shared" si="196"/>
        <v>0</v>
      </c>
      <c r="T903" s="1322">
        <f t="shared" si="197"/>
        <v>0</v>
      </c>
      <c r="U903" s="1322">
        <v>500</v>
      </c>
      <c r="V903" s="1322">
        <v>500</v>
      </c>
      <c r="W903" s="1322">
        <v>500</v>
      </c>
    </row>
    <row r="904" spans="1:23" ht="125.25" hidden="1" customHeight="1">
      <c r="A904" s="1324"/>
      <c r="B904" s="1198" t="s">
        <v>4140</v>
      </c>
      <c r="C904" s="1187">
        <f>'  Coastal  Elec.Data  (2)'!K134</f>
        <v>1120</v>
      </c>
      <c r="D904" s="1156" t="s">
        <v>1423</v>
      </c>
      <c r="E904" s="1342"/>
      <c r="F904" s="1125">
        <f t="shared" si="199"/>
        <v>0</v>
      </c>
      <c r="G904" s="1335"/>
      <c r="H904" s="1125">
        <f t="shared" si="200"/>
        <v>0</v>
      </c>
      <c r="I904" s="1312"/>
      <c r="J904" s="1312">
        <f t="shared" si="198"/>
        <v>0</v>
      </c>
      <c r="K904" s="1335"/>
      <c r="L904" s="1125">
        <f t="shared" si="201"/>
        <v>0</v>
      </c>
      <c r="M904" s="1343"/>
      <c r="N904" s="1339">
        <f t="shared" si="202"/>
        <v>0</v>
      </c>
      <c r="O904" s="1340">
        <f t="shared" si="203"/>
        <v>0</v>
      </c>
      <c r="P904" s="1339">
        <f t="shared" si="204"/>
        <v>0</v>
      </c>
      <c r="Q904" s="1340">
        <f t="shared" si="205"/>
        <v>0</v>
      </c>
      <c r="R904" s="1339">
        <f t="shared" si="206"/>
        <v>0</v>
      </c>
      <c r="S904" s="1322">
        <f t="shared" si="196"/>
        <v>0</v>
      </c>
      <c r="T904" s="1322">
        <f t="shared" si="197"/>
        <v>0</v>
      </c>
      <c r="U904" s="1322">
        <v>3500</v>
      </c>
      <c r="V904" s="1322">
        <v>3500</v>
      </c>
      <c r="W904" s="1322">
        <v>3500</v>
      </c>
    </row>
    <row r="905" spans="1:23" ht="70.5" hidden="1" customHeight="1">
      <c r="A905" s="1324"/>
      <c r="B905" s="1198" t="s">
        <v>4141</v>
      </c>
      <c r="C905" s="1187">
        <f>'  Coastal  Elec.Data  (2)'!K157</f>
        <v>135</v>
      </c>
      <c r="D905" s="1156" t="s">
        <v>1423</v>
      </c>
      <c r="E905" s="1342"/>
      <c r="F905" s="1125">
        <f t="shared" si="199"/>
        <v>0</v>
      </c>
      <c r="G905" s="1335"/>
      <c r="H905" s="1125">
        <f t="shared" si="200"/>
        <v>0</v>
      </c>
      <c r="I905" s="1312"/>
      <c r="J905" s="1312">
        <f t="shared" si="198"/>
        <v>0</v>
      </c>
      <c r="K905" s="1335"/>
      <c r="L905" s="1125">
        <f t="shared" si="201"/>
        <v>0</v>
      </c>
      <c r="M905" s="1343"/>
      <c r="N905" s="1339">
        <f t="shared" si="202"/>
        <v>0</v>
      </c>
      <c r="O905" s="1340">
        <f t="shared" si="203"/>
        <v>0</v>
      </c>
      <c r="P905" s="1339">
        <f t="shared" si="204"/>
        <v>0</v>
      </c>
      <c r="Q905" s="1340">
        <f t="shared" si="205"/>
        <v>0</v>
      </c>
      <c r="R905" s="1339">
        <f t="shared" si="206"/>
        <v>0</v>
      </c>
      <c r="S905" s="1322">
        <f t="shared" si="196"/>
        <v>0</v>
      </c>
      <c r="T905" s="1322">
        <f t="shared" si="197"/>
        <v>0</v>
      </c>
      <c r="U905" s="1322">
        <v>1500</v>
      </c>
      <c r="V905" s="1322">
        <v>1500</v>
      </c>
      <c r="W905" s="1322">
        <v>2500</v>
      </c>
    </row>
    <row r="906" spans="1:23" ht="88.5" hidden="1" customHeight="1">
      <c r="A906" s="1324"/>
      <c r="B906" s="1198" t="s">
        <v>4142</v>
      </c>
      <c r="C906" s="1187">
        <f>Data!R1609</f>
        <v>90322.8</v>
      </c>
      <c r="D906" s="1110" t="s">
        <v>535</v>
      </c>
      <c r="E906" s="1342"/>
      <c r="F906" s="1125">
        <f t="shared" si="199"/>
        <v>0</v>
      </c>
      <c r="G906" s="1335"/>
      <c r="H906" s="1125">
        <f t="shared" si="200"/>
        <v>0</v>
      </c>
      <c r="I906" s="1313"/>
      <c r="J906" s="1312">
        <f t="shared" si="198"/>
        <v>0</v>
      </c>
      <c r="K906" s="1335"/>
      <c r="L906" s="1125">
        <f t="shared" si="201"/>
        <v>0</v>
      </c>
      <c r="M906" s="1343"/>
      <c r="N906" s="1339">
        <f t="shared" si="202"/>
        <v>0</v>
      </c>
      <c r="O906" s="1340">
        <f t="shared" si="203"/>
        <v>0</v>
      </c>
      <c r="P906" s="1339">
        <f t="shared" si="204"/>
        <v>0</v>
      </c>
      <c r="Q906" s="1340">
        <f t="shared" si="205"/>
        <v>0</v>
      </c>
      <c r="R906" s="1339">
        <f t="shared" si="206"/>
        <v>0</v>
      </c>
      <c r="S906" s="1322">
        <f t="shared" si="196"/>
        <v>0</v>
      </c>
      <c r="T906" s="1322">
        <f t="shared" si="197"/>
        <v>0</v>
      </c>
      <c r="U906" s="1403">
        <f>SUM(U903:U905)</f>
        <v>5500</v>
      </c>
      <c r="V906" s="1403">
        <f t="shared" ref="V906:W906" si="207">SUM(V903:V905)</f>
        <v>5500</v>
      </c>
      <c r="W906" s="1403">
        <f t="shared" si="207"/>
        <v>6500</v>
      </c>
    </row>
    <row r="907" spans="1:23" s="700" customFormat="1" ht="70.5" hidden="1" customHeight="1">
      <c r="A907" s="1105"/>
      <c r="B907" s="538" t="s">
        <v>4143</v>
      </c>
      <c r="C907" s="1138">
        <f>Data!R1640</f>
        <v>353.71</v>
      </c>
      <c r="D907" s="744" t="s">
        <v>842</v>
      </c>
      <c r="E907" s="1276"/>
      <c r="F907" s="1125">
        <f t="shared" si="199"/>
        <v>0</v>
      </c>
      <c r="G907" s="1199"/>
      <c r="H907" s="1125">
        <f t="shared" si="200"/>
        <v>0</v>
      </c>
      <c r="I907" s="748"/>
      <c r="J907" s="748">
        <f t="shared" si="198"/>
        <v>0</v>
      </c>
      <c r="K907" s="1199"/>
      <c r="L907" s="1125">
        <f t="shared" si="201"/>
        <v>0</v>
      </c>
      <c r="M907" s="1200"/>
      <c r="N907" s="1339">
        <f t="shared" si="202"/>
        <v>0</v>
      </c>
      <c r="O907" s="1340">
        <f t="shared" si="203"/>
        <v>0</v>
      </c>
      <c r="P907" s="1339">
        <f t="shared" si="204"/>
        <v>0</v>
      </c>
      <c r="Q907" s="1340">
        <f t="shared" si="205"/>
        <v>0</v>
      </c>
      <c r="R907" s="1339">
        <f t="shared" si="206"/>
        <v>0</v>
      </c>
      <c r="S907" s="700">
        <f t="shared" si="196"/>
        <v>0</v>
      </c>
      <c r="T907" s="700">
        <f t="shared" si="197"/>
        <v>0</v>
      </c>
      <c r="U907" s="700">
        <v>6800</v>
      </c>
      <c r="V907" s="700">
        <v>6800</v>
      </c>
      <c r="W907" s="700">
        <v>8000</v>
      </c>
    </row>
    <row r="908" spans="1:23" s="700" customFormat="1" ht="70.5" hidden="1" customHeight="1">
      <c r="A908" s="1105"/>
      <c r="B908" s="600" t="s">
        <v>4946</v>
      </c>
      <c r="C908" s="1138">
        <f>Data!K2331</f>
        <v>37.659999999999997</v>
      </c>
      <c r="D908" s="744"/>
      <c r="E908" s="1276"/>
      <c r="F908" s="1125">
        <f t="shared" si="199"/>
        <v>0</v>
      </c>
      <c r="G908" s="1199"/>
      <c r="H908" s="1125">
        <f t="shared" si="200"/>
        <v>0</v>
      </c>
      <c r="I908" s="748"/>
      <c r="J908" s="748">
        <f t="shared" si="198"/>
        <v>0</v>
      </c>
      <c r="K908" s="1199"/>
      <c r="L908" s="1125">
        <f t="shared" si="201"/>
        <v>0</v>
      </c>
      <c r="M908" s="1200"/>
      <c r="N908" s="1339">
        <f t="shared" si="202"/>
        <v>0</v>
      </c>
      <c r="O908" s="1340">
        <f t="shared" si="203"/>
        <v>0</v>
      </c>
      <c r="P908" s="1339">
        <f t="shared" si="204"/>
        <v>0</v>
      </c>
      <c r="Q908" s="1340">
        <f t="shared" si="205"/>
        <v>0</v>
      </c>
      <c r="R908" s="1339">
        <f t="shared" si="206"/>
        <v>0</v>
      </c>
      <c r="U908" s="700">
        <f>U907-U906</f>
        <v>1300</v>
      </c>
      <c r="V908" s="700">
        <f t="shared" ref="V908:W908" si="208">V907-V906</f>
        <v>1300</v>
      </c>
      <c r="W908" s="700">
        <f t="shared" si="208"/>
        <v>1500</v>
      </c>
    </row>
    <row r="909" spans="1:23" ht="70.5" hidden="1" customHeight="1">
      <c r="A909" s="1324"/>
      <c r="B909" s="1350" t="s">
        <v>3999</v>
      </c>
      <c r="C909" s="1187"/>
      <c r="D909" s="1110"/>
      <c r="E909" s="1342"/>
      <c r="F909" s="1125">
        <f t="shared" si="199"/>
        <v>0</v>
      </c>
      <c r="G909" s="1335"/>
      <c r="H909" s="1125">
        <f t="shared" si="200"/>
        <v>0</v>
      </c>
      <c r="I909" s="1312"/>
      <c r="J909" s="1312">
        <f t="shared" si="198"/>
        <v>0</v>
      </c>
      <c r="K909" s="1335"/>
      <c r="L909" s="1125">
        <f t="shared" si="201"/>
        <v>0</v>
      </c>
      <c r="M909" s="1343"/>
      <c r="N909" s="1339">
        <f t="shared" si="202"/>
        <v>0</v>
      </c>
      <c r="O909" s="1340">
        <f t="shared" si="203"/>
        <v>0</v>
      </c>
      <c r="P909" s="1339">
        <f t="shared" si="204"/>
        <v>0</v>
      </c>
      <c r="Q909" s="1340">
        <f t="shared" si="205"/>
        <v>0</v>
      </c>
      <c r="R909" s="1339">
        <f t="shared" si="206"/>
        <v>0</v>
      </c>
      <c r="S909" s="1322">
        <f t="shared" ref="S909:S913" si="209">F909+P909</f>
        <v>0</v>
      </c>
      <c r="T909" s="1322">
        <f t="shared" ref="T909:T913" si="210">S909-R909</f>
        <v>0</v>
      </c>
      <c r="V909" s="1322">
        <f>U908+V908+W908</f>
        <v>4100</v>
      </c>
    </row>
    <row r="910" spans="1:23" ht="70.5" hidden="1" customHeight="1">
      <c r="A910" s="1324"/>
      <c r="B910" s="1198" t="s">
        <v>48</v>
      </c>
      <c r="C910" s="1187">
        <f>Data!K1890</f>
        <v>261.45999999999998</v>
      </c>
      <c r="D910" s="1110" t="s">
        <v>842</v>
      </c>
      <c r="E910" s="1342"/>
      <c r="F910" s="1125">
        <f t="shared" si="199"/>
        <v>0</v>
      </c>
      <c r="G910" s="1335"/>
      <c r="H910" s="1125">
        <f t="shared" si="200"/>
        <v>0</v>
      </c>
      <c r="I910" s="1312"/>
      <c r="J910" s="1312">
        <f t="shared" si="198"/>
        <v>0</v>
      </c>
      <c r="K910" s="1335"/>
      <c r="L910" s="1125">
        <f t="shared" si="201"/>
        <v>0</v>
      </c>
      <c r="M910" s="1343"/>
      <c r="N910" s="1339">
        <f t="shared" si="202"/>
        <v>0</v>
      </c>
      <c r="O910" s="1340">
        <f t="shared" si="203"/>
        <v>0</v>
      </c>
      <c r="P910" s="1339">
        <f t="shared" si="204"/>
        <v>0</v>
      </c>
      <c r="Q910" s="1340">
        <f t="shared" si="205"/>
        <v>0</v>
      </c>
      <c r="R910" s="1339">
        <f t="shared" si="206"/>
        <v>0</v>
      </c>
      <c r="S910" s="1322">
        <f t="shared" si="209"/>
        <v>0</v>
      </c>
      <c r="T910" s="1322">
        <f t="shared" si="210"/>
        <v>0</v>
      </c>
    </row>
    <row r="911" spans="1:23" ht="70.5" hidden="1" customHeight="1">
      <c r="A911" s="1324"/>
      <c r="B911" s="1198" t="s">
        <v>49</v>
      </c>
      <c r="C911" s="1187">
        <f>Data!K1882</f>
        <v>243.43</v>
      </c>
      <c r="D911" s="1110" t="s">
        <v>842</v>
      </c>
      <c r="E911" s="1342"/>
      <c r="F911" s="1125">
        <f t="shared" si="199"/>
        <v>0</v>
      </c>
      <c r="G911" s="1335"/>
      <c r="H911" s="1125">
        <f t="shared" si="200"/>
        <v>0</v>
      </c>
      <c r="I911" s="1312"/>
      <c r="J911" s="1312">
        <f t="shared" si="198"/>
        <v>0</v>
      </c>
      <c r="K911" s="1335"/>
      <c r="L911" s="1125">
        <f t="shared" si="201"/>
        <v>0</v>
      </c>
      <c r="M911" s="1343"/>
      <c r="N911" s="1339">
        <f t="shared" si="202"/>
        <v>0</v>
      </c>
      <c r="O911" s="1340">
        <f t="shared" si="203"/>
        <v>0</v>
      </c>
      <c r="P911" s="1339">
        <f t="shared" si="204"/>
        <v>0</v>
      </c>
      <c r="Q911" s="1340">
        <f t="shared" si="205"/>
        <v>0</v>
      </c>
      <c r="R911" s="1339">
        <f t="shared" si="206"/>
        <v>0</v>
      </c>
      <c r="S911" s="1322">
        <f t="shared" si="209"/>
        <v>0</v>
      </c>
      <c r="T911" s="1322">
        <f t="shared" si="210"/>
        <v>0</v>
      </c>
    </row>
    <row r="912" spans="1:23" s="700" customFormat="1" ht="70.5" hidden="1" customHeight="1">
      <c r="A912" s="1105"/>
      <c r="B912" s="538" t="s">
        <v>3942</v>
      </c>
      <c r="C912" s="1138">
        <f>Data!K2767</f>
        <v>240.64</v>
      </c>
      <c r="D912" s="744" t="s">
        <v>842</v>
      </c>
      <c r="E912" s="1276"/>
      <c r="F912" s="1125">
        <f t="shared" si="199"/>
        <v>0</v>
      </c>
      <c r="G912" s="1199"/>
      <c r="H912" s="1125">
        <f t="shared" si="200"/>
        <v>0</v>
      </c>
      <c r="I912" s="748"/>
      <c r="J912" s="748">
        <f t="shared" si="198"/>
        <v>0</v>
      </c>
      <c r="K912" s="1199"/>
      <c r="L912" s="1125">
        <f t="shared" si="201"/>
        <v>0</v>
      </c>
      <c r="M912" s="1200"/>
      <c r="N912" s="1339">
        <f t="shared" si="202"/>
        <v>0</v>
      </c>
      <c r="O912" s="1340">
        <f t="shared" si="203"/>
        <v>0</v>
      </c>
      <c r="P912" s="1339">
        <f t="shared" si="204"/>
        <v>0</v>
      </c>
      <c r="Q912" s="1340">
        <f t="shared" si="205"/>
        <v>0</v>
      </c>
      <c r="R912" s="1339">
        <f t="shared" si="206"/>
        <v>0</v>
      </c>
      <c r="S912" s="700">
        <f t="shared" si="209"/>
        <v>0</v>
      </c>
      <c r="T912" s="700">
        <f t="shared" si="210"/>
        <v>0</v>
      </c>
    </row>
    <row r="913" spans="1:20" ht="70.5" hidden="1" customHeight="1">
      <c r="A913" s="1324"/>
      <c r="B913" s="1198" t="s">
        <v>5997</v>
      </c>
      <c r="C913" s="1187">
        <f>Data!K1899</f>
        <v>297.45999999999998</v>
      </c>
      <c r="D913" s="1110" t="s">
        <v>842</v>
      </c>
      <c r="E913" s="1342"/>
      <c r="F913" s="1125">
        <f t="shared" si="199"/>
        <v>0</v>
      </c>
      <c r="G913" s="1335"/>
      <c r="H913" s="1125">
        <f t="shared" si="200"/>
        <v>0</v>
      </c>
      <c r="I913" s="1312"/>
      <c r="J913" s="1312">
        <f t="shared" si="198"/>
        <v>0</v>
      </c>
      <c r="K913" s="1335"/>
      <c r="L913" s="1125">
        <f t="shared" si="201"/>
        <v>0</v>
      </c>
      <c r="M913" s="1343"/>
      <c r="N913" s="1339">
        <f t="shared" si="202"/>
        <v>0</v>
      </c>
      <c r="O913" s="1340">
        <f t="shared" si="203"/>
        <v>0</v>
      </c>
      <c r="P913" s="1339">
        <f t="shared" si="204"/>
        <v>0</v>
      </c>
      <c r="Q913" s="1340">
        <f t="shared" si="205"/>
        <v>0</v>
      </c>
      <c r="R913" s="1339">
        <f t="shared" si="206"/>
        <v>0</v>
      </c>
      <c r="S913" s="1322">
        <f t="shared" si="209"/>
        <v>0</v>
      </c>
      <c r="T913" s="1322">
        <f t="shared" si="210"/>
        <v>0</v>
      </c>
    </row>
    <row r="914" spans="1:20" s="700" customFormat="1" ht="96.75" customHeight="1">
      <c r="A914" s="1105"/>
      <c r="B914" s="538" t="s">
        <v>5952</v>
      </c>
      <c r="C914" s="1508">
        <v>2708</v>
      </c>
      <c r="D914" s="1274" t="s">
        <v>1423</v>
      </c>
      <c r="E914" s="1100">
        <v>5</v>
      </c>
      <c r="F914" s="1125">
        <f t="shared" si="199"/>
        <v>13540</v>
      </c>
      <c r="G914" s="1199"/>
      <c r="H914" s="1125">
        <f t="shared" si="200"/>
        <v>0</v>
      </c>
      <c r="I914" s="748"/>
      <c r="J914" s="1407">
        <f t="shared" si="198"/>
        <v>0</v>
      </c>
      <c r="K914" s="1199"/>
      <c r="L914" s="1125">
        <f t="shared" si="201"/>
        <v>0</v>
      </c>
      <c r="M914" s="1200"/>
      <c r="N914" s="1339">
        <f t="shared" si="202"/>
        <v>0</v>
      </c>
      <c r="O914" s="1340">
        <f t="shared" si="203"/>
        <v>0</v>
      </c>
      <c r="P914" s="1339">
        <f t="shared" si="204"/>
        <v>0</v>
      </c>
      <c r="Q914" s="1340">
        <f t="shared" si="205"/>
        <v>5</v>
      </c>
      <c r="R914" s="1339">
        <f t="shared" si="206"/>
        <v>13540</v>
      </c>
    </row>
    <row r="915" spans="1:20" s="700" customFormat="1" ht="70.5" hidden="1" customHeight="1">
      <c r="A915" s="1414"/>
      <c r="B915" s="1270" t="s">
        <v>4074</v>
      </c>
      <c r="C915" s="1271">
        <f>Data!K3648</f>
        <v>380.95</v>
      </c>
      <c r="D915" s="1272" t="s">
        <v>2322</v>
      </c>
      <c r="E915" s="1278"/>
      <c r="F915" s="1125">
        <f t="shared" si="199"/>
        <v>0</v>
      </c>
      <c r="G915" s="1273"/>
      <c r="H915" s="1125">
        <f t="shared" si="200"/>
        <v>0</v>
      </c>
      <c r="I915" s="748"/>
      <c r="J915" s="748">
        <f t="shared" si="198"/>
        <v>0</v>
      </c>
      <c r="K915" s="1273"/>
      <c r="L915" s="1125">
        <f t="shared" si="201"/>
        <v>0</v>
      </c>
      <c r="M915" s="1412"/>
      <c r="N915" s="1339">
        <f t="shared" si="202"/>
        <v>0</v>
      </c>
      <c r="O915" s="1340">
        <f t="shared" si="203"/>
        <v>0</v>
      </c>
      <c r="P915" s="1339">
        <f t="shared" si="204"/>
        <v>0</v>
      </c>
      <c r="Q915" s="1340">
        <f t="shared" si="205"/>
        <v>0</v>
      </c>
      <c r="R915" s="1339">
        <f t="shared" si="206"/>
        <v>0</v>
      </c>
    </row>
    <row r="916" spans="1:20" s="700" customFormat="1" ht="57" customHeight="1">
      <c r="A916" s="1107"/>
      <c r="B916" s="1189" t="s">
        <v>3706</v>
      </c>
      <c r="C916" s="1505">
        <f>Data!AF3115</f>
        <v>494</v>
      </c>
      <c r="D916" s="1156" t="s">
        <v>1423</v>
      </c>
      <c r="E916" s="1100">
        <v>30</v>
      </c>
      <c r="F916" s="1125">
        <f t="shared" si="199"/>
        <v>14820</v>
      </c>
      <c r="G916" s="1199"/>
      <c r="H916" s="1125">
        <f t="shared" si="200"/>
        <v>0</v>
      </c>
      <c r="I916" s="748"/>
      <c r="J916" s="1407">
        <f t="shared" si="198"/>
        <v>0</v>
      </c>
      <c r="K916" s="1199"/>
      <c r="L916" s="1125">
        <f t="shared" si="201"/>
        <v>0</v>
      </c>
      <c r="M916" s="1208"/>
      <c r="N916" s="1339">
        <f t="shared" si="202"/>
        <v>0</v>
      </c>
      <c r="O916" s="1340">
        <f t="shared" si="203"/>
        <v>0</v>
      </c>
      <c r="P916" s="1339">
        <f t="shared" si="204"/>
        <v>0</v>
      </c>
      <c r="Q916" s="1340">
        <f t="shared" si="205"/>
        <v>30</v>
      </c>
      <c r="R916" s="1339">
        <f t="shared" si="206"/>
        <v>14820</v>
      </c>
      <c r="S916" s="700">
        <f t="shared" ref="S916:S917" si="211">F916+P916</f>
        <v>14820</v>
      </c>
      <c r="T916" s="700">
        <f t="shared" ref="T916:T917" si="212">S916-R916</f>
        <v>0</v>
      </c>
    </row>
    <row r="917" spans="1:20" s="812" customFormat="1" ht="57" customHeight="1">
      <c r="A917" s="1107"/>
      <c r="B917" s="1189" t="s">
        <v>3707</v>
      </c>
      <c r="C917" s="1505">
        <f>Data!AH3115</f>
        <v>446</v>
      </c>
      <c r="D917" s="1156" t="s">
        <v>1423</v>
      </c>
      <c r="E917" s="1100">
        <v>24</v>
      </c>
      <c r="F917" s="1125">
        <f t="shared" si="199"/>
        <v>10704</v>
      </c>
      <c r="G917" s="1199"/>
      <c r="H917" s="1125">
        <f t="shared" si="200"/>
        <v>0</v>
      </c>
      <c r="I917" s="748"/>
      <c r="J917" s="1407">
        <f t="shared" si="198"/>
        <v>0</v>
      </c>
      <c r="K917" s="1199"/>
      <c r="L917" s="1125">
        <f t="shared" si="201"/>
        <v>0</v>
      </c>
      <c r="M917" s="1208"/>
      <c r="N917" s="1339">
        <f t="shared" si="202"/>
        <v>0</v>
      </c>
      <c r="O917" s="1340">
        <f t="shared" si="203"/>
        <v>0</v>
      </c>
      <c r="P917" s="1339">
        <f t="shared" si="204"/>
        <v>0</v>
      </c>
      <c r="Q917" s="1340">
        <f t="shared" si="205"/>
        <v>24</v>
      </c>
      <c r="R917" s="1339">
        <f t="shared" si="206"/>
        <v>10704</v>
      </c>
      <c r="S917" s="700">
        <f t="shared" si="211"/>
        <v>10704</v>
      </c>
      <c r="T917" s="700">
        <f t="shared" si="212"/>
        <v>0</v>
      </c>
    </row>
    <row r="918" spans="1:20" s="812" customFormat="1" ht="70.5" hidden="1" customHeight="1">
      <c r="A918" s="1414"/>
      <c r="B918" s="1415" t="s">
        <v>3996</v>
      </c>
      <c r="C918" s="1271">
        <v>51.4</v>
      </c>
      <c r="D918" s="1465" t="s">
        <v>1676</v>
      </c>
      <c r="E918" s="1278"/>
      <c r="F918" s="1125">
        <f t="shared" si="199"/>
        <v>0</v>
      </c>
      <c r="G918" s="1273"/>
      <c r="H918" s="1125">
        <f t="shared" si="200"/>
        <v>0</v>
      </c>
      <c r="I918" s="748"/>
      <c r="J918" s="748">
        <f t="shared" si="198"/>
        <v>0</v>
      </c>
      <c r="K918" s="1273"/>
      <c r="L918" s="1125">
        <f t="shared" si="201"/>
        <v>0</v>
      </c>
      <c r="M918" s="1412"/>
      <c r="N918" s="1339">
        <f t="shared" si="202"/>
        <v>0</v>
      </c>
      <c r="O918" s="1340">
        <f t="shared" si="203"/>
        <v>0</v>
      </c>
      <c r="P918" s="1339">
        <f t="shared" si="204"/>
        <v>0</v>
      </c>
      <c r="Q918" s="1340">
        <f t="shared" si="205"/>
        <v>0</v>
      </c>
      <c r="R918" s="1339">
        <f t="shared" si="206"/>
        <v>0</v>
      </c>
    </row>
    <row r="919" spans="1:20" ht="70.5" hidden="1" customHeight="1">
      <c r="A919" s="1324"/>
      <c r="B919" s="1198" t="s">
        <v>6063</v>
      </c>
      <c r="C919" s="1187">
        <f>Data!AD1229</f>
        <v>2487.23</v>
      </c>
      <c r="D919" s="1156" t="s">
        <v>2322</v>
      </c>
      <c r="E919" s="1342"/>
      <c r="F919" s="1125">
        <f t="shared" si="199"/>
        <v>0</v>
      </c>
      <c r="G919" s="1335"/>
      <c r="H919" s="1125">
        <f t="shared" si="200"/>
        <v>0</v>
      </c>
      <c r="I919" s="1312"/>
      <c r="J919" s="1312">
        <f t="shared" si="198"/>
        <v>0</v>
      </c>
      <c r="K919" s="1335"/>
      <c r="L919" s="1125">
        <f t="shared" si="201"/>
        <v>0</v>
      </c>
      <c r="M919" s="1343"/>
      <c r="N919" s="1339">
        <f t="shared" si="202"/>
        <v>0</v>
      </c>
      <c r="O919" s="1340">
        <f t="shared" si="203"/>
        <v>0</v>
      </c>
      <c r="P919" s="1339">
        <f t="shared" si="204"/>
        <v>0</v>
      </c>
      <c r="Q919" s="1340">
        <f t="shared" si="205"/>
        <v>0</v>
      </c>
      <c r="R919" s="1339">
        <f t="shared" si="206"/>
        <v>0</v>
      </c>
      <c r="S919" s="1322">
        <f>F919+P919</f>
        <v>0</v>
      </c>
      <c r="T919" s="1322">
        <f>S919-R919</f>
        <v>0</v>
      </c>
    </row>
    <row r="920" spans="1:20" s="812" customFormat="1" ht="90.75" hidden="1" customHeight="1">
      <c r="A920" s="1105" t="s">
        <v>3860</v>
      </c>
      <c r="B920" s="600" t="s">
        <v>4690</v>
      </c>
      <c r="C920" s="601"/>
      <c r="D920" s="601"/>
      <c r="E920" s="1276"/>
      <c r="F920" s="1125">
        <f t="shared" si="199"/>
        <v>0</v>
      </c>
      <c r="G920" s="1199"/>
      <c r="H920" s="1125">
        <f t="shared" si="200"/>
        <v>0</v>
      </c>
      <c r="I920" s="748"/>
      <c r="J920" s="748">
        <f t="shared" si="198"/>
        <v>0</v>
      </c>
      <c r="K920" s="1199"/>
      <c r="L920" s="1125">
        <f t="shared" si="201"/>
        <v>0</v>
      </c>
      <c r="M920" s="1200"/>
      <c r="N920" s="1339">
        <f t="shared" si="202"/>
        <v>0</v>
      </c>
      <c r="O920" s="1340">
        <f t="shared" si="203"/>
        <v>0</v>
      </c>
      <c r="P920" s="1339">
        <f t="shared" si="204"/>
        <v>0</v>
      </c>
      <c r="Q920" s="1340">
        <f t="shared" si="205"/>
        <v>0</v>
      </c>
      <c r="R920" s="1339">
        <f t="shared" si="206"/>
        <v>0</v>
      </c>
    </row>
    <row r="921" spans="1:20" s="700" customFormat="1" ht="70.5" hidden="1" customHeight="1">
      <c r="A921" s="1105"/>
      <c r="B921" s="600" t="s">
        <v>4300</v>
      </c>
      <c r="C921" s="1190">
        <f>'pile data ( M30 grade) (2)'!F17</f>
        <v>5090.3999999999996</v>
      </c>
      <c r="D921" s="538" t="s">
        <v>842</v>
      </c>
      <c r="E921" s="1276"/>
      <c r="F921" s="1125">
        <f t="shared" si="199"/>
        <v>0</v>
      </c>
      <c r="G921" s="1199"/>
      <c r="H921" s="1125">
        <f t="shared" si="200"/>
        <v>0</v>
      </c>
      <c r="I921" s="748"/>
      <c r="J921" s="748">
        <f t="shared" si="198"/>
        <v>0</v>
      </c>
      <c r="K921" s="1199"/>
      <c r="L921" s="1125">
        <f t="shared" si="201"/>
        <v>0</v>
      </c>
      <c r="M921" s="1200"/>
      <c r="N921" s="1339">
        <f t="shared" si="202"/>
        <v>0</v>
      </c>
      <c r="O921" s="1340">
        <f t="shared" si="203"/>
        <v>0</v>
      </c>
      <c r="P921" s="1339">
        <f t="shared" si="204"/>
        <v>0</v>
      </c>
      <c r="Q921" s="1340">
        <f t="shared" si="205"/>
        <v>0</v>
      </c>
      <c r="R921" s="1339">
        <f t="shared" si="206"/>
        <v>0</v>
      </c>
    </row>
    <row r="922" spans="1:20" s="700" customFormat="1" ht="70.5" hidden="1" customHeight="1">
      <c r="A922" s="1105"/>
      <c r="B922" s="600" t="s">
        <v>4301</v>
      </c>
      <c r="C922" s="1190">
        <f>'pile data ( M30 grade) (2)'!F81</f>
        <v>2543.31</v>
      </c>
      <c r="D922" s="538" t="s">
        <v>842</v>
      </c>
      <c r="E922" s="1276"/>
      <c r="F922" s="1125">
        <f t="shared" si="199"/>
        <v>0</v>
      </c>
      <c r="G922" s="1199"/>
      <c r="H922" s="1125">
        <f t="shared" si="200"/>
        <v>0</v>
      </c>
      <c r="I922" s="748"/>
      <c r="J922" s="748">
        <f t="shared" si="198"/>
        <v>0</v>
      </c>
      <c r="K922" s="1199"/>
      <c r="L922" s="1125">
        <f t="shared" si="201"/>
        <v>0</v>
      </c>
      <c r="M922" s="1200"/>
      <c r="N922" s="1339">
        <f t="shared" si="202"/>
        <v>0</v>
      </c>
      <c r="O922" s="1340">
        <f t="shared" si="203"/>
        <v>0</v>
      </c>
      <c r="P922" s="1339">
        <f t="shared" si="204"/>
        <v>0</v>
      </c>
      <c r="Q922" s="1340">
        <f t="shared" si="205"/>
        <v>0</v>
      </c>
      <c r="R922" s="1339">
        <f t="shared" si="206"/>
        <v>0</v>
      </c>
    </row>
    <row r="923" spans="1:20" s="700" customFormat="1" ht="70.5" hidden="1" customHeight="1">
      <c r="A923" s="1105"/>
      <c r="B923" s="600" t="s">
        <v>4302</v>
      </c>
      <c r="C923" s="1190">
        <f>'pile data ( M30 grade) (2)'!F141</f>
        <v>2495.96</v>
      </c>
      <c r="D923" s="538" t="s">
        <v>842</v>
      </c>
      <c r="E923" s="1276"/>
      <c r="F923" s="1125">
        <f t="shared" si="199"/>
        <v>0</v>
      </c>
      <c r="G923" s="1199"/>
      <c r="H923" s="1125">
        <f t="shared" si="200"/>
        <v>0</v>
      </c>
      <c r="I923" s="748"/>
      <c r="J923" s="748">
        <f t="shared" si="198"/>
        <v>0</v>
      </c>
      <c r="K923" s="1199"/>
      <c r="L923" s="1125">
        <f t="shared" si="201"/>
        <v>0</v>
      </c>
      <c r="M923" s="1200"/>
      <c r="N923" s="1339">
        <f t="shared" si="202"/>
        <v>0</v>
      </c>
      <c r="O923" s="1340">
        <f t="shared" si="203"/>
        <v>0</v>
      </c>
      <c r="P923" s="1339">
        <f t="shared" si="204"/>
        <v>0</v>
      </c>
      <c r="Q923" s="1340">
        <f t="shared" si="205"/>
        <v>0</v>
      </c>
      <c r="R923" s="1339">
        <f t="shared" si="206"/>
        <v>0</v>
      </c>
    </row>
    <row r="924" spans="1:20" s="700" customFormat="1" ht="70.5" hidden="1" customHeight="1">
      <c r="A924" s="1105"/>
      <c r="B924" s="1191" t="s">
        <v>4047</v>
      </c>
      <c r="C924" s="1192"/>
      <c r="D924" s="1193"/>
      <c r="E924" s="1276"/>
      <c r="F924" s="1125">
        <f t="shared" si="199"/>
        <v>0</v>
      </c>
      <c r="G924" s="1199"/>
      <c r="H924" s="1125">
        <f t="shared" si="200"/>
        <v>0</v>
      </c>
      <c r="I924" s="748"/>
      <c r="J924" s="748">
        <f t="shared" si="198"/>
        <v>0</v>
      </c>
      <c r="K924" s="1199"/>
      <c r="L924" s="1125">
        <f t="shared" si="201"/>
        <v>0</v>
      </c>
      <c r="M924" s="1200"/>
      <c r="N924" s="1339">
        <f t="shared" si="202"/>
        <v>0</v>
      </c>
      <c r="O924" s="1340">
        <f t="shared" si="203"/>
        <v>0</v>
      </c>
      <c r="P924" s="1339">
        <f t="shared" si="204"/>
        <v>0</v>
      </c>
      <c r="Q924" s="1340">
        <f t="shared" si="205"/>
        <v>0</v>
      </c>
      <c r="R924" s="1339">
        <f t="shared" si="206"/>
        <v>0</v>
      </c>
    </row>
    <row r="925" spans="1:20" s="700" customFormat="1" ht="70.5" hidden="1" customHeight="1">
      <c r="A925" s="1105"/>
      <c r="B925" s="600" t="s">
        <v>4048</v>
      </c>
      <c r="C925" s="1194"/>
      <c r="D925" s="601"/>
      <c r="E925" s="1276"/>
      <c r="F925" s="1125">
        <f t="shared" si="199"/>
        <v>0</v>
      </c>
      <c r="G925" s="1199"/>
      <c r="H925" s="1125">
        <f t="shared" si="200"/>
        <v>0</v>
      </c>
      <c r="I925" s="748"/>
      <c r="J925" s="748">
        <f t="shared" si="198"/>
        <v>0</v>
      </c>
      <c r="K925" s="1199"/>
      <c r="L925" s="1125">
        <f t="shared" si="201"/>
        <v>0</v>
      </c>
      <c r="M925" s="1200"/>
      <c r="N925" s="1339">
        <f t="shared" si="202"/>
        <v>0</v>
      </c>
      <c r="O925" s="1340">
        <f t="shared" si="203"/>
        <v>0</v>
      </c>
      <c r="P925" s="1339">
        <f t="shared" si="204"/>
        <v>0</v>
      </c>
      <c r="Q925" s="1340">
        <f t="shared" si="205"/>
        <v>0</v>
      </c>
      <c r="R925" s="1339">
        <f t="shared" si="206"/>
        <v>0</v>
      </c>
    </row>
    <row r="926" spans="1:20" s="700" customFormat="1" ht="70.5" hidden="1" customHeight="1">
      <c r="A926" s="1105"/>
      <c r="B926" s="600" t="s">
        <v>4300</v>
      </c>
      <c r="C926" s="1190">
        <f>'pile data ( M30 grade) (2)'!F28</f>
        <v>1392.48</v>
      </c>
      <c r="D926" s="538" t="s">
        <v>842</v>
      </c>
      <c r="E926" s="1276"/>
      <c r="F926" s="1125">
        <f t="shared" si="199"/>
        <v>0</v>
      </c>
      <c r="G926" s="1199"/>
      <c r="H926" s="1125">
        <f t="shared" si="200"/>
        <v>0</v>
      </c>
      <c r="I926" s="748"/>
      <c r="J926" s="748">
        <f t="shared" si="198"/>
        <v>0</v>
      </c>
      <c r="K926" s="1199"/>
      <c r="L926" s="1125">
        <f t="shared" si="201"/>
        <v>0</v>
      </c>
      <c r="M926" s="1200"/>
      <c r="N926" s="1339">
        <f t="shared" si="202"/>
        <v>0</v>
      </c>
      <c r="O926" s="1340">
        <f t="shared" si="203"/>
        <v>0</v>
      </c>
      <c r="P926" s="1339">
        <f t="shared" si="204"/>
        <v>0</v>
      </c>
      <c r="Q926" s="1340">
        <f t="shared" si="205"/>
        <v>0</v>
      </c>
      <c r="R926" s="1339">
        <f t="shared" si="206"/>
        <v>0</v>
      </c>
    </row>
    <row r="927" spans="1:20" s="700" customFormat="1" ht="70.5" hidden="1" customHeight="1">
      <c r="A927" s="1105"/>
      <c r="B927" s="600" t="s">
        <v>4301</v>
      </c>
      <c r="C927" s="1190">
        <f>'pile data ( M30 grade) (2)'!F92</f>
        <v>1126.6600000000001</v>
      </c>
      <c r="D927" s="538" t="s">
        <v>842</v>
      </c>
      <c r="E927" s="1276"/>
      <c r="F927" s="1125">
        <f t="shared" si="199"/>
        <v>0</v>
      </c>
      <c r="G927" s="1199"/>
      <c r="H927" s="1125">
        <f t="shared" si="200"/>
        <v>0</v>
      </c>
      <c r="I927" s="748"/>
      <c r="J927" s="748">
        <f t="shared" si="198"/>
        <v>0</v>
      </c>
      <c r="K927" s="1199"/>
      <c r="L927" s="1125">
        <f t="shared" si="201"/>
        <v>0</v>
      </c>
      <c r="M927" s="1200"/>
      <c r="N927" s="1339">
        <f t="shared" si="202"/>
        <v>0</v>
      </c>
      <c r="O927" s="1340">
        <f t="shared" si="203"/>
        <v>0</v>
      </c>
      <c r="P927" s="1339">
        <f t="shared" si="204"/>
        <v>0</v>
      </c>
      <c r="Q927" s="1340">
        <f t="shared" si="205"/>
        <v>0</v>
      </c>
      <c r="R927" s="1339">
        <f t="shared" si="206"/>
        <v>0</v>
      </c>
    </row>
    <row r="928" spans="1:20" s="700" customFormat="1" ht="70.5" hidden="1" customHeight="1">
      <c r="A928" s="1105"/>
      <c r="B928" s="600" t="s">
        <v>4302</v>
      </c>
      <c r="C928" s="1190">
        <f>'pile data ( M30 grade) (2)'!F152</f>
        <v>892.82</v>
      </c>
      <c r="D928" s="538" t="s">
        <v>842</v>
      </c>
      <c r="E928" s="1276"/>
      <c r="F928" s="1125">
        <f t="shared" si="199"/>
        <v>0</v>
      </c>
      <c r="G928" s="1199"/>
      <c r="H928" s="1125">
        <f t="shared" si="200"/>
        <v>0</v>
      </c>
      <c r="I928" s="748"/>
      <c r="J928" s="748">
        <f t="shared" si="198"/>
        <v>0</v>
      </c>
      <c r="K928" s="1199"/>
      <c r="L928" s="1125">
        <f t="shared" si="201"/>
        <v>0</v>
      </c>
      <c r="M928" s="1200"/>
      <c r="N928" s="1339">
        <f t="shared" si="202"/>
        <v>0</v>
      </c>
      <c r="O928" s="1340">
        <f t="shared" si="203"/>
        <v>0</v>
      </c>
      <c r="P928" s="1339">
        <f t="shared" si="204"/>
        <v>0</v>
      </c>
      <c r="Q928" s="1340">
        <f t="shared" si="205"/>
        <v>0</v>
      </c>
      <c r="R928" s="1339">
        <f t="shared" si="206"/>
        <v>0</v>
      </c>
    </row>
    <row r="929" spans="1:18" s="700" customFormat="1" ht="70.5" hidden="1" customHeight="1">
      <c r="A929" s="1105"/>
      <c r="B929" s="600" t="s">
        <v>4049</v>
      </c>
      <c r="C929" s="1195">
        <v>50000</v>
      </c>
      <c r="D929" s="538" t="s">
        <v>1419</v>
      </c>
      <c r="E929" s="1276"/>
      <c r="F929" s="1125">
        <f t="shared" si="199"/>
        <v>0</v>
      </c>
      <c r="G929" s="1199"/>
      <c r="H929" s="1125">
        <f t="shared" si="200"/>
        <v>0</v>
      </c>
      <c r="I929" s="748"/>
      <c r="J929" s="748">
        <f t="shared" si="198"/>
        <v>0</v>
      </c>
      <c r="K929" s="1199"/>
      <c r="L929" s="1125">
        <f t="shared" si="201"/>
        <v>0</v>
      </c>
      <c r="M929" s="1200"/>
      <c r="N929" s="1339">
        <f t="shared" si="202"/>
        <v>0</v>
      </c>
      <c r="O929" s="1340">
        <f t="shared" si="203"/>
        <v>0</v>
      </c>
      <c r="P929" s="1339">
        <f t="shared" si="204"/>
        <v>0</v>
      </c>
      <c r="Q929" s="1340">
        <f t="shared" si="205"/>
        <v>0</v>
      </c>
      <c r="R929" s="1339">
        <f t="shared" si="206"/>
        <v>0</v>
      </c>
    </row>
    <row r="930" spans="1:18" s="700" customFormat="1" ht="70.5" hidden="1" customHeight="1">
      <c r="A930" s="1105"/>
      <c r="B930" s="600" t="s">
        <v>4050</v>
      </c>
      <c r="C930" s="1195">
        <v>70000</v>
      </c>
      <c r="D930" s="538" t="s">
        <v>1419</v>
      </c>
      <c r="E930" s="1276"/>
      <c r="F930" s="1125">
        <f t="shared" si="199"/>
        <v>0</v>
      </c>
      <c r="G930" s="1199"/>
      <c r="H930" s="1125">
        <f t="shared" si="200"/>
        <v>0</v>
      </c>
      <c r="I930" s="748"/>
      <c r="J930" s="748">
        <f t="shared" si="198"/>
        <v>0</v>
      </c>
      <c r="K930" s="1199"/>
      <c r="L930" s="1125">
        <f t="shared" si="201"/>
        <v>0</v>
      </c>
      <c r="M930" s="1200"/>
      <c r="N930" s="1339">
        <f t="shared" si="202"/>
        <v>0</v>
      </c>
      <c r="O930" s="1340">
        <f t="shared" si="203"/>
        <v>0</v>
      </c>
      <c r="P930" s="1339">
        <f t="shared" si="204"/>
        <v>0</v>
      </c>
      <c r="Q930" s="1340">
        <f t="shared" si="205"/>
        <v>0</v>
      </c>
      <c r="R930" s="1339">
        <f t="shared" si="206"/>
        <v>0</v>
      </c>
    </row>
    <row r="931" spans="1:18" s="700" customFormat="1" ht="70.5" hidden="1" customHeight="1">
      <c r="A931" s="1105"/>
      <c r="B931" s="538" t="s">
        <v>4911</v>
      </c>
      <c r="C931" s="1138">
        <v>713.54</v>
      </c>
      <c r="D931" s="744" t="s">
        <v>2322</v>
      </c>
      <c r="E931" s="1276"/>
      <c r="F931" s="1125">
        <f t="shared" si="199"/>
        <v>0</v>
      </c>
      <c r="G931" s="1199"/>
      <c r="H931" s="1125">
        <f t="shared" si="200"/>
        <v>0</v>
      </c>
      <c r="I931" s="748"/>
      <c r="J931" s="748">
        <f t="shared" si="198"/>
        <v>0</v>
      </c>
      <c r="K931" s="1199"/>
      <c r="L931" s="1125">
        <f t="shared" si="201"/>
        <v>0</v>
      </c>
      <c r="M931" s="1200"/>
      <c r="N931" s="1339">
        <f t="shared" si="202"/>
        <v>0</v>
      </c>
      <c r="O931" s="1340">
        <f t="shared" si="203"/>
        <v>0</v>
      </c>
      <c r="P931" s="1339">
        <f t="shared" si="204"/>
        <v>0</v>
      </c>
      <c r="Q931" s="1340">
        <f t="shared" si="205"/>
        <v>0</v>
      </c>
      <c r="R931" s="1339">
        <f t="shared" si="206"/>
        <v>0</v>
      </c>
    </row>
    <row r="932" spans="1:18" s="700" customFormat="1" ht="70.5" hidden="1" customHeight="1">
      <c r="A932" s="1105"/>
      <c r="B932" s="600" t="s">
        <v>4260</v>
      </c>
      <c r="C932" s="1138"/>
      <c r="D932" s="744"/>
      <c r="E932" s="1276"/>
      <c r="F932" s="1125">
        <f t="shared" si="199"/>
        <v>0</v>
      </c>
      <c r="G932" s="1199"/>
      <c r="H932" s="1125">
        <f t="shared" si="200"/>
        <v>0</v>
      </c>
      <c r="I932" s="748"/>
      <c r="J932" s="748">
        <f t="shared" si="198"/>
        <v>0</v>
      </c>
      <c r="K932" s="1199"/>
      <c r="L932" s="1125">
        <f t="shared" si="201"/>
        <v>0</v>
      </c>
      <c r="M932" s="1200"/>
      <c r="N932" s="1339">
        <f t="shared" si="202"/>
        <v>0</v>
      </c>
      <c r="O932" s="1340">
        <f t="shared" si="203"/>
        <v>0</v>
      </c>
      <c r="P932" s="1339">
        <f t="shared" si="204"/>
        <v>0</v>
      </c>
      <c r="Q932" s="1340">
        <f t="shared" si="205"/>
        <v>0</v>
      </c>
      <c r="R932" s="1339">
        <f t="shared" si="206"/>
        <v>0</v>
      </c>
    </row>
    <row r="933" spans="1:18" s="700" customFormat="1" ht="70.5" hidden="1" customHeight="1">
      <c r="A933" s="1105"/>
      <c r="B933" s="538" t="s">
        <v>2180</v>
      </c>
      <c r="C933" s="1138">
        <f>Elec.Data!K994</f>
        <v>895</v>
      </c>
      <c r="D933" s="744" t="s">
        <v>1423</v>
      </c>
      <c r="E933" s="1276"/>
      <c r="F933" s="1125">
        <f t="shared" si="199"/>
        <v>0</v>
      </c>
      <c r="G933" s="1199"/>
      <c r="H933" s="1125">
        <f t="shared" si="200"/>
        <v>0</v>
      </c>
      <c r="I933" s="748"/>
      <c r="J933" s="748">
        <f t="shared" si="198"/>
        <v>0</v>
      </c>
      <c r="K933" s="1199"/>
      <c r="L933" s="1125">
        <f t="shared" si="201"/>
        <v>0</v>
      </c>
      <c r="M933" s="1200"/>
      <c r="N933" s="1339">
        <f t="shared" si="202"/>
        <v>0</v>
      </c>
      <c r="O933" s="1340">
        <f t="shared" si="203"/>
        <v>0</v>
      </c>
      <c r="P933" s="1339">
        <f t="shared" si="204"/>
        <v>0</v>
      </c>
      <c r="Q933" s="1340">
        <f t="shared" si="205"/>
        <v>0</v>
      </c>
      <c r="R933" s="1339">
        <f t="shared" si="206"/>
        <v>0</v>
      </c>
    </row>
    <row r="934" spans="1:18" s="700" customFormat="1" ht="70.5" hidden="1" customHeight="1">
      <c r="A934" s="1105"/>
      <c r="B934" s="538" t="s">
        <v>1294</v>
      </c>
      <c r="C934" s="1138">
        <f>Elec.Data!K1020</f>
        <v>897</v>
      </c>
      <c r="D934" s="744" t="s">
        <v>1423</v>
      </c>
      <c r="E934" s="1276"/>
      <c r="F934" s="1125">
        <f t="shared" si="199"/>
        <v>0</v>
      </c>
      <c r="G934" s="1199"/>
      <c r="H934" s="1125">
        <f t="shared" si="200"/>
        <v>0</v>
      </c>
      <c r="I934" s="748"/>
      <c r="J934" s="748">
        <f t="shared" si="198"/>
        <v>0</v>
      </c>
      <c r="K934" s="1199"/>
      <c r="L934" s="1125">
        <f t="shared" si="201"/>
        <v>0</v>
      </c>
      <c r="M934" s="1200"/>
      <c r="N934" s="1339">
        <f t="shared" si="202"/>
        <v>0</v>
      </c>
      <c r="O934" s="1340">
        <f t="shared" si="203"/>
        <v>0</v>
      </c>
      <c r="P934" s="1339">
        <f t="shared" si="204"/>
        <v>0</v>
      </c>
      <c r="Q934" s="1340">
        <f t="shared" si="205"/>
        <v>0</v>
      </c>
      <c r="R934" s="1339">
        <f t="shared" si="206"/>
        <v>0</v>
      </c>
    </row>
    <row r="935" spans="1:18" s="700" customFormat="1" ht="70.5" hidden="1" customHeight="1">
      <c r="A935" s="1105"/>
      <c r="B935" s="538" t="s">
        <v>4858</v>
      </c>
      <c r="C935" s="1138">
        <f>Elec.Data!K1036</f>
        <v>935</v>
      </c>
      <c r="D935" s="744"/>
      <c r="E935" s="1276"/>
      <c r="F935" s="1125">
        <f t="shared" si="199"/>
        <v>0</v>
      </c>
      <c r="G935" s="1199"/>
      <c r="H935" s="1125">
        <f t="shared" si="200"/>
        <v>0</v>
      </c>
      <c r="I935" s="748"/>
      <c r="J935" s="748">
        <f t="shared" si="198"/>
        <v>0</v>
      </c>
      <c r="K935" s="1199"/>
      <c r="L935" s="1125">
        <f t="shared" si="201"/>
        <v>0</v>
      </c>
      <c r="M935" s="1200"/>
      <c r="N935" s="1339">
        <f t="shared" si="202"/>
        <v>0</v>
      </c>
      <c r="O935" s="1340">
        <f t="shared" si="203"/>
        <v>0</v>
      </c>
      <c r="P935" s="1339">
        <f t="shared" si="204"/>
        <v>0</v>
      </c>
      <c r="Q935" s="1340">
        <f t="shared" si="205"/>
        <v>0</v>
      </c>
      <c r="R935" s="1339">
        <f t="shared" si="206"/>
        <v>0</v>
      </c>
    </row>
    <row r="936" spans="1:18" s="700" customFormat="1" ht="70.5" hidden="1" customHeight="1">
      <c r="A936" s="1105"/>
      <c r="B936" s="538" t="s">
        <v>4912</v>
      </c>
      <c r="C936" s="1138">
        <f>Elec.Data!K1097</f>
        <v>690</v>
      </c>
      <c r="D936" s="744" t="s">
        <v>1423</v>
      </c>
      <c r="E936" s="1276"/>
      <c r="F936" s="1125">
        <f t="shared" si="199"/>
        <v>0</v>
      </c>
      <c r="G936" s="1199"/>
      <c r="H936" s="1125">
        <f t="shared" si="200"/>
        <v>0</v>
      </c>
      <c r="I936" s="748"/>
      <c r="J936" s="748">
        <f t="shared" si="198"/>
        <v>0</v>
      </c>
      <c r="K936" s="1199"/>
      <c r="L936" s="1125">
        <f t="shared" si="201"/>
        <v>0</v>
      </c>
      <c r="M936" s="1200"/>
      <c r="N936" s="1339">
        <f t="shared" si="202"/>
        <v>0</v>
      </c>
      <c r="O936" s="1340">
        <f t="shared" si="203"/>
        <v>0</v>
      </c>
      <c r="P936" s="1339">
        <f t="shared" si="204"/>
        <v>0</v>
      </c>
      <c r="Q936" s="1340">
        <f t="shared" si="205"/>
        <v>0</v>
      </c>
      <c r="R936" s="1339">
        <f t="shared" si="206"/>
        <v>0</v>
      </c>
    </row>
    <row r="937" spans="1:18" s="700" customFormat="1" ht="70.5" hidden="1" customHeight="1">
      <c r="A937" s="1105"/>
      <c r="B937" s="538" t="s">
        <v>4913</v>
      </c>
      <c r="C937" s="1138">
        <f>Elec.Data!K146</f>
        <v>835</v>
      </c>
      <c r="D937" s="744" t="s">
        <v>1423</v>
      </c>
      <c r="E937" s="1276"/>
      <c r="F937" s="1125">
        <f t="shared" si="199"/>
        <v>0</v>
      </c>
      <c r="G937" s="1199"/>
      <c r="H937" s="1125">
        <f t="shared" si="200"/>
        <v>0</v>
      </c>
      <c r="I937" s="748"/>
      <c r="J937" s="748">
        <f t="shared" si="198"/>
        <v>0</v>
      </c>
      <c r="K937" s="1199"/>
      <c r="L937" s="1125">
        <f t="shared" si="201"/>
        <v>0</v>
      </c>
      <c r="M937" s="1200"/>
      <c r="N937" s="1339">
        <f t="shared" si="202"/>
        <v>0</v>
      </c>
      <c r="O937" s="1340">
        <f t="shared" si="203"/>
        <v>0</v>
      </c>
      <c r="P937" s="1339">
        <f t="shared" si="204"/>
        <v>0</v>
      </c>
      <c r="Q937" s="1340">
        <f t="shared" si="205"/>
        <v>0</v>
      </c>
      <c r="R937" s="1339">
        <f t="shared" si="206"/>
        <v>0</v>
      </c>
    </row>
    <row r="938" spans="1:18" s="700" customFormat="1" ht="70.5" hidden="1" customHeight="1">
      <c r="A938" s="1105"/>
      <c r="B938" s="538" t="s">
        <v>4914</v>
      </c>
      <c r="C938" s="1138">
        <f>Elec.Data!K1058</f>
        <v>982</v>
      </c>
      <c r="D938" s="1167" t="s">
        <v>1805</v>
      </c>
      <c r="E938" s="1276"/>
      <c r="F938" s="1125">
        <f t="shared" si="199"/>
        <v>0</v>
      </c>
      <c r="G938" s="1199"/>
      <c r="H938" s="1125">
        <f t="shared" si="200"/>
        <v>0</v>
      </c>
      <c r="I938" s="748"/>
      <c r="J938" s="748">
        <f t="shared" si="198"/>
        <v>0</v>
      </c>
      <c r="K938" s="1199"/>
      <c r="L938" s="1125">
        <f t="shared" si="201"/>
        <v>0</v>
      </c>
      <c r="M938" s="1200"/>
      <c r="N938" s="1339">
        <f t="shared" si="202"/>
        <v>0</v>
      </c>
      <c r="O938" s="1340">
        <f t="shared" si="203"/>
        <v>0</v>
      </c>
      <c r="P938" s="1339">
        <f t="shared" si="204"/>
        <v>0</v>
      </c>
      <c r="Q938" s="1340">
        <f t="shared" si="205"/>
        <v>0</v>
      </c>
      <c r="R938" s="1339">
        <f t="shared" si="206"/>
        <v>0</v>
      </c>
    </row>
    <row r="939" spans="1:18" s="700" customFormat="1" ht="101.25" hidden="1" customHeight="1">
      <c r="A939" s="1105"/>
      <c r="B939" s="538" t="s">
        <v>5931</v>
      </c>
      <c r="C939" s="1138">
        <f>Data!K3792</f>
        <v>4012.48</v>
      </c>
      <c r="D939" s="744" t="s">
        <v>2322</v>
      </c>
      <c r="E939" s="1276"/>
      <c r="F939" s="1125">
        <f t="shared" si="199"/>
        <v>0</v>
      </c>
      <c r="G939" s="1199"/>
      <c r="H939" s="1125">
        <f t="shared" si="200"/>
        <v>0</v>
      </c>
      <c r="I939" s="748"/>
      <c r="J939" s="748">
        <f t="shared" si="198"/>
        <v>0</v>
      </c>
      <c r="K939" s="1199"/>
      <c r="L939" s="1125">
        <f t="shared" si="201"/>
        <v>0</v>
      </c>
      <c r="M939" s="1200"/>
      <c r="N939" s="1339">
        <f t="shared" si="202"/>
        <v>0</v>
      </c>
      <c r="O939" s="1340">
        <f t="shared" si="203"/>
        <v>0</v>
      </c>
      <c r="P939" s="1339">
        <f t="shared" si="204"/>
        <v>0</v>
      </c>
      <c r="Q939" s="1340">
        <f t="shared" si="205"/>
        <v>0</v>
      </c>
      <c r="R939" s="1339">
        <f t="shared" si="206"/>
        <v>0</v>
      </c>
    </row>
    <row r="940" spans="1:18" s="700" customFormat="1" ht="101.25" hidden="1" customHeight="1">
      <c r="A940" s="1105"/>
      <c r="B940" s="538" t="s">
        <v>5937</v>
      </c>
      <c r="C940" s="1138">
        <f>Data!R3795</f>
        <v>8304.8700000000008</v>
      </c>
      <c r="D940" s="744" t="s">
        <v>2322</v>
      </c>
      <c r="E940" s="1276"/>
      <c r="F940" s="1125">
        <f t="shared" si="199"/>
        <v>0</v>
      </c>
      <c r="G940" s="1199"/>
      <c r="H940" s="1125">
        <f t="shared" si="200"/>
        <v>0</v>
      </c>
      <c r="I940" s="748"/>
      <c r="J940" s="748">
        <f t="shared" si="198"/>
        <v>0</v>
      </c>
      <c r="K940" s="1199"/>
      <c r="L940" s="1125">
        <f t="shared" si="201"/>
        <v>0</v>
      </c>
      <c r="M940" s="1200"/>
      <c r="N940" s="1339">
        <f t="shared" si="202"/>
        <v>0</v>
      </c>
      <c r="O940" s="1340">
        <f t="shared" si="203"/>
        <v>0</v>
      </c>
      <c r="P940" s="1339">
        <f t="shared" si="204"/>
        <v>0</v>
      </c>
      <c r="Q940" s="1340">
        <f t="shared" si="205"/>
        <v>0</v>
      </c>
      <c r="R940" s="1339">
        <f t="shared" si="206"/>
        <v>0</v>
      </c>
    </row>
    <row r="941" spans="1:18" s="700" customFormat="1" ht="63" hidden="1" customHeight="1">
      <c r="A941" s="1105"/>
      <c r="B941" s="538" t="s">
        <v>5928</v>
      </c>
      <c r="C941" s="1138">
        <v>2240</v>
      </c>
      <c r="D941" s="744" t="s">
        <v>1423</v>
      </c>
      <c r="E941" s="1276"/>
      <c r="F941" s="1125">
        <f t="shared" si="199"/>
        <v>0</v>
      </c>
      <c r="G941" s="1199"/>
      <c r="H941" s="1125">
        <f t="shared" si="200"/>
        <v>0</v>
      </c>
      <c r="I941" s="748"/>
      <c r="J941" s="748">
        <f t="shared" si="198"/>
        <v>0</v>
      </c>
      <c r="K941" s="1199"/>
      <c r="L941" s="1125">
        <f t="shared" si="201"/>
        <v>0</v>
      </c>
      <c r="M941" s="1200"/>
      <c r="N941" s="1339">
        <f t="shared" si="202"/>
        <v>0</v>
      </c>
      <c r="O941" s="1340">
        <f t="shared" si="203"/>
        <v>0</v>
      </c>
      <c r="P941" s="1339">
        <f t="shared" si="204"/>
        <v>0</v>
      </c>
      <c r="Q941" s="1340">
        <f t="shared" si="205"/>
        <v>0</v>
      </c>
      <c r="R941" s="1339">
        <f t="shared" si="206"/>
        <v>0</v>
      </c>
    </row>
    <row r="942" spans="1:18" s="700" customFormat="1" ht="63" hidden="1" customHeight="1">
      <c r="A942" s="1105"/>
      <c r="B942" s="538" t="s">
        <v>5929</v>
      </c>
      <c r="C942" s="1138">
        <v>2701</v>
      </c>
      <c r="D942" s="744" t="s">
        <v>1423</v>
      </c>
      <c r="E942" s="1276"/>
      <c r="F942" s="1125">
        <f t="shared" si="199"/>
        <v>0</v>
      </c>
      <c r="G942" s="1199"/>
      <c r="H942" s="1125">
        <f t="shared" si="200"/>
        <v>0</v>
      </c>
      <c r="I942" s="748"/>
      <c r="J942" s="748">
        <f t="shared" si="198"/>
        <v>0</v>
      </c>
      <c r="K942" s="1199"/>
      <c r="L942" s="1125">
        <f t="shared" si="201"/>
        <v>0</v>
      </c>
      <c r="M942" s="1200"/>
      <c r="N942" s="1339">
        <f t="shared" si="202"/>
        <v>0</v>
      </c>
      <c r="O942" s="1340">
        <f t="shared" si="203"/>
        <v>0</v>
      </c>
      <c r="P942" s="1339">
        <f t="shared" si="204"/>
        <v>0</v>
      </c>
      <c r="Q942" s="1340">
        <f t="shared" si="205"/>
        <v>0</v>
      </c>
      <c r="R942" s="1339">
        <f t="shared" si="206"/>
        <v>0</v>
      </c>
    </row>
    <row r="943" spans="1:18" s="700" customFormat="1" ht="70.5" hidden="1" customHeight="1">
      <c r="A943" s="1105"/>
      <c r="B943" s="600" t="s">
        <v>4276</v>
      </c>
      <c r="C943" s="1138">
        <f>Data!X3668</f>
        <v>6413.13</v>
      </c>
      <c r="D943" s="744" t="s">
        <v>2322</v>
      </c>
      <c r="E943" s="1276"/>
      <c r="F943" s="1125">
        <f t="shared" si="199"/>
        <v>0</v>
      </c>
      <c r="G943" s="1199"/>
      <c r="H943" s="1125">
        <f t="shared" si="200"/>
        <v>0</v>
      </c>
      <c r="I943" s="748"/>
      <c r="J943" s="748">
        <f t="shared" si="198"/>
        <v>0</v>
      </c>
      <c r="K943" s="1199"/>
      <c r="L943" s="1125">
        <f t="shared" si="201"/>
        <v>0</v>
      </c>
      <c r="M943" s="1200"/>
      <c r="N943" s="1339">
        <f t="shared" si="202"/>
        <v>0</v>
      </c>
      <c r="O943" s="1340">
        <f t="shared" si="203"/>
        <v>0</v>
      </c>
      <c r="P943" s="1339">
        <f t="shared" si="204"/>
        <v>0</v>
      </c>
      <c r="Q943" s="1340">
        <f t="shared" si="205"/>
        <v>0</v>
      </c>
      <c r="R943" s="1339">
        <f t="shared" si="206"/>
        <v>0</v>
      </c>
    </row>
    <row r="944" spans="1:18" s="700" customFormat="1" ht="70.5" hidden="1" customHeight="1">
      <c r="A944" s="1105"/>
      <c r="B944" s="600" t="s">
        <v>4297</v>
      </c>
      <c r="C944" s="1138">
        <f>Data!X3696</f>
        <v>8304.8700000000008</v>
      </c>
      <c r="D944" s="744" t="s">
        <v>2322</v>
      </c>
      <c r="E944" s="1276"/>
      <c r="F944" s="1125">
        <f t="shared" si="199"/>
        <v>0</v>
      </c>
      <c r="G944" s="1199"/>
      <c r="H944" s="1125">
        <f t="shared" si="200"/>
        <v>0</v>
      </c>
      <c r="I944" s="748"/>
      <c r="J944" s="748">
        <f t="shared" si="198"/>
        <v>0</v>
      </c>
      <c r="K944" s="1199"/>
      <c r="L944" s="1125">
        <f t="shared" si="201"/>
        <v>0</v>
      </c>
      <c r="M944" s="1200"/>
      <c r="N944" s="1339">
        <f t="shared" si="202"/>
        <v>0</v>
      </c>
      <c r="O944" s="1340">
        <f t="shared" si="203"/>
        <v>0</v>
      </c>
      <c r="P944" s="1339">
        <f t="shared" si="204"/>
        <v>0</v>
      </c>
      <c r="Q944" s="1340">
        <f t="shared" si="205"/>
        <v>0</v>
      </c>
      <c r="R944" s="1339">
        <f t="shared" si="206"/>
        <v>0</v>
      </c>
    </row>
    <row r="945" spans="1:20" s="700" customFormat="1" ht="70.5" hidden="1" customHeight="1">
      <c r="A945" s="1105"/>
      <c r="B945" s="600" t="s">
        <v>4263</v>
      </c>
      <c r="C945" s="1138">
        <f>Data!K3837</f>
        <v>1399.44</v>
      </c>
      <c r="D945" s="1167" t="s">
        <v>2322</v>
      </c>
      <c r="E945" s="1276"/>
      <c r="F945" s="1125">
        <f t="shared" si="199"/>
        <v>0</v>
      </c>
      <c r="G945" s="1199"/>
      <c r="H945" s="1125">
        <f t="shared" si="200"/>
        <v>0</v>
      </c>
      <c r="I945" s="748"/>
      <c r="J945" s="748">
        <f t="shared" si="198"/>
        <v>0</v>
      </c>
      <c r="K945" s="1199"/>
      <c r="L945" s="1125">
        <f t="shared" si="201"/>
        <v>0</v>
      </c>
      <c r="M945" s="1200"/>
      <c r="N945" s="1339">
        <f t="shared" si="202"/>
        <v>0</v>
      </c>
      <c r="O945" s="1340">
        <f t="shared" si="203"/>
        <v>0</v>
      </c>
      <c r="P945" s="1339">
        <f t="shared" si="204"/>
        <v>0</v>
      </c>
      <c r="Q945" s="1340">
        <f t="shared" si="205"/>
        <v>0</v>
      </c>
      <c r="R945" s="1339">
        <f t="shared" si="206"/>
        <v>0</v>
      </c>
    </row>
    <row r="946" spans="1:20" s="700" customFormat="1" ht="70.5" hidden="1" customHeight="1">
      <c r="A946" s="1105"/>
      <c r="B946" s="1129" t="s">
        <v>4262</v>
      </c>
      <c r="C946" s="1138">
        <f>Data!K3814</f>
        <v>1698.06</v>
      </c>
      <c r="D946" s="1167" t="s">
        <v>2322</v>
      </c>
      <c r="E946" s="1276"/>
      <c r="F946" s="1125">
        <f t="shared" si="199"/>
        <v>0</v>
      </c>
      <c r="G946" s="1199"/>
      <c r="H946" s="1125">
        <f t="shared" si="200"/>
        <v>0</v>
      </c>
      <c r="I946" s="748"/>
      <c r="J946" s="748">
        <f t="shared" si="198"/>
        <v>0</v>
      </c>
      <c r="K946" s="1199"/>
      <c r="L946" s="1125">
        <f t="shared" si="201"/>
        <v>0</v>
      </c>
      <c r="M946" s="1200"/>
      <c r="N946" s="1339">
        <f t="shared" si="202"/>
        <v>0</v>
      </c>
      <c r="O946" s="1340">
        <f t="shared" si="203"/>
        <v>0</v>
      </c>
      <c r="P946" s="1339">
        <f t="shared" si="204"/>
        <v>0</v>
      </c>
      <c r="Q946" s="1340">
        <f t="shared" si="205"/>
        <v>0</v>
      </c>
      <c r="R946" s="1339">
        <f t="shared" si="206"/>
        <v>0</v>
      </c>
    </row>
    <row r="947" spans="1:20" ht="147.75" customHeight="1">
      <c r="A947" s="1486"/>
      <c r="B947" s="1198" t="s">
        <v>5278</v>
      </c>
      <c r="C947" s="1509">
        <v>1839</v>
      </c>
      <c r="D947" s="1352" t="s">
        <v>1423</v>
      </c>
      <c r="E947" s="1336">
        <v>9</v>
      </c>
      <c r="F947" s="1125">
        <f t="shared" si="199"/>
        <v>16551</v>
      </c>
      <c r="G947" s="1335"/>
      <c r="H947" s="1125">
        <f t="shared" si="200"/>
        <v>0</v>
      </c>
      <c r="I947" s="1312"/>
      <c r="J947" s="1406">
        <f t="shared" si="198"/>
        <v>0</v>
      </c>
      <c r="K947" s="1335"/>
      <c r="L947" s="1125">
        <f t="shared" si="201"/>
        <v>0</v>
      </c>
      <c r="M947" s="1340"/>
      <c r="N947" s="1339">
        <f t="shared" si="202"/>
        <v>0</v>
      </c>
      <c r="O947" s="1340">
        <f t="shared" si="203"/>
        <v>0</v>
      </c>
      <c r="P947" s="1339">
        <f t="shared" si="204"/>
        <v>0</v>
      </c>
      <c r="Q947" s="1340">
        <f t="shared" si="205"/>
        <v>9</v>
      </c>
      <c r="R947" s="1339">
        <f t="shared" si="206"/>
        <v>16551</v>
      </c>
      <c r="S947" s="1322">
        <f>F947+P947</f>
        <v>16551</v>
      </c>
      <c r="T947" s="1322">
        <f>S947-R947</f>
        <v>0</v>
      </c>
    </row>
    <row r="948" spans="1:20" s="700" customFormat="1" ht="70.5" hidden="1" customHeight="1">
      <c r="A948" s="1414"/>
      <c r="B948" s="1410" t="s">
        <v>4309</v>
      </c>
      <c r="C948" s="1466">
        <f>Elec.Data!K1267</f>
        <v>0</v>
      </c>
      <c r="D948" s="1467" t="s">
        <v>1423</v>
      </c>
      <c r="E948" s="1278"/>
      <c r="F948" s="1125">
        <f t="shared" si="199"/>
        <v>0</v>
      </c>
      <c r="G948" s="1273"/>
      <c r="H948" s="1125">
        <f t="shared" si="200"/>
        <v>0</v>
      </c>
      <c r="I948" s="748"/>
      <c r="J948" s="748">
        <f t="shared" si="198"/>
        <v>0</v>
      </c>
      <c r="K948" s="1273"/>
      <c r="L948" s="1125">
        <f t="shared" si="201"/>
        <v>0</v>
      </c>
      <c r="M948" s="1412"/>
      <c r="N948" s="1339">
        <f t="shared" si="202"/>
        <v>0</v>
      </c>
      <c r="O948" s="1340">
        <f t="shared" si="203"/>
        <v>0</v>
      </c>
      <c r="P948" s="1339">
        <f t="shared" si="204"/>
        <v>0</v>
      </c>
      <c r="Q948" s="1340">
        <f t="shared" si="205"/>
        <v>0</v>
      </c>
      <c r="R948" s="1339">
        <f t="shared" si="206"/>
        <v>0</v>
      </c>
    </row>
    <row r="949" spans="1:20" s="700" customFormat="1" ht="70.5" hidden="1" customHeight="1">
      <c r="A949" s="1105"/>
      <c r="B949" s="1108" t="s">
        <v>4588</v>
      </c>
      <c r="C949" s="1196">
        <v>8100</v>
      </c>
      <c r="D949" s="1197" t="s">
        <v>1423</v>
      </c>
      <c r="E949" s="1276"/>
      <c r="F949" s="1125">
        <f t="shared" si="199"/>
        <v>0</v>
      </c>
      <c r="G949" s="1199"/>
      <c r="H949" s="1125">
        <f t="shared" si="200"/>
        <v>0</v>
      </c>
      <c r="I949" s="748"/>
      <c r="J949" s="748">
        <f t="shared" si="198"/>
        <v>0</v>
      </c>
      <c r="K949" s="1199"/>
      <c r="L949" s="1125">
        <f t="shared" si="201"/>
        <v>0</v>
      </c>
      <c r="M949" s="1200"/>
      <c r="N949" s="1339">
        <f t="shared" si="202"/>
        <v>0</v>
      </c>
      <c r="O949" s="1340">
        <f t="shared" si="203"/>
        <v>0</v>
      </c>
      <c r="P949" s="1339">
        <f t="shared" si="204"/>
        <v>0</v>
      </c>
      <c r="Q949" s="1340">
        <f t="shared" si="205"/>
        <v>0</v>
      </c>
      <c r="R949" s="1339">
        <f t="shared" si="206"/>
        <v>0</v>
      </c>
    </row>
    <row r="950" spans="1:20" ht="90" customHeight="1">
      <c r="A950" s="1486"/>
      <c r="B950" s="1198" t="s">
        <v>4532</v>
      </c>
      <c r="C950" s="1108">
        <f>Sheet1!G124</f>
        <v>724.15</v>
      </c>
      <c r="D950" s="1156" t="s">
        <v>1423</v>
      </c>
      <c r="E950" s="1336">
        <v>47.3</v>
      </c>
      <c r="F950" s="1125">
        <f t="shared" si="199"/>
        <v>34252.300000000003</v>
      </c>
      <c r="G950" s="1335"/>
      <c r="H950" s="1125">
        <f t="shared" si="200"/>
        <v>0</v>
      </c>
      <c r="I950" s="1312"/>
      <c r="J950" s="1406">
        <f t="shared" si="198"/>
        <v>0</v>
      </c>
      <c r="K950" s="1335"/>
      <c r="L950" s="1125">
        <f t="shared" si="201"/>
        <v>0</v>
      </c>
      <c r="M950" s="1343"/>
      <c r="N950" s="1339">
        <f t="shared" si="202"/>
        <v>0</v>
      </c>
      <c r="O950" s="1340">
        <f t="shared" si="203"/>
        <v>0</v>
      </c>
      <c r="P950" s="1339">
        <f t="shared" si="204"/>
        <v>0</v>
      </c>
      <c r="Q950" s="1340">
        <f t="shared" si="205"/>
        <v>47.3</v>
      </c>
      <c r="R950" s="1339">
        <f t="shared" si="206"/>
        <v>34252.300000000003</v>
      </c>
      <c r="S950" s="1322">
        <f t="shared" ref="S950:S951" si="213">F950+P950</f>
        <v>34252.300000000003</v>
      </c>
      <c r="T950" s="1322">
        <f t="shared" ref="T950:T951" si="214">S950-R950</f>
        <v>0</v>
      </c>
    </row>
    <row r="951" spans="1:20" ht="70.5" customHeight="1">
      <c r="A951" s="1486"/>
      <c r="B951" s="1328" t="s">
        <v>4310</v>
      </c>
      <c r="C951" s="1108">
        <f>Elec.Data!R816</f>
        <v>8777</v>
      </c>
      <c r="D951" s="1110" t="s">
        <v>1423</v>
      </c>
      <c r="E951" s="1336">
        <v>1</v>
      </c>
      <c r="F951" s="1125">
        <f t="shared" si="199"/>
        <v>8777</v>
      </c>
      <c r="G951" s="1335"/>
      <c r="H951" s="1125">
        <f t="shared" si="200"/>
        <v>0</v>
      </c>
      <c r="I951" s="1312"/>
      <c r="J951" s="1406">
        <f t="shared" si="198"/>
        <v>0</v>
      </c>
      <c r="K951" s="1335"/>
      <c r="L951" s="1125">
        <f t="shared" si="201"/>
        <v>0</v>
      </c>
      <c r="M951" s="1343"/>
      <c r="N951" s="1339">
        <f t="shared" si="202"/>
        <v>0</v>
      </c>
      <c r="O951" s="1340">
        <f t="shared" si="203"/>
        <v>0</v>
      </c>
      <c r="P951" s="1339">
        <f t="shared" si="204"/>
        <v>0</v>
      </c>
      <c r="Q951" s="1340">
        <f t="shared" si="205"/>
        <v>1</v>
      </c>
      <c r="R951" s="1339">
        <f t="shared" si="206"/>
        <v>8777</v>
      </c>
      <c r="S951" s="1322">
        <f t="shared" si="213"/>
        <v>8777</v>
      </c>
      <c r="T951" s="1322">
        <f t="shared" si="214"/>
        <v>0</v>
      </c>
    </row>
    <row r="952" spans="1:20" s="700" customFormat="1" ht="70.5" hidden="1" customHeight="1">
      <c r="A952" s="1409">
        <v>21.6</v>
      </c>
      <c r="B952" s="1431" t="s">
        <v>4494</v>
      </c>
      <c r="C952" s="1411"/>
      <c r="D952" s="1371"/>
      <c r="E952" s="1278"/>
      <c r="F952" s="1125">
        <f t="shared" si="199"/>
        <v>0</v>
      </c>
      <c r="G952" s="1273"/>
      <c r="H952" s="1125">
        <f t="shared" si="200"/>
        <v>0</v>
      </c>
      <c r="I952" s="748"/>
      <c r="J952" s="748">
        <f t="shared" si="198"/>
        <v>0</v>
      </c>
      <c r="K952" s="1273"/>
      <c r="L952" s="1125">
        <f t="shared" si="201"/>
        <v>0</v>
      </c>
      <c r="M952" s="1412"/>
      <c r="N952" s="1339">
        <f t="shared" si="202"/>
        <v>0</v>
      </c>
      <c r="O952" s="1340">
        <f t="shared" si="203"/>
        <v>0</v>
      </c>
      <c r="P952" s="1339">
        <f t="shared" si="204"/>
        <v>0</v>
      </c>
      <c r="Q952" s="1340">
        <f t="shared" si="205"/>
        <v>0</v>
      </c>
      <c r="R952" s="1339">
        <f t="shared" si="206"/>
        <v>0</v>
      </c>
    </row>
    <row r="953" spans="1:20" s="700" customFormat="1" ht="70.5" hidden="1" customHeight="1">
      <c r="A953" s="1161"/>
      <c r="B953" s="1108" t="s">
        <v>583</v>
      </c>
      <c r="C953" s="1109">
        <f>Data!K3950</f>
        <v>2891.85</v>
      </c>
      <c r="D953" s="1110" t="s">
        <v>1423</v>
      </c>
      <c r="E953" s="1276"/>
      <c r="F953" s="1125">
        <f t="shared" si="199"/>
        <v>0</v>
      </c>
      <c r="G953" s="1199"/>
      <c r="H953" s="1125">
        <f t="shared" si="200"/>
        <v>0</v>
      </c>
      <c r="I953" s="748"/>
      <c r="J953" s="748">
        <f t="shared" si="198"/>
        <v>0</v>
      </c>
      <c r="K953" s="1199"/>
      <c r="L953" s="1125">
        <f t="shared" si="201"/>
        <v>0</v>
      </c>
      <c r="M953" s="1200"/>
      <c r="N953" s="1339">
        <f t="shared" si="202"/>
        <v>0</v>
      </c>
      <c r="O953" s="1340">
        <f t="shared" si="203"/>
        <v>0</v>
      </c>
      <c r="P953" s="1339">
        <f t="shared" si="204"/>
        <v>0</v>
      </c>
      <c r="Q953" s="1340">
        <f t="shared" si="205"/>
        <v>0</v>
      </c>
      <c r="R953" s="1339">
        <f t="shared" si="206"/>
        <v>0</v>
      </c>
    </row>
    <row r="954" spans="1:20" s="700" customFormat="1" ht="70.5" hidden="1" customHeight="1">
      <c r="A954" s="1126"/>
      <c r="B954" s="538" t="s">
        <v>3871</v>
      </c>
      <c r="C954" s="743">
        <f>Data!K3983</f>
        <v>3460.37</v>
      </c>
      <c r="D954" s="744" t="s">
        <v>1423</v>
      </c>
      <c r="E954" s="1276"/>
      <c r="F954" s="1125">
        <f t="shared" si="199"/>
        <v>0</v>
      </c>
      <c r="G954" s="1199"/>
      <c r="H954" s="1125">
        <f t="shared" si="200"/>
        <v>0</v>
      </c>
      <c r="I954" s="748"/>
      <c r="J954" s="748">
        <f t="shared" si="198"/>
        <v>0</v>
      </c>
      <c r="K954" s="1199"/>
      <c r="L954" s="1125">
        <f t="shared" si="201"/>
        <v>0</v>
      </c>
      <c r="M954" s="1200"/>
      <c r="N954" s="1339">
        <f t="shared" si="202"/>
        <v>0</v>
      </c>
      <c r="O954" s="1340">
        <f t="shared" si="203"/>
        <v>0</v>
      </c>
      <c r="P954" s="1339">
        <f t="shared" si="204"/>
        <v>0</v>
      </c>
      <c r="Q954" s="1340">
        <f t="shared" si="205"/>
        <v>0</v>
      </c>
      <c r="R954" s="1339">
        <f t="shared" si="206"/>
        <v>0</v>
      </c>
    </row>
    <row r="955" spans="1:20" s="700" customFormat="1" ht="70.5" hidden="1" customHeight="1">
      <c r="A955" s="1126"/>
      <c r="B955" s="538" t="s">
        <v>3775</v>
      </c>
      <c r="C955" s="743">
        <f>Data!K3966</f>
        <v>2852.95</v>
      </c>
      <c r="D955" s="744"/>
      <c r="E955" s="1276"/>
      <c r="F955" s="1125">
        <f t="shared" si="199"/>
        <v>0</v>
      </c>
      <c r="G955" s="1199"/>
      <c r="H955" s="1125">
        <f t="shared" si="200"/>
        <v>0</v>
      </c>
      <c r="I955" s="748"/>
      <c r="J955" s="748">
        <f t="shared" si="198"/>
        <v>0</v>
      </c>
      <c r="K955" s="1199"/>
      <c r="L955" s="1125">
        <f t="shared" si="201"/>
        <v>0</v>
      </c>
      <c r="M955" s="1200"/>
      <c r="N955" s="1339">
        <f t="shared" si="202"/>
        <v>0</v>
      </c>
      <c r="O955" s="1340">
        <f t="shared" si="203"/>
        <v>0</v>
      </c>
      <c r="P955" s="1339">
        <f t="shared" si="204"/>
        <v>0</v>
      </c>
      <c r="Q955" s="1340">
        <f t="shared" si="205"/>
        <v>0</v>
      </c>
      <c r="R955" s="1339">
        <f t="shared" si="206"/>
        <v>0</v>
      </c>
    </row>
    <row r="956" spans="1:20" s="700" customFormat="1" ht="70.5" hidden="1" customHeight="1">
      <c r="A956" s="1126"/>
      <c r="B956" s="538" t="s">
        <v>1939</v>
      </c>
      <c r="C956" s="602">
        <f>Data!K3932</f>
        <v>2914.94</v>
      </c>
      <c r="D956" s="744" t="s">
        <v>1423</v>
      </c>
      <c r="E956" s="1276"/>
      <c r="F956" s="1125">
        <f t="shared" si="199"/>
        <v>0</v>
      </c>
      <c r="G956" s="1199"/>
      <c r="H956" s="1125">
        <f t="shared" si="200"/>
        <v>0</v>
      </c>
      <c r="I956" s="748"/>
      <c r="J956" s="748">
        <f t="shared" si="198"/>
        <v>0</v>
      </c>
      <c r="K956" s="1199"/>
      <c r="L956" s="1125">
        <f t="shared" si="201"/>
        <v>0</v>
      </c>
      <c r="M956" s="1200"/>
      <c r="N956" s="1339">
        <f t="shared" si="202"/>
        <v>0</v>
      </c>
      <c r="O956" s="1340">
        <f t="shared" si="203"/>
        <v>0</v>
      </c>
      <c r="P956" s="1339">
        <f t="shared" si="204"/>
        <v>0</v>
      </c>
      <c r="Q956" s="1340">
        <f t="shared" si="205"/>
        <v>0</v>
      </c>
      <c r="R956" s="1339">
        <f t="shared" si="206"/>
        <v>0</v>
      </c>
    </row>
    <row r="957" spans="1:20" ht="70.5" customHeight="1">
      <c r="A957" s="1162"/>
      <c r="B957" s="1198" t="s">
        <v>5772</v>
      </c>
      <c r="C957" s="1108">
        <v>135</v>
      </c>
      <c r="D957" s="1110" t="s">
        <v>1423</v>
      </c>
      <c r="E957" s="1336">
        <v>84</v>
      </c>
      <c r="F957" s="1125">
        <f t="shared" si="199"/>
        <v>11340</v>
      </c>
      <c r="G957" s="1335"/>
      <c r="H957" s="1125">
        <f t="shared" si="200"/>
        <v>0</v>
      </c>
      <c r="I957" s="1312"/>
      <c r="J957" s="1406">
        <f t="shared" si="198"/>
        <v>0</v>
      </c>
      <c r="K957" s="1335"/>
      <c r="L957" s="1125">
        <f t="shared" si="201"/>
        <v>0</v>
      </c>
      <c r="M957" s="1340"/>
      <c r="N957" s="1339">
        <f t="shared" si="202"/>
        <v>0</v>
      </c>
      <c r="O957" s="1340">
        <f t="shared" si="203"/>
        <v>0</v>
      </c>
      <c r="P957" s="1339">
        <f t="shared" si="204"/>
        <v>0</v>
      </c>
      <c r="Q957" s="1340">
        <f t="shared" si="205"/>
        <v>84</v>
      </c>
      <c r="R957" s="1339">
        <f t="shared" si="206"/>
        <v>11340</v>
      </c>
      <c r="S957" s="1322">
        <f t="shared" ref="S957:S962" si="215">F957+P957</f>
        <v>11340</v>
      </c>
      <c r="T957" s="1322">
        <f t="shared" ref="T957:T962" si="216">S957-R957</f>
        <v>0</v>
      </c>
    </row>
    <row r="958" spans="1:20" ht="44.25" customHeight="1">
      <c r="A958" s="1162"/>
      <c r="B958" s="1198" t="s">
        <v>4923</v>
      </c>
      <c r="C958" s="1108">
        <f>Elec.Data!K960</f>
        <v>690</v>
      </c>
      <c r="D958" s="1110" t="s">
        <v>1423</v>
      </c>
      <c r="E958" s="1336">
        <v>111</v>
      </c>
      <c r="F958" s="1125">
        <f t="shared" si="199"/>
        <v>76590</v>
      </c>
      <c r="G958" s="1335"/>
      <c r="H958" s="1125">
        <f t="shared" si="200"/>
        <v>0</v>
      </c>
      <c r="I958" s="1312"/>
      <c r="J958" s="1406">
        <f t="shared" si="198"/>
        <v>0</v>
      </c>
      <c r="K958" s="1335"/>
      <c r="L958" s="1125">
        <f t="shared" si="201"/>
        <v>0</v>
      </c>
      <c r="M958" s="1340"/>
      <c r="N958" s="1339">
        <f t="shared" si="202"/>
        <v>0</v>
      </c>
      <c r="O958" s="1340">
        <f t="shared" si="203"/>
        <v>0</v>
      </c>
      <c r="P958" s="1339">
        <f t="shared" si="204"/>
        <v>0</v>
      </c>
      <c r="Q958" s="1340">
        <f t="shared" si="205"/>
        <v>111</v>
      </c>
      <c r="R958" s="1339">
        <f t="shared" si="206"/>
        <v>76590</v>
      </c>
      <c r="S958" s="1322">
        <f t="shared" si="215"/>
        <v>76590</v>
      </c>
      <c r="T958" s="1322">
        <f t="shared" si="216"/>
        <v>0</v>
      </c>
    </row>
    <row r="959" spans="1:20" ht="70.5" customHeight="1">
      <c r="A959" s="1162"/>
      <c r="B959" s="1198" t="s">
        <v>4880</v>
      </c>
      <c r="C959" s="1108">
        <f>Elec.Data!K304</f>
        <v>517</v>
      </c>
      <c r="D959" s="1110" t="s">
        <v>1423</v>
      </c>
      <c r="E959" s="1336">
        <v>7</v>
      </c>
      <c r="F959" s="1125">
        <f t="shared" si="199"/>
        <v>3619</v>
      </c>
      <c r="G959" s="1335"/>
      <c r="H959" s="1125">
        <f t="shared" si="200"/>
        <v>0</v>
      </c>
      <c r="I959" s="1312"/>
      <c r="J959" s="1406">
        <f t="shared" si="198"/>
        <v>0</v>
      </c>
      <c r="K959" s="1335"/>
      <c r="L959" s="1125">
        <f t="shared" si="201"/>
        <v>0</v>
      </c>
      <c r="M959" s="1340"/>
      <c r="N959" s="1339">
        <f t="shared" si="202"/>
        <v>0</v>
      </c>
      <c r="O959" s="1340">
        <f t="shared" si="203"/>
        <v>0</v>
      </c>
      <c r="P959" s="1339">
        <f t="shared" si="204"/>
        <v>0</v>
      </c>
      <c r="Q959" s="1340">
        <f t="shared" si="205"/>
        <v>7</v>
      </c>
      <c r="R959" s="1339">
        <f t="shared" si="206"/>
        <v>3619</v>
      </c>
      <c r="S959" s="1322">
        <f t="shared" si="215"/>
        <v>3619</v>
      </c>
      <c r="T959" s="1322">
        <f t="shared" si="216"/>
        <v>0</v>
      </c>
    </row>
    <row r="960" spans="1:20" ht="48" hidden="1" customHeight="1">
      <c r="A960" s="1162"/>
      <c r="B960" s="1198" t="s">
        <v>5887</v>
      </c>
      <c r="C960" s="1128">
        <f>Elec.Data!R808</f>
        <v>3367</v>
      </c>
      <c r="D960" s="1110" t="s">
        <v>1423</v>
      </c>
      <c r="E960" s="1336"/>
      <c r="F960" s="1125">
        <f t="shared" si="199"/>
        <v>0</v>
      </c>
      <c r="G960" s="1335"/>
      <c r="H960" s="1125">
        <f t="shared" si="200"/>
        <v>0</v>
      </c>
      <c r="I960" s="1312"/>
      <c r="J960" s="1406">
        <f t="shared" si="198"/>
        <v>0</v>
      </c>
      <c r="K960" s="1335"/>
      <c r="L960" s="1125">
        <f t="shared" si="201"/>
        <v>0</v>
      </c>
      <c r="M960" s="1340"/>
      <c r="N960" s="1339">
        <f t="shared" si="202"/>
        <v>0</v>
      </c>
      <c r="O960" s="1340">
        <f t="shared" si="203"/>
        <v>0</v>
      </c>
      <c r="P960" s="1339">
        <f t="shared" si="204"/>
        <v>0</v>
      </c>
      <c r="Q960" s="1340">
        <f t="shared" si="205"/>
        <v>0</v>
      </c>
      <c r="R960" s="1339">
        <f t="shared" si="206"/>
        <v>0</v>
      </c>
      <c r="S960" s="1322">
        <f t="shared" si="215"/>
        <v>0</v>
      </c>
      <c r="T960" s="1322">
        <f t="shared" si="216"/>
        <v>0</v>
      </c>
    </row>
    <row r="961" spans="1:20" s="700" customFormat="1" ht="48" customHeight="1">
      <c r="A961" s="1428"/>
      <c r="B961" s="1415" t="s">
        <v>5930</v>
      </c>
      <c r="C961" s="1415">
        <f>Elec.Data!Y808</f>
        <v>4030</v>
      </c>
      <c r="D961" s="1417" t="s">
        <v>1423</v>
      </c>
      <c r="E961" s="1440">
        <v>12</v>
      </c>
      <c r="F961" s="1125">
        <f t="shared" si="199"/>
        <v>48360</v>
      </c>
      <c r="G961" s="1273"/>
      <c r="H961" s="1125">
        <f t="shared" si="200"/>
        <v>0</v>
      </c>
      <c r="I961" s="748"/>
      <c r="J961" s="748">
        <f t="shared" si="198"/>
        <v>0</v>
      </c>
      <c r="K961" s="1273"/>
      <c r="L961" s="1125">
        <f t="shared" si="201"/>
        <v>0</v>
      </c>
      <c r="M961" s="1419"/>
      <c r="N961" s="1339">
        <f t="shared" si="202"/>
        <v>0</v>
      </c>
      <c r="O961" s="1340">
        <f t="shared" si="203"/>
        <v>0</v>
      </c>
      <c r="P961" s="1339">
        <f t="shared" si="204"/>
        <v>0</v>
      </c>
      <c r="Q961" s="1340">
        <f t="shared" si="205"/>
        <v>12</v>
      </c>
      <c r="R961" s="1339">
        <f t="shared" si="206"/>
        <v>48360</v>
      </c>
      <c r="S961" s="700">
        <f t="shared" si="215"/>
        <v>48360</v>
      </c>
      <c r="T961" s="700">
        <f t="shared" si="216"/>
        <v>0</v>
      </c>
    </row>
    <row r="962" spans="1:20" ht="43.5" customHeight="1">
      <c r="A962" s="1162"/>
      <c r="B962" s="1198" t="s">
        <v>4881</v>
      </c>
      <c r="C962" s="1108">
        <v>170</v>
      </c>
      <c r="D962" s="1110" t="str">
        <f>D960</f>
        <v>Each</v>
      </c>
      <c r="E962" s="1336">
        <v>7</v>
      </c>
      <c r="F962" s="1125">
        <f t="shared" si="199"/>
        <v>1190</v>
      </c>
      <c r="G962" s="1335"/>
      <c r="H962" s="1125">
        <f t="shared" si="200"/>
        <v>0</v>
      </c>
      <c r="I962" s="1312"/>
      <c r="J962" s="1406">
        <f t="shared" si="198"/>
        <v>0</v>
      </c>
      <c r="K962" s="1335"/>
      <c r="L962" s="1125">
        <f t="shared" si="201"/>
        <v>0</v>
      </c>
      <c r="M962" s="1340"/>
      <c r="N962" s="1339">
        <f t="shared" si="202"/>
        <v>0</v>
      </c>
      <c r="O962" s="1340">
        <f t="shared" si="203"/>
        <v>0</v>
      </c>
      <c r="P962" s="1339">
        <f t="shared" si="204"/>
        <v>0</v>
      </c>
      <c r="Q962" s="1340">
        <f t="shared" si="205"/>
        <v>7</v>
      </c>
      <c r="R962" s="1339">
        <f t="shared" si="206"/>
        <v>1190</v>
      </c>
      <c r="S962" s="1322">
        <f t="shared" si="215"/>
        <v>1190</v>
      </c>
      <c r="T962" s="1322">
        <f t="shared" si="216"/>
        <v>0</v>
      </c>
    </row>
    <row r="963" spans="1:20" s="700" customFormat="1" ht="70.5" hidden="1" customHeight="1">
      <c r="A963" s="1428"/>
      <c r="B963" s="1431" t="s">
        <v>5773</v>
      </c>
      <c r="C963" s="1468">
        <v>5508</v>
      </c>
      <c r="D963" s="1371" t="s">
        <v>2322</v>
      </c>
      <c r="E963" s="1278"/>
      <c r="F963" s="1125">
        <f t="shared" si="199"/>
        <v>0</v>
      </c>
      <c r="G963" s="1273"/>
      <c r="H963" s="1125">
        <f t="shared" si="200"/>
        <v>0</v>
      </c>
      <c r="I963" s="748"/>
      <c r="J963" s="748">
        <f t="shared" si="198"/>
        <v>0</v>
      </c>
      <c r="K963" s="1273"/>
      <c r="L963" s="1125">
        <f t="shared" si="201"/>
        <v>0</v>
      </c>
      <c r="M963" s="1412"/>
      <c r="N963" s="1339">
        <f t="shared" si="202"/>
        <v>0</v>
      </c>
      <c r="O963" s="1340">
        <f t="shared" si="203"/>
        <v>0</v>
      </c>
      <c r="P963" s="1339">
        <f t="shared" si="204"/>
        <v>0</v>
      </c>
      <c r="Q963" s="1340">
        <f t="shared" si="205"/>
        <v>0</v>
      </c>
      <c r="R963" s="1339">
        <f t="shared" si="206"/>
        <v>0</v>
      </c>
    </row>
    <row r="964" spans="1:20" s="700" customFormat="1" ht="70.5" customHeight="1">
      <c r="A964" s="1126"/>
      <c r="B964" s="538" t="s">
        <v>4920</v>
      </c>
      <c r="C964" s="538">
        <f>Data!K3738</f>
        <v>98.65</v>
      </c>
      <c r="D964" s="744" t="s">
        <v>2322</v>
      </c>
      <c r="E964" s="1100">
        <v>3624.4</v>
      </c>
      <c r="F964" s="1125">
        <f t="shared" si="199"/>
        <v>357547.06</v>
      </c>
      <c r="G964" s="1199"/>
      <c r="H964" s="1125">
        <f t="shared" si="200"/>
        <v>0</v>
      </c>
      <c r="I964" s="748"/>
      <c r="J964" s="1407">
        <f t="shared" si="198"/>
        <v>0</v>
      </c>
      <c r="K964" s="1199"/>
      <c r="L964" s="1125">
        <f t="shared" si="201"/>
        <v>0</v>
      </c>
      <c r="M964" s="1200"/>
      <c r="N964" s="1339">
        <f t="shared" si="202"/>
        <v>0</v>
      </c>
      <c r="O964" s="1340">
        <f t="shared" si="203"/>
        <v>0</v>
      </c>
      <c r="P964" s="1339">
        <f t="shared" si="204"/>
        <v>0</v>
      </c>
      <c r="Q964" s="1340">
        <f t="shared" si="205"/>
        <v>3624.4</v>
      </c>
      <c r="R964" s="1339">
        <f t="shared" si="206"/>
        <v>357547.06</v>
      </c>
      <c r="S964" s="700">
        <f t="shared" ref="S964:S965" si="217">F964+P964</f>
        <v>357547.06</v>
      </c>
      <c r="T964" s="700">
        <f t="shared" ref="T964:T965" si="218">S964-R964</f>
        <v>0</v>
      </c>
    </row>
    <row r="965" spans="1:20" s="700" customFormat="1" ht="61.5" hidden="1" customHeight="1">
      <c r="A965" s="1428"/>
      <c r="B965" s="1415" t="s">
        <v>5956</v>
      </c>
      <c r="C965" s="1415"/>
      <c r="D965" s="1469" t="s">
        <v>1746</v>
      </c>
      <c r="E965" s="1416"/>
      <c r="F965" s="1125">
        <f t="shared" si="199"/>
        <v>0</v>
      </c>
      <c r="G965" s="1273"/>
      <c r="H965" s="1125">
        <f t="shared" si="200"/>
        <v>0</v>
      </c>
      <c r="I965" s="748"/>
      <c r="J965" s="748">
        <f t="shared" si="198"/>
        <v>0</v>
      </c>
      <c r="K965" s="1273"/>
      <c r="L965" s="1125">
        <f t="shared" si="201"/>
        <v>0</v>
      </c>
      <c r="M965" s="1412"/>
      <c r="N965" s="1339">
        <f t="shared" si="202"/>
        <v>0</v>
      </c>
      <c r="O965" s="1340">
        <f t="shared" si="203"/>
        <v>0</v>
      </c>
      <c r="P965" s="1339">
        <f t="shared" si="204"/>
        <v>0</v>
      </c>
      <c r="Q965" s="1340">
        <f t="shared" si="205"/>
        <v>0</v>
      </c>
      <c r="R965" s="1339">
        <f t="shared" si="206"/>
        <v>0</v>
      </c>
      <c r="S965" s="700">
        <f t="shared" si="217"/>
        <v>0</v>
      </c>
      <c r="T965" s="700">
        <f t="shared" si="218"/>
        <v>0</v>
      </c>
    </row>
    <row r="966" spans="1:20" s="700" customFormat="1" ht="66.75" customHeight="1">
      <c r="A966" s="1126"/>
      <c r="B966" s="538" t="s">
        <v>5951</v>
      </c>
      <c r="C966" s="1499">
        <v>77200</v>
      </c>
      <c r="D966" s="1246" t="s">
        <v>286</v>
      </c>
      <c r="E966" s="602">
        <v>1</v>
      </c>
      <c r="F966" s="748">
        <f t="shared" si="199"/>
        <v>77200</v>
      </c>
      <c r="G966" s="1199"/>
      <c r="H966" s="748">
        <f t="shared" si="200"/>
        <v>0</v>
      </c>
      <c r="I966" s="1279"/>
      <c r="J966" s="1407">
        <f t="shared" ref="J966:J1049" si="219">I966*C966</f>
        <v>0</v>
      </c>
      <c r="K966" s="1199">
        <v>1</v>
      </c>
      <c r="L966" s="748">
        <f t="shared" si="201"/>
        <v>77200</v>
      </c>
      <c r="M966" s="1200"/>
      <c r="N966" s="702">
        <f t="shared" si="202"/>
        <v>0</v>
      </c>
      <c r="O966" s="1208">
        <f t="shared" si="203"/>
        <v>1</v>
      </c>
      <c r="P966" s="702">
        <f t="shared" si="204"/>
        <v>77200</v>
      </c>
      <c r="Q966" s="1208">
        <f t="shared" si="205"/>
        <v>2</v>
      </c>
      <c r="R966" s="702">
        <f t="shared" si="206"/>
        <v>154400</v>
      </c>
    </row>
    <row r="967" spans="1:20" ht="68.25" customHeight="1">
      <c r="A967" s="1162"/>
      <c r="B967" s="1198" t="s">
        <v>5970</v>
      </c>
      <c r="C967" s="1505">
        <v>1044</v>
      </c>
      <c r="D967" s="1355" t="s">
        <v>1805</v>
      </c>
      <c r="E967" s="1109">
        <v>50</v>
      </c>
      <c r="F967" s="1125">
        <f t="shared" ref="F967:F1030" si="220">E967*C967</f>
        <v>52200</v>
      </c>
      <c r="G967" s="1335"/>
      <c r="H967" s="1125">
        <f t="shared" ref="H967:H1030" si="221">G967*C967</f>
        <v>0</v>
      </c>
      <c r="I967" s="1312"/>
      <c r="J967" s="1406">
        <f t="shared" si="219"/>
        <v>0</v>
      </c>
      <c r="K967" s="1335"/>
      <c r="L967" s="1125">
        <f t="shared" ref="L967:L1030" si="222">K967*C967</f>
        <v>0</v>
      </c>
      <c r="M967" s="1343"/>
      <c r="N967" s="1339">
        <f t="shared" ref="N967:N1030" si="223">M967*C967</f>
        <v>0</v>
      </c>
      <c r="O967" s="1340">
        <f t="shared" ref="O967:O1030" si="224">G967+K967+M967</f>
        <v>0</v>
      </c>
      <c r="P967" s="1339">
        <f t="shared" ref="P967:P1030" si="225">O967*C967</f>
        <v>0</v>
      </c>
      <c r="Q967" s="1340">
        <f t="shared" ref="Q967:Q1030" si="226">O967+E967</f>
        <v>50</v>
      </c>
      <c r="R967" s="1339">
        <f t="shared" ref="R967:R1030" si="227">Q967*C967</f>
        <v>52200</v>
      </c>
      <c r="S967" s="1322">
        <f t="shared" ref="S967:S996" si="228">F967+P967</f>
        <v>52200</v>
      </c>
      <c r="T967" s="1322">
        <f t="shared" ref="T967:T996" si="229">S967-R967</f>
        <v>0</v>
      </c>
    </row>
    <row r="968" spans="1:20" ht="73.5" customHeight="1">
      <c r="A968" s="1162"/>
      <c r="B968" s="1198" t="s">
        <v>5971</v>
      </c>
      <c r="C968" s="1505">
        <v>941</v>
      </c>
      <c r="D968" s="1355" t="s">
        <v>1805</v>
      </c>
      <c r="E968" s="1109">
        <v>10</v>
      </c>
      <c r="F968" s="1125">
        <f t="shared" si="220"/>
        <v>9410</v>
      </c>
      <c r="G968" s="1335"/>
      <c r="H968" s="1125">
        <f t="shared" si="221"/>
        <v>0</v>
      </c>
      <c r="I968" s="1312"/>
      <c r="J968" s="1406">
        <f t="shared" si="219"/>
        <v>0</v>
      </c>
      <c r="K968" s="1335"/>
      <c r="L968" s="1125">
        <f t="shared" si="222"/>
        <v>0</v>
      </c>
      <c r="M968" s="1343"/>
      <c r="N968" s="1339">
        <f t="shared" si="223"/>
        <v>0</v>
      </c>
      <c r="O968" s="1340">
        <f t="shared" si="224"/>
        <v>0</v>
      </c>
      <c r="P968" s="1339">
        <f t="shared" si="225"/>
        <v>0</v>
      </c>
      <c r="Q968" s="1340">
        <f t="shared" si="226"/>
        <v>10</v>
      </c>
      <c r="R968" s="1339">
        <f t="shared" si="227"/>
        <v>9410</v>
      </c>
      <c r="S968" s="1322">
        <f t="shared" si="228"/>
        <v>9410</v>
      </c>
      <c r="T968" s="1322">
        <f t="shared" si="229"/>
        <v>0</v>
      </c>
    </row>
    <row r="969" spans="1:20" ht="73.5" customHeight="1">
      <c r="A969" s="1162"/>
      <c r="B969" s="1198" t="s">
        <v>6076</v>
      </c>
      <c r="C969" s="1505">
        <v>646</v>
      </c>
      <c r="D969" s="1355" t="s">
        <v>1805</v>
      </c>
      <c r="E969" s="1109">
        <v>35</v>
      </c>
      <c r="F969" s="1125">
        <f t="shared" si="220"/>
        <v>22610</v>
      </c>
      <c r="G969" s="1335"/>
      <c r="H969" s="1125">
        <f t="shared" si="221"/>
        <v>0</v>
      </c>
      <c r="I969" s="1312"/>
      <c r="J969" s="1406"/>
      <c r="K969" s="1335"/>
      <c r="L969" s="1125">
        <f t="shared" si="222"/>
        <v>0</v>
      </c>
      <c r="M969" s="1343"/>
      <c r="N969" s="1339">
        <f t="shared" si="223"/>
        <v>0</v>
      </c>
      <c r="O969" s="1340">
        <f t="shared" si="224"/>
        <v>0</v>
      </c>
      <c r="P969" s="1339">
        <f t="shared" si="225"/>
        <v>0</v>
      </c>
      <c r="Q969" s="1340">
        <f t="shared" si="226"/>
        <v>35</v>
      </c>
      <c r="R969" s="1339">
        <f t="shared" si="227"/>
        <v>22610</v>
      </c>
    </row>
    <row r="970" spans="1:20" ht="73.5" customHeight="1">
      <c r="A970" s="1162"/>
      <c r="B970" s="1198" t="s">
        <v>6077</v>
      </c>
      <c r="C970" s="1505">
        <v>791</v>
      </c>
      <c r="D970" s="1355" t="s">
        <v>1805</v>
      </c>
      <c r="E970" s="1109">
        <v>10</v>
      </c>
      <c r="F970" s="1125">
        <f t="shared" si="220"/>
        <v>7910</v>
      </c>
      <c r="G970" s="1335"/>
      <c r="H970" s="1125">
        <f t="shared" si="221"/>
        <v>0</v>
      </c>
      <c r="I970" s="1312"/>
      <c r="J970" s="1406"/>
      <c r="K970" s="1335"/>
      <c r="L970" s="1125">
        <f t="shared" si="222"/>
        <v>0</v>
      </c>
      <c r="M970" s="1343"/>
      <c r="N970" s="1339">
        <f t="shared" si="223"/>
        <v>0</v>
      </c>
      <c r="O970" s="1340">
        <f t="shared" si="224"/>
        <v>0</v>
      </c>
      <c r="P970" s="1339">
        <f t="shared" si="225"/>
        <v>0</v>
      </c>
      <c r="Q970" s="1340">
        <f t="shared" si="226"/>
        <v>10</v>
      </c>
      <c r="R970" s="1339">
        <f t="shared" si="227"/>
        <v>7910</v>
      </c>
    </row>
    <row r="971" spans="1:20" ht="73.5" customHeight="1">
      <c r="A971" s="1162"/>
      <c r="B971" s="1198" t="s">
        <v>6120</v>
      </c>
      <c r="C971" s="1505">
        <v>595</v>
      </c>
      <c r="D971" s="1355" t="s">
        <v>1423</v>
      </c>
      <c r="E971" s="1109">
        <v>2</v>
      </c>
      <c r="F971" s="1125">
        <f t="shared" si="220"/>
        <v>1190</v>
      </c>
      <c r="G971" s="1335"/>
      <c r="H971" s="1125">
        <f t="shared" si="221"/>
        <v>0</v>
      </c>
      <c r="I971" s="1312"/>
      <c r="J971" s="1406"/>
      <c r="K971" s="1335"/>
      <c r="L971" s="1125">
        <f t="shared" si="222"/>
        <v>0</v>
      </c>
      <c r="M971" s="1343"/>
      <c r="N971" s="1339">
        <f t="shared" si="223"/>
        <v>0</v>
      </c>
      <c r="O971" s="1340">
        <f t="shared" si="224"/>
        <v>0</v>
      </c>
      <c r="P971" s="1339">
        <f t="shared" si="225"/>
        <v>0</v>
      </c>
      <c r="Q971" s="1340">
        <f t="shared" si="226"/>
        <v>2</v>
      </c>
      <c r="R971" s="1339">
        <f t="shared" si="227"/>
        <v>1190</v>
      </c>
    </row>
    <row r="972" spans="1:20" ht="73.5" customHeight="1">
      <c r="A972" s="1162"/>
      <c r="B972" s="1198" t="s">
        <v>6121</v>
      </c>
      <c r="C972" s="1505">
        <v>509</v>
      </c>
      <c r="D972" s="1355" t="s">
        <v>1423</v>
      </c>
      <c r="E972" s="1109">
        <v>2</v>
      </c>
      <c r="F972" s="1125">
        <f t="shared" si="220"/>
        <v>1018</v>
      </c>
      <c r="G972" s="1335"/>
      <c r="H972" s="1125">
        <f t="shared" si="221"/>
        <v>0</v>
      </c>
      <c r="I972" s="1312"/>
      <c r="J972" s="1406"/>
      <c r="K972" s="1335"/>
      <c r="L972" s="1125">
        <f t="shared" si="222"/>
        <v>0</v>
      </c>
      <c r="M972" s="1343"/>
      <c r="N972" s="1339">
        <f t="shared" si="223"/>
        <v>0</v>
      </c>
      <c r="O972" s="1340">
        <f t="shared" si="224"/>
        <v>0</v>
      </c>
      <c r="P972" s="1339">
        <f t="shared" si="225"/>
        <v>0</v>
      </c>
      <c r="Q972" s="1340">
        <f t="shared" si="226"/>
        <v>2</v>
      </c>
      <c r="R972" s="1339">
        <f t="shared" si="227"/>
        <v>1018</v>
      </c>
    </row>
    <row r="973" spans="1:20" ht="73.5" customHeight="1">
      <c r="A973" s="1162"/>
      <c r="B973" s="1198" t="s">
        <v>6078</v>
      </c>
      <c r="C973" s="1505">
        <v>151.30000000000001</v>
      </c>
      <c r="D973" s="1355" t="s">
        <v>1423</v>
      </c>
      <c r="E973" s="1109">
        <v>5</v>
      </c>
      <c r="F973" s="1125">
        <f t="shared" si="220"/>
        <v>756.5</v>
      </c>
      <c r="G973" s="1335"/>
      <c r="H973" s="1125">
        <f t="shared" si="221"/>
        <v>0</v>
      </c>
      <c r="I973" s="1312"/>
      <c r="J973" s="1406"/>
      <c r="K973" s="1335"/>
      <c r="L973" s="1125">
        <f t="shared" si="222"/>
        <v>0</v>
      </c>
      <c r="M973" s="1343"/>
      <c r="N973" s="1339">
        <f t="shared" si="223"/>
        <v>0</v>
      </c>
      <c r="O973" s="1340">
        <f t="shared" si="224"/>
        <v>0</v>
      </c>
      <c r="P973" s="1339">
        <f t="shared" si="225"/>
        <v>0</v>
      </c>
      <c r="Q973" s="1340">
        <f t="shared" si="226"/>
        <v>5</v>
      </c>
      <c r="R973" s="1339">
        <f t="shared" si="227"/>
        <v>756.5</v>
      </c>
    </row>
    <row r="974" spans="1:20" ht="73.5" customHeight="1">
      <c r="A974" s="1162"/>
      <c r="B974" s="1198" t="s">
        <v>6079</v>
      </c>
      <c r="C974" s="1505">
        <v>1013</v>
      </c>
      <c r="D974" s="1355" t="s">
        <v>1423</v>
      </c>
      <c r="E974" s="1109">
        <v>17</v>
      </c>
      <c r="F974" s="1125">
        <f t="shared" si="220"/>
        <v>17221</v>
      </c>
      <c r="G974" s="1335"/>
      <c r="H974" s="1125">
        <f t="shared" si="221"/>
        <v>0</v>
      </c>
      <c r="I974" s="1312"/>
      <c r="J974" s="1406"/>
      <c r="K974" s="1335"/>
      <c r="L974" s="1125">
        <f t="shared" si="222"/>
        <v>0</v>
      </c>
      <c r="M974" s="1343"/>
      <c r="N974" s="1339">
        <f t="shared" si="223"/>
        <v>0</v>
      </c>
      <c r="O974" s="1340">
        <f t="shared" si="224"/>
        <v>0</v>
      </c>
      <c r="P974" s="1339">
        <f t="shared" si="225"/>
        <v>0</v>
      </c>
      <c r="Q974" s="1340">
        <f t="shared" si="226"/>
        <v>17</v>
      </c>
      <c r="R974" s="1339">
        <f t="shared" si="227"/>
        <v>17221</v>
      </c>
    </row>
    <row r="975" spans="1:20" ht="73.5" customHeight="1">
      <c r="A975" s="1162"/>
      <c r="B975" s="1198" t="s">
        <v>6080</v>
      </c>
      <c r="C975" s="1505">
        <v>6588</v>
      </c>
      <c r="D975" s="1355" t="s">
        <v>1423</v>
      </c>
      <c r="E975" s="1109">
        <v>1</v>
      </c>
      <c r="F975" s="1125">
        <f t="shared" si="220"/>
        <v>6588</v>
      </c>
      <c r="G975" s="1335"/>
      <c r="H975" s="1125">
        <f t="shared" si="221"/>
        <v>0</v>
      </c>
      <c r="I975" s="1312"/>
      <c r="J975" s="1406"/>
      <c r="K975" s="1335"/>
      <c r="L975" s="1125">
        <f t="shared" si="222"/>
        <v>0</v>
      </c>
      <c r="M975" s="1343"/>
      <c r="N975" s="1339">
        <f t="shared" si="223"/>
        <v>0</v>
      </c>
      <c r="O975" s="1340">
        <f t="shared" si="224"/>
        <v>0</v>
      </c>
      <c r="P975" s="1339">
        <f t="shared" si="225"/>
        <v>0</v>
      </c>
      <c r="Q975" s="1340">
        <f t="shared" si="226"/>
        <v>1</v>
      </c>
      <c r="R975" s="1339">
        <f t="shared" si="227"/>
        <v>6588</v>
      </c>
    </row>
    <row r="976" spans="1:20" ht="86.25" customHeight="1">
      <c r="A976" s="1470"/>
      <c r="B976" s="1287" t="s">
        <v>6122</v>
      </c>
      <c r="C976" s="1502">
        <v>1181</v>
      </c>
      <c r="D976" s="1493" t="s">
        <v>1423</v>
      </c>
      <c r="E976" s="1100">
        <v>5</v>
      </c>
      <c r="F976" s="1125">
        <f t="shared" si="220"/>
        <v>5905</v>
      </c>
      <c r="G976" s="1427"/>
      <c r="H976" s="1125">
        <f t="shared" si="221"/>
        <v>0</v>
      </c>
      <c r="I976" s="1312"/>
      <c r="J976" s="1312">
        <f t="shared" si="219"/>
        <v>0</v>
      </c>
      <c r="K976" s="1427"/>
      <c r="L976" s="1125">
        <f t="shared" si="222"/>
        <v>0</v>
      </c>
      <c r="M976" s="1435"/>
      <c r="N976" s="1339">
        <f t="shared" si="223"/>
        <v>0</v>
      </c>
      <c r="O976" s="1340">
        <f t="shared" si="224"/>
        <v>0</v>
      </c>
      <c r="P976" s="1339">
        <f t="shared" si="225"/>
        <v>0</v>
      </c>
      <c r="Q976" s="1340">
        <f t="shared" si="226"/>
        <v>5</v>
      </c>
      <c r="R976" s="1339">
        <f t="shared" si="227"/>
        <v>5905</v>
      </c>
      <c r="S976" s="1322">
        <f t="shared" si="228"/>
        <v>5905</v>
      </c>
      <c r="T976" s="1322">
        <f t="shared" si="229"/>
        <v>0</v>
      </c>
    </row>
    <row r="977" spans="1:20" ht="86.25" customHeight="1">
      <c r="A977" s="1319"/>
      <c r="B977" s="1287" t="s">
        <v>6123</v>
      </c>
      <c r="C977" s="1502">
        <v>776</v>
      </c>
      <c r="D977" s="1493" t="s">
        <v>1423</v>
      </c>
      <c r="E977" s="1100">
        <v>18</v>
      </c>
      <c r="F977" s="1125">
        <f t="shared" si="220"/>
        <v>13968</v>
      </c>
      <c r="G977" s="1335"/>
      <c r="H977" s="1125">
        <f t="shared" si="221"/>
        <v>0</v>
      </c>
      <c r="I977" s="1312"/>
      <c r="J977" s="1312">
        <f t="shared" si="219"/>
        <v>0</v>
      </c>
      <c r="K977" s="1335"/>
      <c r="L977" s="1125">
        <f t="shared" si="222"/>
        <v>0</v>
      </c>
      <c r="M977" s="1343"/>
      <c r="N977" s="1339">
        <f t="shared" si="223"/>
        <v>0</v>
      </c>
      <c r="O977" s="1340">
        <f t="shared" si="224"/>
        <v>0</v>
      </c>
      <c r="P977" s="1339">
        <f t="shared" si="225"/>
        <v>0</v>
      </c>
      <c r="Q977" s="1340">
        <f t="shared" si="226"/>
        <v>18</v>
      </c>
      <c r="R977" s="1339">
        <f t="shared" si="227"/>
        <v>13968</v>
      </c>
      <c r="S977" s="1322">
        <f t="shared" si="228"/>
        <v>13968</v>
      </c>
      <c r="T977" s="1322">
        <f t="shared" si="229"/>
        <v>0</v>
      </c>
    </row>
    <row r="978" spans="1:20" s="700" customFormat="1" ht="86.25" hidden="1" customHeight="1">
      <c r="A978" s="1126"/>
      <c r="B978" s="538" t="s">
        <v>5972</v>
      </c>
      <c r="C978" s="1283">
        <v>165.1</v>
      </c>
      <c r="D978" s="1285" t="s">
        <v>1423</v>
      </c>
      <c r="E978" s="1388"/>
      <c r="F978" s="1125">
        <f t="shared" si="220"/>
        <v>0</v>
      </c>
      <c r="G978" s="1199"/>
      <c r="H978" s="1125">
        <f t="shared" si="221"/>
        <v>0</v>
      </c>
      <c r="I978" s="748"/>
      <c r="J978" s="748">
        <f t="shared" si="219"/>
        <v>0</v>
      </c>
      <c r="K978" s="1199"/>
      <c r="L978" s="1125">
        <f t="shared" si="222"/>
        <v>0</v>
      </c>
      <c r="M978" s="1200"/>
      <c r="N978" s="1339">
        <f t="shared" si="223"/>
        <v>0</v>
      </c>
      <c r="O978" s="1340">
        <f t="shared" si="224"/>
        <v>0</v>
      </c>
      <c r="P978" s="1339">
        <f t="shared" si="225"/>
        <v>0</v>
      </c>
      <c r="Q978" s="1340">
        <f t="shared" si="226"/>
        <v>0</v>
      </c>
      <c r="R978" s="1339">
        <f t="shared" si="227"/>
        <v>0</v>
      </c>
      <c r="S978" s="700">
        <f t="shared" si="228"/>
        <v>0</v>
      </c>
      <c r="T978" s="700">
        <f t="shared" si="229"/>
        <v>0</v>
      </c>
    </row>
    <row r="979" spans="1:20" ht="86.25" hidden="1" customHeight="1">
      <c r="A979" s="1319"/>
      <c r="B979" s="1198" t="s">
        <v>4132</v>
      </c>
      <c r="C979" s="1187">
        <v>776</v>
      </c>
      <c r="D979" s="1110" t="s">
        <v>1423</v>
      </c>
      <c r="E979" s="1323"/>
      <c r="F979" s="1125">
        <f t="shared" si="220"/>
        <v>0</v>
      </c>
      <c r="G979" s="1335"/>
      <c r="H979" s="1125">
        <f t="shared" si="221"/>
        <v>0</v>
      </c>
      <c r="I979" s="1312"/>
      <c r="J979" s="1312">
        <f t="shared" si="219"/>
        <v>0</v>
      </c>
      <c r="K979" s="1335"/>
      <c r="L979" s="1125">
        <f t="shared" si="222"/>
        <v>0</v>
      </c>
      <c r="M979" s="1343"/>
      <c r="N979" s="1339">
        <f t="shared" si="223"/>
        <v>0</v>
      </c>
      <c r="O979" s="1340">
        <f t="shared" si="224"/>
        <v>0</v>
      </c>
      <c r="P979" s="1339">
        <f t="shared" si="225"/>
        <v>0</v>
      </c>
      <c r="Q979" s="1340">
        <f t="shared" si="226"/>
        <v>0</v>
      </c>
      <c r="R979" s="1339">
        <f t="shared" si="227"/>
        <v>0</v>
      </c>
      <c r="S979" s="1322">
        <f t="shared" si="228"/>
        <v>0</v>
      </c>
      <c r="T979" s="1322">
        <f t="shared" si="229"/>
        <v>0</v>
      </c>
    </row>
    <row r="980" spans="1:20" s="700" customFormat="1" ht="86.25" hidden="1" customHeight="1">
      <c r="A980" s="1126"/>
      <c r="B980" s="1287" t="s">
        <v>5973</v>
      </c>
      <c r="C980" s="1286">
        <v>1013</v>
      </c>
      <c r="D980" s="1284" t="s">
        <v>1423</v>
      </c>
      <c r="E980" s="1388"/>
      <c r="F980" s="1125">
        <f t="shared" si="220"/>
        <v>0</v>
      </c>
      <c r="G980" s="1199"/>
      <c r="H980" s="1125">
        <f t="shared" si="221"/>
        <v>0</v>
      </c>
      <c r="I980" s="748"/>
      <c r="J980" s="748">
        <f t="shared" si="219"/>
        <v>0</v>
      </c>
      <c r="K980" s="1199"/>
      <c r="L980" s="1125">
        <f t="shared" si="222"/>
        <v>0</v>
      </c>
      <c r="M980" s="1200"/>
      <c r="N980" s="1339">
        <f t="shared" si="223"/>
        <v>0</v>
      </c>
      <c r="O980" s="1340">
        <f t="shared" si="224"/>
        <v>0</v>
      </c>
      <c r="P980" s="1339">
        <f t="shared" si="225"/>
        <v>0</v>
      </c>
      <c r="Q980" s="1340">
        <f t="shared" si="226"/>
        <v>0</v>
      </c>
      <c r="R980" s="1339">
        <f t="shared" si="227"/>
        <v>0</v>
      </c>
      <c r="S980" s="700">
        <f t="shared" si="228"/>
        <v>0</v>
      </c>
      <c r="T980" s="700">
        <f t="shared" si="229"/>
        <v>0</v>
      </c>
    </row>
    <row r="981" spans="1:20" ht="60.75" hidden="1" customHeight="1">
      <c r="A981" s="1319"/>
      <c r="B981" s="1328" t="s">
        <v>5974</v>
      </c>
      <c r="C981" s="1275">
        <v>2020</v>
      </c>
      <c r="D981" s="1274" t="s">
        <v>1746</v>
      </c>
      <c r="E981" s="1346"/>
      <c r="F981" s="1125">
        <f t="shared" si="220"/>
        <v>0</v>
      </c>
      <c r="G981" s="1335"/>
      <c r="H981" s="1125">
        <f t="shared" si="221"/>
        <v>0</v>
      </c>
      <c r="I981" s="1312"/>
      <c r="J981" s="1312">
        <f t="shared" si="219"/>
        <v>0</v>
      </c>
      <c r="K981" s="1335"/>
      <c r="L981" s="1125">
        <f t="shared" si="222"/>
        <v>0</v>
      </c>
      <c r="M981" s="1343"/>
      <c r="N981" s="1339">
        <f t="shared" si="223"/>
        <v>0</v>
      </c>
      <c r="O981" s="1340">
        <f t="shared" si="224"/>
        <v>0</v>
      </c>
      <c r="P981" s="1339">
        <f t="shared" si="225"/>
        <v>0</v>
      </c>
      <c r="Q981" s="1340">
        <f t="shared" si="226"/>
        <v>0</v>
      </c>
      <c r="R981" s="1339">
        <f t="shared" si="227"/>
        <v>0</v>
      </c>
      <c r="S981" s="1322">
        <f t="shared" si="228"/>
        <v>0</v>
      </c>
      <c r="T981" s="1322">
        <f t="shared" si="229"/>
        <v>0</v>
      </c>
    </row>
    <row r="982" spans="1:20" ht="86.25" hidden="1" customHeight="1">
      <c r="A982" s="1319"/>
      <c r="B982" s="1356" t="s">
        <v>6061</v>
      </c>
      <c r="C982" s="1357">
        <v>77200</v>
      </c>
      <c r="D982" s="1358" t="s">
        <v>1423</v>
      </c>
      <c r="E982" s="1389"/>
      <c r="F982" s="1125">
        <f t="shared" si="220"/>
        <v>0</v>
      </c>
      <c r="G982" s="1335"/>
      <c r="H982" s="1125">
        <f t="shared" si="221"/>
        <v>0</v>
      </c>
      <c r="I982" s="1312"/>
      <c r="J982" s="1312">
        <f t="shared" si="219"/>
        <v>0</v>
      </c>
      <c r="K982" s="1335"/>
      <c r="L982" s="1125">
        <f t="shared" si="222"/>
        <v>0</v>
      </c>
      <c r="M982" s="1343"/>
      <c r="N982" s="1339">
        <f t="shared" si="223"/>
        <v>0</v>
      </c>
      <c r="O982" s="1340">
        <f t="shared" si="224"/>
        <v>0</v>
      </c>
      <c r="P982" s="1339">
        <f t="shared" si="225"/>
        <v>0</v>
      </c>
      <c r="Q982" s="1340">
        <f t="shared" si="226"/>
        <v>0</v>
      </c>
      <c r="R982" s="1339">
        <f t="shared" si="227"/>
        <v>0</v>
      </c>
      <c r="S982" s="1322">
        <f t="shared" si="228"/>
        <v>0</v>
      </c>
      <c r="T982" s="1322">
        <f t="shared" si="229"/>
        <v>0</v>
      </c>
    </row>
    <row r="983" spans="1:20" s="700" customFormat="1" ht="86.25" customHeight="1">
      <c r="A983" s="1126"/>
      <c r="B983" s="1280" t="s">
        <v>5976</v>
      </c>
      <c r="C983" s="1280"/>
      <c r="D983" s="1288"/>
      <c r="E983" s="1280"/>
      <c r="F983" s="1125">
        <f t="shared" si="220"/>
        <v>0</v>
      </c>
      <c r="G983" s="1199"/>
      <c r="H983" s="1125">
        <f t="shared" si="221"/>
        <v>0</v>
      </c>
      <c r="I983" s="748"/>
      <c r="J983" s="1407">
        <f t="shared" si="219"/>
        <v>0</v>
      </c>
      <c r="K983" s="1199"/>
      <c r="L983" s="1125">
        <f t="shared" si="222"/>
        <v>0</v>
      </c>
      <c r="M983" s="1200"/>
      <c r="N983" s="1339">
        <f t="shared" si="223"/>
        <v>0</v>
      </c>
      <c r="O983" s="1340">
        <f t="shared" si="224"/>
        <v>0</v>
      </c>
      <c r="P983" s="1339">
        <f t="shared" si="225"/>
        <v>0</v>
      </c>
      <c r="Q983" s="1341" t="s">
        <v>2290</v>
      </c>
      <c r="R983" s="1339"/>
      <c r="S983" s="700">
        <f t="shared" si="228"/>
        <v>0</v>
      </c>
      <c r="T983" s="700">
        <f t="shared" si="229"/>
        <v>0</v>
      </c>
    </row>
    <row r="984" spans="1:20" s="700" customFormat="1" ht="60.75" customHeight="1">
      <c r="A984" s="1126"/>
      <c r="B984" s="1280" t="s">
        <v>5977</v>
      </c>
      <c r="C984" s="1280">
        <v>33170</v>
      </c>
      <c r="D984" s="1288" t="s">
        <v>1423</v>
      </c>
      <c r="E984" s="1280">
        <v>2</v>
      </c>
      <c r="F984" s="1125">
        <f t="shared" si="220"/>
        <v>66340</v>
      </c>
      <c r="G984" s="1199"/>
      <c r="H984" s="1125">
        <f t="shared" si="221"/>
        <v>0</v>
      </c>
      <c r="I984" s="748"/>
      <c r="J984" s="1407">
        <f t="shared" si="219"/>
        <v>0</v>
      </c>
      <c r="K984" s="1199"/>
      <c r="L984" s="1125">
        <f t="shared" si="222"/>
        <v>0</v>
      </c>
      <c r="M984" s="1200"/>
      <c r="N984" s="1339">
        <f t="shared" si="223"/>
        <v>0</v>
      </c>
      <c r="O984" s="1340">
        <f t="shared" si="224"/>
        <v>0</v>
      </c>
      <c r="P984" s="1339">
        <f t="shared" si="225"/>
        <v>0</v>
      </c>
      <c r="Q984" s="1340">
        <f t="shared" si="226"/>
        <v>2</v>
      </c>
      <c r="R984" s="1339">
        <f t="shared" si="227"/>
        <v>66340</v>
      </c>
      <c r="S984" s="700">
        <f t="shared" si="228"/>
        <v>66340</v>
      </c>
      <c r="T984" s="700">
        <f t="shared" si="229"/>
        <v>0</v>
      </c>
    </row>
    <row r="985" spans="1:20" s="700" customFormat="1" ht="60.75" hidden="1" customHeight="1">
      <c r="A985" s="1428"/>
      <c r="B985" s="1472" t="s">
        <v>5978</v>
      </c>
      <c r="C985" s="1472">
        <v>44160</v>
      </c>
      <c r="D985" s="1473" t="s">
        <v>1423</v>
      </c>
      <c r="E985" s="1472"/>
      <c r="F985" s="1125">
        <f t="shared" si="220"/>
        <v>0</v>
      </c>
      <c r="G985" s="1273"/>
      <c r="H985" s="1125">
        <f t="shared" si="221"/>
        <v>0</v>
      </c>
      <c r="I985" s="748"/>
      <c r="J985" s="748">
        <f t="shared" si="219"/>
        <v>0</v>
      </c>
      <c r="K985" s="1273"/>
      <c r="L985" s="1125">
        <f t="shared" si="222"/>
        <v>0</v>
      </c>
      <c r="M985" s="1412"/>
      <c r="N985" s="1339">
        <f t="shared" si="223"/>
        <v>0</v>
      </c>
      <c r="O985" s="1340">
        <f t="shared" si="224"/>
        <v>0</v>
      </c>
      <c r="P985" s="1339">
        <f t="shared" si="225"/>
        <v>0</v>
      </c>
      <c r="Q985" s="1340">
        <f t="shared" si="226"/>
        <v>0</v>
      </c>
      <c r="R985" s="1339">
        <f t="shared" si="227"/>
        <v>0</v>
      </c>
      <c r="S985" s="700">
        <f t="shared" si="228"/>
        <v>0</v>
      </c>
      <c r="T985" s="700">
        <f t="shared" si="229"/>
        <v>0</v>
      </c>
    </row>
    <row r="986" spans="1:20" s="700" customFormat="1" ht="86.25" customHeight="1">
      <c r="A986" s="1126"/>
      <c r="B986" s="1280" t="s">
        <v>5979</v>
      </c>
      <c r="C986" s="1280">
        <v>4441</v>
      </c>
      <c r="D986" s="1288" t="s">
        <v>1423</v>
      </c>
      <c r="E986" s="1280">
        <v>2</v>
      </c>
      <c r="F986" s="1125">
        <f t="shared" si="220"/>
        <v>8882</v>
      </c>
      <c r="G986" s="1199"/>
      <c r="H986" s="1125">
        <f t="shared" si="221"/>
        <v>0</v>
      </c>
      <c r="I986" s="748"/>
      <c r="J986" s="1407">
        <f t="shared" si="219"/>
        <v>0</v>
      </c>
      <c r="K986" s="1199"/>
      <c r="L986" s="1125">
        <f t="shared" si="222"/>
        <v>0</v>
      </c>
      <c r="M986" s="1200"/>
      <c r="N986" s="1339">
        <f t="shared" si="223"/>
        <v>0</v>
      </c>
      <c r="O986" s="1340">
        <f t="shared" si="224"/>
        <v>0</v>
      </c>
      <c r="P986" s="1339">
        <f t="shared" si="225"/>
        <v>0</v>
      </c>
      <c r="Q986" s="1340">
        <f t="shared" si="226"/>
        <v>2</v>
      </c>
      <c r="R986" s="1339">
        <f t="shared" si="227"/>
        <v>8882</v>
      </c>
      <c r="S986" s="700">
        <f t="shared" si="228"/>
        <v>8882</v>
      </c>
      <c r="T986" s="700">
        <f t="shared" si="229"/>
        <v>0</v>
      </c>
    </row>
    <row r="987" spans="1:20" s="700" customFormat="1" ht="86.25" hidden="1" customHeight="1">
      <c r="A987" s="1428"/>
      <c r="B987" s="1472" t="s">
        <v>5980</v>
      </c>
      <c r="C987" s="1472">
        <v>4940</v>
      </c>
      <c r="D987" s="1473" t="s">
        <v>1423</v>
      </c>
      <c r="E987" s="1474"/>
      <c r="F987" s="1125">
        <f t="shared" si="220"/>
        <v>0</v>
      </c>
      <c r="G987" s="1273"/>
      <c r="H987" s="1125">
        <f t="shared" si="221"/>
        <v>0</v>
      </c>
      <c r="I987" s="748"/>
      <c r="J987" s="748">
        <f t="shared" si="219"/>
        <v>0</v>
      </c>
      <c r="K987" s="1273"/>
      <c r="L987" s="1125">
        <f t="shared" si="222"/>
        <v>0</v>
      </c>
      <c r="M987" s="1412"/>
      <c r="N987" s="1339">
        <f t="shared" si="223"/>
        <v>0</v>
      </c>
      <c r="O987" s="1340">
        <f t="shared" si="224"/>
        <v>0</v>
      </c>
      <c r="P987" s="1339">
        <f t="shared" si="225"/>
        <v>0</v>
      </c>
      <c r="Q987" s="1340">
        <f t="shared" si="226"/>
        <v>0</v>
      </c>
      <c r="R987" s="1339">
        <f t="shared" si="227"/>
        <v>0</v>
      </c>
      <c r="S987" s="700">
        <f t="shared" si="228"/>
        <v>0</v>
      </c>
      <c r="T987" s="700">
        <f t="shared" si="229"/>
        <v>0</v>
      </c>
    </row>
    <row r="988" spans="1:20" s="700" customFormat="1" ht="86.25" customHeight="1">
      <c r="A988" s="1126"/>
      <c r="B988" s="1280" t="s">
        <v>5981</v>
      </c>
      <c r="C988" s="1280">
        <v>940</v>
      </c>
      <c r="D988" s="1288" t="s">
        <v>842</v>
      </c>
      <c r="E988" s="1280">
        <v>6</v>
      </c>
      <c r="F988" s="1125">
        <f t="shared" si="220"/>
        <v>5640</v>
      </c>
      <c r="G988" s="1199"/>
      <c r="H988" s="1125">
        <f t="shared" si="221"/>
        <v>0</v>
      </c>
      <c r="I988" s="748"/>
      <c r="J988" s="1407">
        <f t="shared" si="219"/>
        <v>0</v>
      </c>
      <c r="K988" s="1199"/>
      <c r="L988" s="1125">
        <f t="shared" si="222"/>
        <v>0</v>
      </c>
      <c r="M988" s="1200"/>
      <c r="N988" s="1339">
        <f t="shared" si="223"/>
        <v>0</v>
      </c>
      <c r="O988" s="1340">
        <f t="shared" si="224"/>
        <v>0</v>
      </c>
      <c r="P988" s="1339">
        <f t="shared" si="225"/>
        <v>0</v>
      </c>
      <c r="Q988" s="1340">
        <f t="shared" si="226"/>
        <v>6</v>
      </c>
      <c r="R988" s="1339">
        <f t="shared" si="227"/>
        <v>5640</v>
      </c>
      <c r="S988" s="700">
        <f t="shared" si="228"/>
        <v>5640</v>
      </c>
      <c r="T988" s="700">
        <f t="shared" si="229"/>
        <v>0</v>
      </c>
    </row>
    <row r="989" spans="1:20" s="700" customFormat="1" ht="51" customHeight="1">
      <c r="A989" s="1126"/>
      <c r="B989" s="1280" t="s">
        <v>5982</v>
      </c>
      <c r="C989" s="1280">
        <v>64.099999999999994</v>
      </c>
      <c r="D989" s="1288" t="s">
        <v>842</v>
      </c>
      <c r="E989" s="1280">
        <v>5</v>
      </c>
      <c r="F989" s="1125">
        <f t="shared" si="220"/>
        <v>320.5</v>
      </c>
      <c r="G989" s="1199"/>
      <c r="H989" s="1125">
        <f t="shared" si="221"/>
        <v>0</v>
      </c>
      <c r="I989" s="748"/>
      <c r="J989" s="1407">
        <f t="shared" si="219"/>
        <v>0</v>
      </c>
      <c r="K989" s="1199"/>
      <c r="L989" s="1125">
        <f t="shared" si="222"/>
        <v>0</v>
      </c>
      <c r="M989" s="1200"/>
      <c r="N989" s="1339">
        <f t="shared" si="223"/>
        <v>0</v>
      </c>
      <c r="O989" s="1340">
        <f t="shared" si="224"/>
        <v>0</v>
      </c>
      <c r="P989" s="1339">
        <f t="shared" si="225"/>
        <v>0</v>
      </c>
      <c r="Q989" s="1340">
        <f t="shared" si="226"/>
        <v>5</v>
      </c>
      <c r="R989" s="1339">
        <f t="shared" si="227"/>
        <v>320.5</v>
      </c>
      <c r="S989" s="700">
        <f t="shared" si="228"/>
        <v>320.5</v>
      </c>
      <c r="T989" s="700">
        <f t="shared" si="229"/>
        <v>0</v>
      </c>
    </row>
    <row r="990" spans="1:20" ht="66" customHeight="1">
      <c r="A990" s="1162"/>
      <c r="B990" s="1359" t="s">
        <v>5983</v>
      </c>
      <c r="C990" s="1510"/>
      <c r="D990" s="1358"/>
      <c r="E990" s="1357"/>
      <c r="F990" s="1125">
        <f t="shared" si="220"/>
        <v>0</v>
      </c>
      <c r="G990" s="1335"/>
      <c r="H990" s="1125">
        <f t="shared" si="221"/>
        <v>0</v>
      </c>
      <c r="I990" s="1312"/>
      <c r="J990" s="1406">
        <f t="shared" si="219"/>
        <v>0</v>
      </c>
      <c r="K990" s="1335"/>
      <c r="L990" s="1125">
        <f t="shared" si="222"/>
        <v>0</v>
      </c>
      <c r="M990" s="1343"/>
      <c r="N990" s="1339">
        <f t="shared" si="223"/>
        <v>0</v>
      </c>
      <c r="O990" s="1340">
        <f t="shared" si="224"/>
        <v>0</v>
      </c>
      <c r="P990" s="1339">
        <f t="shared" si="225"/>
        <v>0</v>
      </c>
      <c r="Q990" s="1341" t="s">
        <v>2290</v>
      </c>
      <c r="R990" s="1339"/>
      <c r="S990" s="1322">
        <f t="shared" si="228"/>
        <v>0</v>
      </c>
      <c r="T990" s="1322">
        <f t="shared" si="229"/>
        <v>0</v>
      </c>
    </row>
    <row r="991" spans="1:20" ht="68.25" customHeight="1">
      <c r="A991" s="1162"/>
      <c r="B991" s="1356" t="s">
        <v>5984</v>
      </c>
      <c r="C991" s="1510">
        <v>4200</v>
      </c>
      <c r="D991" s="1358" t="s">
        <v>1457</v>
      </c>
      <c r="E991" s="1357">
        <v>1</v>
      </c>
      <c r="F991" s="1125">
        <f t="shared" si="220"/>
        <v>4200</v>
      </c>
      <c r="G991" s="1335"/>
      <c r="H991" s="1125">
        <f t="shared" si="221"/>
        <v>0</v>
      </c>
      <c r="I991" s="1312"/>
      <c r="J991" s="1406">
        <f t="shared" si="219"/>
        <v>0</v>
      </c>
      <c r="K991" s="1335"/>
      <c r="L991" s="1125">
        <f t="shared" si="222"/>
        <v>0</v>
      </c>
      <c r="M991" s="1343"/>
      <c r="N991" s="1339">
        <f t="shared" si="223"/>
        <v>0</v>
      </c>
      <c r="O991" s="1340">
        <f t="shared" si="224"/>
        <v>0</v>
      </c>
      <c r="P991" s="1339">
        <f t="shared" si="225"/>
        <v>0</v>
      </c>
      <c r="Q991" s="1340">
        <f t="shared" si="226"/>
        <v>1</v>
      </c>
      <c r="R991" s="1339">
        <f t="shared" si="227"/>
        <v>4200</v>
      </c>
      <c r="S991" s="1322">
        <f t="shared" si="228"/>
        <v>4200</v>
      </c>
      <c r="T991" s="1322">
        <f t="shared" si="229"/>
        <v>0</v>
      </c>
    </row>
    <row r="992" spans="1:20" ht="63" customHeight="1">
      <c r="A992" s="1162"/>
      <c r="B992" s="1356" t="s">
        <v>5985</v>
      </c>
      <c r="C992" s="1510">
        <v>840</v>
      </c>
      <c r="D992" s="1358" t="s">
        <v>1457</v>
      </c>
      <c r="E992" s="1357">
        <v>42</v>
      </c>
      <c r="F992" s="1125">
        <f t="shared" si="220"/>
        <v>35280</v>
      </c>
      <c r="G992" s="1335"/>
      <c r="H992" s="1125">
        <f t="shared" si="221"/>
        <v>0</v>
      </c>
      <c r="I992" s="1312"/>
      <c r="J992" s="1406">
        <f t="shared" si="219"/>
        <v>0</v>
      </c>
      <c r="K992" s="1335"/>
      <c r="L992" s="1125">
        <f t="shared" si="222"/>
        <v>0</v>
      </c>
      <c r="M992" s="1343"/>
      <c r="N992" s="1339">
        <f t="shared" si="223"/>
        <v>0</v>
      </c>
      <c r="O992" s="1340">
        <f t="shared" si="224"/>
        <v>0</v>
      </c>
      <c r="P992" s="1339">
        <f t="shared" si="225"/>
        <v>0</v>
      </c>
      <c r="Q992" s="1340">
        <f t="shared" si="226"/>
        <v>42</v>
      </c>
      <c r="R992" s="1339">
        <f t="shared" si="227"/>
        <v>35280</v>
      </c>
      <c r="S992" s="1322">
        <f t="shared" si="228"/>
        <v>35280</v>
      </c>
      <c r="T992" s="1322">
        <f t="shared" si="229"/>
        <v>0</v>
      </c>
    </row>
    <row r="993" spans="1:20" ht="63" customHeight="1">
      <c r="A993" s="1162"/>
      <c r="B993" s="1356" t="s">
        <v>5986</v>
      </c>
      <c r="C993" s="1510">
        <v>720</v>
      </c>
      <c r="D993" s="1358" t="s">
        <v>1457</v>
      </c>
      <c r="E993" s="1357">
        <v>12</v>
      </c>
      <c r="F993" s="1125">
        <f t="shared" si="220"/>
        <v>8640</v>
      </c>
      <c r="G993" s="1335"/>
      <c r="H993" s="1125">
        <f t="shared" si="221"/>
        <v>0</v>
      </c>
      <c r="I993" s="1312"/>
      <c r="J993" s="1406">
        <f t="shared" si="219"/>
        <v>0</v>
      </c>
      <c r="K993" s="1335"/>
      <c r="L993" s="1125">
        <f t="shared" si="222"/>
        <v>0</v>
      </c>
      <c r="M993" s="1343"/>
      <c r="N993" s="1339">
        <f t="shared" si="223"/>
        <v>0</v>
      </c>
      <c r="O993" s="1340">
        <f t="shared" si="224"/>
        <v>0</v>
      </c>
      <c r="P993" s="1339">
        <f t="shared" si="225"/>
        <v>0</v>
      </c>
      <c r="Q993" s="1340">
        <f t="shared" si="226"/>
        <v>12</v>
      </c>
      <c r="R993" s="1339">
        <f t="shared" si="227"/>
        <v>8640</v>
      </c>
      <c r="S993" s="1322">
        <f t="shared" si="228"/>
        <v>8640</v>
      </c>
      <c r="T993" s="1322">
        <f t="shared" si="229"/>
        <v>0</v>
      </c>
    </row>
    <row r="994" spans="1:20" ht="69" customHeight="1">
      <c r="A994" s="1162"/>
      <c r="B994" s="1356" t="s">
        <v>5987</v>
      </c>
      <c r="C994" s="1510">
        <v>320</v>
      </c>
      <c r="D994" s="1358" t="s">
        <v>1457</v>
      </c>
      <c r="E994" s="1357">
        <v>15</v>
      </c>
      <c r="F994" s="1125">
        <f t="shared" si="220"/>
        <v>4800</v>
      </c>
      <c r="G994" s="1335"/>
      <c r="H994" s="1125">
        <f t="shared" si="221"/>
        <v>0</v>
      </c>
      <c r="I994" s="1312"/>
      <c r="J994" s="1406">
        <f t="shared" si="219"/>
        <v>0</v>
      </c>
      <c r="K994" s="1335"/>
      <c r="L994" s="1125">
        <f t="shared" si="222"/>
        <v>0</v>
      </c>
      <c r="M994" s="1343"/>
      <c r="N994" s="1339">
        <f t="shared" si="223"/>
        <v>0</v>
      </c>
      <c r="O994" s="1340">
        <f t="shared" si="224"/>
        <v>0</v>
      </c>
      <c r="P994" s="1339">
        <f t="shared" si="225"/>
        <v>0</v>
      </c>
      <c r="Q994" s="1340">
        <f t="shared" si="226"/>
        <v>15</v>
      </c>
      <c r="R994" s="1339">
        <f t="shared" si="227"/>
        <v>4800</v>
      </c>
      <c r="S994" s="1322">
        <f t="shared" si="228"/>
        <v>4800</v>
      </c>
      <c r="T994" s="1322">
        <f t="shared" si="229"/>
        <v>0</v>
      </c>
    </row>
    <row r="995" spans="1:20" ht="71.25" customHeight="1">
      <c r="A995" s="1162"/>
      <c r="B995" s="1356" t="s">
        <v>5988</v>
      </c>
      <c r="C995" s="1510">
        <v>450</v>
      </c>
      <c r="D995" s="1358" t="s">
        <v>1457</v>
      </c>
      <c r="E995" s="1357">
        <v>1</v>
      </c>
      <c r="F995" s="1125">
        <f t="shared" si="220"/>
        <v>450</v>
      </c>
      <c r="G995" s="1335"/>
      <c r="H995" s="1125">
        <f t="shared" si="221"/>
        <v>0</v>
      </c>
      <c r="I995" s="1312"/>
      <c r="J995" s="1406">
        <f t="shared" si="219"/>
        <v>0</v>
      </c>
      <c r="K995" s="1335"/>
      <c r="L995" s="1125">
        <f t="shared" si="222"/>
        <v>0</v>
      </c>
      <c r="M995" s="1343"/>
      <c r="N995" s="1339">
        <f t="shared" si="223"/>
        <v>0</v>
      </c>
      <c r="O995" s="1340">
        <f t="shared" si="224"/>
        <v>0</v>
      </c>
      <c r="P995" s="1339">
        <f t="shared" si="225"/>
        <v>0</v>
      </c>
      <c r="Q995" s="1340">
        <f t="shared" si="226"/>
        <v>1</v>
      </c>
      <c r="R995" s="1339">
        <f t="shared" si="227"/>
        <v>450</v>
      </c>
      <c r="S995" s="1322">
        <f t="shared" si="228"/>
        <v>450</v>
      </c>
      <c r="T995" s="1322">
        <f t="shared" si="229"/>
        <v>0</v>
      </c>
    </row>
    <row r="996" spans="1:20" ht="107.25" customHeight="1">
      <c r="A996" s="1162"/>
      <c r="B996" s="1356" t="s">
        <v>6081</v>
      </c>
      <c r="C996" s="1510">
        <v>2701</v>
      </c>
      <c r="D996" s="1358" t="s">
        <v>1457</v>
      </c>
      <c r="E996" s="1357">
        <v>12</v>
      </c>
      <c r="F996" s="1125">
        <f t="shared" si="220"/>
        <v>32412</v>
      </c>
      <c r="G996" s="1335"/>
      <c r="H996" s="1125">
        <f t="shared" si="221"/>
        <v>0</v>
      </c>
      <c r="I996" s="1312"/>
      <c r="J996" s="1406">
        <f t="shared" si="219"/>
        <v>0</v>
      </c>
      <c r="K996" s="1335"/>
      <c r="L996" s="1125">
        <f t="shared" si="222"/>
        <v>0</v>
      </c>
      <c r="M996" s="1343"/>
      <c r="N996" s="1339">
        <f t="shared" si="223"/>
        <v>0</v>
      </c>
      <c r="O996" s="1340">
        <f t="shared" si="224"/>
        <v>0</v>
      </c>
      <c r="P996" s="1339">
        <f t="shared" si="225"/>
        <v>0</v>
      </c>
      <c r="Q996" s="1340">
        <f t="shared" si="226"/>
        <v>12</v>
      </c>
      <c r="R996" s="1339">
        <f t="shared" si="227"/>
        <v>32412</v>
      </c>
      <c r="S996" s="1322">
        <f t="shared" si="228"/>
        <v>32412</v>
      </c>
      <c r="T996" s="1322">
        <f t="shared" si="229"/>
        <v>0</v>
      </c>
    </row>
    <row r="997" spans="1:20" ht="108.75" customHeight="1">
      <c r="A997" s="1162"/>
      <c r="B997" s="1356" t="s">
        <v>5989</v>
      </c>
      <c r="C997" s="1510">
        <v>1481.4</v>
      </c>
      <c r="D997" s="1358" t="s">
        <v>1419</v>
      </c>
      <c r="E997" s="1357">
        <v>8</v>
      </c>
      <c r="F997" s="1125">
        <f t="shared" si="220"/>
        <v>11851.2</v>
      </c>
      <c r="G997" s="1335"/>
      <c r="H997" s="1125">
        <f t="shared" si="221"/>
        <v>0</v>
      </c>
      <c r="I997" s="1312"/>
      <c r="J997" s="1406">
        <f t="shared" si="219"/>
        <v>0</v>
      </c>
      <c r="K997" s="1335"/>
      <c r="L997" s="1125">
        <f t="shared" si="222"/>
        <v>0</v>
      </c>
      <c r="M997" s="1343"/>
      <c r="N997" s="1339">
        <f t="shared" si="223"/>
        <v>0</v>
      </c>
      <c r="O997" s="1340">
        <f t="shared" si="224"/>
        <v>0</v>
      </c>
      <c r="P997" s="1339">
        <f t="shared" si="225"/>
        <v>0</v>
      </c>
      <c r="Q997" s="1340">
        <f t="shared" si="226"/>
        <v>8</v>
      </c>
      <c r="R997" s="1339">
        <f t="shared" si="227"/>
        <v>11851.2</v>
      </c>
      <c r="S997" s="1322">
        <f t="shared" ref="S997:S1046" si="230">F997+P997</f>
        <v>11851.2</v>
      </c>
      <c r="T997" s="1322">
        <f t="shared" ref="T997:T1046" si="231">S997-R997</f>
        <v>0</v>
      </c>
    </row>
    <row r="998" spans="1:20" s="700" customFormat="1" ht="164.25" customHeight="1">
      <c r="A998" s="1126"/>
      <c r="B998" s="1395" t="s">
        <v>6096</v>
      </c>
      <c r="C998" s="1511">
        <v>17095</v>
      </c>
      <c r="D998" s="1396" t="s">
        <v>1746</v>
      </c>
      <c r="E998" s="1396">
        <v>8</v>
      </c>
      <c r="F998" s="1125">
        <f t="shared" si="220"/>
        <v>136760</v>
      </c>
      <c r="G998" s="1199"/>
      <c r="H998" s="1125">
        <f t="shared" si="221"/>
        <v>0</v>
      </c>
      <c r="I998" s="748"/>
      <c r="J998" s="1407">
        <f t="shared" si="219"/>
        <v>0</v>
      </c>
      <c r="K998" s="1199"/>
      <c r="L998" s="1125">
        <f t="shared" si="222"/>
        <v>0</v>
      </c>
      <c r="M998" s="1200"/>
      <c r="N998" s="1339">
        <f t="shared" si="223"/>
        <v>0</v>
      </c>
      <c r="O998" s="1340">
        <f t="shared" si="224"/>
        <v>0</v>
      </c>
      <c r="P998" s="1339">
        <f t="shared" si="225"/>
        <v>0</v>
      </c>
      <c r="Q998" s="1340">
        <f t="shared" si="226"/>
        <v>8</v>
      </c>
      <c r="R998" s="1339">
        <f t="shared" si="227"/>
        <v>136760</v>
      </c>
      <c r="S998" s="700">
        <f t="shared" si="230"/>
        <v>136760</v>
      </c>
      <c r="T998" s="700">
        <f t="shared" si="231"/>
        <v>0</v>
      </c>
    </row>
    <row r="999" spans="1:20" s="700" customFormat="1" ht="74.25" customHeight="1">
      <c r="A999" s="1126"/>
      <c r="B999" s="1280" t="s">
        <v>5990</v>
      </c>
      <c r="C999" s="1280">
        <f>Data!R1388</f>
        <v>1654.26</v>
      </c>
      <c r="D999" s="1288" t="s">
        <v>2322</v>
      </c>
      <c r="E999" s="1280">
        <v>304.39999999999998</v>
      </c>
      <c r="F999" s="748">
        <f t="shared" si="220"/>
        <v>503556.74</v>
      </c>
      <c r="G999" s="1199"/>
      <c r="H999" s="748">
        <f t="shared" si="221"/>
        <v>0</v>
      </c>
      <c r="I999" s="748"/>
      <c r="J999" s="1407">
        <f t="shared" si="219"/>
        <v>0</v>
      </c>
      <c r="K999" s="1199"/>
      <c r="L999" s="748">
        <f t="shared" si="222"/>
        <v>0</v>
      </c>
      <c r="M999" s="1200"/>
      <c r="N999" s="702">
        <f t="shared" si="223"/>
        <v>0</v>
      </c>
      <c r="O999" s="1208">
        <f t="shared" si="224"/>
        <v>0</v>
      </c>
      <c r="P999" s="702">
        <f t="shared" si="225"/>
        <v>0</v>
      </c>
      <c r="Q999" s="1208">
        <f t="shared" si="226"/>
        <v>304.39999999999998</v>
      </c>
      <c r="R999" s="702">
        <f t="shared" si="227"/>
        <v>503556.74</v>
      </c>
      <c r="S999" s="700">
        <f t="shared" si="230"/>
        <v>503556.74</v>
      </c>
      <c r="T999" s="700">
        <f t="shared" si="231"/>
        <v>0</v>
      </c>
    </row>
    <row r="1000" spans="1:20" s="700" customFormat="1" ht="86.25" hidden="1" customHeight="1">
      <c r="A1000" s="1428"/>
      <c r="B1000" s="1472" t="s">
        <v>5991</v>
      </c>
      <c r="C1000" s="1472">
        <v>2805.5</v>
      </c>
      <c r="D1000" s="1473" t="s">
        <v>1423</v>
      </c>
      <c r="E1000" s="1474"/>
      <c r="F1000" s="1125">
        <f t="shared" si="220"/>
        <v>0</v>
      </c>
      <c r="G1000" s="1273"/>
      <c r="H1000" s="1125">
        <f t="shared" si="221"/>
        <v>0</v>
      </c>
      <c r="I1000" s="748"/>
      <c r="J1000" s="748">
        <f t="shared" si="219"/>
        <v>0</v>
      </c>
      <c r="K1000" s="1273"/>
      <c r="L1000" s="1125">
        <f t="shared" si="222"/>
        <v>0</v>
      </c>
      <c r="M1000" s="1412"/>
      <c r="N1000" s="1339">
        <f t="shared" si="223"/>
        <v>0</v>
      </c>
      <c r="O1000" s="1340">
        <f t="shared" si="224"/>
        <v>0</v>
      </c>
      <c r="P1000" s="1339">
        <f t="shared" si="225"/>
        <v>0</v>
      </c>
      <c r="Q1000" s="1340">
        <f t="shared" si="226"/>
        <v>0</v>
      </c>
      <c r="R1000" s="1339">
        <f t="shared" si="227"/>
        <v>0</v>
      </c>
      <c r="S1000" s="700">
        <f t="shared" si="230"/>
        <v>0</v>
      </c>
      <c r="T1000" s="700">
        <f t="shared" si="231"/>
        <v>0</v>
      </c>
    </row>
    <row r="1001" spans="1:20" ht="59.25" customHeight="1">
      <c r="A1001" s="1162"/>
      <c r="B1001" s="1356" t="s">
        <v>5992</v>
      </c>
      <c r="C1001" s="1510">
        <v>95.4</v>
      </c>
      <c r="D1001" s="1358" t="s">
        <v>842</v>
      </c>
      <c r="E1001" s="1357">
        <v>100.5</v>
      </c>
      <c r="F1001" s="1125">
        <f t="shared" si="220"/>
        <v>9587.7000000000007</v>
      </c>
      <c r="G1001" s="1335"/>
      <c r="H1001" s="1125">
        <f t="shared" si="221"/>
        <v>0</v>
      </c>
      <c r="I1001" s="1312"/>
      <c r="J1001" s="1406">
        <f t="shared" si="219"/>
        <v>0</v>
      </c>
      <c r="K1001" s="1335"/>
      <c r="L1001" s="1125">
        <f t="shared" si="222"/>
        <v>0</v>
      </c>
      <c r="M1001" s="1343"/>
      <c r="N1001" s="1339">
        <f t="shared" si="223"/>
        <v>0</v>
      </c>
      <c r="O1001" s="1340">
        <f t="shared" si="224"/>
        <v>0</v>
      </c>
      <c r="P1001" s="1339">
        <f t="shared" si="225"/>
        <v>0</v>
      </c>
      <c r="Q1001" s="1340">
        <f t="shared" si="226"/>
        <v>100.5</v>
      </c>
      <c r="R1001" s="1339">
        <f t="shared" si="227"/>
        <v>9587.7000000000007</v>
      </c>
      <c r="S1001" s="1322">
        <f t="shared" si="230"/>
        <v>9587.7000000000007</v>
      </c>
      <c r="T1001" s="1322">
        <f t="shared" si="231"/>
        <v>0</v>
      </c>
    </row>
    <row r="1002" spans="1:20" s="700" customFormat="1" ht="66" customHeight="1">
      <c r="A1002" s="1126"/>
      <c r="B1002" s="1280" t="s">
        <v>6082</v>
      </c>
      <c r="C1002" s="1280"/>
      <c r="D1002" s="1288"/>
      <c r="E1002" s="1280"/>
      <c r="F1002" s="1125">
        <f t="shared" si="220"/>
        <v>0</v>
      </c>
      <c r="G1002" s="1199"/>
      <c r="H1002" s="1125">
        <f t="shared" si="221"/>
        <v>0</v>
      </c>
      <c r="I1002" s="748"/>
      <c r="J1002" s="1407">
        <f t="shared" si="219"/>
        <v>0</v>
      </c>
      <c r="K1002" s="1199"/>
      <c r="L1002" s="1125">
        <f t="shared" si="222"/>
        <v>0</v>
      </c>
      <c r="M1002" s="1200"/>
      <c r="N1002" s="1339">
        <f t="shared" si="223"/>
        <v>0</v>
      </c>
      <c r="O1002" s="1340">
        <f t="shared" si="224"/>
        <v>0</v>
      </c>
      <c r="P1002" s="1339">
        <f t="shared" si="225"/>
        <v>0</v>
      </c>
      <c r="Q1002" s="1341" t="s">
        <v>2290</v>
      </c>
      <c r="R1002" s="1339"/>
      <c r="S1002" s="700">
        <f t="shared" si="230"/>
        <v>0</v>
      </c>
      <c r="T1002" s="700">
        <f t="shared" si="231"/>
        <v>0</v>
      </c>
    </row>
    <row r="1003" spans="1:20" s="700" customFormat="1" ht="59.25" customHeight="1">
      <c r="A1003" s="1126"/>
      <c r="B1003" s="1280" t="s">
        <v>5993</v>
      </c>
      <c r="C1003" s="1280">
        <v>1671900</v>
      </c>
      <c r="D1003" s="1288" t="s">
        <v>1419</v>
      </c>
      <c r="E1003" s="1280">
        <v>1</v>
      </c>
      <c r="F1003" s="1125">
        <f t="shared" si="220"/>
        <v>1671900</v>
      </c>
      <c r="G1003" s="1199"/>
      <c r="H1003" s="1125">
        <f t="shared" si="221"/>
        <v>0</v>
      </c>
      <c r="I1003" s="748"/>
      <c r="J1003" s="1407">
        <f t="shared" ref="J1003" si="232">I1003*C1003</f>
        <v>0</v>
      </c>
      <c r="K1003" s="1199"/>
      <c r="L1003" s="1125">
        <f t="shared" si="222"/>
        <v>0</v>
      </c>
      <c r="M1003" s="1200"/>
      <c r="N1003" s="1339">
        <f t="shared" si="223"/>
        <v>0</v>
      </c>
      <c r="O1003" s="1340">
        <f t="shared" si="224"/>
        <v>0</v>
      </c>
      <c r="P1003" s="1339">
        <f t="shared" si="225"/>
        <v>0</v>
      </c>
      <c r="Q1003" s="1340">
        <f t="shared" si="226"/>
        <v>1</v>
      </c>
      <c r="R1003" s="1339">
        <f t="shared" si="227"/>
        <v>1671900</v>
      </c>
      <c r="S1003" s="700">
        <f t="shared" si="230"/>
        <v>1671900</v>
      </c>
      <c r="T1003" s="700">
        <f t="shared" si="231"/>
        <v>0</v>
      </c>
    </row>
    <row r="1004" spans="1:20" s="700" customFormat="1" ht="256.5" customHeight="1">
      <c r="A1004" s="1126"/>
      <c r="B1004" s="1280" t="s">
        <v>5994</v>
      </c>
      <c r="C1004" s="1280">
        <v>1340</v>
      </c>
      <c r="D1004" s="1288" t="s">
        <v>1746</v>
      </c>
      <c r="E1004" s="1280">
        <v>10</v>
      </c>
      <c r="F1004" s="1125">
        <f t="shared" si="220"/>
        <v>13400</v>
      </c>
      <c r="G1004" s="1199"/>
      <c r="H1004" s="1125">
        <f t="shared" si="221"/>
        <v>0</v>
      </c>
      <c r="I1004" s="748"/>
      <c r="J1004" s="1407">
        <f t="shared" si="219"/>
        <v>0</v>
      </c>
      <c r="K1004" s="1199"/>
      <c r="L1004" s="1125">
        <f t="shared" si="222"/>
        <v>0</v>
      </c>
      <c r="M1004" s="1200"/>
      <c r="N1004" s="1339">
        <f t="shared" si="223"/>
        <v>0</v>
      </c>
      <c r="O1004" s="1340">
        <f t="shared" si="224"/>
        <v>0</v>
      </c>
      <c r="P1004" s="1339">
        <f t="shared" si="225"/>
        <v>0</v>
      </c>
      <c r="Q1004" s="1340">
        <f t="shared" si="226"/>
        <v>10</v>
      </c>
      <c r="R1004" s="1339">
        <f t="shared" si="227"/>
        <v>13400</v>
      </c>
      <c r="S1004" s="700">
        <f t="shared" si="230"/>
        <v>13400</v>
      </c>
      <c r="T1004" s="700">
        <f t="shared" si="231"/>
        <v>0</v>
      </c>
    </row>
    <row r="1005" spans="1:20" s="700" customFormat="1" ht="112.5" customHeight="1">
      <c r="A1005" s="1126"/>
      <c r="B1005" s="1494" t="s">
        <v>6124</v>
      </c>
      <c r="C1005" s="1512">
        <v>6271</v>
      </c>
      <c r="D1005" s="1495" t="s">
        <v>1423</v>
      </c>
      <c r="E1005" s="1496">
        <v>10</v>
      </c>
      <c r="F1005" s="1125">
        <f t="shared" si="220"/>
        <v>62710</v>
      </c>
      <c r="G1005" s="1199"/>
      <c r="H1005" s="1125">
        <f t="shared" si="221"/>
        <v>0</v>
      </c>
      <c r="I1005" s="748"/>
      <c r="J1005" s="1407"/>
      <c r="K1005" s="1199"/>
      <c r="L1005" s="1125">
        <f t="shared" si="222"/>
        <v>0</v>
      </c>
      <c r="M1005" s="1200"/>
      <c r="N1005" s="1339">
        <f t="shared" si="223"/>
        <v>0</v>
      </c>
      <c r="O1005" s="1340">
        <f t="shared" si="224"/>
        <v>0</v>
      </c>
      <c r="P1005" s="1339">
        <f t="shared" si="225"/>
        <v>0</v>
      </c>
      <c r="Q1005" s="1340">
        <f t="shared" si="226"/>
        <v>10</v>
      </c>
      <c r="R1005" s="1339">
        <f t="shared" si="227"/>
        <v>62710</v>
      </c>
    </row>
    <row r="1006" spans="1:20" s="1391" customFormat="1" ht="86.25" hidden="1" customHeight="1">
      <c r="A1006" s="1475"/>
      <c r="B1006" s="1476"/>
      <c r="C1006" s="1476"/>
      <c r="D1006" s="1477"/>
      <c r="E1006" s="1478"/>
      <c r="F1006" s="1125">
        <f t="shared" si="220"/>
        <v>0</v>
      </c>
      <c r="G1006" s="1479"/>
      <c r="H1006" s="1125">
        <f t="shared" si="221"/>
        <v>0</v>
      </c>
      <c r="I1006" s="1390"/>
      <c r="J1006" s="1390">
        <f t="shared" si="219"/>
        <v>0</v>
      </c>
      <c r="K1006" s="1479"/>
      <c r="L1006" s="1125">
        <f t="shared" si="222"/>
        <v>0</v>
      </c>
      <c r="M1006" s="1480"/>
      <c r="N1006" s="1339">
        <f t="shared" si="223"/>
        <v>0</v>
      </c>
      <c r="O1006" s="1340">
        <f t="shared" si="224"/>
        <v>0</v>
      </c>
      <c r="P1006" s="1339">
        <f t="shared" si="225"/>
        <v>0</v>
      </c>
      <c r="Q1006" s="1340">
        <f t="shared" si="226"/>
        <v>0</v>
      </c>
      <c r="R1006" s="1339">
        <f t="shared" si="227"/>
        <v>0</v>
      </c>
      <c r="S1006" s="1391">
        <f t="shared" si="230"/>
        <v>0</v>
      </c>
      <c r="T1006" s="1391">
        <f t="shared" si="231"/>
        <v>0</v>
      </c>
    </row>
    <row r="1007" spans="1:20" s="700" customFormat="1" ht="79.5" customHeight="1">
      <c r="A1007" s="1126"/>
      <c r="B1007" s="1392" t="s">
        <v>6095</v>
      </c>
      <c r="C1007" s="1513"/>
      <c r="D1007" s="1288"/>
      <c r="E1007" s="1280"/>
      <c r="F1007" s="1125">
        <f t="shared" si="220"/>
        <v>0</v>
      </c>
      <c r="G1007" s="1199"/>
      <c r="H1007" s="1125">
        <f t="shared" si="221"/>
        <v>0</v>
      </c>
      <c r="I1007" s="748"/>
      <c r="J1007" s="1407">
        <f t="shared" si="219"/>
        <v>0</v>
      </c>
      <c r="K1007" s="1199"/>
      <c r="L1007" s="1125">
        <f t="shared" si="222"/>
        <v>0</v>
      </c>
      <c r="M1007" s="1200"/>
      <c r="N1007" s="1339">
        <f t="shared" si="223"/>
        <v>0</v>
      </c>
      <c r="O1007" s="1340">
        <f t="shared" si="224"/>
        <v>0</v>
      </c>
      <c r="P1007" s="1339">
        <f t="shared" si="225"/>
        <v>0</v>
      </c>
      <c r="Q1007" s="1341" t="s">
        <v>2290</v>
      </c>
      <c r="R1007" s="1339"/>
      <c r="S1007" s="700">
        <f t="shared" si="230"/>
        <v>0</v>
      </c>
      <c r="T1007" s="700">
        <f t="shared" si="231"/>
        <v>0</v>
      </c>
    </row>
    <row r="1008" spans="1:20" s="700" customFormat="1" ht="202.5" customHeight="1">
      <c r="A1008" s="1126"/>
      <c r="B1008" s="1397" t="s">
        <v>6097</v>
      </c>
      <c r="C1008" s="1511"/>
      <c r="D1008" s="1396"/>
      <c r="E1008" s="702"/>
      <c r="F1008" s="1125">
        <f t="shared" si="220"/>
        <v>0</v>
      </c>
      <c r="G1008" s="1199"/>
      <c r="H1008" s="1125">
        <f t="shared" si="221"/>
        <v>0</v>
      </c>
      <c r="I1008" s="748"/>
      <c r="J1008" s="1407">
        <f t="shared" si="219"/>
        <v>0</v>
      </c>
      <c r="K1008" s="1199"/>
      <c r="L1008" s="1125">
        <f t="shared" si="222"/>
        <v>0</v>
      </c>
      <c r="M1008" s="1200"/>
      <c r="N1008" s="1339">
        <f t="shared" si="223"/>
        <v>0</v>
      </c>
      <c r="O1008" s="1340">
        <f t="shared" si="224"/>
        <v>0</v>
      </c>
      <c r="P1008" s="1339">
        <f t="shared" si="225"/>
        <v>0</v>
      </c>
      <c r="Q1008" s="1341" t="s">
        <v>2290</v>
      </c>
      <c r="R1008" s="1339"/>
      <c r="S1008" s="700">
        <f t="shared" si="230"/>
        <v>0</v>
      </c>
      <c r="T1008" s="700">
        <f t="shared" si="231"/>
        <v>0</v>
      </c>
    </row>
    <row r="1009" spans="1:18" s="700" customFormat="1" ht="67.5" customHeight="1">
      <c r="A1009" s="1126"/>
      <c r="B1009" s="1398" t="s">
        <v>6098</v>
      </c>
      <c r="C1009" s="1514">
        <v>671200</v>
      </c>
      <c r="D1009" s="1399" t="s">
        <v>1423</v>
      </c>
      <c r="E1009" s="702"/>
      <c r="F1009" s="1125">
        <f t="shared" si="220"/>
        <v>0</v>
      </c>
      <c r="G1009" s="1199"/>
      <c r="H1009" s="1125">
        <f t="shared" si="221"/>
        <v>0</v>
      </c>
      <c r="I1009" s="748"/>
      <c r="J1009" s="1407"/>
      <c r="K1009" s="1199">
        <v>1</v>
      </c>
      <c r="L1009" s="1125">
        <f t="shared" si="222"/>
        <v>671200</v>
      </c>
      <c r="M1009" s="1200"/>
      <c r="N1009" s="1339">
        <f t="shared" si="223"/>
        <v>0</v>
      </c>
      <c r="O1009" s="1340">
        <f t="shared" si="224"/>
        <v>1</v>
      </c>
      <c r="P1009" s="1339">
        <f t="shared" si="225"/>
        <v>671200</v>
      </c>
      <c r="Q1009" s="1340">
        <f t="shared" si="226"/>
        <v>1</v>
      </c>
      <c r="R1009" s="1339">
        <f t="shared" si="227"/>
        <v>671200</v>
      </c>
    </row>
    <row r="1010" spans="1:18" s="700" customFormat="1" ht="67.5" customHeight="1">
      <c r="A1010" s="1126"/>
      <c r="B1010" s="1398" t="s">
        <v>6099</v>
      </c>
      <c r="C1010" s="1514">
        <v>60000</v>
      </c>
      <c r="D1010" s="1399" t="s">
        <v>6100</v>
      </c>
      <c r="E1010" s="702"/>
      <c r="F1010" s="1125">
        <f t="shared" si="220"/>
        <v>0</v>
      </c>
      <c r="G1010" s="1199"/>
      <c r="H1010" s="1125">
        <f t="shared" si="221"/>
        <v>0</v>
      </c>
      <c r="I1010" s="748"/>
      <c r="J1010" s="1407"/>
      <c r="K1010" s="1199">
        <v>1</v>
      </c>
      <c r="L1010" s="1125">
        <f t="shared" si="222"/>
        <v>60000</v>
      </c>
      <c r="M1010" s="1200"/>
      <c r="N1010" s="1339">
        <f t="shared" si="223"/>
        <v>0</v>
      </c>
      <c r="O1010" s="1340">
        <f t="shared" si="224"/>
        <v>1</v>
      </c>
      <c r="P1010" s="1339">
        <f t="shared" si="225"/>
        <v>60000</v>
      </c>
      <c r="Q1010" s="1340">
        <f t="shared" si="226"/>
        <v>1</v>
      </c>
      <c r="R1010" s="1339">
        <f t="shared" si="227"/>
        <v>60000</v>
      </c>
    </row>
    <row r="1011" spans="1:18" s="700" customFormat="1" ht="67.5" customHeight="1">
      <c r="A1011" s="1126"/>
      <c r="B1011" s="1400" t="s">
        <v>6101</v>
      </c>
      <c r="C1011" s="1511">
        <v>7000</v>
      </c>
      <c r="D1011" s="1396" t="s">
        <v>1423</v>
      </c>
      <c r="E1011" s="702"/>
      <c r="F1011" s="1125">
        <f t="shared" si="220"/>
        <v>0</v>
      </c>
      <c r="G1011" s="1199"/>
      <c r="H1011" s="1125">
        <f t="shared" si="221"/>
        <v>0</v>
      </c>
      <c r="I1011" s="748"/>
      <c r="J1011" s="1407"/>
      <c r="K1011" s="1199">
        <v>1</v>
      </c>
      <c r="L1011" s="1125">
        <f t="shared" si="222"/>
        <v>7000</v>
      </c>
      <c r="M1011" s="1200"/>
      <c r="N1011" s="1339">
        <f t="shared" si="223"/>
        <v>0</v>
      </c>
      <c r="O1011" s="1340">
        <f t="shared" si="224"/>
        <v>1</v>
      </c>
      <c r="P1011" s="1339">
        <f t="shared" si="225"/>
        <v>7000</v>
      </c>
      <c r="Q1011" s="1340">
        <f t="shared" si="226"/>
        <v>1</v>
      </c>
      <c r="R1011" s="1339">
        <f t="shared" si="227"/>
        <v>7000</v>
      </c>
    </row>
    <row r="1012" spans="1:18" s="700" customFormat="1" ht="183" customHeight="1">
      <c r="A1012" s="1126"/>
      <c r="B1012" s="1400" t="s">
        <v>6102</v>
      </c>
      <c r="C1012" s="1511">
        <v>27646</v>
      </c>
      <c r="D1012" s="1396" t="s">
        <v>1419</v>
      </c>
      <c r="E1012" s="702"/>
      <c r="F1012" s="1125">
        <f t="shared" si="220"/>
        <v>0</v>
      </c>
      <c r="G1012" s="1199"/>
      <c r="H1012" s="1125">
        <f t="shared" si="221"/>
        <v>0</v>
      </c>
      <c r="I1012" s="748"/>
      <c r="J1012" s="1407"/>
      <c r="K1012" s="1199">
        <v>1</v>
      </c>
      <c r="L1012" s="1125">
        <f t="shared" si="222"/>
        <v>27646</v>
      </c>
      <c r="M1012" s="1200"/>
      <c r="N1012" s="1339">
        <f t="shared" si="223"/>
        <v>0</v>
      </c>
      <c r="O1012" s="1340">
        <f t="shared" si="224"/>
        <v>1</v>
      </c>
      <c r="P1012" s="1339">
        <f t="shared" si="225"/>
        <v>27646</v>
      </c>
      <c r="Q1012" s="1340">
        <f t="shared" si="226"/>
        <v>1</v>
      </c>
      <c r="R1012" s="1339">
        <f t="shared" si="227"/>
        <v>27646</v>
      </c>
    </row>
    <row r="1013" spans="1:18" s="700" customFormat="1" ht="54" customHeight="1">
      <c r="A1013" s="1126"/>
      <c r="B1013" s="1281" t="s">
        <v>6103</v>
      </c>
      <c r="C1013" s="1513"/>
      <c r="D1013" s="1288"/>
      <c r="E1013" s="702"/>
      <c r="F1013" s="1125">
        <f t="shared" si="220"/>
        <v>0</v>
      </c>
      <c r="G1013" s="1199"/>
      <c r="H1013" s="1125">
        <f t="shared" si="221"/>
        <v>0</v>
      </c>
      <c r="I1013" s="748"/>
      <c r="J1013" s="1407"/>
      <c r="K1013" s="1199"/>
      <c r="L1013" s="1125">
        <f t="shared" si="222"/>
        <v>0</v>
      </c>
      <c r="M1013" s="1200"/>
      <c r="N1013" s="1339">
        <f t="shared" si="223"/>
        <v>0</v>
      </c>
      <c r="O1013" s="1340">
        <f t="shared" si="224"/>
        <v>0</v>
      </c>
      <c r="P1013" s="1339">
        <f t="shared" si="225"/>
        <v>0</v>
      </c>
      <c r="Q1013" s="1341" t="s">
        <v>2290</v>
      </c>
      <c r="R1013" s="1339"/>
    </row>
    <row r="1014" spans="1:18" s="700" customFormat="1" ht="111" customHeight="1">
      <c r="A1014" s="1126"/>
      <c r="B1014" s="1400" t="s">
        <v>6104</v>
      </c>
      <c r="C1014" s="1511">
        <v>339.3</v>
      </c>
      <c r="D1014" s="1396" t="s">
        <v>3516</v>
      </c>
      <c r="E1014" s="702"/>
      <c r="F1014" s="1125">
        <f t="shared" si="220"/>
        <v>0</v>
      </c>
      <c r="G1014" s="1199"/>
      <c r="H1014" s="1125">
        <f t="shared" si="221"/>
        <v>0</v>
      </c>
      <c r="I1014" s="748"/>
      <c r="J1014" s="1407"/>
      <c r="K1014" s="1199">
        <v>5</v>
      </c>
      <c r="L1014" s="1125">
        <f t="shared" si="222"/>
        <v>1696.5</v>
      </c>
      <c r="M1014" s="1200"/>
      <c r="N1014" s="1339">
        <f t="shared" si="223"/>
        <v>0</v>
      </c>
      <c r="O1014" s="1340">
        <f t="shared" si="224"/>
        <v>5</v>
      </c>
      <c r="P1014" s="1339">
        <f t="shared" si="225"/>
        <v>1696.5</v>
      </c>
      <c r="Q1014" s="1340">
        <f t="shared" si="226"/>
        <v>5</v>
      </c>
      <c r="R1014" s="1339">
        <f t="shared" si="227"/>
        <v>1696.5</v>
      </c>
    </row>
    <row r="1015" spans="1:18" s="700" customFormat="1" ht="111" customHeight="1">
      <c r="A1015" s="1126"/>
      <c r="B1015" s="1395" t="s">
        <v>6105</v>
      </c>
      <c r="C1015" s="1511">
        <v>2756</v>
      </c>
      <c r="D1015" s="1396" t="s">
        <v>3516</v>
      </c>
      <c r="E1015" s="702"/>
      <c r="F1015" s="1125">
        <f t="shared" si="220"/>
        <v>0</v>
      </c>
      <c r="G1015" s="1199"/>
      <c r="H1015" s="1125">
        <f t="shared" si="221"/>
        <v>0</v>
      </c>
      <c r="I1015" s="748"/>
      <c r="J1015" s="1407"/>
      <c r="K1015" s="1199">
        <v>5</v>
      </c>
      <c r="L1015" s="1125">
        <f t="shared" si="222"/>
        <v>13780</v>
      </c>
      <c r="M1015" s="1200"/>
      <c r="N1015" s="1339">
        <f t="shared" si="223"/>
        <v>0</v>
      </c>
      <c r="O1015" s="1340">
        <f t="shared" si="224"/>
        <v>5</v>
      </c>
      <c r="P1015" s="1339">
        <f t="shared" si="225"/>
        <v>13780</v>
      </c>
      <c r="Q1015" s="1340">
        <f t="shared" si="226"/>
        <v>5</v>
      </c>
      <c r="R1015" s="1339">
        <f t="shared" si="227"/>
        <v>13780</v>
      </c>
    </row>
    <row r="1016" spans="1:18" s="701" customFormat="1" ht="111" customHeight="1">
      <c r="A1016" s="1157"/>
      <c r="B1016" s="1395" t="s">
        <v>6106</v>
      </c>
      <c r="C1016" s="1511">
        <v>197</v>
      </c>
      <c r="D1016" s="1396" t="s">
        <v>3516</v>
      </c>
      <c r="E1016" s="702"/>
      <c r="F1016" s="1125">
        <f t="shared" si="220"/>
        <v>0</v>
      </c>
      <c r="G1016" s="1199"/>
      <c r="H1016" s="1125">
        <f t="shared" si="221"/>
        <v>0</v>
      </c>
      <c r="I1016" s="1312"/>
      <c r="J1016" s="1406"/>
      <c r="K1016" s="1199">
        <v>8</v>
      </c>
      <c r="L1016" s="1125">
        <f t="shared" si="222"/>
        <v>1576</v>
      </c>
      <c r="M1016" s="1200"/>
      <c r="N1016" s="1339">
        <f t="shared" si="223"/>
        <v>0</v>
      </c>
      <c r="O1016" s="1340">
        <f t="shared" si="224"/>
        <v>8</v>
      </c>
      <c r="P1016" s="1339">
        <f t="shared" si="225"/>
        <v>1576</v>
      </c>
      <c r="Q1016" s="1340">
        <f t="shared" si="226"/>
        <v>8</v>
      </c>
      <c r="R1016" s="1339">
        <f t="shared" si="227"/>
        <v>1576</v>
      </c>
    </row>
    <row r="1017" spans="1:18" s="701" customFormat="1" ht="111" customHeight="1">
      <c r="A1017" s="1157"/>
      <c r="B1017" s="1395" t="s">
        <v>6107</v>
      </c>
      <c r="C1017" s="1511">
        <v>4245</v>
      </c>
      <c r="D1017" s="1396" t="s">
        <v>286</v>
      </c>
      <c r="E1017" s="702"/>
      <c r="F1017" s="1125">
        <f t="shared" si="220"/>
        <v>0</v>
      </c>
      <c r="G1017" s="702"/>
      <c r="H1017" s="1125">
        <f t="shared" si="221"/>
        <v>0</v>
      </c>
      <c r="K1017" s="702">
        <v>1</v>
      </c>
      <c r="L1017" s="1125">
        <f t="shared" si="222"/>
        <v>4245</v>
      </c>
      <c r="M1017" s="1200"/>
      <c r="N1017" s="1339">
        <f t="shared" si="223"/>
        <v>0</v>
      </c>
      <c r="O1017" s="1340">
        <f t="shared" si="224"/>
        <v>1</v>
      </c>
      <c r="P1017" s="1339">
        <f t="shared" si="225"/>
        <v>4245</v>
      </c>
      <c r="Q1017" s="1340">
        <f t="shared" si="226"/>
        <v>1</v>
      </c>
      <c r="R1017" s="1339">
        <f t="shared" si="227"/>
        <v>4245</v>
      </c>
    </row>
    <row r="1018" spans="1:18" s="701" customFormat="1" ht="141.75" customHeight="1">
      <c r="A1018" s="1157"/>
      <c r="B1018" s="1395" t="s">
        <v>6108</v>
      </c>
      <c r="C1018" s="1511">
        <v>30000</v>
      </c>
      <c r="D1018" s="1396" t="s">
        <v>6109</v>
      </c>
      <c r="E1018" s="702"/>
      <c r="F1018" s="1125">
        <f t="shared" si="220"/>
        <v>0</v>
      </c>
      <c r="G1018" s="702"/>
      <c r="H1018" s="1125">
        <f t="shared" si="221"/>
        <v>0</v>
      </c>
      <c r="K1018" s="702">
        <v>1</v>
      </c>
      <c r="L1018" s="1125">
        <f t="shared" si="222"/>
        <v>30000</v>
      </c>
      <c r="M1018" s="1200"/>
      <c r="N1018" s="1339">
        <f t="shared" si="223"/>
        <v>0</v>
      </c>
      <c r="O1018" s="1340">
        <f t="shared" si="224"/>
        <v>1</v>
      </c>
      <c r="P1018" s="1339">
        <f t="shared" si="225"/>
        <v>30000</v>
      </c>
      <c r="Q1018" s="1340">
        <f t="shared" si="226"/>
        <v>1</v>
      </c>
      <c r="R1018" s="1339">
        <f t="shared" si="227"/>
        <v>30000</v>
      </c>
    </row>
    <row r="1019" spans="1:18" s="701" customFormat="1" ht="111" customHeight="1">
      <c r="A1019" s="1157"/>
      <c r="B1019" s="1401" t="s">
        <v>6110</v>
      </c>
      <c r="C1019" s="1511"/>
      <c r="D1019" s="1396"/>
      <c r="E1019" s="702"/>
      <c r="F1019" s="1125">
        <f t="shared" si="220"/>
        <v>0</v>
      </c>
      <c r="G1019" s="702"/>
      <c r="H1019" s="1125">
        <f t="shared" si="221"/>
        <v>0</v>
      </c>
      <c r="K1019" s="702"/>
      <c r="L1019" s="1125">
        <f t="shared" si="222"/>
        <v>0</v>
      </c>
      <c r="M1019" s="1200"/>
      <c r="N1019" s="1339">
        <f t="shared" si="223"/>
        <v>0</v>
      </c>
      <c r="O1019" s="1340">
        <f t="shared" si="224"/>
        <v>0</v>
      </c>
      <c r="P1019" s="1339">
        <f t="shared" si="225"/>
        <v>0</v>
      </c>
      <c r="Q1019" s="1341" t="s">
        <v>2290</v>
      </c>
      <c r="R1019" s="1339"/>
    </row>
    <row r="1020" spans="1:18" s="701" customFormat="1" ht="72" customHeight="1">
      <c r="A1020" s="1157"/>
      <c r="B1020" s="1395" t="s">
        <v>6125</v>
      </c>
      <c r="C1020" s="1511">
        <v>791</v>
      </c>
      <c r="D1020" s="1396" t="s">
        <v>3516</v>
      </c>
      <c r="E1020" s="702"/>
      <c r="F1020" s="1125">
        <f t="shared" si="220"/>
        <v>0</v>
      </c>
      <c r="G1020" s="1199"/>
      <c r="H1020" s="1125">
        <f t="shared" si="221"/>
        <v>0</v>
      </c>
      <c r="I1020" s="1312"/>
      <c r="J1020" s="1406"/>
      <c r="K1020" s="1199">
        <v>30</v>
      </c>
      <c r="L1020" s="1125">
        <f t="shared" si="222"/>
        <v>23730</v>
      </c>
      <c r="M1020" s="1200"/>
      <c r="N1020" s="1339">
        <f t="shared" si="223"/>
        <v>0</v>
      </c>
      <c r="O1020" s="1340">
        <f t="shared" si="224"/>
        <v>30</v>
      </c>
      <c r="P1020" s="1339">
        <f t="shared" si="225"/>
        <v>23730</v>
      </c>
      <c r="Q1020" s="1340">
        <f t="shared" si="226"/>
        <v>30</v>
      </c>
      <c r="R1020" s="1339">
        <f t="shared" si="227"/>
        <v>23730</v>
      </c>
    </row>
    <row r="1021" spans="1:18" s="701" customFormat="1" ht="84" customHeight="1">
      <c r="A1021" s="1157"/>
      <c r="B1021" s="1401" t="s">
        <v>6111</v>
      </c>
      <c r="C1021" s="1511"/>
      <c r="D1021" s="1396"/>
      <c r="E1021" s="702"/>
      <c r="F1021" s="1125">
        <f t="shared" si="220"/>
        <v>0</v>
      </c>
      <c r="G1021" s="1199"/>
      <c r="H1021" s="1125">
        <f t="shared" si="221"/>
        <v>0</v>
      </c>
      <c r="I1021" s="1312"/>
      <c r="J1021" s="1406"/>
      <c r="K1021" s="1199"/>
      <c r="L1021" s="1125">
        <f t="shared" si="222"/>
        <v>0</v>
      </c>
      <c r="M1021" s="1200"/>
      <c r="N1021" s="1339">
        <f t="shared" si="223"/>
        <v>0</v>
      </c>
      <c r="O1021" s="1340">
        <f t="shared" si="224"/>
        <v>0</v>
      </c>
      <c r="P1021" s="1339">
        <f t="shared" si="225"/>
        <v>0</v>
      </c>
      <c r="Q1021" s="1341" t="s">
        <v>2290</v>
      </c>
      <c r="R1021" s="1339"/>
    </row>
    <row r="1022" spans="1:18" s="701" customFormat="1" ht="53.25" customHeight="1">
      <c r="A1022" s="1157"/>
      <c r="B1022" s="1395" t="s">
        <v>6126</v>
      </c>
      <c r="C1022" s="1511">
        <v>646</v>
      </c>
      <c r="D1022" s="1396" t="s">
        <v>1457</v>
      </c>
      <c r="E1022" s="702"/>
      <c r="F1022" s="1125">
        <f t="shared" si="220"/>
        <v>0</v>
      </c>
      <c r="G1022" s="1199"/>
      <c r="H1022" s="1125">
        <f t="shared" si="221"/>
        <v>0</v>
      </c>
      <c r="I1022" s="1312"/>
      <c r="J1022" s="1406"/>
      <c r="K1022" s="1199">
        <v>4</v>
      </c>
      <c r="L1022" s="1125">
        <f t="shared" si="222"/>
        <v>2584</v>
      </c>
      <c r="M1022" s="1200"/>
      <c r="N1022" s="1339">
        <f t="shared" si="223"/>
        <v>0</v>
      </c>
      <c r="O1022" s="1340">
        <f t="shared" si="224"/>
        <v>4</v>
      </c>
      <c r="P1022" s="1339">
        <f t="shared" si="225"/>
        <v>2584</v>
      </c>
      <c r="Q1022" s="1340">
        <f t="shared" si="226"/>
        <v>4</v>
      </c>
      <c r="R1022" s="1339">
        <f t="shared" si="227"/>
        <v>2584</v>
      </c>
    </row>
    <row r="1023" spans="1:18" s="701" customFormat="1" ht="111" customHeight="1">
      <c r="A1023" s="1157"/>
      <c r="B1023" s="1401" t="s">
        <v>6112</v>
      </c>
      <c r="C1023" s="1511"/>
      <c r="D1023" s="1396"/>
      <c r="E1023" s="702"/>
      <c r="F1023" s="1125">
        <f t="shared" si="220"/>
        <v>0</v>
      </c>
      <c r="G1023" s="1199"/>
      <c r="H1023" s="1125">
        <f t="shared" si="221"/>
        <v>0</v>
      </c>
      <c r="I1023" s="1312"/>
      <c r="J1023" s="1406"/>
      <c r="K1023" s="1199"/>
      <c r="L1023" s="1125">
        <f t="shared" si="222"/>
        <v>0</v>
      </c>
      <c r="M1023" s="1200"/>
      <c r="N1023" s="1339">
        <f t="shared" si="223"/>
        <v>0</v>
      </c>
      <c r="O1023" s="1340">
        <f t="shared" si="224"/>
        <v>0</v>
      </c>
      <c r="P1023" s="1339">
        <f t="shared" si="225"/>
        <v>0</v>
      </c>
      <c r="Q1023" s="1341" t="s">
        <v>2290</v>
      </c>
      <c r="R1023" s="1339"/>
    </row>
    <row r="1024" spans="1:18" s="701" customFormat="1" ht="58.5" customHeight="1">
      <c r="A1024" s="1157"/>
      <c r="B1024" s="1395" t="s">
        <v>6113</v>
      </c>
      <c r="C1024" s="1511">
        <v>337</v>
      </c>
      <c r="D1024" s="1396" t="s">
        <v>1457</v>
      </c>
      <c r="E1024" s="702"/>
      <c r="F1024" s="1125">
        <f t="shared" si="220"/>
        <v>0</v>
      </c>
      <c r="G1024" s="1199"/>
      <c r="H1024" s="1125">
        <f t="shared" si="221"/>
        <v>0</v>
      </c>
      <c r="I1024" s="1312"/>
      <c r="J1024" s="1406"/>
      <c r="K1024" s="1199">
        <v>4</v>
      </c>
      <c r="L1024" s="1125">
        <f t="shared" si="222"/>
        <v>1348</v>
      </c>
      <c r="M1024" s="1200"/>
      <c r="N1024" s="1339">
        <f t="shared" si="223"/>
        <v>0</v>
      </c>
      <c r="O1024" s="1340">
        <f t="shared" si="224"/>
        <v>4</v>
      </c>
      <c r="P1024" s="1339">
        <f t="shared" si="225"/>
        <v>1348</v>
      </c>
      <c r="Q1024" s="1340">
        <f t="shared" si="226"/>
        <v>4</v>
      </c>
      <c r="R1024" s="1339">
        <f t="shared" si="227"/>
        <v>1348</v>
      </c>
    </row>
    <row r="1025" spans="1:20" s="701" customFormat="1" ht="88.5" customHeight="1">
      <c r="A1025" s="1157"/>
      <c r="B1025" s="1401" t="s">
        <v>6127</v>
      </c>
      <c r="C1025" s="1511">
        <v>16750</v>
      </c>
      <c r="D1025" s="1396" t="s">
        <v>286</v>
      </c>
      <c r="E1025" s="702"/>
      <c r="F1025" s="1125">
        <f t="shared" si="220"/>
        <v>0</v>
      </c>
      <c r="G1025" s="1199"/>
      <c r="H1025" s="1125">
        <f t="shared" si="221"/>
        <v>0</v>
      </c>
      <c r="I1025" s="1312"/>
      <c r="J1025" s="1406"/>
      <c r="K1025" s="1199">
        <v>1</v>
      </c>
      <c r="L1025" s="1125">
        <f t="shared" si="222"/>
        <v>16750</v>
      </c>
      <c r="M1025" s="1200"/>
      <c r="N1025" s="1339">
        <f t="shared" si="223"/>
        <v>0</v>
      </c>
      <c r="O1025" s="1340">
        <f t="shared" si="224"/>
        <v>1</v>
      </c>
      <c r="P1025" s="1339">
        <f t="shared" si="225"/>
        <v>16750</v>
      </c>
      <c r="Q1025" s="1340">
        <f t="shared" si="226"/>
        <v>1</v>
      </c>
      <c r="R1025" s="1339">
        <f t="shared" si="227"/>
        <v>16750</v>
      </c>
    </row>
    <row r="1026" spans="1:20" s="701" customFormat="1" ht="168.75" customHeight="1">
      <c r="A1026" s="1157"/>
      <c r="B1026" s="1393" t="s">
        <v>6128</v>
      </c>
      <c r="C1026" s="1515">
        <v>2703</v>
      </c>
      <c r="D1026" s="1394" t="s">
        <v>1746</v>
      </c>
      <c r="E1026" s="702"/>
      <c r="F1026" s="1125">
        <f t="shared" si="220"/>
        <v>0</v>
      </c>
      <c r="G1026" s="1199"/>
      <c r="H1026" s="1125">
        <f t="shared" si="221"/>
        <v>0</v>
      </c>
      <c r="I1026" s="1312"/>
      <c r="J1026" s="1406"/>
      <c r="K1026" s="1199">
        <v>3</v>
      </c>
      <c r="L1026" s="1125">
        <f t="shared" si="222"/>
        <v>8109</v>
      </c>
      <c r="M1026" s="1200"/>
      <c r="N1026" s="1339">
        <f t="shared" si="223"/>
        <v>0</v>
      </c>
      <c r="O1026" s="1340">
        <f t="shared" si="224"/>
        <v>3</v>
      </c>
      <c r="P1026" s="1339">
        <f t="shared" si="225"/>
        <v>8109</v>
      </c>
      <c r="Q1026" s="1340">
        <f t="shared" si="226"/>
        <v>3</v>
      </c>
      <c r="R1026" s="1339">
        <f t="shared" si="227"/>
        <v>8109</v>
      </c>
    </row>
    <row r="1027" spans="1:20" s="701" customFormat="1" ht="177.75" customHeight="1">
      <c r="A1027" s="1157"/>
      <c r="B1027" s="1310" t="s">
        <v>6090</v>
      </c>
      <c r="C1027" s="1513">
        <v>9304</v>
      </c>
      <c r="D1027" s="1327" t="s">
        <v>1746</v>
      </c>
      <c r="E1027" s="702"/>
      <c r="F1027" s="1125">
        <f t="shared" si="220"/>
        <v>0</v>
      </c>
      <c r="G1027" s="1199"/>
      <c r="H1027" s="1125">
        <f t="shared" si="221"/>
        <v>0</v>
      </c>
      <c r="I1027" s="1312"/>
      <c r="J1027" s="1406"/>
      <c r="K1027" s="1199">
        <v>2</v>
      </c>
      <c r="L1027" s="1125">
        <f t="shared" si="222"/>
        <v>18608</v>
      </c>
      <c r="M1027" s="1200"/>
      <c r="N1027" s="1339">
        <f t="shared" si="223"/>
        <v>0</v>
      </c>
      <c r="O1027" s="1340">
        <f t="shared" si="224"/>
        <v>2</v>
      </c>
      <c r="P1027" s="1339">
        <f t="shared" si="225"/>
        <v>18608</v>
      </c>
      <c r="Q1027" s="1340">
        <f t="shared" si="226"/>
        <v>2</v>
      </c>
      <c r="R1027" s="1339">
        <f t="shared" si="227"/>
        <v>18608</v>
      </c>
    </row>
    <row r="1028" spans="1:20" s="701" customFormat="1" ht="72" customHeight="1">
      <c r="A1028" s="1157"/>
      <c r="B1028" s="1310" t="s">
        <v>6091</v>
      </c>
      <c r="C1028" s="1513">
        <v>151.69999999999999</v>
      </c>
      <c r="D1028" s="1327" t="s">
        <v>6092</v>
      </c>
      <c r="E1028" s="702"/>
      <c r="F1028" s="1125">
        <f t="shared" si="220"/>
        <v>0</v>
      </c>
      <c r="G1028" s="1199"/>
      <c r="H1028" s="1125">
        <f t="shared" si="221"/>
        <v>0</v>
      </c>
      <c r="I1028" s="1312"/>
      <c r="J1028" s="1406"/>
      <c r="K1028" s="1199">
        <v>100</v>
      </c>
      <c r="L1028" s="1125">
        <f t="shared" si="222"/>
        <v>15170</v>
      </c>
      <c r="M1028" s="1200"/>
      <c r="N1028" s="1339">
        <f t="shared" si="223"/>
        <v>0</v>
      </c>
      <c r="O1028" s="1340">
        <f t="shared" si="224"/>
        <v>100</v>
      </c>
      <c r="P1028" s="1339">
        <f t="shared" si="225"/>
        <v>15170</v>
      </c>
      <c r="Q1028" s="1340">
        <f t="shared" si="226"/>
        <v>100</v>
      </c>
      <c r="R1028" s="1339">
        <f t="shared" si="227"/>
        <v>15170</v>
      </c>
    </row>
    <row r="1029" spans="1:20" s="701" customFormat="1" ht="71.25" customHeight="1">
      <c r="A1029" s="1157"/>
      <c r="B1029" s="1310" t="s">
        <v>6093</v>
      </c>
      <c r="C1029" s="1513">
        <v>467</v>
      </c>
      <c r="D1029" s="1327" t="s">
        <v>1746</v>
      </c>
      <c r="E1029" s="702"/>
      <c r="F1029" s="1125">
        <f t="shared" si="220"/>
        <v>0</v>
      </c>
      <c r="G1029" s="1199"/>
      <c r="H1029" s="1125">
        <f t="shared" si="221"/>
        <v>0</v>
      </c>
      <c r="I1029" s="1312"/>
      <c r="J1029" s="1406"/>
      <c r="K1029" s="1199">
        <v>40</v>
      </c>
      <c r="L1029" s="1125">
        <f t="shared" si="222"/>
        <v>18680</v>
      </c>
      <c r="M1029" s="1200"/>
      <c r="N1029" s="1339">
        <f t="shared" si="223"/>
        <v>0</v>
      </c>
      <c r="O1029" s="1340">
        <f t="shared" si="224"/>
        <v>40</v>
      </c>
      <c r="P1029" s="1339">
        <f t="shared" si="225"/>
        <v>18680</v>
      </c>
      <c r="Q1029" s="1340">
        <f t="shared" si="226"/>
        <v>40</v>
      </c>
      <c r="R1029" s="1339">
        <f t="shared" si="227"/>
        <v>18680</v>
      </c>
    </row>
    <row r="1030" spans="1:20" s="701" customFormat="1" ht="87.75" customHeight="1">
      <c r="A1030" s="1157"/>
      <c r="B1030" s="1310" t="s">
        <v>6094</v>
      </c>
      <c r="C1030" s="1513">
        <v>880</v>
      </c>
      <c r="D1030" s="1327" t="s">
        <v>3516</v>
      </c>
      <c r="E1030" s="702"/>
      <c r="F1030" s="1125">
        <f t="shared" si="220"/>
        <v>0</v>
      </c>
      <c r="G1030" s="1199"/>
      <c r="H1030" s="1125">
        <f t="shared" si="221"/>
        <v>0</v>
      </c>
      <c r="I1030" s="1312"/>
      <c r="J1030" s="1406"/>
      <c r="K1030" s="1199">
        <v>30</v>
      </c>
      <c r="L1030" s="1125">
        <f t="shared" si="222"/>
        <v>26400</v>
      </c>
      <c r="M1030" s="1200"/>
      <c r="N1030" s="1339">
        <f t="shared" si="223"/>
        <v>0</v>
      </c>
      <c r="O1030" s="1340">
        <f t="shared" si="224"/>
        <v>30</v>
      </c>
      <c r="P1030" s="1339">
        <f t="shared" si="225"/>
        <v>26400</v>
      </c>
      <c r="Q1030" s="1340">
        <f t="shared" si="226"/>
        <v>30</v>
      </c>
      <c r="R1030" s="1339">
        <f t="shared" si="227"/>
        <v>26400</v>
      </c>
    </row>
    <row r="1031" spans="1:20" s="701" customFormat="1" ht="87.75" customHeight="1">
      <c r="A1031" s="1157"/>
      <c r="B1031" s="1310" t="s">
        <v>6129</v>
      </c>
      <c r="C1031" s="1513">
        <v>8938</v>
      </c>
      <c r="D1031" s="1327" t="s">
        <v>1423</v>
      </c>
      <c r="E1031" s="702"/>
      <c r="F1031" s="1125">
        <f t="shared" ref="F1031:F1074" si="233">E1031*C1031</f>
        <v>0</v>
      </c>
      <c r="G1031" s="1199"/>
      <c r="H1031" s="1125">
        <f t="shared" ref="H1031:H1074" si="234">G1031*C1031</f>
        <v>0</v>
      </c>
      <c r="I1031" s="1312"/>
      <c r="J1031" s="1406"/>
      <c r="K1031" s="1199"/>
      <c r="L1031" s="1125">
        <f t="shared" ref="L1031:L1074" si="235">K1031*C1031</f>
        <v>0</v>
      </c>
      <c r="M1031" s="1200"/>
      <c r="N1031" s="1339">
        <f t="shared" ref="N1031:N1074" si="236">M1031*C1031</f>
        <v>0</v>
      </c>
      <c r="O1031" s="1340">
        <f t="shared" ref="O1031:O1074" si="237">G1031+K1031+M1031</f>
        <v>0</v>
      </c>
      <c r="P1031" s="1339">
        <f t="shared" ref="P1031:P1074" si="238">O1031*C1031</f>
        <v>0</v>
      </c>
      <c r="Q1031" s="1340">
        <f t="shared" ref="Q1031:Q1074" si="239">O1031+E1031</f>
        <v>0</v>
      </c>
      <c r="R1031" s="1339">
        <f t="shared" ref="R1031:R1074" si="240">Q1031*C1031</f>
        <v>0</v>
      </c>
    </row>
    <row r="1032" spans="1:20" s="701" customFormat="1" ht="57" customHeight="1">
      <c r="A1032" s="1157"/>
      <c r="B1032" s="1395" t="s">
        <v>6130</v>
      </c>
      <c r="C1032" s="1516">
        <v>595</v>
      </c>
      <c r="D1032" s="1327" t="s">
        <v>6131</v>
      </c>
      <c r="E1032" s="702"/>
      <c r="F1032" s="1125">
        <f t="shared" si="233"/>
        <v>0</v>
      </c>
      <c r="G1032" s="1199"/>
      <c r="H1032" s="1125">
        <f t="shared" si="234"/>
        <v>0</v>
      </c>
      <c r="I1032" s="1312"/>
      <c r="J1032" s="1406"/>
      <c r="K1032" s="1199">
        <v>50</v>
      </c>
      <c r="L1032" s="1125">
        <f t="shared" si="235"/>
        <v>29750</v>
      </c>
      <c r="M1032" s="1200"/>
      <c r="N1032" s="1339">
        <f t="shared" si="236"/>
        <v>0</v>
      </c>
      <c r="O1032" s="1340">
        <f t="shared" si="237"/>
        <v>50</v>
      </c>
      <c r="P1032" s="1339">
        <f t="shared" si="238"/>
        <v>29750</v>
      </c>
      <c r="Q1032" s="1340">
        <f t="shared" si="239"/>
        <v>50</v>
      </c>
      <c r="R1032" s="1339">
        <f t="shared" si="240"/>
        <v>29750</v>
      </c>
    </row>
    <row r="1033" spans="1:20" ht="54" customHeight="1">
      <c r="A1033" s="1162"/>
      <c r="B1033" s="1344" t="s">
        <v>5998</v>
      </c>
      <c r="C1033" s="1111"/>
      <c r="D1033" s="1110"/>
      <c r="E1033" s="1109"/>
      <c r="F1033" s="1125">
        <f t="shared" si="233"/>
        <v>0</v>
      </c>
      <c r="G1033" s="1335"/>
      <c r="H1033" s="1125">
        <f t="shared" si="234"/>
        <v>0</v>
      </c>
      <c r="I1033" s="1312"/>
      <c r="J1033" s="1406">
        <f t="shared" si="219"/>
        <v>0</v>
      </c>
      <c r="K1033" s="1335"/>
      <c r="L1033" s="1125">
        <f t="shared" si="235"/>
        <v>0</v>
      </c>
      <c r="M1033" s="1343"/>
      <c r="N1033" s="1339">
        <f t="shared" si="236"/>
        <v>0</v>
      </c>
      <c r="O1033" s="1340">
        <f t="shared" si="237"/>
        <v>0</v>
      </c>
      <c r="P1033" s="1339">
        <f t="shared" si="238"/>
        <v>0</v>
      </c>
      <c r="Q1033" s="1341" t="s">
        <v>2290</v>
      </c>
      <c r="R1033" s="1339"/>
      <c r="S1033" s="1322">
        <f t="shared" si="230"/>
        <v>0</v>
      </c>
      <c r="T1033" s="1322">
        <f t="shared" si="231"/>
        <v>0</v>
      </c>
    </row>
    <row r="1034" spans="1:20" ht="225.75" customHeight="1">
      <c r="A1034" s="1162"/>
      <c r="B1034" s="1198" t="s">
        <v>5999</v>
      </c>
      <c r="C1034" s="1111"/>
      <c r="D1034" s="1110"/>
      <c r="E1034" s="1109"/>
      <c r="F1034" s="1125">
        <f t="shared" si="233"/>
        <v>0</v>
      </c>
      <c r="G1034" s="1335"/>
      <c r="H1034" s="1125">
        <f t="shared" si="234"/>
        <v>0</v>
      </c>
      <c r="I1034" s="1312"/>
      <c r="J1034" s="1406">
        <f t="shared" si="219"/>
        <v>0</v>
      </c>
      <c r="K1034" s="1335"/>
      <c r="L1034" s="1125">
        <f t="shared" si="235"/>
        <v>0</v>
      </c>
      <c r="M1034" s="1343"/>
      <c r="N1034" s="1339">
        <f t="shared" si="236"/>
        <v>0</v>
      </c>
      <c r="O1034" s="1340">
        <f t="shared" si="237"/>
        <v>0</v>
      </c>
      <c r="P1034" s="1339">
        <f t="shared" si="238"/>
        <v>0</v>
      </c>
      <c r="Q1034" s="1341" t="s">
        <v>2290</v>
      </c>
      <c r="R1034" s="1339"/>
      <c r="S1034" s="1322">
        <f t="shared" si="230"/>
        <v>0</v>
      </c>
      <c r="T1034" s="1322">
        <f t="shared" si="231"/>
        <v>0</v>
      </c>
    </row>
    <row r="1035" spans="1:20" ht="73.5" customHeight="1">
      <c r="A1035" s="1162"/>
      <c r="B1035" s="1198" t="s">
        <v>6000</v>
      </c>
      <c r="C1035" s="1111">
        <v>551.04</v>
      </c>
      <c r="D1035" s="1110" t="s">
        <v>3516</v>
      </c>
      <c r="E1035" s="1109"/>
      <c r="F1035" s="1125">
        <f t="shared" si="233"/>
        <v>0</v>
      </c>
      <c r="G1035" s="1335"/>
      <c r="H1035" s="1125">
        <f t="shared" si="234"/>
        <v>0</v>
      </c>
      <c r="I1035" s="1312"/>
      <c r="J1035" s="1406">
        <f t="shared" si="219"/>
        <v>0</v>
      </c>
      <c r="K1035" s="1335"/>
      <c r="L1035" s="1125">
        <f t="shared" si="235"/>
        <v>0</v>
      </c>
      <c r="M1035" s="1343">
        <v>30</v>
      </c>
      <c r="N1035" s="1339">
        <f t="shared" si="236"/>
        <v>16531.2</v>
      </c>
      <c r="O1035" s="1340">
        <f t="shared" si="237"/>
        <v>30</v>
      </c>
      <c r="P1035" s="1339">
        <f t="shared" si="238"/>
        <v>16531.2</v>
      </c>
      <c r="Q1035" s="1340">
        <f t="shared" si="239"/>
        <v>30</v>
      </c>
      <c r="R1035" s="1339">
        <f t="shared" si="240"/>
        <v>16531.2</v>
      </c>
      <c r="S1035" s="1322">
        <f t="shared" si="230"/>
        <v>16531.2</v>
      </c>
      <c r="T1035" s="1322">
        <f t="shared" si="231"/>
        <v>0</v>
      </c>
    </row>
    <row r="1036" spans="1:20" ht="232.5" customHeight="1">
      <c r="A1036" s="1162"/>
      <c r="B1036" s="1198" t="s">
        <v>6001</v>
      </c>
      <c r="C1036" s="1111"/>
      <c r="D1036" s="1110"/>
      <c r="E1036" s="1109"/>
      <c r="F1036" s="1125">
        <f t="shared" si="233"/>
        <v>0</v>
      </c>
      <c r="G1036" s="1335"/>
      <c r="H1036" s="1125">
        <f t="shared" si="234"/>
        <v>0</v>
      </c>
      <c r="I1036" s="1312"/>
      <c r="J1036" s="1406">
        <f t="shared" si="219"/>
        <v>0</v>
      </c>
      <c r="K1036" s="1335"/>
      <c r="L1036" s="1125">
        <f t="shared" si="235"/>
        <v>0</v>
      </c>
      <c r="M1036" s="1343"/>
      <c r="N1036" s="1339">
        <f t="shared" si="236"/>
        <v>0</v>
      </c>
      <c r="O1036" s="1340">
        <f t="shared" si="237"/>
        <v>0</v>
      </c>
      <c r="P1036" s="1339">
        <f t="shared" si="238"/>
        <v>0</v>
      </c>
      <c r="Q1036" s="1341" t="s">
        <v>2290</v>
      </c>
      <c r="R1036" s="1339"/>
      <c r="S1036" s="1322">
        <f t="shared" si="230"/>
        <v>0</v>
      </c>
      <c r="T1036" s="1322">
        <f t="shared" si="231"/>
        <v>0</v>
      </c>
    </row>
    <row r="1037" spans="1:20" s="701" customFormat="1" ht="54" hidden="1" customHeight="1">
      <c r="A1037" s="1481"/>
      <c r="B1037" s="1482" t="s">
        <v>6002</v>
      </c>
      <c r="C1037" s="1418">
        <v>295</v>
      </c>
      <c r="D1037" s="1417" t="s">
        <v>3516</v>
      </c>
      <c r="E1037" s="1432"/>
      <c r="F1037" s="1125">
        <f t="shared" si="233"/>
        <v>0</v>
      </c>
      <c r="G1037" s="1273"/>
      <c r="H1037" s="1125">
        <f t="shared" si="234"/>
        <v>0</v>
      </c>
      <c r="I1037" s="1312"/>
      <c r="J1037" s="1312">
        <f t="shared" si="219"/>
        <v>0</v>
      </c>
      <c r="K1037" s="1273"/>
      <c r="L1037" s="1125">
        <f t="shared" si="235"/>
        <v>0</v>
      </c>
      <c r="M1037" s="1412"/>
      <c r="N1037" s="1339">
        <f t="shared" si="236"/>
        <v>0</v>
      </c>
      <c r="O1037" s="1340">
        <f t="shared" si="237"/>
        <v>0</v>
      </c>
      <c r="P1037" s="1339">
        <f t="shared" si="238"/>
        <v>0</v>
      </c>
      <c r="Q1037" s="1340">
        <f t="shared" si="239"/>
        <v>0</v>
      </c>
      <c r="R1037" s="1339">
        <f t="shared" si="240"/>
        <v>0</v>
      </c>
      <c r="S1037" s="701">
        <f t="shared" si="230"/>
        <v>0</v>
      </c>
      <c r="T1037" s="701">
        <f t="shared" si="231"/>
        <v>0</v>
      </c>
    </row>
    <row r="1038" spans="1:20" ht="54" customHeight="1">
      <c r="A1038" s="1162"/>
      <c r="B1038" s="1198" t="s">
        <v>6003</v>
      </c>
      <c r="C1038" s="1111">
        <v>450</v>
      </c>
      <c r="D1038" s="1110" t="s">
        <v>3516</v>
      </c>
      <c r="E1038" s="1109"/>
      <c r="F1038" s="1125">
        <f t="shared" si="233"/>
        <v>0</v>
      </c>
      <c r="G1038" s="1335"/>
      <c r="H1038" s="1125">
        <f t="shared" si="234"/>
        <v>0</v>
      </c>
      <c r="I1038" s="1312"/>
      <c r="J1038" s="1406">
        <f t="shared" si="219"/>
        <v>0</v>
      </c>
      <c r="K1038" s="1335"/>
      <c r="L1038" s="1125">
        <f t="shared" si="235"/>
        <v>0</v>
      </c>
      <c r="M1038" s="1343">
        <v>60</v>
      </c>
      <c r="N1038" s="1339">
        <f t="shared" si="236"/>
        <v>27000</v>
      </c>
      <c r="O1038" s="1340">
        <f t="shared" si="237"/>
        <v>60</v>
      </c>
      <c r="P1038" s="1339">
        <f t="shared" si="238"/>
        <v>27000</v>
      </c>
      <c r="Q1038" s="1340">
        <f t="shared" si="239"/>
        <v>60</v>
      </c>
      <c r="R1038" s="1339">
        <f t="shared" si="240"/>
        <v>27000</v>
      </c>
      <c r="S1038" s="1322">
        <f t="shared" si="230"/>
        <v>27000</v>
      </c>
      <c r="T1038" s="1322">
        <f t="shared" si="231"/>
        <v>0</v>
      </c>
    </row>
    <row r="1039" spans="1:20" ht="86.25" customHeight="1">
      <c r="A1039" s="1162"/>
      <c r="B1039" s="1198" t="s">
        <v>6004</v>
      </c>
      <c r="C1039" s="1111">
        <v>424.6</v>
      </c>
      <c r="D1039" s="1110" t="s">
        <v>3516</v>
      </c>
      <c r="E1039" s="1109"/>
      <c r="F1039" s="1125">
        <f t="shared" si="233"/>
        <v>0</v>
      </c>
      <c r="G1039" s="1335"/>
      <c r="H1039" s="1125">
        <f t="shared" si="234"/>
        <v>0</v>
      </c>
      <c r="I1039" s="1312"/>
      <c r="J1039" s="1406">
        <f t="shared" si="219"/>
        <v>0</v>
      </c>
      <c r="K1039" s="1335"/>
      <c r="L1039" s="1125">
        <f t="shared" si="235"/>
        <v>0</v>
      </c>
      <c r="M1039" s="1343">
        <v>30</v>
      </c>
      <c r="N1039" s="1339">
        <f t="shared" si="236"/>
        <v>12738</v>
      </c>
      <c r="O1039" s="1340">
        <f t="shared" si="237"/>
        <v>30</v>
      </c>
      <c r="P1039" s="1339">
        <f t="shared" si="238"/>
        <v>12738</v>
      </c>
      <c r="Q1039" s="1340">
        <f t="shared" si="239"/>
        <v>30</v>
      </c>
      <c r="R1039" s="1339">
        <f t="shared" si="240"/>
        <v>12738</v>
      </c>
      <c r="S1039" s="1322">
        <f t="shared" si="230"/>
        <v>12738</v>
      </c>
      <c r="T1039" s="1322">
        <f t="shared" si="231"/>
        <v>0</v>
      </c>
    </row>
    <row r="1040" spans="1:20" ht="217.5" customHeight="1">
      <c r="A1040" s="1162"/>
      <c r="B1040" s="1198" t="s">
        <v>6071</v>
      </c>
      <c r="C1040" s="1111">
        <v>644.5</v>
      </c>
      <c r="D1040" s="1110" t="s">
        <v>3516</v>
      </c>
      <c r="E1040" s="1109"/>
      <c r="F1040" s="1125">
        <f t="shared" si="233"/>
        <v>0</v>
      </c>
      <c r="G1040" s="1335"/>
      <c r="H1040" s="1125">
        <f t="shared" si="234"/>
        <v>0</v>
      </c>
      <c r="I1040" s="1312"/>
      <c r="J1040" s="1406">
        <f t="shared" si="219"/>
        <v>0</v>
      </c>
      <c r="K1040" s="1335"/>
      <c r="L1040" s="1125">
        <f t="shared" si="235"/>
        <v>0</v>
      </c>
      <c r="M1040" s="1343">
        <v>40</v>
      </c>
      <c r="N1040" s="1339">
        <f t="shared" si="236"/>
        <v>25780</v>
      </c>
      <c r="O1040" s="1340">
        <f t="shared" si="237"/>
        <v>40</v>
      </c>
      <c r="P1040" s="1339">
        <f t="shared" si="238"/>
        <v>25780</v>
      </c>
      <c r="Q1040" s="1340">
        <f t="shared" si="239"/>
        <v>40</v>
      </c>
      <c r="R1040" s="1339">
        <f t="shared" si="240"/>
        <v>25780</v>
      </c>
      <c r="S1040" s="1322">
        <f t="shared" si="230"/>
        <v>25780</v>
      </c>
      <c r="T1040" s="1322">
        <f t="shared" si="231"/>
        <v>0</v>
      </c>
    </row>
    <row r="1041" spans="1:20" ht="137.25" customHeight="1">
      <c r="A1041" s="1162"/>
      <c r="B1041" s="1198" t="s">
        <v>6070</v>
      </c>
      <c r="C1041" s="1111">
        <v>1004.5</v>
      </c>
      <c r="D1041" s="1110" t="s">
        <v>3516</v>
      </c>
      <c r="E1041" s="1109"/>
      <c r="F1041" s="1125">
        <f t="shared" si="233"/>
        <v>0</v>
      </c>
      <c r="G1041" s="1335"/>
      <c r="H1041" s="1125">
        <f t="shared" si="234"/>
        <v>0</v>
      </c>
      <c r="I1041" s="1312"/>
      <c r="J1041" s="1406">
        <f t="shared" si="219"/>
        <v>0</v>
      </c>
      <c r="K1041" s="1335"/>
      <c r="L1041" s="1125">
        <f t="shared" si="235"/>
        <v>0</v>
      </c>
      <c r="M1041" s="1343">
        <v>50</v>
      </c>
      <c r="N1041" s="1339">
        <f t="shared" si="236"/>
        <v>50225</v>
      </c>
      <c r="O1041" s="1340">
        <f t="shared" si="237"/>
        <v>50</v>
      </c>
      <c r="P1041" s="1339">
        <f t="shared" si="238"/>
        <v>50225</v>
      </c>
      <c r="Q1041" s="1340">
        <f t="shared" si="239"/>
        <v>50</v>
      </c>
      <c r="R1041" s="1339">
        <f t="shared" si="240"/>
        <v>50225</v>
      </c>
      <c r="S1041" s="1322">
        <f t="shared" si="230"/>
        <v>50225</v>
      </c>
      <c r="T1041" s="1322">
        <f t="shared" si="231"/>
        <v>0</v>
      </c>
    </row>
    <row r="1042" spans="1:20" ht="144" hidden="1" customHeight="1">
      <c r="A1042" s="1470"/>
      <c r="B1042" s="1370" t="s">
        <v>6068</v>
      </c>
      <c r="C1042" s="1411">
        <v>1004.5</v>
      </c>
      <c r="D1042" s="1371" t="s">
        <v>3516</v>
      </c>
      <c r="E1042" s="1471"/>
      <c r="F1042" s="1125">
        <f t="shared" si="233"/>
        <v>0</v>
      </c>
      <c r="G1042" s="1427"/>
      <c r="H1042" s="1125">
        <f t="shared" si="234"/>
        <v>0</v>
      </c>
      <c r="I1042" s="1312"/>
      <c r="J1042" s="1312">
        <f t="shared" si="219"/>
        <v>0</v>
      </c>
      <c r="K1042" s="1427"/>
      <c r="L1042" s="1125">
        <f t="shared" si="235"/>
        <v>0</v>
      </c>
      <c r="M1042" s="1435"/>
      <c r="N1042" s="1339">
        <f t="shared" si="236"/>
        <v>0</v>
      </c>
      <c r="O1042" s="1340">
        <f t="shared" si="237"/>
        <v>0</v>
      </c>
      <c r="P1042" s="1339">
        <f t="shared" si="238"/>
        <v>0</v>
      </c>
      <c r="Q1042" s="1340">
        <f t="shared" si="239"/>
        <v>0</v>
      </c>
      <c r="R1042" s="1339">
        <f t="shared" si="240"/>
        <v>0</v>
      </c>
      <c r="S1042" s="1322">
        <f t="shared" si="230"/>
        <v>0</v>
      </c>
      <c r="T1042" s="1322">
        <f t="shared" si="231"/>
        <v>0</v>
      </c>
    </row>
    <row r="1043" spans="1:20" ht="153" customHeight="1">
      <c r="A1043" s="1162"/>
      <c r="B1043" s="1198" t="s">
        <v>6005</v>
      </c>
      <c r="C1043" s="1111">
        <v>369.6</v>
      </c>
      <c r="D1043" s="1110"/>
      <c r="E1043" s="1109"/>
      <c r="F1043" s="1125">
        <f t="shared" si="233"/>
        <v>0</v>
      </c>
      <c r="G1043" s="1335"/>
      <c r="H1043" s="1125">
        <f t="shared" si="234"/>
        <v>0</v>
      </c>
      <c r="I1043" s="1312"/>
      <c r="J1043" s="1406">
        <f t="shared" si="219"/>
        <v>0</v>
      </c>
      <c r="K1043" s="1335"/>
      <c r="L1043" s="1125">
        <f t="shared" si="235"/>
        <v>0</v>
      </c>
      <c r="M1043" s="1343">
        <v>90</v>
      </c>
      <c r="N1043" s="1339">
        <f t="shared" si="236"/>
        <v>33264</v>
      </c>
      <c r="O1043" s="1340">
        <f t="shared" si="237"/>
        <v>90</v>
      </c>
      <c r="P1043" s="1339">
        <f t="shared" si="238"/>
        <v>33264</v>
      </c>
      <c r="Q1043" s="1340">
        <f t="shared" si="239"/>
        <v>90</v>
      </c>
      <c r="R1043" s="1339">
        <f t="shared" si="240"/>
        <v>33264</v>
      </c>
      <c r="S1043" s="1322">
        <f t="shared" si="230"/>
        <v>33264</v>
      </c>
      <c r="T1043" s="1322">
        <f t="shared" si="231"/>
        <v>0</v>
      </c>
    </row>
    <row r="1044" spans="1:20" ht="54" hidden="1" customHeight="1">
      <c r="A1044" s="1470"/>
      <c r="B1044" s="1370" t="s">
        <v>6006</v>
      </c>
      <c r="C1044" s="1411">
        <v>312.39999999999998</v>
      </c>
      <c r="D1044" s="1371" t="s">
        <v>842</v>
      </c>
      <c r="E1044" s="1471"/>
      <c r="F1044" s="1125">
        <f t="shared" si="233"/>
        <v>0</v>
      </c>
      <c r="G1044" s="1427"/>
      <c r="H1044" s="1125">
        <f t="shared" si="234"/>
        <v>0</v>
      </c>
      <c r="I1044" s="1312"/>
      <c r="J1044" s="1312">
        <f t="shared" si="219"/>
        <v>0</v>
      </c>
      <c r="K1044" s="1427"/>
      <c r="L1044" s="1125">
        <f t="shared" si="235"/>
        <v>0</v>
      </c>
      <c r="M1044" s="1435"/>
      <c r="N1044" s="1339">
        <f t="shared" si="236"/>
        <v>0</v>
      </c>
      <c r="O1044" s="1340">
        <f t="shared" si="237"/>
        <v>0</v>
      </c>
      <c r="P1044" s="1339">
        <f t="shared" si="238"/>
        <v>0</v>
      </c>
      <c r="Q1044" s="1340">
        <f t="shared" si="239"/>
        <v>0</v>
      </c>
      <c r="R1044" s="1339">
        <f t="shared" si="240"/>
        <v>0</v>
      </c>
      <c r="S1044" s="1322">
        <f t="shared" si="230"/>
        <v>0</v>
      </c>
      <c r="T1044" s="1322">
        <f t="shared" si="231"/>
        <v>0</v>
      </c>
    </row>
    <row r="1045" spans="1:20" ht="102.75" customHeight="1">
      <c r="A1045" s="1162"/>
      <c r="B1045" s="1198" t="s">
        <v>6007</v>
      </c>
      <c r="C1045" s="1111">
        <v>104.5</v>
      </c>
      <c r="D1045" s="1110" t="s">
        <v>1457</v>
      </c>
      <c r="E1045" s="1109"/>
      <c r="F1045" s="1125">
        <f t="shared" si="233"/>
        <v>0</v>
      </c>
      <c r="G1045" s="1335"/>
      <c r="H1045" s="1125">
        <f t="shared" si="234"/>
        <v>0</v>
      </c>
      <c r="I1045" s="1312"/>
      <c r="J1045" s="1406">
        <f t="shared" si="219"/>
        <v>0</v>
      </c>
      <c r="K1045" s="1335"/>
      <c r="L1045" s="1125">
        <f t="shared" si="235"/>
        <v>0</v>
      </c>
      <c r="M1045" s="1343">
        <v>1</v>
      </c>
      <c r="N1045" s="1339">
        <f t="shared" si="236"/>
        <v>104.5</v>
      </c>
      <c r="O1045" s="1340">
        <f t="shared" si="237"/>
        <v>1</v>
      </c>
      <c r="P1045" s="1339">
        <f t="shared" si="238"/>
        <v>104.5</v>
      </c>
      <c r="Q1045" s="1340">
        <f t="shared" si="239"/>
        <v>1</v>
      </c>
      <c r="R1045" s="1339">
        <f t="shared" si="240"/>
        <v>104.5</v>
      </c>
      <c r="S1045" s="1322">
        <f t="shared" si="230"/>
        <v>104.5</v>
      </c>
      <c r="T1045" s="1322">
        <f t="shared" si="231"/>
        <v>0</v>
      </c>
    </row>
    <row r="1046" spans="1:20" ht="140.25" customHeight="1">
      <c r="A1046" s="1162"/>
      <c r="B1046" s="1198" t="s">
        <v>6069</v>
      </c>
      <c r="C1046" s="1111">
        <v>1937.1</v>
      </c>
      <c r="D1046" s="1110" t="s">
        <v>6008</v>
      </c>
      <c r="E1046" s="1109"/>
      <c r="F1046" s="1125">
        <f t="shared" si="233"/>
        <v>0</v>
      </c>
      <c r="G1046" s="1335"/>
      <c r="H1046" s="1125">
        <f t="shared" si="234"/>
        <v>0</v>
      </c>
      <c r="I1046" s="1312"/>
      <c r="J1046" s="1406">
        <f t="shared" si="219"/>
        <v>0</v>
      </c>
      <c r="K1046" s="1335"/>
      <c r="L1046" s="1125">
        <f t="shared" si="235"/>
        <v>0</v>
      </c>
      <c r="M1046" s="1343">
        <v>8</v>
      </c>
      <c r="N1046" s="1339">
        <f t="shared" si="236"/>
        <v>15496.8</v>
      </c>
      <c r="O1046" s="1340">
        <f t="shared" si="237"/>
        <v>8</v>
      </c>
      <c r="P1046" s="1339">
        <f t="shared" si="238"/>
        <v>15496.8</v>
      </c>
      <c r="Q1046" s="1340">
        <f t="shared" si="239"/>
        <v>8</v>
      </c>
      <c r="R1046" s="1339">
        <f t="shared" si="240"/>
        <v>15496.8</v>
      </c>
      <c r="S1046" s="1322">
        <f t="shared" si="230"/>
        <v>15496.8</v>
      </c>
      <c r="T1046" s="1322">
        <f t="shared" si="231"/>
        <v>0</v>
      </c>
    </row>
    <row r="1047" spans="1:20" s="700" customFormat="1" ht="231" hidden="1" customHeight="1">
      <c r="A1047" s="1428"/>
      <c r="B1047" s="1415" t="s">
        <v>6009</v>
      </c>
      <c r="C1047" s="1483"/>
      <c r="D1047" s="1469"/>
      <c r="E1047" s="1484"/>
      <c r="F1047" s="1125">
        <f t="shared" si="233"/>
        <v>0</v>
      </c>
      <c r="G1047" s="1273"/>
      <c r="H1047" s="1125">
        <f t="shared" si="234"/>
        <v>0</v>
      </c>
      <c r="I1047" s="748"/>
      <c r="J1047" s="748">
        <f t="shared" si="219"/>
        <v>0</v>
      </c>
      <c r="K1047" s="1273"/>
      <c r="L1047" s="1125">
        <f t="shared" si="235"/>
        <v>0</v>
      </c>
      <c r="M1047" s="1412"/>
      <c r="N1047" s="1339">
        <f t="shared" si="236"/>
        <v>0</v>
      </c>
      <c r="O1047" s="1340">
        <f t="shared" si="237"/>
        <v>0</v>
      </c>
      <c r="P1047" s="1339">
        <f t="shared" si="238"/>
        <v>0</v>
      </c>
      <c r="Q1047" s="1340">
        <f t="shared" si="239"/>
        <v>0</v>
      </c>
      <c r="R1047" s="1339">
        <f t="shared" si="240"/>
        <v>0</v>
      </c>
    </row>
    <row r="1048" spans="1:20" s="700" customFormat="1" ht="54" hidden="1" customHeight="1">
      <c r="A1048" s="1126"/>
      <c r="B1048" s="538" t="s">
        <v>6010</v>
      </c>
      <c r="C1048" s="1289">
        <v>274.68</v>
      </c>
      <c r="D1048" s="1246" t="s">
        <v>4937</v>
      </c>
      <c r="E1048" s="1277"/>
      <c r="F1048" s="1125">
        <f t="shared" si="233"/>
        <v>0</v>
      </c>
      <c r="G1048" s="1199"/>
      <c r="H1048" s="1125">
        <f t="shared" si="234"/>
        <v>0</v>
      </c>
      <c r="I1048" s="748"/>
      <c r="J1048" s="748">
        <f t="shared" si="219"/>
        <v>0</v>
      </c>
      <c r="K1048" s="1199"/>
      <c r="L1048" s="1125">
        <f t="shared" si="235"/>
        <v>0</v>
      </c>
      <c r="M1048" s="1200"/>
      <c r="N1048" s="1339">
        <f t="shared" si="236"/>
        <v>0</v>
      </c>
      <c r="O1048" s="1340">
        <f t="shared" si="237"/>
        <v>0</v>
      </c>
      <c r="P1048" s="1339">
        <f t="shared" si="238"/>
        <v>0</v>
      </c>
      <c r="Q1048" s="1340">
        <f t="shared" si="239"/>
        <v>0</v>
      </c>
      <c r="R1048" s="1339">
        <f t="shared" si="240"/>
        <v>0</v>
      </c>
    </row>
    <row r="1049" spans="1:20" s="700" customFormat="1" ht="54" hidden="1" customHeight="1">
      <c r="A1049" s="1126"/>
      <c r="B1049" s="538" t="s">
        <v>6011</v>
      </c>
      <c r="C1049" s="1289">
        <v>215</v>
      </c>
      <c r="D1049" s="1246" t="s">
        <v>4937</v>
      </c>
      <c r="E1049" s="1277"/>
      <c r="F1049" s="1125">
        <f t="shared" si="233"/>
        <v>0</v>
      </c>
      <c r="G1049" s="1199"/>
      <c r="H1049" s="1125">
        <f t="shared" si="234"/>
        <v>0</v>
      </c>
      <c r="I1049" s="748"/>
      <c r="J1049" s="748">
        <f t="shared" si="219"/>
        <v>0</v>
      </c>
      <c r="K1049" s="1199"/>
      <c r="L1049" s="1125">
        <f t="shared" si="235"/>
        <v>0</v>
      </c>
      <c r="M1049" s="1200"/>
      <c r="N1049" s="1339">
        <f t="shared" si="236"/>
        <v>0</v>
      </c>
      <c r="O1049" s="1340">
        <f t="shared" si="237"/>
        <v>0</v>
      </c>
      <c r="P1049" s="1339">
        <f t="shared" si="238"/>
        <v>0</v>
      </c>
      <c r="Q1049" s="1340">
        <f t="shared" si="239"/>
        <v>0</v>
      </c>
      <c r="R1049" s="1339">
        <f t="shared" si="240"/>
        <v>0</v>
      </c>
    </row>
    <row r="1050" spans="1:20" s="700" customFormat="1" ht="54" hidden="1" customHeight="1">
      <c r="A1050" s="1126"/>
      <c r="B1050" s="538" t="s">
        <v>6012</v>
      </c>
      <c r="C1050" s="1289">
        <v>199.01</v>
      </c>
      <c r="D1050" s="1246" t="s">
        <v>4937</v>
      </c>
      <c r="E1050" s="1277"/>
      <c r="F1050" s="1125">
        <f t="shared" si="233"/>
        <v>0</v>
      </c>
      <c r="G1050" s="1199"/>
      <c r="H1050" s="1125">
        <f t="shared" si="234"/>
        <v>0</v>
      </c>
      <c r="I1050" s="748"/>
      <c r="J1050" s="748">
        <f t="shared" ref="J1050:J1070" si="241">I1050*C1050</f>
        <v>0</v>
      </c>
      <c r="K1050" s="1199"/>
      <c r="L1050" s="1125">
        <f t="shared" si="235"/>
        <v>0</v>
      </c>
      <c r="M1050" s="1200"/>
      <c r="N1050" s="1339">
        <f t="shared" si="236"/>
        <v>0</v>
      </c>
      <c r="O1050" s="1340">
        <f t="shared" si="237"/>
        <v>0</v>
      </c>
      <c r="P1050" s="1339">
        <f t="shared" si="238"/>
        <v>0</v>
      </c>
      <c r="Q1050" s="1340">
        <f t="shared" si="239"/>
        <v>0</v>
      </c>
      <c r="R1050" s="1339">
        <f t="shared" si="240"/>
        <v>0</v>
      </c>
    </row>
    <row r="1051" spans="1:20" s="701" customFormat="1" ht="287.25" customHeight="1">
      <c r="A1051" s="1157"/>
      <c r="B1051" s="1325" t="s">
        <v>6013</v>
      </c>
      <c r="C1051" s="602"/>
      <c r="D1051" s="744"/>
      <c r="E1051" s="743"/>
      <c r="F1051" s="1125">
        <f t="shared" si="233"/>
        <v>0</v>
      </c>
      <c r="G1051" s="1199"/>
      <c r="H1051" s="1125">
        <f t="shared" si="234"/>
        <v>0</v>
      </c>
      <c r="I1051" s="1312"/>
      <c r="J1051" s="1406">
        <f t="shared" si="241"/>
        <v>0</v>
      </c>
      <c r="K1051" s="1199"/>
      <c r="L1051" s="1125">
        <f t="shared" si="235"/>
        <v>0</v>
      </c>
      <c r="M1051" s="1200"/>
      <c r="N1051" s="1339">
        <f t="shared" si="236"/>
        <v>0</v>
      </c>
      <c r="O1051" s="1340">
        <f t="shared" si="237"/>
        <v>0</v>
      </c>
      <c r="P1051" s="1339">
        <f t="shared" si="238"/>
        <v>0</v>
      </c>
      <c r="Q1051" s="1341" t="s">
        <v>2290</v>
      </c>
      <c r="R1051" s="1339"/>
      <c r="S1051" s="701">
        <f>F1051+P1051</f>
        <v>0</v>
      </c>
      <c r="T1051" s="701">
        <f>S1051-R1051</f>
        <v>0</v>
      </c>
    </row>
    <row r="1052" spans="1:20" s="700" customFormat="1" ht="54" customHeight="1">
      <c r="A1052" s="1126"/>
      <c r="B1052" s="538" t="s">
        <v>6088</v>
      </c>
      <c r="C1052" s="1314">
        <v>298.88</v>
      </c>
      <c r="D1052" s="1246" t="s">
        <v>4937</v>
      </c>
      <c r="E1052" s="602"/>
      <c r="F1052" s="1125">
        <f t="shared" si="233"/>
        <v>0</v>
      </c>
      <c r="G1052" s="1199"/>
      <c r="H1052" s="1125">
        <f t="shared" si="234"/>
        <v>0</v>
      </c>
      <c r="I1052" s="748"/>
      <c r="J1052" s="1407">
        <f t="shared" si="241"/>
        <v>0</v>
      </c>
      <c r="K1052" s="1199"/>
      <c r="L1052" s="1125">
        <f t="shared" si="235"/>
        <v>0</v>
      </c>
      <c r="M1052" s="1200">
        <v>25</v>
      </c>
      <c r="N1052" s="1339">
        <f t="shared" si="236"/>
        <v>7472</v>
      </c>
      <c r="O1052" s="1340">
        <f t="shared" si="237"/>
        <v>25</v>
      </c>
      <c r="P1052" s="1339">
        <f t="shared" si="238"/>
        <v>7472</v>
      </c>
      <c r="Q1052" s="1340">
        <f t="shared" si="239"/>
        <v>25</v>
      </c>
      <c r="R1052" s="1339">
        <f t="shared" si="240"/>
        <v>7472</v>
      </c>
    </row>
    <row r="1053" spans="1:20" s="700" customFormat="1" ht="54" customHeight="1">
      <c r="A1053" s="1126"/>
      <c r="B1053" s="538" t="s">
        <v>6087</v>
      </c>
      <c r="C1053" s="1314">
        <f>Data!R1881</f>
        <v>361.56</v>
      </c>
      <c r="D1053" s="1246" t="s">
        <v>4937</v>
      </c>
      <c r="E1053" s="602"/>
      <c r="F1053" s="1125">
        <f t="shared" si="233"/>
        <v>0</v>
      </c>
      <c r="G1053" s="1199"/>
      <c r="H1053" s="1125">
        <f t="shared" si="234"/>
        <v>0</v>
      </c>
      <c r="I1053" s="748"/>
      <c r="J1053" s="1407"/>
      <c r="K1053" s="1199"/>
      <c r="L1053" s="1125">
        <f t="shared" si="235"/>
        <v>0</v>
      </c>
      <c r="M1053" s="1200">
        <v>30</v>
      </c>
      <c r="N1053" s="1339">
        <f t="shared" si="236"/>
        <v>10846.8</v>
      </c>
      <c r="O1053" s="1340">
        <f t="shared" si="237"/>
        <v>30</v>
      </c>
      <c r="P1053" s="1339">
        <f t="shared" si="238"/>
        <v>10846.8</v>
      </c>
      <c r="Q1053" s="1340">
        <f t="shared" si="239"/>
        <v>30</v>
      </c>
      <c r="R1053" s="1339">
        <f t="shared" si="240"/>
        <v>10846.8</v>
      </c>
    </row>
    <row r="1054" spans="1:20" ht="81" customHeight="1">
      <c r="A1054" s="1162"/>
      <c r="B1054" s="1198" t="s">
        <v>6135</v>
      </c>
      <c r="C1054" s="1111">
        <v>122.8</v>
      </c>
      <c r="D1054" s="1110" t="s">
        <v>3629</v>
      </c>
      <c r="E1054" s="1109"/>
      <c r="F1054" s="1125">
        <f t="shared" si="233"/>
        <v>0</v>
      </c>
      <c r="G1054" s="1335"/>
      <c r="H1054" s="1125">
        <f t="shared" si="234"/>
        <v>0</v>
      </c>
      <c r="I1054" s="1312"/>
      <c r="J1054" s="1406">
        <f t="shared" si="241"/>
        <v>0</v>
      </c>
      <c r="K1054" s="1335"/>
      <c r="L1054" s="1125">
        <f t="shared" si="235"/>
        <v>0</v>
      </c>
      <c r="M1054" s="1343">
        <v>80</v>
      </c>
      <c r="N1054" s="1339">
        <f t="shared" si="236"/>
        <v>9824</v>
      </c>
      <c r="O1054" s="1340">
        <f t="shared" si="237"/>
        <v>80</v>
      </c>
      <c r="P1054" s="1339">
        <f t="shared" si="238"/>
        <v>9824</v>
      </c>
      <c r="Q1054" s="1340">
        <f t="shared" si="239"/>
        <v>80</v>
      </c>
      <c r="R1054" s="1339">
        <f t="shared" si="240"/>
        <v>9824</v>
      </c>
      <c r="S1054" s="1322">
        <f t="shared" ref="S1054:S1067" si="242">F1054+P1054</f>
        <v>9824</v>
      </c>
      <c r="T1054" s="1322">
        <f t="shared" ref="T1054:T1067" si="243">S1054-R1054</f>
        <v>0</v>
      </c>
    </row>
    <row r="1055" spans="1:20" ht="54" customHeight="1">
      <c r="A1055" s="1162"/>
      <c r="B1055" s="1198" t="s">
        <v>6014</v>
      </c>
      <c r="C1055" s="1111">
        <v>61.8</v>
      </c>
      <c r="D1055" s="1110" t="s">
        <v>4937</v>
      </c>
      <c r="E1055" s="1109"/>
      <c r="F1055" s="1125">
        <f t="shared" si="233"/>
        <v>0</v>
      </c>
      <c r="G1055" s="1335"/>
      <c r="H1055" s="1125">
        <f t="shared" si="234"/>
        <v>0</v>
      </c>
      <c r="I1055" s="1312"/>
      <c r="J1055" s="1406">
        <f t="shared" si="241"/>
        <v>0</v>
      </c>
      <c r="K1055" s="1335"/>
      <c r="L1055" s="1125">
        <f t="shared" si="235"/>
        <v>0</v>
      </c>
      <c r="M1055" s="1343">
        <v>115</v>
      </c>
      <c r="N1055" s="1339">
        <f t="shared" si="236"/>
        <v>7107</v>
      </c>
      <c r="O1055" s="1340">
        <f t="shared" si="237"/>
        <v>115</v>
      </c>
      <c r="P1055" s="1339">
        <f t="shared" si="238"/>
        <v>7107</v>
      </c>
      <c r="Q1055" s="1340">
        <f t="shared" si="239"/>
        <v>115</v>
      </c>
      <c r="R1055" s="1339">
        <f t="shared" si="240"/>
        <v>7107</v>
      </c>
      <c r="S1055" s="1322">
        <f t="shared" si="242"/>
        <v>7107</v>
      </c>
      <c r="T1055" s="1322">
        <f t="shared" si="243"/>
        <v>0</v>
      </c>
    </row>
    <row r="1056" spans="1:20" ht="102" hidden="1" customHeight="1">
      <c r="A1056" s="1470"/>
      <c r="B1056" s="1485" t="s">
        <v>6015</v>
      </c>
      <c r="C1056" s="1411"/>
      <c r="D1056" s="1371"/>
      <c r="E1056" s="1471"/>
      <c r="F1056" s="1125">
        <f t="shared" si="233"/>
        <v>0</v>
      </c>
      <c r="G1056" s="1427"/>
      <c r="H1056" s="1125">
        <f t="shared" si="234"/>
        <v>0</v>
      </c>
      <c r="I1056" s="1312"/>
      <c r="J1056" s="1312">
        <f t="shared" si="241"/>
        <v>0</v>
      </c>
      <c r="K1056" s="1427"/>
      <c r="L1056" s="1125">
        <f t="shared" si="235"/>
        <v>0</v>
      </c>
      <c r="M1056" s="1435"/>
      <c r="N1056" s="1339">
        <f t="shared" si="236"/>
        <v>0</v>
      </c>
      <c r="O1056" s="1340">
        <f t="shared" si="237"/>
        <v>0</v>
      </c>
      <c r="P1056" s="1339">
        <f t="shared" si="238"/>
        <v>0</v>
      </c>
      <c r="Q1056" s="1340">
        <f t="shared" si="239"/>
        <v>0</v>
      </c>
      <c r="R1056" s="1339">
        <f t="shared" si="240"/>
        <v>0</v>
      </c>
      <c r="S1056" s="1322">
        <f t="shared" si="242"/>
        <v>0</v>
      </c>
      <c r="T1056" s="1322">
        <f t="shared" si="243"/>
        <v>0</v>
      </c>
    </row>
    <row r="1057" spans="1:20" ht="54" hidden="1" customHeight="1">
      <c r="A1057" s="1319"/>
      <c r="B1057" s="1198" t="s">
        <v>6016</v>
      </c>
      <c r="C1057" s="1109">
        <v>760</v>
      </c>
      <c r="D1057" s="1110" t="s">
        <v>1457</v>
      </c>
      <c r="E1057" s="1323"/>
      <c r="F1057" s="1125">
        <f t="shared" si="233"/>
        <v>0</v>
      </c>
      <c r="G1057" s="1335"/>
      <c r="H1057" s="1125">
        <f t="shared" si="234"/>
        <v>0</v>
      </c>
      <c r="I1057" s="1312"/>
      <c r="J1057" s="1312">
        <f t="shared" si="241"/>
        <v>0</v>
      </c>
      <c r="K1057" s="1335"/>
      <c r="L1057" s="1125">
        <f t="shared" si="235"/>
        <v>0</v>
      </c>
      <c r="M1057" s="1335"/>
      <c r="N1057" s="1339">
        <f t="shared" si="236"/>
        <v>0</v>
      </c>
      <c r="O1057" s="1340">
        <f t="shared" si="237"/>
        <v>0</v>
      </c>
      <c r="P1057" s="1339">
        <f t="shared" si="238"/>
        <v>0</v>
      </c>
      <c r="Q1057" s="1340">
        <f t="shared" si="239"/>
        <v>0</v>
      </c>
      <c r="R1057" s="1339">
        <f t="shared" si="240"/>
        <v>0</v>
      </c>
      <c r="S1057" s="1322">
        <f t="shared" si="242"/>
        <v>0</v>
      </c>
      <c r="T1057" s="1322">
        <f t="shared" si="243"/>
        <v>0</v>
      </c>
    </row>
    <row r="1058" spans="1:20" ht="54" hidden="1" customHeight="1">
      <c r="A1058" s="1319"/>
      <c r="B1058" s="1198" t="s">
        <v>6017</v>
      </c>
      <c r="C1058" s="1109">
        <v>1241</v>
      </c>
      <c r="D1058" s="1110" t="s">
        <v>1457</v>
      </c>
      <c r="E1058" s="1323"/>
      <c r="F1058" s="1125">
        <f t="shared" si="233"/>
        <v>0</v>
      </c>
      <c r="G1058" s="1335"/>
      <c r="H1058" s="1125">
        <f t="shared" si="234"/>
        <v>0</v>
      </c>
      <c r="I1058" s="1312"/>
      <c r="J1058" s="1312">
        <f t="shared" si="241"/>
        <v>0</v>
      </c>
      <c r="K1058" s="1335"/>
      <c r="L1058" s="1125">
        <f t="shared" si="235"/>
        <v>0</v>
      </c>
      <c r="M1058" s="1335"/>
      <c r="N1058" s="1339">
        <f t="shared" si="236"/>
        <v>0</v>
      </c>
      <c r="O1058" s="1340">
        <f t="shared" si="237"/>
        <v>0</v>
      </c>
      <c r="P1058" s="1339">
        <f t="shared" si="238"/>
        <v>0</v>
      </c>
      <c r="Q1058" s="1340">
        <f t="shared" si="239"/>
        <v>0</v>
      </c>
      <c r="R1058" s="1339">
        <f t="shared" si="240"/>
        <v>0</v>
      </c>
      <c r="S1058" s="1322">
        <f t="shared" si="242"/>
        <v>0</v>
      </c>
      <c r="T1058" s="1322">
        <f t="shared" si="243"/>
        <v>0</v>
      </c>
    </row>
    <row r="1059" spans="1:20" ht="54" hidden="1" customHeight="1">
      <c r="A1059" s="1319"/>
      <c r="B1059" s="1198" t="s">
        <v>6018</v>
      </c>
      <c r="C1059" s="1109">
        <v>127.5</v>
      </c>
      <c r="D1059" s="1110" t="s">
        <v>1457</v>
      </c>
      <c r="E1059" s="1323"/>
      <c r="F1059" s="1125">
        <f t="shared" si="233"/>
        <v>0</v>
      </c>
      <c r="G1059" s="1335"/>
      <c r="H1059" s="1125">
        <f t="shared" si="234"/>
        <v>0</v>
      </c>
      <c r="I1059" s="1312"/>
      <c r="J1059" s="1312">
        <f t="shared" si="241"/>
        <v>0</v>
      </c>
      <c r="K1059" s="1335"/>
      <c r="L1059" s="1125">
        <f t="shared" si="235"/>
        <v>0</v>
      </c>
      <c r="M1059" s="1335"/>
      <c r="N1059" s="1339">
        <f t="shared" si="236"/>
        <v>0</v>
      </c>
      <c r="O1059" s="1340">
        <f t="shared" si="237"/>
        <v>0</v>
      </c>
      <c r="P1059" s="1339">
        <f t="shared" si="238"/>
        <v>0</v>
      </c>
      <c r="Q1059" s="1340">
        <f t="shared" si="239"/>
        <v>0</v>
      </c>
      <c r="R1059" s="1339">
        <f t="shared" si="240"/>
        <v>0</v>
      </c>
      <c r="S1059" s="1322">
        <f t="shared" si="242"/>
        <v>0</v>
      </c>
      <c r="T1059" s="1322">
        <f t="shared" si="243"/>
        <v>0</v>
      </c>
    </row>
    <row r="1060" spans="1:20" ht="54" hidden="1" customHeight="1">
      <c r="A1060" s="1319"/>
      <c r="B1060" s="1198" t="s">
        <v>6019</v>
      </c>
      <c r="C1060" s="1109">
        <v>266.3</v>
      </c>
      <c r="D1060" s="1110" t="s">
        <v>1457</v>
      </c>
      <c r="E1060" s="1323"/>
      <c r="F1060" s="1125">
        <f t="shared" si="233"/>
        <v>0</v>
      </c>
      <c r="G1060" s="1335"/>
      <c r="H1060" s="1125">
        <f t="shared" si="234"/>
        <v>0</v>
      </c>
      <c r="I1060" s="1312"/>
      <c r="J1060" s="1312">
        <f t="shared" si="241"/>
        <v>0</v>
      </c>
      <c r="K1060" s="1335"/>
      <c r="L1060" s="1125">
        <f t="shared" si="235"/>
        <v>0</v>
      </c>
      <c r="M1060" s="1335"/>
      <c r="N1060" s="1339">
        <f t="shared" si="236"/>
        <v>0</v>
      </c>
      <c r="O1060" s="1340">
        <f t="shared" si="237"/>
        <v>0</v>
      </c>
      <c r="P1060" s="1339">
        <f t="shared" si="238"/>
        <v>0</v>
      </c>
      <c r="Q1060" s="1340">
        <f t="shared" si="239"/>
        <v>0</v>
      </c>
      <c r="R1060" s="1339">
        <f t="shared" si="240"/>
        <v>0</v>
      </c>
      <c r="S1060" s="1322">
        <f t="shared" si="242"/>
        <v>0</v>
      </c>
      <c r="T1060" s="1322">
        <f t="shared" si="243"/>
        <v>0</v>
      </c>
    </row>
    <row r="1061" spans="1:20" ht="54" customHeight="1">
      <c r="A1061" s="1162"/>
      <c r="B1061" s="1198" t="s">
        <v>6020</v>
      </c>
      <c r="C1061" s="1111">
        <v>205</v>
      </c>
      <c r="D1061" s="1110" t="s">
        <v>1457</v>
      </c>
      <c r="E1061" s="1109"/>
      <c r="F1061" s="1125">
        <f t="shared" si="233"/>
        <v>0</v>
      </c>
      <c r="G1061" s="1335"/>
      <c r="H1061" s="1125">
        <f t="shared" si="234"/>
        <v>0</v>
      </c>
      <c r="I1061" s="1312"/>
      <c r="J1061" s="1406">
        <f t="shared" si="241"/>
        <v>0</v>
      </c>
      <c r="K1061" s="1335"/>
      <c r="L1061" s="1125">
        <f t="shared" si="235"/>
        <v>0</v>
      </c>
      <c r="M1061" s="1335">
        <v>1</v>
      </c>
      <c r="N1061" s="1339">
        <f t="shared" si="236"/>
        <v>205</v>
      </c>
      <c r="O1061" s="1340">
        <f t="shared" si="237"/>
        <v>1</v>
      </c>
      <c r="P1061" s="1339">
        <f t="shared" si="238"/>
        <v>205</v>
      </c>
      <c r="Q1061" s="1340">
        <f t="shared" si="239"/>
        <v>1</v>
      </c>
      <c r="R1061" s="1339">
        <f t="shared" si="240"/>
        <v>205</v>
      </c>
      <c r="S1061" s="1322">
        <f t="shared" si="242"/>
        <v>205</v>
      </c>
      <c r="T1061" s="1322">
        <f t="shared" si="243"/>
        <v>0</v>
      </c>
    </row>
    <row r="1062" spans="1:20" ht="87" customHeight="1">
      <c r="A1062" s="1470"/>
      <c r="B1062" s="1370" t="s">
        <v>6132</v>
      </c>
      <c r="C1062" s="1450">
        <v>46579</v>
      </c>
      <c r="D1062" s="1371" t="s">
        <v>1746</v>
      </c>
      <c r="E1062" s="1411"/>
      <c r="F1062" s="1125">
        <f t="shared" si="233"/>
        <v>0</v>
      </c>
      <c r="G1062" s="1427"/>
      <c r="H1062" s="1125">
        <f t="shared" si="234"/>
        <v>0</v>
      </c>
      <c r="I1062" s="1312"/>
      <c r="J1062" s="1312">
        <f t="shared" si="241"/>
        <v>0</v>
      </c>
      <c r="K1062" s="1427"/>
      <c r="L1062" s="1125">
        <f t="shared" si="235"/>
        <v>0</v>
      </c>
      <c r="M1062" s="1427">
        <v>1</v>
      </c>
      <c r="N1062" s="1339">
        <f t="shared" si="236"/>
        <v>46579</v>
      </c>
      <c r="O1062" s="1340">
        <f t="shared" si="237"/>
        <v>1</v>
      </c>
      <c r="P1062" s="1339">
        <f t="shared" si="238"/>
        <v>46579</v>
      </c>
      <c r="Q1062" s="1340">
        <f t="shared" si="239"/>
        <v>1</v>
      </c>
      <c r="R1062" s="1339">
        <f t="shared" si="240"/>
        <v>46579</v>
      </c>
      <c r="S1062" s="1322">
        <f t="shared" si="242"/>
        <v>46579</v>
      </c>
      <c r="T1062" s="1322">
        <f t="shared" si="243"/>
        <v>0</v>
      </c>
    </row>
    <row r="1063" spans="1:20" ht="66" customHeight="1">
      <c r="A1063" s="1319"/>
      <c r="B1063" s="1198" t="s">
        <v>6133</v>
      </c>
      <c r="C1063" s="1111">
        <v>33017</v>
      </c>
      <c r="D1063" s="1110" t="s">
        <v>1746</v>
      </c>
      <c r="E1063" s="1109"/>
      <c r="F1063" s="1125">
        <f t="shared" si="233"/>
        <v>0</v>
      </c>
      <c r="G1063" s="1335"/>
      <c r="H1063" s="1125">
        <f t="shared" si="234"/>
        <v>0</v>
      </c>
      <c r="I1063" s="1312"/>
      <c r="J1063" s="1312">
        <f t="shared" si="241"/>
        <v>0</v>
      </c>
      <c r="K1063" s="1335"/>
      <c r="L1063" s="1125">
        <f t="shared" si="235"/>
        <v>0</v>
      </c>
      <c r="M1063" s="1335">
        <v>1</v>
      </c>
      <c r="N1063" s="1339">
        <f t="shared" si="236"/>
        <v>33017</v>
      </c>
      <c r="O1063" s="1340">
        <f t="shared" si="237"/>
        <v>1</v>
      </c>
      <c r="P1063" s="1339">
        <f t="shared" si="238"/>
        <v>33017</v>
      </c>
      <c r="Q1063" s="1340">
        <f t="shared" si="239"/>
        <v>1</v>
      </c>
      <c r="R1063" s="1339">
        <f t="shared" si="240"/>
        <v>33017</v>
      </c>
      <c r="S1063" s="1322">
        <f t="shared" si="242"/>
        <v>33017</v>
      </c>
      <c r="T1063" s="1322">
        <f t="shared" si="243"/>
        <v>0</v>
      </c>
    </row>
    <row r="1064" spans="1:20" ht="263.25" customHeight="1">
      <c r="A1064" s="1162"/>
      <c r="B1064" s="1198" t="s">
        <v>6021</v>
      </c>
      <c r="C1064" s="1111">
        <v>11056.1</v>
      </c>
      <c r="D1064" s="1110" t="s">
        <v>1746</v>
      </c>
      <c r="E1064" s="1109"/>
      <c r="F1064" s="1125">
        <f t="shared" si="233"/>
        <v>0</v>
      </c>
      <c r="G1064" s="1335"/>
      <c r="H1064" s="1125">
        <f t="shared" si="234"/>
        <v>0</v>
      </c>
      <c r="I1064" s="1312"/>
      <c r="J1064" s="1406">
        <f t="shared" si="241"/>
        <v>0</v>
      </c>
      <c r="K1064" s="1335"/>
      <c r="L1064" s="1125">
        <f t="shared" si="235"/>
        <v>0</v>
      </c>
      <c r="M1064" s="1335">
        <v>2</v>
      </c>
      <c r="N1064" s="1339">
        <f t="shared" si="236"/>
        <v>22112.2</v>
      </c>
      <c r="O1064" s="1340">
        <f t="shared" si="237"/>
        <v>2</v>
      </c>
      <c r="P1064" s="1339">
        <f t="shared" si="238"/>
        <v>22112.2</v>
      </c>
      <c r="Q1064" s="1340">
        <f t="shared" si="239"/>
        <v>2</v>
      </c>
      <c r="R1064" s="1339">
        <f t="shared" si="240"/>
        <v>22112.2</v>
      </c>
      <c r="S1064" s="1322">
        <f t="shared" si="242"/>
        <v>22112.2</v>
      </c>
      <c r="T1064" s="1322">
        <f t="shared" si="243"/>
        <v>0</v>
      </c>
    </row>
    <row r="1065" spans="1:20" ht="131.25" customHeight="1">
      <c r="A1065" s="1162"/>
      <c r="B1065" s="1198" t="s">
        <v>6022</v>
      </c>
      <c r="C1065" s="1111">
        <v>6586</v>
      </c>
      <c r="D1065" s="1110" t="s">
        <v>1746</v>
      </c>
      <c r="E1065" s="1109"/>
      <c r="F1065" s="1125">
        <f t="shared" si="233"/>
        <v>0</v>
      </c>
      <c r="G1065" s="1335"/>
      <c r="H1065" s="1125">
        <f t="shared" si="234"/>
        <v>0</v>
      </c>
      <c r="I1065" s="1312"/>
      <c r="J1065" s="1406">
        <f t="shared" si="241"/>
        <v>0</v>
      </c>
      <c r="K1065" s="1335"/>
      <c r="L1065" s="1125">
        <f t="shared" si="235"/>
        <v>0</v>
      </c>
      <c r="M1065" s="1335">
        <v>1</v>
      </c>
      <c r="N1065" s="1339">
        <f t="shared" si="236"/>
        <v>6586</v>
      </c>
      <c r="O1065" s="1340">
        <f t="shared" si="237"/>
        <v>1</v>
      </c>
      <c r="P1065" s="1339">
        <f t="shared" si="238"/>
        <v>6586</v>
      </c>
      <c r="Q1065" s="1340">
        <f t="shared" si="239"/>
        <v>1</v>
      </c>
      <c r="R1065" s="1339">
        <f t="shared" si="240"/>
        <v>6586</v>
      </c>
      <c r="S1065" s="1322">
        <f t="shared" si="242"/>
        <v>6586</v>
      </c>
      <c r="T1065" s="1322">
        <f t="shared" si="243"/>
        <v>0</v>
      </c>
    </row>
    <row r="1066" spans="1:20" ht="87.75" customHeight="1">
      <c r="A1066" s="1162"/>
      <c r="B1066" s="1198" t="s">
        <v>6023</v>
      </c>
      <c r="C1066" s="1111">
        <v>15147</v>
      </c>
      <c r="D1066" s="1110" t="s">
        <v>1419</v>
      </c>
      <c r="E1066" s="1109"/>
      <c r="F1066" s="1125">
        <f t="shared" si="233"/>
        <v>0</v>
      </c>
      <c r="G1066" s="1335"/>
      <c r="H1066" s="1125">
        <f t="shared" si="234"/>
        <v>0</v>
      </c>
      <c r="I1066" s="1312"/>
      <c r="J1066" s="1406">
        <f t="shared" si="241"/>
        <v>0</v>
      </c>
      <c r="K1066" s="1335"/>
      <c r="L1066" s="1125">
        <f t="shared" si="235"/>
        <v>0</v>
      </c>
      <c r="M1066" s="1335">
        <v>1</v>
      </c>
      <c r="N1066" s="1339">
        <f t="shared" si="236"/>
        <v>15147</v>
      </c>
      <c r="O1066" s="1340">
        <f t="shared" si="237"/>
        <v>1</v>
      </c>
      <c r="P1066" s="1339">
        <f t="shared" si="238"/>
        <v>15147</v>
      </c>
      <c r="Q1066" s="1340">
        <f t="shared" si="239"/>
        <v>1</v>
      </c>
      <c r="R1066" s="1339">
        <f t="shared" si="240"/>
        <v>15147</v>
      </c>
      <c r="S1066" s="1322">
        <f t="shared" si="242"/>
        <v>15147</v>
      </c>
      <c r="T1066" s="1322">
        <f t="shared" si="243"/>
        <v>0</v>
      </c>
    </row>
    <row r="1067" spans="1:20" ht="81" customHeight="1">
      <c r="A1067" s="1162"/>
      <c r="B1067" s="1198" t="s">
        <v>6024</v>
      </c>
      <c r="C1067" s="1111">
        <v>194</v>
      </c>
      <c r="D1067" s="1110" t="s">
        <v>4937</v>
      </c>
      <c r="E1067" s="1109"/>
      <c r="F1067" s="1125">
        <f t="shared" si="233"/>
        <v>0</v>
      </c>
      <c r="G1067" s="1335"/>
      <c r="H1067" s="1125">
        <f t="shared" si="234"/>
        <v>0</v>
      </c>
      <c r="I1067" s="1312"/>
      <c r="J1067" s="1406">
        <f t="shared" si="241"/>
        <v>0</v>
      </c>
      <c r="K1067" s="1335"/>
      <c r="L1067" s="1125">
        <f t="shared" si="235"/>
        <v>0</v>
      </c>
      <c r="M1067" s="1335">
        <v>120</v>
      </c>
      <c r="N1067" s="1339">
        <f t="shared" si="236"/>
        <v>23280</v>
      </c>
      <c r="O1067" s="1340">
        <f t="shared" si="237"/>
        <v>120</v>
      </c>
      <c r="P1067" s="1339">
        <f t="shared" si="238"/>
        <v>23280</v>
      </c>
      <c r="Q1067" s="1340">
        <f t="shared" si="239"/>
        <v>120</v>
      </c>
      <c r="R1067" s="1339">
        <f t="shared" si="240"/>
        <v>23280</v>
      </c>
      <c r="S1067" s="1322">
        <f t="shared" si="242"/>
        <v>23280</v>
      </c>
      <c r="T1067" s="1322">
        <f t="shared" si="243"/>
        <v>0</v>
      </c>
    </row>
    <row r="1068" spans="1:20" s="700" customFormat="1" ht="52.5" customHeight="1">
      <c r="A1068" s="1126"/>
      <c r="B1068" s="600" t="s">
        <v>6025</v>
      </c>
      <c r="C1068" s="1314"/>
      <c r="D1068" s="1246"/>
      <c r="E1068" s="602"/>
      <c r="F1068" s="1125">
        <f t="shared" si="233"/>
        <v>0</v>
      </c>
      <c r="G1068" s="1199"/>
      <c r="H1068" s="1125">
        <f t="shared" si="234"/>
        <v>0</v>
      </c>
      <c r="I1068" s="748"/>
      <c r="J1068" s="1407">
        <f t="shared" si="241"/>
        <v>0</v>
      </c>
      <c r="K1068" s="1199"/>
      <c r="L1068" s="1125">
        <f t="shared" si="235"/>
        <v>0</v>
      </c>
      <c r="M1068" s="1199"/>
      <c r="N1068" s="1339">
        <f t="shared" si="236"/>
        <v>0</v>
      </c>
      <c r="O1068" s="1340">
        <f t="shared" si="237"/>
        <v>0</v>
      </c>
      <c r="P1068" s="1339">
        <f t="shared" si="238"/>
        <v>0</v>
      </c>
      <c r="Q1068" s="1341" t="s">
        <v>2290</v>
      </c>
      <c r="R1068" s="1339"/>
    </row>
    <row r="1069" spans="1:20" s="700" customFormat="1" ht="54" customHeight="1">
      <c r="A1069" s="1126"/>
      <c r="B1069" s="538" t="s">
        <v>6026</v>
      </c>
      <c r="C1069" s="1314">
        <v>2498</v>
      </c>
      <c r="D1069" s="1320" t="s">
        <v>1457</v>
      </c>
      <c r="E1069" s="1314"/>
      <c r="F1069" s="1125">
        <f t="shared" si="233"/>
        <v>0</v>
      </c>
      <c r="G1069" s="1313"/>
      <c r="H1069" s="1125">
        <f t="shared" si="234"/>
        <v>0</v>
      </c>
      <c r="I1069" s="1312"/>
      <c r="J1069" s="1406">
        <f t="shared" si="241"/>
        <v>0</v>
      </c>
      <c r="K1069" s="1313"/>
      <c r="L1069" s="1125">
        <f t="shared" si="235"/>
        <v>0</v>
      </c>
      <c r="M1069" s="1313">
        <v>1</v>
      </c>
      <c r="N1069" s="1339">
        <f t="shared" si="236"/>
        <v>2498</v>
      </c>
      <c r="O1069" s="1340">
        <f t="shared" si="237"/>
        <v>1</v>
      </c>
      <c r="P1069" s="1339">
        <f t="shared" si="238"/>
        <v>2498</v>
      </c>
      <c r="Q1069" s="1340">
        <f t="shared" si="239"/>
        <v>1</v>
      </c>
      <c r="R1069" s="1339">
        <f t="shared" si="240"/>
        <v>2498</v>
      </c>
    </row>
    <row r="1070" spans="1:20" s="700" customFormat="1" ht="54" customHeight="1">
      <c r="A1070" s="1126"/>
      <c r="B1070" s="538" t="s">
        <v>6027</v>
      </c>
      <c r="C1070" s="1314">
        <v>1241</v>
      </c>
      <c r="D1070" s="1320" t="s">
        <v>1457</v>
      </c>
      <c r="E1070" s="1314"/>
      <c r="F1070" s="1125">
        <f t="shared" si="233"/>
        <v>0</v>
      </c>
      <c r="G1070" s="1313"/>
      <c r="H1070" s="1125">
        <f t="shared" si="234"/>
        <v>0</v>
      </c>
      <c r="I1070" s="1312"/>
      <c r="J1070" s="1406">
        <f t="shared" si="241"/>
        <v>0</v>
      </c>
      <c r="K1070" s="1313"/>
      <c r="L1070" s="1125">
        <f t="shared" si="235"/>
        <v>0</v>
      </c>
      <c r="M1070" s="1313">
        <v>3</v>
      </c>
      <c r="N1070" s="1339">
        <f t="shared" si="236"/>
        <v>3723</v>
      </c>
      <c r="O1070" s="1340">
        <f t="shared" si="237"/>
        <v>3</v>
      </c>
      <c r="P1070" s="1339">
        <f t="shared" si="238"/>
        <v>3723</v>
      </c>
      <c r="Q1070" s="1340">
        <f t="shared" si="239"/>
        <v>3</v>
      </c>
      <c r="R1070" s="1339">
        <f t="shared" si="240"/>
        <v>3723</v>
      </c>
    </row>
    <row r="1071" spans="1:20" s="700" customFormat="1" ht="54" customHeight="1">
      <c r="A1071" s="1126"/>
      <c r="B1071" s="538" t="s">
        <v>6083</v>
      </c>
      <c r="C1071" s="1314">
        <v>266.3</v>
      </c>
      <c r="D1071" s="1320" t="s">
        <v>1457</v>
      </c>
      <c r="E1071" s="1314"/>
      <c r="F1071" s="1125">
        <f t="shared" si="233"/>
        <v>0</v>
      </c>
      <c r="G1071" s="1313"/>
      <c r="H1071" s="1125">
        <f t="shared" si="234"/>
        <v>0</v>
      </c>
      <c r="I1071" s="1312"/>
      <c r="J1071" s="1406"/>
      <c r="K1071" s="1313"/>
      <c r="L1071" s="1125">
        <f t="shared" si="235"/>
        <v>0</v>
      </c>
      <c r="M1071" s="1313">
        <v>2</v>
      </c>
      <c r="N1071" s="1339">
        <f t="shared" si="236"/>
        <v>532.6</v>
      </c>
      <c r="O1071" s="1340">
        <f t="shared" si="237"/>
        <v>2</v>
      </c>
      <c r="P1071" s="1339">
        <f t="shared" si="238"/>
        <v>532.6</v>
      </c>
      <c r="Q1071" s="1340">
        <f t="shared" si="239"/>
        <v>2</v>
      </c>
      <c r="R1071" s="1339">
        <f t="shared" si="240"/>
        <v>532.6</v>
      </c>
    </row>
    <row r="1072" spans="1:20" s="700" customFormat="1" ht="54" customHeight="1">
      <c r="A1072" s="1126"/>
      <c r="B1072" s="538" t="s">
        <v>6084</v>
      </c>
      <c r="C1072" s="1314">
        <v>209</v>
      </c>
      <c r="D1072" s="1320" t="s">
        <v>1457</v>
      </c>
      <c r="E1072" s="1314"/>
      <c r="F1072" s="1125">
        <f t="shared" si="233"/>
        <v>0</v>
      </c>
      <c r="G1072" s="1313"/>
      <c r="H1072" s="1125">
        <f t="shared" si="234"/>
        <v>0</v>
      </c>
      <c r="I1072" s="1312"/>
      <c r="J1072" s="1406"/>
      <c r="K1072" s="1313"/>
      <c r="L1072" s="1125">
        <f t="shared" si="235"/>
        <v>0</v>
      </c>
      <c r="M1072" s="1313">
        <v>6</v>
      </c>
      <c r="N1072" s="1339">
        <f t="shared" si="236"/>
        <v>1254</v>
      </c>
      <c r="O1072" s="1340">
        <f t="shared" si="237"/>
        <v>6</v>
      </c>
      <c r="P1072" s="1339">
        <f t="shared" si="238"/>
        <v>1254</v>
      </c>
      <c r="Q1072" s="1340">
        <f t="shared" si="239"/>
        <v>6</v>
      </c>
      <c r="R1072" s="1339">
        <f t="shared" si="240"/>
        <v>1254</v>
      </c>
    </row>
    <row r="1073" spans="1:23" s="700" customFormat="1" ht="54" customHeight="1">
      <c r="A1073" s="1126"/>
      <c r="B1073" s="538" t="s">
        <v>6085</v>
      </c>
      <c r="C1073" s="1314">
        <v>116.3</v>
      </c>
      <c r="D1073" s="1320" t="s">
        <v>1457</v>
      </c>
      <c r="E1073" s="1314"/>
      <c r="F1073" s="1125">
        <f t="shared" si="233"/>
        <v>0</v>
      </c>
      <c r="G1073" s="1313"/>
      <c r="H1073" s="1125">
        <f t="shared" si="234"/>
        <v>0</v>
      </c>
      <c r="I1073" s="1312"/>
      <c r="J1073" s="1406"/>
      <c r="K1073" s="1313"/>
      <c r="L1073" s="1125">
        <f t="shared" si="235"/>
        <v>0</v>
      </c>
      <c r="M1073" s="1313">
        <v>2</v>
      </c>
      <c r="N1073" s="1339">
        <f t="shared" si="236"/>
        <v>232.6</v>
      </c>
      <c r="O1073" s="1340">
        <f t="shared" si="237"/>
        <v>2</v>
      </c>
      <c r="P1073" s="1339">
        <f t="shared" si="238"/>
        <v>232.6</v>
      </c>
      <c r="Q1073" s="1340">
        <f t="shared" si="239"/>
        <v>2</v>
      </c>
      <c r="R1073" s="1339">
        <f t="shared" si="240"/>
        <v>232.6</v>
      </c>
    </row>
    <row r="1074" spans="1:23" s="700" customFormat="1" ht="54" customHeight="1">
      <c r="A1074" s="1126"/>
      <c r="B1074" s="538" t="s">
        <v>6086</v>
      </c>
      <c r="C1074" s="1314">
        <v>69.8</v>
      </c>
      <c r="D1074" s="1320" t="s">
        <v>1457</v>
      </c>
      <c r="E1074" s="1314"/>
      <c r="F1074" s="1125">
        <f t="shared" si="233"/>
        <v>0</v>
      </c>
      <c r="G1074" s="1313"/>
      <c r="H1074" s="1125">
        <f t="shared" si="234"/>
        <v>0</v>
      </c>
      <c r="I1074" s="1312"/>
      <c r="J1074" s="1406"/>
      <c r="K1074" s="1313"/>
      <c r="L1074" s="1125">
        <f t="shared" si="235"/>
        <v>0</v>
      </c>
      <c r="M1074" s="1313">
        <v>4</v>
      </c>
      <c r="N1074" s="1339">
        <f t="shared" si="236"/>
        <v>279.2</v>
      </c>
      <c r="O1074" s="1340">
        <f t="shared" si="237"/>
        <v>4</v>
      </c>
      <c r="P1074" s="1339">
        <f t="shared" si="238"/>
        <v>279.2</v>
      </c>
      <c r="Q1074" s="1340">
        <f t="shared" si="239"/>
        <v>4</v>
      </c>
      <c r="R1074" s="1339">
        <f t="shared" si="240"/>
        <v>279.2</v>
      </c>
    </row>
    <row r="1075" spans="1:23" s="1364" customFormat="1" ht="52.5" customHeight="1">
      <c r="A1075" s="1274"/>
      <c r="B1075" s="1360" t="s">
        <v>2284</v>
      </c>
      <c r="C1075" s="1517">
        <f>ROUND(Data!K1206,2)</f>
        <v>0</v>
      </c>
      <c r="D1075" s="1188"/>
      <c r="E1075" s="1497"/>
      <c r="F1075" s="1361">
        <f>SUM(F5:F1074)</f>
        <v>51068656.170000002</v>
      </c>
      <c r="G1075" s="1362"/>
      <c r="H1075" s="1361">
        <f>SUM(H5:H1074)</f>
        <v>312029.21000000002</v>
      </c>
      <c r="I1075" s="1315"/>
      <c r="J1075" s="1408">
        <f>SUM(J5:J1074)</f>
        <v>0</v>
      </c>
      <c r="K1075" s="1362"/>
      <c r="L1075" s="1361">
        <f>SUM(L5:L1074)</f>
        <v>1055472.5</v>
      </c>
      <c r="M1075" s="1363"/>
      <c r="N1075" s="1361">
        <f>SUM(N5:N1074)</f>
        <v>371834.9</v>
      </c>
      <c r="O1075" s="1362"/>
      <c r="P1075" s="1361">
        <f>SUM(P5:P1074)</f>
        <v>1739336.61</v>
      </c>
      <c r="Q1075" s="1341" t="s">
        <v>2290</v>
      </c>
      <c r="R1075" s="1361">
        <f>SUM(R5:R1074)+0.01</f>
        <v>52807992.780000001</v>
      </c>
      <c r="S1075" s="1364">
        <f t="shared" ref="S1075" si="244">F1075+P1075</f>
        <v>52807992.780000001</v>
      </c>
      <c r="T1075" s="1364">
        <f t="shared" ref="T1075" si="245">S1075-R1075</f>
        <v>0</v>
      </c>
    </row>
    <row r="1076" spans="1:23" s="700" customFormat="1" ht="70.5" hidden="1" customHeight="1">
      <c r="A1076" s="1101"/>
      <c r="B1076" s="1102"/>
      <c r="C1076" s="1103"/>
      <c r="D1076" s="1104"/>
      <c r="E1076" s="1282"/>
      <c r="F1076" s="1201">
        <f t="shared" ref="F1076:F1081" si="246">E1076*C1076</f>
        <v>0</v>
      </c>
      <c r="G1076" s="1202"/>
      <c r="H1076" s="1201"/>
      <c r="I1076" s="1201"/>
      <c r="J1076" s="1201"/>
      <c r="K1076" s="1202"/>
      <c r="L1076" s="1201"/>
      <c r="M1076" s="1203"/>
      <c r="N1076" s="1204"/>
      <c r="O1076" s="1207"/>
      <c r="P1076" s="700" t="e">
        <f>H1075+J1075+L1075+N1075+#REF!</f>
        <v>#REF!</v>
      </c>
      <c r="Q1076" s="1207"/>
      <c r="R1076" s="700">
        <f t="shared" ref="R1076:R1107" si="247">Q1076*C1076</f>
        <v>0</v>
      </c>
    </row>
    <row r="1077" spans="1:23" ht="70.5" customHeight="1">
      <c r="A1077" s="1489"/>
      <c r="B1077" s="1365" t="s">
        <v>2086</v>
      </c>
      <c r="C1077" s="1518"/>
      <c r="D1077" s="1366" t="s">
        <v>1423</v>
      </c>
      <c r="E1077" s="1498"/>
      <c r="F1077" s="1367">
        <f t="shared" si="246"/>
        <v>0</v>
      </c>
      <c r="G1077" s="1368"/>
      <c r="H1077" s="1367"/>
      <c r="I1077" s="1316"/>
      <c r="J1077" s="1316"/>
      <c r="K1077" s="1368"/>
      <c r="L1077" s="1367"/>
      <c r="M1077" s="1374"/>
      <c r="N1077" s="1375"/>
      <c r="P1077" s="1322">
        <f>H1075+J1075+L1075+N1075</f>
        <v>1739336.61</v>
      </c>
      <c r="Q1077" s="1376" t="e">
        <f>E1077+G1077+#REF!+#REF!+#REF!</f>
        <v>#REF!</v>
      </c>
      <c r="R1077" s="1322">
        <f>F1075+P1075</f>
        <v>52807992.780000001</v>
      </c>
    </row>
    <row r="1078" spans="1:23" ht="70.5" customHeight="1">
      <c r="A1078" s="1490"/>
      <c r="B1078" s="1370" t="s">
        <v>608</v>
      </c>
      <c r="C1078" s="1519"/>
      <c r="D1078" s="1371" t="s">
        <v>1423</v>
      </c>
      <c r="E1078" s="1492"/>
      <c r="F1078" s="1367">
        <f t="shared" si="246"/>
        <v>0</v>
      </c>
      <c r="G1078" s="1373"/>
      <c r="H1078" s="1367"/>
      <c r="I1078" s="1317"/>
      <c r="J1078" s="1317"/>
      <c r="K1078" s="1373"/>
      <c r="L1078" s="1367"/>
      <c r="M1078" s="1377"/>
      <c r="N1078" s="1375"/>
      <c r="P1078" s="1322">
        <f>P1077-P1075</f>
        <v>0</v>
      </c>
      <c r="Q1078" s="1376" t="e">
        <f>E1078+G1078+#REF!+#REF!+#REF!</f>
        <v>#REF!</v>
      </c>
      <c r="R1078" s="1322">
        <f>R1077-R1075</f>
        <v>0</v>
      </c>
      <c r="S1078" s="1109" t="e">
        <f>R1078*#REF!</f>
        <v>#REF!</v>
      </c>
      <c r="T1078" s="1378" t="e">
        <f>#REF!</f>
        <v>#REF!</v>
      </c>
      <c r="U1078" s="1128" t="e">
        <f>T1078*#REF!</f>
        <v>#REF!</v>
      </c>
      <c r="V1078" s="1336" t="e">
        <f>T1078+R1078</f>
        <v>#REF!</v>
      </c>
      <c r="W1078" s="1109" t="e">
        <f>V1078*#REF!</f>
        <v>#REF!</v>
      </c>
    </row>
    <row r="1079" spans="1:23" ht="70.5" customHeight="1">
      <c r="A1079" s="1274"/>
      <c r="B1079" s="1198" t="s">
        <v>609</v>
      </c>
      <c r="C1079" s="746">
        <f>Data!K2492</f>
        <v>4881.1899999999996</v>
      </c>
      <c r="D1079" s="1274" t="s">
        <v>2322</v>
      </c>
      <c r="E1079" s="1336"/>
      <c r="F1079" s="1367">
        <f t="shared" si="246"/>
        <v>0</v>
      </c>
      <c r="G1079" s="1373"/>
      <c r="H1079" s="1367"/>
      <c r="I1079" s="1317"/>
      <c r="J1079" s="1317"/>
      <c r="K1079" s="1373"/>
      <c r="L1079" s="1367"/>
      <c r="M1079" s="1377"/>
      <c r="N1079" s="1375"/>
      <c r="Q1079" s="1376" t="e">
        <f>E1079+G1079+#REF!+#REF!+#REF!</f>
        <v>#REF!</v>
      </c>
      <c r="R1079" s="1322" t="e">
        <f t="shared" si="247"/>
        <v>#REF!</v>
      </c>
    </row>
    <row r="1080" spans="1:23" ht="70.5" customHeight="1">
      <c r="A1080" s="1274"/>
      <c r="B1080" s="1198" t="s">
        <v>1935</v>
      </c>
      <c r="C1080" s="746">
        <f>Data!K2515</f>
        <v>5175.3599999999997</v>
      </c>
      <c r="D1080" s="1274" t="s">
        <v>2322</v>
      </c>
      <c r="E1080" s="1336"/>
      <c r="F1080" s="1367">
        <f t="shared" si="246"/>
        <v>0</v>
      </c>
      <c r="G1080" s="1373"/>
      <c r="H1080" s="1367"/>
      <c r="I1080" s="1317"/>
      <c r="J1080" s="1317"/>
      <c r="K1080" s="1373"/>
      <c r="L1080" s="1367"/>
      <c r="M1080" s="1377"/>
      <c r="N1080" s="1375"/>
      <c r="Q1080" s="1376" t="e">
        <f>E1080+G1080+#REF!+#REF!+#REF!</f>
        <v>#REF!</v>
      </c>
      <c r="R1080" s="1322" t="e">
        <f t="shared" si="247"/>
        <v>#REF!</v>
      </c>
    </row>
    <row r="1081" spans="1:23" ht="70.5" customHeight="1">
      <c r="A1081" s="1274"/>
      <c r="B1081" s="1198" t="s">
        <v>2245</v>
      </c>
      <c r="C1081" s="746">
        <f>Data!R2580</f>
        <v>4457.7700000000004</v>
      </c>
      <c r="D1081" s="1274" t="s">
        <v>2322</v>
      </c>
      <c r="E1081" s="1336"/>
      <c r="F1081" s="1367">
        <f t="shared" si="246"/>
        <v>0</v>
      </c>
      <c r="G1081" s="1373"/>
      <c r="H1081" s="1367"/>
      <c r="I1081" s="1317"/>
      <c r="J1081" s="1317"/>
      <c r="K1081" s="1373"/>
      <c r="L1081" s="1367"/>
      <c r="M1081" s="1377"/>
      <c r="N1081" s="1375"/>
      <c r="Q1081" s="1376" t="e">
        <f>E1081+G1081+#REF!+#REF!+#REF!</f>
        <v>#REF!</v>
      </c>
      <c r="R1081" s="1322" t="e">
        <f t="shared" si="247"/>
        <v>#REF!</v>
      </c>
    </row>
    <row r="1082" spans="1:23" ht="70.5" customHeight="1">
      <c r="A1082" s="1274"/>
      <c r="B1082" s="1198" t="s">
        <v>2246</v>
      </c>
      <c r="C1082" s="746"/>
      <c r="D1082" s="1274" t="s">
        <v>2322</v>
      </c>
      <c r="E1082" s="1336"/>
      <c r="F1082" s="1125">
        <f t="shared" ref="F1082:F1113" si="248">E1082*C1082</f>
        <v>0</v>
      </c>
      <c r="G1082" s="1373"/>
      <c r="H1082" s="1367"/>
      <c r="I1082" s="1317"/>
      <c r="J1082" s="1317"/>
      <c r="K1082" s="1373"/>
      <c r="L1082" s="1367"/>
      <c r="M1082" s="1377"/>
      <c r="N1082" s="1375"/>
      <c r="Q1082" s="1376" t="e">
        <f>E1082+G1082+#REF!+#REF!+#REF!</f>
        <v>#REF!</v>
      </c>
      <c r="R1082" s="1322" t="e">
        <f t="shared" si="247"/>
        <v>#REF!</v>
      </c>
    </row>
    <row r="1083" spans="1:23" ht="70.5" customHeight="1">
      <c r="A1083" s="1274"/>
      <c r="B1083" s="1198" t="s">
        <v>2900</v>
      </c>
      <c r="C1083" s="746"/>
      <c r="D1083" s="1274" t="s">
        <v>2322</v>
      </c>
      <c r="E1083" s="1336"/>
      <c r="F1083" s="1125">
        <f t="shared" si="248"/>
        <v>0</v>
      </c>
      <c r="G1083" s="1373"/>
      <c r="H1083" s="1367"/>
      <c r="I1083" s="1317"/>
      <c r="J1083" s="1317"/>
      <c r="K1083" s="1373"/>
      <c r="L1083" s="1367"/>
      <c r="M1083" s="1377"/>
      <c r="N1083" s="1375"/>
      <c r="Q1083" s="1376" t="e">
        <f>E1083+G1083+#REF!+#REF!+#REF!</f>
        <v>#REF!</v>
      </c>
      <c r="R1083" s="1322" t="e">
        <f t="shared" si="247"/>
        <v>#REF!</v>
      </c>
    </row>
    <row r="1084" spans="1:23" ht="70.5" customHeight="1">
      <c r="A1084" s="1274"/>
      <c r="B1084" s="1198" t="s">
        <v>689</v>
      </c>
      <c r="C1084" s="746"/>
      <c r="D1084" s="1274" t="s">
        <v>2322</v>
      </c>
      <c r="E1084" s="1336"/>
      <c r="F1084" s="1125">
        <f t="shared" si="248"/>
        <v>0</v>
      </c>
      <c r="G1084" s="1373"/>
      <c r="H1084" s="1367"/>
      <c r="I1084" s="1317"/>
      <c r="J1084" s="1317"/>
      <c r="K1084" s="1373"/>
      <c r="L1084" s="1367"/>
      <c r="M1084" s="1377"/>
      <c r="N1084" s="1375"/>
      <c r="Q1084" s="1376" t="e">
        <f>E1084+G1084+#REF!+#REF!+#REF!</f>
        <v>#REF!</v>
      </c>
      <c r="R1084" s="1322" t="e">
        <f t="shared" si="247"/>
        <v>#REF!</v>
      </c>
    </row>
    <row r="1085" spans="1:23" ht="70.5" customHeight="1">
      <c r="A1085" s="1274"/>
      <c r="B1085" s="1198" t="s">
        <v>692</v>
      </c>
      <c r="C1085" s="746"/>
      <c r="D1085" s="1274" t="s">
        <v>2322</v>
      </c>
      <c r="E1085" s="1336"/>
      <c r="F1085" s="1125">
        <f t="shared" si="248"/>
        <v>0</v>
      </c>
      <c r="G1085" s="1373"/>
      <c r="H1085" s="1367"/>
      <c r="I1085" s="1317"/>
      <c r="J1085" s="1317"/>
      <c r="K1085" s="1373"/>
      <c r="L1085" s="1367"/>
      <c r="M1085" s="1377"/>
      <c r="N1085" s="1375"/>
      <c r="Q1085" s="1376" t="e">
        <f>E1085+G1085+#REF!+#REF!+#REF!</f>
        <v>#REF!</v>
      </c>
      <c r="R1085" s="1322" t="e">
        <f t="shared" si="247"/>
        <v>#REF!</v>
      </c>
    </row>
    <row r="1086" spans="1:23" ht="70.5" customHeight="1">
      <c r="A1086" s="1274"/>
      <c r="B1086" s="1198" t="s">
        <v>610</v>
      </c>
      <c r="C1086" s="746">
        <f>Data!L1794</f>
        <v>0</v>
      </c>
      <c r="D1086" s="1274" t="s">
        <v>1423</v>
      </c>
      <c r="E1086" s="1336"/>
      <c r="F1086" s="1125">
        <f t="shared" si="248"/>
        <v>0</v>
      </c>
      <c r="G1086" s="1373"/>
      <c r="H1086" s="1367"/>
      <c r="I1086" s="1317"/>
      <c r="J1086" s="1317"/>
      <c r="K1086" s="1373"/>
      <c r="L1086" s="1367"/>
      <c r="M1086" s="1377"/>
      <c r="N1086" s="1375"/>
      <c r="Q1086" s="1376" t="e">
        <f>E1086+G1086+#REF!+#REF!+#REF!</f>
        <v>#REF!</v>
      </c>
      <c r="R1086" s="1322" t="e">
        <f t="shared" si="247"/>
        <v>#REF!</v>
      </c>
    </row>
    <row r="1087" spans="1:23" ht="70.5" customHeight="1">
      <c r="A1087" s="1274"/>
      <c r="B1087" s="1198" t="s">
        <v>2511</v>
      </c>
      <c r="C1087" s="746">
        <f>Data!K2435</f>
        <v>1520.05</v>
      </c>
      <c r="D1087" s="1274" t="s">
        <v>2322</v>
      </c>
      <c r="E1087" s="1336"/>
      <c r="F1087" s="1125">
        <f t="shared" si="248"/>
        <v>0</v>
      </c>
      <c r="G1087" s="1373"/>
      <c r="H1087" s="1367"/>
      <c r="I1087" s="1317"/>
      <c r="J1087" s="1317"/>
      <c r="K1087" s="1373"/>
      <c r="L1087" s="1367"/>
      <c r="M1087" s="1377"/>
      <c r="N1087" s="1375"/>
      <c r="Q1087" s="1376" t="e">
        <f>E1087+G1087+#REF!+#REF!+#REF!</f>
        <v>#REF!</v>
      </c>
      <c r="R1087" s="1322" t="e">
        <f t="shared" si="247"/>
        <v>#REF!</v>
      </c>
    </row>
    <row r="1088" spans="1:23" ht="70.5" customHeight="1">
      <c r="A1088" s="1274"/>
      <c r="B1088" s="1198" t="s">
        <v>611</v>
      </c>
      <c r="C1088" s="746">
        <f>Data!R1230</f>
        <v>1512.46</v>
      </c>
      <c r="D1088" s="1274" t="s">
        <v>2322</v>
      </c>
      <c r="E1088" s="1336"/>
      <c r="F1088" s="1125">
        <f t="shared" si="248"/>
        <v>0</v>
      </c>
      <c r="G1088" s="1373"/>
      <c r="H1088" s="1367"/>
      <c r="I1088" s="1317"/>
      <c r="J1088" s="1317"/>
      <c r="K1088" s="1373"/>
      <c r="L1088" s="1367"/>
      <c r="M1088" s="1377"/>
      <c r="N1088" s="1375"/>
      <c r="Q1088" s="1376" t="e">
        <f>E1088+G1088+#REF!+#REF!+#REF!</f>
        <v>#REF!</v>
      </c>
      <c r="R1088" s="1322" t="e">
        <f t="shared" si="247"/>
        <v>#REF!</v>
      </c>
    </row>
    <row r="1089" spans="1:18" ht="70.5" customHeight="1">
      <c r="A1089" s="1274"/>
      <c r="B1089" s="1198" t="s">
        <v>5274</v>
      </c>
      <c r="C1089" s="746">
        <f>Data!R1272</f>
        <v>1282.53</v>
      </c>
      <c r="D1089" s="1274" t="s">
        <v>2322</v>
      </c>
      <c r="E1089" s="1336"/>
      <c r="F1089" s="1125">
        <f t="shared" si="248"/>
        <v>0</v>
      </c>
      <c r="G1089" s="1373"/>
      <c r="H1089" s="1367"/>
      <c r="I1089" s="1317"/>
      <c r="J1089" s="1317"/>
      <c r="K1089" s="1373"/>
      <c r="L1089" s="1367"/>
      <c r="M1089" s="1377"/>
      <c r="N1089" s="1375"/>
      <c r="Q1089" s="1376" t="e">
        <f>E1089+G1089+#REF!+#REF!+#REF!</f>
        <v>#REF!</v>
      </c>
      <c r="R1089" s="1322" t="e">
        <f t="shared" si="247"/>
        <v>#REF!</v>
      </c>
    </row>
    <row r="1090" spans="1:18" ht="70.5" customHeight="1">
      <c r="A1090" s="1274"/>
      <c r="B1090" s="1198" t="s">
        <v>1191</v>
      </c>
      <c r="C1090" s="746">
        <f>Data!R2442</f>
        <v>1694.35</v>
      </c>
      <c r="D1090" s="1274" t="s">
        <v>2322</v>
      </c>
      <c r="E1090" s="1336"/>
      <c r="F1090" s="1125">
        <f t="shared" si="248"/>
        <v>0</v>
      </c>
      <c r="G1090" s="1373"/>
      <c r="H1090" s="1367"/>
      <c r="I1090" s="1317"/>
      <c r="J1090" s="1317"/>
      <c r="K1090" s="1373"/>
      <c r="L1090" s="1367"/>
      <c r="M1090" s="1377"/>
      <c r="N1090" s="1375"/>
      <c r="Q1090" s="1376" t="e">
        <f>E1090+G1090+#REF!+#REF!+#REF!</f>
        <v>#REF!</v>
      </c>
      <c r="R1090" s="1322" t="e">
        <f t="shared" si="247"/>
        <v>#REF!</v>
      </c>
    </row>
    <row r="1091" spans="1:18" ht="70.5" customHeight="1">
      <c r="A1091" s="1274"/>
      <c r="B1091" s="1198" t="s">
        <v>3149</v>
      </c>
      <c r="C1091" s="746">
        <f>Data!AD1257</f>
        <v>1654.23</v>
      </c>
      <c r="D1091" s="1274" t="s">
        <v>2322</v>
      </c>
      <c r="E1091" s="1336"/>
      <c r="F1091" s="1125">
        <f t="shared" si="248"/>
        <v>0</v>
      </c>
      <c r="G1091" s="1373"/>
      <c r="H1091" s="1367"/>
      <c r="I1091" s="1317"/>
      <c r="J1091" s="1317"/>
      <c r="K1091" s="1373"/>
      <c r="L1091" s="1367"/>
      <c r="M1091" s="1377"/>
      <c r="N1091" s="1375"/>
      <c r="Q1091" s="1376" t="e">
        <f>E1091+G1091+#REF!+#REF!+#REF!</f>
        <v>#REF!</v>
      </c>
      <c r="R1091" s="1322" t="e">
        <f t="shared" si="247"/>
        <v>#REF!</v>
      </c>
    </row>
    <row r="1092" spans="1:18" ht="70.5" customHeight="1">
      <c r="A1092" s="1274"/>
      <c r="B1092" s="1348" t="s">
        <v>2243</v>
      </c>
      <c r="C1092" s="746">
        <f>Data!K1442</f>
        <v>283.77</v>
      </c>
      <c r="D1092" s="1274" t="s">
        <v>2322</v>
      </c>
      <c r="E1092" s="1336"/>
      <c r="F1092" s="1125">
        <f t="shared" si="248"/>
        <v>0</v>
      </c>
      <c r="G1092" s="1373"/>
      <c r="H1092" s="1367"/>
      <c r="I1092" s="1317"/>
      <c r="J1092" s="1317"/>
      <c r="K1092" s="1373"/>
      <c r="L1092" s="1367"/>
      <c r="M1092" s="1377"/>
      <c r="N1092" s="1375"/>
      <c r="Q1092" s="1376" t="e">
        <f>E1092+G1092+#REF!+#REF!+#REF!</f>
        <v>#REF!</v>
      </c>
      <c r="R1092" s="1322" t="e">
        <f t="shared" si="247"/>
        <v>#REF!</v>
      </c>
    </row>
    <row r="1093" spans="1:18" ht="70.5" customHeight="1">
      <c r="A1093" s="1274"/>
      <c r="B1093" s="1348" t="s">
        <v>2244</v>
      </c>
      <c r="C1093" s="746">
        <f>5000*8.2</f>
        <v>41000</v>
      </c>
      <c r="D1093" s="1274" t="s">
        <v>1423</v>
      </c>
      <c r="E1093" s="1336"/>
      <c r="F1093" s="1125">
        <f t="shared" si="248"/>
        <v>0</v>
      </c>
      <c r="G1093" s="1373"/>
      <c r="H1093" s="1367"/>
      <c r="I1093" s="1317"/>
      <c r="J1093" s="1317"/>
      <c r="K1093" s="1373"/>
      <c r="L1093" s="1367"/>
      <c r="M1093" s="1377"/>
      <c r="N1093" s="1375"/>
      <c r="Q1093" s="1376" t="e">
        <f>E1093+G1093+#REF!+#REF!+#REF!</f>
        <v>#REF!</v>
      </c>
      <c r="R1093" s="1322" t="e">
        <f t="shared" si="247"/>
        <v>#REF!</v>
      </c>
    </row>
    <row r="1094" spans="1:18" ht="70.5" customHeight="1">
      <c r="A1094" s="1274"/>
      <c r="B1094" s="1348" t="str">
        <f>Data!O2626</f>
        <v>T.W DOOR SHUTTER TWO LEAVES(1200 X 2100 mm ) with Brass Fittings</v>
      </c>
      <c r="C1094" s="746">
        <f>Data!R2654</f>
        <v>7218.85</v>
      </c>
      <c r="D1094" s="1274" t="s">
        <v>2322</v>
      </c>
      <c r="E1094" s="1336"/>
      <c r="F1094" s="1125">
        <f t="shared" si="248"/>
        <v>0</v>
      </c>
      <c r="G1094" s="1373"/>
      <c r="H1094" s="1367"/>
      <c r="I1094" s="1317"/>
      <c r="J1094" s="1317"/>
      <c r="K1094" s="1373"/>
      <c r="L1094" s="1367"/>
      <c r="M1094" s="1377"/>
      <c r="N1094" s="1375"/>
      <c r="Q1094" s="1376" t="e">
        <f>E1094+G1094+#REF!+#REF!+#REF!</f>
        <v>#REF!</v>
      </c>
      <c r="R1094" s="1322" t="e">
        <f t="shared" si="247"/>
        <v>#REF!</v>
      </c>
    </row>
    <row r="1095" spans="1:18" ht="70.5" customHeight="1">
      <c r="A1095" s="1274"/>
      <c r="B1095" s="1348" t="s">
        <v>1775</v>
      </c>
      <c r="C1095" s="746">
        <f>Data!R1124</f>
        <v>5349.76</v>
      </c>
      <c r="D1095" s="1274" t="s">
        <v>2322</v>
      </c>
      <c r="E1095" s="1336"/>
      <c r="F1095" s="1125">
        <f t="shared" si="248"/>
        <v>0</v>
      </c>
      <c r="G1095" s="1373"/>
      <c r="H1095" s="1367"/>
      <c r="I1095" s="1317"/>
      <c r="J1095" s="1317"/>
      <c r="K1095" s="1373"/>
      <c r="L1095" s="1367"/>
      <c r="M1095" s="1377"/>
      <c r="N1095" s="1375"/>
      <c r="Q1095" s="1376" t="e">
        <f>E1095+G1095+#REF!+#REF!+#REF!</f>
        <v>#REF!</v>
      </c>
      <c r="R1095" s="1322" t="e">
        <f t="shared" si="247"/>
        <v>#REF!</v>
      </c>
    </row>
    <row r="1096" spans="1:18" ht="70.5" customHeight="1">
      <c r="A1096" s="1274"/>
      <c r="B1096" s="1348" t="s">
        <v>3390</v>
      </c>
      <c r="C1096" s="746">
        <f>Data!R3204</f>
        <v>0</v>
      </c>
      <c r="D1096" s="1274" t="s">
        <v>2322</v>
      </c>
      <c r="E1096" s="1336"/>
      <c r="F1096" s="1125">
        <f t="shared" si="248"/>
        <v>0</v>
      </c>
      <c r="G1096" s="1373"/>
      <c r="H1096" s="1367"/>
      <c r="I1096" s="1317"/>
      <c r="J1096" s="1317"/>
      <c r="K1096" s="1373"/>
      <c r="L1096" s="1367"/>
      <c r="M1096" s="1377"/>
      <c r="N1096" s="1375"/>
      <c r="Q1096" s="1376" t="e">
        <f>E1096+G1096+#REF!+#REF!+#REF!</f>
        <v>#REF!</v>
      </c>
      <c r="R1096" s="1322" t="e">
        <f t="shared" si="247"/>
        <v>#REF!</v>
      </c>
    </row>
    <row r="1097" spans="1:18" ht="70.5" customHeight="1">
      <c r="A1097" s="1274"/>
      <c r="B1097" s="1348" t="s">
        <v>3391</v>
      </c>
      <c r="C1097" s="746">
        <f>Data!R3272</f>
        <v>6493.04</v>
      </c>
      <c r="D1097" s="1274" t="s">
        <v>2322</v>
      </c>
      <c r="E1097" s="1336"/>
      <c r="F1097" s="1125">
        <f t="shared" si="248"/>
        <v>0</v>
      </c>
      <c r="G1097" s="1373"/>
      <c r="H1097" s="1367"/>
      <c r="I1097" s="1317"/>
      <c r="J1097" s="1317"/>
      <c r="K1097" s="1373"/>
      <c r="L1097" s="1367"/>
      <c r="M1097" s="1377"/>
      <c r="N1097" s="1375"/>
      <c r="Q1097" s="1376" t="e">
        <f>E1097+G1097+#REF!+#REF!+#REF!</f>
        <v>#REF!</v>
      </c>
      <c r="R1097" s="1322" t="e">
        <f t="shared" si="247"/>
        <v>#REF!</v>
      </c>
    </row>
    <row r="1098" spans="1:18" ht="70.5" customHeight="1">
      <c r="A1098" s="1274"/>
      <c r="B1098" s="1348" t="s">
        <v>3392</v>
      </c>
      <c r="C1098" s="746" t="str">
        <f>Data!K3332</f>
        <v>============</v>
      </c>
      <c r="D1098" s="1274" t="s">
        <v>2322</v>
      </c>
      <c r="E1098" s="1336"/>
      <c r="F1098" s="1125" t="e">
        <f t="shared" si="248"/>
        <v>#VALUE!</v>
      </c>
      <c r="G1098" s="1373"/>
      <c r="H1098" s="1367"/>
      <c r="I1098" s="1317"/>
      <c r="J1098" s="1317"/>
      <c r="K1098" s="1373"/>
      <c r="L1098" s="1367"/>
      <c r="M1098" s="1377"/>
      <c r="N1098" s="1375"/>
      <c r="Q1098" s="1376" t="e">
        <f>E1098+G1098+#REF!+#REF!+#REF!</f>
        <v>#REF!</v>
      </c>
      <c r="R1098" s="1322" t="e">
        <f t="shared" si="247"/>
        <v>#REF!</v>
      </c>
    </row>
    <row r="1099" spans="1:18" ht="70.5" customHeight="1">
      <c r="A1099" s="1274"/>
      <c r="B1099" s="1344" t="s">
        <v>4144</v>
      </c>
      <c r="C1099" s="746">
        <f>Data!R3339</f>
        <v>5302.8</v>
      </c>
      <c r="D1099" s="1274" t="s">
        <v>2322</v>
      </c>
      <c r="E1099" s="1336"/>
      <c r="F1099" s="1125">
        <f t="shared" si="248"/>
        <v>0</v>
      </c>
      <c r="G1099" s="1373"/>
      <c r="H1099" s="1367"/>
      <c r="I1099" s="1317"/>
      <c r="J1099" s="1317"/>
      <c r="K1099" s="1373"/>
      <c r="L1099" s="1367"/>
      <c r="M1099" s="1377"/>
      <c r="N1099" s="1375"/>
      <c r="Q1099" s="1376" t="e">
        <f>E1099+G1099+#REF!+#REF!+#REF!</f>
        <v>#REF!</v>
      </c>
      <c r="R1099" s="1322" t="e">
        <f t="shared" si="247"/>
        <v>#REF!</v>
      </c>
    </row>
    <row r="1100" spans="1:18" ht="70.5" customHeight="1">
      <c r="A1100" s="1274"/>
      <c r="B1100" s="1344" t="s">
        <v>4145</v>
      </c>
      <c r="C1100" s="746">
        <f>Data!R3452</f>
        <v>6163.48</v>
      </c>
      <c r="D1100" s="1274" t="s">
        <v>2322</v>
      </c>
      <c r="E1100" s="1336"/>
      <c r="F1100" s="1125">
        <f t="shared" si="248"/>
        <v>0</v>
      </c>
      <c r="G1100" s="1373"/>
      <c r="H1100" s="1367"/>
      <c r="I1100" s="1317"/>
      <c r="J1100" s="1317"/>
      <c r="K1100" s="1373"/>
      <c r="L1100" s="1367"/>
      <c r="M1100" s="1377"/>
      <c r="N1100" s="1375"/>
      <c r="Q1100" s="1376" t="e">
        <f>E1100+G1100+#REF!+#REF!+#REF!</f>
        <v>#REF!</v>
      </c>
      <c r="R1100" s="1322" t="e">
        <f t="shared" si="247"/>
        <v>#REF!</v>
      </c>
    </row>
    <row r="1101" spans="1:18" ht="70.5" customHeight="1">
      <c r="A1101" s="1274"/>
      <c r="B1101" s="1198" t="s">
        <v>4038</v>
      </c>
      <c r="C1101" s="746">
        <f>Data!K3434</f>
        <v>5325.2</v>
      </c>
      <c r="D1101" s="1274" t="s">
        <v>2322</v>
      </c>
      <c r="E1101" s="1336"/>
      <c r="F1101" s="1125">
        <f t="shared" si="248"/>
        <v>0</v>
      </c>
      <c r="G1101" s="1373"/>
      <c r="H1101" s="1367"/>
      <c r="I1101" s="1317"/>
      <c r="J1101" s="1317"/>
      <c r="K1101" s="1373"/>
      <c r="L1101" s="1367"/>
      <c r="M1101" s="1377"/>
      <c r="N1101" s="1375"/>
      <c r="Q1101" s="1376" t="e">
        <f>E1101+G1101+#REF!+#REF!+#REF!</f>
        <v>#REF!</v>
      </c>
      <c r="R1101" s="1322" t="e">
        <f t="shared" si="247"/>
        <v>#REF!</v>
      </c>
    </row>
    <row r="1102" spans="1:18" ht="70.5" customHeight="1">
      <c r="A1102" s="1274"/>
      <c r="B1102" s="1348" t="s">
        <v>3393</v>
      </c>
      <c r="C1102" s="746">
        <f>Data!R3374</f>
        <v>5822.18</v>
      </c>
      <c r="D1102" s="1274" t="s">
        <v>2322</v>
      </c>
      <c r="E1102" s="1336"/>
      <c r="F1102" s="1125">
        <f t="shared" si="248"/>
        <v>0</v>
      </c>
      <c r="G1102" s="1373"/>
      <c r="H1102" s="1367"/>
      <c r="I1102" s="1317"/>
      <c r="J1102" s="1317"/>
      <c r="K1102" s="1373"/>
      <c r="L1102" s="1367"/>
      <c r="M1102" s="1377"/>
      <c r="N1102" s="1375"/>
      <c r="Q1102" s="1376" t="e">
        <f>E1102+G1102+#REF!+#REF!+#REF!</f>
        <v>#REF!</v>
      </c>
      <c r="R1102" s="1322" t="e">
        <f t="shared" si="247"/>
        <v>#REF!</v>
      </c>
    </row>
    <row r="1103" spans="1:18" ht="70.5" customHeight="1">
      <c r="A1103" s="1274"/>
      <c r="B1103" s="1348" t="s">
        <v>3394</v>
      </c>
      <c r="C1103" s="746" t="str">
        <f>Data!R3409</f>
        <v>=</v>
      </c>
      <c r="D1103" s="1274" t="s">
        <v>2322</v>
      </c>
      <c r="E1103" s="1336"/>
      <c r="F1103" s="1125" t="e">
        <f t="shared" si="248"/>
        <v>#VALUE!</v>
      </c>
      <c r="G1103" s="1373"/>
      <c r="H1103" s="1367"/>
      <c r="I1103" s="1317"/>
      <c r="J1103" s="1317"/>
      <c r="K1103" s="1373"/>
      <c r="L1103" s="1367"/>
      <c r="M1103" s="1377"/>
      <c r="N1103" s="1375"/>
      <c r="Q1103" s="1376" t="e">
        <f>E1103+G1103+#REF!+#REF!+#REF!</f>
        <v>#REF!</v>
      </c>
      <c r="R1103" s="1322" t="e">
        <f t="shared" si="247"/>
        <v>#REF!</v>
      </c>
    </row>
    <row r="1104" spans="1:18" ht="70.5" customHeight="1">
      <c r="A1104" s="1274"/>
      <c r="B1104" s="1348" t="s">
        <v>3395</v>
      </c>
      <c r="C1104" s="746">
        <f>Data!R3306</f>
        <v>0</v>
      </c>
      <c r="D1104" s="1274" t="s">
        <v>2322</v>
      </c>
      <c r="E1104" s="1336"/>
      <c r="F1104" s="1125">
        <f t="shared" si="248"/>
        <v>0</v>
      </c>
      <c r="G1104" s="1373"/>
      <c r="H1104" s="1367"/>
      <c r="I1104" s="1317"/>
      <c r="J1104" s="1317"/>
      <c r="K1104" s="1373"/>
      <c r="L1104" s="1367"/>
      <c r="M1104" s="1377"/>
      <c r="N1104" s="1375"/>
      <c r="Q1104" s="1376" t="e">
        <f>E1104+G1104+#REF!+#REF!+#REF!</f>
        <v>#REF!</v>
      </c>
      <c r="R1104" s="1322" t="e">
        <f t="shared" si="247"/>
        <v>#REF!</v>
      </c>
    </row>
    <row r="1105" spans="1:18" ht="70.5" customHeight="1">
      <c r="A1105" s="1274"/>
      <c r="B1105" s="1348" t="s">
        <v>3396</v>
      </c>
      <c r="C1105" s="746">
        <f>Data!R3340</f>
        <v>0</v>
      </c>
      <c r="D1105" s="1274" t="s">
        <v>2322</v>
      </c>
      <c r="E1105" s="1336"/>
      <c r="F1105" s="1125">
        <f t="shared" si="248"/>
        <v>0</v>
      </c>
      <c r="G1105" s="1373"/>
      <c r="H1105" s="1367"/>
      <c r="I1105" s="1317"/>
      <c r="J1105" s="1317"/>
      <c r="K1105" s="1373"/>
      <c r="L1105" s="1367"/>
      <c r="M1105" s="1377"/>
      <c r="N1105" s="1375"/>
      <c r="Q1105" s="1376" t="e">
        <f>E1105+G1105+#REF!+#REF!+#REF!</f>
        <v>#REF!</v>
      </c>
      <c r="R1105" s="1322" t="e">
        <f t="shared" si="247"/>
        <v>#REF!</v>
      </c>
    </row>
    <row r="1106" spans="1:18" ht="70.5" customHeight="1">
      <c r="A1106" s="1274"/>
      <c r="B1106" s="1348" t="s">
        <v>3141</v>
      </c>
      <c r="C1106" s="746">
        <f>Elec.Data!K651</f>
        <v>1309</v>
      </c>
      <c r="D1106" s="1274" t="s">
        <v>1423</v>
      </c>
      <c r="E1106" s="1336"/>
      <c r="F1106" s="1125">
        <f t="shared" si="248"/>
        <v>0</v>
      </c>
      <c r="G1106" s="1373"/>
      <c r="H1106" s="1367"/>
      <c r="I1106" s="1317"/>
      <c r="J1106" s="1317"/>
      <c r="K1106" s="1373"/>
      <c r="L1106" s="1367"/>
      <c r="M1106" s="1377"/>
      <c r="N1106" s="1375"/>
      <c r="Q1106" s="1376" t="e">
        <f>E1106+G1106+#REF!+#REF!+#REF!</f>
        <v>#REF!</v>
      </c>
      <c r="R1106" s="1322" t="e">
        <f t="shared" si="247"/>
        <v>#REF!</v>
      </c>
    </row>
    <row r="1107" spans="1:18" ht="70.5" customHeight="1">
      <c r="A1107" s="1274"/>
      <c r="B1107" s="1348" t="s">
        <v>3142</v>
      </c>
      <c r="C1107" s="746">
        <f>Elec.Data!K717</f>
        <v>165</v>
      </c>
      <c r="D1107" s="1274" t="s">
        <v>842</v>
      </c>
      <c r="E1107" s="1336"/>
      <c r="F1107" s="1125">
        <f t="shared" si="248"/>
        <v>0</v>
      </c>
      <c r="G1107" s="1373"/>
      <c r="H1107" s="1367"/>
      <c r="I1107" s="1317"/>
      <c r="J1107" s="1317"/>
      <c r="K1107" s="1373"/>
      <c r="L1107" s="1367"/>
      <c r="M1107" s="1377"/>
      <c r="N1107" s="1375"/>
      <c r="Q1107" s="1376" t="e">
        <f>E1107+G1107+#REF!+#REF!+#REF!</f>
        <v>#REF!</v>
      </c>
      <c r="R1107" s="1322" t="e">
        <f t="shared" si="247"/>
        <v>#REF!</v>
      </c>
    </row>
    <row r="1108" spans="1:18" ht="70.5" customHeight="1">
      <c r="A1108" s="1274"/>
      <c r="B1108" s="1348" t="s">
        <v>2544</v>
      </c>
      <c r="C1108" s="746">
        <f>Elec.Data!K638</f>
        <v>3068.5</v>
      </c>
      <c r="D1108" s="1274" t="s">
        <v>1423</v>
      </c>
      <c r="E1108" s="1336"/>
      <c r="F1108" s="1125">
        <f t="shared" si="248"/>
        <v>0</v>
      </c>
      <c r="G1108" s="1373"/>
      <c r="H1108" s="1367"/>
      <c r="I1108" s="1317"/>
      <c r="J1108" s="1317"/>
      <c r="K1108" s="1373"/>
      <c r="L1108" s="1367"/>
      <c r="M1108" s="1377"/>
      <c r="N1108" s="1375"/>
      <c r="Q1108" s="1376" t="e">
        <f>E1108+G1108+#REF!+#REF!+#REF!</f>
        <v>#REF!</v>
      </c>
      <c r="R1108" s="1322" t="e">
        <f t="shared" ref="R1108:R1139" si="249">Q1108*C1108</f>
        <v>#REF!</v>
      </c>
    </row>
    <row r="1109" spans="1:18" ht="70.5" customHeight="1">
      <c r="A1109" s="1274"/>
      <c r="B1109" s="1348" t="s">
        <v>3145</v>
      </c>
      <c r="C1109" s="746">
        <f>Data!K2982</f>
        <v>0</v>
      </c>
      <c r="D1109" s="1274" t="s">
        <v>2322</v>
      </c>
      <c r="E1109" s="1336"/>
      <c r="F1109" s="1125">
        <f t="shared" si="248"/>
        <v>0</v>
      </c>
      <c r="G1109" s="1373"/>
      <c r="H1109" s="1367"/>
      <c r="I1109" s="1317"/>
      <c r="J1109" s="1317"/>
      <c r="K1109" s="1373"/>
      <c r="L1109" s="1367"/>
      <c r="M1109" s="1377"/>
      <c r="N1109" s="1375"/>
      <c r="Q1109" s="1376" t="e">
        <f>E1109+G1109+#REF!+#REF!+#REF!</f>
        <v>#REF!</v>
      </c>
      <c r="R1109" s="1322" t="e">
        <f t="shared" si="249"/>
        <v>#REF!</v>
      </c>
    </row>
    <row r="1110" spans="1:18" ht="70.5" customHeight="1">
      <c r="A1110" s="1274"/>
      <c r="B1110" s="1348" t="s">
        <v>3143</v>
      </c>
      <c r="C1110" s="746">
        <f>Data!K2845</f>
        <v>2816.03</v>
      </c>
      <c r="D1110" s="1274" t="s">
        <v>2322</v>
      </c>
      <c r="E1110" s="1336"/>
      <c r="F1110" s="1125">
        <f t="shared" si="248"/>
        <v>0</v>
      </c>
      <c r="G1110" s="1373"/>
      <c r="H1110" s="1367"/>
      <c r="I1110" s="1317"/>
      <c r="J1110" s="1317"/>
      <c r="K1110" s="1373"/>
      <c r="L1110" s="1367"/>
      <c r="M1110" s="1377"/>
      <c r="N1110" s="1375"/>
      <c r="Q1110" s="1376" t="e">
        <f>E1110+G1110+#REF!+#REF!+#REF!</f>
        <v>#REF!</v>
      </c>
      <c r="R1110" s="1322" t="e">
        <f t="shared" si="249"/>
        <v>#REF!</v>
      </c>
    </row>
    <row r="1111" spans="1:18" ht="70.5" customHeight="1">
      <c r="A1111" s="1274"/>
      <c r="B1111" s="1348" t="s">
        <v>3144</v>
      </c>
      <c r="C1111" s="746">
        <f>Data!R2988</f>
        <v>2736.66</v>
      </c>
      <c r="D1111" s="1274" t="s">
        <v>2322</v>
      </c>
      <c r="E1111" s="1336"/>
      <c r="F1111" s="1125">
        <f t="shared" si="248"/>
        <v>0</v>
      </c>
      <c r="G1111" s="1373"/>
      <c r="H1111" s="1367"/>
      <c r="I1111" s="1317"/>
      <c r="J1111" s="1317"/>
      <c r="K1111" s="1373"/>
      <c r="L1111" s="1367"/>
      <c r="M1111" s="1377"/>
      <c r="N1111" s="1375"/>
      <c r="Q1111" s="1376" t="e">
        <f>E1111+G1111+#REF!+#REF!+#REF!</f>
        <v>#REF!</v>
      </c>
      <c r="R1111" s="1322" t="e">
        <f t="shared" si="249"/>
        <v>#REF!</v>
      </c>
    </row>
    <row r="1112" spans="1:18" ht="70.5" customHeight="1">
      <c r="A1112" s="1274"/>
      <c r="B1112" s="1348" t="s">
        <v>3146</v>
      </c>
      <c r="C1112" s="746">
        <f>Data!K3085</f>
        <v>2985.43</v>
      </c>
      <c r="D1112" s="1274" t="s">
        <v>2322</v>
      </c>
      <c r="E1112" s="1336"/>
      <c r="F1112" s="1125">
        <f t="shared" si="248"/>
        <v>0</v>
      </c>
      <c r="G1112" s="1373"/>
      <c r="H1112" s="1367"/>
      <c r="I1112" s="1317"/>
      <c r="J1112" s="1317"/>
      <c r="K1112" s="1373"/>
      <c r="L1112" s="1367"/>
      <c r="M1112" s="1377"/>
      <c r="N1112" s="1375"/>
      <c r="Q1112" s="1376" t="e">
        <f>E1112+G1112+#REF!+#REF!+#REF!</f>
        <v>#REF!</v>
      </c>
      <c r="R1112" s="1322" t="e">
        <f t="shared" si="249"/>
        <v>#REF!</v>
      </c>
    </row>
    <row r="1113" spans="1:18" ht="70.5" customHeight="1">
      <c r="A1113" s="1274"/>
      <c r="B1113" s="1348" t="s">
        <v>3147</v>
      </c>
      <c r="C1113" s="746">
        <f>Data!K3066</f>
        <v>3117.93</v>
      </c>
      <c r="D1113" s="1274" t="s">
        <v>2322</v>
      </c>
      <c r="E1113" s="1336"/>
      <c r="F1113" s="1125">
        <f t="shared" si="248"/>
        <v>0</v>
      </c>
      <c r="G1113" s="1373"/>
      <c r="H1113" s="1367"/>
      <c r="I1113" s="1317"/>
      <c r="J1113" s="1317"/>
      <c r="K1113" s="1373"/>
      <c r="L1113" s="1367"/>
      <c r="M1113" s="1377"/>
      <c r="N1113" s="1375"/>
      <c r="Q1113" s="1376" t="e">
        <f>E1113+G1113+#REF!+#REF!+#REF!</f>
        <v>#REF!</v>
      </c>
      <c r="R1113" s="1322" t="e">
        <f t="shared" si="249"/>
        <v>#REF!</v>
      </c>
    </row>
    <row r="1114" spans="1:18" ht="70.5" customHeight="1">
      <c r="A1114" s="1274"/>
      <c r="B1114" s="1348" t="s">
        <v>3148</v>
      </c>
      <c r="C1114" s="746">
        <f>Data!R3073</f>
        <v>2926.31</v>
      </c>
      <c r="D1114" s="1274" t="s">
        <v>2322</v>
      </c>
      <c r="E1114" s="1336"/>
      <c r="F1114" s="1125">
        <f t="shared" ref="F1114:F1145" si="250">E1114*C1114</f>
        <v>0</v>
      </c>
      <c r="G1114" s="1373"/>
      <c r="H1114" s="1367"/>
      <c r="I1114" s="1317"/>
      <c r="J1114" s="1317"/>
      <c r="K1114" s="1373"/>
      <c r="L1114" s="1367"/>
      <c r="M1114" s="1377"/>
      <c r="N1114" s="1375"/>
      <c r="Q1114" s="1376" t="e">
        <f>E1114+G1114+#REF!+#REF!+#REF!</f>
        <v>#REF!</v>
      </c>
      <c r="R1114" s="1322" t="e">
        <f t="shared" si="249"/>
        <v>#REF!</v>
      </c>
    </row>
    <row r="1115" spans="1:18" ht="70.5" customHeight="1">
      <c r="A1115" s="1274"/>
      <c r="B1115" s="1328" t="s">
        <v>575</v>
      </c>
      <c r="C1115" s="746">
        <f>Data!K2877</f>
        <v>2208.35</v>
      </c>
      <c r="D1115" s="1274" t="s">
        <v>2322</v>
      </c>
      <c r="E1115" s="1336"/>
      <c r="F1115" s="1125">
        <f t="shared" si="250"/>
        <v>0</v>
      </c>
      <c r="G1115" s="1373"/>
      <c r="H1115" s="1367"/>
      <c r="I1115" s="1317"/>
      <c r="J1115" s="1317"/>
      <c r="K1115" s="1373"/>
      <c r="L1115" s="1367"/>
      <c r="M1115" s="1377"/>
      <c r="N1115" s="1375"/>
      <c r="Q1115" s="1376" t="e">
        <f>E1115+G1115+#REF!+#REF!+#REF!</f>
        <v>#REF!</v>
      </c>
      <c r="R1115" s="1322" t="e">
        <f t="shared" si="249"/>
        <v>#REF!</v>
      </c>
    </row>
    <row r="1116" spans="1:18" ht="70.5" customHeight="1">
      <c r="A1116" s="1274"/>
      <c r="B1116" s="1348" t="s">
        <v>2907</v>
      </c>
      <c r="C1116" s="746">
        <f>Data!K1154</f>
        <v>128.36000000000001</v>
      </c>
      <c r="D1116" s="1274"/>
      <c r="E1116" s="1336"/>
      <c r="F1116" s="1125">
        <f t="shared" si="250"/>
        <v>0</v>
      </c>
      <c r="G1116" s="1373"/>
      <c r="H1116" s="1367"/>
      <c r="I1116" s="1317"/>
      <c r="J1116" s="1317"/>
      <c r="K1116" s="1373"/>
      <c r="L1116" s="1367"/>
      <c r="M1116" s="1377"/>
      <c r="N1116" s="1375"/>
      <c r="Q1116" s="1376" t="e">
        <f>E1116+G1116+#REF!+#REF!+#REF!</f>
        <v>#REF!</v>
      </c>
      <c r="R1116" s="1322" t="e">
        <f t="shared" si="249"/>
        <v>#REF!</v>
      </c>
    </row>
    <row r="1117" spans="1:18" ht="70.5" customHeight="1">
      <c r="A1117" s="1274"/>
      <c r="B1117" s="1348" t="s">
        <v>2908</v>
      </c>
      <c r="C1117" s="746">
        <f>Data!K1167</f>
        <v>201.2</v>
      </c>
      <c r="D1117" s="1274"/>
      <c r="E1117" s="1336"/>
      <c r="F1117" s="1125">
        <f t="shared" si="250"/>
        <v>0</v>
      </c>
      <c r="G1117" s="1373"/>
      <c r="H1117" s="1367">
        <f t="shared" ref="H1117:H1127" si="251">G1117*C1117</f>
        <v>0</v>
      </c>
      <c r="I1117" s="1317"/>
      <c r="J1117" s="1317"/>
      <c r="K1117" s="1373"/>
      <c r="L1117" s="1367" t="e">
        <f>#REF!*C1117</f>
        <v>#REF!</v>
      </c>
      <c r="M1117" s="1377"/>
      <c r="N1117" s="1375" t="e">
        <f>#REF!*C1117</f>
        <v>#REF!</v>
      </c>
      <c r="Q1117" s="1376" t="e">
        <f>E1117+G1117+#REF!+#REF!+#REF!</f>
        <v>#REF!</v>
      </c>
      <c r="R1117" s="1322" t="e">
        <f t="shared" si="249"/>
        <v>#REF!</v>
      </c>
    </row>
    <row r="1118" spans="1:18" ht="70.5" customHeight="1">
      <c r="A1118" s="1274"/>
      <c r="B1118" s="1348" t="s">
        <v>1706</v>
      </c>
      <c r="C1118" s="746">
        <f>Data!K2448</f>
        <v>784.92</v>
      </c>
      <c r="D1118" s="1274"/>
      <c r="E1118" s="1336"/>
      <c r="F1118" s="1125">
        <f t="shared" si="250"/>
        <v>0</v>
      </c>
      <c r="G1118" s="1373"/>
      <c r="H1118" s="1367">
        <f t="shared" si="251"/>
        <v>0</v>
      </c>
      <c r="I1118" s="1317"/>
      <c r="J1118" s="1317"/>
      <c r="K1118" s="1373"/>
      <c r="L1118" s="1367" t="e">
        <f>#REF!*C1118</f>
        <v>#REF!</v>
      </c>
      <c r="M1118" s="1377"/>
      <c r="N1118" s="1375" t="e">
        <f>#REF!*C1118</f>
        <v>#REF!</v>
      </c>
      <c r="Q1118" s="1376" t="e">
        <f>E1118+G1118+#REF!+#REF!+#REF!</f>
        <v>#REF!</v>
      </c>
      <c r="R1118" s="1322" t="e">
        <f t="shared" si="249"/>
        <v>#REF!</v>
      </c>
    </row>
    <row r="1119" spans="1:18" ht="70.5" customHeight="1">
      <c r="A1119" s="1274"/>
      <c r="B1119" s="1348" t="s">
        <v>1707</v>
      </c>
      <c r="C1119" s="746">
        <f>Data!K2798</f>
        <v>1730.28</v>
      </c>
      <c r="D1119" s="1274"/>
      <c r="E1119" s="1336"/>
      <c r="F1119" s="1125">
        <f t="shared" si="250"/>
        <v>0</v>
      </c>
      <c r="G1119" s="1373"/>
      <c r="H1119" s="1367">
        <f t="shared" si="251"/>
        <v>0</v>
      </c>
      <c r="I1119" s="1317"/>
      <c r="J1119" s="1317"/>
      <c r="K1119" s="1373"/>
      <c r="L1119" s="1367" t="e">
        <f>#REF!*C1119</f>
        <v>#REF!</v>
      </c>
      <c r="M1119" s="1377"/>
      <c r="N1119" s="1375" t="e">
        <f>#REF!*C1119</f>
        <v>#REF!</v>
      </c>
      <c r="Q1119" s="1376" t="e">
        <f>E1119+G1119+#REF!+#REF!+#REF!</f>
        <v>#REF!</v>
      </c>
      <c r="R1119" s="1322" t="e">
        <f t="shared" si="249"/>
        <v>#REF!</v>
      </c>
    </row>
    <row r="1120" spans="1:18" ht="70.5" customHeight="1">
      <c r="A1120" s="1274"/>
      <c r="B1120" s="1328" t="s">
        <v>4146</v>
      </c>
      <c r="C1120" s="746">
        <f>Elec.Data!K180</f>
        <v>2640</v>
      </c>
      <c r="D1120" s="1274"/>
      <c r="E1120" s="1336"/>
      <c r="F1120" s="1125">
        <f t="shared" si="250"/>
        <v>0</v>
      </c>
      <c r="G1120" s="1373"/>
      <c r="H1120" s="1367">
        <f t="shared" si="251"/>
        <v>0</v>
      </c>
      <c r="I1120" s="1317"/>
      <c r="J1120" s="1317"/>
      <c r="K1120" s="1373"/>
      <c r="L1120" s="1367" t="e">
        <f>#REF!*C1120</f>
        <v>#REF!</v>
      </c>
      <c r="M1120" s="1377"/>
      <c r="N1120" s="1375" t="e">
        <f>#REF!*C1120</f>
        <v>#REF!</v>
      </c>
      <c r="Q1120" s="1376" t="e">
        <f>E1120+G1120+#REF!+#REF!+#REF!</f>
        <v>#REF!</v>
      </c>
      <c r="R1120" s="1322" t="e">
        <f t="shared" si="249"/>
        <v>#REF!</v>
      </c>
    </row>
    <row r="1121" spans="1:18" ht="70.5" customHeight="1">
      <c r="A1121" s="1274"/>
      <c r="B1121" s="1328" t="s">
        <v>4430</v>
      </c>
      <c r="C1121" s="746">
        <f>Elec.Data!K192</f>
        <v>2640</v>
      </c>
      <c r="D1121" s="1274"/>
      <c r="E1121" s="1336"/>
      <c r="F1121" s="1125">
        <f t="shared" si="250"/>
        <v>0</v>
      </c>
      <c r="G1121" s="1373"/>
      <c r="H1121" s="1367">
        <f t="shared" si="251"/>
        <v>0</v>
      </c>
      <c r="I1121" s="1317"/>
      <c r="J1121" s="1317"/>
      <c r="K1121" s="1373"/>
      <c r="L1121" s="1367" t="e">
        <f>#REF!*C1121</f>
        <v>#REF!</v>
      </c>
      <c r="M1121" s="1377"/>
      <c r="N1121" s="1375" t="e">
        <f>#REF!*C1121</f>
        <v>#REF!</v>
      </c>
      <c r="Q1121" s="1376" t="e">
        <f>E1121+G1121+#REF!+#REF!+#REF!</f>
        <v>#REF!</v>
      </c>
      <c r="R1121" s="1322" t="e">
        <f t="shared" si="249"/>
        <v>#REF!</v>
      </c>
    </row>
    <row r="1122" spans="1:18" ht="70.5" customHeight="1">
      <c r="A1122" s="1274"/>
      <c r="B1122" s="1328" t="s">
        <v>4431</v>
      </c>
      <c r="C1122" s="746">
        <f>Elec.Data!K213</f>
        <v>2712</v>
      </c>
      <c r="D1122" s="1274"/>
      <c r="E1122" s="1336"/>
      <c r="F1122" s="1125">
        <f t="shared" si="250"/>
        <v>0</v>
      </c>
      <c r="G1122" s="1373"/>
      <c r="H1122" s="1367">
        <f t="shared" si="251"/>
        <v>0</v>
      </c>
      <c r="I1122" s="1317"/>
      <c r="J1122" s="1317"/>
      <c r="K1122" s="1373"/>
      <c r="L1122" s="1367" t="e">
        <f>#REF!*C1122</f>
        <v>#REF!</v>
      </c>
      <c r="M1122" s="1377"/>
      <c r="N1122" s="1375" t="e">
        <f>#REF!*C1122</f>
        <v>#REF!</v>
      </c>
      <c r="Q1122" s="1376" t="e">
        <f>E1122+G1122+#REF!+#REF!+#REF!</f>
        <v>#REF!</v>
      </c>
      <c r="R1122" s="1322" t="e">
        <f t="shared" si="249"/>
        <v>#REF!</v>
      </c>
    </row>
    <row r="1123" spans="1:18" ht="70.5" customHeight="1">
      <c r="A1123" s="1274"/>
      <c r="B1123" s="1328" t="s">
        <v>4432</v>
      </c>
      <c r="C1123" s="746">
        <f>Elec.Data!K232</f>
        <v>4960</v>
      </c>
      <c r="D1123" s="1274"/>
      <c r="E1123" s="1336"/>
      <c r="F1123" s="1125">
        <f t="shared" si="250"/>
        <v>0</v>
      </c>
      <c r="G1123" s="1373"/>
      <c r="H1123" s="1367">
        <f t="shared" si="251"/>
        <v>0</v>
      </c>
      <c r="I1123" s="1317"/>
      <c r="J1123" s="1317"/>
      <c r="K1123" s="1373"/>
      <c r="L1123" s="1367" t="e">
        <f>#REF!*C1123</f>
        <v>#REF!</v>
      </c>
      <c r="M1123" s="1377"/>
      <c r="N1123" s="1375" t="e">
        <f>#REF!*C1123</f>
        <v>#REF!</v>
      </c>
      <c r="Q1123" s="1376" t="e">
        <f>E1123+G1123+#REF!+#REF!+#REF!</f>
        <v>#REF!</v>
      </c>
      <c r="R1123" s="1322" t="e">
        <f t="shared" si="249"/>
        <v>#REF!</v>
      </c>
    </row>
    <row r="1124" spans="1:18" ht="70.5" customHeight="1">
      <c r="A1124" s="1274"/>
      <c r="B1124" s="1328" t="s">
        <v>2435</v>
      </c>
      <c r="C1124" s="746">
        <f>Elec.Data!K261</f>
        <v>226</v>
      </c>
      <c r="D1124" s="1274"/>
      <c r="E1124" s="1336"/>
      <c r="F1124" s="1125">
        <f t="shared" si="250"/>
        <v>0</v>
      </c>
      <c r="G1124" s="1373"/>
      <c r="H1124" s="1367">
        <f t="shared" si="251"/>
        <v>0</v>
      </c>
      <c r="I1124" s="1317"/>
      <c r="J1124" s="1317"/>
      <c r="K1124" s="1373"/>
      <c r="L1124" s="1367" t="e">
        <f>#REF!*C1124</f>
        <v>#REF!</v>
      </c>
      <c r="M1124" s="1377"/>
      <c r="N1124" s="1375" t="e">
        <f>#REF!*C1124</f>
        <v>#REF!</v>
      </c>
      <c r="Q1124" s="1376" t="e">
        <f>E1124+G1124+#REF!+#REF!+#REF!</f>
        <v>#REF!</v>
      </c>
      <c r="R1124" s="1322" t="e">
        <f t="shared" si="249"/>
        <v>#REF!</v>
      </c>
    </row>
    <row r="1125" spans="1:18" ht="70.5" customHeight="1">
      <c r="A1125" s="1274"/>
      <c r="B1125" s="1328" t="s">
        <v>3018</v>
      </c>
      <c r="C1125" s="746">
        <f>Elec.Data!K274</f>
        <v>266</v>
      </c>
      <c r="D1125" s="1274"/>
      <c r="E1125" s="1336"/>
      <c r="F1125" s="1125">
        <f t="shared" si="250"/>
        <v>0</v>
      </c>
      <c r="G1125" s="1373"/>
      <c r="H1125" s="1367">
        <f t="shared" si="251"/>
        <v>0</v>
      </c>
      <c r="I1125" s="1317"/>
      <c r="J1125" s="1317"/>
      <c r="K1125" s="1373"/>
      <c r="L1125" s="1367" t="e">
        <f>#REF!*C1125</f>
        <v>#REF!</v>
      </c>
      <c r="M1125" s="1377"/>
      <c r="N1125" s="1375" t="e">
        <f>#REF!*C1125</f>
        <v>#REF!</v>
      </c>
      <c r="Q1125" s="1376" t="e">
        <f>E1125+G1125+#REF!+#REF!+#REF!</f>
        <v>#REF!</v>
      </c>
      <c r="R1125" s="1322" t="e">
        <f t="shared" si="249"/>
        <v>#REF!</v>
      </c>
    </row>
    <row r="1126" spans="1:18" ht="70.5" customHeight="1">
      <c r="A1126" s="1274"/>
      <c r="B1126" s="1328" t="s">
        <v>2375</v>
      </c>
      <c r="C1126" s="746">
        <f>Elec.Data!K288</f>
        <v>398</v>
      </c>
      <c r="D1126" s="1274"/>
      <c r="E1126" s="1336"/>
      <c r="F1126" s="1125">
        <f t="shared" si="250"/>
        <v>0</v>
      </c>
      <c r="G1126" s="1373"/>
      <c r="H1126" s="1367">
        <f t="shared" si="251"/>
        <v>0</v>
      </c>
      <c r="I1126" s="1317"/>
      <c r="J1126" s="1317"/>
      <c r="K1126" s="1373"/>
      <c r="L1126" s="1367" t="e">
        <f>#REF!*C1126</f>
        <v>#REF!</v>
      </c>
      <c r="M1126" s="1377"/>
      <c r="N1126" s="1375" t="e">
        <f>#REF!*C1126</f>
        <v>#REF!</v>
      </c>
      <c r="Q1126" s="1376" t="e">
        <f>E1126+G1126+#REF!+#REF!+#REF!</f>
        <v>#REF!</v>
      </c>
      <c r="R1126" s="1322" t="e">
        <f t="shared" si="249"/>
        <v>#REF!</v>
      </c>
    </row>
    <row r="1127" spans="1:18" ht="70.5" customHeight="1">
      <c r="A1127" s="1274"/>
      <c r="B1127" s="1328" t="s">
        <v>2817</v>
      </c>
      <c r="C1127" s="746">
        <f>Elec.Data!K342</f>
        <v>1345.6</v>
      </c>
      <c r="D1127" s="1274"/>
      <c r="E1127" s="1336"/>
      <c r="F1127" s="1125">
        <f t="shared" si="250"/>
        <v>0</v>
      </c>
      <c r="G1127" s="1373"/>
      <c r="H1127" s="1367">
        <f t="shared" si="251"/>
        <v>0</v>
      </c>
      <c r="I1127" s="1317"/>
      <c r="J1127" s="1317"/>
      <c r="K1127" s="1373"/>
      <c r="L1127" s="1367" t="e">
        <f>#REF!*C1127</f>
        <v>#REF!</v>
      </c>
      <c r="M1127" s="1377"/>
      <c r="N1127" s="1375" t="e">
        <f>#REF!*C1127</f>
        <v>#REF!</v>
      </c>
      <c r="Q1127" s="1376" t="e">
        <f>E1127+G1127+#REF!+#REF!+#REF!</f>
        <v>#REF!</v>
      </c>
      <c r="R1127" s="1322" t="e">
        <f t="shared" si="249"/>
        <v>#REF!</v>
      </c>
    </row>
    <row r="1128" spans="1:18" ht="70.5" customHeight="1">
      <c r="A1128" s="1274"/>
      <c r="B1128" s="1328" t="s">
        <v>2445</v>
      </c>
      <c r="C1128" s="746">
        <f>Elec.Data!K353</f>
        <v>1035.5999999999999</v>
      </c>
      <c r="D1128" s="1274"/>
      <c r="E1128" s="1336"/>
      <c r="F1128" s="1125">
        <f t="shared" si="250"/>
        <v>0</v>
      </c>
      <c r="G1128" s="1373"/>
      <c r="H1128" s="1367">
        <f t="shared" ref="H1128:H1191" si="252">G1128*C1128</f>
        <v>0</v>
      </c>
      <c r="I1128" s="1317"/>
      <c r="J1128" s="1317"/>
      <c r="K1128" s="1373"/>
      <c r="L1128" s="1367" t="e">
        <f>#REF!*C1128</f>
        <v>#REF!</v>
      </c>
      <c r="M1128" s="1377"/>
      <c r="N1128" s="1375" t="e">
        <f>#REF!*C1128</f>
        <v>#REF!</v>
      </c>
      <c r="Q1128" s="1376" t="e">
        <f>E1128+G1128+#REF!+#REF!+#REF!</f>
        <v>#REF!</v>
      </c>
      <c r="R1128" s="1322" t="e">
        <f t="shared" si="249"/>
        <v>#REF!</v>
      </c>
    </row>
    <row r="1129" spans="1:18" ht="70.5" customHeight="1">
      <c r="A1129" s="1274"/>
      <c r="B1129" s="1328" t="s">
        <v>3491</v>
      </c>
      <c r="C1129" s="746">
        <f>Elec.Data!K364</f>
        <v>1732.6</v>
      </c>
      <c r="D1129" s="1274"/>
      <c r="E1129" s="1336"/>
      <c r="F1129" s="1125">
        <f t="shared" si="250"/>
        <v>0</v>
      </c>
      <c r="G1129" s="1373"/>
      <c r="H1129" s="1367">
        <f t="shared" si="252"/>
        <v>0</v>
      </c>
      <c r="I1129" s="1317"/>
      <c r="J1129" s="1317"/>
      <c r="K1129" s="1373"/>
      <c r="L1129" s="1367" t="e">
        <f>#REF!*C1129</f>
        <v>#REF!</v>
      </c>
      <c r="M1129" s="1377"/>
      <c r="N1129" s="1375" t="e">
        <f>#REF!*C1129</f>
        <v>#REF!</v>
      </c>
      <c r="Q1129" s="1376" t="e">
        <f>E1129+G1129+#REF!+#REF!+#REF!</f>
        <v>#REF!</v>
      </c>
      <c r="R1129" s="1322" t="e">
        <f t="shared" si="249"/>
        <v>#REF!</v>
      </c>
    </row>
    <row r="1130" spans="1:18" ht="70.5" customHeight="1">
      <c r="A1130" s="1274"/>
      <c r="B1130" s="1328" t="s">
        <v>2329</v>
      </c>
      <c r="C1130" s="746">
        <f>Elec.Data!K379</f>
        <v>2159</v>
      </c>
      <c r="D1130" s="1274"/>
      <c r="E1130" s="1336"/>
      <c r="F1130" s="1125">
        <f t="shared" si="250"/>
        <v>0</v>
      </c>
      <c r="G1130" s="1373"/>
      <c r="H1130" s="1367">
        <f t="shared" si="252"/>
        <v>0</v>
      </c>
      <c r="I1130" s="1317"/>
      <c r="J1130" s="1317"/>
      <c r="K1130" s="1373"/>
      <c r="L1130" s="1367" t="e">
        <f>#REF!*C1130</f>
        <v>#REF!</v>
      </c>
      <c r="M1130" s="1377"/>
      <c r="N1130" s="1375" t="e">
        <f>#REF!*C1130</f>
        <v>#REF!</v>
      </c>
      <c r="Q1130" s="1376" t="e">
        <f>E1130+G1130+#REF!+#REF!+#REF!</f>
        <v>#REF!</v>
      </c>
      <c r="R1130" s="1322" t="e">
        <f t="shared" si="249"/>
        <v>#REF!</v>
      </c>
    </row>
    <row r="1131" spans="1:18" ht="70.5" customHeight="1">
      <c r="A1131" s="1274"/>
      <c r="B1131" s="1328" t="s">
        <v>2630</v>
      </c>
      <c r="C1131" s="746">
        <f>Elec.Data!K402</f>
        <v>4212</v>
      </c>
      <c r="D1131" s="1274"/>
      <c r="E1131" s="1336"/>
      <c r="F1131" s="1125">
        <f t="shared" si="250"/>
        <v>0</v>
      </c>
      <c r="G1131" s="1373"/>
      <c r="H1131" s="1367">
        <f t="shared" si="252"/>
        <v>0</v>
      </c>
      <c r="I1131" s="1317"/>
      <c r="J1131" s="1317"/>
      <c r="K1131" s="1373"/>
      <c r="L1131" s="1367" t="e">
        <f>#REF!*C1131</f>
        <v>#REF!</v>
      </c>
      <c r="M1131" s="1377"/>
      <c r="N1131" s="1375" t="e">
        <f>#REF!*C1131</f>
        <v>#REF!</v>
      </c>
      <c r="Q1131" s="1376" t="e">
        <f>E1131+G1131+#REF!+#REF!+#REF!</f>
        <v>#REF!</v>
      </c>
      <c r="R1131" s="1322" t="e">
        <f t="shared" si="249"/>
        <v>#REF!</v>
      </c>
    </row>
    <row r="1132" spans="1:18" ht="70.5" customHeight="1">
      <c r="A1132" s="1274"/>
      <c r="B1132" s="1328" t="s">
        <v>3196</v>
      </c>
      <c r="C1132" s="746">
        <f>Elec.Data!K390</f>
        <v>3430</v>
      </c>
      <c r="D1132" s="1274"/>
      <c r="E1132" s="1336"/>
      <c r="F1132" s="1125">
        <f t="shared" si="250"/>
        <v>0</v>
      </c>
      <c r="G1132" s="1373"/>
      <c r="H1132" s="1367">
        <f t="shared" si="252"/>
        <v>0</v>
      </c>
      <c r="I1132" s="1317"/>
      <c r="J1132" s="1317"/>
      <c r="K1132" s="1373"/>
      <c r="L1132" s="1367" t="e">
        <f>#REF!*C1132</f>
        <v>#REF!</v>
      </c>
      <c r="M1132" s="1377"/>
      <c r="N1132" s="1375" t="e">
        <f>#REF!*C1132</f>
        <v>#REF!</v>
      </c>
      <c r="Q1132" s="1376" t="e">
        <f>E1132+G1132+#REF!+#REF!+#REF!</f>
        <v>#REF!</v>
      </c>
      <c r="R1132" s="1322" t="e">
        <f t="shared" si="249"/>
        <v>#REF!</v>
      </c>
    </row>
    <row r="1133" spans="1:18" ht="70.5" customHeight="1">
      <c r="A1133" s="1274"/>
      <c r="B1133" s="1328" t="s">
        <v>3411</v>
      </c>
      <c r="C1133" s="746">
        <f>Elec.Data!K415</f>
        <v>0</v>
      </c>
      <c r="D1133" s="1274"/>
      <c r="E1133" s="1336"/>
      <c r="F1133" s="1125">
        <f t="shared" si="250"/>
        <v>0</v>
      </c>
      <c r="G1133" s="1373"/>
      <c r="H1133" s="1367">
        <f t="shared" si="252"/>
        <v>0</v>
      </c>
      <c r="I1133" s="1317"/>
      <c r="J1133" s="1317"/>
      <c r="K1133" s="1373"/>
      <c r="L1133" s="1367" t="e">
        <f>#REF!*C1133</f>
        <v>#REF!</v>
      </c>
      <c r="M1133" s="1377"/>
      <c r="N1133" s="1375" t="e">
        <f>#REF!*C1133</f>
        <v>#REF!</v>
      </c>
      <c r="Q1133" s="1376" t="e">
        <f>E1133+G1133+#REF!+#REF!+#REF!</f>
        <v>#REF!</v>
      </c>
      <c r="R1133" s="1322" t="e">
        <f t="shared" si="249"/>
        <v>#REF!</v>
      </c>
    </row>
    <row r="1134" spans="1:18" ht="70.5" customHeight="1">
      <c r="A1134" s="1274"/>
      <c r="B1134" s="1328" t="s">
        <v>3430</v>
      </c>
      <c r="C1134" s="746">
        <f>Elec.Data!K433</f>
        <v>0</v>
      </c>
      <c r="D1134" s="1274"/>
      <c r="E1134" s="1336"/>
      <c r="F1134" s="1125">
        <f t="shared" si="250"/>
        <v>0</v>
      </c>
      <c r="G1134" s="1373"/>
      <c r="H1134" s="1367">
        <f t="shared" si="252"/>
        <v>0</v>
      </c>
      <c r="I1134" s="1317"/>
      <c r="J1134" s="1317"/>
      <c r="K1134" s="1373"/>
      <c r="L1134" s="1367" t="e">
        <f>#REF!*C1134</f>
        <v>#REF!</v>
      </c>
      <c r="M1134" s="1377"/>
      <c r="N1134" s="1375" t="e">
        <f>#REF!*C1134</f>
        <v>#REF!</v>
      </c>
      <c r="Q1134" s="1376" t="e">
        <f>E1134+G1134+#REF!+#REF!+#REF!</f>
        <v>#REF!</v>
      </c>
      <c r="R1134" s="1322" t="e">
        <f t="shared" si="249"/>
        <v>#REF!</v>
      </c>
    </row>
    <row r="1135" spans="1:18" ht="70.5" customHeight="1">
      <c r="A1135" s="1274"/>
      <c r="B1135" s="1328" t="s">
        <v>2331</v>
      </c>
      <c r="C1135" s="746">
        <f>Elec.Data!K504</f>
        <v>0</v>
      </c>
      <c r="D1135" s="1274"/>
      <c r="E1135" s="1336"/>
      <c r="F1135" s="1125">
        <f t="shared" si="250"/>
        <v>0</v>
      </c>
      <c r="G1135" s="1373"/>
      <c r="H1135" s="1367">
        <f t="shared" si="252"/>
        <v>0</v>
      </c>
      <c r="I1135" s="1317"/>
      <c r="J1135" s="1317"/>
      <c r="K1135" s="1373"/>
      <c r="L1135" s="1367" t="e">
        <f>#REF!*C1135</f>
        <v>#REF!</v>
      </c>
      <c r="M1135" s="1377"/>
      <c r="N1135" s="1375" t="e">
        <f>#REF!*C1135</f>
        <v>#REF!</v>
      </c>
      <c r="Q1135" s="1376" t="e">
        <f>E1135+G1135+#REF!+#REF!+#REF!</f>
        <v>#REF!</v>
      </c>
      <c r="R1135" s="1322" t="e">
        <f t="shared" si="249"/>
        <v>#REF!</v>
      </c>
    </row>
    <row r="1136" spans="1:18" ht="70.5" customHeight="1">
      <c r="A1136" s="1274"/>
      <c r="B1136" s="1328" t="s">
        <v>2332</v>
      </c>
      <c r="C1136" s="746">
        <f>Elec.Data!K519</f>
        <v>0</v>
      </c>
      <c r="D1136" s="1274"/>
      <c r="E1136" s="1336"/>
      <c r="F1136" s="1125">
        <f t="shared" si="250"/>
        <v>0</v>
      </c>
      <c r="G1136" s="1373"/>
      <c r="H1136" s="1367">
        <f t="shared" si="252"/>
        <v>0</v>
      </c>
      <c r="I1136" s="1317"/>
      <c r="J1136" s="1317"/>
      <c r="K1136" s="1373"/>
      <c r="L1136" s="1367" t="e">
        <f>#REF!*C1136</f>
        <v>#REF!</v>
      </c>
      <c r="M1136" s="1377"/>
      <c r="N1136" s="1375" t="e">
        <f>#REF!*C1136</f>
        <v>#REF!</v>
      </c>
      <c r="Q1136" s="1376" t="e">
        <f>E1136+G1136+#REF!+#REF!+#REF!</f>
        <v>#REF!</v>
      </c>
      <c r="R1136" s="1322" t="e">
        <f t="shared" si="249"/>
        <v>#REF!</v>
      </c>
    </row>
    <row r="1137" spans="1:18" ht="70.5" customHeight="1">
      <c r="A1137" s="1274"/>
      <c r="B1137" s="1328" t="s">
        <v>2333</v>
      </c>
      <c r="C1137" s="746">
        <f>Elec.Data!K537</f>
        <v>0</v>
      </c>
      <c r="D1137" s="1274"/>
      <c r="E1137" s="1336"/>
      <c r="F1137" s="1125">
        <f t="shared" si="250"/>
        <v>0</v>
      </c>
      <c r="G1137" s="1373"/>
      <c r="H1137" s="1367">
        <f t="shared" si="252"/>
        <v>0</v>
      </c>
      <c r="I1137" s="1317"/>
      <c r="J1137" s="1317"/>
      <c r="K1137" s="1373"/>
      <c r="L1137" s="1367" t="e">
        <f>#REF!*C1137</f>
        <v>#REF!</v>
      </c>
      <c r="M1137" s="1377"/>
      <c r="N1137" s="1375" t="e">
        <f>#REF!*C1137</f>
        <v>#REF!</v>
      </c>
      <c r="Q1137" s="1376" t="e">
        <f>E1137+G1137+#REF!+#REF!+#REF!</f>
        <v>#REF!</v>
      </c>
      <c r="R1137" s="1322" t="e">
        <f t="shared" si="249"/>
        <v>#REF!</v>
      </c>
    </row>
    <row r="1138" spans="1:18" ht="70.5" customHeight="1">
      <c r="A1138" s="1274"/>
      <c r="B1138" s="1328" t="s">
        <v>2334</v>
      </c>
      <c r="C1138" s="746">
        <f>Elec.Data!K550</f>
        <v>0</v>
      </c>
      <c r="D1138" s="1274"/>
      <c r="E1138" s="1336"/>
      <c r="F1138" s="1125">
        <f t="shared" si="250"/>
        <v>0</v>
      </c>
      <c r="G1138" s="1373"/>
      <c r="H1138" s="1367">
        <f t="shared" si="252"/>
        <v>0</v>
      </c>
      <c r="I1138" s="1317"/>
      <c r="J1138" s="1317"/>
      <c r="K1138" s="1373"/>
      <c r="L1138" s="1367" t="e">
        <f>#REF!*C1138</f>
        <v>#REF!</v>
      </c>
      <c r="M1138" s="1377"/>
      <c r="N1138" s="1375" t="e">
        <f>#REF!*C1138</f>
        <v>#REF!</v>
      </c>
      <c r="Q1138" s="1376" t="e">
        <f>E1138+G1138+#REF!+#REF!+#REF!</f>
        <v>#REF!</v>
      </c>
      <c r="R1138" s="1322" t="e">
        <f t="shared" si="249"/>
        <v>#REF!</v>
      </c>
    </row>
    <row r="1139" spans="1:18" ht="70.5" customHeight="1">
      <c r="A1139" s="1274"/>
      <c r="B1139" s="1328" t="s">
        <v>2453</v>
      </c>
      <c r="C1139" s="746">
        <f>Elec.Data!K555</f>
        <v>0</v>
      </c>
      <c r="D1139" s="1274"/>
      <c r="E1139" s="1336"/>
      <c r="F1139" s="1125">
        <f t="shared" si="250"/>
        <v>0</v>
      </c>
      <c r="G1139" s="1373"/>
      <c r="H1139" s="1367">
        <f t="shared" si="252"/>
        <v>0</v>
      </c>
      <c r="I1139" s="1317"/>
      <c r="J1139" s="1317"/>
      <c r="K1139" s="1373"/>
      <c r="L1139" s="1367" t="e">
        <f>#REF!*C1139</f>
        <v>#REF!</v>
      </c>
      <c r="M1139" s="1377"/>
      <c r="N1139" s="1375" t="e">
        <f>#REF!*C1139</f>
        <v>#REF!</v>
      </c>
      <c r="Q1139" s="1376" t="e">
        <f>E1139+G1139+#REF!+#REF!+#REF!</f>
        <v>#REF!</v>
      </c>
      <c r="R1139" s="1322" t="e">
        <f t="shared" si="249"/>
        <v>#REF!</v>
      </c>
    </row>
    <row r="1140" spans="1:18" ht="70.5" customHeight="1">
      <c r="A1140" s="1274"/>
      <c r="B1140" s="1328" t="s">
        <v>2441</v>
      </c>
      <c r="C1140" s="746">
        <f>Elec.Data!K560</f>
        <v>0</v>
      </c>
      <c r="D1140" s="1274"/>
      <c r="E1140" s="1336"/>
      <c r="F1140" s="1125">
        <f t="shared" si="250"/>
        <v>0</v>
      </c>
      <c r="G1140" s="1373"/>
      <c r="H1140" s="1367">
        <f t="shared" si="252"/>
        <v>0</v>
      </c>
      <c r="I1140" s="1317"/>
      <c r="J1140" s="1317"/>
      <c r="K1140" s="1373"/>
      <c r="L1140" s="1367" t="e">
        <f>#REF!*C1140</f>
        <v>#REF!</v>
      </c>
      <c r="M1140" s="1377"/>
      <c r="N1140" s="1375" t="e">
        <f>#REF!*C1140</f>
        <v>#REF!</v>
      </c>
      <c r="Q1140" s="1376" t="e">
        <f>E1140+G1140+#REF!+#REF!+#REF!</f>
        <v>#REF!</v>
      </c>
      <c r="R1140" s="1322" t="e">
        <f t="shared" ref="R1140:R1148" si="253">Q1140*C1140</f>
        <v>#REF!</v>
      </c>
    </row>
    <row r="1141" spans="1:18" ht="70.5" customHeight="1">
      <c r="A1141" s="1274"/>
      <c r="B1141" s="1328" t="s">
        <v>4147</v>
      </c>
      <c r="C1141" s="746">
        <f>Elec.Data!K672</f>
        <v>0</v>
      </c>
      <c r="D1141" s="1274"/>
      <c r="E1141" s="1336"/>
      <c r="F1141" s="1125">
        <f t="shared" si="250"/>
        <v>0</v>
      </c>
      <c r="G1141" s="1373"/>
      <c r="H1141" s="1367">
        <f t="shared" si="252"/>
        <v>0</v>
      </c>
      <c r="I1141" s="1317"/>
      <c r="J1141" s="1317"/>
      <c r="K1141" s="1373"/>
      <c r="L1141" s="1367" t="e">
        <f>#REF!*C1141</f>
        <v>#REF!</v>
      </c>
      <c r="M1141" s="1377"/>
      <c r="N1141" s="1375" t="e">
        <f>#REF!*C1141</f>
        <v>#REF!</v>
      </c>
      <c r="Q1141" s="1376" t="e">
        <f>E1141+G1141+#REF!+#REF!+#REF!</f>
        <v>#REF!</v>
      </c>
      <c r="R1141" s="1322" t="e">
        <f t="shared" si="253"/>
        <v>#REF!</v>
      </c>
    </row>
    <row r="1142" spans="1:18" ht="70.5" customHeight="1">
      <c r="A1142" s="1274"/>
      <c r="B1142" s="1328" t="s">
        <v>4148</v>
      </c>
      <c r="C1142" s="746">
        <f>Elec.Data!K710</f>
        <v>0</v>
      </c>
      <c r="D1142" s="1274"/>
      <c r="E1142" s="1336"/>
      <c r="F1142" s="1125">
        <f t="shared" si="250"/>
        <v>0</v>
      </c>
      <c r="G1142" s="1373"/>
      <c r="H1142" s="1367">
        <f t="shared" si="252"/>
        <v>0</v>
      </c>
      <c r="I1142" s="1317"/>
      <c r="J1142" s="1317"/>
      <c r="K1142" s="1373"/>
      <c r="L1142" s="1367" t="e">
        <f>#REF!*C1142</f>
        <v>#REF!</v>
      </c>
      <c r="M1142" s="1377"/>
      <c r="N1142" s="1375" t="e">
        <f>#REF!*C1142</f>
        <v>#REF!</v>
      </c>
      <c r="Q1142" s="1376" t="e">
        <f>E1142+G1142+#REF!+#REF!+#REF!</f>
        <v>#REF!</v>
      </c>
      <c r="R1142" s="1322" t="e">
        <f t="shared" si="253"/>
        <v>#REF!</v>
      </c>
    </row>
    <row r="1143" spans="1:18" ht="70.5" customHeight="1">
      <c r="A1143" s="1274"/>
      <c r="B1143" s="1328" t="s">
        <v>2335</v>
      </c>
      <c r="C1143" s="746">
        <f>Elec.Data!K717</f>
        <v>165</v>
      </c>
      <c r="D1143" s="1274"/>
      <c r="E1143" s="1336"/>
      <c r="F1143" s="1125">
        <f t="shared" si="250"/>
        <v>0</v>
      </c>
      <c r="G1143" s="1373"/>
      <c r="H1143" s="1367">
        <f t="shared" si="252"/>
        <v>0</v>
      </c>
      <c r="I1143" s="1317"/>
      <c r="J1143" s="1317"/>
      <c r="K1143" s="1373"/>
      <c r="L1143" s="1379"/>
      <c r="M1143" s="1377"/>
      <c r="N1143" s="1380"/>
      <c r="Q1143" s="1376" t="e">
        <f>E1143+G1143+#REF!+#REF!+#REF!</f>
        <v>#REF!</v>
      </c>
      <c r="R1143" s="1322" t="e">
        <f t="shared" si="253"/>
        <v>#REF!</v>
      </c>
    </row>
    <row r="1144" spans="1:18" ht="70.5" customHeight="1">
      <c r="A1144" s="1274"/>
      <c r="B1144" s="1328" t="s">
        <v>2348</v>
      </c>
      <c r="C1144" s="746">
        <f>Elec.Data!K738</f>
        <v>0</v>
      </c>
      <c r="D1144" s="1274"/>
      <c r="E1144" s="1336"/>
      <c r="F1144" s="1125">
        <f t="shared" si="250"/>
        <v>0</v>
      </c>
      <c r="G1144" s="1373"/>
      <c r="H1144" s="1367">
        <f t="shared" si="252"/>
        <v>0</v>
      </c>
      <c r="I1144" s="1317"/>
      <c r="J1144" s="1317"/>
      <c r="K1144" s="1373"/>
      <c r="L1144" s="1379"/>
      <c r="M1144" s="1377"/>
      <c r="N1144" s="1380"/>
      <c r="Q1144" s="1376" t="e">
        <f>E1144+G1144+#REF!+#REF!+#REF!</f>
        <v>#REF!</v>
      </c>
      <c r="R1144" s="1322" t="e">
        <f t="shared" si="253"/>
        <v>#REF!</v>
      </c>
    </row>
    <row r="1145" spans="1:18" ht="70.5" customHeight="1">
      <c r="A1145" s="1274"/>
      <c r="B1145" s="1328" t="s">
        <v>3379</v>
      </c>
      <c r="C1145" s="746">
        <f>Elec.Data!K755</f>
        <v>0</v>
      </c>
      <c r="D1145" s="1274"/>
      <c r="E1145" s="1336"/>
      <c r="F1145" s="1125">
        <f t="shared" si="250"/>
        <v>0</v>
      </c>
      <c r="G1145" s="1373"/>
      <c r="H1145" s="1367">
        <f t="shared" si="252"/>
        <v>0</v>
      </c>
      <c r="I1145" s="1317"/>
      <c r="J1145" s="1317"/>
      <c r="K1145" s="1373"/>
      <c r="L1145" s="1379"/>
      <c r="M1145" s="1377"/>
      <c r="N1145" s="1380"/>
      <c r="Q1145" s="1376" t="e">
        <f>E1145+G1145+#REF!+#REF!+#REF!</f>
        <v>#REF!</v>
      </c>
      <c r="R1145" s="1322" t="e">
        <f t="shared" si="253"/>
        <v>#REF!</v>
      </c>
    </row>
    <row r="1146" spans="1:18" ht="70.5" customHeight="1">
      <c r="A1146" s="1274"/>
      <c r="B1146" s="1328" t="s">
        <v>2872</v>
      </c>
      <c r="C1146" s="746">
        <f>Elec.Data!K790</f>
        <v>0</v>
      </c>
      <c r="D1146" s="1274"/>
      <c r="E1146" s="1336"/>
      <c r="F1146" s="1125">
        <f t="shared" ref="F1146:F1177" si="254">E1146*C1146</f>
        <v>0</v>
      </c>
      <c r="G1146" s="1373"/>
      <c r="H1146" s="1367">
        <f t="shared" si="252"/>
        <v>0</v>
      </c>
      <c r="I1146" s="1317"/>
      <c r="J1146" s="1317"/>
      <c r="K1146" s="1373"/>
      <c r="L1146" s="1379"/>
      <c r="M1146" s="1377"/>
      <c r="N1146" s="1380"/>
      <c r="Q1146" s="1376" t="e">
        <f>E1146+G1146+#REF!+#REF!+#REF!</f>
        <v>#REF!</v>
      </c>
      <c r="R1146" s="1322" t="e">
        <f t="shared" si="253"/>
        <v>#REF!</v>
      </c>
    </row>
    <row r="1147" spans="1:18" ht="70.5" customHeight="1">
      <c r="A1147" s="1274"/>
      <c r="B1147" s="1328" t="s">
        <v>3153</v>
      </c>
      <c r="C1147" s="746">
        <f>Elec.Data!K821</f>
        <v>0</v>
      </c>
      <c r="D1147" s="1274"/>
      <c r="E1147" s="1336"/>
      <c r="F1147" s="1125">
        <f t="shared" si="254"/>
        <v>0</v>
      </c>
      <c r="G1147" s="1373"/>
      <c r="H1147" s="1367">
        <f t="shared" si="252"/>
        <v>0</v>
      </c>
      <c r="I1147" s="1317"/>
      <c r="J1147" s="1317"/>
      <c r="K1147" s="1373"/>
      <c r="L1147" s="1379"/>
      <c r="M1147" s="1377"/>
      <c r="N1147" s="1380"/>
      <c r="Q1147" s="1376" t="e">
        <f>E1147+G1147+#REF!+#REF!+#REF!</f>
        <v>#REF!</v>
      </c>
      <c r="R1147" s="1322" t="e">
        <f t="shared" si="253"/>
        <v>#REF!</v>
      </c>
    </row>
    <row r="1148" spans="1:18" ht="70.5" customHeight="1">
      <c r="A1148" s="1274"/>
      <c r="B1148" s="1328" t="s">
        <v>1129</v>
      </c>
      <c r="C1148" s="746">
        <f>Elec.Data!K847</f>
        <v>281.56</v>
      </c>
      <c r="D1148" s="1274"/>
      <c r="E1148" s="1336"/>
      <c r="F1148" s="1125">
        <f t="shared" si="254"/>
        <v>0</v>
      </c>
      <c r="G1148" s="1373"/>
      <c r="H1148" s="1367">
        <f t="shared" si="252"/>
        <v>0</v>
      </c>
      <c r="I1148" s="1317"/>
      <c r="J1148" s="1317"/>
      <c r="K1148" s="1373"/>
      <c r="L1148" s="1379"/>
      <c r="M1148" s="1377"/>
      <c r="N1148" s="1380"/>
      <c r="Q1148" s="1376" t="e">
        <f>E1148+G1148+#REF!+#REF!+#REF!</f>
        <v>#REF!</v>
      </c>
      <c r="R1148" s="1322" t="e">
        <f t="shared" si="253"/>
        <v>#REF!</v>
      </c>
    </row>
    <row r="1149" spans="1:18" s="700" customFormat="1" ht="70.5" hidden="1" customHeight="1">
      <c r="A1149" s="601"/>
      <c r="B1149" s="602" t="s">
        <v>2336</v>
      </c>
      <c r="C1149" s="702">
        <f>Elec.Data!K865</f>
        <v>96.54</v>
      </c>
      <c r="D1149" s="818"/>
      <c r="E1149" s="1276"/>
      <c r="F1149" s="748">
        <f t="shared" si="254"/>
        <v>0</v>
      </c>
      <c r="G1149" s="1205"/>
      <c r="H1149" s="1092">
        <f t="shared" si="252"/>
        <v>0</v>
      </c>
      <c r="I1149" s="1055"/>
      <c r="J1149" s="1055"/>
      <c r="K1149" s="1205"/>
      <c r="L1149" s="1055"/>
      <c r="M1149" s="1206"/>
      <c r="N1149" s="1054"/>
      <c r="O1149" s="1207"/>
      <c r="Q1149" s="1207"/>
    </row>
    <row r="1150" spans="1:18" s="700" customFormat="1" ht="70.5" hidden="1" customHeight="1">
      <c r="A1150" s="601"/>
      <c r="B1150" s="602" t="s">
        <v>2675</v>
      </c>
      <c r="C1150" s="702">
        <f>Elec.Data!K872</f>
        <v>54.47</v>
      </c>
      <c r="D1150" s="818"/>
      <c r="E1150" s="1276"/>
      <c r="F1150" s="748">
        <f t="shared" si="254"/>
        <v>0</v>
      </c>
      <c r="G1150" s="1205"/>
      <c r="H1150" s="1092">
        <f t="shared" si="252"/>
        <v>0</v>
      </c>
      <c r="I1150" s="1055"/>
      <c r="J1150" s="1055"/>
      <c r="K1150" s="1205"/>
      <c r="L1150" s="1055"/>
      <c r="M1150" s="1206"/>
      <c r="N1150" s="1054"/>
      <c r="O1150" s="1207"/>
      <c r="Q1150" s="1207"/>
    </row>
    <row r="1151" spans="1:18" s="700" customFormat="1" ht="70.5" hidden="1" customHeight="1">
      <c r="A1151" s="601"/>
      <c r="B1151" s="602" t="s">
        <v>2337</v>
      </c>
      <c r="C1151" s="702">
        <f>Elec.Data!K897</f>
        <v>7178</v>
      </c>
      <c r="D1151" s="818"/>
      <c r="E1151" s="1276"/>
      <c r="F1151" s="748">
        <f t="shared" si="254"/>
        <v>0</v>
      </c>
      <c r="G1151" s="1205"/>
      <c r="H1151" s="1092">
        <f t="shared" si="252"/>
        <v>0</v>
      </c>
      <c r="I1151" s="1055"/>
      <c r="J1151" s="1055"/>
      <c r="K1151" s="1205"/>
      <c r="L1151" s="1055"/>
      <c r="M1151" s="1206"/>
      <c r="N1151" s="1054"/>
      <c r="O1151" s="1207"/>
      <c r="Q1151" s="1207"/>
    </row>
    <row r="1152" spans="1:18" s="700" customFormat="1" ht="70.5" hidden="1" customHeight="1">
      <c r="A1152" s="601"/>
      <c r="B1152" s="602" t="s">
        <v>2478</v>
      </c>
      <c r="C1152" s="702">
        <f>Elec.Data!K944</f>
        <v>609.29999999999995</v>
      </c>
      <c r="D1152" s="818"/>
      <c r="E1152" s="1276"/>
      <c r="F1152" s="748">
        <f t="shared" si="254"/>
        <v>0</v>
      </c>
      <c r="G1152" s="1205"/>
      <c r="H1152" s="1092">
        <f t="shared" si="252"/>
        <v>0</v>
      </c>
      <c r="I1152" s="1055"/>
      <c r="J1152" s="1055"/>
      <c r="K1152" s="1205"/>
      <c r="L1152" s="1055"/>
      <c r="M1152" s="1206"/>
      <c r="N1152" s="1054"/>
      <c r="O1152" s="1207"/>
      <c r="Q1152" s="1207"/>
    </row>
    <row r="1153" spans="1:17" s="700" customFormat="1" ht="70.5" hidden="1" customHeight="1">
      <c r="A1153" s="601"/>
      <c r="B1153" s="797" t="s">
        <v>4149</v>
      </c>
      <c r="C1153" s="702">
        <f>Elec.Data!K994</f>
        <v>895</v>
      </c>
      <c r="D1153" s="818"/>
      <c r="E1153" s="1276"/>
      <c r="F1153" s="748">
        <f t="shared" si="254"/>
        <v>0</v>
      </c>
      <c r="G1153" s="1205"/>
      <c r="H1153" s="1092">
        <f t="shared" si="252"/>
        <v>0</v>
      </c>
      <c r="I1153" s="1055"/>
      <c r="J1153" s="1055"/>
      <c r="K1153" s="1205"/>
      <c r="L1153" s="1055"/>
      <c r="M1153" s="1206"/>
      <c r="N1153" s="1054"/>
      <c r="O1153" s="1207"/>
      <c r="Q1153" s="1207"/>
    </row>
    <row r="1154" spans="1:17" s="700" customFormat="1" ht="70.5" hidden="1" customHeight="1">
      <c r="A1154" s="601"/>
      <c r="B1154" s="602" t="s">
        <v>4150</v>
      </c>
      <c r="C1154" s="702">
        <f>Elec.Data!K1020</f>
        <v>897</v>
      </c>
      <c r="D1154" s="818"/>
      <c r="E1154" s="1276"/>
      <c r="F1154" s="748">
        <f t="shared" si="254"/>
        <v>0</v>
      </c>
      <c r="G1154" s="1205"/>
      <c r="H1154" s="1092">
        <f t="shared" si="252"/>
        <v>0</v>
      </c>
      <c r="I1154" s="1055"/>
      <c r="J1154" s="1055"/>
      <c r="K1154" s="1205"/>
      <c r="L1154" s="1055"/>
      <c r="M1154" s="1206"/>
      <c r="N1154" s="1054"/>
      <c r="O1154" s="1207"/>
      <c r="Q1154" s="1207"/>
    </row>
    <row r="1155" spans="1:17" s="700" customFormat="1" ht="70.5" hidden="1" customHeight="1">
      <c r="A1155" s="601"/>
      <c r="B1155" s="797" t="s">
        <v>4151</v>
      </c>
      <c r="C1155" s="702">
        <f>Elec.Data!K1036</f>
        <v>935</v>
      </c>
      <c r="D1155" s="818"/>
      <c r="E1155" s="1276"/>
      <c r="F1155" s="748">
        <f t="shared" si="254"/>
        <v>0</v>
      </c>
      <c r="G1155" s="1205"/>
      <c r="H1155" s="1092">
        <f t="shared" si="252"/>
        <v>0</v>
      </c>
      <c r="I1155" s="1055"/>
      <c r="J1155" s="1055"/>
      <c r="K1155" s="1205"/>
      <c r="L1155" s="1055"/>
      <c r="M1155" s="1206"/>
      <c r="N1155" s="1054"/>
      <c r="O1155" s="1207"/>
      <c r="Q1155" s="1207"/>
    </row>
    <row r="1156" spans="1:17" s="700" customFormat="1" ht="70.5" hidden="1" customHeight="1">
      <c r="A1156" s="601"/>
      <c r="B1156" s="797" t="s">
        <v>4152</v>
      </c>
      <c r="C1156" s="702">
        <f>Elec.Data!K1058</f>
        <v>982</v>
      </c>
      <c r="D1156" s="818"/>
      <c r="E1156" s="1276"/>
      <c r="F1156" s="748">
        <f t="shared" si="254"/>
        <v>0</v>
      </c>
      <c r="G1156" s="1205"/>
      <c r="H1156" s="1092">
        <f t="shared" si="252"/>
        <v>0</v>
      </c>
      <c r="I1156" s="1055"/>
      <c r="J1156" s="1055"/>
      <c r="K1156" s="1205"/>
      <c r="L1156" s="1055"/>
      <c r="M1156" s="1206"/>
      <c r="N1156" s="1054"/>
      <c r="O1156" s="1207"/>
      <c r="Q1156" s="1207"/>
    </row>
    <row r="1157" spans="1:17" s="700" customFormat="1" ht="70.5" hidden="1" customHeight="1">
      <c r="A1157" s="601"/>
      <c r="B1157" s="797" t="s">
        <v>4153</v>
      </c>
      <c r="C1157" s="702">
        <f>Elec.Data!K1078</f>
        <v>2127.5</v>
      </c>
      <c r="D1157" s="818"/>
      <c r="E1157" s="1276"/>
      <c r="F1157" s="748">
        <f t="shared" si="254"/>
        <v>0</v>
      </c>
      <c r="G1157" s="1205"/>
      <c r="H1157" s="1092">
        <f t="shared" si="252"/>
        <v>0</v>
      </c>
      <c r="I1157" s="1055"/>
      <c r="J1157" s="1055"/>
      <c r="K1157" s="1205"/>
      <c r="L1157" s="1055"/>
      <c r="M1157" s="1206"/>
      <c r="N1157" s="1054"/>
      <c r="O1157" s="1207"/>
      <c r="Q1157" s="1207"/>
    </row>
    <row r="1158" spans="1:17" s="700" customFormat="1" ht="70.5" hidden="1" customHeight="1">
      <c r="A1158" s="601"/>
      <c r="B1158" s="797" t="s">
        <v>4154</v>
      </c>
      <c r="C1158" s="702">
        <f>Elec.Data!K1097</f>
        <v>690</v>
      </c>
      <c r="D1158" s="818"/>
      <c r="E1158" s="1276"/>
      <c r="F1158" s="748">
        <f t="shared" si="254"/>
        <v>0</v>
      </c>
      <c r="G1158" s="1205"/>
      <c r="H1158" s="1092">
        <f t="shared" si="252"/>
        <v>0</v>
      </c>
      <c r="I1158" s="1055"/>
      <c r="J1158" s="1055"/>
      <c r="K1158" s="1205"/>
      <c r="L1158" s="1055"/>
      <c r="M1158" s="1206"/>
      <c r="N1158" s="1054"/>
      <c r="O1158" s="1207"/>
      <c r="Q1158" s="1207"/>
    </row>
    <row r="1159" spans="1:17" s="700" customFormat="1" ht="70.5" hidden="1" customHeight="1">
      <c r="A1159" s="601"/>
      <c r="B1159" s="797" t="s">
        <v>4155</v>
      </c>
      <c r="C1159" s="702">
        <f>Elec.Data!K1121</f>
        <v>128.19999999999999</v>
      </c>
      <c r="D1159" s="818"/>
      <c r="E1159" s="1276"/>
      <c r="F1159" s="748">
        <f t="shared" si="254"/>
        <v>0</v>
      </c>
      <c r="G1159" s="1205"/>
      <c r="H1159" s="1092">
        <f t="shared" si="252"/>
        <v>0</v>
      </c>
      <c r="I1159" s="1055"/>
      <c r="J1159" s="1055"/>
      <c r="K1159" s="1205"/>
      <c r="L1159" s="1055"/>
      <c r="M1159" s="1206"/>
      <c r="N1159" s="1054"/>
      <c r="O1159" s="1207"/>
      <c r="Q1159" s="1207"/>
    </row>
    <row r="1160" spans="1:17" s="700" customFormat="1" ht="70.5" hidden="1" customHeight="1">
      <c r="A1160" s="601"/>
      <c r="B1160" s="602" t="s">
        <v>4156</v>
      </c>
      <c r="C1160" s="702">
        <f>Elec.Data!K1132</f>
        <v>146.6</v>
      </c>
      <c r="D1160" s="818"/>
      <c r="E1160" s="1276"/>
      <c r="F1160" s="748">
        <f t="shared" si="254"/>
        <v>0</v>
      </c>
      <c r="G1160" s="1205"/>
      <c r="H1160" s="1092">
        <f t="shared" si="252"/>
        <v>0</v>
      </c>
      <c r="I1160" s="1055"/>
      <c r="J1160" s="1055"/>
      <c r="K1160" s="1205"/>
      <c r="L1160" s="1055"/>
      <c r="M1160" s="1206"/>
      <c r="N1160" s="1054"/>
      <c r="O1160" s="1207"/>
      <c r="Q1160" s="1207"/>
    </row>
    <row r="1161" spans="1:17" s="700" customFormat="1" ht="70.5" hidden="1" customHeight="1">
      <c r="A1161" s="601"/>
      <c r="B1161" s="602" t="s">
        <v>2955</v>
      </c>
      <c r="C1161" s="702">
        <f>Data!R384</f>
        <v>24.02</v>
      </c>
      <c r="D1161" s="818"/>
      <c r="E1161" s="1276"/>
      <c r="F1161" s="748">
        <f t="shared" si="254"/>
        <v>0</v>
      </c>
      <c r="G1161" s="1205"/>
      <c r="H1161" s="1092">
        <f t="shared" si="252"/>
        <v>0</v>
      </c>
      <c r="I1161" s="1055"/>
      <c r="J1161" s="1055"/>
      <c r="K1161" s="1205"/>
      <c r="L1161" s="1055"/>
      <c r="M1161" s="1206"/>
      <c r="N1161" s="1054"/>
      <c r="O1161" s="1207"/>
      <c r="Q1161" s="1207"/>
    </row>
    <row r="1162" spans="1:17" s="700" customFormat="1" ht="70.5" hidden="1" customHeight="1">
      <c r="A1162" s="601"/>
      <c r="B1162" s="602" t="s">
        <v>563</v>
      </c>
      <c r="C1162" s="702">
        <f>C1161+C1164</f>
        <v>28.42</v>
      </c>
      <c r="D1162" s="818"/>
      <c r="E1162" s="1276"/>
      <c r="F1162" s="748">
        <f t="shared" si="254"/>
        <v>0</v>
      </c>
      <c r="G1162" s="1205"/>
      <c r="H1162" s="1092">
        <f t="shared" si="252"/>
        <v>0</v>
      </c>
      <c r="I1162" s="1055"/>
      <c r="J1162" s="1055"/>
      <c r="K1162" s="1205"/>
      <c r="L1162" s="1055"/>
      <c r="M1162" s="1206"/>
      <c r="N1162" s="1054"/>
      <c r="O1162" s="1207"/>
      <c r="Q1162" s="1207"/>
    </row>
    <row r="1163" spans="1:17" s="700" customFormat="1" ht="70.5" hidden="1" customHeight="1">
      <c r="A1163" s="601"/>
      <c r="B1163" s="602" t="s">
        <v>2950</v>
      </c>
      <c r="C1163" s="702">
        <f>Data!R398</f>
        <v>34.979999999999997</v>
      </c>
      <c r="D1163" s="818"/>
      <c r="E1163" s="1276"/>
      <c r="F1163" s="748">
        <f t="shared" si="254"/>
        <v>0</v>
      </c>
      <c r="G1163" s="1205"/>
      <c r="H1163" s="1092">
        <f t="shared" si="252"/>
        <v>0</v>
      </c>
      <c r="I1163" s="1055"/>
      <c r="J1163" s="1055"/>
      <c r="K1163" s="1205"/>
      <c r="L1163" s="1055"/>
      <c r="M1163" s="1206"/>
      <c r="N1163" s="1054"/>
      <c r="O1163" s="1207"/>
      <c r="Q1163" s="1207"/>
    </row>
    <row r="1164" spans="1:17" s="700" customFormat="1" ht="70.5" hidden="1" customHeight="1">
      <c r="A1164" s="601"/>
      <c r="B1164" s="602" t="s">
        <v>2956</v>
      </c>
      <c r="C1164" s="702">
        <f>Data!I3172</f>
        <v>4.4000000000000004</v>
      </c>
      <c r="D1164" s="818"/>
      <c r="E1164" s="1276"/>
      <c r="F1164" s="748">
        <f t="shared" si="254"/>
        <v>0</v>
      </c>
      <c r="G1164" s="1205"/>
      <c r="H1164" s="1092">
        <f t="shared" si="252"/>
        <v>0</v>
      </c>
      <c r="I1164" s="1055"/>
      <c r="J1164" s="1055"/>
      <c r="K1164" s="1205"/>
      <c r="L1164" s="1055"/>
      <c r="M1164" s="1206"/>
      <c r="N1164" s="1054"/>
      <c r="O1164" s="1207"/>
      <c r="Q1164" s="1207"/>
    </row>
    <row r="1165" spans="1:17" s="700" customFormat="1" ht="70.5" hidden="1" customHeight="1">
      <c r="A1165" s="601"/>
      <c r="B1165" s="602" t="s">
        <v>2957</v>
      </c>
      <c r="C1165" s="702">
        <f>Data!I3198</f>
        <v>9.52</v>
      </c>
      <c r="D1165" s="818"/>
      <c r="E1165" s="1276"/>
      <c r="F1165" s="748">
        <f t="shared" si="254"/>
        <v>0</v>
      </c>
      <c r="G1165" s="1205"/>
      <c r="H1165" s="1092">
        <f t="shared" si="252"/>
        <v>0</v>
      </c>
      <c r="I1165" s="1055"/>
      <c r="J1165" s="1055"/>
      <c r="K1165" s="1205"/>
      <c r="L1165" s="1055"/>
      <c r="M1165" s="1206"/>
      <c r="N1165" s="1054"/>
      <c r="O1165" s="1207"/>
      <c r="Q1165" s="1207"/>
    </row>
    <row r="1166" spans="1:17" s="700" customFormat="1" ht="70.5" hidden="1" customHeight="1">
      <c r="A1166" s="601"/>
      <c r="B1166" s="602" t="s">
        <v>2958</v>
      </c>
      <c r="C1166" s="702">
        <f>Data!I3212</f>
        <v>10.29</v>
      </c>
      <c r="D1166" s="818"/>
      <c r="E1166" s="1276"/>
      <c r="F1166" s="748">
        <f t="shared" si="254"/>
        <v>0</v>
      </c>
      <c r="G1166" s="1205"/>
      <c r="H1166" s="1092">
        <f t="shared" si="252"/>
        <v>0</v>
      </c>
      <c r="I1166" s="1055"/>
      <c r="J1166" s="1055"/>
      <c r="K1166" s="1205"/>
      <c r="L1166" s="1055"/>
      <c r="M1166" s="1206"/>
      <c r="N1166" s="1054"/>
      <c r="O1166" s="1207"/>
      <c r="Q1166" s="1207"/>
    </row>
    <row r="1167" spans="1:17" s="700" customFormat="1" ht="70.5" hidden="1" customHeight="1">
      <c r="A1167" s="601"/>
      <c r="B1167" s="602" t="s">
        <v>2948</v>
      </c>
      <c r="C1167" s="702">
        <f>Data!K3188</f>
        <v>73.63</v>
      </c>
      <c r="D1167" s="818"/>
      <c r="E1167" s="1276"/>
      <c r="F1167" s="748">
        <f t="shared" si="254"/>
        <v>0</v>
      </c>
      <c r="G1167" s="1205"/>
      <c r="H1167" s="1092">
        <f t="shared" si="252"/>
        <v>0</v>
      </c>
      <c r="I1167" s="1055"/>
      <c r="J1167" s="1055"/>
      <c r="K1167" s="1205"/>
      <c r="L1167" s="1055"/>
      <c r="M1167" s="1206"/>
      <c r="N1167" s="1054"/>
      <c r="O1167" s="1207"/>
      <c r="Q1167" s="1207"/>
    </row>
    <row r="1168" spans="1:17" s="700" customFormat="1" ht="70.5" hidden="1" customHeight="1">
      <c r="A1168" s="601"/>
      <c r="B1168" s="602" t="s">
        <v>2949</v>
      </c>
      <c r="C1168" s="702">
        <f>Data!K3175</f>
        <v>140.86000000000001</v>
      </c>
      <c r="D1168" s="818"/>
      <c r="E1168" s="1276"/>
      <c r="F1168" s="748">
        <f t="shared" si="254"/>
        <v>0</v>
      </c>
      <c r="G1168" s="1205"/>
      <c r="H1168" s="1092">
        <f t="shared" si="252"/>
        <v>0</v>
      </c>
      <c r="I1168" s="1055"/>
      <c r="J1168" s="1055"/>
      <c r="K1168" s="1205"/>
      <c r="L1168" s="1055"/>
      <c r="M1168" s="1206"/>
      <c r="N1168" s="1054"/>
      <c r="O1168" s="1207"/>
      <c r="Q1168" s="1207"/>
    </row>
    <row r="1169" spans="1:17" s="700" customFormat="1" ht="70.5" hidden="1" customHeight="1">
      <c r="A1169" s="601"/>
      <c r="B1169" s="601" t="s">
        <v>2951</v>
      </c>
      <c r="C1169" s="702">
        <f>Data!K3202</f>
        <v>93.28</v>
      </c>
      <c r="D1169" s="818"/>
      <c r="E1169" s="1276"/>
      <c r="F1169" s="748">
        <f t="shared" si="254"/>
        <v>0</v>
      </c>
      <c r="G1169" s="1205"/>
      <c r="H1169" s="1092">
        <f t="shared" si="252"/>
        <v>0</v>
      </c>
      <c r="I1169" s="1055"/>
      <c r="J1169" s="1055"/>
      <c r="K1169" s="1205"/>
      <c r="L1169" s="1055"/>
      <c r="M1169" s="1206"/>
      <c r="N1169" s="1054"/>
      <c r="O1169" s="1207"/>
      <c r="Q1169" s="1207"/>
    </row>
    <row r="1170" spans="1:17" s="700" customFormat="1" ht="70.5" hidden="1" customHeight="1">
      <c r="A1170" s="601"/>
      <c r="B1170" s="601" t="s">
        <v>2953</v>
      </c>
      <c r="C1170" s="702">
        <f>Data!K3247</f>
        <v>144.19999999999999</v>
      </c>
      <c r="D1170" s="818"/>
      <c r="E1170" s="1276"/>
      <c r="F1170" s="748">
        <f t="shared" si="254"/>
        <v>0</v>
      </c>
      <c r="G1170" s="1205"/>
      <c r="H1170" s="1092">
        <f t="shared" si="252"/>
        <v>0</v>
      </c>
      <c r="I1170" s="1055"/>
      <c r="J1170" s="1055"/>
      <c r="K1170" s="1205"/>
      <c r="L1170" s="1055"/>
      <c r="M1170" s="1206"/>
      <c r="N1170" s="1054"/>
      <c r="O1170" s="1207"/>
      <c r="Q1170" s="1207"/>
    </row>
    <row r="1171" spans="1:17" s="700" customFormat="1" ht="70.5" hidden="1" customHeight="1">
      <c r="A1171" s="601"/>
      <c r="B1171" s="601" t="s">
        <v>2952</v>
      </c>
      <c r="C1171" s="702">
        <f>Data!K3216</f>
        <v>100.62</v>
      </c>
      <c r="D1171" s="818"/>
      <c r="E1171" s="1276"/>
      <c r="F1171" s="748">
        <f t="shared" si="254"/>
        <v>0</v>
      </c>
      <c r="G1171" s="1205"/>
      <c r="H1171" s="1092">
        <f t="shared" si="252"/>
        <v>0</v>
      </c>
      <c r="I1171" s="1055"/>
      <c r="J1171" s="1055"/>
      <c r="K1171" s="1205"/>
      <c r="L1171" s="1055"/>
      <c r="M1171" s="1206"/>
      <c r="N1171" s="1054"/>
      <c r="O1171" s="1207"/>
      <c r="Q1171" s="1207"/>
    </row>
    <row r="1172" spans="1:17" s="700" customFormat="1" ht="70.5" hidden="1" customHeight="1">
      <c r="A1172" s="601"/>
      <c r="B1172" s="601" t="s">
        <v>3879</v>
      </c>
      <c r="C1172" s="702">
        <f>Data!K3231</f>
        <v>163.78</v>
      </c>
      <c r="D1172" s="818"/>
      <c r="E1172" s="1276"/>
      <c r="F1172" s="748">
        <f t="shared" si="254"/>
        <v>0</v>
      </c>
      <c r="G1172" s="1205"/>
      <c r="H1172" s="1092">
        <f t="shared" si="252"/>
        <v>0</v>
      </c>
      <c r="I1172" s="1055"/>
      <c r="J1172" s="1055"/>
      <c r="K1172" s="1205"/>
      <c r="L1172" s="1055"/>
      <c r="M1172" s="1206"/>
      <c r="N1172" s="1054"/>
      <c r="O1172" s="1207"/>
      <c r="Q1172" s="1207"/>
    </row>
    <row r="1173" spans="1:17" s="700" customFormat="1" ht="70.5" hidden="1" customHeight="1">
      <c r="A1173" s="601"/>
      <c r="B1173" s="601" t="s">
        <v>2954</v>
      </c>
      <c r="C1173" s="702">
        <f>Data!K3275</f>
        <v>93.1</v>
      </c>
      <c r="D1173" s="818"/>
      <c r="E1173" s="1276"/>
      <c r="F1173" s="748">
        <f t="shared" si="254"/>
        <v>0</v>
      </c>
      <c r="G1173" s="1205"/>
      <c r="H1173" s="1092">
        <f t="shared" si="252"/>
        <v>0</v>
      </c>
      <c r="I1173" s="1055"/>
      <c r="J1173" s="1055"/>
      <c r="K1173" s="1205"/>
      <c r="L1173" s="1055"/>
      <c r="M1173" s="1206"/>
      <c r="N1173" s="1054"/>
      <c r="O1173" s="1207"/>
      <c r="Q1173" s="1207"/>
    </row>
    <row r="1174" spans="1:17" s="700" customFormat="1" ht="70.5" hidden="1" customHeight="1">
      <c r="A1174" s="601"/>
      <c r="B1174" s="601" t="s">
        <v>5276</v>
      </c>
      <c r="C1174" s="702">
        <f>Data!K3358</f>
        <v>170.96</v>
      </c>
      <c r="D1174" s="818"/>
      <c r="E1174" s="1276"/>
      <c r="F1174" s="748">
        <f t="shared" si="254"/>
        <v>0</v>
      </c>
      <c r="G1174" s="1205"/>
      <c r="H1174" s="1092">
        <f t="shared" si="252"/>
        <v>0</v>
      </c>
      <c r="I1174" s="1055"/>
      <c r="J1174" s="1055"/>
      <c r="K1174" s="1205"/>
      <c r="L1174" s="1055"/>
      <c r="M1174" s="1206"/>
      <c r="N1174" s="1054"/>
      <c r="O1174" s="1207"/>
      <c r="Q1174" s="1207"/>
    </row>
    <row r="1175" spans="1:17" s="700" customFormat="1" ht="70.5" hidden="1" customHeight="1">
      <c r="A1175" s="601"/>
      <c r="B1175" s="601" t="s">
        <v>5276</v>
      </c>
      <c r="C1175" s="702">
        <f>Data!K3371</f>
        <v>86.42</v>
      </c>
      <c r="D1175" s="818"/>
      <c r="E1175" s="1276"/>
      <c r="F1175" s="748">
        <f t="shared" si="254"/>
        <v>0</v>
      </c>
      <c r="G1175" s="1205"/>
      <c r="H1175" s="1092">
        <f t="shared" si="252"/>
        <v>0</v>
      </c>
      <c r="I1175" s="1055"/>
      <c r="J1175" s="1055"/>
      <c r="K1175" s="1205"/>
      <c r="L1175" s="1055"/>
      <c r="M1175" s="1206"/>
      <c r="N1175" s="1054"/>
      <c r="O1175" s="1207"/>
      <c r="Q1175" s="1207"/>
    </row>
    <row r="1176" spans="1:17" s="700" customFormat="1" ht="70.5" hidden="1" customHeight="1">
      <c r="A1176" s="819"/>
      <c r="B1176" s="601"/>
      <c r="C1176" s="702"/>
      <c r="D1176" s="818"/>
      <c r="E1176" s="1276"/>
      <c r="F1176" s="748">
        <f t="shared" si="254"/>
        <v>0</v>
      </c>
      <c r="G1176" s="1205"/>
      <c r="H1176" s="1092">
        <f t="shared" si="252"/>
        <v>0</v>
      </c>
      <c r="I1176" s="1055"/>
      <c r="J1176" s="1055"/>
      <c r="K1176" s="1205"/>
      <c r="L1176" s="1055"/>
      <c r="M1176" s="1206"/>
      <c r="N1176" s="1054"/>
      <c r="O1176" s="1207"/>
      <c r="Q1176" s="1207"/>
    </row>
    <row r="1177" spans="1:17" s="700" customFormat="1" ht="70.5" hidden="1" customHeight="1">
      <c r="A1177" s="819"/>
      <c r="B1177" s="601"/>
      <c r="C1177" s="702"/>
      <c r="D1177" s="818"/>
      <c r="E1177" s="1276"/>
      <c r="F1177" s="748">
        <f t="shared" si="254"/>
        <v>0</v>
      </c>
      <c r="G1177" s="1205"/>
      <c r="H1177" s="1092">
        <f t="shared" si="252"/>
        <v>0</v>
      </c>
      <c r="I1177" s="1055"/>
      <c r="J1177" s="1055"/>
      <c r="K1177" s="1205"/>
      <c r="L1177" s="1055"/>
      <c r="M1177" s="1206"/>
      <c r="N1177" s="1054"/>
      <c r="O1177" s="1207"/>
      <c r="Q1177" s="1207"/>
    </row>
    <row r="1178" spans="1:17" s="700" customFormat="1" ht="70.5" hidden="1" customHeight="1">
      <c r="A1178" s="819"/>
      <c r="B1178" s="601" t="s">
        <v>5277</v>
      </c>
      <c r="C1178" s="702"/>
      <c r="D1178" s="818"/>
      <c r="E1178" s="1276"/>
      <c r="F1178" s="748">
        <f t="shared" ref="F1178:F1209" si="255">E1178*C1178</f>
        <v>0</v>
      </c>
      <c r="G1178" s="1205"/>
      <c r="H1178" s="1092">
        <f t="shared" si="252"/>
        <v>0</v>
      </c>
      <c r="I1178" s="1055"/>
      <c r="J1178" s="1055"/>
      <c r="K1178" s="1205"/>
      <c r="L1178" s="1055"/>
      <c r="M1178" s="1206"/>
      <c r="N1178" s="1054"/>
      <c r="O1178" s="1207"/>
      <c r="Q1178" s="1207"/>
    </row>
    <row r="1179" spans="1:17" s="700" customFormat="1" ht="70.5" hidden="1" customHeight="1">
      <c r="A1179" s="819"/>
      <c r="B1179" s="601"/>
      <c r="C1179" s="702"/>
      <c r="D1179" s="818"/>
      <c r="E1179" s="1276"/>
      <c r="F1179" s="748">
        <f t="shared" si="255"/>
        <v>0</v>
      </c>
      <c r="G1179" s="1205"/>
      <c r="H1179" s="1092">
        <f t="shared" si="252"/>
        <v>0</v>
      </c>
      <c r="I1179" s="1055"/>
      <c r="J1179" s="1055"/>
      <c r="K1179" s="1205"/>
      <c r="L1179" s="1055"/>
      <c r="M1179" s="1206"/>
      <c r="N1179" s="1054"/>
      <c r="O1179" s="1207"/>
      <c r="Q1179" s="1207"/>
    </row>
    <row r="1180" spans="1:17" s="700" customFormat="1" ht="70.5" hidden="1" customHeight="1">
      <c r="A1180" s="819"/>
      <c r="B1180" s="601"/>
      <c r="C1180" s="702"/>
      <c r="D1180" s="818"/>
      <c r="E1180" s="1276"/>
      <c r="F1180" s="748">
        <f t="shared" si="255"/>
        <v>0</v>
      </c>
      <c r="G1180" s="1205"/>
      <c r="H1180" s="1092">
        <f t="shared" si="252"/>
        <v>0</v>
      </c>
      <c r="I1180" s="1055"/>
      <c r="J1180" s="1055"/>
      <c r="K1180" s="1205"/>
      <c r="L1180" s="1055"/>
      <c r="M1180" s="1206"/>
      <c r="N1180" s="1054"/>
      <c r="O1180" s="1207"/>
      <c r="Q1180" s="1207"/>
    </row>
    <row r="1181" spans="1:17" s="700" customFormat="1" ht="70.5" hidden="1" customHeight="1">
      <c r="A1181" s="819"/>
      <c r="B1181" s="601"/>
      <c r="C1181" s="702"/>
      <c r="D1181" s="818"/>
      <c r="E1181" s="1276"/>
      <c r="F1181" s="748">
        <f t="shared" si="255"/>
        <v>0</v>
      </c>
      <c r="G1181" s="1205"/>
      <c r="H1181" s="1092">
        <f t="shared" si="252"/>
        <v>0</v>
      </c>
      <c r="I1181" s="1055"/>
      <c r="J1181" s="1055"/>
      <c r="K1181" s="1205"/>
      <c r="L1181" s="1055"/>
      <c r="M1181" s="1206"/>
      <c r="N1181" s="1054"/>
      <c r="O1181" s="1207"/>
      <c r="Q1181" s="1207"/>
    </row>
    <row r="1182" spans="1:17" s="700" customFormat="1" ht="70.5" hidden="1" customHeight="1">
      <c r="A1182" s="819"/>
      <c r="B1182" s="601"/>
      <c r="C1182" s="702"/>
      <c r="D1182" s="818"/>
      <c r="E1182" s="1276"/>
      <c r="F1182" s="748">
        <f t="shared" si="255"/>
        <v>0</v>
      </c>
      <c r="G1182" s="1205"/>
      <c r="H1182" s="1092">
        <f t="shared" si="252"/>
        <v>0</v>
      </c>
      <c r="I1182" s="1055"/>
      <c r="J1182" s="1055"/>
      <c r="K1182" s="1205"/>
      <c r="L1182" s="1055"/>
      <c r="M1182" s="1206"/>
      <c r="N1182" s="1054"/>
      <c r="O1182" s="1207"/>
      <c r="Q1182" s="1207"/>
    </row>
    <row r="1183" spans="1:17" s="700" customFormat="1" ht="70.5" hidden="1" customHeight="1">
      <c r="A1183" s="819"/>
      <c r="B1183" s="601"/>
      <c r="C1183" s="702"/>
      <c r="D1183" s="818"/>
      <c r="E1183" s="1276"/>
      <c r="F1183" s="748">
        <f t="shared" si="255"/>
        <v>0</v>
      </c>
      <c r="G1183" s="1205"/>
      <c r="H1183" s="1092">
        <f t="shared" si="252"/>
        <v>0</v>
      </c>
      <c r="I1183" s="1055"/>
      <c r="J1183" s="1055"/>
      <c r="K1183" s="1205"/>
      <c r="L1183" s="1055"/>
      <c r="M1183" s="1206"/>
      <c r="N1183" s="1054"/>
      <c r="O1183" s="1207"/>
      <c r="Q1183" s="1207"/>
    </row>
    <row r="1184" spans="1:17" s="700" customFormat="1" ht="70.5" hidden="1" customHeight="1">
      <c r="A1184" s="601"/>
      <c r="B1184" s="601"/>
      <c r="C1184" s="702"/>
      <c r="D1184" s="818"/>
      <c r="E1184" s="1276"/>
      <c r="F1184" s="748">
        <f t="shared" si="255"/>
        <v>0</v>
      </c>
      <c r="G1184" s="1205"/>
      <c r="H1184" s="1092">
        <f t="shared" si="252"/>
        <v>0</v>
      </c>
      <c r="I1184" s="1055"/>
      <c r="J1184" s="1055"/>
      <c r="K1184" s="1205"/>
      <c r="L1184" s="1055"/>
      <c r="M1184" s="1206"/>
      <c r="N1184" s="1054"/>
      <c r="O1184" s="1207"/>
      <c r="Q1184" s="1207"/>
    </row>
    <row r="1185" spans="1:17" s="700" customFormat="1" ht="70.5" hidden="1" customHeight="1">
      <c r="A1185" s="601"/>
      <c r="B1185" s="601"/>
      <c r="C1185" s="702"/>
      <c r="D1185" s="818"/>
      <c r="E1185" s="1276"/>
      <c r="F1185" s="748">
        <f t="shared" si="255"/>
        <v>0</v>
      </c>
      <c r="G1185" s="1205"/>
      <c r="H1185" s="1092">
        <f t="shared" si="252"/>
        <v>0</v>
      </c>
      <c r="I1185" s="1055"/>
      <c r="J1185" s="1055"/>
      <c r="K1185" s="1205"/>
      <c r="L1185" s="1055"/>
      <c r="M1185" s="1206"/>
      <c r="N1185" s="1054"/>
      <c r="O1185" s="1207"/>
      <c r="Q1185" s="1207"/>
    </row>
    <row r="1186" spans="1:17" s="700" customFormat="1" ht="70.5" hidden="1" customHeight="1">
      <c r="A1186" s="601"/>
      <c r="B1186" s="601"/>
      <c r="C1186" s="702"/>
      <c r="D1186" s="818"/>
      <c r="E1186" s="1276"/>
      <c r="F1186" s="748">
        <f t="shared" si="255"/>
        <v>0</v>
      </c>
      <c r="G1186" s="1205"/>
      <c r="H1186" s="1092">
        <f t="shared" si="252"/>
        <v>0</v>
      </c>
      <c r="I1186" s="1055"/>
      <c r="J1186" s="1055"/>
      <c r="K1186" s="1205"/>
      <c r="L1186" s="1055"/>
      <c r="M1186" s="1206"/>
      <c r="N1186" s="1054"/>
      <c r="O1186" s="1207"/>
      <c r="Q1186" s="1207"/>
    </row>
    <row r="1187" spans="1:17" s="700" customFormat="1" ht="70.5" hidden="1" customHeight="1">
      <c r="A1187" s="601"/>
      <c r="B1187" s="601"/>
      <c r="C1187" s="702"/>
      <c r="D1187" s="818"/>
      <c r="E1187" s="1276"/>
      <c r="F1187" s="748">
        <f t="shared" si="255"/>
        <v>0</v>
      </c>
      <c r="G1187" s="1205"/>
      <c r="H1187" s="1092">
        <f t="shared" si="252"/>
        <v>0</v>
      </c>
      <c r="I1187" s="1055"/>
      <c r="J1187" s="1055"/>
      <c r="K1187" s="1205"/>
      <c r="L1187" s="1055"/>
      <c r="M1187" s="1206"/>
      <c r="N1187" s="1054"/>
      <c r="O1187" s="1207"/>
      <c r="Q1187" s="1207"/>
    </row>
    <row r="1188" spans="1:17" s="700" customFormat="1" ht="70.5" hidden="1" customHeight="1">
      <c r="A1188" s="601"/>
      <c r="B1188" s="601"/>
      <c r="C1188" s="702"/>
      <c r="D1188" s="818"/>
      <c r="E1188" s="1276"/>
      <c r="F1188" s="748">
        <f t="shared" si="255"/>
        <v>0</v>
      </c>
      <c r="G1188" s="1205"/>
      <c r="H1188" s="1092">
        <f t="shared" si="252"/>
        <v>0</v>
      </c>
      <c r="I1188" s="1055"/>
      <c r="J1188" s="1055"/>
      <c r="K1188" s="1205"/>
      <c r="L1188" s="1055"/>
      <c r="M1188" s="1206"/>
      <c r="N1188" s="1054"/>
      <c r="O1188" s="1207"/>
      <c r="Q1188" s="1207"/>
    </row>
    <row r="1189" spans="1:17" s="700" customFormat="1" ht="70.5" hidden="1" customHeight="1">
      <c r="A1189" s="601"/>
      <c r="B1189" s="601"/>
      <c r="C1189" s="702"/>
      <c r="D1189" s="818"/>
      <c r="E1189" s="1276"/>
      <c r="F1189" s="748">
        <f t="shared" si="255"/>
        <v>0</v>
      </c>
      <c r="G1189" s="1205"/>
      <c r="H1189" s="1092">
        <f t="shared" si="252"/>
        <v>0</v>
      </c>
      <c r="I1189" s="1055"/>
      <c r="J1189" s="1055"/>
      <c r="K1189" s="1205"/>
      <c r="L1189" s="1055"/>
      <c r="M1189" s="1206"/>
      <c r="N1189" s="1054"/>
      <c r="O1189" s="1207"/>
      <c r="Q1189" s="1207"/>
    </row>
    <row r="1190" spans="1:17" s="700" customFormat="1" ht="70.5" hidden="1" customHeight="1">
      <c r="A1190" s="601"/>
      <c r="B1190" s="601"/>
      <c r="C1190" s="702"/>
      <c r="D1190" s="818"/>
      <c r="E1190" s="1276"/>
      <c r="F1190" s="748">
        <f t="shared" si="255"/>
        <v>0</v>
      </c>
      <c r="G1190" s="1205"/>
      <c r="H1190" s="1092">
        <f t="shared" si="252"/>
        <v>0</v>
      </c>
      <c r="I1190" s="1055"/>
      <c r="J1190" s="1055"/>
      <c r="K1190" s="1205"/>
      <c r="L1190" s="1055"/>
      <c r="M1190" s="1206"/>
      <c r="N1190" s="1054"/>
      <c r="O1190" s="1207"/>
      <c r="Q1190" s="1207"/>
    </row>
    <row r="1191" spans="1:17" s="700" customFormat="1" ht="70.5" hidden="1" customHeight="1">
      <c r="A1191" s="601"/>
      <c r="B1191" s="601"/>
      <c r="C1191" s="702"/>
      <c r="D1191" s="818"/>
      <c r="E1191" s="1276"/>
      <c r="F1191" s="748">
        <f t="shared" si="255"/>
        <v>0</v>
      </c>
      <c r="G1191" s="1205"/>
      <c r="H1191" s="1092">
        <f t="shared" si="252"/>
        <v>0</v>
      </c>
      <c r="I1191" s="1055"/>
      <c r="J1191" s="1055"/>
      <c r="K1191" s="1205"/>
      <c r="L1191" s="1055"/>
      <c r="M1191" s="1206"/>
      <c r="N1191" s="1054"/>
      <c r="O1191" s="1207"/>
      <c r="Q1191" s="1207"/>
    </row>
    <row r="1192" spans="1:17" s="700" customFormat="1" ht="70.5" hidden="1" customHeight="1">
      <c r="A1192" s="601"/>
      <c r="B1192" s="601"/>
      <c r="C1192" s="702"/>
      <c r="D1192" s="818"/>
      <c r="E1192" s="1276"/>
      <c r="F1192" s="748">
        <f t="shared" si="255"/>
        <v>0</v>
      </c>
      <c r="G1192" s="1205"/>
      <c r="H1192" s="1092">
        <f t="shared" ref="H1192:H1253" si="256">G1192*C1192</f>
        <v>0</v>
      </c>
      <c r="I1192" s="1055"/>
      <c r="J1192" s="1055"/>
      <c r="K1192" s="1205"/>
      <c r="L1192" s="1055"/>
      <c r="M1192" s="1206"/>
      <c r="N1192" s="1054"/>
      <c r="O1192" s="1207"/>
      <c r="Q1192" s="1207"/>
    </row>
    <row r="1193" spans="1:17" s="700" customFormat="1" ht="70.5" hidden="1" customHeight="1">
      <c r="A1193" s="601"/>
      <c r="B1193" s="601"/>
      <c r="C1193" s="702"/>
      <c r="D1193" s="818"/>
      <c r="E1193" s="1276"/>
      <c r="F1193" s="748">
        <f t="shared" si="255"/>
        <v>0</v>
      </c>
      <c r="G1193" s="1205"/>
      <c r="H1193" s="1092">
        <f t="shared" si="256"/>
        <v>0</v>
      </c>
      <c r="I1193" s="1055"/>
      <c r="J1193" s="1055"/>
      <c r="K1193" s="1205"/>
      <c r="L1193" s="1055"/>
      <c r="M1193" s="1206"/>
      <c r="N1193" s="1054"/>
      <c r="O1193" s="1207"/>
      <c r="Q1193" s="1207"/>
    </row>
    <row r="1194" spans="1:17" s="700" customFormat="1" ht="70.5" hidden="1" customHeight="1">
      <c r="A1194" s="601"/>
      <c r="B1194" s="601"/>
      <c r="C1194" s="702"/>
      <c r="D1194" s="818"/>
      <c r="E1194" s="1276"/>
      <c r="F1194" s="748">
        <f t="shared" si="255"/>
        <v>0</v>
      </c>
      <c r="G1194" s="1205"/>
      <c r="H1194" s="1092">
        <f t="shared" si="256"/>
        <v>0</v>
      </c>
      <c r="I1194" s="1055"/>
      <c r="J1194" s="1055"/>
      <c r="K1194" s="1205"/>
      <c r="L1194" s="1055"/>
      <c r="M1194" s="1206"/>
      <c r="N1194" s="1054"/>
      <c r="O1194" s="1207"/>
      <c r="Q1194" s="1207"/>
    </row>
    <row r="1195" spans="1:17" s="700" customFormat="1" ht="70.5" hidden="1" customHeight="1">
      <c r="A1195" s="601"/>
      <c r="B1195" s="601"/>
      <c r="C1195" s="702"/>
      <c r="D1195" s="818"/>
      <c r="E1195" s="1276"/>
      <c r="F1195" s="748">
        <f t="shared" si="255"/>
        <v>0</v>
      </c>
      <c r="G1195" s="1205"/>
      <c r="H1195" s="1092">
        <f t="shared" si="256"/>
        <v>0</v>
      </c>
      <c r="I1195" s="1055"/>
      <c r="J1195" s="1055"/>
      <c r="K1195" s="1205"/>
      <c r="L1195" s="1055"/>
      <c r="M1195" s="1206"/>
      <c r="N1195" s="1054"/>
      <c r="O1195" s="1207"/>
      <c r="Q1195" s="1207"/>
    </row>
    <row r="1196" spans="1:17" s="700" customFormat="1" ht="70.5" hidden="1" customHeight="1">
      <c r="A1196" s="601"/>
      <c r="B1196" s="601"/>
      <c r="C1196" s="601"/>
      <c r="D1196" s="601"/>
      <c r="E1196" s="1276"/>
      <c r="F1196" s="748">
        <f t="shared" si="255"/>
        <v>0</v>
      </c>
      <c r="G1196" s="1205"/>
      <c r="H1196" s="1092">
        <f t="shared" si="256"/>
        <v>0</v>
      </c>
      <c r="I1196" s="1055"/>
      <c r="J1196" s="1055"/>
      <c r="K1196" s="1205"/>
      <c r="L1196" s="1055"/>
      <c r="M1196" s="1206"/>
      <c r="N1196" s="1054"/>
      <c r="O1196" s="1207"/>
      <c r="Q1196" s="1207"/>
    </row>
    <row r="1197" spans="1:17" s="700" customFormat="1" ht="70.5" hidden="1" customHeight="1">
      <c r="A1197" s="601"/>
      <c r="B1197" s="601"/>
      <c r="C1197" s="601"/>
      <c r="D1197" s="601"/>
      <c r="E1197" s="1276"/>
      <c r="F1197" s="748">
        <f t="shared" si="255"/>
        <v>0</v>
      </c>
      <c r="G1197" s="1205"/>
      <c r="H1197" s="1092">
        <f t="shared" si="256"/>
        <v>0</v>
      </c>
      <c r="I1197" s="1055"/>
      <c r="J1197" s="1055"/>
      <c r="K1197" s="1205"/>
      <c r="L1197" s="1055"/>
      <c r="M1197" s="1206"/>
      <c r="N1197" s="1054"/>
      <c r="O1197" s="1207"/>
      <c r="Q1197" s="1207"/>
    </row>
    <row r="1198" spans="1:17" s="700" customFormat="1" ht="70.5" hidden="1" customHeight="1">
      <c r="A1198" s="601"/>
      <c r="B1198" s="601"/>
      <c r="C1198" s="601"/>
      <c r="D1198" s="601"/>
      <c r="E1198" s="1276"/>
      <c r="F1198" s="748">
        <f t="shared" si="255"/>
        <v>0</v>
      </c>
      <c r="G1198" s="1205"/>
      <c r="H1198" s="1092">
        <f t="shared" si="256"/>
        <v>0</v>
      </c>
      <c r="I1198" s="1055"/>
      <c r="J1198" s="1055"/>
      <c r="K1198" s="1205"/>
      <c r="L1198" s="1055"/>
      <c r="M1198" s="1206"/>
      <c r="N1198" s="1054"/>
      <c r="O1198" s="1207"/>
      <c r="Q1198" s="1207"/>
    </row>
    <row r="1199" spans="1:17" s="700" customFormat="1" ht="70.5" hidden="1" customHeight="1">
      <c r="A1199" s="601"/>
      <c r="B1199" s="601"/>
      <c r="C1199" s="601"/>
      <c r="D1199" s="601"/>
      <c r="E1199" s="1276"/>
      <c r="F1199" s="748">
        <f t="shared" si="255"/>
        <v>0</v>
      </c>
      <c r="G1199" s="1205"/>
      <c r="H1199" s="1092">
        <f t="shared" si="256"/>
        <v>0</v>
      </c>
      <c r="I1199" s="1055"/>
      <c r="J1199" s="1055"/>
      <c r="K1199" s="1205"/>
      <c r="L1199" s="1055"/>
      <c r="M1199" s="1206"/>
      <c r="N1199" s="1054"/>
      <c r="O1199" s="1207"/>
      <c r="Q1199" s="1207"/>
    </row>
    <row r="1200" spans="1:17" s="700" customFormat="1" ht="70.5" hidden="1" customHeight="1">
      <c r="A1200" s="601"/>
      <c r="B1200" s="601"/>
      <c r="C1200" s="601"/>
      <c r="D1200" s="601"/>
      <c r="E1200" s="1276"/>
      <c r="F1200" s="748">
        <f t="shared" si="255"/>
        <v>0</v>
      </c>
      <c r="G1200" s="1205"/>
      <c r="H1200" s="1092">
        <f t="shared" si="256"/>
        <v>0</v>
      </c>
      <c r="I1200" s="1055"/>
      <c r="J1200" s="1055"/>
      <c r="K1200" s="1205"/>
      <c r="L1200" s="1055"/>
      <c r="M1200" s="1206"/>
      <c r="N1200" s="1054"/>
      <c r="O1200" s="1207"/>
      <c r="Q1200" s="1207"/>
    </row>
    <row r="1201" spans="1:17" s="700" customFormat="1" ht="70.5" hidden="1" customHeight="1">
      <c r="A1201" s="601"/>
      <c r="B1201" s="601"/>
      <c r="C1201" s="601"/>
      <c r="D1201" s="601"/>
      <c r="E1201" s="1276">
        <v>0</v>
      </c>
      <c r="F1201" s="748">
        <f t="shared" si="255"/>
        <v>0</v>
      </c>
      <c r="G1201" s="1205"/>
      <c r="H1201" s="1092">
        <f t="shared" si="256"/>
        <v>0</v>
      </c>
      <c r="I1201" s="1055"/>
      <c r="J1201" s="1055"/>
      <c r="K1201" s="1205"/>
      <c r="L1201" s="1055"/>
      <c r="M1201" s="1206"/>
      <c r="N1201" s="1054"/>
      <c r="O1201" s="1207"/>
      <c r="Q1201" s="1207"/>
    </row>
    <row r="1202" spans="1:17" s="700" customFormat="1" ht="70.5" hidden="1" customHeight="1">
      <c r="A1202" s="601"/>
      <c r="B1202" s="601"/>
      <c r="C1202" s="601"/>
      <c r="D1202" s="601"/>
      <c r="E1202" s="1276">
        <v>0</v>
      </c>
      <c r="F1202" s="748">
        <f t="shared" si="255"/>
        <v>0</v>
      </c>
      <c r="G1202" s="1205"/>
      <c r="H1202" s="1092">
        <f t="shared" si="256"/>
        <v>0</v>
      </c>
      <c r="I1202" s="1055"/>
      <c r="J1202" s="1055"/>
      <c r="K1202" s="1205"/>
      <c r="L1202" s="1055"/>
      <c r="M1202" s="1206"/>
      <c r="N1202" s="1054"/>
      <c r="O1202" s="1207"/>
      <c r="Q1202" s="1207"/>
    </row>
    <row r="1203" spans="1:17" s="700" customFormat="1" ht="70.5" hidden="1" customHeight="1">
      <c r="A1203" s="601"/>
      <c r="B1203" s="601"/>
      <c r="C1203" s="601"/>
      <c r="D1203" s="601"/>
      <c r="E1203" s="1276">
        <v>0</v>
      </c>
      <c r="F1203" s="748">
        <f t="shared" si="255"/>
        <v>0</v>
      </c>
      <c r="G1203" s="1205"/>
      <c r="H1203" s="1092">
        <f t="shared" si="256"/>
        <v>0</v>
      </c>
      <c r="I1203" s="1055"/>
      <c r="J1203" s="1055"/>
      <c r="K1203" s="1205"/>
      <c r="L1203" s="1055"/>
      <c r="M1203" s="1206"/>
      <c r="N1203" s="1054"/>
      <c r="O1203" s="1207"/>
      <c r="Q1203" s="1207"/>
    </row>
    <row r="1204" spans="1:17" s="700" customFormat="1" ht="70.5" hidden="1" customHeight="1">
      <c r="A1204" s="601"/>
      <c r="B1204" s="601"/>
      <c r="C1204" s="601"/>
      <c r="D1204" s="601"/>
      <c r="E1204" s="1276">
        <v>0</v>
      </c>
      <c r="F1204" s="748">
        <f t="shared" si="255"/>
        <v>0</v>
      </c>
      <c r="G1204" s="1205"/>
      <c r="H1204" s="1092">
        <f t="shared" si="256"/>
        <v>0</v>
      </c>
      <c r="I1204" s="1055"/>
      <c r="J1204" s="1055"/>
      <c r="K1204" s="1205"/>
      <c r="L1204" s="1055"/>
      <c r="M1204" s="1206"/>
      <c r="N1204" s="1054"/>
      <c r="O1204" s="1207"/>
      <c r="Q1204" s="1207"/>
    </row>
    <row r="1205" spans="1:17" s="700" customFormat="1" ht="70.5" hidden="1" customHeight="1">
      <c r="E1205" s="1276">
        <v>0</v>
      </c>
      <c r="F1205" s="748">
        <f t="shared" si="255"/>
        <v>0</v>
      </c>
      <c r="G1205" s="1205"/>
      <c r="H1205" s="1092">
        <f t="shared" si="256"/>
        <v>0</v>
      </c>
      <c r="I1205" s="1055"/>
      <c r="J1205" s="1055"/>
      <c r="K1205" s="1205"/>
      <c r="L1205" s="1055"/>
      <c r="M1205" s="1206"/>
      <c r="N1205" s="1054"/>
      <c r="O1205" s="1207"/>
      <c r="Q1205" s="1207"/>
    </row>
    <row r="1206" spans="1:17" s="700" customFormat="1" ht="70.5" hidden="1" customHeight="1">
      <c r="E1206" s="1276">
        <v>0</v>
      </c>
      <c r="F1206" s="748">
        <f t="shared" si="255"/>
        <v>0</v>
      </c>
      <c r="G1206" s="1205"/>
      <c r="H1206" s="1092">
        <f t="shared" si="256"/>
        <v>0</v>
      </c>
      <c r="I1206" s="1055"/>
      <c r="J1206" s="1055"/>
      <c r="K1206" s="1205"/>
      <c r="L1206" s="1055"/>
      <c r="M1206" s="1206"/>
      <c r="N1206" s="1054"/>
      <c r="O1206" s="1207"/>
      <c r="Q1206" s="1207"/>
    </row>
    <row r="1207" spans="1:17" s="700" customFormat="1" ht="70.5" hidden="1" customHeight="1">
      <c r="E1207" s="1276">
        <v>0</v>
      </c>
      <c r="F1207" s="748">
        <f t="shared" si="255"/>
        <v>0</v>
      </c>
      <c r="G1207" s="1205"/>
      <c r="H1207" s="1092">
        <f t="shared" si="256"/>
        <v>0</v>
      </c>
      <c r="I1207" s="1055"/>
      <c r="J1207" s="1055"/>
      <c r="K1207" s="1205"/>
      <c r="L1207" s="1055"/>
      <c r="M1207" s="1206"/>
      <c r="N1207" s="1054"/>
      <c r="O1207" s="1207"/>
      <c r="Q1207" s="1207"/>
    </row>
    <row r="1208" spans="1:17" s="700" customFormat="1" ht="70.5" hidden="1" customHeight="1">
      <c r="E1208" s="1276">
        <v>0</v>
      </c>
      <c r="F1208" s="748">
        <f t="shared" si="255"/>
        <v>0</v>
      </c>
      <c r="G1208" s="1205"/>
      <c r="H1208" s="1092">
        <f t="shared" si="256"/>
        <v>0</v>
      </c>
      <c r="I1208" s="1055"/>
      <c r="J1208" s="1055"/>
      <c r="K1208" s="1205"/>
      <c r="L1208" s="1055"/>
      <c r="M1208" s="1206"/>
      <c r="N1208" s="1054"/>
      <c r="O1208" s="1207"/>
      <c r="Q1208" s="1207"/>
    </row>
    <row r="1209" spans="1:17" s="700" customFormat="1" ht="70.5" hidden="1" customHeight="1">
      <c r="E1209" s="1276">
        <v>0</v>
      </c>
      <c r="F1209" s="748">
        <f t="shared" si="255"/>
        <v>0</v>
      </c>
      <c r="G1209" s="1205"/>
      <c r="H1209" s="1092">
        <f t="shared" si="256"/>
        <v>0</v>
      </c>
      <c r="I1209" s="1055"/>
      <c r="J1209" s="1055"/>
      <c r="K1209" s="1205"/>
      <c r="L1209" s="1055"/>
      <c r="M1209" s="1206"/>
      <c r="N1209" s="1054"/>
      <c r="O1209" s="1207"/>
      <c r="Q1209" s="1207"/>
    </row>
    <row r="1210" spans="1:17" s="700" customFormat="1" ht="70.5" hidden="1" customHeight="1">
      <c r="E1210" s="1276">
        <v>0</v>
      </c>
      <c r="F1210" s="748">
        <f t="shared" ref="F1210:F1213" si="257">E1210*C1210</f>
        <v>0</v>
      </c>
      <c r="G1210" s="1205"/>
      <c r="H1210" s="1092">
        <f t="shared" si="256"/>
        <v>0</v>
      </c>
      <c r="I1210" s="1055"/>
      <c r="J1210" s="1055"/>
      <c r="K1210" s="1205"/>
      <c r="L1210" s="1055"/>
      <c r="M1210" s="1206"/>
      <c r="N1210" s="1054"/>
      <c r="O1210" s="1207"/>
      <c r="Q1210" s="1207"/>
    </row>
    <row r="1211" spans="1:17" s="700" customFormat="1" ht="70.5" hidden="1" customHeight="1">
      <c r="E1211" s="1276">
        <v>0</v>
      </c>
      <c r="F1211" s="748">
        <f t="shared" si="257"/>
        <v>0</v>
      </c>
      <c r="G1211" s="1205"/>
      <c r="H1211" s="1092">
        <f t="shared" si="256"/>
        <v>0</v>
      </c>
      <c r="I1211" s="1055"/>
      <c r="J1211" s="1055"/>
      <c r="K1211" s="1205"/>
      <c r="L1211" s="1055"/>
      <c r="M1211" s="1206"/>
      <c r="N1211" s="1054"/>
      <c r="O1211" s="1207"/>
      <c r="Q1211" s="1207"/>
    </row>
    <row r="1212" spans="1:17" s="700" customFormat="1" ht="70.5" hidden="1" customHeight="1">
      <c r="E1212" s="1276">
        <v>0</v>
      </c>
      <c r="F1212" s="748">
        <f t="shared" si="257"/>
        <v>0</v>
      </c>
      <c r="G1212" s="1205"/>
      <c r="H1212" s="1092">
        <f t="shared" si="256"/>
        <v>0</v>
      </c>
      <c r="I1212" s="1055"/>
      <c r="J1212" s="1055"/>
      <c r="K1212" s="1205"/>
      <c r="L1212" s="1055"/>
      <c r="M1212" s="1206"/>
      <c r="N1212" s="1054"/>
      <c r="O1212" s="1207"/>
      <c r="Q1212" s="1207"/>
    </row>
    <row r="1213" spans="1:17" s="700" customFormat="1" ht="70.5" hidden="1" customHeight="1">
      <c r="E1213" s="1276">
        <v>0</v>
      </c>
      <c r="F1213" s="748">
        <f t="shared" si="257"/>
        <v>0</v>
      </c>
      <c r="G1213" s="1205"/>
      <c r="H1213" s="1092">
        <f t="shared" si="256"/>
        <v>0</v>
      </c>
      <c r="I1213" s="1055"/>
      <c r="J1213" s="1055"/>
      <c r="K1213" s="1205"/>
      <c r="L1213" s="1055"/>
      <c r="M1213" s="1206"/>
      <c r="N1213" s="1054"/>
      <c r="O1213" s="1207"/>
      <c r="Q1213" s="1207"/>
    </row>
    <row r="1214" spans="1:17" s="700" customFormat="1" ht="70.5" hidden="1" customHeight="1">
      <c r="E1214" s="1276">
        <v>0</v>
      </c>
      <c r="F1214" s="748" t="e">
        <f>#REF!+#REF!</f>
        <v>#REF!</v>
      </c>
      <c r="G1214" s="1205"/>
      <c r="H1214" s="1092">
        <f t="shared" si="256"/>
        <v>0</v>
      </c>
      <c r="I1214" s="1055"/>
      <c r="J1214" s="1055"/>
      <c r="K1214" s="1205"/>
      <c r="L1214" s="1055"/>
      <c r="M1214" s="1206"/>
      <c r="N1214" s="1054"/>
      <c r="O1214" s="1207"/>
      <c r="Q1214" s="1207"/>
    </row>
    <row r="1215" spans="1:17" s="700" customFormat="1" ht="70.5" hidden="1" customHeight="1">
      <c r="C1215" s="701"/>
      <c r="D1215" s="811"/>
      <c r="E1215" s="1276">
        <v>0</v>
      </c>
      <c r="F1215" s="748" t="e">
        <f>F1075-F1214</f>
        <v>#REF!</v>
      </c>
      <c r="G1215" s="1205"/>
      <c r="H1215" s="1092">
        <f t="shared" si="256"/>
        <v>0</v>
      </c>
      <c r="I1215" s="1055"/>
      <c r="J1215" s="1055"/>
      <c r="K1215" s="1205"/>
      <c r="L1215" s="1055"/>
      <c r="M1215" s="1206"/>
      <c r="N1215" s="1054"/>
      <c r="O1215" s="1207"/>
      <c r="Q1215" s="1207"/>
    </row>
    <row r="1216" spans="1:17" s="700" customFormat="1" ht="70.5" hidden="1" customHeight="1">
      <c r="C1216" s="701"/>
      <c r="D1216" s="811"/>
      <c r="E1216" s="1276">
        <v>0</v>
      </c>
      <c r="F1216" s="748">
        <f t="shared" ref="F1216:F1279" si="258">E1216*C1216</f>
        <v>0</v>
      </c>
      <c r="G1216" s="1205"/>
      <c r="H1216" s="1092">
        <f t="shared" si="256"/>
        <v>0</v>
      </c>
      <c r="I1216" s="1055"/>
      <c r="J1216" s="1055"/>
      <c r="K1216" s="1205"/>
      <c r="L1216" s="1055"/>
      <c r="M1216" s="1206"/>
      <c r="N1216" s="1054"/>
      <c r="O1216" s="1207"/>
      <c r="Q1216" s="1207"/>
    </row>
    <row r="1217" spans="3:17" s="700" customFormat="1" ht="70.5" hidden="1" customHeight="1">
      <c r="C1217" s="701"/>
      <c r="D1217" s="811"/>
      <c r="E1217" s="1276">
        <v>0</v>
      </c>
      <c r="F1217" s="748">
        <f t="shared" si="258"/>
        <v>0</v>
      </c>
      <c r="G1217" s="1205"/>
      <c r="H1217" s="1092">
        <f t="shared" si="256"/>
        <v>0</v>
      </c>
      <c r="I1217" s="1055"/>
      <c r="J1217" s="1055"/>
      <c r="K1217" s="1205"/>
      <c r="L1217" s="1055"/>
      <c r="M1217" s="1206"/>
      <c r="N1217" s="1054"/>
      <c r="O1217" s="1207"/>
      <c r="Q1217" s="1207"/>
    </row>
    <row r="1218" spans="3:17" s="700" customFormat="1" ht="70.5" hidden="1" customHeight="1">
      <c r="C1218" s="701"/>
      <c r="D1218" s="811"/>
      <c r="E1218" s="1276">
        <v>0</v>
      </c>
      <c r="F1218" s="748">
        <f t="shared" si="258"/>
        <v>0</v>
      </c>
      <c r="G1218" s="1205"/>
      <c r="H1218" s="1092">
        <f t="shared" si="256"/>
        <v>0</v>
      </c>
      <c r="I1218" s="1055"/>
      <c r="J1218" s="1055"/>
      <c r="K1218" s="1205"/>
      <c r="L1218" s="1055"/>
      <c r="M1218" s="1206"/>
      <c r="N1218" s="1054"/>
      <c r="O1218" s="1207"/>
      <c r="Q1218" s="1207"/>
    </row>
    <row r="1219" spans="3:17" s="700" customFormat="1" ht="70.5" hidden="1" customHeight="1">
      <c r="C1219" s="701"/>
      <c r="D1219" s="811"/>
      <c r="E1219" s="1276">
        <v>0</v>
      </c>
      <c r="F1219" s="748">
        <f t="shared" si="258"/>
        <v>0</v>
      </c>
      <c r="G1219" s="1205"/>
      <c r="H1219" s="1092">
        <f t="shared" si="256"/>
        <v>0</v>
      </c>
      <c r="I1219" s="1055"/>
      <c r="J1219" s="1055"/>
      <c r="K1219" s="1205"/>
      <c r="L1219" s="1055"/>
      <c r="M1219" s="1206"/>
      <c r="N1219" s="1054"/>
      <c r="O1219" s="1207"/>
      <c r="Q1219" s="1207"/>
    </row>
    <row r="1220" spans="3:17" s="700" customFormat="1" ht="70.5" hidden="1" customHeight="1">
      <c r="C1220" s="701"/>
      <c r="D1220" s="811"/>
      <c r="E1220" s="1276">
        <v>0</v>
      </c>
      <c r="F1220" s="748">
        <f t="shared" si="258"/>
        <v>0</v>
      </c>
      <c r="G1220" s="1205"/>
      <c r="H1220" s="1092">
        <f t="shared" si="256"/>
        <v>0</v>
      </c>
      <c r="I1220" s="1055"/>
      <c r="J1220" s="1055"/>
      <c r="K1220" s="1205"/>
      <c r="L1220" s="1055"/>
      <c r="M1220" s="1206"/>
      <c r="N1220" s="1054"/>
      <c r="O1220" s="1207"/>
      <c r="Q1220" s="1207"/>
    </row>
    <row r="1221" spans="3:17" s="700" customFormat="1" ht="70.5" hidden="1" customHeight="1">
      <c r="C1221" s="701"/>
      <c r="D1221" s="811"/>
      <c r="E1221" s="1276">
        <v>0</v>
      </c>
      <c r="F1221" s="748">
        <f t="shared" si="258"/>
        <v>0</v>
      </c>
      <c r="G1221" s="1205"/>
      <c r="H1221" s="1092">
        <f t="shared" si="256"/>
        <v>0</v>
      </c>
      <c r="I1221" s="1055"/>
      <c r="J1221" s="1055"/>
      <c r="K1221" s="1205"/>
      <c r="L1221" s="1055"/>
      <c r="M1221" s="1206"/>
      <c r="N1221" s="1054"/>
      <c r="O1221" s="1207"/>
      <c r="Q1221" s="1207"/>
    </row>
    <row r="1222" spans="3:17" s="700" customFormat="1" ht="70.5" hidden="1" customHeight="1">
      <c r="C1222" s="701"/>
      <c r="D1222" s="811"/>
      <c r="E1222" s="1276">
        <v>0</v>
      </c>
      <c r="F1222" s="748">
        <f t="shared" si="258"/>
        <v>0</v>
      </c>
      <c r="G1222" s="1205"/>
      <c r="H1222" s="1092">
        <f t="shared" si="256"/>
        <v>0</v>
      </c>
      <c r="I1222" s="1055"/>
      <c r="J1222" s="1055"/>
      <c r="K1222" s="1205"/>
      <c r="L1222" s="1055"/>
      <c r="M1222" s="1206"/>
      <c r="N1222" s="1054"/>
      <c r="O1222" s="1207"/>
      <c r="Q1222" s="1207"/>
    </row>
    <row r="1223" spans="3:17" s="700" customFormat="1" ht="70.5" hidden="1" customHeight="1">
      <c r="C1223" s="701"/>
      <c r="D1223" s="811"/>
      <c r="E1223" s="1276">
        <v>0</v>
      </c>
      <c r="F1223" s="748">
        <f t="shared" si="258"/>
        <v>0</v>
      </c>
      <c r="G1223" s="1205"/>
      <c r="H1223" s="1092">
        <f t="shared" si="256"/>
        <v>0</v>
      </c>
      <c r="I1223" s="1055"/>
      <c r="J1223" s="1055"/>
      <c r="K1223" s="1205"/>
      <c r="L1223" s="1055"/>
      <c r="M1223" s="1205"/>
      <c r="N1223" s="1054"/>
      <c r="O1223" s="1207"/>
      <c r="Q1223" s="1207"/>
    </row>
    <row r="1224" spans="3:17" s="700" customFormat="1" ht="70.5" hidden="1" customHeight="1">
      <c r="C1224" s="701"/>
      <c r="D1224" s="811"/>
      <c r="E1224" s="1276">
        <v>0</v>
      </c>
      <c r="F1224" s="748">
        <f t="shared" si="258"/>
        <v>0</v>
      </c>
      <c r="G1224" s="1205"/>
      <c r="H1224" s="1092">
        <f t="shared" si="256"/>
        <v>0</v>
      </c>
      <c r="I1224" s="1055"/>
      <c r="J1224" s="1055"/>
      <c r="K1224" s="1205"/>
      <c r="L1224" s="1055"/>
      <c r="M1224" s="1205"/>
      <c r="N1224" s="1054"/>
      <c r="O1224" s="1207"/>
      <c r="Q1224" s="1207"/>
    </row>
    <row r="1225" spans="3:17" s="700" customFormat="1" ht="70.5" hidden="1" customHeight="1">
      <c r="C1225" s="701"/>
      <c r="D1225" s="811"/>
      <c r="E1225" s="1276">
        <v>0</v>
      </c>
      <c r="F1225" s="748">
        <f t="shared" si="258"/>
        <v>0</v>
      </c>
      <c r="G1225" s="1205"/>
      <c r="H1225" s="1092">
        <f t="shared" si="256"/>
        <v>0</v>
      </c>
      <c r="I1225" s="1055"/>
      <c r="J1225" s="1055"/>
      <c r="K1225" s="1205"/>
      <c r="L1225" s="1055"/>
      <c r="M1225" s="1205"/>
      <c r="N1225" s="1054"/>
      <c r="O1225" s="1207"/>
      <c r="Q1225" s="1207"/>
    </row>
    <row r="1226" spans="3:17" s="700" customFormat="1" ht="70.5" hidden="1" customHeight="1">
      <c r="C1226" s="701"/>
      <c r="D1226" s="811"/>
      <c r="E1226" s="1276">
        <v>0</v>
      </c>
      <c r="F1226" s="748">
        <f t="shared" si="258"/>
        <v>0</v>
      </c>
      <c r="G1226" s="1205"/>
      <c r="H1226" s="1092">
        <f t="shared" si="256"/>
        <v>0</v>
      </c>
      <c r="I1226" s="1055"/>
      <c r="J1226" s="1055"/>
      <c r="K1226" s="1205"/>
      <c r="L1226" s="1055"/>
      <c r="M1226" s="1205"/>
      <c r="N1226" s="1054"/>
      <c r="O1226" s="1207"/>
      <c r="Q1226" s="1207"/>
    </row>
    <row r="1227" spans="3:17" s="700" customFormat="1" ht="70.5" hidden="1" customHeight="1">
      <c r="C1227" s="701"/>
      <c r="D1227" s="811"/>
      <c r="E1227" s="1276">
        <v>0</v>
      </c>
      <c r="F1227" s="748">
        <f t="shared" si="258"/>
        <v>0</v>
      </c>
      <c r="G1227" s="1205"/>
      <c r="H1227" s="1092">
        <f t="shared" si="256"/>
        <v>0</v>
      </c>
      <c r="I1227" s="1055"/>
      <c r="J1227" s="1055"/>
      <c r="K1227" s="1205"/>
      <c r="L1227" s="1055"/>
      <c r="M1227" s="1205"/>
      <c r="N1227" s="1054"/>
      <c r="O1227" s="1207"/>
      <c r="Q1227" s="1207"/>
    </row>
    <row r="1228" spans="3:17" s="700" customFormat="1" ht="70.5" hidden="1" customHeight="1">
      <c r="C1228" s="701"/>
      <c r="D1228" s="811"/>
      <c r="E1228" s="1276">
        <v>0</v>
      </c>
      <c r="F1228" s="748">
        <f t="shared" si="258"/>
        <v>0</v>
      </c>
      <c r="G1228" s="1205"/>
      <c r="H1228" s="1092">
        <f t="shared" si="256"/>
        <v>0</v>
      </c>
      <c r="I1228" s="1055"/>
      <c r="J1228" s="1055"/>
      <c r="K1228" s="1205"/>
      <c r="L1228" s="1055"/>
      <c r="M1228" s="1205"/>
      <c r="N1228" s="1054"/>
      <c r="O1228" s="1207"/>
      <c r="Q1228" s="1207"/>
    </row>
    <row r="1229" spans="3:17" s="700" customFormat="1" ht="70.5" hidden="1" customHeight="1">
      <c r="C1229" s="701"/>
      <c r="D1229" s="811"/>
      <c r="E1229" s="1276">
        <v>0</v>
      </c>
      <c r="F1229" s="748">
        <f t="shared" si="258"/>
        <v>0</v>
      </c>
      <c r="G1229" s="1205"/>
      <c r="H1229" s="1092">
        <f t="shared" si="256"/>
        <v>0</v>
      </c>
      <c r="I1229" s="1055"/>
      <c r="J1229" s="1055"/>
      <c r="K1229" s="1205"/>
      <c r="L1229" s="1055"/>
      <c r="M1229" s="1205"/>
      <c r="N1229" s="1054"/>
      <c r="O1229" s="1207"/>
      <c r="Q1229" s="1207"/>
    </row>
    <row r="1230" spans="3:17" s="700" customFormat="1" ht="70.5" hidden="1" customHeight="1">
      <c r="C1230" s="701"/>
      <c r="D1230" s="811"/>
      <c r="E1230" s="1276">
        <v>0</v>
      </c>
      <c r="F1230" s="748">
        <f t="shared" si="258"/>
        <v>0</v>
      </c>
      <c r="G1230" s="1205"/>
      <c r="H1230" s="1092">
        <f t="shared" si="256"/>
        <v>0</v>
      </c>
      <c r="I1230" s="1055"/>
      <c r="J1230" s="1055"/>
      <c r="K1230" s="1205"/>
      <c r="L1230" s="1055"/>
      <c r="M1230" s="1205"/>
      <c r="N1230" s="1054"/>
      <c r="O1230" s="1207"/>
      <c r="Q1230" s="1207"/>
    </row>
    <row r="1231" spans="3:17" s="700" customFormat="1" ht="70.5" hidden="1" customHeight="1">
      <c r="C1231" s="701"/>
      <c r="D1231" s="811"/>
      <c r="E1231" s="1276">
        <v>0</v>
      </c>
      <c r="F1231" s="748">
        <f t="shared" si="258"/>
        <v>0</v>
      </c>
      <c r="G1231" s="1205"/>
      <c r="H1231" s="1092">
        <f t="shared" si="256"/>
        <v>0</v>
      </c>
      <c r="I1231" s="1055"/>
      <c r="J1231" s="1055"/>
      <c r="K1231" s="1205"/>
      <c r="L1231" s="1055"/>
      <c r="M1231" s="1205"/>
      <c r="N1231" s="1054">
        <f>[8]building!C1590</f>
        <v>0</v>
      </c>
      <c r="O1231" s="1207"/>
      <c r="Q1231" s="1207"/>
    </row>
    <row r="1232" spans="3:17" s="700" customFormat="1" ht="70.5" hidden="1" customHeight="1">
      <c r="C1232" s="701"/>
      <c r="D1232" s="811"/>
      <c r="E1232" s="1276">
        <v>0</v>
      </c>
      <c r="F1232" s="748">
        <f t="shared" si="258"/>
        <v>0</v>
      </c>
      <c r="G1232" s="1205"/>
      <c r="H1232" s="1092">
        <f t="shared" si="256"/>
        <v>0</v>
      </c>
      <c r="I1232" s="1055"/>
      <c r="J1232" s="1055"/>
      <c r="K1232" s="1205"/>
      <c r="L1232" s="1055"/>
      <c r="M1232" s="1205"/>
      <c r="N1232" s="1054">
        <f>[8]building!C1591</f>
        <v>0</v>
      </c>
      <c r="O1232" s="1207"/>
      <c r="Q1232" s="1207"/>
    </row>
    <row r="1233" spans="3:17" s="700" customFormat="1" ht="70.5" hidden="1" customHeight="1">
      <c r="C1233" s="701"/>
      <c r="D1233" s="811"/>
      <c r="E1233" s="1276">
        <v>0</v>
      </c>
      <c r="F1233" s="748">
        <f t="shared" si="258"/>
        <v>0</v>
      </c>
      <c r="G1233" s="1205"/>
      <c r="H1233" s="1092">
        <f t="shared" si="256"/>
        <v>0</v>
      </c>
      <c r="I1233" s="1055"/>
      <c r="J1233" s="1055"/>
      <c r="K1233" s="1205"/>
      <c r="L1233" s="1055"/>
      <c r="M1233" s="1205"/>
      <c r="N1233" s="1054">
        <f>[8]building!C1592</f>
        <v>0</v>
      </c>
      <c r="O1233" s="1207"/>
      <c r="Q1233" s="1207"/>
    </row>
    <row r="1234" spans="3:17" s="700" customFormat="1" ht="70.5" hidden="1" customHeight="1">
      <c r="C1234" s="701"/>
      <c r="D1234" s="811"/>
      <c r="E1234" s="1276">
        <v>0</v>
      </c>
      <c r="F1234" s="748">
        <f t="shared" si="258"/>
        <v>0</v>
      </c>
      <c r="G1234" s="1205"/>
      <c r="H1234" s="1092">
        <f t="shared" si="256"/>
        <v>0</v>
      </c>
      <c r="I1234" s="1055"/>
      <c r="J1234" s="1055"/>
      <c r="K1234" s="1205"/>
      <c r="L1234" s="1055"/>
      <c r="M1234" s="1205"/>
      <c r="N1234" s="1054">
        <f>[8]building!C1593</f>
        <v>0</v>
      </c>
      <c r="O1234" s="1207"/>
      <c r="Q1234" s="1207"/>
    </row>
    <row r="1235" spans="3:17" s="700" customFormat="1" ht="70.5" hidden="1" customHeight="1">
      <c r="C1235" s="701"/>
      <c r="D1235" s="811"/>
      <c r="E1235" s="1276">
        <v>0</v>
      </c>
      <c r="F1235" s="748">
        <f t="shared" si="258"/>
        <v>0</v>
      </c>
      <c r="G1235" s="1205"/>
      <c r="H1235" s="1092">
        <f t="shared" si="256"/>
        <v>0</v>
      </c>
      <c r="I1235" s="1055"/>
      <c r="J1235" s="1055"/>
      <c r="K1235" s="1205"/>
      <c r="L1235" s="1055"/>
      <c r="M1235" s="1205"/>
      <c r="N1235" s="1054">
        <f>[8]building!C1594</f>
        <v>0</v>
      </c>
      <c r="O1235" s="1207"/>
      <c r="Q1235" s="1207"/>
    </row>
    <row r="1236" spans="3:17" s="700" customFormat="1" ht="70.5" hidden="1" customHeight="1">
      <c r="C1236" s="701"/>
      <c r="D1236" s="811"/>
      <c r="E1236" s="1276">
        <v>0</v>
      </c>
      <c r="F1236" s="748">
        <f t="shared" si="258"/>
        <v>0</v>
      </c>
      <c r="G1236" s="1205"/>
      <c r="H1236" s="1092">
        <f t="shared" si="256"/>
        <v>0</v>
      </c>
      <c r="I1236" s="1055"/>
      <c r="J1236" s="1055"/>
      <c r="K1236" s="1205"/>
      <c r="L1236" s="1055"/>
      <c r="M1236" s="1205"/>
      <c r="N1236" s="1054">
        <f>[8]building!C1595</f>
        <v>0</v>
      </c>
      <c r="O1236" s="1207"/>
      <c r="Q1236" s="1207"/>
    </row>
    <row r="1237" spans="3:17" s="700" customFormat="1" ht="70.5" hidden="1" customHeight="1">
      <c r="C1237" s="701"/>
      <c r="D1237" s="811"/>
      <c r="E1237" s="1276">
        <v>0</v>
      </c>
      <c r="F1237" s="748">
        <f t="shared" si="258"/>
        <v>0</v>
      </c>
      <c r="G1237" s="1205"/>
      <c r="H1237" s="1092">
        <f t="shared" si="256"/>
        <v>0</v>
      </c>
      <c r="I1237" s="1055"/>
      <c r="J1237" s="1055"/>
      <c r="K1237" s="1205"/>
      <c r="L1237" s="1055"/>
      <c r="M1237" s="1205"/>
      <c r="N1237" s="1054">
        <f>[8]building!C1596</f>
        <v>0</v>
      </c>
      <c r="O1237" s="1207"/>
      <c r="Q1237" s="1207"/>
    </row>
    <row r="1238" spans="3:17" s="700" customFormat="1" ht="70.5" hidden="1" customHeight="1">
      <c r="C1238" s="701"/>
      <c r="D1238" s="811"/>
      <c r="E1238" s="1276">
        <v>0</v>
      </c>
      <c r="F1238" s="748">
        <f t="shared" si="258"/>
        <v>0</v>
      </c>
      <c r="G1238" s="1205"/>
      <c r="H1238" s="1092">
        <f t="shared" si="256"/>
        <v>0</v>
      </c>
      <c r="I1238" s="1055"/>
      <c r="J1238" s="1055"/>
      <c r="K1238" s="1205"/>
      <c r="L1238" s="1055"/>
      <c r="M1238" s="1205"/>
      <c r="N1238" s="1054">
        <f>[8]building!C1597</f>
        <v>0</v>
      </c>
      <c r="O1238" s="1207"/>
      <c r="Q1238" s="1207"/>
    </row>
    <row r="1239" spans="3:17" s="700" customFormat="1" ht="70.5" hidden="1" customHeight="1">
      <c r="C1239" s="701"/>
      <c r="D1239" s="811"/>
      <c r="E1239" s="1276">
        <v>0</v>
      </c>
      <c r="F1239" s="748">
        <f t="shared" si="258"/>
        <v>0</v>
      </c>
      <c r="G1239" s="1205"/>
      <c r="H1239" s="1092">
        <f t="shared" si="256"/>
        <v>0</v>
      </c>
      <c r="I1239" s="1055"/>
      <c r="J1239" s="1055"/>
      <c r="K1239" s="1205"/>
      <c r="L1239" s="1055"/>
      <c r="M1239" s="1205"/>
      <c r="N1239" s="1054">
        <f>[8]building!C1598</f>
        <v>0</v>
      </c>
      <c r="O1239" s="1207"/>
      <c r="Q1239" s="1207"/>
    </row>
    <row r="1240" spans="3:17" s="700" customFormat="1" ht="70.5" hidden="1" customHeight="1">
      <c r="C1240" s="701"/>
      <c r="D1240" s="811"/>
      <c r="E1240" s="1276">
        <v>0</v>
      </c>
      <c r="F1240" s="748">
        <f t="shared" si="258"/>
        <v>0</v>
      </c>
      <c r="G1240" s="1205"/>
      <c r="H1240" s="1092">
        <f t="shared" si="256"/>
        <v>0</v>
      </c>
      <c r="I1240" s="1055"/>
      <c r="J1240" s="1055"/>
      <c r="K1240" s="1205"/>
      <c r="L1240" s="1055"/>
      <c r="M1240" s="1205"/>
      <c r="N1240" s="1054">
        <f>[8]building!C1599</f>
        <v>0</v>
      </c>
      <c r="O1240" s="1207"/>
      <c r="Q1240" s="1207"/>
    </row>
    <row r="1241" spans="3:17" s="700" customFormat="1" ht="70.5" hidden="1" customHeight="1">
      <c r="C1241" s="701"/>
      <c r="D1241" s="811"/>
      <c r="E1241" s="1276">
        <v>0</v>
      </c>
      <c r="F1241" s="748">
        <f t="shared" si="258"/>
        <v>0</v>
      </c>
      <c r="G1241" s="1205"/>
      <c r="H1241" s="1092">
        <f t="shared" si="256"/>
        <v>0</v>
      </c>
      <c r="I1241" s="1055"/>
      <c r="J1241" s="1055"/>
      <c r="K1241" s="1205"/>
      <c r="L1241" s="1055"/>
      <c r="M1241" s="1205"/>
      <c r="N1241" s="1054">
        <f>[8]building!C1600</f>
        <v>0</v>
      </c>
      <c r="O1241" s="1207"/>
      <c r="Q1241" s="1207"/>
    </row>
    <row r="1242" spans="3:17" s="700" customFormat="1" ht="70.5" hidden="1" customHeight="1">
      <c r="C1242" s="701"/>
      <c r="D1242" s="811"/>
      <c r="E1242" s="1276">
        <v>0</v>
      </c>
      <c r="F1242" s="748">
        <f t="shared" si="258"/>
        <v>0</v>
      </c>
      <c r="G1242" s="1205"/>
      <c r="H1242" s="1092">
        <f t="shared" si="256"/>
        <v>0</v>
      </c>
      <c r="I1242" s="1055"/>
      <c r="J1242" s="1055"/>
      <c r="K1242" s="1205"/>
      <c r="L1242" s="1055"/>
      <c r="M1242" s="1205"/>
      <c r="N1242" s="1054">
        <f>[8]building!C1601</f>
        <v>0</v>
      </c>
      <c r="O1242" s="1207"/>
      <c r="Q1242" s="1207"/>
    </row>
    <row r="1243" spans="3:17" s="700" customFormat="1" ht="70.5" hidden="1" customHeight="1">
      <c r="C1243" s="701"/>
      <c r="D1243" s="811"/>
      <c r="E1243" s="1276">
        <v>0</v>
      </c>
      <c r="F1243" s="748">
        <f t="shared" si="258"/>
        <v>0</v>
      </c>
      <c r="G1243" s="1205"/>
      <c r="H1243" s="1092">
        <f t="shared" si="256"/>
        <v>0</v>
      </c>
      <c r="I1243" s="1055"/>
      <c r="J1243" s="1055"/>
      <c r="K1243" s="1205"/>
      <c r="L1243" s="1055"/>
      <c r="M1243" s="1205"/>
      <c r="N1243" s="1054">
        <f>[8]building!C1602</f>
        <v>0</v>
      </c>
      <c r="O1243" s="1207"/>
      <c r="Q1243" s="1207"/>
    </row>
    <row r="1244" spans="3:17" s="700" customFormat="1" ht="70.5" hidden="1" customHeight="1">
      <c r="C1244" s="701"/>
      <c r="D1244" s="811"/>
      <c r="E1244" s="1276">
        <v>0</v>
      </c>
      <c r="F1244" s="748">
        <f t="shared" si="258"/>
        <v>0</v>
      </c>
      <c r="G1244" s="1205"/>
      <c r="H1244" s="1092">
        <f t="shared" si="256"/>
        <v>0</v>
      </c>
      <c r="I1244" s="1055"/>
      <c r="J1244" s="1055"/>
      <c r="K1244" s="1205"/>
      <c r="L1244" s="1055"/>
      <c r="M1244" s="1205"/>
      <c r="N1244" s="1054">
        <f>[8]building!C1603</f>
        <v>0</v>
      </c>
      <c r="O1244" s="1207"/>
      <c r="Q1244" s="1207"/>
    </row>
    <row r="1245" spans="3:17" s="700" customFormat="1" ht="70.5" hidden="1" customHeight="1">
      <c r="C1245" s="701"/>
      <c r="D1245" s="811"/>
      <c r="E1245" s="1276">
        <v>0</v>
      </c>
      <c r="F1245" s="748">
        <f t="shared" si="258"/>
        <v>0</v>
      </c>
      <c r="G1245" s="1205"/>
      <c r="H1245" s="1092">
        <f t="shared" si="256"/>
        <v>0</v>
      </c>
      <c r="I1245" s="1055"/>
      <c r="J1245" s="1055"/>
      <c r="K1245" s="1205"/>
      <c r="L1245" s="1055"/>
      <c r="M1245" s="1205"/>
      <c r="N1245" s="1054">
        <f>[8]building!C1604</f>
        <v>0</v>
      </c>
      <c r="O1245" s="1207"/>
      <c r="Q1245" s="1207"/>
    </row>
    <row r="1246" spans="3:17" s="700" customFormat="1" ht="70.5" hidden="1" customHeight="1">
      <c r="C1246" s="701"/>
      <c r="D1246" s="811"/>
      <c r="E1246" s="1276">
        <v>0</v>
      </c>
      <c r="F1246" s="748">
        <f t="shared" si="258"/>
        <v>0</v>
      </c>
      <c r="G1246" s="1205"/>
      <c r="H1246" s="1092">
        <f t="shared" si="256"/>
        <v>0</v>
      </c>
      <c r="I1246" s="1055"/>
      <c r="J1246" s="1055"/>
      <c r="K1246" s="1205"/>
      <c r="L1246" s="1055"/>
      <c r="M1246" s="1205"/>
      <c r="N1246" s="1054">
        <f>[8]building!C1605</f>
        <v>0</v>
      </c>
      <c r="O1246" s="1207"/>
      <c r="Q1246" s="1207"/>
    </row>
    <row r="1247" spans="3:17" s="700" customFormat="1" ht="70.5" hidden="1" customHeight="1">
      <c r="C1247" s="701"/>
      <c r="D1247" s="811"/>
      <c r="E1247" s="1276">
        <v>0</v>
      </c>
      <c r="F1247" s="748">
        <f t="shared" si="258"/>
        <v>0</v>
      </c>
      <c r="G1247" s="1205"/>
      <c r="H1247" s="1092">
        <f t="shared" si="256"/>
        <v>0</v>
      </c>
      <c r="I1247" s="1055"/>
      <c r="J1247" s="1055"/>
      <c r="K1247" s="1205"/>
      <c r="L1247" s="1055"/>
      <c r="M1247" s="1205"/>
      <c r="N1247" s="1054">
        <f>[8]building!C1606</f>
        <v>0</v>
      </c>
      <c r="O1247" s="1207"/>
      <c r="Q1247" s="1207"/>
    </row>
    <row r="1248" spans="3:17" s="700" customFormat="1" ht="70.5" hidden="1" customHeight="1">
      <c r="C1248" s="701"/>
      <c r="D1248" s="811"/>
      <c r="E1248" s="1276">
        <v>0</v>
      </c>
      <c r="F1248" s="748">
        <f t="shared" si="258"/>
        <v>0</v>
      </c>
      <c r="G1248" s="1205"/>
      <c r="H1248" s="1092">
        <f t="shared" si="256"/>
        <v>0</v>
      </c>
      <c r="I1248" s="1055"/>
      <c r="J1248" s="1055"/>
      <c r="K1248" s="1205"/>
      <c r="L1248" s="1055"/>
      <c r="M1248" s="1205"/>
      <c r="N1248" s="1054">
        <f>[8]building!C1607</f>
        <v>0</v>
      </c>
      <c r="O1248" s="1207"/>
      <c r="Q1248" s="1207"/>
    </row>
    <row r="1249" spans="3:17" s="700" customFormat="1" ht="70.5" hidden="1" customHeight="1">
      <c r="C1249" s="701"/>
      <c r="D1249" s="811"/>
      <c r="E1249" s="1276">
        <v>0</v>
      </c>
      <c r="F1249" s="748">
        <f t="shared" si="258"/>
        <v>0</v>
      </c>
      <c r="G1249" s="1205"/>
      <c r="H1249" s="1092">
        <f t="shared" si="256"/>
        <v>0</v>
      </c>
      <c r="I1249" s="1055"/>
      <c r="J1249" s="1055"/>
      <c r="K1249" s="1205"/>
      <c r="L1249" s="1055"/>
      <c r="M1249" s="1205"/>
      <c r="N1249" s="1054">
        <f>[8]building!C1608</f>
        <v>0</v>
      </c>
      <c r="O1249" s="1207"/>
      <c r="Q1249" s="1207"/>
    </row>
    <row r="1250" spans="3:17" s="700" customFormat="1" ht="70.5" hidden="1" customHeight="1">
      <c r="C1250" s="701"/>
      <c r="D1250" s="811"/>
      <c r="E1250" s="1276">
        <v>0</v>
      </c>
      <c r="F1250" s="748">
        <f t="shared" si="258"/>
        <v>0</v>
      </c>
      <c r="G1250" s="1205"/>
      <c r="H1250" s="1092">
        <f t="shared" si="256"/>
        <v>0</v>
      </c>
      <c r="I1250" s="1055"/>
      <c r="J1250" s="1055"/>
      <c r="K1250" s="1205"/>
      <c r="L1250" s="1055"/>
      <c r="M1250" s="1205"/>
      <c r="N1250" s="1054">
        <f>[8]building!C1609</f>
        <v>0</v>
      </c>
      <c r="O1250" s="1207"/>
      <c r="Q1250" s="1207"/>
    </row>
    <row r="1251" spans="3:17" s="700" customFormat="1" ht="70.5" hidden="1" customHeight="1">
      <c r="C1251" s="701"/>
      <c r="D1251" s="811"/>
      <c r="E1251" s="1276">
        <v>0</v>
      </c>
      <c r="F1251" s="748">
        <f t="shared" si="258"/>
        <v>0</v>
      </c>
      <c r="G1251" s="1205"/>
      <c r="H1251" s="1092">
        <f t="shared" si="256"/>
        <v>0</v>
      </c>
      <c r="I1251" s="1055"/>
      <c r="J1251" s="1055"/>
      <c r="K1251" s="1205"/>
      <c r="L1251" s="1055"/>
      <c r="M1251" s="1205"/>
      <c r="N1251" s="1054">
        <f>[8]building!C1610</f>
        <v>0</v>
      </c>
      <c r="O1251" s="1207"/>
      <c r="Q1251" s="1207"/>
    </row>
    <row r="1252" spans="3:17" s="700" customFormat="1" ht="70.5" hidden="1" customHeight="1">
      <c r="C1252" s="701"/>
      <c r="D1252" s="811"/>
      <c r="E1252" s="1276">
        <v>0</v>
      </c>
      <c r="F1252" s="748">
        <f t="shared" si="258"/>
        <v>0</v>
      </c>
      <c r="G1252" s="1205"/>
      <c r="H1252" s="1092">
        <f t="shared" si="256"/>
        <v>0</v>
      </c>
      <c r="I1252" s="1055"/>
      <c r="J1252" s="1055"/>
      <c r="K1252" s="1205"/>
      <c r="L1252" s="1055"/>
      <c r="M1252" s="1205"/>
      <c r="N1252" s="1054">
        <f>[8]building!C1611</f>
        <v>0</v>
      </c>
      <c r="O1252" s="1207"/>
      <c r="Q1252" s="1207"/>
    </row>
    <row r="1253" spans="3:17" s="700" customFormat="1" ht="70.5" hidden="1" customHeight="1">
      <c r="C1253" s="701"/>
      <c r="D1253" s="811"/>
      <c r="E1253" s="1276">
        <v>0</v>
      </c>
      <c r="F1253" s="748">
        <f t="shared" si="258"/>
        <v>0</v>
      </c>
      <c r="G1253" s="1205"/>
      <c r="H1253" s="1092">
        <f t="shared" si="256"/>
        <v>0</v>
      </c>
      <c r="I1253" s="1055"/>
      <c r="J1253" s="1055"/>
      <c r="K1253" s="1205"/>
      <c r="L1253" s="1055"/>
      <c r="M1253" s="1205"/>
      <c r="N1253" s="1054">
        <f>[8]building!C1612</f>
        <v>0</v>
      </c>
      <c r="O1253" s="1207"/>
      <c r="Q1253" s="1207"/>
    </row>
    <row r="1254" spans="3:17" s="700" customFormat="1" ht="70.5" hidden="1" customHeight="1">
      <c r="C1254" s="701"/>
      <c r="D1254" s="811"/>
      <c r="E1254" s="1276">
        <v>0</v>
      </c>
      <c r="F1254" s="748">
        <f t="shared" si="258"/>
        <v>0</v>
      </c>
      <c r="G1254" s="1205"/>
      <c r="H1254" s="1055"/>
      <c r="I1254" s="1055"/>
      <c r="J1254" s="1055"/>
      <c r="K1254" s="1205"/>
      <c r="L1254" s="1055"/>
      <c r="M1254" s="1205"/>
      <c r="N1254" s="1054">
        <f>[8]building!C1613</f>
        <v>0</v>
      </c>
      <c r="O1254" s="1207"/>
      <c r="Q1254" s="1207"/>
    </row>
    <row r="1255" spans="3:17" s="700" customFormat="1" ht="70.5" hidden="1" customHeight="1">
      <c r="C1255" s="701"/>
      <c r="D1255" s="811"/>
      <c r="E1255" s="1276">
        <v>0</v>
      </c>
      <c r="F1255" s="748">
        <f t="shared" si="258"/>
        <v>0</v>
      </c>
      <c r="G1255" s="1205"/>
      <c r="H1255" s="1055"/>
      <c r="I1255" s="1055"/>
      <c r="J1255" s="1055"/>
      <c r="K1255" s="1205"/>
      <c r="L1255" s="1055"/>
      <c r="M1255" s="1205"/>
      <c r="N1255" s="1054">
        <f>[8]building!C1474</f>
        <v>3086.63</v>
      </c>
      <c r="O1255" s="1207"/>
      <c r="Q1255" s="1207"/>
    </row>
    <row r="1256" spans="3:17" s="700" customFormat="1" ht="70.5" hidden="1" customHeight="1">
      <c r="C1256" s="701"/>
      <c r="D1256" s="811"/>
      <c r="E1256" s="1276">
        <v>0</v>
      </c>
      <c r="F1256" s="748">
        <f t="shared" si="258"/>
        <v>0</v>
      </c>
      <c r="G1256" s="1205"/>
      <c r="H1256" s="1055"/>
      <c r="I1256" s="1055"/>
      <c r="J1256" s="1055"/>
      <c r="K1256" s="1205"/>
      <c r="L1256" s="1055"/>
      <c r="M1256" s="1205"/>
      <c r="N1256" s="1054">
        <f>[8]building!C1475</f>
        <v>2895.01</v>
      </c>
      <c r="O1256" s="1207"/>
      <c r="Q1256" s="1207"/>
    </row>
    <row r="1257" spans="3:17" s="700" customFormat="1" ht="70.5" hidden="1" customHeight="1">
      <c r="C1257" s="701"/>
      <c r="D1257" s="811"/>
      <c r="E1257" s="1276">
        <v>0</v>
      </c>
      <c r="F1257" s="748">
        <f t="shared" si="258"/>
        <v>0</v>
      </c>
      <c r="G1257" s="1205"/>
      <c r="H1257" s="1055"/>
      <c r="I1257" s="1055"/>
      <c r="J1257" s="1055"/>
      <c r="K1257" s="1205"/>
      <c r="L1257" s="1055"/>
      <c r="M1257" s="1205"/>
      <c r="N1257" s="1054">
        <f>[8]building!C1476</f>
        <v>2167.66</v>
      </c>
      <c r="O1257" s="1207"/>
      <c r="Q1257" s="1207"/>
    </row>
    <row r="1258" spans="3:17" s="700" customFormat="1" ht="70.5" hidden="1" customHeight="1">
      <c r="C1258" s="701"/>
      <c r="D1258" s="811"/>
      <c r="E1258" s="1276">
        <v>0</v>
      </c>
      <c r="F1258" s="748">
        <f t="shared" si="258"/>
        <v>0</v>
      </c>
      <c r="G1258" s="1205"/>
      <c r="H1258" s="1055"/>
      <c r="I1258" s="1055"/>
      <c r="J1258" s="1055"/>
      <c r="K1258" s="1205"/>
      <c r="L1258" s="1055"/>
      <c r="M1258" s="1205"/>
      <c r="N1258" s="1054">
        <f>[8]building!C1477</f>
        <v>118.74</v>
      </c>
      <c r="O1258" s="1207"/>
      <c r="Q1258" s="1207"/>
    </row>
    <row r="1259" spans="3:17" s="700" customFormat="1" ht="70.5" hidden="1" customHeight="1">
      <c r="C1259" s="701"/>
      <c r="D1259" s="811"/>
      <c r="E1259" s="1276">
        <v>0</v>
      </c>
      <c r="F1259" s="748">
        <f t="shared" si="258"/>
        <v>0</v>
      </c>
      <c r="G1259" s="1205"/>
      <c r="H1259" s="1055"/>
      <c r="I1259" s="1055"/>
      <c r="J1259" s="1055"/>
      <c r="K1259" s="1205"/>
      <c r="L1259" s="1055"/>
      <c r="M1259" s="1205"/>
      <c r="N1259" s="1054">
        <f>[8]building!C1478</f>
        <v>186.08</v>
      </c>
      <c r="O1259" s="1207"/>
      <c r="Q1259" s="1207"/>
    </row>
    <row r="1260" spans="3:17" s="700" customFormat="1" ht="70.5" hidden="1" customHeight="1">
      <c r="C1260" s="701"/>
      <c r="D1260" s="811"/>
      <c r="E1260" s="1276">
        <v>0</v>
      </c>
      <c r="F1260" s="748">
        <f t="shared" si="258"/>
        <v>0</v>
      </c>
      <c r="G1260" s="1205"/>
      <c r="H1260" s="1055"/>
      <c r="I1260" s="1055"/>
      <c r="J1260" s="1055"/>
      <c r="K1260" s="1205"/>
      <c r="L1260" s="1055"/>
      <c r="M1260" s="1205"/>
      <c r="N1260" s="1054">
        <f>[8]building!C1479</f>
        <v>727.59</v>
      </c>
      <c r="O1260" s="1207"/>
      <c r="Q1260" s="1207"/>
    </row>
    <row r="1261" spans="3:17" s="700" customFormat="1" ht="70.5" hidden="1" customHeight="1">
      <c r="C1261" s="701"/>
      <c r="D1261" s="811"/>
      <c r="E1261" s="1276">
        <v>0</v>
      </c>
      <c r="F1261" s="748">
        <f t="shared" si="258"/>
        <v>0</v>
      </c>
      <c r="G1261" s="1205"/>
      <c r="H1261" s="1055"/>
      <c r="I1261" s="1055"/>
      <c r="J1261" s="1055"/>
      <c r="K1261" s="1205"/>
      <c r="L1261" s="1055"/>
      <c r="M1261" s="1205"/>
      <c r="N1261" s="1054">
        <f>[8]building!C1480</f>
        <v>1582.13</v>
      </c>
      <c r="O1261" s="1207"/>
      <c r="Q1261" s="1207"/>
    </row>
    <row r="1262" spans="3:17" s="700" customFormat="1" ht="70.5" hidden="1" customHeight="1">
      <c r="C1262" s="701"/>
      <c r="D1262" s="811"/>
      <c r="E1262" s="1276">
        <v>0</v>
      </c>
      <c r="F1262" s="748">
        <f t="shared" si="258"/>
        <v>0</v>
      </c>
      <c r="G1262" s="1205"/>
      <c r="H1262" s="1055"/>
      <c r="I1262" s="1055"/>
      <c r="J1262" s="1055"/>
      <c r="K1262" s="1205"/>
      <c r="L1262" s="1055"/>
      <c r="M1262" s="1205"/>
      <c r="N1262" s="1054">
        <f>[8]building!C1481</f>
        <v>2640</v>
      </c>
      <c r="O1262" s="1207"/>
      <c r="Q1262" s="1207"/>
    </row>
    <row r="1263" spans="3:17" s="700" customFormat="1" ht="70.5" hidden="1" customHeight="1">
      <c r="C1263" s="701"/>
      <c r="D1263" s="811"/>
      <c r="E1263" s="1276">
        <v>0</v>
      </c>
      <c r="F1263" s="748">
        <f t="shared" si="258"/>
        <v>0</v>
      </c>
      <c r="G1263" s="1205"/>
      <c r="H1263" s="1055"/>
      <c r="I1263" s="1055"/>
      <c r="J1263" s="1055"/>
      <c r="K1263" s="1205"/>
      <c r="L1263" s="1055"/>
      <c r="M1263" s="1205"/>
      <c r="N1263" s="1054">
        <f>[8]building!C1482</f>
        <v>2640</v>
      </c>
      <c r="O1263" s="1207"/>
      <c r="Q1263" s="1207"/>
    </row>
    <row r="1264" spans="3:17" s="700" customFormat="1" ht="70.5" hidden="1" customHeight="1">
      <c r="C1264" s="701"/>
      <c r="D1264" s="811"/>
      <c r="E1264" s="1276">
        <v>0</v>
      </c>
      <c r="F1264" s="748">
        <f t="shared" si="258"/>
        <v>0</v>
      </c>
      <c r="G1264" s="1205"/>
      <c r="H1264" s="1055"/>
      <c r="I1264" s="1055"/>
      <c r="J1264" s="1055"/>
      <c r="K1264" s="1205"/>
      <c r="L1264" s="1055"/>
      <c r="M1264" s="1205"/>
      <c r="N1264" s="1054">
        <f>[8]building!C1483</f>
        <v>2712</v>
      </c>
      <c r="O1264" s="1207"/>
      <c r="Q1264" s="1207"/>
    </row>
    <row r="1265" spans="3:17" s="700" customFormat="1" ht="70.5" hidden="1" customHeight="1">
      <c r="C1265" s="701"/>
      <c r="D1265" s="811"/>
      <c r="E1265" s="1276">
        <v>0</v>
      </c>
      <c r="F1265" s="748">
        <f t="shared" si="258"/>
        <v>0</v>
      </c>
      <c r="G1265" s="1205"/>
      <c r="H1265" s="1055"/>
      <c r="I1265" s="1055"/>
      <c r="J1265" s="1055"/>
      <c r="K1265" s="1205"/>
      <c r="L1265" s="1055"/>
      <c r="M1265" s="1205"/>
      <c r="N1265" s="1054">
        <f>[8]building!C1484</f>
        <v>4960</v>
      </c>
      <c r="O1265" s="1207"/>
      <c r="Q1265" s="1207"/>
    </row>
    <row r="1266" spans="3:17" s="700" customFormat="1" ht="70.5" hidden="1" customHeight="1">
      <c r="C1266" s="701"/>
      <c r="D1266" s="811"/>
      <c r="E1266" s="1276">
        <v>0</v>
      </c>
      <c r="F1266" s="748">
        <f t="shared" si="258"/>
        <v>0</v>
      </c>
      <c r="G1266" s="1205"/>
      <c r="H1266" s="1055"/>
      <c r="I1266" s="1055"/>
      <c r="J1266" s="1055"/>
      <c r="K1266" s="1205"/>
      <c r="L1266" s="1055"/>
      <c r="M1266" s="1205"/>
      <c r="N1266" s="1054">
        <f>[8]building!C1485</f>
        <v>226</v>
      </c>
      <c r="O1266" s="1207"/>
      <c r="Q1266" s="1207"/>
    </row>
    <row r="1267" spans="3:17" s="700" customFormat="1" ht="70.5" hidden="1" customHeight="1">
      <c r="C1267" s="701"/>
      <c r="D1267" s="811"/>
      <c r="E1267" s="1276">
        <v>0</v>
      </c>
      <c r="F1267" s="748">
        <f t="shared" si="258"/>
        <v>0</v>
      </c>
      <c r="G1267" s="1205"/>
      <c r="H1267" s="1055"/>
      <c r="I1267" s="1055"/>
      <c r="J1267" s="1055"/>
      <c r="K1267" s="1205"/>
      <c r="L1267" s="1055"/>
      <c r="M1267" s="1205"/>
      <c r="N1267" s="1054">
        <f>[8]building!C1486</f>
        <v>266</v>
      </c>
      <c r="O1267" s="1207"/>
      <c r="Q1267" s="1207"/>
    </row>
    <row r="1268" spans="3:17" s="700" customFormat="1" ht="70.5" hidden="1" customHeight="1">
      <c r="C1268" s="701"/>
      <c r="D1268" s="811"/>
      <c r="E1268" s="1276">
        <v>0</v>
      </c>
      <c r="F1268" s="748">
        <f t="shared" si="258"/>
        <v>0</v>
      </c>
      <c r="G1268" s="1205"/>
      <c r="H1268" s="1055"/>
      <c r="I1268" s="1055"/>
      <c r="J1268" s="1055"/>
      <c r="K1268" s="1205"/>
      <c r="L1268" s="1055"/>
      <c r="M1268" s="1205"/>
      <c r="N1268" s="1054">
        <f>[8]building!C1487</f>
        <v>398</v>
      </c>
      <c r="O1268" s="1207"/>
      <c r="Q1268" s="1207"/>
    </row>
    <row r="1269" spans="3:17" s="700" customFormat="1" ht="70.5" hidden="1" customHeight="1">
      <c r="C1269" s="701"/>
      <c r="D1269" s="811"/>
      <c r="E1269" s="1276">
        <v>0</v>
      </c>
      <c r="F1269" s="748">
        <f t="shared" si="258"/>
        <v>0</v>
      </c>
      <c r="G1269" s="1205"/>
      <c r="H1269" s="1055"/>
      <c r="I1269" s="1055"/>
      <c r="J1269" s="1055"/>
      <c r="K1269" s="1205"/>
      <c r="L1269" s="1055"/>
      <c r="M1269" s="1205"/>
      <c r="N1269" s="1054">
        <f>[8]building!C1488</f>
        <v>1345.6</v>
      </c>
      <c r="O1269" s="1207"/>
      <c r="Q1269" s="1207"/>
    </row>
    <row r="1270" spans="3:17" s="700" customFormat="1" ht="70.5" hidden="1" customHeight="1">
      <c r="C1270" s="701"/>
      <c r="D1270" s="811"/>
      <c r="E1270" s="1276">
        <v>0</v>
      </c>
      <c r="F1270" s="748">
        <f t="shared" si="258"/>
        <v>0</v>
      </c>
      <c r="G1270" s="1205"/>
      <c r="H1270" s="1055"/>
      <c r="I1270" s="1055"/>
      <c r="J1270" s="1055"/>
      <c r="K1270" s="1205"/>
      <c r="L1270" s="1055"/>
      <c r="M1270" s="1205"/>
      <c r="N1270" s="1054">
        <f>[8]building!C1489</f>
        <v>1035.5999999999999</v>
      </c>
      <c r="O1270" s="1207"/>
      <c r="Q1270" s="1207"/>
    </row>
    <row r="1271" spans="3:17" s="700" customFormat="1" ht="70.5" hidden="1" customHeight="1">
      <c r="C1271" s="701"/>
      <c r="D1271" s="811"/>
      <c r="E1271" s="1276">
        <v>0</v>
      </c>
      <c r="F1271" s="748">
        <f t="shared" si="258"/>
        <v>0</v>
      </c>
      <c r="G1271" s="1205"/>
      <c r="H1271" s="1055"/>
      <c r="I1271" s="1055"/>
      <c r="J1271" s="1055"/>
      <c r="K1271" s="1205"/>
      <c r="L1271" s="1055"/>
      <c r="M1271" s="1205"/>
      <c r="N1271" s="1054">
        <f>[8]building!C1490</f>
        <v>1723</v>
      </c>
      <c r="O1271" s="1207"/>
      <c r="Q1271" s="1207"/>
    </row>
    <row r="1272" spans="3:17" s="700" customFormat="1" ht="70.5" hidden="1" customHeight="1">
      <c r="C1272" s="701"/>
      <c r="D1272" s="811"/>
      <c r="E1272" s="1276">
        <v>0</v>
      </c>
      <c r="F1272" s="748">
        <f t="shared" si="258"/>
        <v>0</v>
      </c>
      <c r="G1272" s="1205"/>
      <c r="H1272" s="1055"/>
      <c r="I1272" s="1055"/>
      <c r="J1272" s="1055"/>
      <c r="K1272" s="1205"/>
      <c r="L1272" s="1055"/>
      <c r="M1272" s="1205"/>
      <c r="N1272" s="1054">
        <f>[8]building!C1491</f>
        <v>2157.0300000000002</v>
      </c>
      <c r="O1272" s="1207"/>
      <c r="Q1272" s="1207"/>
    </row>
    <row r="1273" spans="3:17" s="700" customFormat="1" ht="70.5" hidden="1" customHeight="1">
      <c r="C1273" s="701"/>
      <c r="D1273" s="811"/>
      <c r="E1273" s="1276">
        <v>0</v>
      </c>
      <c r="F1273" s="748">
        <f t="shared" si="258"/>
        <v>0</v>
      </c>
      <c r="G1273" s="1205"/>
      <c r="H1273" s="1055"/>
      <c r="I1273" s="1055"/>
      <c r="J1273" s="1055"/>
      <c r="K1273" s="1205"/>
      <c r="L1273" s="1055"/>
      <c r="M1273" s="1205"/>
      <c r="N1273" s="1054">
        <f>[8]building!C1492</f>
        <v>4212</v>
      </c>
      <c r="O1273" s="1207"/>
      <c r="Q1273" s="1207"/>
    </row>
    <row r="1274" spans="3:17" s="700" customFormat="1" ht="70.5" hidden="1" customHeight="1">
      <c r="C1274" s="701"/>
      <c r="D1274" s="811"/>
      <c r="E1274" s="1276">
        <v>0</v>
      </c>
      <c r="F1274" s="748">
        <f t="shared" si="258"/>
        <v>0</v>
      </c>
      <c r="G1274" s="1205"/>
      <c r="H1274" s="1055"/>
      <c r="I1274" s="1055"/>
      <c r="J1274" s="1055"/>
      <c r="K1274" s="1205"/>
      <c r="L1274" s="1055"/>
      <c r="M1274" s="1205"/>
      <c r="N1274" s="1054">
        <f>[8]building!C1493</f>
        <v>3430</v>
      </c>
      <c r="O1274" s="1207"/>
      <c r="Q1274" s="1207"/>
    </row>
    <row r="1275" spans="3:17" s="700" customFormat="1" ht="70.5" hidden="1" customHeight="1">
      <c r="C1275" s="701"/>
      <c r="D1275" s="811"/>
      <c r="E1275" s="1276">
        <v>0</v>
      </c>
      <c r="F1275" s="748">
        <f t="shared" si="258"/>
        <v>0</v>
      </c>
      <c r="G1275" s="1205"/>
      <c r="H1275" s="1055"/>
      <c r="I1275" s="1055"/>
      <c r="J1275" s="1055"/>
      <c r="K1275" s="1205"/>
      <c r="L1275" s="1055"/>
      <c r="M1275" s="1205"/>
      <c r="N1275" s="1054">
        <f>[8]building!C1494</f>
        <v>0</v>
      </c>
      <c r="O1275" s="1207"/>
      <c r="Q1275" s="1207"/>
    </row>
    <row r="1276" spans="3:17" s="700" customFormat="1" ht="70.5" hidden="1" customHeight="1">
      <c r="C1276" s="701"/>
      <c r="D1276" s="811"/>
      <c r="E1276" s="1276">
        <v>0</v>
      </c>
      <c r="F1276" s="748">
        <f t="shared" si="258"/>
        <v>0</v>
      </c>
      <c r="G1276" s="1205"/>
      <c r="H1276" s="1055"/>
      <c r="I1276" s="1055"/>
      <c r="J1276" s="1055"/>
      <c r="K1276" s="1205"/>
      <c r="L1276" s="1055"/>
      <c r="M1276" s="1205"/>
      <c r="N1276" s="1054">
        <f>[8]building!C1495</f>
        <v>0</v>
      </c>
      <c r="O1276" s="1207"/>
      <c r="Q1276" s="1207"/>
    </row>
    <row r="1277" spans="3:17" s="700" customFormat="1" ht="70.5" hidden="1" customHeight="1">
      <c r="C1277" s="701"/>
      <c r="D1277" s="811"/>
      <c r="E1277" s="1276">
        <v>0</v>
      </c>
      <c r="F1277" s="748">
        <f t="shared" si="258"/>
        <v>0</v>
      </c>
      <c r="G1277" s="1205"/>
      <c r="H1277" s="1055"/>
      <c r="I1277" s="1055"/>
      <c r="J1277" s="1055"/>
      <c r="K1277" s="1205"/>
      <c r="L1277" s="1055"/>
      <c r="M1277" s="1205"/>
      <c r="N1277" s="1054">
        <f>[8]building!C1496</f>
        <v>0</v>
      </c>
      <c r="O1277" s="1207"/>
      <c r="Q1277" s="1207"/>
    </row>
    <row r="1278" spans="3:17" s="700" customFormat="1" ht="70.5" hidden="1" customHeight="1">
      <c r="C1278" s="701"/>
      <c r="D1278" s="811"/>
      <c r="E1278" s="1276">
        <v>0</v>
      </c>
      <c r="F1278" s="748">
        <f t="shared" si="258"/>
        <v>0</v>
      </c>
      <c r="G1278" s="1205"/>
      <c r="H1278" s="1055"/>
      <c r="I1278" s="1055"/>
      <c r="J1278" s="1055"/>
      <c r="K1278" s="1205"/>
      <c r="L1278" s="1055"/>
      <c r="M1278" s="1205"/>
      <c r="N1278" s="1054">
        <f>[8]building!C1497</f>
        <v>0</v>
      </c>
      <c r="O1278" s="1207"/>
      <c r="Q1278" s="1207"/>
    </row>
    <row r="1279" spans="3:17" s="700" customFormat="1" ht="70.5" hidden="1" customHeight="1">
      <c r="C1279" s="701"/>
      <c r="D1279" s="811"/>
      <c r="E1279" s="1276">
        <v>0</v>
      </c>
      <c r="F1279" s="748">
        <f t="shared" si="258"/>
        <v>0</v>
      </c>
      <c r="G1279" s="1205"/>
      <c r="H1279" s="1055"/>
      <c r="I1279" s="1055"/>
      <c r="J1279" s="1055"/>
      <c r="K1279" s="1205"/>
      <c r="L1279" s="1055"/>
      <c r="M1279" s="1205"/>
      <c r="N1279" s="1054">
        <f>[8]building!C1498</f>
        <v>0</v>
      </c>
      <c r="O1279" s="1207"/>
      <c r="Q1279" s="1207"/>
    </row>
    <row r="1280" spans="3:17" s="700" customFormat="1" ht="70.5" hidden="1" customHeight="1">
      <c r="C1280" s="701"/>
      <c r="D1280" s="811"/>
      <c r="E1280" s="1276">
        <v>0</v>
      </c>
      <c r="F1280" s="748">
        <f t="shared" ref="F1280:F1343" si="259">E1280*C1280</f>
        <v>0</v>
      </c>
      <c r="G1280" s="1205"/>
      <c r="H1280" s="1055"/>
      <c r="I1280" s="1055"/>
      <c r="J1280" s="1055"/>
      <c r="K1280" s="1205"/>
      <c r="L1280" s="1055"/>
      <c r="M1280" s="1205"/>
      <c r="N1280" s="1054">
        <f>[8]building!C1499</f>
        <v>0</v>
      </c>
      <c r="O1280" s="1207"/>
      <c r="Q1280" s="1207"/>
    </row>
    <row r="1281" spans="3:17" s="700" customFormat="1" ht="70.5" hidden="1" customHeight="1">
      <c r="C1281" s="701"/>
      <c r="D1281" s="811"/>
      <c r="E1281" s="1276">
        <v>0</v>
      </c>
      <c r="F1281" s="748">
        <f t="shared" si="259"/>
        <v>0</v>
      </c>
      <c r="G1281" s="1205"/>
      <c r="H1281" s="1055"/>
      <c r="I1281" s="1055"/>
      <c r="J1281" s="1055"/>
      <c r="K1281" s="1205"/>
      <c r="L1281" s="1055"/>
      <c r="M1281" s="1205"/>
      <c r="N1281" s="1054">
        <f>[8]building!C1500</f>
        <v>0</v>
      </c>
      <c r="O1281" s="1207"/>
      <c r="Q1281" s="1207"/>
    </row>
    <row r="1282" spans="3:17" s="700" customFormat="1" ht="70.5" hidden="1" customHeight="1">
      <c r="C1282" s="701"/>
      <c r="D1282" s="811"/>
      <c r="E1282" s="1276">
        <v>0</v>
      </c>
      <c r="F1282" s="748">
        <f t="shared" si="259"/>
        <v>0</v>
      </c>
      <c r="G1282" s="1205"/>
      <c r="H1282" s="1055"/>
      <c r="I1282" s="1055"/>
      <c r="J1282" s="1055"/>
      <c r="K1282" s="1205"/>
      <c r="L1282" s="1055"/>
      <c r="M1282" s="1205"/>
      <c r="N1282" s="1054">
        <f>[8]building!C1501</f>
        <v>0</v>
      </c>
      <c r="O1282" s="1207"/>
      <c r="Q1282" s="1207"/>
    </row>
    <row r="1283" spans="3:17" s="700" customFormat="1" ht="70.5" hidden="1" customHeight="1">
      <c r="C1283" s="701"/>
      <c r="D1283" s="811"/>
      <c r="E1283" s="1276">
        <v>0</v>
      </c>
      <c r="F1283" s="748">
        <f t="shared" si="259"/>
        <v>0</v>
      </c>
      <c r="G1283" s="1205"/>
      <c r="H1283" s="1055"/>
      <c r="I1283" s="1055"/>
      <c r="J1283" s="1055"/>
      <c r="K1283" s="1205"/>
      <c r="L1283" s="1055"/>
      <c r="M1283" s="1205"/>
      <c r="N1283" s="1054">
        <f>[8]building!C1502</f>
        <v>0</v>
      </c>
      <c r="O1283" s="1207"/>
      <c r="Q1283" s="1207"/>
    </row>
    <row r="1284" spans="3:17" s="700" customFormat="1" ht="70.5" hidden="1" customHeight="1">
      <c r="C1284" s="701"/>
      <c r="D1284" s="811"/>
      <c r="E1284" s="1276">
        <v>0</v>
      </c>
      <c r="F1284" s="748">
        <f t="shared" si="259"/>
        <v>0</v>
      </c>
      <c r="G1284" s="1205"/>
      <c r="H1284" s="1055"/>
      <c r="I1284" s="1055"/>
      <c r="J1284" s="1055"/>
      <c r="K1284" s="1205"/>
      <c r="L1284" s="1055"/>
      <c r="M1284" s="1205"/>
      <c r="N1284" s="1054">
        <f>[8]building!C1503</f>
        <v>0</v>
      </c>
      <c r="O1284" s="1207"/>
      <c r="Q1284" s="1207"/>
    </row>
    <row r="1285" spans="3:17" s="700" customFormat="1" ht="70.5" hidden="1" customHeight="1">
      <c r="C1285" s="701"/>
      <c r="D1285" s="811"/>
      <c r="E1285" s="1276">
        <v>0</v>
      </c>
      <c r="F1285" s="748">
        <f t="shared" si="259"/>
        <v>0</v>
      </c>
      <c r="G1285" s="1205"/>
      <c r="H1285" s="1055"/>
      <c r="I1285" s="1055"/>
      <c r="J1285" s="1055"/>
      <c r="K1285" s="1205"/>
      <c r="L1285" s="1055"/>
      <c r="M1285" s="1205"/>
      <c r="N1285" s="1054">
        <f>[8]building!C1504</f>
        <v>165</v>
      </c>
      <c r="O1285" s="1207"/>
      <c r="Q1285" s="1207"/>
    </row>
    <row r="1286" spans="3:17" s="700" customFormat="1" ht="70.5" hidden="1" customHeight="1">
      <c r="C1286" s="701"/>
      <c r="D1286" s="811"/>
      <c r="E1286" s="1276">
        <v>0</v>
      </c>
      <c r="F1286" s="748">
        <f t="shared" si="259"/>
        <v>0</v>
      </c>
      <c r="G1286" s="1205"/>
      <c r="H1286" s="1055"/>
      <c r="I1286" s="1055"/>
      <c r="J1286" s="1055"/>
      <c r="K1286" s="1205"/>
      <c r="L1286" s="1055"/>
      <c r="M1286" s="1205"/>
      <c r="N1286" s="1054">
        <f>[8]building!C1505</f>
        <v>0</v>
      </c>
      <c r="O1286" s="1207"/>
      <c r="Q1286" s="1207"/>
    </row>
    <row r="1287" spans="3:17" s="700" customFormat="1" ht="70.5" hidden="1" customHeight="1">
      <c r="C1287" s="701"/>
      <c r="D1287" s="811"/>
      <c r="E1287" s="1276">
        <v>0</v>
      </c>
      <c r="F1287" s="748">
        <f t="shared" si="259"/>
        <v>0</v>
      </c>
      <c r="G1287" s="1205"/>
      <c r="H1287" s="1055"/>
      <c r="I1287" s="1055"/>
      <c r="J1287" s="1055"/>
      <c r="K1287" s="1205"/>
      <c r="L1287" s="1055"/>
      <c r="M1287" s="1205"/>
      <c r="N1287" s="1054">
        <f>[8]building!C1506</f>
        <v>0</v>
      </c>
      <c r="O1287" s="1207"/>
      <c r="Q1287" s="1207"/>
    </row>
    <row r="1288" spans="3:17" s="700" customFormat="1" ht="70.5" hidden="1" customHeight="1">
      <c r="C1288" s="701"/>
      <c r="D1288" s="811"/>
      <c r="E1288" s="1276">
        <v>0</v>
      </c>
      <c r="F1288" s="748">
        <f t="shared" si="259"/>
        <v>0</v>
      </c>
      <c r="G1288" s="1205"/>
      <c r="H1288" s="1055"/>
      <c r="I1288" s="1055"/>
      <c r="J1288" s="1055"/>
      <c r="K1288" s="1205"/>
      <c r="L1288" s="1055"/>
      <c r="M1288" s="1205"/>
      <c r="N1288" s="1054">
        <f>[8]building!C1507</f>
        <v>0</v>
      </c>
      <c r="O1288" s="1207"/>
      <c r="Q1288" s="1207"/>
    </row>
    <row r="1289" spans="3:17" s="700" customFormat="1" ht="70.5" hidden="1" customHeight="1">
      <c r="C1289" s="701"/>
      <c r="D1289" s="811"/>
      <c r="E1289" s="1276">
        <v>0</v>
      </c>
      <c r="F1289" s="748">
        <f t="shared" si="259"/>
        <v>0</v>
      </c>
      <c r="G1289" s="1205"/>
      <c r="H1289" s="1055"/>
      <c r="I1289" s="1055"/>
      <c r="J1289" s="1055"/>
      <c r="K1289" s="1205"/>
      <c r="L1289" s="1055"/>
      <c r="M1289" s="1205"/>
      <c r="N1289" s="1054">
        <f>[8]building!C1508</f>
        <v>0</v>
      </c>
      <c r="O1289" s="1207"/>
      <c r="Q1289" s="1207"/>
    </row>
    <row r="1290" spans="3:17" s="700" customFormat="1" ht="70.5" hidden="1" customHeight="1">
      <c r="C1290" s="701"/>
      <c r="D1290" s="811"/>
      <c r="E1290" s="1276">
        <v>0</v>
      </c>
      <c r="F1290" s="748">
        <f t="shared" si="259"/>
        <v>0</v>
      </c>
      <c r="G1290" s="1205"/>
      <c r="H1290" s="1055"/>
      <c r="I1290" s="1055"/>
      <c r="J1290" s="1055"/>
      <c r="K1290" s="1205"/>
      <c r="L1290" s="1055"/>
      <c r="M1290" s="1205"/>
      <c r="N1290" s="1054">
        <f>[8]building!C1509</f>
        <v>281.56</v>
      </c>
      <c r="O1290" s="1207"/>
      <c r="Q1290" s="1207"/>
    </row>
    <row r="1291" spans="3:17" s="700" customFormat="1" ht="70.5" hidden="1" customHeight="1">
      <c r="C1291" s="701"/>
      <c r="D1291" s="811"/>
      <c r="E1291" s="1276">
        <v>0</v>
      </c>
      <c r="F1291" s="748">
        <f t="shared" si="259"/>
        <v>0</v>
      </c>
      <c r="G1291" s="1205"/>
      <c r="H1291" s="1055"/>
      <c r="I1291" s="1055"/>
      <c r="J1291" s="1055"/>
      <c r="K1291" s="1205"/>
      <c r="L1291" s="1055"/>
      <c r="M1291" s="1205"/>
      <c r="N1291" s="1054">
        <f>[8]building!C1510</f>
        <v>96.41</v>
      </c>
      <c r="O1291" s="1207"/>
      <c r="Q1291" s="1207"/>
    </row>
    <row r="1292" spans="3:17" s="700" customFormat="1" ht="70.5" hidden="1" customHeight="1">
      <c r="C1292" s="701"/>
      <c r="D1292" s="811"/>
      <c r="E1292" s="1276">
        <v>0</v>
      </c>
      <c r="F1292" s="748">
        <f t="shared" si="259"/>
        <v>0</v>
      </c>
      <c r="G1292" s="1205"/>
      <c r="H1292" s="1055"/>
      <c r="I1292" s="1055"/>
      <c r="J1292" s="1055"/>
      <c r="K1292" s="1205"/>
      <c r="L1292" s="1055"/>
      <c r="M1292" s="1205"/>
      <c r="N1292" s="1054"/>
      <c r="O1292" s="1207"/>
      <c r="Q1292" s="1207"/>
    </row>
    <row r="1293" spans="3:17" s="700" customFormat="1" ht="70.5" hidden="1" customHeight="1">
      <c r="C1293" s="701"/>
      <c r="D1293" s="811"/>
      <c r="E1293" s="1276">
        <v>0</v>
      </c>
      <c r="F1293" s="748">
        <f t="shared" si="259"/>
        <v>0</v>
      </c>
      <c r="G1293" s="1205"/>
      <c r="H1293" s="1055"/>
      <c r="I1293" s="1055"/>
      <c r="J1293" s="1055"/>
      <c r="K1293" s="1205"/>
      <c r="L1293" s="1055"/>
      <c r="M1293" s="1205"/>
      <c r="N1293" s="1054"/>
      <c r="O1293" s="1207"/>
      <c r="Q1293" s="1207"/>
    </row>
    <row r="1294" spans="3:17" s="700" customFormat="1" ht="70.5" hidden="1" customHeight="1">
      <c r="C1294" s="701"/>
      <c r="D1294" s="811"/>
      <c r="E1294" s="1276">
        <v>0</v>
      </c>
      <c r="F1294" s="748">
        <f t="shared" si="259"/>
        <v>0</v>
      </c>
      <c r="G1294" s="1205"/>
      <c r="H1294" s="1055"/>
      <c r="I1294" s="1055"/>
      <c r="J1294" s="1055"/>
      <c r="K1294" s="1205"/>
      <c r="L1294" s="1055"/>
      <c r="M1294" s="1205"/>
      <c r="N1294" s="1054"/>
      <c r="O1294" s="1207"/>
      <c r="Q1294" s="1207"/>
    </row>
    <row r="1295" spans="3:17" s="700" customFormat="1" ht="70.5" hidden="1" customHeight="1">
      <c r="C1295" s="701"/>
      <c r="D1295" s="811"/>
      <c r="E1295" s="1276">
        <v>0</v>
      </c>
      <c r="F1295" s="748">
        <f t="shared" si="259"/>
        <v>0</v>
      </c>
      <c r="G1295" s="1205"/>
      <c r="H1295" s="1055"/>
      <c r="I1295" s="1055"/>
      <c r="J1295" s="1055"/>
      <c r="K1295" s="1205"/>
      <c r="L1295" s="1055"/>
      <c r="M1295" s="1205"/>
      <c r="N1295" s="1054"/>
      <c r="O1295" s="1207"/>
      <c r="Q1295" s="1207"/>
    </row>
    <row r="1296" spans="3:17" s="700" customFormat="1" ht="70.5" hidden="1" customHeight="1">
      <c r="C1296" s="701"/>
      <c r="D1296" s="811"/>
      <c r="E1296" s="1276">
        <v>0</v>
      </c>
      <c r="F1296" s="748">
        <f t="shared" si="259"/>
        <v>0</v>
      </c>
      <c r="G1296" s="1205"/>
      <c r="H1296" s="1055"/>
      <c r="I1296" s="1055"/>
      <c r="J1296" s="1055"/>
      <c r="K1296" s="1205"/>
      <c r="L1296" s="1055"/>
      <c r="M1296" s="1205"/>
      <c r="N1296" s="1054"/>
      <c r="O1296" s="1207"/>
      <c r="Q1296" s="1207"/>
    </row>
    <row r="1297" spans="3:17" s="700" customFormat="1" ht="70.5" hidden="1" customHeight="1">
      <c r="C1297" s="701"/>
      <c r="D1297" s="811"/>
      <c r="E1297" s="1276">
        <v>0</v>
      </c>
      <c r="F1297" s="748">
        <f t="shared" si="259"/>
        <v>0</v>
      </c>
      <c r="G1297" s="1205"/>
      <c r="H1297" s="1055"/>
      <c r="I1297" s="1055"/>
      <c r="J1297" s="1055"/>
      <c r="K1297" s="1205"/>
      <c r="L1297" s="1055"/>
      <c r="M1297" s="1205"/>
      <c r="N1297" s="1054"/>
      <c r="O1297" s="1207"/>
      <c r="Q1297" s="1207"/>
    </row>
    <row r="1298" spans="3:17" s="700" customFormat="1" ht="70.5" hidden="1" customHeight="1">
      <c r="C1298" s="701"/>
      <c r="D1298" s="811"/>
      <c r="E1298" s="1276">
        <v>0</v>
      </c>
      <c r="F1298" s="748">
        <f t="shared" si="259"/>
        <v>0</v>
      </c>
      <c r="G1298" s="1205"/>
      <c r="H1298" s="1055"/>
      <c r="I1298" s="1055"/>
      <c r="J1298" s="1055"/>
      <c r="K1298" s="1205"/>
      <c r="L1298" s="1055"/>
      <c r="M1298" s="1205"/>
      <c r="N1298" s="1054"/>
      <c r="O1298" s="1207"/>
      <c r="Q1298" s="1207"/>
    </row>
    <row r="1299" spans="3:17" s="700" customFormat="1" ht="70.5" hidden="1" customHeight="1">
      <c r="C1299" s="701"/>
      <c r="D1299" s="811"/>
      <c r="E1299" s="1276">
        <v>0</v>
      </c>
      <c r="F1299" s="748">
        <f t="shared" si="259"/>
        <v>0</v>
      </c>
      <c r="G1299" s="1205"/>
      <c r="H1299" s="1055"/>
      <c r="I1299" s="1055"/>
      <c r="J1299" s="1055"/>
      <c r="K1299" s="1205"/>
      <c r="L1299" s="1055"/>
      <c r="M1299" s="1205"/>
      <c r="N1299" s="1054"/>
      <c r="O1299" s="1207"/>
      <c r="Q1299" s="1207"/>
    </row>
    <row r="1300" spans="3:17" s="700" customFormat="1" ht="70.5" hidden="1" customHeight="1">
      <c r="C1300" s="701"/>
      <c r="D1300" s="811"/>
      <c r="E1300" s="1276">
        <v>0</v>
      </c>
      <c r="F1300" s="748">
        <f t="shared" si="259"/>
        <v>0</v>
      </c>
      <c r="G1300" s="1205"/>
      <c r="H1300" s="1055"/>
      <c r="I1300" s="1055"/>
      <c r="J1300" s="1055"/>
      <c r="K1300" s="1205"/>
      <c r="L1300" s="1055"/>
      <c r="M1300" s="1205"/>
      <c r="N1300" s="1054"/>
      <c r="O1300" s="1207"/>
      <c r="Q1300" s="1207"/>
    </row>
    <row r="1301" spans="3:17" s="700" customFormat="1" ht="70.5" hidden="1" customHeight="1">
      <c r="C1301" s="701"/>
      <c r="D1301" s="811"/>
      <c r="E1301" s="1276">
        <v>0</v>
      </c>
      <c r="F1301" s="748">
        <f t="shared" si="259"/>
        <v>0</v>
      </c>
      <c r="G1301" s="1205"/>
      <c r="H1301" s="1055"/>
      <c r="I1301" s="1055"/>
      <c r="J1301" s="1055"/>
      <c r="K1301" s="1205"/>
      <c r="L1301" s="1055"/>
      <c r="M1301" s="1205"/>
      <c r="N1301" s="1054"/>
      <c r="O1301" s="1207"/>
      <c r="Q1301" s="1207"/>
    </row>
    <row r="1302" spans="3:17" s="700" customFormat="1" ht="70.5" hidden="1" customHeight="1">
      <c r="C1302" s="701"/>
      <c r="D1302" s="811"/>
      <c r="E1302" s="1276">
        <v>0</v>
      </c>
      <c r="F1302" s="748">
        <f t="shared" si="259"/>
        <v>0</v>
      </c>
      <c r="G1302" s="1205"/>
      <c r="H1302" s="1055"/>
      <c r="I1302" s="1055"/>
      <c r="J1302" s="1055"/>
      <c r="K1302" s="1205"/>
      <c r="L1302" s="1055"/>
      <c r="M1302" s="1205"/>
      <c r="N1302" s="1054"/>
      <c r="O1302" s="1207"/>
      <c r="Q1302" s="1207"/>
    </row>
    <row r="1303" spans="3:17" s="700" customFormat="1" ht="70.5" hidden="1" customHeight="1">
      <c r="C1303" s="701"/>
      <c r="D1303" s="811"/>
      <c r="E1303" s="1276">
        <v>0</v>
      </c>
      <c r="F1303" s="748">
        <f t="shared" si="259"/>
        <v>0</v>
      </c>
      <c r="G1303" s="1205"/>
      <c r="H1303" s="1055"/>
      <c r="I1303" s="1055"/>
      <c r="J1303" s="1055"/>
      <c r="K1303" s="1205"/>
      <c r="L1303" s="1055"/>
      <c r="M1303" s="1205"/>
      <c r="N1303" s="1054"/>
      <c r="O1303" s="1207"/>
      <c r="Q1303" s="1207"/>
    </row>
    <row r="1304" spans="3:17" s="700" customFormat="1" ht="70.5" hidden="1" customHeight="1">
      <c r="C1304" s="701"/>
      <c r="D1304" s="811"/>
      <c r="E1304" s="1276">
        <v>0</v>
      </c>
      <c r="F1304" s="748">
        <f t="shared" si="259"/>
        <v>0</v>
      </c>
      <c r="G1304" s="1205"/>
      <c r="H1304" s="1055"/>
      <c r="I1304" s="1055"/>
      <c r="J1304" s="1055"/>
      <c r="K1304" s="1205"/>
      <c r="L1304" s="1055"/>
      <c r="M1304" s="1205"/>
      <c r="N1304" s="1054"/>
      <c r="O1304" s="1207"/>
      <c r="Q1304" s="1207"/>
    </row>
    <row r="1305" spans="3:17" s="700" customFormat="1" ht="70.5" hidden="1" customHeight="1">
      <c r="C1305" s="701"/>
      <c r="D1305" s="811"/>
      <c r="E1305" s="1276">
        <v>0</v>
      </c>
      <c r="F1305" s="748">
        <f t="shared" si="259"/>
        <v>0</v>
      </c>
      <c r="G1305" s="1205"/>
      <c r="H1305" s="1055"/>
      <c r="I1305" s="1055"/>
      <c r="J1305" s="1055"/>
      <c r="K1305" s="1205"/>
      <c r="L1305" s="1055"/>
      <c r="M1305" s="1205"/>
      <c r="N1305" s="1054"/>
      <c r="O1305" s="1207"/>
      <c r="Q1305" s="1207"/>
    </row>
    <row r="1306" spans="3:17" s="700" customFormat="1" ht="70.5" hidden="1" customHeight="1">
      <c r="C1306" s="701"/>
      <c r="D1306" s="811"/>
      <c r="E1306" s="1276">
        <v>0</v>
      </c>
      <c r="F1306" s="748">
        <f t="shared" si="259"/>
        <v>0</v>
      </c>
      <c r="G1306" s="1205"/>
      <c r="H1306" s="1055"/>
      <c r="I1306" s="1055"/>
      <c r="J1306" s="1055"/>
      <c r="K1306" s="1205"/>
      <c r="L1306" s="1055"/>
      <c r="M1306" s="1205"/>
      <c r="N1306" s="1054"/>
      <c r="O1306" s="1207"/>
      <c r="Q1306" s="1207"/>
    </row>
    <row r="1307" spans="3:17" s="700" customFormat="1" ht="70.5" hidden="1" customHeight="1">
      <c r="C1307" s="701"/>
      <c r="D1307" s="811"/>
      <c r="E1307" s="1276">
        <v>0</v>
      </c>
      <c r="F1307" s="748">
        <f t="shared" si="259"/>
        <v>0</v>
      </c>
      <c r="G1307" s="1205"/>
      <c r="H1307" s="1055"/>
      <c r="I1307" s="1055"/>
      <c r="J1307" s="1055"/>
      <c r="K1307" s="1205"/>
      <c r="L1307" s="1055"/>
      <c r="M1307" s="1205"/>
      <c r="N1307" s="1054"/>
      <c r="O1307" s="1207"/>
      <c r="Q1307" s="1207"/>
    </row>
    <row r="1308" spans="3:17" s="700" customFormat="1" ht="70.5" hidden="1" customHeight="1">
      <c r="C1308" s="701"/>
      <c r="D1308" s="811"/>
      <c r="E1308" s="1276">
        <v>0</v>
      </c>
      <c r="F1308" s="748">
        <f t="shared" si="259"/>
        <v>0</v>
      </c>
      <c r="G1308" s="1205"/>
      <c r="H1308" s="1055"/>
      <c r="I1308" s="1055"/>
      <c r="J1308" s="1055"/>
      <c r="K1308" s="1205"/>
      <c r="L1308" s="1055"/>
      <c r="M1308" s="1205"/>
      <c r="N1308" s="1054"/>
      <c r="O1308" s="1207"/>
      <c r="Q1308" s="1207"/>
    </row>
    <row r="1309" spans="3:17" s="700" customFormat="1" ht="70.5" hidden="1" customHeight="1">
      <c r="C1309" s="701"/>
      <c r="D1309" s="811"/>
      <c r="E1309" s="1276">
        <v>0</v>
      </c>
      <c r="F1309" s="748">
        <f t="shared" si="259"/>
        <v>0</v>
      </c>
      <c r="G1309" s="1205"/>
      <c r="H1309" s="1055"/>
      <c r="I1309" s="1055"/>
      <c r="J1309" s="1055"/>
      <c r="K1309" s="1205"/>
      <c r="L1309" s="1055"/>
      <c r="M1309" s="1205"/>
      <c r="N1309" s="1054"/>
      <c r="O1309" s="1207"/>
      <c r="Q1309" s="1207"/>
    </row>
    <row r="1310" spans="3:17" s="700" customFormat="1" ht="70.5" hidden="1" customHeight="1">
      <c r="C1310" s="701"/>
      <c r="D1310" s="811"/>
      <c r="E1310" s="1276">
        <v>0</v>
      </c>
      <c r="F1310" s="748">
        <f t="shared" si="259"/>
        <v>0</v>
      </c>
      <c r="G1310" s="1205"/>
      <c r="H1310" s="1055"/>
      <c r="I1310" s="1055"/>
      <c r="J1310" s="1055"/>
      <c r="K1310" s="1205"/>
      <c r="L1310" s="1055"/>
      <c r="M1310" s="1205"/>
      <c r="N1310" s="1054"/>
      <c r="O1310" s="1207"/>
      <c r="Q1310" s="1207"/>
    </row>
    <row r="1311" spans="3:17" s="700" customFormat="1" ht="70.5" hidden="1" customHeight="1">
      <c r="C1311" s="701"/>
      <c r="D1311" s="811"/>
      <c r="E1311" s="1276">
        <v>0</v>
      </c>
      <c r="F1311" s="748">
        <f t="shared" si="259"/>
        <v>0</v>
      </c>
      <c r="G1311" s="1205"/>
      <c r="H1311" s="1055"/>
      <c r="I1311" s="1055"/>
      <c r="J1311" s="1055"/>
      <c r="K1311" s="1205"/>
      <c r="L1311" s="1055"/>
      <c r="M1311" s="1205"/>
      <c r="N1311" s="1054"/>
      <c r="O1311" s="1207"/>
      <c r="Q1311" s="1207"/>
    </row>
    <row r="1312" spans="3:17" s="700" customFormat="1" ht="70.5" hidden="1" customHeight="1">
      <c r="C1312" s="701"/>
      <c r="D1312" s="811"/>
      <c r="E1312" s="1276">
        <v>0</v>
      </c>
      <c r="F1312" s="748">
        <f t="shared" si="259"/>
        <v>0</v>
      </c>
      <c r="G1312" s="1205"/>
      <c r="H1312" s="1055"/>
      <c r="I1312" s="1055"/>
      <c r="J1312" s="1055"/>
      <c r="K1312" s="1205"/>
      <c r="L1312" s="1055"/>
      <c r="M1312" s="1205"/>
      <c r="N1312" s="701"/>
      <c r="O1312" s="1207"/>
      <c r="Q1312" s="1207"/>
    </row>
    <row r="1313" spans="3:17" s="700" customFormat="1" ht="70.5" hidden="1" customHeight="1">
      <c r="C1313" s="701"/>
      <c r="D1313" s="811"/>
      <c r="E1313" s="1276">
        <v>0</v>
      </c>
      <c r="F1313" s="748">
        <f t="shared" si="259"/>
        <v>0</v>
      </c>
      <c r="G1313" s="1205"/>
      <c r="H1313" s="1055"/>
      <c r="I1313" s="1055"/>
      <c r="J1313" s="1055"/>
      <c r="K1313" s="1205"/>
      <c r="L1313" s="1055"/>
      <c r="M1313" s="1205"/>
      <c r="N1313" s="701"/>
      <c r="O1313" s="1207"/>
      <c r="Q1313" s="1207"/>
    </row>
    <row r="1314" spans="3:17" s="700" customFormat="1" ht="70.5" hidden="1" customHeight="1">
      <c r="C1314" s="701"/>
      <c r="D1314" s="811"/>
      <c r="E1314" s="1276">
        <v>0</v>
      </c>
      <c r="F1314" s="748">
        <f t="shared" si="259"/>
        <v>0</v>
      </c>
      <c r="G1314" s="1205"/>
      <c r="H1314" s="1055"/>
      <c r="I1314" s="1055"/>
      <c r="J1314" s="1055"/>
      <c r="K1314" s="1205"/>
      <c r="L1314" s="1055"/>
      <c r="M1314" s="1205"/>
      <c r="N1314" s="701"/>
      <c r="O1314" s="1207"/>
      <c r="Q1314" s="1207"/>
    </row>
    <row r="1315" spans="3:17" s="700" customFormat="1" ht="70.5" hidden="1" customHeight="1">
      <c r="C1315" s="701"/>
      <c r="D1315" s="811"/>
      <c r="E1315" s="1276">
        <v>0</v>
      </c>
      <c r="F1315" s="748">
        <f t="shared" si="259"/>
        <v>0</v>
      </c>
      <c r="G1315" s="1205"/>
      <c r="H1315" s="1055"/>
      <c r="I1315" s="1055"/>
      <c r="J1315" s="1055"/>
      <c r="K1315" s="1205"/>
      <c r="L1315" s="1055"/>
      <c r="M1315" s="1205"/>
      <c r="N1315" s="701"/>
      <c r="O1315" s="1207"/>
      <c r="Q1315" s="1207"/>
    </row>
    <row r="1316" spans="3:17" s="700" customFormat="1" ht="70.5" hidden="1" customHeight="1">
      <c r="C1316" s="701"/>
      <c r="D1316" s="811"/>
      <c r="E1316" s="1276">
        <v>0</v>
      </c>
      <c r="F1316" s="748">
        <f t="shared" si="259"/>
        <v>0</v>
      </c>
      <c r="G1316" s="1205"/>
      <c r="H1316" s="1055"/>
      <c r="I1316" s="1055"/>
      <c r="J1316" s="1055"/>
      <c r="K1316" s="1205"/>
      <c r="L1316" s="1055"/>
      <c r="M1316" s="1205"/>
      <c r="N1316" s="701"/>
      <c r="O1316" s="1207"/>
      <c r="Q1316" s="1207"/>
    </row>
    <row r="1317" spans="3:17" s="700" customFormat="1" ht="70.5" hidden="1" customHeight="1">
      <c r="C1317" s="701"/>
      <c r="D1317" s="811"/>
      <c r="E1317" s="1276">
        <v>0</v>
      </c>
      <c r="F1317" s="748">
        <f t="shared" si="259"/>
        <v>0</v>
      </c>
      <c r="G1317" s="1205"/>
      <c r="H1317" s="1055"/>
      <c r="I1317" s="1055"/>
      <c r="J1317" s="1055"/>
      <c r="K1317" s="1205"/>
      <c r="L1317" s="1055"/>
      <c r="M1317" s="1205"/>
      <c r="N1317" s="701"/>
      <c r="O1317" s="1207"/>
      <c r="Q1317" s="1207"/>
    </row>
    <row r="1318" spans="3:17" s="700" customFormat="1" ht="70.5" hidden="1" customHeight="1">
      <c r="C1318" s="701"/>
      <c r="D1318" s="811"/>
      <c r="E1318" s="1276">
        <v>0</v>
      </c>
      <c r="F1318" s="748">
        <f t="shared" si="259"/>
        <v>0</v>
      </c>
      <c r="G1318" s="1205"/>
      <c r="H1318" s="1055"/>
      <c r="I1318" s="1055"/>
      <c r="J1318" s="1055"/>
      <c r="K1318" s="1205"/>
      <c r="L1318" s="1055"/>
      <c r="M1318" s="1205"/>
      <c r="N1318" s="701"/>
      <c r="O1318" s="1207"/>
      <c r="Q1318" s="1207"/>
    </row>
    <row r="1319" spans="3:17" s="700" customFormat="1" ht="70.5" hidden="1" customHeight="1">
      <c r="C1319" s="701"/>
      <c r="D1319" s="811"/>
      <c r="E1319" s="1276">
        <v>0</v>
      </c>
      <c r="F1319" s="748">
        <f t="shared" si="259"/>
        <v>0</v>
      </c>
      <c r="G1319" s="1205"/>
      <c r="H1319" s="1055"/>
      <c r="I1319" s="1055"/>
      <c r="J1319" s="1055"/>
      <c r="K1319" s="1205"/>
      <c r="L1319" s="1055"/>
      <c r="M1319" s="1205"/>
      <c r="N1319" s="701"/>
      <c r="O1319" s="1207"/>
      <c r="Q1319" s="1207"/>
    </row>
    <row r="1320" spans="3:17" s="700" customFormat="1" ht="70.5" hidden="1" customHeight="1">
      <c r="C1320" s="701"/>
      <c r="D1320" s="811"/>
      <c r="E1320" s="1276">
        <v>0</v>
      </c>
      <c r="F1320" s="748">
        <f t="shared" si="259"/>
        <v>0</v>
      </c>
      <c r="G1320" s="1205"/>
      <c r="H1320" s="1055"/>
      <c r="I1320" s="1055"/>
      <c r="J1320" s="1055"/>
      <c r="K1320" s="1205"/>
      <c r="L1320" s="1055"/>
      <c r="M1320" s="1205"/>
      <c r="N1320" s="701"/>
      <c r="O1320" s="1207"/>
      <c r="Q1320" s="1207"/>
    </row>
    <row r="1321" spans="3:17" s="700" customFormat="1" ht="70.5" hidden="1" customHeight="1">
      <c r="C1321" s="701"/>
      <c r="D1321" s="811"/>
      <c r="E1321" s="1276">
        <v>0</v>
      </c>
      <c r="F1321" s="748">
        <f t="shared" si="259"/>
        <v>0</v>
      </c>
      <c r="G1321" s="1205"/>
      <c r="H1321" s="1055"/>
      <c r="I1321" s="1055"/>
      <c r="J1321" s="1055"/>
      <c r="K1321" s="1205"/>
      <c r="L1321" s="1055"/>
      <c r="M1321" s="1205"/>
      <c r="N1321" s="701"/>
      <c r="O1321" s="1207"/>
      <c r="Q1321" s="1207"/>
    </row>
    <row r="1322" spans="3:17" s="700" customFormat="1" ht="70.5" hidden="1" customHeight="1">
      <c r="C1322" s="701"/>
      <c r="D1322" s="811"/>
      <c r="E1322" s="1276">
        <v>0</v>
      </c>
      <c r="F1322" s="748">
        <f t="shared" si="259"/>
        <v>0</v>
      </c>
      <c r="G1322" s="1205"/>
      <c r="H1322" s="1055"/>
      <c r="I1322" s="1055"/>
      <c r="J1322" s="1055"/>
      <c r="K1322" s="1205"/>
      <c r="L1322" s="1055"/>
      <c r="M1322" s="1205"/>
      <c r="N1322" s="701"/>
      <c r="O1322" s="1207"/>
      <c r="Q1322" s="1207"/>
    </row>
    <row r="1323" spans="3:17" s="700" customFormat="1" ht="70.5" hidden="1" customHeight="1">
      <c r="C1323" s="701"/>
      <c r="D1323" s="811"/>
      <c r="E1323" s="1276">
        <v>0</v>
      </c>
      <c r="F1323" s="748">
        <f t="shared" si="259"/>
        <v>0</v>
      </c>
      <c r="G1323" s="1205"/>
      <c r="H1323" s="1055"/>
      <c r="I1323" s="1055"/>
      <c r="J1323" s="1055"/>
      <c r="K1323" s="1205"/>
      <c r="L1323" s="1055"/>
      <c r="M1323" s="1205"/>
      <c r="N1323" s="701"/>
      <c r="O1323" s="1207"/>
      <c r="Q1323" s="1207"/>
    </row>
    <row r="1324" spans="3:17" s="700" customFormat="1" ht="70.5" hidden="1" customHeight="1">
      <c r="C1324" s="701"/>
      <c r="D1324" s="811"/>
      <c r="E1324" s="1276">
        <v>0</v>
      </c>
      <c r="F1324" s="748">
        <f t="shared" si="259"/>
        <v>0</v>
      </c>
      <c r="G1324" s="1205"/>
      <c r="H1324" s="1055"/>
      <c r="I1324" s="1055"/>
      <c r="J1324" s="1055"/>
      <c r="K1324" s="1205"/>
      <c r="L1324" s="1055"/>
      <c r="M1324" s="1205"/>
      <c r="N1324" s="701"/>
      <c r="O1324" s="1207"/>
      <c r="Q1324" s="1207"/>
    </row>
    <row r="1325" spans="3:17" s="700" customFormat="1" ht="70.5" hidden="1" customHeight="1">
      <c r="C1325" s="701"/>
      <c r="D1325" s="811"/>
      <c r="E1325" s="1276">
        <v>0</v>
      </c>
      <c r="F1325" s="748">
        <f t="shared" si="259"/>
        <v>0</v>
      </c>
      <c r="G1325" s="1205"/>
      <c r="H1325" s="1055"/>
      <c r="I1325" s="1055"/>
      <c r="J1325" s="1055"/>
      <c r="K1325" s="1205"/>
      <c r="L1325" s="1055"/>
      <c r="M1325" s="1205"/>
      <c r="N1325" s="701"/>
      <c r="O1325" s="1207"/>
      <c r="Q1325" s="1207"/>
    </row>
    <row r="1326" spans="3:17" s="700" customFormat="1" ht="70.5" hidden="1" customHeight="1">
      <c r="C1326" s="701"/>
      <c r="D1326" s="811"/>
      <c r="E1326" s="1276">
        <v>0</v>
      </c>
      <c r="F1326" s="748">
        <f t="shared" si="259"/>
        <v>0</v>
      </c>
      <c r="G1326" s="1205"/>
      <c r="H1326" s="1055"/>
      <c r="I1326" s="1055"/>
      <c r="J1326" s="1055"/>
      <c r="K1326" s="1205"/>
      <c r="L1326" s="1055"/>
      <c r="M1326" s="1205"/>
      <c r="N1326" s="701"/>
      <c r="O1326" s="1207"/>
      <c r="Q1326" s="1207"/>
    </row>
    <row r="1327" spans="3:17" s="700" customFormat="1" ht="70.5" hidden="1" customHeight="1">
      <c r="C1327" s="701"/>
      <c r="D1327" s="811"/>
      <c r="E1327" s="1276">
        <v>0</v>
      </c>
      <c r="F1327" s="748">
        <f t="shared" si="259"/>
        <v>0</v>
      </c>
      <c r="G1327" s="1205"/>
      <c r="H1327" s="1055"/>
      <c r="I1327" s="1055"/>
      <c r="J1327" s="1055"/>
      <c r="K1327" s="1205"/>
      <c r="L1327" s="1055"/>
      <c r="M1327" s="1205"/>
      <c r="N1327" s="701"/>
      <c r="O1327" s="1207"/>
      <c r="Q1327" s="1207"/>
    </row>
    <row r="1328" spans="3:17" s="700" customFormat="1" ht="70.5" hidden="1" customHeight="1">
      <c r="C1328" s="701"/>
      <c r="D1328" s="811"/>
      <c r="E1328" s="1276">
        <v>0</v>
      </c>
      <c r="F1328" s="748">
        <f t="shared" si="259"/>
        <v>0</v>
      </c>
      <c r="G1328" s="1205"/>
      <c r="H1328" s="1055"/>
      <c r="I1328" s="1055"/>
      <c r="J1328" s="1055"/>
      <c r="K1328" s="1205"/>
      <c r="L1328" s="1055"/>
      <c r="M1328" s="1205"/>
      <c r="N1328" s="701"/>
      <c r="O1328" s="1207"/>
      <c r="Q1328" s="1207"/>
    </row>
    <row r="1329" spans="3:17" s="700" customFormat="1" ht="70.5" hidden="1" customHeight="1">
      <c r="C1329" s="701"/>
      <c r="D1329" s="811"/>
      <c r="E1329" s="1276">
        <v>0</v>
      </c>
      <c r="F1329" s="748">
        <f t="shared" si="259"/>
        <v>0</v>
      </c>
      <c r="G1329" s="1205"/>
      <c r="H1329" s="1055"/>
      <c r="I1329" s="1055"/>
      <c r="J1329" s="1055"/>
      <c r="K1329" s="1205"/>
      <c r="L1329" s="1055"/>
      <c r="M1329" s="1205"/>
      <c r="N1329" s="701"/>
      <c r="O1329" s="1207"/>
      <c r="Q1329" s="1207"/>
    </row>
    <row r="1330" spans="3:17" s="700" customFormat="1" ht="70.5" hidden="1" customHeight="1">
      <c r="C1330" s="701"/>
      <c r="D1330" s="811"/>
      <c r="E1330" s="1276">
        <v>0</v>
      </c>
      <c r="F1330" s="748">
        <f t="shared" si="259"/>
        <v>0</v>
      </c>
      <c r="G1330" s="1205"/>
      <c r="H1330" s="1055"/>
      <c r="I1330" s="1055"/>
      <c r="J1330" s="1055"/>
      <c r="K1330" s="1205"/>
      <c r="L1330" s="1055"/>
      <c r="M1330" s="1205"/>
      <c r="N1330" s="701"/>
      <c r="O1330" s="1207"/>
      <c r="Q1330" s="1207"/>
    </row>
    <row r="1331" spans="3:17" s="700" customFormat="1" ht="70.5" hidden="1" customHeight="1">
      <c r="C1331" s="701"/>
      <c r="D1331" s="811"/>
      <c r="E1331" s="1276">
        <v>0</v>
      </c>
      <c r="F1331" s="748">
        <f t="shared" si="259"/>
        <v>0</v>
      </c>
      <c r="G1331" s="1205"/>
      <c r="H1331" s="1055"/>
      <c r="I1331" s="1055"/>
      <c r="J1331" s="1055"/>
      <c r="K1331" s="1205"/>
      <c r="L1331" s="1055"/>
      <c r="M1331" s="1205"/>
      <c r="N1331" s="1054"/>
      <c r="O1331" s="1207"/>
      <c r="Q1331" s="1207"/>
    </row>
    <row r="1332" spans="3:17" s="700" customFormat="1" ht="70.5" hidden="1" customHeight="1">
      <c r="C1332" s="701"/>
      <c r="D1332" s="811"/>
      <c r="E1332" s="1276">
        <v>0</v>
      </c>
      <c r="F1332" s="748">
        <f t="shared" si="259"/>
        <v>0</v>
      </c>
      <c r="G1332" s="1205"/>
      <c r="H1332" s="1055"/>
      <c r="I1332" s="1055"/>
      <c r="J1332" s="1055"/>
      <c r="K1332" s="1205"/>
      <c r="L1332" s="1055"/>
      <c r="M1332" s="1205"/>
      <c r="N1332" s="1054"/>
      <c r="O1332" s="1207"/>
      <c r="Q1332" s="1207"/>
    </row>
    <row r="1333" spans="3:17" s="700" customFormat="1" ht="70.5" hidden="1" customHeight="1">
      <c r="C1333" s="701"/>
      <c r="D1333" s="811"/>
      <c r="E1333" s="1276">
        <v>0</v>
      </c>
      <c r="F1333" s="748">
        <f t="shared" si="259"/>
        <v>0</v>
      </c>
      <c r="G1333" s="1205"/>
      <c r="H1333" s="1055"/>
      <c r="I1333" s="1055"/>
      <c r="J1333" s="1055"/>
      <c r="K1333" s="1205"/>
      <c r="L1333" s="1055"/>
      <c r="M1333" s="1205"/>
      <c r="N1333" s="1054"/>
      <c r="O1333" s="1207"/>
      <c r="Q1333" s="1207"/>
    </row>
    <row r="1334" spans="3:17" s="700" customFormat="1" ht="70.5" hidden="1" customHeight="1">
      <c r="C1334" s="701"/>
      <c r="D1334" s="811"/>
      <c r="E1334" s="1276">
        <v>0</v>
      </c>
      <c r="F1334" s="748">
        <f t="shared" si="259"/>
        <v>0</v>
      </c>
      <c r="G1334" s="1205"/>
      <c r="H1334" s="1055"/>
      <c r="I1334" s="1055"/>
      <c r="J1334" s="1055"/>
      <c r="K1334" s="1205"/>
      <c r="L1334" s="1055"/>
      <c r="M1334" s="1205"/>
      <c r="N1334" s="1054"/>
      <c r="O1334" s="1207"/>
      <c r="Q1334" s="1207"/>
    </row>
    <row r="1335" spans="3:17" s="700" customFormat="1" ht="70.5" hidden="1" customHeight="1">
      <c r="C1335" s="701"/>
      <c r="D1335" s="811"/>
      <c r="E1335" s="1276">
        <v>0</v>
      </c>
      <c r="F1335" s="748">
        <f t="shared" si="259"/>
        <v>0</v>
      </c>
      <c r="G1335" s="1205"/>
      <c r="H1335" s="1055"/>
      <c r="I1335" s="1055"/>
      <c r="J1335" s="1055"/>
      <c r="K1335" s="1205"/>
      <c r="L1335" s="1055"/>
      <c r="M1335" s="1205"/>
      <c r="N1335" s="1054"/>
      <c r="O1335" s="1207"/>
      <c r="Q1335" s="1207"/>
    </row>
    <row r="1336" spans="3:17" s="700" customFormat="1" ht="70.5" hidden="1" customHeight="1">
      <c r="C1336" s="701"/>
      <c r="D1336" s="811"/>
      <c r="E1336" s="1276">
        <v>0</v>
      </c>
      <c r="F1336" s="748">
        <f t="shared" si="259"/>
        <v>0</v>
      </c>
      <c r="G1336" s="1205"/>
      <c r="H1336" s="1055"/>
      <c r="I1336" s="1055"/>
      <c r="J1336" s="1055"/>
      <c r="K1336" s="1205"/>
      <c r="L1336" s="1055"/>
      <c r="M1336" s="1205"/>
      <c r="N1336" s="1054"/>
      <c r="O1336" s="1207"/>
      <c r="Q1336" s="1207"/>
    </row>
    <row r="1337" spans="3:17" s="700" customFormat="1" ht="70.5" hidden="1" customHeight="1">
      <c r="C1337" s="701"/>
      <c r="D1337" s="811"/>
      <c r="E1337" s="1276">
        <v>0</v>
      </c>
      <c r="F1337" s="748">
        <f t="shared" si="259"/>
        <v>0</v>
      </c>
      <c r="G1337" s="1205"/>
      <c r="H1337" s="1055"/>
      <c r="I1337" s="1055"/>
      <c r="J1337" s="1055"/>
      <c r="K1337" s="1205"/>
      <c r="L1337" s="1055"/>
      <c r="M1337" s="1205"/>
      <c r="N1337" s="1054"/>
      <c r="O1337" s="1207"/>
      <c r="Q1337" s="1207"/>
    </row>
    <row r="1338" spans="3:17" s="700" customFormat="1" ht="70.5" hidden="1" customHeight="1">
      <c r="C1338" s="701"/>
      <c r="D1338" s="811"/>
      <c r="E1338" s="1276">
        <v>0</v>
      </c>
      <c r="F1338" s="748">
        <f t="shared" si="259"/>
        <v>0</v>
      </c>
      <c r="G1338" s="1205"/>
      <c r="H1338" s="1055"/>
      <c r="I1338" s="1055"/>
      <c r="J1338" s="1055"/>
      <c r="K1338" s="1205"/>
      <c r="L1338" s="1055"/>
      <c r="M1338" s="1205"/>
      <c r="N1338" s="1054"/>
      <c r="O1338" s="1207"/>
      <c r="Q1338" s="1207"/>
    </row>
    <row r="1339" spans="3:17" s="700" customFormat="1" ht="70.5" hidden="1" customHeight="1">
      <c r="C1339" s="701"/>
      <c r="D1339" s="811"/>
      <c r="E1339" s="1276">
        <v>0</v>
      </c>
      <c r="F1339" s="748">
        <f t="shared" si="259"/>
        <v>0</v>
      </c>
      <c r="G1339" s="1205"/>
      <c r="H1339" s="1055"/>
      <c r="I1339" s="1055"/>
      <c r="J1339" s="1055"/>
      <c r="K1339" s="1205"/>
      <c r="L1339" s="1055"/>
      <c r="M1339" s="1205"/>
      <c r="N1339" s="1054"/>
      <c r="O1339" s="1207"/>
      <c r="Q1339" s="1207"/>
    </row>
    <row r="1340" spans="3:17" s="700" customFormat="1" ht="70.5" hidden="1" customHeight="1">
      <c r="C1340" s="701"/>
      <c r="D1340" s="811"/>
      <c r="E1340" s="1276">
        <v>0</v>
      </c>
      <c r="F1340" s="748">
        <f t="shared" si="259"/>
        <v>0</v>
      </c>
      <c r="G1340" s="1205"/>
      <c r="H1340" s="1055"/>
      <c r="I1340" s="1055"/>
      <c r="J1340" s="1055"/>
      <c r="K1340" s="1205"/>
      <c r="L1340" s="1055"/>
      <c r="M1340" s="1205"/>
      <c r="N1340" s="1054"/>
      <c r="O1340" s="1207"/>
      <c r="Q1340" s="1207"/>
    </row>
    <row r="1341" spans="3:17" s="700" customFormat="1" ht="70.5" hidden="1" customHeight="1">
      <c r="C1341" s="701"/>
      <c r="D1341" s="811"/>
      <c r="E1341" s="1276">
        <v>0</v>
      </c>
      <c r="F1341" s="748">
        <f t="shared" si="259"/>
        <v>0</v>
      </c>
      <c r="G1341" s="1205"/>
      <c r="H1341" s="1055"/>
      <c r="I1341" s="1055"/>
      <c r="J1341" s="1055"/>
      <c r="K1341" s="1205"/>
      <c r="L1341" s="1055"/>
      <c r="M1341" s="1205"/>
      <c r="N1341" s="1054"/>
      <c r="O1341" s="1207"/>
      <c r="Q1341" s="1207"/>
    </row>
    <row r="1342" spans="3:17" s="700" customFormat="1" ht="70.5" hidden="1" customHeight="1">
      <c r="C1342" s="701"/>
      <c r="D1342" s="811"/>
      <c r="E1342" s="1276">
        <v>0</v>
      </c>
      <c r="F1342" s="748">
        <f t="shared" si="259"/>
        <v>0</v>
      </c>
      <c r="G1342" s="1205"/>
      <c r="H1342" s="1055"/>
      <c r="I1342" s="1055"/>
      <c r="J1342" s="1055"/>
      <c r="K1342" s="1205"/>
      <c r="L1342" s="1055"/>
      <c r="M1342" s="1205"/>
      <c r="N1342" s="1054"/>
      <c r="O1342" s="1207"/>
      <c r="Q1342" s="1207"/>
    </row>
    <row r="1343" spans="3:17" s="700" customFormat="1" ht="70.5" hidden="1" customHeight="1">
      <c r="C1343" s="701"/>
      <c r="D1343" s="811"/>
      <c r="E1343" s="1276">
        <v>0</v>
      </c>
      <c r="F1343" s="748">
        <f t="shared" si="259"/>
        <v>0</v>
      </c>
      <c r="G1343" s="1205"/>
      <c r="H1343" s="1055"/>
      <c r="I1343" s="1055"/>
      <c r="J1343" s="1055"/>
      <c r="K1343" s="1205"/>
      <c r="L1343" s="1055"/>
      <c r="M1343" s="1205"/>
      <c r="N1343" s="1054"/>
      <c r="O1343" s="1207"/>
      <c r="Q1343" s="1207"/>
    </row>
    <row r="1344" spans="3:17" s="700" customFormat="1" ht="70.5" hidden="1" customHeight="1">
      <c r="C1344" s="701"/>
      <c r="D1344" s="811"/>
      <c r="E1344" s="1276">
        <v>0</v>
      </c>
      <c r="F1344" s="748">
        <f t="shared" ref="F1344:F1407" si="260">E1344*C1344</f>
        <v>0</v>
      </c>
      <c r="G1344" s="1205"/>
      <c r="H1344" s="1055"/>
      <c r="I1344" s="1055"/>
      <c r="J1344" s="1055"/>
      <c r="K1344" s="1205"/>
      <c r="L1344" s="1055"/>
      <c r="M1344" s="1205"/>
      <c r="N1344" s="1054"/>
      <c r="O1344" s="1207"/>
      <c r="Q1344" s="1207"/>
    </row>
    <row r="1345" spans="3:17" s="700" customFormat="1" ht="70.5" hidden="1" customHeight="1">
      <c r="C1345" s="701"/>
      <c r="D1345" s="811"/>
      <c r="E1345" s="1276">
        <v>0</v>
      </c>
      <c r="F1345" s="748">
        <f t="shared" si="260"/>
        <v>0</v>
      </c>
      <c r="G1345" s="1205"/>
      <c r="H1345" s="1055"/>
      <c r="I1345" s="1055"/>
      <c r="J1345" s="1055"/>
      <c r="K1345" s="1205"/>
      <c r="L1345" s="1055"/>
      <c r="M1345" s="1205"/>
      <c r="N1345" s="1054"/>
      <c r="O1345" s="1207"/>
      <c r="Q1345" s="1207"/>
    </row>
    <row r="1346" spans="3:17" s="700" customFormat="1" ht="70.5" hidden="1" customHeight="1">
      <c r="C1346" s="701"/>
      <c r="D1346" s="811"/>
      <c r="E1346" s="1276">
        <v>0</v>
      </c>
      <c r="F1346" s="748">
        <f t="shared" si="260"/>
        <v>0</v>
      </c>
      <c r="G1346" s="1205"/>
      <c r="H1346" s="1055"/>
      <c r="I1346" s="1055"/>
      <c r="J1346" s="1055"/>
      <c r="K1346" s="1205"/>
      <c r="L1346" s="1055"/>
      <c r="M1346" s="1205"/>
      <c r="N1346" s="1054"/>
      <c r="O1346" s="1207"/>
      <c r="Q1346" s="1207"/>
    </row>
    <row r="1347" spans="3:17" s="700" customFormat="1" ht="70.5" hidden="1" customHeight="1">
      <c r="C1347" s="701"/>
      <c r="D1347" s="811"/>
      <c r="E1347" s="1276">
        <v>0</v>
      </c>
      <c r="F1347" s="748">
        <f t="shared" si="260"/>
        <v>0</v>
      </c>
      <c r="G1347" s="1205"/>
      <c r="H1347" s="1055"/>
      <c r="I1347" s="1055"/>
      <c r="J1347" s="1055"/>
      <c r="K1347" s="1205"/>
      <c r="L1347" s="1055"/>
      <c r="M1347" s="1205"/>
      <c r="N1347" s="1054"/>
      <c r="O1347" s="1207"/>
      <c r="Q1347" s="1207"/>
    </row>
    <row r="1348" spans="3:17" s="700" customFormat="1" ht="70.5" hidden="1" customHeight="1">
      <c r="C1348" s="701"/>
      <c r="D1348" s="811"/>
      <c r="E1348" s="1276">
        <v>0</v>
      </c>
      <c r="F1348" s="748">
        <f t="shared" si="260"/>
        <v>0</v>
      </c>
      <c r="G1348" s="1205"/>
      <c r="H1348" s="1055"/>
      <c r="I1348" s="1055"/>
      <c r="J1348" s="1055"/>
      <c r="K1348" s="1205"/>
      <c r="L1348" s="1055"/>
      <c r="M1348" s="1205"/>
      <c r="N1348" s="1054"/>
      <c r="O1348" s="1207"/>
      <c r="Q1348" s="1207"/>
    </row>
    <row r="1349" spans="3:17" s="700" customFormat="1" ht="70.5" hidden="1" customHeight="1">
      <c r="C1349" s="701"/>
      <c r="D1349" s="811"/>
      <c r="E1349" s="1276">
        <v>0</v>
      </c>
      <c r="F1349" s="748">
        <f t="shared" si="260"/>
        <v>0</v>
      </c>
      <c r="G1349" s="1205"/>
      <c r="H1349" s="1055"/>
      <c r="I1349" s="1055"/>
      <c r="J1349" s="1055"/>
      <c r="K1349" s="1205"/>
      <c r="L1349" s="1055"/>
      <c r="M1349" s="1205"/>
      <c r="N1349" s="1054"/>
      <c r="O1349" s="1207"/>
      <c r="Q1349" s="1207"/>
    </row>
    <row r="1350" spans="3:17" s="700" customFormat="1" ht="70.5" hidden="1" customHeight="1">
      <c r="C1350" s="701"/>
      <c r="D1350" s="811"/>
      <c r="E1350" s="1276">
        <v>0</v>
      </c>
      <c r="F1350" s="748">
        <f t="shared" si="260"/>
        <v>0</v>
      </c>
      <c r="G1350" s="1205"/>
      <c r="H1350" s="1055"/>
      <c r="I1350" s="1055"/>
      <c r="J1350" s="1055"/>
      <c r="K1350" s="1205"/>
      <c r="L1350" s="1055"/>
      <c r="M1350" s="1205"/>
      <c r="N1350" s="1054"/>
      <c r="O1350" s="1207"/>
      <c r="Q1350" s="1207"/>
    </row>
    <row r="1351" spans="3:17" s="700" customFormat="1" ht="70.5" hidden="1" customHeight="1">
      <c r="C1351" s="701"/>
      <c r="D1351" s="811"/>
      <c r="E1351" s="1276">
        <v>0</v>
      </c>
      <c r="F1351" s="748">
        <f t="shared" si="260"/>
        <v>0</v>
      </c>
      <c r="G1351" s="1205"/>
      <c r="H1351" s="1055"/>
      <c r="I1351" s="1055"/>
      <c r="J1351" s="1055"/>
      <c r="K1351" s="1205"/>
      <c r="L1351" s="1055"/>
      <c r="M1351" s="1205"/>
      <c r="N1351" s="1054"/>
      <c r="O1351" s="1207"/>
      <c r="Q1351" s="1207"/>
    </row>
    <row r="1352" spans="3:17" s="700" customFormat="1" ht="70.5" hidden="1" customHeight="1">
      <c r="C1352" s="701"/>
      <c r="D1352" s="811"/>
      <c r="E1352" s="1276">
        <v>0</v>
      </c>
      <c r="F1352" s="748">
        <f t="shared" si="260"/>
        <v>0</v>
      </c>
      <c r="G1352" s="1205"/>
      <c r="H1352" s="1055"/>
      <c r="I1352" s="1055"/>
      <c r="J1352" s="1055"/>
      <c r="K1352" s="1205"/>
      <c r="L1352" s="1055"/>
      <c r="M1352" s="1205"/>
      <c r="N1352" s="1054"/>
      <c r="O1352" s="1207"/>
      <c r="Q1352" s="1207"/>
    </row>
    <row r="1353" spans="3:17" s="700" customFormat="1" ht="70.5" hidden="1" customHeight="1">
      <c r="C1353" s="701"/>
      <c r="D1353" s="811"/>
      <c r="E1353" s="1276">
        <v>0</v>
      </c>
      <c r="F1353" s="748">
        <f t="shared" si="260"/>
        <v>0</v>
      </c>
      <c r="G1353" s="1205"/>
      <c r="H1353" s="1055"/>
      <c r="I1353" s="1055"/>
      <c r="J1353" s="1055"/>
      <c r="K1353" s="1205"/>
      <c r="L1353" s="1055"/>
      <c r="M1353" s="1205"/>
      <c r="N1353" s="1054"/>
      <c r="O1353" s="1207"/>
      <c r="Q1353" s="1207"/>
    </row>
    <row r="1354" spans="3:17" s="700" customFormat="1" ht="70.5" hidden="1" customHeight="1">
      <c r="C1354" s="701"/>
      <c r="D1354" s="811"/>
      <c r="E1354" s="1276">
        <v>0</v>
      </c>
      <c r="F1354" s="748">
        <f t="shared" si="260"/>
        <v>0</v>
      </c>
      <c r="G1354" s="1205"/>
      <c r="H1354" s="1055"/>
      <c r="I1354" s="1055"/>
      <c r="J1354" s="1055"/>
      <c r="K1354" s="1205"/>
      <c r="L1354" s="1055"/>
      <c r="M1354" s="1205"/>
      <c r="N1354" s="1054"/>
      <c r="O1354" s="1207"/>
      <c r="Q1354" s="1207"/>
    </row>
    <row r="1355" spans="3:17" s="700" customFormat="1" ht="70.5" hidden="1" customHeight="1">
      <c r="C1355" s="701"/>
      <c r="D1355" s="811"/>
      <c r="E1355" s="1276">
        <v>0</v>
      </c>
      <c r="F1355" s="748">
        <f t="shared" si="260"/>
        <v>0</v>
      </c>
      <c r="G1355" s="1205"/>
      <c r="H1355" s="1055"/>
      <c r="I1355" s="1055"/>
      <c r="J1355" s="1055"/>
      <c r="K1355" s="1205"/>
      <c r="L1355" s="1055"/>
      <c r="M1355" s="1205"/>
      <c r="N1355" s="1054"/>
      <c r="O1355" s="1207"/>
      <c r="Q1355" s="1207"/>
    </row>
    <row r="1356" spans="3:17" s="700" customFormat="1" ht="70.5" hidden="1" customHeight="1">
      <c r="C1356" s="701"/>
      <c r="D1356" s="811"/>
      <c r="E1356" s="1276">
        <v>0</v>
      </c>
      <c r="F1356" s="748">
        <f t="shared" si="260"/>
        <v>0</v>
      </c>
      <c r="G1356" s="1205"/>
      <c r="H1356" s="1055"/>
      <c r="I1356" s="1055"/>
      <c r="J1356" s="1055"/>
      <c r="K1356" s="1205"/>
      <c r="L1356" s="1055"/>
      <c r="M1356" s="1205"/>
      <c r="N1356" s="1054"/>
      <c r="O1356" s="1207"/>
      <c r="Q1356" s="1207"/>
    </row>
    <row r="1357" spans="3:17" s="700" customFormat="1" ht="70.5" hidden="1" customHeight="1">
      <c r="C1357" s="701"/>
      <c r="D1357" s="811"/>
      <c r="E1357" s="1276">
        <v>0</v>
      </c>
      <c r="F1357" s="748">
        <f t="shared" si="260"/>
        <v>0</v>
      </c>
      <c r="G1357" s="1205"/>
      <c r="H1357" s="1055"/>
      <c r="I1357" s="1055"/>
      <c r="J1357" s="1055"/>
      <c r="K1357" s="1205"/>
      <c r="L1357" s="1055"/>
      <c r="M1357" s="1205"/>
      <c r="N1357" s="1054"/>
      <c r="O1357" s="1207"/>
      <c r="Q1357" s="1207"/>
    </row>
    <row r="1358" spans="3:17" s="700" customFormat="1" ht="70.5" hidden="1" customHeight="1">
      <c r="C1358" s="701"/>
      <c r="D1358" s="811"/>
      <c r="E1358" s="1276">
        <v>0</v>
      </c>
      <c r="F1358" s="748">
        <f t="shared" si="260"/>
        <v>0</v>
      </c>
      <c r="G1358" s="1205"/>
      <c r="H1358" s="1055"/>
      <c r="I1358" s="1055"/>
      <c r="J1358" s="1055"/>
      <c r="K1358" s="1205"/>
      <c r="L1358" s="1055"/>
      <c r="M1358" s="1205"/>
      <c r="N1358" s="1054"/>
      <c r="O1358" s="1207"/>
      <c r="Q1358" s="1207"/>
    </row>
    <row r="1359" spans="3:17" s="700" customFormat="1" ht="70.5" hidden="1" customHeight="1">
      <c r="C1359" s="701"/>
      <c r="D1359" s="811"/>
      <c r="E1359" s="1276">
        <v>0</v>
      </c>
      <c r="F1359" s="748">
        <f t="shared" si="260"/>
        <v>0</v>
      </c>
      <c r="G1359" s="1205"/>
      <c r="H1359" s="1055"/>
      <c r="I1359" s="1055"/>
      <c r="J1359" s="1055"/>
      <c r="K1359" s="1205"/>
      <c r="L1359" s="1055"/>
      <c r="M1359" s="1205"/>
      <c r="N1359" s="1054"/>
      <c r="O1359" s="1207"/>
      <c r="Q1359" s="1207"/>
    </row>
    <row r="1360" spans="3:17" s="700" customFormat="1" ht="70.5" hidden="1" customHeight="1">
      <c r="C1360" s="701"/>
      <c r="D1360" s="811"/>
      <c r="E1360" s="1276">
        <v>0</v>
      </c>
      <c r="F1360" s="748">
        <f t="shared" si="260"/>
        <v>0</v>
      </c>
      <c r="G1360" s="1205"/>
      <c r="H1360" s="1055"/>
      <c r="I1360" s="1055"/>
      <c r="J1360" s="1055"/>
      <c r="K1360" s="1205"/>
      <c r="L1360" s="1055"/>
      <c r="M1360" s="1205"/>
      <c r="N1360" s="1054"/>
      <c r="O1360" s="1207"/>
      <c r="Q1360" s="1207"/>
    </row>
    <row r="1361" spans="3:17" s="700" customFormat="1" ht="70.5" hidden="1" customHeight="1">
      <c r="C1361" s="701"/>
      <c r="D1361" s="811"/>
      <c r="E1361" s="1276">
        <v>0</v>
      </c>
      <c r="F1361" s="748">
        <f t="shared" si="260"/>
        <v>0</v>
      </c>
      <c r="G1361" s="1205"/>
      <c r="H1361" s="1055"/>
      <c r="I1361" s="1055"/>
      <c r="J1361" s="1055"/>
      <c r="K1361" s="1205"/>
      <c r="L1361" s="1055"/>
      <c r="M1361" s="1205"/>
      <c r="N1361" s="1054"/>
      <c r="O1361" s="1207"/>
      <c r="Q1361" s="1207"/>
    </row>
    <row r="1362" spans="3:17" s="700" customFormat="1" ht="70.5" hidden="1" customHeight="1">
      <c r="C1362" s="701"/>
      <c r="D1362" s="811"/>
      <c r="E1362" s="1276">
        <v>0</v>
      </c>
      <c r="F1362" s="748">
        <f t="shared" si="260"/>
        <v>0</v>
      </c>
      <c r="G1362" s="1205"/>
      <c r="H1362" s="1055"/>
      <c r="I1362" s="1055"/>
      <c r="J1362" s="1055"/>
      <c r="K1362" s="1205"/>
      <c r="L1362" s="1055"/>
      <c r="M1362" s="1205"/>
      <c r="N1362" s="1054"/>
      <c r="O1362" s="1207"/>
      <c r="Q1362" s="1207"/>
    </row>
    <row r="1363" spans="3:17" s="700" customFormat="1" ht="70.5" hidden="1" customHeight="1">
      <c r="C1363" s="701"/>
      <c r="D1363" s="811"/>
      <c r="E1363" s="1276">
        <v>0</v>
      </c>
      <c r="F1363" s="748">
        <f t="shared" si="260"/>
        <v>0</v>
      </c>
      <c r="G1363" s="1205"/>
      <c r="H1363" s="1055"/>
      <c r="I1363" s="1055"/>
      <c r="J1363" s="1055"/>
      <c r="K1363" s="1205"/>
      <c r="L1363" s="1055"/>
      <c r="M1363" s="1205"/>
      <c r="N1363" s="1054"/>
      <c r="O1363" s="1207"/>
      <c r="Q1363" s="1207"/>
    </row>
    <row r="1364" spans="3:17" s="700" customFormat="1" ht="70.5" hidden="1" customHeight="1">
      <c r="C1364" s="701"/>
      <c r="D1364" s="811"/>
      <c r="E1364" s="1276">
        <v>0</v>
      </c>
      <c r="F1364" s="748">
        <f t="shared" si="260"/>
        <v>0</v>
      </c>
      <c r="G1364" s="1205"/>
      <c r="H1364" s="1055"/>
      <c r="I1364" s="1055"/>
      <c r="J1364" s="1055"/>
      <c r="K1364" s="1205"/>
      <c r="L1364" s="1055"/>
      <c r="M1364" s="1205"/>
      <c r="N1364" s="1054"/>
      <c r="O1364" s="1207"/>
      <c r="Q1364" s="1207"/>
    </row>
    <row r="1365" spans="3:17" s="700" customFormat="1" ht="70.5" hidden="1" customHeight="1">
      <c r="C1365" s="701"/>
      <c r="D1365" s="811"/>
      <c r="E1365" s="1276">
        <v>0</v>
      </c>
      <c r="F1365" s="748">
        <f t="shared" si="260"/>
        <v>0</v>
      </c>
      <c r="G1365" s="1205"/>
      <c r="H1365" s="1055"/>
      <c r="I1365" s="1055"/>
      <c r="J1365" s="1055"/>
      <c r="K1365" s="1205"/>
      <c r="L1365" s="1055"/>
      <c r="M1365" s="1205"/>
      <c r="N1365" s="1054"/>
      <c r="O1365" s="1207"/>
      <c r="Q1365" s="1207"/>
    </row>
    <row r="1366" spans="3:17" s="700" customFormat="1" ht="70.5" hidden="1" customHeight="1">
      <c r="C1366" s="701"/>
      <c r="D1366" s="811"/>
      <c r="E1366" s="1276">
        <v>0</v>
      </c>
      <c r="F1366" s="748">
        <f t="shared" si="260"/>
        <v>0</v>
      </c>
      <c r="G1366" s="1205"/>
      <c r="H1366" s="1055"/>
      <c r="I1366" s="1055"/>
      <c r="J1366" s="1055"/>
      <c r="K1366" s="1205"/>
      <c r="L1366" s="1055"/>
      <c r="M1366" s="1205"/>
      <c r="N1366" s="1054"/>
      <c r="O1366" s="1207"/>
      <c r="Q1366" s="1207"/>
    </row>
    <row r="1367" spans="3:17" s="700" customFormat="1" ht="70.5" hidden="1" customHeight="1">
      <c r="C1367" s="701"/>
      <c r="D1367" s="811"/>
      <c r="E1367" s="1276">
        <v>0</v>
      </c>
      <c r="F1367" s="748">
        <f t="shared" si="260"/>
        <v>0</v>
      </c>
      <c r="G1367" s="1205"/>
      <c r="H1367" s="1055"/>
      <c r="I1367" s="1055"/>
      <c r="J1367" s="1055"/>
      <c r="K1367" s="1205"/>
      <c r="L1367" s="1055"/>
      <c r="M1367" s="1205"/>
      <c r="N1367" s="1054"/>
      <c r="O1367" s="1207"/>
      <c r="Q1367" s="1207"/>
    </row>
    <row r="1368" spans="3:17" s="700" customFormat="1" ht="70.5" hidden="1" customHeight="1">
      <c r="C1368" s="701"/>
      <c r="D1368" s="811"/>
      <c r="E1368" s="1276">
        <v>0</v>
      </c>
      <c r="F1368" s="748">
        <f t="shared" si="260"/>
        <v>0</v>
      </c>
      <c r="G1368" s="1205"/>
      <c r="H1368" s="1055"/>
      <c r="I1368" s="1055"/>
      <c r="J1368" s="1055"/>
      <c r="K1368" s="1205"/>
      <c r="L1368" s="1055"/>
      <c r="M1368" s="1205"/>
      <c r="N1368" s="1054"/>
      <c r="O1368" s="1207"/>
      <c r="Q1368" s="1207"/>
    </row>
    <row r="1369" spans="3:17" s="700" customFormat="1" ht="70.5" hidden="1" customHeight="1">
      <c r="C1369" s="701"/>
      <c r="D1369" s="811"/>
      <c r="E1369" s="1276">
        <v>0</v>
      </c>
      <c r="F1369" s="748">
        <f t="shared" si="260"/>
        <v>0</v>
      </c>
      <c r="G1369" s="1205"/>
      <c r="H1369" s="1055"/>
      <c r="I1369" s="1055"/>
      <c r="J1369" s="1055"/>
      <c r="K1369" s="1205"/>
      <c r="L1369" s="1055"/>
      <c r="M1369" s="1205"/>
      <c r="N1369" s="1054"/>
      <c r="O1369" s="1207"/>
      <c r="Q1369" s="1207"/>
    </row>
    <row r="1370" spans="3:17" s="700" customFormat="1" ht="70.5" hidden="1" customHeight="1">
      <c r="C1370" s="701"/>
      <c r="D1370" s="811"/>
      <c r="E1370" s="1276">
        <v>0</v>
      </c>
      <c r="F1370" s="748">
        <f t="shared" si="260"/>
        <v>0</v>
      </c>
      <c r="G1370" s="1205"/>
      <c r="H1370" s="1055"/>
      <c r="I1370" s="1055"/>
      <c r="J1370" s="1055"/>
      <c r="K1370" s="1205"/>
      <c r="L1370" s="1055"/>
      <c r="M1370" s="1205"/>
      <c r="N1370" s="1054"/>
      <c r="O1370" s="1207"/>
      <c r="Q1370" s="1207"/>
    </row>
    <row r="1371" spans="3:17" s="700" customFormat="1" ht="70.5" hidden="1" customHeight="1">
      <c r="C1371" s="701"/>
      <c r="D1371" s="811"/>
      <c r="E1371" s="1276">
        <v>0</v>
      </c>
      <c r="F1371" s="748">
        <f t="shared" si="260"/>
        <v>0</v>
      </c>
      <c r="G1371" s="1205"/>
      <c r="H1371" s="1055"/>
      <c r="I1371" s="1055"/>
      <c r="J1371" s="1055"/>
      <c r="K1371" s="1205"/>
      <c r="L1371" s="1055"/>
      <c r="M1371" s="1205"/>
      <c r="N1371" s="1054"/>
      <c r="O1371" s="1207"/>
      <c r="Q1371" s="1207"/>
    </row>
    <row r="1372" spans="3:17" s="700" customFormat="1" ht="70.5" hidden="1" customHeight="1">
      <c r="C1372" s="701"/>
      <c r="D1372" s="811"/>
      <c r="E1372" s="1276">
        <v>0</v>
      </c>
      <c r="F1372" s="748">
        <f t="shared" si="260"/>
        <v>0</v>
      </c>
      <c r="G1372" s="1205"/>
      <c r="H1372" s="1055"/>
      <c r="I1372" s="1055"/>
      <c r="J1372" s="1055"/>
      <c r="K1372" s="1205"/>
      <c r="L1372" s="1055"/>
      <c r="M1372" s="1205"/>
      <c r="N1372" s="1054"/>
      <c r="O1372" s="1207"/>
      <c r="Q1372" s="1207"/>
    </row>
    <row r="1373" spans="3:17" s="700" customFormat="1" ht="70.5" hidden="1" customHeight="1">
      <c r="C1373" s="701"/>
      <c r="D1373" s="811"/>
      <c r="E1373" s="1276">
        <v>0</v>
      </c>
      <c r="F1373" s="748">
        <f t="shared" si="260"/>
        <v>0</v>
      </c>
      <c r="G1373" s="1205"/>
      <c r="H1373" s="1055"/>
      <c r="I1373" s="1055"/>
      <c r="J1373" s="1055"/>
      <c r="K1373" s="1205"/>
      <c r="L1373" s="1055"/>
      <c r="M1373" s="1205"/>
      <c r="N1373" s="1054"/>
      <c r="O1373" s="1207"/>
      <c r="Q1373" s="1207"/>
    </row>
    <row r="1374" spans="3:17" s="700" customFormat="1" ht="70.5" hidden="1" customHeight="1">
      <c r="C1374" s="701"/>
      <c r="D1374" s="811"/>
      <c r="E1374" s="1276">
        <v>0</v>
      </c>
      <c r="F1374" s="748">
        <f t="shared" si="260"/>
        <v>0</v>
      </c>
      <c r="G1374" s="1205"/>
      <c r="H1374" s="1055"/>
      <c r="I1374" s="1055"/>
      <c r="J1374" s="1055"/>
      <c r="K1374" s="1205"/>
      <c r="L1374" s="1055"/>
      <c r="M1374" s="1205"/>
      <c r="N1374" s="1054"/>
      <c r="O1374" s="1207"/>
      <c r="Q1374" s="1207"/>
    </row>
    <row r="1375" spans="3:17" s="700" customFormat="1" ht="70.5" hidden="1" customHeight="1">
      <c r="C1375" s="701"/>
      <c r="D1375" s="811"/>
      <c r="E1375" s="1276">
        <v>0</v>
      </c>
      <c r="F1375" s="748">
        <f t="shared" si="260"/>
        <v>0</v>
      </c>
      <c r="G1375" s="1205"/>
      <c r="H1375" s="1055"/>
      <c r="I1375" s="1055"/>
      <c r="J1375" s="1055"/>
      <c r="K1375" s="1205"/>
      <c r="L1375" s="1055"/>
      <c r="M1375" s="1205"/>
      <c r="N1375" s="1054"/>
      <c r="O1375" s="1207"/>
      <c r="Q1375" s="1207"/>
    </row>
    <row r="1376" spans="3:17" s="700" customFormat="1" ht="70.5" hidden="1" customHeight="1">
      <c r="C1376" s="701"/>
      <c r="D1376" s="811"/>
      <c r="E1376" s="1276">
        <v>0</v>
      </c>
      <c r="F1376" s="748">
        <f t="shared" si="260"/>
        <v>0</v>
      </c>
      <c r="G1376" s="1205"/>
      <c r="H1376" s="1055"/>
      <c r="I1376" s="1055"/>
      <c r="J1376" s="1055"/>
      <c r="K1376" s="1205"/>
      <c r="L1376" s="1055"/>
      <c r="M1376" s="1205"/>
      <c r="N1376" s="1054"/>
      <c r="O1376" s="1207"/>
      <c r="Q1376" s="1207"/>
    </row>
    <row r="1377" spans="3:17" s="700" customFormat="1" ht="70.5" hidden="1" customHeight="1">
      <c r="C1377" s="701"/>
      <c r="D1377" s="811"/>
      <c r="E1377" s="1276">
        <v>0</v>
      </c>
      <c r="F1377" s="748">
        <f t="shared" si="260"/>
        <v>0</v>
      </c>
      <c r="G1377" s="1205"/>
      <c r="H1377" s="1055"/>
      <c r="I1377" s="1055"/>
      <c r="J1377" s="1055"/>
      <c r="K1377" s="1205"/>
      <c r="L1377" s="1055"/>
      <c r="M1377" s="1205"/>
      <c r="N1377" s="1054"/>
      <c r="O1377" s="1207"/>
      <c r="Q1377" s="1207"/>
    </row>
    <row r="1378" spans="3:17" s="700" customFormat="1" ht="70.5" hidden="1" customHeight="1">
      <c r="C1378" s="701"/>
      <c r="D1378" s="811"/>
      <c r="E1378" s="1276">
        <v>0</v>
      </c>
      <c r="F1378" s="748">
        <f t="shared" si="260"/>
        <v>0</v>
      </c>
      <c r="G1378" s="1205"/>
      <c r="H1378" s="1055"/>
      <c r="I1378" s="1055"/>
      <c r="J1378" s="1055"/>
      <c r="K1378" s="1205"/>
      <c r="L1378" s="1055"/>
      <c r="M1378" s="1205"/>
      <c r="N1378" s="1054"/>
      <c r="O1378" s="1207"/>
      <c r="Q1378" s="1207"/>
    </row>
    <row r="1379" spans="3:17" s="700" customFormat="1" ht="70.5" hidden="1" customHeight="1">
      <c r="C1379" s="701"/>
      <c r="D1379" s="811"/>
      <c r="E1379" s="1276">
        <v>0</v>
      </c>
      <c r="F1379" s="748">
        <f t="shared" si="260"/>
        <v>0</v>
      </c>
      <c r="G1379" s="1205"/>
      <c r="H1379" s="1055"/>
      <c r="I1379" s="1055"/>
      <c r="J1379" s="1055"/>
      <c r="K1379" s="1205"/>
      <c r="L1379" s="1055"/>
      <c r="M1379" s="1205"/>
      <c r="N1379" s="1054"/>
      <c r="O1379" s="1207"/>
      <c r="Q1379" s="1207"/>
    </row>
    <row r="1380" spans="3:17" s="700" customFormat="1" ht="70.5" hidden="1" customHeight="1">
      <c r="C1380" s="701"/>
      <c r="D1380" s="811"/>
      <c r="E1380" s="1276">
        <v>0</v>
      </c>
      <c r="F1380" s="748">
        <f t="shared" si="260"/>
        <v>0</v>
      </c>
      <c r="G1380" s="1205"/>
      <c r="H1380" s="1055"/>
      <c r="I1380" s="1055"/>
      <c r="J1380" s="1055"/>
      <c r="K1380" s="1205"/>
      <c r="L1380" s="1055"/>
      <c r="M1380" s="1205"/>
      <c r="N1380" s="1054"/>
      <c r="O1380" s="1207"/>
      <c r="Q1380" s="1207"/>
    </row>
    <row r="1381" spans="3:17" s="700" customFormat="1" ht="70.5" hidden="1" customHeight="1">
      <c r="C1381" s="701"/>
      <c r="D1381" s="811"/>
      <c r="E1381" s="1276">
        <v>0</v>
      </c>
      <c r="F1381" s="748">
        <f t="shared" si="260"/>
        <v>0</v>
      </c>
      <c r="G1381" s="1205"/>
      <c r="H1381" s="1055"/>
      <c r="I1381" s="1055"/>
      <c r="J1381" s="1055"/>
      <c r="K1381" s="1205"/>
      <c r="L1381" s="1055"/>
      <c r="M1381" s="1205"/>
      <c r="N1381" s="1054"/>
      <c r="O1381" s="1207"/>
      <c r="Q1381" s="1207"/>
    </row>
    <row r="1382" spans="3:17" s="700" customFormat="1" ht="70.5" hidden="1" customHeight="1">
      <c r="C1382" s="701"/>
      <c r="D1382" s="811"/>
      <c r="E1382" s="1276">
        <v>0</v>
      </c>
      <c r="F1382" s="748">
        <f t="shared" si="260"/>
        <v>0</v>
      </c>
      <c r="G1382" s="1205"/>
      <c r="H1382" s="1055"/>
      <c r="I1382" s="1055"/>
      <c r="J1382" s="1055"/>
      <c r="K1382" s="1205"/>
      <c r="L1382" s="1055"/>
      <c r="M1382" s="1205"/>
      <c r="N1382" s="1054"/>
      <c r="O1382" s="1207"/>
      <c r="Q1382" s="1207"/>
    </row>
    <row r="1383" spans="3:17" s="700" customFormat="1" ht="70.5" hidden="1" customHeight="1">
      <c r="C1383" s="701"/>
      <c r="D1383" s="811"/>
      <c r="E1383" s="1276">
        <v>0</v>
      </c>
      <c r="F1383" s="748">
        <f t="shared" si="260"/>
        <v>0</v>
      </c>
      <c r="G1383" s="1205"/>
      <c r="H1383" s="1055"/>
      <c r="I1383" s="1055"/>
      <c r="J1383" s="1055"/>
      <c r="K1383" s="1205"/>
      <c r="L1383" s="1055"/>
      <c r="M1383" s="1205"/>
      <c r="N1383" s="1054"/>
      <c r="O1383" s="1207"/>
      <c r="Q1383" s="1207"/>
    </row>
    <row r="1384" spans="3:17" s="700" customFormat="1" ht="70.5" hidden="1" customHeight="1">
      <c r="C1384" s="701"/>
      <c r="D1384" s="811"/>
      <c r="E1384" s="1276">
        <v>0</v>
      </c>
      <c r="F1384" s="748">
        <f t="shared" si="260"/>
        <v>0</v>
      </c>
      <c r="G1384" s="1205"/>
      <c r="H1384" s="1055"/>
      <c r="I1384" s="1055"/>
      <c r="J1384" s="1055"/>
      <c r="K1384" s="1205"/>
      <c r="L1384" s="1055"/>
      <c r="M1384" s="1205"/>
      <c r="N1384" s="1054"/>
      <c r="O1384" s="1207"/>
      <c r="Q1384" s="1207"/>
    </row>
    <row r="1385" spans="3:17" s="700" customFormat="1" ht="70.5" hidden="1" customHeight="1">
      <c r="C1385" s="701"/>
      <c r="D1385" s="811"/>
      <c r="E1385" s="1276">
        <v>0</v>
      </c>
      <c r="F1385" s="748">
        <f t="shared" si="260"/>
        <v>0</v>
      </c>
      <c r="G1385" s="1205"/>
      <c r="H1385" s="1055"/>
      <c r="I1385" s="1055"/>
      <c r="J1385" s="1055"/>
      <c r="K1385" s="1205"/>
      <c r="L1385" s="1055"/>
      <c r="M1385" s="1205"/>
      <c r="N1385" s="1054"/>
      <c r="O1385" s="1207"/>
      <c r="Q1385" s="1207"/>
    </row>
    <row r="1386" spans="3:17" s="700" customFormat="1" ht="70.5" hidden="1" customHeight="1">
      <c r="C1386" s="701"/>
      <c r="D1386" s="811"/>
      <c r="E1386" s="1276">
        <v>0</v>
      </c>
      <c r="F1386" s="748">
        <f t="shared" si="260"/>
        <v>0</v>
      </c>
      <c r="G1386" s="1205"/>
      <c r="H1386" s="1055"/>
      <c r="I1386" s="1055"/>
      <c r="J1386" s="1055"/>
      <c r="K1386" s="1205"/>
      <c r="L1386" s="1055"/>
      <c r="M1386" s="1205"/>
      <c r="N1386" s="1054"/>
      <c r="O1386" s="1207"/>
      <c r="Q1386" s="1207"/>
    </row>
    <row r="1387" spans="3:17" s="700" customFormat="1" ht="70.5" hidden="1" customHeight="1">
      <c r="C1387" s="701"/>
      <c r="D1387" s="811"/>
      <c r="E1387" s="1276">
        <v>0</v>
      </c>
      <c r="F1387" s="748">
        <f t="shared" si="260"/>
        <v>0</v>
      </c>
      <c r="G1387" s="1205"/>
      <c r="H1387" s="1055"/>
      <c r="I1387" s="1055"/>
      <c r="J1387" s="1055"/>
      <c r="K1387" s="1205"/>
      <c r="L1387" s="1055"/>
      <c r="M1387" s="1205"/>
      <c r="N1387" s="1054"/>
      <c r="O1387" s="1207"/>
      <c r="Q1387" s="1207"/>
    </row>
    <row r="1388" spans="3:17" s="700" customFormat="1" ht="70.5" hidden="1" customHeight="1">
      <c r="C1388" s="701"/>
      <c r="D1388" s="811"/>
      <c r="E1388" s="1276">
        <v>0</v>
      </c>
      <c r="F1388" s="748">
        <f t="shared" si="260"/>
        <v>0</v>
      </c>
      <c r="G1388" s="1205"/>
      <c r="H1388" s="1055"/>
      <c r="I1388" s="1055"/>
      <c r="J1388" s="1055"/>
      <c r="K1388" s="1205"/>
      <c r="L1388" s="1055"/>
      <c r="M1388" s="1205"/>
      <c r="N1388" s="1054"/>
      <c r="O1388" s="1207"/>
      <c r="Q1388" s="1207"/>
    </row>
    <row r="1389" spans="3:17" s="700" customFormat="1" ht="70.5" hidden="1" customHeight="1">
      <c r="C1389" s="701"/>
      <c r="D1389" s="811"/>
      <c r="E1389" s="1276">
        <v>0</v>
      </c>
      <c r="F1389" s="748">
        <f t="shared" si="260"/>
        <v>0</v>
      </c>
      <c r="G1389" s="1205"/>
      <c r="H1389" s="1055"/>
      <c r="I1389" s="1055"/>
      <c r="J1389" s="1055"/>
      <c r="K1389" s="1205"/>
      <c r="L1389" s="1055"/>
      <c r="M1389" s="1205"/>
      <c r="N1389" s="1054"/>
      <c r="O1389" s="1207"/>
      <c r="Q1389" s="1207"/>
    </row>
    <row r="1390" spans="3:17" s="700" customFormat="1" ht="70.5" hidden="1" customHeight="1">
      <c r="C1390" s="701"/>
      <c r="D1390" s="811"/>
      <c r="E1390" s="1276">
        <v>0</v>
      </c>
      <c r="F1390" s="748">
        <f t="shared" si="260"/>
        <v>0</v>
      </c>
      <c r="G1390" s="1205"/>
      <c r="H1390" s="1055"/>
      <c r="I1390" s="1055"/>
      <c r="J1390" s="1055"/>
      <c r="K1390" s="1205"/>
      <c r="L1390" s="1055"/>
      <c r="M1390" s="1205"/>
      <c r="N1390" s="1054"/>
      <c r="O1390" s="1207"/>
      <c r="Q1390" s="1207"/>
    </row>
    <row r="1391" spans="3:17" s="700" customFormat="1" ht="70.5" hidden="1" customHeight="1">
      <c r="C1391" s="701"/>
      <c r="D1391" s="811"/>
      <c r="E1391" s="1276">
        <v>0</v>
      </c>
      <c r="F1391" s="748">
        <f t="shared" si="260"/>
        <v>0</v>
      </c>
      <c r="G1391" s="1205"/>
      <c r="H1391" s="1055"/>
      <c r="I1391" s="1055"/>
      <c r="J1391" s="1055"/>
      <c r="K1391" s="1205"/>
      <c r="L1391" s="1055"/>
      <c r="M1391" s="1205"/>
      <c r="N1391" s="1054"/>
      <c r="O1391" s="1207"/>
      <c r="Q1391" s="1207"/>
    </row>
    <row r="1392" spans="3:17" s="700" customFormat="1" ht="70.5" hidden="1" customHeight="1">
      <c r="C1392" s="701"/>
      <c r="D1392" s="811"/>
      <c r="E1392" s="1276">
        <v>0</v>
      </c>
      <c r="F1392" s="748">
        <f t="shared" si="260"/>
        <v>0</v>
      </c>
      <c r="G1392" s="1205"/>
      <c r="H1392" s="1055"/>
      <c r="I1392" s="1055"/>
      <c r="J1392" s="1055"/>
      <c r="K1392" s="1205"/>
      <c r="L1392" s="1055"/>
      <c r="M1392" s="1205"/>
      <c r="N1392" s="1054"/>
      <c r="O1392" s="1207"/>
      <c r="Q1392" s="1207"/>
    </row>
    <row r="1393" spans="3:17" s="700" customFormat="1" ht="70.5" hidden="1" customHeight="1">
      <c r="C1393" s="701"/>
      <c r="D1393" s="811"/>
      <c r="E1393" s="1276">
        <v>0</v>
      </c>
      <c r="F1393" s="748">
        <f t="shared" si="260"/>
        <v>0</v>
      </c>
      <c r="G1393" s="1205"/>
      <c r="H1393" s="1055"/>
      <c r="I1393" s="1055"/>
      <c r="J1393" s="1055"/>
      <c r="K1393" s="1205"/>
      <c r="L1393" s="1055"/>
      <c r="M1393" s="1205"/>
      <c r="N1393" s="1054"/>
      <c r="O1393" s="1207"/>
      <c r="Q1393" s="1207"/>
    </row>
    <row r="1394" spans="3:17" s="700" customFormat="1" ht="70.5" hidden="1" customHeight="1">
      <c r="C1394" s="701"/>
      <c r="D1394" s="811"/>
      <c r="E1394" s="1276">
        <v>0</v>
      </c>
      <c r="F1394" s="748">
        <f t="shared" si="260"/>
        <v>0</v>
      </c>
      <c r="G1394" s="1205"/>
      <c r="H1394" s="1055"/>
      <c r="I1394" s="1055"/>
      <c r="J1394" s="1055"/>
      <c r="K1394" s="1205"/>
      <c r="L1394" s="1055"/>
      <c r="M1394" s="1205"/>
      <c r="N1394" s="1054"/>
      <c r="O1394" s="1207"/>
      <c r="Q1394" s="1207"/>
    </row>
    <row r="1395" spans="3:17" s="700" customFormat="1" ht="70.5" hidden="1" customHeight="1">
      <c r="C1395" s="701"/>
      <c r="D1395" s="811"/>
      <c r="E1395" s="1276">
        <v>0</v>
      </c>
      <c r="F1395" s="748">
        <f t="shared" si="260"/>
        <v>0</v>
      </c>
      <c r="G1395" s="1205"/>
      <c r="H1395" s="1055"/>
      <c r="I1395" s="1055"/>
      <c r="J1395" s="1055"/>
      <c r="K1395" s="1205"/>
      <c r="L1395" s="1055"/>
      <c r="M1395" s="1205"/>
      <c r="N1395" s="1054"/>
      <c r="O1395" s="1207"/>
      <c r="Q1395" s="1207"/>
    </row>
    <row r="1396" spans="3:17" s="700" customFormat="1" ht="70.5" hidden="1" customHeight="1">
      <c r="C1396" s="701"/>
      <c r="D1396" s="811"/>
      <c r="E1396" s="1276">
        <v>0</v>
      </c>
      <c r="F1396" s="748">
        <f t="shared" si="260"/>
        <v>0</v>
      </c>
      <c r="G1396" s="1205"/>
      <c r="H1396" s="1055"/>
      <c r="I1396" s="1055"/>
      <c r="J1396" s="1055"/>
      <c r="K1396" s="1205"/>
      <c r="L1396" s="1055"/>
      <c r="M1396" s="1205"/>
      <c r="N1396" s="1054"/>
      <c r="O1396" s="1207"/>
      <c r="Q1396" s="1207"/>
    </row>
    <row r="1397" spans="3:17" s="700" customFormat="1" ht="70.5" hidden="1" customHeight="1">
      <c r="C1397" s="701"/>
      <c r="D1397" s="811"/>
      <c r="E1397" s="1276">
        <v>0</v>
      </c>
      <c r="F1397" s="748">
        <f t="shared" si="260"/>
        <v>0</v>
      </c>
      <c r="G1397" s="1205"/>
      <c r="H1397" s="1055"/>
      <c r="I1397" s="1055"/>
      <c r="J1397" s="1055"/>
      <c r="K1397" s="1205"/>
      <c r="L1397" s="1055"/>
      <c r="M1397" s="1205"/>
      <c r="N1397" s="1054"/>
      <c r="O1397" s="1207"/>
      <c r="Q1397" s="1207"/>
    </row>
    <row r="1398" spans="3:17" s="700" customFormat="1" ht="70.5" hidden="1" customHeight="1">
      <c r="C1398" s="701"/>
      <c r="D1398" s="811"/>
      <c r="E1398" s="1276">
        <v>0</v>
      </c>
      <c r="F1398" s="748">
        <f t="shared" si="260"/>
        <v>0</v>
      </c>
      <c r="G1398" s="1205"/>
      <c r="H1398" s="1055"/>
      <c r="I1398" s="1055"/>
      <c r="J1398" s="1055"/>
      <c r="K1398" s="1205"/>
      <c r="L1398" s="1055"/>
      <c r="M1398" s="1205"/>
      <c r="N1398" s="1054"/>
      <c r="O1398" s="1207"/>
      <c r="Q1398" s="1207"/>
    </row>
    <row r="1399" spans="3:17" s="700" customFormat="1" ht="70.5" hidden="1" customHeight="1">
      <c r="C1399" s="701"/>
      <c r="D1399" s="811"/>
      <c r="E1399" s="1276">
        <v>0</v>
      </c>
      <c r="F1399" s="748">
        <f t="shared" si="260"/>
        <v>0</v>
      </c>
      <c r="G1399" s="1205"/>
      <c r="H1399" s="1055"/>
      <c r="I1399" s="1055"/>
      <c r="J1399" s="1055"/>
      <c r="K1399" s="1205"/>
      <c r="L1399" s="1055"/>
      <c r="M1399" s="1205"/>
      <c r="N1399" s="1054"/>
      <c r="O1399" s="1207"/>
      <c r="Q1399" s="1207"/>
    </row>
    <row r="1400" spans="3:17" s="700" customFormat="1" ht="70.5" hidden="1" customHeight="1">
      <c r="C1400" s="701"/>
      <c r="D1400" s="811"/>
      <c r="E1400" s="1276">
        <v>0</v>
      </c>
      <c r="F1400" s="748">
        <f t="shared" si="260"/>
        <v>0</v>
      </c>
      <c r="G1400" s="1205"/>
      <c r="H1400" s="1055"/>
      <c r="I1400" s="1055"/>
      <c r="J1400" s="1055"/>
      <c r="K1400" s="1205"/>
      <c r="L1400" s="1055"/>
      <c r="M1400" s="1205"/>
      <c r="N1400" s="1054"/>
      <c r="O1400" s="1207"/>
      <c r="Q1400" s="1207"/>
    </row>
    <row r="1401" spans="3:17" s="700" customFormat="1" ht="70.5" hidden="1" customHeight="1">
      <c r="C1401" s="701"/>
      <c r="D1401" s="811"/>
      <c r="E1401" s="1276">
        <v>0</v>
      </c>
      <c r="F1401" s="748">
        <f t="shared" si="260"/>
        <v>0</v>
      </c>
      <c r="G1401" s="1205"/>
      <c r="H1401" s="1055"/>
      <c r="I1401" s="1055"/>
      <c r="J1401" s="1055"/>
      <c r="K1401" s="1205"/>
      <c r="L1401" s="1055"/>
      <c r="M1401" s="1205"/>
      <c r="N1401" s="1054"/>
      <c r="O1401" s="1207"/>
      <c r="Q1401" s="1207"/>
    </row>
    <row r="1402" spans="3:17" s="700" customFormat="1" ht="70.5" hidden="1" customHeight="1">
      <c r="C1402" s="701"/>
      <c r="D1402" s="811"/>
      <c r="E1402" s="1276">
        <v>0</v>
      </c>
      <c r="F1402" s="748">
        <f t="shared" si="260"/>
        <v>0</v>
      </c>
      <c r="G1402" s="1205"/>
      <c r="H1402" s="1055"/>
      <c r="I1402" s="1055"/>
      <c r="J1402" s="1055"/>
      <c r="K1402" s="1205"/>
      <c r="L1402" s="1055"/>
      <c r="M1402" s="1205"/>
      <c r="N1402" s="1054"/>
      <c r="O1402" s="1207"/>
      <c r="Q1402" s="1207"/>
    </row>
    <row r="1403" spans="3:17" s="700" customFormat="1" ht="70.5" hidden="1" customHeight="1">
      <c r="C1403" s="701"/>
      <c r="D1403" s="811"/>
      <c r="E1403" s="1276">
        <v>0</v>
      </c>
      <c r="F1403" s="748">
        <f t="shared" si="260"/>
        <v>0</v>
      </c>
      <c r="G1403" s="1205"/>
      <c r="H1403" s="1055"/>
      <c r="I1403" s="1055"/>
      <c r="J1403" s="1055"/>
      <c r="K1403" s="1205"/>
      <c r="L1403" s="1055"/>
      <c r="M1403" s="1205"/>
      <c r="N1403" s="1054"/>
      <c r="O1403" s="1207"/>
      <c r="Q1403" s="1207"/>
    </row>
    <row r="1404" spans="3:17" s="700" customFormat="1" ht="70.5" hidden="1" customHeight="1">
      <c r="C1404" s="701"/>
      <c r="D1404" s="811"/>
      <c r="E1404" s="1276">
        <v>0</v>
      </c>
      <c r="F1404" s="748">
        <f t="shared" si="260"/>
        <v>0</v>
      </c>
      <c r="G1404" s="1205"/>
      <c r="H1404" s="1055"/>
      <c r="I1404" s="1055"/>
      <c r="J1404" s="1055"/>
      <c r="K1404" s="1205"/>
      <c r="L1404" s="1055"/>
      <c r="M1404" s="1205"/>
      <c r="N1404" s="1054"/>
      <c r="O1404" s="1207"/>
      <c r="Q1404" s="1207"/>
    </row>
    <row r="1405" spans="3:17" s="700" customFormat="1" ht="70.5" hidden="1" customHeight="1">
      <c r="C1405" s="701"/>
      <c r="D1405" s="811"/>
      <c r="E1405" s="1276">
        <v>0</v>
      </c>
      <c r="F1405" s="748">
        <f t="shared" si="260"/>
        <v>0</v>
      </c>
      <c r="G1405" s="1205"/>
      <c r="H1405" s="1055"/>
      <c r="I1405" s="1055"/>
      <c r="J1405" s="1055"/>
      <c r="K1405" s="1205"/>
      <c r="L1405" s="1055"/>
      <c r="M1405" s="1205"/>
      <c r="N1405" s="1054"/>
      <c r="O1405" s="1207"/>
      <c r="Q1405" s="1207"/>
    </row>
    <row r="1406" spans="3:17" s="700" customFormat="1" ht="70.5" hidden="1" customHeight="1">
      <c r="C1406" s="701"/>
      <c r="D1406" s="811"/>
      <c r="E1406" s="1276">
        <v>0</v>
      </c>
      <c r="F1406" s="748">
        <f t="shared" si="260"/>
        <v>0</v>
      </c>
      <c r="G1406" s="1205"/>
      <c r="H1406" s="1055"/>
      <c r="I1406" s="1055"/>
      <c r="J1406" s="1055"/>
      <c r="K1406" s="1205"/>
      <c r="L1406" s="1055"/>
      <c r="M1406" s="1205"/>
      <c r="N1406" s="1054"/>
      <c r="O1406" s="1207"/>
      <c r="Q1406" s="1207"/>
    </row>
    <row r="1407" spans="3:17" s="700" customFormat="1" ht="70.5" hidden="1" customHeight="1">
      <c r="C1407" s="701"/>
      <c r="D1407" s="811"/>
      <c r="E1407" s="1276">
        <v>0</v>
      </c>
      <c r="F1407" s="748">
        <f t="shared" si="260"/>
        <v>0</v>
      </c>
      <c r="G1407" s="1205"/>
      <c r="H1407" s="1055"/>
      <c r="I1407" s="1055"/>
      <c r="J1407" s="1055"/>
      <c r="K1407" s="1205"/>
      <c r="L1407" s="1055"/>
      <c r="M1407" s="1205"/>
      <c r="N1407" s="1054"/>
      <c r="O1407" s="1207"/>
      <c r="Q1407" s="1207"/>
    </row>
    <row r="1408" spans="3:17" s="700" customFormat="1" ht="70.5" hidden="1" customHeight="1">
      <c r="C1408" s="701"/>
      <c r="D1408" s="811"/>
      <c r="E1408" s="1276">
        <v>0</v>
      </c>
      <c r="F1408" s="748">
        <f t="shared" ref="F1408:F1471" si="261">E1408*C1408</f>
        <v>0</v>
      </c>
      <c r="G1408" s="1205"/>
      <c r="H1408" s="1055"/>
      <c r="I1408" s="1055"/>
      <c r="J1408" s="1055"/>
      <c r="K1408" s="1205"/>
      <c r="L1408" s="1055"/>
      <c r="M1408" s="1205"/>
      <c r="N1408" s="1054"/>
      <c r="O1408" s="1207"/>
      <c r="Q1408" s="1207"/>
    </row>
    <row r="1409" spans="3:17" s="700" customFormat="1" ht="70.5" hidden="1" customHeight="1">
      <c r="C1409" s="701"/>
      <c r="D1409" s="811"/>
      <c r="E1409" s="1276">
        <v>0</v>
      </c>
      <c r="F1409" s="748">
        <f t="shared" si="261"/>
        <v>0</v>
      </c>
      <c r="G1409" s="1205"/>
      <c r="H1409" s="1055"/>
      <c r="I1409" s="1055"/>
      <c r="J1409" s="1055"/>
      <c r="K1409" s="1205"/>
      <c r="L1409" s="1055"/>
      <c r="M1409" s="1205"/>
      <c r="N1409" s="1054"/>
      <c r="O1409" s="1207"/>
      <c r="Q1409" s="1207"/>
    </row>
    <row r="1410" spans="3:17" s="700" customFormat="1" ht="70.5" hidden="1" customHeight="1">
      <c r="C1410" s="701"/>
      <c r="D1410" s="811"/>
      <c r="E1410" s="1276">
        <v>0</v>
      </c>
      <c r="F1410" s="748">
        <f t="shared" si="261"/>
        <v>0</v>
      </c>
      <c r="G1410" s="1205"/>
      <c r="H1410" s="1055"/>
      <c r="I1410" s="1055"/>
      <c r="J1410" s="1055"/>
      <c r="K1410" s="1205"/>
      <c r="L1410" s="1055"/>
      <c r="M1410" s="1205"/>
      <c r="N1410" s="1054"/>
      <c r="O1410" s="1207"/>
      <c r="Q1410" s="1207"/>
    </row>
    <row r="1411" spans="3:17" s="700" customFormat="1" ht="70.5" hidden="1" customHeight="1">
      <c r="C1411" s="701"/>
      <c r="D1411" s="811"/>
      <c r="E1411" s="1276">
        <v>0</v>
      </c>
      <c r="F1411" s="748">
        <f t="shared" si="261"/>
        <v>0</v>
      </c>
      <c r="G1411" s="1205"/>
      <c r="H1411" s="1055"/>
      <c r="I1411" s="1055"/>
      <c r="J1411" s="1055"/>
      <c r="K1411" s="1205"/>
      <c r="L1411" s="1055"/>
      <c r="M1411" s="1205"/>
      <c r="N1411" s="1054"/>
      <c r="O1411" s="1207"/>
      <c r="Q1411" s="1207"/>
    </row>
    <row r="1412" spans="3:17" s="700" customFormat="1" ht="70.5" hidden="1" customHeight="1">
      <c r="C1412" s="701"/>
      <c r="D1412" s="811"/>
      <c r="E1412" s="1276">
        <v>0</v>
      </c>
      <c r="F1412" s="748">
        <f t="shared" si="261"/>
        <v>0</v>
      </c>
      <c r="G1412" s="1205"/>
      <c r="H1412" s="1055"/>
      <c r="I1412" s="1055"/>
      <c r="J1412" s="1055"/>
      <c r="K1412" s="1205"/>
      <c r="L1412" s="1055"/>
      <c r="M1412" s="1205"/>
      <c r="N1412" s="1054"/>
      <c r="O1412" s="1207"/>
      <c r="Q1412" s="1207"/>
    </row>
    <row r="1413" spans="3:17" s="700" customFormat="1" ht="70.5" hidden="1" customHeight="1">
      <c r="C1413" s="701"/>
      <c r="D1413" s="811"/>
      <c r="E1413" s="1276">
        <v>0</v>
      </c>
      <c r="F1413" s="748">
        <f t="shared" si="261"/>
        <v>0</v>
      </c>
      <c r="G1413" s="1205"/>
      <c r="H1413" s="1055"/>
      <c r="I1413" s="1055"/>
      <c r="J1413" s="1055"/>
      <c r="K1413" s="1205"/>
      <c r="L1413" s="1055"/>
      <c r="M1413" s="1205"/>
      <c r="N1413" s="1054"/>
      <c r="O1413" s="1207"/>
      <c r="Q1413" s="1207"/>
    </row>
    <row r="1414" spans="3:17" s="700" customFormat="1" ht="70.5" hidden="1" customHeight="1">
      <c r="C1414" s="701"/>
      <c r="D1414" s="811"/>
      <c r="E1414" s="1276">
        <v>0</v>
      </c>
      <c r="F1414" s="748">
        <f t="shared" si="261"/>
        <v>0</v>
      </c>
      <c r="G1414" s="1205"/>
      <c r="H1414" s="1055"/>
      <c r="I1414" s="1055"/>
      <c r="J1414" s="1055"/>
      <c r="K1414" s="1205"/>
      <c r="L1414" s="1055"/>
      <c r="M1414" s="1205"/>
      <c r="N1414" s="1054"/>
      <c r="O1414" s="1207"/>
      <c r="Q1414" s="1207"/>
    </row>
    <row r="1415" spans="3:17" s="700" customFormat="1" ht="70.5" hidden="1" customHeight="1">
      <c r="C1415" s="701"/>
      <c r="D1415" s="811"/>
      <c r="E1415" s="1276">
        <v>0</v>
      </c>
      <c r="F1415" s="748">
        <f t="shared" si="261"/>
        <v>0</v>
      </c>
      <c r="G1415" s="1205"/>
      <c r="H1415" s="1055"/>
      <c r="I1415" s="1055"/>
      <c r="J1415" s="1055"/>
      <c r="K1415" s="1205"/>
      <c r="L1415" s="1055"/>
      <c r="M1415" s="1205"/>
      <c r="N1415" s="1054"/>
      <c r="O1415" s="1207"/>
      <c r="Q1415" s="1207"/>
    </row>
    <row r="1416" spans="3:17" s="700" customFormat="1" ht="70.5" hidden="1" customHeight="1">
      <c r="C1416" s="701"/>
      <c r="D1416" s="811"/>
      <c r="E1416" s="1276">
        <v>0</v>
      </c>
      <c r="F1416" s="748">
        <f t="shared" si="261"/>
        <v>0</v>
      </c>
      <c r="G1416" s="1205"/>
      <c r="H1416" s="1055"/>
      <c r="I1416" s="1055"/>
      <c r="J1416" s="1055"/>
      <c r="K1416" s="1205"/>
      <c r="L1416" s="1055"/>
      <c r="M1416" s="1205"/>
      <c r="N1416" s="1054"/>
      <c r="O1416" s="1207"/>
      <c r="Q1416" s="1207"/>
    </row>
    <row r="1417" spans="3:17" s="700" customFormat="1" ht="70.5" hidden="1" customHeight="1">
      <c r="C1417" s="701"/>
      <c r="D1417" s="811"/>
      <c r="E1417" s="1276">
        <v>0</v>
      </c>
      <c r="F1417" s="748">
        <f t="shared" si="261"/>
        <v>0</v>
      </c>
      <c r="G1417" s="1205"/>
      <c r="H1417" s="1055"/>
      <c r="I1417" s="1055"/>
      <c r="J1417" s="1055"/>
      <c r="K1417" s="1205"/>
      <c r="L1417" s="1055"/>
      <c r="M1417" s="1205"/>
      <c r="N1417" s="1054"/>
      <c r="O1417" s="1207"/>
      <c r="Q1417" s="1207"/>
    </row>
    <row r="1418" spans="3:17" s="700" customFormat="1" ht="70.5" hidden="1" customHeight="1">
      <c r="C1418" s="701"/>
      <c r="D1418" s="811"/>
      <c r="E1418" s="1276">
        <v>0</v>
      </c>
      <c r="F1418" s="748">
        <f t="shared" si="261"/>
        <v>0</v>
      </c>
      <c r="G1418" s="1205"/>
      <c r="H1418" s="1055"/>
      <c r="I1418" s="1055"/>
      <c r="J1418" s="1055"/>
      <c r="K1418" s="1205"/>
      <c r="L1418" s="1055"/>
      <c r="M1418" s="1205"/>
      <c r="N1418" s="1054"/>
      <c r="O1418" s="1207"/>
      <c r="Q1418" s="1207"/>
    </row>
    <row r="1419" spans="3:17" s="700" customFormat="1" ht="70.5" hidden="1" customHeight="1">
      <c r="C1419" s="701"/>
      <c r="D1419" s="811"/>
      <c r="E1419" s="1276">
        <v>0</v>
      </c>
      <c r="F1419" s="748">
        <f t="shared" si="261"/>
        <v>0</v>
      </c>
      <c r="G1419" s="1205"/>
      <c r="H1419" s="1055"/>
      <c r="I1419" s="1055"/>
      <c r="J1419" s="1055"/>
      <c r="K1419" s="1205"/>
      <c r="L1419" s="1055"/>
      <c r="M1419" s="1205"/>
      <c r="N1419" s="1054"/>
      <c r="O1419" s="1207"/>
      <c r="Q1419" s="1207"/>
    </row>
    <row r="1420" spans="3:17" s="700" customFormat="1" ht="70.5" hidden="1" customHeight="1">
      <c r="C1420" s="701"/>
      <c r="D1420" s="811"/>
      <c r="E1420" s="1276">
        <v>0</v>
      </c>
      <c r="F1420" s="748">
        <f t="shared" si="261"/>
        <v>0</v>
      </c>
      <c r="G1420" s="1205"/>
      <c r="H1420" s="1055"/>
      <c r="I1420" s="1055"/>
      <c r="J1420" s="1055"/>
      <c r="K1420" s="1205"/>
      <c r="L1420" s="1055"/>
      <c r="M1420" s="1205"/>
      <c r="N1420" s="1054"/>
      <c r="O1420" s="1207"/>
      <c r="Q1420" s="1207"/>
    </row>
    <row r="1421" spans="3:17" s="700" customFormat="1" ht="70.5" hidden="1" customHeight="1">
      <c r="C1421" s="701"/>
      <c r="D1421" s="811"/>
      <c r="E1421" s="1276">
        <v>0</v>
      </c>
      <c r="F1421" s="748">
        <f t="shared" si="261"/>
        <v>0</v>
      </c>
      <c r="G1421" s="1205"/>
      <c r="H1421" s="1055"/>
      <c r="I1421" s="1055"/>
      <c r="J1421" s="1055"/>
      <c r="K1421" s="1205"/>
      <c r="L1421" s="1055"/>
      <c r="M1421" s="1205"/>
      <c r="N1421" s="1054"/>
      <c r="O1421" s="1207"/>
      <c r="Q1421" s="1207"/>
    </row>
    <row r="1422" spans="3:17" s="700" customFormat="1" ht="70.5" hidden="1" customHeight="1">
      <c r="C1422" s="701"/>
      <c r="D1422" s="811"/>
      <c r="E1422" s="1276">
        <v>0</v>
      </c>
      <c r="F1422" s="748">
        <f t="shared" si="261"/>
        <v>0</v>
      </c>
      <c r="G1422" s="1205"/>
      <c r="H1422" s="1055"/>
      <c r="I1422" s="1055"/>
      <c r="J1422" s="1055"/>
      <c r="K1422" s="1205"/>
      <c r="L1422" s="1055"/>
      <c r="M1422" s="1205"/>
      <c r="N1422" s="1054"/>
      <c r="O1422" s="1207"/>
      <c r="Q1422" s="1207"/>
    </row>
    <row r="1423" spans="3:17" s="700" customFormat="1" ht="70.5" hidden="1" customHeight="1">
      <c r="C1423" s="701"/>
      <c r="D1423" s="811"/>
      <c r="E1423" s="1276">
        <v>0</v>
      </c>
      <c r="F1423" s="748">
        <f t="shared" si="261"/>
        <v>0</v>
      </c>
      <c r="G1423" s="1205"/>
      <c r="H1423" s="1055"/>
      <c r="I1423" s="1055"/>
      <c r="J1423" s="1055"/>
      <c r="K1423" s="1205"/>
      <c r="L1423" s="1055"/>
      <c r="M1423" s="1205"/>
      <c r="N1423" s="1054"/>
      <c r="O1423" s="1207"/>
      <c r="Q1423" s="1207"/>
    </row>
    <row r="1424" spans="3:17" s="700" customFormat="1" ht="70.5" hidden="1" customHeight="1">
      <c r="C1424" s="701"/>
      <c r="D1424" s="811"/>
      <c r="E1424" s="1276">
        <v>0</v>
      </c>
      <c r="F1424" s="748">
        <f t="shared" si="261"/>
        <v>0</v>
      </c>
      <c r="G1424" s="1205"/>
      <c r="H1424" s="1055"/>
      <c r="I1424" s="1055"/>
      <c r="J1424" s="1055"/>
      <c r="K1424" s="1205"/>
      <c r="L1424" s="1055"/>
      <c r="M1424" s="1205"/>
      <c r="N1424" s="1054"/>
      <c r="O1424" s="1207"/>
      <c r="Q1424" s="1207"/>
    </row>
    <row r="1425" spans="3:17" s="700" customFormat="1" ht="70.5" hidden="1" customHeight="1">
      <c r="C1425" s="701"/>
      <c r="D1425" s="811"/>
      <c r="E1425" s="1276">
        <v>0</v>
      </c>
      <c r="F1425" s="748">
        <f t="shared" si="261"/>
        <v>0</v>
      </c>
      <c r="G1425" s="1205"/>
      <c r="H1425" s="1055"/>
      <c r="I1425" s="1055"/>
      <c r="J1425" s="1055"/>
      <c r="K1425" s="1205"/>
      <c r="L1425" s="1055"/>
      <c r="M1425" s="1205"/>
      <c r="N1425" s="1054"/>
      <c r="O1425" s="1207"/>
      <c r="Q1425" s="1207"/>
    </row>
    <row r="1426" spans="3:17" s="700" customFormat="1" ht="70.5" hidden="1" customHeight="1">
      <c r="C1426" s="701"/>
      <c r="D1426" s="811"/>
      <c r="E1426" s="1276">
        <v>0</v>
      </c>
      <c r="F1426" s="748">
        <f t="shared" si="261"/>
        <v>0</v>
      </c>
      <c r="G1426" s="1205"/>
      <c r="H1426" s="1055"/>
      <c r="I1426" s="1055"/>
      <c r="J1426" s="1055"/>
      <c r="K1426" s="1205"/>
      <c r="L1426" s="1055"/>
      <c r="M1426" s="1205"/>
      <c r="N1426" s="1054"/>
      <c r="O1426" s="1207"/>
      <c r="Q1426" s="1207"/>
    </row>
    <row r="1427" spans="3:17" s="700" customFormat="1" ht="70.5" hidden="1" customHeight="1">
      <c r="C1427" s="701"/>
      <c r="D1427" s="811"/>
      <c r="E1427" s="1276">
        <v>0</v>
      </c>
      <c r="F1427" s="748">
        <f t="shared" si="261"/>
        <v>0</v>
      </c>
      <c r="G1427" s="1205"/>
      <c r="H1427" s="1055"/>
      <c r="I1427" s="1055"/>
      <c r="J1427" s="1055"/>
      <c r="K1427" s="1205"/>
      <c r="L1427" s="1055"/>
      <c r="M1427" s="1205"/>
      <c r="N1427" s="1054"/>
      <c r="O1427" s="1207"/>
      <c r="Q1427" s="1207"/>
    </row>
    <row r="1428" spans="3:17" s="700" customFormat="1" ht="70.5" hidden="1" customHeight="1">
      <c r="C1428" s="701"/>
      <c r="D1428" s="811"/>
      <c r="E1428" s="1276">
        <v>0</v>
      </c>
      <c r="F1428" s="748">
        <f t="shared" si="261"/>
        <v>0</v>
      </c>
      <c r="G1428" s="1205"/>
      <c r="H1428" s="1055"/>
      <c r="I1428" s="1055"/>
      <c r="J1428" s="1055"/>
      <c r="K1428" s="1205"/>
      <c r="L1428" s="1055"/>
      <c r="M1428" s="1205"/>
      <c r="N1428" s="1054"/>
      <c r="O1428" s="1207"/>
      <c r="Q1428" s="1207"/>
    </row>
    <row r="1429" spans="3:17" s="700" customFormat="1" ht="70.5" hidden="1" customHeight="1">
      <c r="C1429" s="701"/>
      <c r="D1429" s="811"/>
      <c r="E1429" s="1276">
        <v>0</v>
      </c>
      <c r="F1429" s="748">
        <f t="shared" si="261"/>
        <v>0</v>
      </c>
      <c r="G1429" s="1205"/>
      <c r="H1429" s="1055"/>
      <c r="I1429" s="1055"/>
      <c r="J1429" s="1055"/>
      <c r="K1429" s="1205"/>
      <c r="L1429" s="1055"/>
      <c r="M1429" s="1205"/>
      <c r="N1429" s="1054"/>
      <c r="O1429" s="1207"/>
      <c r="Q1429" s="1207"/>
    </row>
    <row r="1430" spans="3:17" s="700" customFormat="1" ht="70.5" hidden="1" customHeight="1">
      <c r="C1430" s="701"/>
      <c r="D1430" s="811"/>
      <c r="E1430" s="1276">
        <v>0</v>
      </c>
      <c r="F1430" s="748">
        <f t="shared" si="261"/>
        <v>0</v>
      </c>
      <c r="G1430" s="1205"/>
      <c r="H1430" s="1055"/>
      <c r="I1430" s="1055"/>
      <c r="J1430" s="1055"/>
      <c r="K1430" s="1205"/>
      <c r="L1430" s="1055"/>
      <c r="M1430" s="1205"/>
      <c r="N1430" s="1054"/>
      <c r="O1430" s="1207"/>
      <c r="Q1430" s="1207"/>
    </row>
    <row r="1431" spans="3:17" s="700" customFormat="1" ht="70.5" hidden="1" customHeight="1">
      <c r="C1431" s="701"/>
      <c r="D1431" s="811"/>
      <c r="E1431" s="1276">
        <v>0</v>
      </c>
      <c r="F1431" s="748">
        <f t="shared" si="261"/>
        <v>0</v>
      </c>
      <c r="G1431" s="1205"/>
      <c r="H1431" s="1055"/>
      <c r="I1431" s="1055"/>
      <c r="J1431" s="1055"/>
      <c r="K1431" s="1205"/>
      <c r="L1431" s="1055"/>
      <c r="M1431" s="1205"/>
      <c r="N1431" s="1054"/>
      <c r="O1431" s="1207"/>
      <c r="Q1431" s="1207"/>
    </row>
    <row r="1432" spans="3:17" s="700" customFormat="1" ht="70.5" hidden="1" customHeight="1">
      <c r="C1432" s="701"/>
      <c r="D1432" s="811"/>
      <c r="E1432" s="1276">
        <v>0</v>
      </c>
      <c r="F1432" s="748">
        <f t="shared" si="261"/>
        <v>0</v>
      </c>
      <c r="G1432" s="1205"/>
      <c r="H1432" s="1055"/>
      <c r="I1432" s="1055"/>
      <c r="J1432" s="1055"/>
      <c r="K1432" s="1205"/>
      <c r="L1432" s="1055"/>
      <c r="M1432" s="1205"/>
      <c r="N1432" s="1054"/>
      <c r="O1432" s="1207"/>
      <c r="Q1432" s="1207"/>
    </row>
    <row r="1433" spans="3:17" s="700" customFormat="1" ht="70.5" hidden="1" customHeight="1">
      <c r="C1433" s="701"/>
      <c r="D1433" s="811"/>
      <c r="E1433" s="1276">
        <v>0</v>
      </c>
      <c r="F1433" s="748">
        <f t="shared" si="261"/>
        <v>0</v>
      </c>
      <c r="G1433" s="1205"/>
      <c r="H1433" s="1055"/>
      <c r="I1433" s="1055"/>
      <c r="J1433" s="1055"/>
      <c r="K1433" s="1205"/>
      <c r="L1433" s="1055"/>
      <c r="M1433" s="1205"/>
      <c r="N1433" s="1054"/>
      <c r="O1433" s="1207"/>
      <c r="Q1433" s="1207"/>
    </row>
    <row r="1434" spans="3:17" s="700" customFormat="1" ht="70.5" hidden="1" customHeight="1">
      <c r="C1434" s="701"/>
      <c r="D1434" s="811"/>
      <c r="E1434" s="1276">
        <v>0</v>
      </c>
      <c r="F1434" s="748">
        <f t="shared" si="261"/>
        <v>0</v>
      </c>
      <c r="G1434" s="1205"/>
      <c r="H1434" s="1055"/>
      <c r="I1434" s="1055"/>
      <c r="J1434" s="1055"/>
      <c r="K1434" s="1205"/>
      <c r="L1434" s="1055"/>
      <c r="M1434" s="1205"/>
      <c r="N1434" s="1054"/>
      <c r="O1434" s="1207"/>
      <c r="Q1434" s="1207"/>
    </row>
    <row r="1435" spans="3:17" s="700" customFormat="1" ht="70.5" hidden="1" customHeight="1">
      <c r="C1435" s="701"/>
      <c r="D1435" s="811"/>
      <c r="E1435" s="1276">
        <v>0</v>
      </c>
      <c r="F1435" s="748">
        <f t="shared" si="261"/>
        <v>0</v>
      </c>
      <c r="G1435" s="1205"/>
      <c r="H1435" s="1055"/>
      <c r="I1435" s="1055"/>
      <c r="J1435" s="1055"/>
      <c r="K1435" s="1205"/>
      <c r="L1435" s="1055"/>
      <c r="M1435" s="1205"/>
      <c r="N1435" s="1054"/>
      <c r="O1435" s="1207"/>
      <c r="Q1435" s="1207"/>
    </row>
    <row r="1436" spans="3:17" s="700" customFormat="1" ht="70.5" hidden="1" customHeight="1">
      <c r="C1436" s="701"/>
      <c r="D1436" s="811"/>
      <c r="E1436" s="1276">
        <v>0</v>
      </c>
      <c r="F1436" s="748">
        <f t="shared" si="261"/>
        <v>0</v>
      </c>
      <c r="G1436" s="1205"/>
      <c r="H1436" s="1055"/>
      <c r="I1436" s="1055"/>
      <c r="J1436" s="1055"/>
      <c r="K1436" s="1205"/>
      <c r="L1436" s="1055"/>
      <c r="M1436" s="1205"/>
      <c r="N1436" s="1054"/>
      <c r="O1436" s="1207"/>
      <c r="Q1436" s="1207"/>
    </row>
    <row r="1437" spans="3:17" s="700" customFormat="1" ht="70.5" hidden="1" customHeight="1">
      <c r="C1437" s="701"/>
      <c r="D1437" s="811"/>
      <c r="E1437" s="1276">
        <v>0</v>
      </c>
      <c r="F1437" s="748">
        <f t="shared" si="261"/>
        <v>0</v>
      </c>
      <c r="G1437" s="1205"/>
      <c r="H1437" s="1055"/>
      <c r="I1437" s="1055"/>
      <c r="J1437" s="1055"/>
      <c r="K1437" s="1205"/>
      <c r="L1437" s="1055"/>
      <c r="M1437" s="1205"/>
      <c r="N1437" s="1054"/>
      <c r="O1437" s="1207"/>
      <c r="Q1437" s="1207"/>
    </row>
    <row r="1438" spans="3:17" s="700" customFormat="1" ht="70.5" hidden="1" customHeight="1">
      <c r="C1438" s="701"/>
      <c r="D1438" s="811"/>
      <c r="E1438" s="1276">
        <v>0</v>
      </c>
      <c r="F1438" s="748">
        <f t="shared" si="261"/>
        <v>0</v>
      </c>
      <c r="G1438" s="1205"/>
      <c r="H1438" s="1055"/>
      <c r="I1438" s="1055"/>
      <c r="J1438" s="1055"/>
      <c r="K1438" s="1205"/>
      <c r="L1438" s="1055"/>
      <c r="M1438" s="1205"/>
      <c r="N1438" s="1054"/>
      <c r="O1438" s="1207"/>
      <c r="Q1438" s="1207"/>
    </row>
    <row r="1439" spans="3:17" s="700" customFormat="1" ht="70.5" hidden="1" customHeight="1">
      <c r="C1439" s="701"/>
      <c r="D1439" s="811"/>
      <c r="E1439" s="1276">
        <v>0</v>
      </c>
      <c r="F1439" s="748">
        <f t="shared" si="261"/>
        <v>0</v>
      </c>
      <c r="G1439" s="1205"/>
      <c r="H1439" s="1055"/>
      <c r="I1439" s="1055"/>
      <c r="J1439" s="1055"/>
      <c r="K1439" s="1205"/>
      <c r="L1439" s="1055"/>
      <c r="M1439" s="1205"/>
      <c r="N1439" s="1054"/>
      <c r="O1439" s="1207"/>
      <c r="Q1439" s="1207"/>
    </row>
    <row r="1440" spans="3:17" s="700" customFormat="1" ht="70.5" hidden="1" customHeight="1">
      <c r="C1440" s="701"/>
      <c r="D1440" s="811"/>
      <c r="E1440" s="1276">
        <v>0</v>
      </c>
      <c r="F1440" s="748">
        <f t="shared" si="261"/>
        <v>0</v>
      </c>
      <c r="G1440" s="1205"/>
      <c r="H1440" s="1055"/>
      <c r="I1440" s="1055"/>
      <c r="J1440" s="1055"/>
      <c r="K1440" s="1205"/>
      <c r="L1440" s="1055"/>
      <c r="M1440" s="1205"/>
      <c r="N1440" s="1054"/>
      <c r="O1440" s="1207"/>
      <c r="Q1440" s="1207"/>
    </row>
    <row r="1441" spans="3:17" s="700" customFormat="1" ht="70.5" hidden="1" customHeight="1">
      <c r="C1441" s="701"/>
      <c r="D1441" s="811"/>
      <c r="E1441" s="1276">
        <v>0</v>
      </c>
      <c r="F1441" s="748">
        <f t="shared" si="261"/>
        <v>0</v>
      </c>
      <c r="G1441" s="1205"/>
      <c r="H1441" s="1055"/>
      <c r="I1441" s="1055"/>
      <c r="J1441" s="1055"/>
      <c r="K1441" s="1205"/>
      <c r="L1441" s="1055"/>
      <c r="M1441" s="1205"/>
      <c r="N1441" s="1054"/>
      <c r="O1441" s="1207"/>
      <c r="Q1441" s="1207"/>
    </row>
    <row r="1442" spans="3:17" s="700" customFormat="1" ht="70.5" hidden="1" customHeight="1">
      <c r="C1442" s="701"/>
      <c r="D1442" s="811"/>
      <c r="E1442" s="1276">
        <v>0</v>
      </c>
      <c r="F1442" s="748">
        <f t="shared" si="261"/>
        <v>0</v>
      </c>
      <c r="G1442" s="1205"/>
      <c r="H1442" s="1055"/>
      <c r="I1442" s="1055"/>
      <c r="J1442" s="1055"/>
      <c r="K1442" s="1205"/>
      <c r="L1442" s="1055"/>
      <c r="M1442" s="1205"/>
      <c r="N1442" s="1054"/>
      <c r="O1442" s="1207"/>
      <c r="Q1442" s="1207"/>
    </row>
    <row r="1443" spans="3:17" s="700" customFormat="1" ht="70.5" hidden="1" customHeight="1">
      <c r="C1443" s="701"/>
      <c r="D1443" s="811"/>
      <c r="E1443" s="1276">
        <v>0</v>
      </c>
      <c r="F1443" s="748">
        <f t="shared" si="261"/>
        <v>0</v>
      </c>
      <c r="G1443" s="1205"/>
      <c r="H1443" s="1055"/>
      <c r="I1443" s="1055"/>
      <c r="J1443" s="1055"/>
      <c r="K1443" s="1205"/>
      <c r="L1443" s="1055"/>
      <c r="M1443" s="1205"/>
      <c r="N1443" s="1054"/>
      <c r="O1443" s="1207"/>
      <c r="Q1443" s="1207"/>
    </row>
    <row r="1444" spans="3:17" s="700" customFormat="1" ht="70.5" hidden="1" customHeight="1">
      <c r="C1444" s="701"/>
      <c r="D1444" s="811"/>
      <c r="E1444" s="1276">
        <v>0</v>
      </c>
      <c r="F1444" s="748">
        <f t="shared" si="261"/>
        <v>0</v>
      </c>
      <c r="G1444" s="1205"/>
      <c r="H1444" s="1055"/>
      <c r="I1444" s="1055"/>
      <c r="J1444" s="1055"/>
      <c r="K1444" s="1205"/>
      <c r="L1444" s="1055"/>
      <c r="M1444" s="1205"/>
      <c r="N1444" s="1054"/>
      <c r="O1444" s="1207"/>
      <c r="Q1444" s="1207"/>
    </row>
    <row r="1445" spans="3:17" s="700" customFormat="1" ht="70.5" hidden="1" customHeight="1">
      <c r="C1445" s="701"/>
      <c r="D1445" s="811"/>
      <c r="E1445" s="1276">
        <v>0</v>
      </c>
      <c r="F1445" s="748">
        <f t="shared" si="261"/>
        <v>0</v>
      </c>
      <c r="G1445" s="1205"/>
      <c r="H1445" s="1055"/>
      <c r="I1445" s="1055"/>
      <c r="J1445" s="1055"/>
      <c r="K1445" s="1205"/>
      <c r="L1445" s="1055"/>
      <c r="M1445" s="1205"/>
      <c r="N1445" s="1054"/>
      <c r="O1445" s="1207"/>
      <c r="Q1445" s="1207"/>
    </row>
    <row r="1446" spans="3:17" s="700" customFormat="1" ht="70.5" hidden="1" customHeight="1">
      <c r="C1446" s="701"/>
      <c r="D1446" s="811"/>
      <c r="E1446" s="1276">
        <v>0</v>
      </c>
      <c r="F1446" s="748">
        <f t="shared" si="261"/>
        <v>0</v>
      </c>
      <c r="G1446" s="1205"/>
      <c r="H1446" s="1055"/>
      <c r="I1446" s="1055"/>
      <c r="J1446" s="1055"/>
      <c r="K1446" s="1205"/>
      <c r="L1446" s="1055"/>
      <c r="M1446" s="1205"/>
      <c r="N1446" s="1054"/>
      <c r="O1446" s="1207"/>
      <c r="Q1446" s="1207"/>
    </row>
    <row r="1447" spans="3:17" s="700" customFormat="1" ht="70.5" hidden="1" customHeight="1">
      <c r="C1447" s="701"/>
      <c r="D1447" s="811"/>
      <c r="E1447" s="1276">
        <v>0</v>
      </c>
      <c r="F1447" s="748">
        <f t="shared" si="261"/>
        <v>0</v>
      </c>
      <c r="G1447" s="1205"/>
      <c r="H1447" s="1055"/>
      <c r="I1447" s="1055"/>
      <c r="J1447" s="1055"/>
      <c r="K1447" s="1205"/>
      <c r="L1447" s="1055"/>
      <c r="M1447" s="1205"/>
      <c r="N1447" s="1054"/>
      <c r="O1447" s="1207"/>
      <c r="Q1447" s="1207"/>
    </row>
    <row r="1448" spans="3:17" s="700" customFormat="1" ht="70.5" hidden="1" customHeight="1">
      <c r="C1448" s="701"/>
      <c r="D1448" s="811"/>
      <c r="E1448" s="1276">
        <v>0</v>
      </c>
      <c r="F1448" s="748">
        <f t="shared" si="261"/>
        <v>0</v>
      </c>
      <c r="G1448" s="1205"/>
      <c r="H1448" s="1055"/>
      <c r="I1448" s="1055"/>
      <c r="J1448" s="1055"/>
      <c r="K1448" s="1205"/>
      <c r="L1448" s="1055"/>
      <c r="M1448" s="1205"/>
      <c r="N1448" s="1054"/>
      <c r="O1448" s="1207"/>
      <c r="Q1448" s="1207"/>
    </row>
    <row r="1449" spans="3:17" s="700" customFormat="1" ht="70.5" hidden="1" customHeight="1">
      <c r="C1449" s="701"/>
      <c r="D1449" s="811"/>
      <c r="E1449" s="1276">
        <v>0</v>
      </c>
      <c r="F1449" s="748">
        <f t="shared" si="261"/>
        <v>0</v>
      </c>
      <c r="G1449" s="1205"/>
      <c r="H1449" s="1055"/>
      <c r="I1449" s="1055"/>
      <c r="J1449" s="1055"/>
      <c r="K1449" s="1205"/>
      <c r="L1449" s="1055"/>
      <c r="M1449" s="1205"/>
      <c r="N1449" s="1054"/>
      <c r="O1449" s="1207"/>
      <c r="Q1449" s="1207"/>
    </row>
    <row r="1450" spans="3:17" s="700" customFormat="1" ht="70.5" hidden="1" customHeight="1">
      <c r="C1450" s="701"/>
      <c r="D1450" s="811"/>
      <c r="E1450" s="1276">
        <v>0</v>
      </c>
      <c r="F1450" s="748">
        <f t="shared" si="261"/>
        <v>0</v>
      </c>
      <c r="G1450" s="1205"/>
      <c r="H1450" s="1055"/>
      <c r="I1450" s="1055"/>
      <c r="J1450" s="1055"/>
      <c r="K1450" s="1205"/>
      <c r="L1450" s="1055"/>
      <c r="M1450" s="1205"/>
      <c r="N1450" s="1054"/>
      <c r="O1450" s="1207"/>
      <c r="Q1450" s="1207"/>
    </row>
    <row r="1451" spans="3:17" s="700" customFormat="1" ht="70.5" hidden="1" customHeight="1">
      <c r="C1451" s="701"/>
      <c r="D1451" s="811"/>
      <c r="E1451" s="1276">
        <v>0</v>
      </c>
      <c r="F1451" s="748">
        <f t="shared" si="261"/>
        <v>0</v>
      </c>
      <c r="G1451" s="1205"/>
      <c r="H1451" s="1055"/>
      <c r="I1451" s="1055"/>
      <c r="J1451" s="1055"/>
      <c r="K1451" s="1205"/>
      <c r="L1451" s="1055"/>
      <c r="M1451" s="1205"/>
      <c r="N1451" s="1054"/>
      <c r="O1451" s="1207"/>
      <c r="Q1451" s="1207"/>
    </row>
    <row r="1452" spans="3:17" s="700" customFormat="1" ht="70.5" hidden="1" customHeight="1">
      <c r="C1452" s="701"/>
      <c r="D1452" s="811"/>
      <c r="E1452" s="1276">
        <v>0</v>
      </c>
      <c r="F1452" s="748">
        <f t="shared" si="261"/>
        <v>0</v>
      </c>
      <c r="G1452" s="1205"/>
      <c r="H1452" s="1055"/>
      <c r="I1452" s="1055"/>
      <c r="J1452" s="1055"/>
      <c r="K1452" s="1205"/>
      <c r="L1452" s="1055"/>
      <c r="M1452" s="1205"/>
      <c r="N1452" s="1054"/>
      <c r="O1452" s="1207"/>
      <c r="Q1452" s="1207"/>
    </row>
    <row r="1453" spans="3:17" s="700" customFormat="1" ht="70.5" hidden="1" customHeight="1">
      <c r="C1453" s="701"/>
      <c r="D1453" s="811"/>
      <c r="E1453" s="1276">
        <v>0</v>
      </c>
      <c r="F1453" s="748">
        <f t="shared" si="261"/>
        <v>0</v>
      </c>
      <c r="G1453" s="1205"/>
      <c r="H1453" s="1055"/>
      <c r="I1453" s="1055"/>
      <c r="J1453" s="1055"/>
      <c r="K1453" s="1205"/>
      <c r="L1453" s="1055"/>
      <c r="M1453" s="1205"/>
      <c r="N1453" s="1054"/>
      <c r="O1453" s="1207"/>
      <c r="Q1453" s="1207"/>
    </row>
    <row r="1454" spans="3:17" s="700" customFormat="1" ht="70.5" hidden="1" customHeight="1">
      <c r="C1454" s="701"/>
      <c r="D1454" s="811"/>
      <c r="E1454" s="1276">
        <v>0</v>
      </c>
      <c r="F1454" s="748">
        <f t="shared" si="261"/>
        <v>0</v>
      </c>
      <c r="G1454" s="1205"/>
      <c r="H1454" s="1055"/>
      <c r="I1454" s="1055"/>
      <c r="J1454" s="1055"/>
      <c r="K1454" s="1205"/>
      <c r="L1454" s="1055"/>
      <c r="M1454" s="1205"/>
      <c r="N1454" s="1054"/>
      <c r="O1454" s="1207"/>
      <c r="Q1454" s="1207"/>
    </row>
    <row r="1455" spans="3:17" s="700" customFormat="1" ht="70.5" hidden="1" customHeight="1">
      <c r="C1455" s="701"/>
      <c r="D1455" s="811"/>
      <c r="E1455" s="1276">
        <v>0</v>
      </c>
      <c r="F1455" s="748">
        <f t="shared" si="261"/>
        <v>0</v>
      </c>
      <c r="G1455" s="1205"/>
      <c r="H1455" s="1055"/>
      <c r="I1455" s="1055"/>
      <c r="J1455" s="1055"/>
      <c r="K1455" s="1205"/>
      <c r="L1455" s="1055"/>
      <c r="M1455" s="1205"/>
      <c r="N1455" s="1054"/>
      <c r="O1455" s="1207"/>
      <c r="Q1455" s="1207"/>
    </row>
    <row r="1456" spans="3:17" s="700" customFormat="1" ht="70.5" hidden="1" customHeight="1">
      <c r="C1456" s="701"/>
      <c r="D1456" s="811"/>
      <c r="E1456" s="1276">
        <v>0</v>
      </c>
      <c r="F1456" s="748">
        <f t="shared" si="261"/>
        <v>0</v>
      </c>
      <c r="G1456" s="1205"/>
      <c r="H1456" s="1055"/>
      <c r="I1456" s="1055"/>
      <c r="J1456" s="1055"/>
      <c r="K1456" s="1205"/>
      <c r="L1456" s="1055"/>
      <c r="M1456" s="1205"/>
      <c r="N1456" s="1054"/>
      <c r="O1456" s="1207"/>
      <c r="Q1456" s="1207"/>
    </row>
    <row r="1457" spans="3:17" s="700" customFormat="1" ht="70.5" hidden="1" customHeight="1">
      <c r="C1457" s="701"/>
      <c r="D1457" s="811"/>
      <c r="E1457" s="1276">
        <v>0</v>
      </c>
      <c r="F1457" s="748">
        <f t="shared" si="261"/>
        <v>0</v>
      </c>
      <c r="G1457" s="1205"/>
      <c r="H1457" s="1055"/>
      <c r="I1457" s="1055"/>
      <c r="J1457" s="1055"/>
      <c r="K1457" s="1205"/>
      <c r="L1457" s="1055"/>
      <c r="M1457" s="1205"/>
      <c r="N1457" s="1054"/>
      <c r="O1457" s="1207"/>
      <c r="Q1457" s="1207"/>
    </row>
    <row r="1458" spans="3:17" s="700" customFormat="1" ht="70.5" hidden="1" customHeight="1">
      <c r="C1458" s="701"/>
      <c r="D1458" s="811"/>
      <c r="E1458" s="1276">
        <v>0</v>
      </c>
      <c r="F1458" s="748">
        <f t="shared" si="261"/>
        <v>0</v>
      </c>
      <c r="G1458" s="1205"/>
      <c r="H1458" s="1055"/>
      <c r="I1458" s="1055"/>
      <c r="J1458" s="1055"/>
      <c r="K1458" s="1205"/>
      <c r="L1458" s="1055"/>
      <c r="M1458" s="1205"/>
      <c r="N1458" s="1054"/>
      <c r="O1458" s="1207"/>
      <c r="Q1458" s="1207"/>
    </row>
    <row r="1459" spans="3:17" s="700" customFormat="1" ht="70.5" hidden="1" customHeight="1">
      <c r="C1459" s="701"/>
      <c r="D1459" s="811"/>
      <c r="E1459" s="1276">
        <v>0</v>
      </c>
      <c r="F1459" s="748">
        <f t="shared" si="261"/>
        <v>0</v>
      </c>
      <c r="G1459" s="1205"/>
      <c r="H1459" s="1055"/>
      <c r="I1459" s="1055"/>
      <c r="J1459" s="1055"/>
      <c r="K1459" s="1205"/>
      <c r="L1459" s="1055"/>
      <c r="M1459" s="1205"/>
      <c r="N1459" s="1054"/>
      <c r="O1459" s="1207"/>
      <c r="Q1459" s="1207"/>
    </row>
    <row r="1460" spans="3:17" s="700" customFormat="1" ht="70.5" hidden="1" customHeight="1">
      <c r="C1460" s="701"/>
      <c r="D1460" s="811"/>
      <c r="E1460" s="1276">
        <v>0</v>
      </c>
      <c r="F1460" s="748">
        <f t="shared" si="261"/>
        <v>0</v>
      </c>
      <c r="G1460" s="1205"/>
      <c r="H1460" s="1055"/>
      <c r="I1460" s="1055"/>
      <c r="J1460" s="1055"/>
      <c r="K1460" s="1205"/>
      <c r="L1460" s="1055"/>
      <c r="M1460" s="1205"/>
      <c r="N1460" s="1054"/>
      <c r="O1460" s="1207"/>
      <c r="Q1460" s="1207"/>
    </row>
    <row r="1461" spans="3:17" s="700" customFormat="1" ht="70.5" hidden="1" customHeight="1">
      <c r="C1461" s="701"/>
      <c r="D1461" s="811"/>
      <c r="E1461" s="1276">
        <v>0</v>
      </c>
      <c r="F1461" s="748">
        <f t="shared" si="261"/>
        <v>0</v>
      </c>
      <c r="G1461" s="1205"/>
      <c r="H1461" s="1055"/>
      <c r="I1461" s="1055"/>
      <c r="J1461" s="1055"/>
      <c r="K1461" s="1205"/>
      <c r="L1461" s="1055"/>
      <c r="M1461" s="1205"/>
      <c r="N1461" s="1054"/>
      <c r="O1461" s="1207"/>
      <c r="Q1461" s="1207"/>
    </row>
    <row r="1462" spans="3:17" s="700" customFormat="1" ht="70.5" hidden="1" customHeight="1">
      <c r="C1462" s="701"/>
      <c r="D1462" s="811"/>
      <c r="E1462" s="1276">
        <v>0</v>
      </c>
      <c r="F1462" s="748">
        <f t="shared" si="261"/>
        <v>0</v>
      </c>
      <c r="G1462" s="1205"/>
      <c r="H1462" s="1055"/>
      <c r="I1462" s="1055"/>
      <c r="J1462" s="1055"/>
      <c r="K1462" s="1205"/>
      <c r="L1462" s="1055"/>
      <c r="M1462" s="1205"/>
      <c r="N1462" s="1054"/>
      <c r="O1462" s="1207"/>
      <c r="Q1462" s="1207"/>
    </row>
    <row r="1463" spans="3:17" s="700" customFormat="1" ht="70.5" hidden="1" customHeight="1">
      <c r="C1463" s="701"/>
      <c r="D1463" s="811"/>
      <c r="E1463" s="1276">
        <v>0</v>
      </c>
      <c r="F1463" s="748">
        <f t="shared" si="261"/>
        <v>0</v>
      </c>
      <c r="G1463" s="1205"/>
      <c r="H1463" s="1055"/>
      <c r="I1463" s="1055"/>
      <c r="J1463" s="1055"/>
      <c r="K1463" s="1205"/>
      <c r="L1463" s="1055"/>
      <c r="M1463" s="1205"/>
      <c r="N1463" s="1054"/>
      <c r="O1463" s="1207"/>
      <c r="Q1463" s="1207"/>
    </row>
    <row r="1464" spans="3:17" s="700" customFormat="1" ht="70.5" hidden="1" customHeight="1">
      <c r="C1464" s="701"/>
      <c r="D1464" s="811"/>
      <c r="E1464" s="1276">
        <v>0</v>
      </c>
      <c r="F1464" s="748">
        <f t="shared" si="261"/>
        <v>0</v>
      </c>
      <c r="G1464" s="1205"/>
      <c r="H1464" s="1055"/>
      <c r="I1464" s="1055"/>
      <c r="J1464" s="1055"/>
      <c r="K1464" s="1205"/>
      <c r="L1464" s="1055"/>
      <c r="M1464" s="1205"/>
      <c r="N1464" s="1054"/>
      <c r="O1464" s="1207"/>
      <c r="Q1464" s="1207"/>
    </row>
    <row r="1465" spans="3:17" s="700" customFormat="1" ht="70.5" hidden="1" customHeight="1">
      <c r="C1465" s="701"/>
      <c r="D1465" s="811"/>
      <c r="E1465" s="1276">
        <v>0</v>
      </c>
      <c r="F1465" s="748">
        <f t="shared" si="261"/>
        <v>0</v>
      </c>
      <c r="G1465" s="1205"/>
      <c r="H1465" s="1055"/>
      <c r="I1465" s="1055"/>
      <c r="J1465" s="1055"/>
      <c r="K1465" s="1205"/>
      <c r="L1465" s="1055"/>
      <c r="M1465" s="1205"/>
      <c r="N1465" s="1054"/>
      <c r="O1465" s="1207"/>
      <c r="Q1465" s="1207"/>
    </row>
    <row r="1466" spans="3:17" s="700" customFormat="1" ht="70.5" hidden="1" customHeight="1">
      <c r="C1466" s="701"/>
      <c r="D1466" s="811"/>
      <c r="E1466" s="1276">
        <v>0</v>
      </c>
      <c r="F1466" s="748">
        <f t="shared" si="261"/>
        <v>0</v>
      </c>
      <c r="G1466" s="1205"/>
      <c r="H1466" s="1055"/>
      <c r="I1466" s="1055"/>
      <c r="J1466" s="1055"/>
      <c r="K1466" s="1205"/>
      <c r="L1466" s="1055"/>
      <c r="M1466" s="1205"/>
      <c r="N1466" s="1054"/>
      <c r="O1466" s="1207"/>
      <c r="Q1466" s="1207"/>
    </row>
    <row r="1467" spans="3:17" s="700" customFormat="1" ht="70.5" hidden="1" customHeight="1">
      <c r="C1467" s="701"/>
      <c r="D1467" s="811"/>
      <c r="E1467" s="1276">
        <v>0</v>
      </c>
      <c r="F1467" s="748">
        <f t="shared" si="261"/>
        <v>0</v>
      </c>
      <c r="G1467" s="1205"/>
      <c r="H1467" s="1055"/>
      <c r="I1467" s="1055"/>
      <c r="J1467" s="1055"/>
      <c r="K1467" s="1205"/>
      <c r="L1467" s="1055"/>
      <c r="M1467" s="1205"/>
      <c r="N1467" s="1054"/>
      <c r="O1467" s="1207"/>
      <c r="Q1467" s="1207"/>
    </row>
    <row r="1468" spans="3:17" s="700" customFormat="1" ht="70.5" hidden="1" customHeight="1">
      <c r="C1468" s="701"/>
      <c r="D1468" s="811"/>
      <c r="E1468" s="1276">
        <v>0</v>
      </c>
      <c r="F1468" s="748">
        <f t="shared" si="261"/>
        <v>0</v>
      </c>
      <c r="G1468" s="1205"/>
      <c r="H1468" s="1055"/>
      <c r="I1468" s="1055"/>
      <c r="J1468" s="1055"/>
      <c r="K1468" s="1205"/>
      <c r="L1468" s="1055"/>
      <c r="M1468" s="1205"/>
      <c r="N1468" s="1054"/>
      <c r="O1468" s="1207"/>
      <c r="Q1468" s="1207"/>
    </row>
    <row r="1469" spans="3:17" s="700" customFormat="1" ht="70.5" hidden="1" customHeight="1">
      <c r="C1469" s="701"/>
      <c r="D1469" s="811"/>
      <c r="E1469" s="1276">
        <v>0</v>
      </c>
      <c r="F1469" s="748">
        <f t="shared" si="261"/>
        <v>0</v>
      </c>
      <c r="G1469" s="1205"/>
      <c r="H1469" s="1055"/>
      <c r="I1469" s="1055"/>
      <c r="J1469" s="1055"/>
      <c r="K1469" s="1205"/>
      <c r="L1469" s="1055"/>
      <c r="M1469" s="1205"/>
      <c r="N1469" s="1054"/>
      <c r="O1469" s="1207"/>
      <c r="Q1469" s="1207"/>
    </row>
    <row r="1470" spans="3:17" s="700" customFormat="1" ht="70.5" hidden="1" customHeight="1">
      <c r="C1470" s="701"/>
      <c r="D1470" s="811"/>
      <c r="E1470" s="1276">
        <v>0</v>
      </c>
      <c r="F1470" s="748">
        <f t="shared" si="261"/>
        <v>0</v>
      </c>
      <c r="G1470" s="1205"/>
      <c r="H1470" s="1055"/>
      <c r="I1470" s="1055"/>
      <c r="J1470" s="1055"/>
      <c r="K1470" s="1205"/>
      <c r="L1470" s="1055"/>
      <c r="M1470" s="1205"/>
      <c r="N1470" s="1054"/>
      <c r="O1470" s="1207"/>
      <c r="Q1470" s="1207"/>
    </row>
    <row r="1471" spans="3:17" s="700" customFormat="1" ht="70.5" hidden="1" customHeight="1">
      <c r="C1471" s="701"/>
      <c r="D1471" s="811"/>
      <c r="E1471" s="1276">
        <v>0</v>
      </c>
      <c r="F1471" s="748">
        <f t="shared" si="261"/>
        <v>0</v>
      </c>
      <c r="G1471" s="1205"/>
      <c r="H1471" s="1055"/>
      <c r="I1471" s="1055"/>
      <c r="J1471" s="1055"/>
      <c r="K1471" s="1205"/>
      <c r="L1471" s="1055"/>
      <c r="M1471" s="1205"/>
      <c r="N1471" s="1054"/>
      <c r="O1471" s="1207"/>
      <c r="Q1471" s="1207"/>
    </row>
    <row r="1472" spans="3:17" s="700" customFormat="1" ht="70.5" hidden="1" customHeight="1">
      <c r="C1472" s="701"/>
      <c r="D1472" s="811"/>
      <c r="E1472" s="1276">
        <v>0</v>
      </c>
      <c r="F1472" s="748">
        <f t="shared" ref="F1472:F1535" si="262">E1472*C1472</f>
        <v>0</v>
      </c>
      <c r="G1472" s="1205"/>
      <c r="H1472" s="1055"/>
      <c r="I1472" s="1055"/>
      <c r="J1472" s="1055"/>
      <c r="K1472" s="1205"/>
      <c r="L1472" s="1055"/>
      <c r="M1472" s="1205"/>
      <c r="N1472" s="1054"/>
      <c r="O1472" s="1207"/>
      <c r="Q1472" s="1207"/>
    </row>
    <row r="1473" spans="3:17" s="700" customFormat="1" ht="70.5" hidden="1" customHeight="1">
      <c r="C1473" s="701"/>
      <c r="D1473" s="811"/>
      <c r="E1473" s="1276">
        <v>0</v>
      </c>
      <c r="F1473" s="748">
        <f t="shared" si="262"/>
        <v>0</v>
      </c>
      <c r="G1473" s="1205"/>
      <c r="H1473" s="1055"/>
      <c r="I1473" s="1055"/>
      <c r="J1473" s="1055"/>
      <c r="K1473" s="1205"/>
      <c r="L1473" s="1055"/>
      <c r="M1473" s="1205"/>
      <c r="N1473" s="1054"/>
      <c r="O1473" s="1207"/>
      <c r="Q1473" s="1207"/>
    </row>
    <row r="1474" spans="3:17" s="700" customFormat="1" ht="70.5" hidden="1" customHeight="1">
      <c r="C1474" s="701"/>
      <c r="D1474" s="811"/>
      <c r="E1474" s="1276">
        <v>0</v>
      </c>
      <c r="F1474" s="748">
        <f t="shared" si="262"/>
        <v>0</v>
      </c>
      <c r="G1474" s="1205"/>
      <c r="H1474" s="1055"/>
      <c r="I1474" s="1055"/>
      <c r="J1474" s="1055"/>
      <c r="K1474" s="1205"/>
      <c r="L1474" s="1055"/>
      <c r="M1474" s="1205"/>
      <c r="N1474" s="1054"/>
      <c r="O1474" s="1207"/>
      <c r="Q1474" s="1207"/>
    </row>
    <row r="1475" spans="3:17" s="700" customFormat="1" ht="70.5" hidden="1" customHeight="1">
      <c r="C1475" s="701"/>
      <c r="D1475" s="811"/>
      <c r="E1475" s="1276">
        <v>0</v>
      </c>
      <c r="F1475" s="748">
        <f t="shared" si="262"/>
        <v>0</v>
      </c>
      <c r="G1475" s="1205"/>
      <c r="H1475" s="1055"/>
      <c r="I1475" s="1055"/>
      <c r="J1475" s="1055"/>
      <c r="K1475" s="1205"/>
      <c r="L1475" s="1055"/>
      <c r="M1475" s="1205"/>
      <c r="N1475" s="1054"/>
      <c r="O1475" s="1207"/>
      <c r="Q1475" s="1207"/>
    </row>
    <row r="1476" spans="3:17" s="700" customFormat="1" ht="70.5" hidden="1" customHeight="1">
      <c r="C1476" s="701"/>
      <c r="D1476" s="811"/>
      <c r="E1476" s="1276">
        <v>0</v>
      </c>
      <c r="F1476" s="748">
        <f t="shared" si="262"/>
        <v>0</v>
      </c>
      <c r="G1476" s="1205"/>
      <c r="H1476" s="1055"/>
      <c r="I1476" s="1055"/>
      <c r="J1476" s="1055"/>
      <c r="K1476" s="1205"/>
      <c r="L1476" s="1055"/>
      <c r="M1476" s="1205"/>
      <c r="N1476" s="1054"/>
      <c r="O1476" s="1207"/>
      <c r="Q1476" s="1207"/>
    </row>
    <row r="1477" spans="3:17" s="700" customFormat="1" ht="70.5" hidden="1" customHeight="1">
      <c r="C1477" s="701"/>
      <c r="D1477" s="811"/>
      <c r="E1477" s="1276">
        <v>0</v>
      </c>
      <c r="F1477" s="748">
        <f t="shared" si="262"/>
        <v>0</v>
      </c>
      <c r="G1477" s="1205"/>
      <c r="H1477" s="1055"/>
      <c r="I1477" s="1055"/>
      <c r="J1477" s="1055"/>
      <c r="K1477" s="1205"/>
      <c r="L1477" s="1055"/>
      <c r="M1477" s="1205"/>
      <c r="N1477" s="1054"/>
      <c r="O1477" s="1207"/>
      <c r="Q1477" s="1207"/>
    </row>
    <row r="1478" spans="3:17" s="700" customFormat="1" ht="70.5" hidden="1" customHeight="1">
      <c r="C1478" s="701"/>
      <c r="D1478" s="811"/>
      <c r="E1478" s="1276">
        <v>0</v>
      </c>
      <c r="F1478" s="748">
        <f t="shared" si="262"/>
        <v>0</v>
      </c>
      <c r="G1478" s="1205"/>
      <c r="H1478" s="1055"/>
      <c r="I1478" s="1055"/>
      <c r="J1478" s="1055"/>
      <c r="K1478" s="1205"/>
      <c r="L1478" s="1055"/>
      <c r="M1478" s="1205"/>
      <c r="N1478" s="1054"/>
      <c r="O1478" s="1207"/>
      <c r="Q1478" s="1207"/>
    </row>
    <row r="1479" spans="3:17" s="700" customFormat="1" ht="70.5" hidden="1" customHeight="1">
      <c r="C1479" s="701"/>
      <c r="D1479" s="811"/>
      <c r="E1479" s="1276">
        <v>0</v>
      </c>
      <c r="F1479" s="748">
        <f t="shared" si="262"/>
        <v>0</v>
      </c>
      <c r="G1479" s="1205"/>
      <c r="H1479" s="1055"/>
      <c r="I1479" s="1055"/>
      <c r="J1479" s="1055"/>
      <c r="K1479" s="1205"/>
      <c r="L1479" s="1055"/>
      <c r="M1479" s="1205"/>
      <c r="N1479" s="1054"/>
      <c r="O1479" s="1207"/>
      <c r="Q1479" s="1207"/>
    </row>
    <row r="1480" spans="3:17" s="700" customFormat="1" ht="70.5" hidden="1" customHeight="1">
      <c r="C1480" s="701"/>
      <c r="D1480" s="811"/>
      <c r="E1480" s="1276">
        <v>0</v>
      </c>
      <c r="F1480" s="748">
        <f t="shared" si="262"/>
        <v>0</v>
      </c>
      <c r="G1480" s="1205"/>
      <c r="H1480" s="1055"/>
      <c r="I1480" s="1055"/>
      <c r="J1480" s="1055"/>
      <c r="K1480" s="1205"/>
      <c r="L1480" s="1055"/>
      <c r="M1480" s="1205"/>
      <c r="N1480" s="1054"/>
      <c r="O1480" s="1207"/>
      <c r="Q1480" s="1207"/>
    </row>
    <row r="1481" spans="3:17" s="700" customFormat="1" ht="70.5" hidden="1" customHeight="1">
      <c r="C1481" s="701"/>
      <c r="D1481" s="811"/>
      <c r="E1481" s="1276">
        <v>0</v>
      </c>
      <c r="F1481" s="748">
        <f t="shared" si="262"/>
        <v>0</v>
      </c>
      <c r="G1481" s="1205"/>
      <c r="H1481" s="1055"/>
      <c r="I1481" s="1055"/>
      <c r="J1481" s="1055"/>
      <c r="K1481" s="1205"/>
      <c r="L1481" s="1055"/>
      <c r="M1481" s="1205"/>
      <c r="N1481" s="1054"/>
      <c r="O1481" s="1207"/>
      <c r="Q1481" s="1207"/>
    </row>
    <row r="1482" spans="3:17" s="700" customFormat="1" ht="70.5" hidden="1" customHeight="1">
      <c r="C1482" s="701"/>
      <c r="D1482" s="811"/>
      <c r="E1482" s="1276">
        <v>0</v>
      </c>
      <c r="F1482" s="748">
        <f t="shared" si="262"/>
        <v>0</v>
      </c>
      <c r="G1482" s="1205"/>
      <c r="H1482" s="1055"/>
      <c r="I1482" s="1055"/>
      <c r="J1482" s="1055"/>
      <c r="K1482" s="1205"/>
      <c r="L1482" s="1055"/>
      <c r="M1482" s="1205"/>
      <c r="N1482" s="1054"/>
      <c r="O1482" s="1207"/>
      <c r="Q1482" s="1207"/>
    </row>
    <row r="1483" spans="3:17" s="700" customFormat="1" ht="70.5" hidden="1" customHeight="1">
      <c r="C1483" s="701"/>
      <c r="D1483" s="811"/>
      <c r="E1483" s="1276">
        <v>0</v>
      </c>
      <c r="F1483" s="748">
        <f t="shared" si="262"/>
        <v>0</v>
      </c>
      <c r="G1483" s="1205"/>
      <c r="H1483" s="1055"/>
      <c r="I1483" s="1055"/>
      <c r="J1483" s="1055"/>
      <c r="K1483" s="1205"/>
      <c r="L1483" s="1055"/>
      <c r="M1483" s="1205"/>
      <c r="N1483" s="1054"/>
      <c r="O1483" s="1207"/>
      <c r="Q1483" s="1207"/>
    </row>
    <row r="1484" spans="3:17" s="700" customFormat="1" ht="70.5" hidden="1" customHeight="1">
      <c r="C1484" s="701"/>
      <c r="D1484" s="811"/>
      <c r="E1484" s="1276">
        <v>0</v>
      </c>
      <c r="F1484" s="748">
        <f t="shared" si="262"/>
        <v>0</v>
      </c>
      <c r="G1484" s="1205"/>
      <c r="H1484" s="1055"/>
      <c r="I1484" s="1055"/>
      <c r="J1484" s="1055"/>
      <c r="K1484" s="1205"/>
      <c r="L1484" s="1055"/>
      <c r="M1484" s="1205"/>
      <c r="N1484" s="1054"/>
      <c r="O1484" s="1207"/>
      <c r="Q1484" s="1207"/>
    </row>
    <row r="1485" spans="3:17" s="700" customFormat="1" ht="70.5" hidden="1" customHeight="1">
      <c r="C1485" s="701"/>
      <c r="D1485" s="811"/>
      <c r="E1485" s="1276">
        <v>0</v>
      </c>
      <c r="F1485" s="748">
        <f t="shared" si="262"/>
        <v>0</v>
      </c>
      <c r="G1485" s="1205"/>
      <c r="H1485" s="1055"/>
      <c r="I1485" s="1055"/>
      <c r="J1485" s="1055"/>
      <c r="K1485" s="1205"/>
      <c r="L1485" s="1055"/>
      <c r="M1485" s="1205"/>
      <c r="N1485" s="1054"/>
      <c r="O1485" s="1207"/>
      <c r="Q1485" s="1207"/>
    </row>
    <row r="1486" spans="3:17" s="700" customFormat="1" ht="70.5" hidden="1" customHeight="1">
      <c r="C1486" s="701"/>
      <c r="D1486" s="811"/>
      <c r="E1486" s="1276">
        <v>0</v>
      </c>
      <c r="F1486" s="748">
        <f t="shared" si="262"/>
        <v>0</v>
      </c>
      <c r="G1486" s="1205"/>
      <c r="H1486" s="1055"/>
      <c r="I1486" s="1055"/>
      <c r="J1486" s="1055"/>
      <c r="K1486" s="1205"/>
      <c r="L1486" s="1055"/>
      <c r="M1486" s="1205"/>
      <c r="N1486" s="1054"/>
      <c r="O1486" s="1207"/>
      <c r="Q1486" s="1207"/>
    </row>
    <row r="1487" spans="3:17" s="700" customFormat="1" ht="70.5" hidden="1" customHeight="1">
      <c r="C1487" s="701"/>
      <c r="D1487" s="811"/>
      <c r="E1487" s="1276">
        <v>0</v>
      </c>
      <c r="F1487" s="748">
        <f t="shared" si="262"/>
        <v>0</v>
      </c>
      <c r="G1487" s="1205"/>
      <c r="H1487" s="1055"/>
      <c r="I1487" s="1055"/>
      <c r="J1487" s="1055"/>
      <c r="K1487" s="1205"/>
      <c r="L1487" s="1055"/>
      <c r="M1487" s="1205"/>
      <c r="N1487" s="1054"/>
      <c r="O1487" s="1207"/>
      <c r="Q1487" s="1207"/>
    </row>
    <row r="1488" spans="3:17" s="700" customFormat="1" ht="70.5" hidden="1" customHeight="1">
      <c r="C1488" s="701"/>
      <c r="D1488" s="811"/>
      <c r="E1488" s="1276">
        <v>0</v>
      </c>
      <c r="F1488" s="748">
        <f t="shared" si="262"/>
        <v>0</v>
      </c>
      <c r="G1488" s="1205"/>
      <c r="H1488" s="1055"/>
      <c r="I1488" s="1055"/>
      <c r="J1488" s="1055"/>
      <c r="K1488" s="1205"/>
      <c r="L1488" s="1055"/>
      <c r="M1488" s="1205"/>
      <c r="N1488" s="1054"/>
      <c r="O1488" s="1207"/>
      <c r="Q1488" s="1207"/>
    </row>
    <row r="1489" spans="3:17" s="700" customFormat="1" ht="70.5" hidden="1" customHeight="1">
      <c r="C1489" s="701"/>
      <c r="D1489" s="811"/>
      <c r="E1489" s="1276">
        <v>0</v>
      </c>
      <c r="F1489" s="748">
        <f t="shared" si="262"/>
        <v>0</v>
      </c>
      <c r="G1489" s="1205"/>
      <c r="H1489" s="1055"/>
      <c r="I1489" s="1055"/>
      <c r="J1489" s="1055"/>
      <c r="K1489" s="1205"/>
      <c r="L1489" s="1055"/>
      <c r="M1489" s="1205"/>
      <c r="N1489" s="1054"/>
      <c r="O1489" s="1207"/>
      <c r="Q1489" s="1207"/>
    </row>
    <row r="1490" spans="3:17" s="700" customFormat="1" ht="70.5" hidden="1" customHeight="1">
      <c r="C1490" s="701"/>
      <c r="D1490" s="811"/>
      <c r="E1490" s="1276">
        <v>0</v>
      </c>
      <c r="F1490" s="748">
        <f t="shared" si="262"/>
        <v>0</v>
      </c>
      <c r="G1490" s="1205"/>
      <c r="H1490" s="1055"/>
      <c r="I1490" s="1055"/>
      <c r="J1490" s="1055"/>
      <c r="K1490" s="1205"/>
      <c r="L1490" s="1055"/>
      <c r="M1490" s="1205"/>
      <c r="N1490" s="1054"/>
      <c r="O1490" s="1207"/>
      <c r="Q1490" s="1207"/>
    </row>
    <row r="1491" spans="3:17" s="700" customFormat="1" ht="70.5" hidden="1" customHeight="1">
      <c r="C1491" s="701"/>
      <c r="D1491" s="811"/>
      <c r="E1491" s="1276">
        <v>0</v>
      </c>
      <c r="F1491" s="748">
        <f t="shared" si="262"/>
        <v>0</v>
      </c>
      <c r="G1491" s="1205"/>
      <c r="H1491" s="1055"/>
      <c r="I1491" s="1055"/>
      <c r="J1491" s="1055"/>
      <c r="K1491" s="1205"/>
      <c r="L1491" s="1055"/>
      <c r="M1491" s="1205"/>
      <c r="N1491" s="1054"/>
      <c r="O1491" s="1207"/>
      <c r="Q1491" s="1207"/>
    </row>
    <row r="1492" spans="3:17" s="700" customFormat="1" ht="70.5" hidden="1" customHeight="1">
      <c r="C1492" s="701"/>
      <c r="D1492" s="811"/>
      <c r="E1492" s="1276">
        <v>0</v>
      </c>
      <c r="F1492" s="748">
        <f t="shared" si="262"/>
        <v>0</v>
      </c>
      <c r="G1492" s="1205"/>
      <c r="H1492" s="1055"/>
      <c r="I1492" s="1055"/>
      <c r="J1492" s="1055"/>
      <c r="K1492" s="1205"/>
      <c r="L1492" s="1055"/>
      <c r="M1492" s="1205"/>
      <c r="N1492" s="1054"/>
      <c r="O1492" s="1207"/>
      <c r="Q1492" s="1207"/>
    </row>
    <row r="1493" spans="3:17" s="700" customFormat="1" ht="70.5" hidden="1" customHeight="1">
      <c r="C1493" s="701"/>
      <c r="D1493" s="811"/>
      <c r="E1493" s="1276">
        <v>0</v>
      </c>
      <c r="F1493" s="748">
        <f t="shared" si="262"/>
        <v>0</v>
      </c>
      <c r="G1493" s="1205"/>
      <c r="H1493" s="1055"/>
      <c r="I1493" s="1055"/>
      <c r="J1493" s="1055"/>
      <c r="K1493" s="1205"/>
      <c r="L1493" s="1055"/>
      <c r="M1493" s="1205"/>
      <c r="N1493" s="1054"/>
      <c r="O1493" s="1207"/>
      <c r="Q1493" s="1207"/>
    </row>
    <row r="1494" spans="3:17" s="700" customFormat="1" ht="70.5" hidden="1" customHeight="1">
      <c r="C1494" s="701"/>
      <c r="D1494" s="811"/>
      <c r="E1494" s="1276">
        <v>0</v>
      </c>
      <c r="F1494" s="748">
        <f t="shared" si="262"/>
        <v>0</v>
      </c>
      <c r="G1494" s="1205"/>
      <c r="H1494" s="1055"/>
      <c r="I1494" s="1055"/>
      <c r="J1494" s="1055"/>
      <c r="K1494" s="1205"/>
      <c r="L1494" s="1055"/>
      <c r="M1494" s="1205"/>
      <c r="N1494" s="1054"/>
      <c r="O1494" s="1207"/>
      <c r="Q1494" s="1207"/>
    </row>
    <row r="1495" spans="3:17" s="700" customFormat="1" ht="70.5" hidden="1" customHeight="1">
      <c r="C1495" s="701"/>
      <c r="D1495" s="811"/>
      <c r="E1495" s="1276">
        <v>0</v>
      </c>
      <c r="F1495" s="748">
        <f t="shared" si="262"/>
        <v>0</v>
      </c>
      <c r="G1495" s="1205"/>
      <c r="H1495" s="1055"/>
      <c r="I1495" s="1055"/>
      <c r="J1495" s="1055"/>
      <c r="K1495" s="1205"/>
      <c r="L1495" s="1055"/>
      <c r="M1495" s="1205"/>
      <c r="N1495" s="1054"/>
      <c r="O1495" s="1207"/>
      <c r="Q1495" s="1207"/>
    </row>
    <row r="1496" spans="3:17" s="700" customFormat="1" ht="70.5" hidden="1" customHeight="1">
      <c r="C1496" s="701"/>
      <c r="D1496" s="811"/>
      <c r="E1496" s="1276">
        <v>0</v>
      </c>
      <c r="F1496" s="748">
        <f t="shared" si="262"/>
        <v>0</v>
      </c>
      <c r="G1496" s="1205"/>
      <c r="H1496" s="1055"/>
      <c r="I1496" s="1055"/>
      <c r="J1496" s="1055"/>
      <c r="K1496" s="1205"/>
      <c r="L1496" s="1055"/>
      <c r="M1496" s="1205"/>
      <c r="N1496" s="1054"/>
      <c r="O1496" s="1207"/>
      <c r="Q1496" s="1207"/>
    </row>
    <row r="1497" spans="3:17" s="700" customFormat="1" ht="70.5" hidden="1" customHeight="1">
      <c r="C1497" s="701"/>
      <c r="D1497" s="811"/>
      <c r="E1497" s="1276">
        <v>0</v>
      </c>
      <c r="F1497" s="748">
        <f t="shared" si="262"/>
        <v>0</v>
      </c>
      <c r="G1497" s="1205"/>
      <c r="H1497" s="1055"/>
      <c r="I1497" s="1055"/>
      <c r="J1497" s="1055"/>
      <c r="K1497" s="1205"/>
      <c r="L1497" s="1055"/>
      <c r="M1497" s="1205"/>
      <c r="N1497" s="1054"/>
      <c r="O1497" s="1207"/>
      <c r="Q1497" s="1207"/>
    </row>
    <row r="1498" spans="3:17" s="700" customFormat="1" ht="70.5" hidden="1" customHeight="1">
      <c r="C1498" s="701"/>
      <c r="D1498" s="811"/>
      <c r="E1498" s="1276">
        <f>[11]building!Y1829</f>
        <v>0</v>
      </c>
      <c r="F1498" s="748">
        <f t="shared" si="262"/>
        <v>0</v>
      </c>
      <c r="G1498" s="1205"/>
      <c r="H1498" s="1055"/>
      <c r="I1498" s="1055"/>
      <c r="J1498" s="1055"/>
      <c r="K1498" s="1205"/>
      <c r="L1498" s="1055"/>
      <c r="M1498" s="1205"/>
      <c r="N1498" s="1054"/>
      <c r="O1498" s="1207"/>
      <c r="Q1498" s="1207"/>
    </row>
    <row r="1499" spans="3:17" s="700" customFormat="1" ht="70.5" hidden="1" customHeight="1">
      <c r="C1499" s="701"/>
      <c r="D1499" s="811"/>
      <c r="E1499" s="1276">
        <f>[11]building!Y1830</f>
        <v>0</v>
      </c>
      <c r="F1499" s="748">
        <f t="shared" si="262"/>
        <v>0</v>
      </c>
      <c r="G1499" s="1205"/>
      <c r="H1499" s="1055"/>
      <c r="I1499" s="1055"/>
      <c r="J1499" s="1055"/>
      <c r="K1499" s="1205"/>
      <c r="L1499" s="1055"/>
      <c r="M1499" s="1205"/>
      <c r="N1499" s="1054"/>
      <c r="O1499" s="1207"/>
      <c r="Q1499" s="1207"/>
    </row>
    <row r="1500" spans="3:17" s="700" customFormat="1" ht="70.5" hidden="1" customHeight="1">
      <c r="C1500" s="701"/>
      <c r="D1500" s="811"/>
      <c r="E1500" s="1276">
        <f>[11]building!Y1831</f>
        <v>0</v>
      </c>
      <c r="F1500" s="748">
        <f t="shared" si="262"/>
        <v>0</v>
      </c>
      <c r="G1500" s="1205"/>
      <c r="H1500" s="1055"/>
      <c r="I1500" s="1055"/>
      <c r="J1500" s="1055"/>
      <c r="K1500" s="1205"/>
      <c r="L1500" s="1055"/>
      <c r="M1500" s="1205"/>
      <c r="N1500" s="1054"/>
      <c r="O1500" s="1207"/>
      <c r="Q1500" s="1207"/>
    </row>
    <row r="1501" spans="3:17" s="700" customFormat="1" ht="70.5" hidden="1" customHeight="1">
      <c r="C1501" s="701"/>
      <c r="D1501" s="811"/>
      <c r="E1501" s="1276">
        <f>[11]building!Y1832</f>
        <v>0</v>
      </c>
      <c r="F1501" s="748">
        <f t="shared" si="262"/>
        <v>0</v>
      </c>
      <c r="G1501" s="1205"/>
      <c r="H1501" s="1055"/>
      <c r="I1501" s="1055"/>
      <c r="J1501" s="1055"/>
      <c r="K1501" s="1205"/>
      <c r="L1501" s="1055"/>
      <c r="M1501" s="1205"/>
      <c r="N1501" s="1054"/>
      <c r="O1501" s="1207"/>
      <c r="Q1501" s="1207"/>
    </row>
    <row r="1502" spans="3:17" s="700" customFormat="1" ht="70.5" hidden="1" customHeight="1">
      <c r="C1502" s="701"/>
      <c r="D1502" s="811"/>
      <c r="E1502" s="1276">
        <f>[11]building!Y1833</f>
        <v>0</v>
      </c>
      <c r="F1502" s="748">
        <f t="shared" si="262"/>
        <v>0</v>
      </c>
      <c r="G1502" s="1205"/>
      <c r="H1502" s="1055"/>
      <c r="I1502" s="1055"/>
      <c r="J1502" s="1055"/>
      <c r="K1502" s="1205"/>
      <c r="L1502" s="1055"/>
      <c r="M1502" s="1205"/>
      <c r="N1502" s="1054"/>
      <c r="O1502" s="1207"/>
      <c r="Q1502" s="1207"/>
    </row>
    <row r="1503" spans="3:17" s="700" customFormat="1" ht="70.5" hidden="1" customHeight="1">
      <c r="C1503" s="701"/>
      <c r="D1503" s="811"/>
      <c r="E1503" s="1276">
        <f>[11]building!Y1834</f>
        <v>0</v>
      </c>
      <c r="F1503" s="748">
        <f t="shared" si="262"/>
        <v>0</v>
      </c>
      <c r="G1503" s="1205"/>
      <c r="H1503" s="1055"/>
      <c r="I1503" s="1055"/>
      <c r="J1503" s="1055"/>
      <c r="K1503" s="1205"/>
      <c r="L1503" s="1055"/>
      <c r="M1503" s="1205"/>
      <c r="N1503" s="1054"/>
      <c r="O1503" s="1207"/>
      <c r="Q1503" s="1207"/>
    </row>
    <row r="1504" spans="3:17" s="700" customFormat="1" ht="70.5" hidden="1" customHeight="1">
      <c r="C1504" s="701"/>
      <c r="D1504" s="811"/>
      <c r="E1504" s="1276">
        <f>[11]building!Y1835</f>
        <v>0</v>
      </c>
      <c r="F1504" s="748">
        <f t="shared" si="262"/>
        <v>0</v>
      </c>
      <c r="G1504" s="1205"/>
      <c r="H1504" s="1055"/>
      <c r="I1504" s="1055"/>
      <c r="J1504" s="1055"/>
      <c r="K1504" s="1205"/>
      <c r="L1504" s="1055"/>
      <c r="M1504" s="1205"/>
      <c r="N1504" s="1054"/>
      <c r="O1504" s="1207"/>
      <c r="Q1504" s="1207"/>
    </row>
    <row r="1505" spans="3:17" s="700" customFormat="1" ht="70.5" hidden="1" customHeight="1">
      <c r="C1505" s="701"/>
      <c r="D1505" s="811"/>
      <c r="E1505" s="1276">
        <f>[11]building!Y1836</f>
        <v>0</v>
      </c>
      <c r="F1505" s="748">
        <f t="shared" si="262"/>
        <v>0</v>
      </c>
      <c r="G1505" s="1205"/>
      <c r="H1505" s="1055"/>
      <c r="I1505" s="1055"/>
      <c r="J1505" s="1055"/>
      <c r="K1505" s="1205"/>
      <c r="L1505" s="1055"/>
      <c r="M1505" s="1205"/>
      <c r="N1505" s="1054"/>
      <c r="O1505" s="1207"/>
      <c r="Q1505" s="1207"/>
    </row>
    <row r="1506" spans="3:17" s="700" customFormat="1" ht="70.5" hidden="1" customHeight="1">
      <c r="C1506" s="701"/>
      <c r="D1506" s="811"/>
      <c r="E1506" s="1276">
        <f>[11]building!Y1837</f>
        <v>0</v>
      </c>
      <c r="F1506" s="748">
        <f t="shared" si="262"/>
        <v>0</v>
      </c>
      <c r="G1506" s="1205"/>
      <c r="H1506" s="1055"/>
      <c r="I1506" s="1055"/>
      <c r="J1506" s="1055"/>
      <c r="K1506" s="1205"/>
      <c r="L1506" s="1055"/>
      <c r="M1506" s="1205"/>
      <c r="N1506" s="1054"/>
      <c r="O1506" s="1207"/>
      <c r="Q1506" s="1207"/>
    </row>
    <row r="1507" spans="3:17" s="700" customFormat="1" ht="70.5" hidden="1" customHeight="1">
      <c r="C1507" s="701"/>
      <c r="D1507" s="811"/>
      <c r="E1507" s="1276">
        <f>[11]building!Y1838</f>
        <v>0</v>
      </c>
      <c r="F1507" s="748">
        <f t="shared" si="262"/>
        <v>0</v>
      </c>
      <c r="G1507" s="1205"/>
      <c r="H1507" s="1055"/>
      <c r="I1507" s="1055"/>
      <c r="J1507" s="1055"/>
      <c r="K1507" s="1205"/>
      <c r="L1507" s="1055"/>
      <c r="M1507" s="1205"/>
      <c r="N1507" s="1054"/>
      <c r="O1507" s="1207"/>
      <c r="Q1507" s="1207"/>
    </row>
    <row r="1508" spans="3:17" s="700" customFormat="1" ht="70.5" hidden="1" customHeight="1">
      <c r="C1508" s="701"/>
      <c r="D1508" s="811"/>
      <c r="E1508" s="1276">
        <f>[11]building!Y1839</f>
        <v>0</v>
      </c>
      <c r="F1508" s="748">
        <f t="shared" si="262"/>
        <v>0</v>
      </c>
      <c r="G1508" s="1205"/>
      <c r="H1508" s="1055"/>
      <c r="I1508" s="1055"/>
      <c r="J1508" s="1055"/>
      <c r="K1508" s="1205"/>
      <c r="L1508" s="1055"/>
      <c r="M1508" s="1205"/>
      <c r="N1508" s="1054"/>
      <c r="O1508" s="1207"/>
      <c r="Q1508" s="1207"/>
    </row>
    <row r="1509" spans="3:17" s="700" customFormat="1" ht="70.5" hidden="1" customHeight="1">
      <c r="C1509" s="701"/>
      <c r="D1509" s="811"/>
      <c r="E1509" s="1276">
        <f>[11]building!Y1840</f>
        <v>0</v>
      </c>
      <c r="F1509" s="748">
        <f t="shared" si="262"/>
        <v>0</v>
      </c>
      <c r="G1509" s="1205"/>
      <c r="H1509" s="1055"/>
      <c r="I1509" s="1055"/>
      <c r="J1509" s="1055"/>
      <c r="K1509" s="1205"/>
      <c r="L1509" s="1055"/>
      <c r="M1509" s="1205"/>
      <c r="N1509" s="1054"/>
      <c r="O1509" s="1207"/>
      <c r="Q1509" s="1207"/>
    </row>
    <row r="1510" spans="3:17" s="700" customFormat="1" ht="70.5" hidden="1" customHeight="1">
      <c r="C1510" s="701"/>
      <c r="D1510" s="811"/>
      <c r="E1510" s="1276">
        <f>[11]building!Y1841</f>
        <v>0</v>
      </c>
      <c r="F1510" s="748">
        <f t="shared" si="262"/>
        <v>0</v>
      </c>
      <c r="G1510" s="1205"/>
      <c r="H1510" s="1055"/>
      <c r="I1510" s="1055"/>
      <c r="J1510" s="1055"/>
      <c r="K1510" s="1205"/>
      <c r="L1510" s="1055"/>
      <c r="M1510" s="1205"/>
      <c r="N1510" s="1054"/>
      <c r="O1510" s="1207"/>
      <c r="Q1510" s="1207"/>
    </row>
    <row r="1511" spans="3:17" s="700" customFormat="1" ht="70.5" hidden="1" customHeight="1">
      <c r="C1511" s="701"/>
      <c r="D1511" s="811"/>
      <c r="E1511" s="1276">
        <f>[11]building!Y1842</f>
        <v>0</v>
      </c>
      <c r="F1511" s="748">
        <f t="shared" si="262"/>
        <v>0</v>
      </c>
      <c r="G1511" s="1205"/>
      <c r="H1511" s="1055"/>
      <c r="I1511" s="1055"/>
      <c r="J1511" s="1055"/>
      <c r="K1511" s="1205"/>
      <c r="L1511" s="1055"/>
      <c r="M1511" s="1205"/>
      <c r="N1511" s="1054"/>
      <c r="O1511" s="1207"/>
      <c r="Q1511" s="1207"/>
    </row>
    <row r="1512" spans="3:17" s="700" customFormat="1" ht="70.5" hidden="1" customHeight="1">
      <c r="C1512" s="701"/>
      <c r="D1512" s="811"/>
      <c r="E1512" s="1276">
        <f>[11]building!Y1843</f>
        <v>0</v>
      </c>
      <c r="F1512" s="748">
        <f t="shared" si="262"/>
        <v>0</v>
      </c>
      <c r="G1512" s="1205"/>
      <c r="H1512" s="1055"/>
      <c r="I1512" s="1055"/>
      <c r="J1512" s="1055"/>
      <c r="K1512" s="1205"/>
      <c r="L1512" s="1055"/>
      <c r="M1512" s="1205"/>
      <c r="N1512" s="1054"/>
      <c r="O1512" s="1207"/>
      <c r="Q1512" s="1207"/>
    </row>
    <row r="1513" spans="3:17" s="700" customFormat="1" ht="70.5" hidden="1" customHeight="1">
      <c r="C1513" s="701"/>
      <c r="D1513" s="811"/>
      <c r="E1513" s="1276">
        <f>[11]building!Y1844</f>
        <v>0</v>
      </c>
      <c r="F1513" s="748">
        <f t="shared" si="262"/>
        <v>0</v>
      </c>
      <c r="G1513" s="1205"/>
      <c r="H1513" s="1055"/>
      <c r="I1513" s="1055"/>
      <c r="J1513" s="1055"/>
      <c r="K1513" s="1205"/>
      <c r="L1513" s="1055"/>
      <c r="M1513" s="1205"/>
      <c r="N1513" s="1054"/>
      <c r="O1513" s="1207"/>
      <c r="Q1513" s="1207"/>
    </row>
    <row r="1514" spans="3:17" s="700" customFormat="1" ht="70.5" hidden="1" customHeight="1">
      <c r="C1514" s="701"/>
      <c r="D1514" s="811"/>
      <c r="E1514" s="1276">
        <f>[11]building!Y1845</f>
        <v>0</v>
      </c>
      <c r="F1514" s="748">
        <f t="shared" si="262"/>
        <v>0</v>
      </c>
      <c r="G1514" s="1205"/>
      <c r="H1514" s="1055"/>
      <c r="I1514" s="1055"/>
      <c r="J1514" s="1055"/>
      <c r="K1514" s="1205"/>
      <c r="L1514" s="1055"/>
      <c r="M1514" s="1205"/>
      <c r="N1514" s="1054"/>
      <c r="O1514" s="1207"/>
      <c r="Q1514" s="1207"/>
    </row>
    <row r="1515" spans="3:17" s="700" customFormat="1" ht="70.5" hidden="1" customHeight="1">
      <c r="C1515" s="701"/>
      <c r="D1515" s="811"/>
      <c r="E1515" s="1276">
        <f>[11]building!Y1846</f>
        <v>0</v>
      </c>
      <c r="F1515" s="748">
        <f t="shared" si="262"/>
        <v>0</v>
      </c>
      <c r="G1515" s="1205"/>
      <c r="H1515" s="1055"/>
      <c r="I1515" s="1055"/>
      <c r="J1515" s="1055"/>
      <c r="K1515" s="1205"/>
      <c r="L1515" s="1055"/>
      <c r="M1515" s="1205"/>
      <c r="N1515" s="1054"/>
      <c r="O1515" s="1207"/>
      <c r="Q1515" s="1207"/>
    </row>
    <row r="1516" spans="3:17" s="700" customFormat="1" ht="70.5" hidden="1" customHeight="1">
      <c r="C1516" s="701"/>
      <c r="D1516" s="811"/>
      <c r="E1516" s="1276">
        <f>[11]building!Y1847</f>
        <v>0</v>
      </c>
      <c r="F1516" s="748">
        <f t="shared" si="262"/>
        <v>0</v>
      </c>
      <c r="G1516" s="1205"/>
      <c r="H1516" s="1055"/>
      <c r="I1516" s="1055"/>
      <c r="J1516" s="1055"/>
      <c r="K1516" s="1205"/>
      <c r="L1516" s="1055"/>
      <c r="M1516" s="1205"/>
      <c r="N1516" s="1054"/>
      <c r="O1516" s="1207"/>
      <c r="Q1516" s="1207"/>
    </row>
    <row r="1517" spans="3:17" s="700" customFormat="1" ht="70.5" hidden="1" customHeight="1">
      <c r="C1517" s="701"/>
      <c r="D1517" s="811"/>
      <c r="E1517" s="1276">
        <f>[11]building!Y1848</f>
        <v>0</v>
      </c>
      <c r="F1517" s="748">
        <f t="shared" si="262"/>
        <v>0</v>
      </c>
      <c r="G1517" s="1205"/>
      <c r="H1517" s="1055"/>
      <c r="I1517" s="1055"/>
      <c r="J1517" s="1055"/>
      <c r="K1517" s="1205"/>
      <c r="L1517" s="1055"/>
      <c r="M1517" s="1205"/>
      <c r="N1517" s="1054"/>
      <c r="O1517" s="1207"/>
      <c r="Q1517" s="1207"/>
    </row>
    <row r="1518" spans="3:17" s="700" customFormat="1" ht="70.5" hidden="1" customHeight="1">
      <c r="C1518" s="701"/>
      <c r="D1518" s="811"/>
      <c r="E1518" s="1276">
        <f>[11]building!Y1849</f>
        <v>0</v>
      </c>
      <c r="F1518" s="748">
        <f t="shared" si="262"/>
        <v>0</v>
      </c>
      <c r="G1518" s="1205"/>
      <c r="H1518" s="1055"/>
      <c r="I1518" s="1055"/>
      <c r="J1518" s="1055"/>
      <c r="K1518" s="1205"/>
      <c r="L1518" s="1055"/>
      <c r="M1518" s="1205"/>
      <c r="N1518" s="1054"/>
      <c r="O1518" s="1207"/>
      <c r="Q1518" s="1207"/>
    </row>
    <row r="1519" spans="3:17" s="700" customFormat="1" ht="70.5" hidden="1" customHeight="1">
      <c r="C1519" s="701"/>
      <c r="D1519" s="811"/>
      <c r="E1519" s="1276">
        <f>[11]building!Y1850</f>
        <v>0</v>
      </c>
      <c r="F1519" s="748">
        <f t="shared" si="262"/>
        <v>0</v>
      </c>
      <c r="G1519" s="1205"/>
      <c r="H1519" s="1055"/>
      <c r="I1519" s="1055"/>
      <c r="J1519" s="1055"/>
      <c r="K1519" s="1205"/>
      <c r="L1519" s="1055"/>
      <c r="M1519" s="1205"/>
      <c r="N1519" s="1054"/>
      <c r="O1519" s="1207"/>
      <c r="Q1519" s="1207"/>
    </row>
    <row r="1520" spans="3:17" s="700" customFormat="1" ht="70.5" hidden="1" customHeight="1">
      <c r="C1520" s="701"/>
      <c r="D1520" s="811"/>
      <c r="E1520" s="1276">
        <f>[11]building!Y1851</f>
        <v>0</v>
      </c>
      <c r="F1520" s="748">
        <f t="shared" si="262"/>
        <v>0</v>
      </c>
      <c r="G1520" s="1205"/>
      <c r="H1520" s="1055"/>
      <c r="I1520" s="1055"/>
      <c r="J1520" s="1055"/>
      <c r="K1520" s="1205"/>
      <c r="L1520" s="1055"/>
      <c r="M1520" s="1205"/>
      <c r="N1520" s="1054"/>
      <c r="O1520" s="1207"/>
      <c r="Q1520" s="1207"/>
    </row>
    <row r="1521" spans="3:17" s="700" customFormat="1" ht="70.5" hidden="1" customHeight="1">
      <c r="C1521" s="701"/>
      <c r="D1521" s="811"/>
      <c r="E1521" s="1276">
        <f>[11]building!Y1852</f>
        <v>0</v>
      </c>
      <c r="F1521" s="748">
        <f t="shared" si="262"/>
        <v>0</v>
      </c>
      <c r="G1521" s="1205"/>
      <c r="H1521" s="1055"/>
      <c r="I1521" s="1055"/>
      <c r="J1521" s="1055"/>
      <c r="K1521" s="1205"/>
      <c r="L1521" s="1055"/>
      <c r="M1521" s="1205"/>
      <c r="N1521" s="1054"/>
      <c r="O1521" s="1207"/>
      <c r="Q1521" s="1207"/>
    </row>
    <row r="1522" spans="3:17" s="700" customFormat="1" ht="70.5" hidden="1" customHeight="1">
      <c r="C1522" s="701"/>
      <c r="D1522" s="811"/>
      <c r="E1522" s="1276">
        <f>[11]building!Y1853</f>
        <v>0</v>
      </c>
      <c r="F1522" s="748">
        <f t="shared" si="262"/>
        <v>0</v>
      </c>
      <c r="G1522" s="1205"/>
      <c r="H1522" s="1055"/>
      <c r="I1522" s="1055"/>
      <c r="J1522" s="1055"/>
      <c r="K1522" s="1205"/>
      <c r="L1522" s="1055"/>
      <c r="M1522" s="1205"/>
      <c r="N1522" s="1054"/>
      <c r="O1522" s="1207"/>
      <c r="Q1522" s="1207"/>
    </row>
    <row r="1523" spans="3:17" s="700" customFormat="1" ht="70.5" hidden="1" customHeight="1">
      <c r="C1523" s="701"/>
      <c r="D1523" s="811"/>
      <c r="E1523" s="1276">
        <f>[11]building!Y1854</f>
        <v>0</v>
      </c>
      <c r="F1523" s="748">
        <f t="shared" si="262"/>
        <v>0</v>
      </c>
      <c r="G1523" s="1205"/>
      <c r="H1523" s="1055"/>
      <c r="I1523" s="1055"/>
      <c r="J1523" s="1055"/>
      <c r="K1523" s="1205"/>
      <c r="L1523" s="1055"/>
      <c r="M1523" s="1205"/>
      <c r="N1523" s="1054"/>
      <c r="O1523" s="1207"/>
      <c r="Q1523" s="1207"/>
    </row>
    <row r="1524" spans="3:17" s="700" customFormat="1" ht="70.5" hidden="1" customHeight="1">
      <c r="C1524" s="701"/>
      <c r="D1524" s="811"/>
      <c r="E1524" s="1276">
        <f>[11]building!Y1855</f>
        <v>0</v>
      </c>
      <c r="F1524" s="748">
        <f t="shared" si="262"/>
        <v>0</v>
      </c>
      <c r="G1524" s="1205"/>
      <c r="H1524" s="1055"/>
      <c r="I1524" s="1055"/>
      <c r="J1524" s="1055"/>
      <c r="K1524" s="1205"/>
      <c r="L1524" s="1055"/>
      <c r="M1524" s="1205"/>
      <c r="N1524" s="1054"/>
      <c r="O1524" s="1207"/>
      <c r="Q1524" s="1207"/>
    </row>
    <row r="1525" spans="3:17" s="700" customFormat="1" ht="70.5" hidden="1" customHeight="1">
      <c r="C1525" s="701"/>
      <c r="D1525" s="811"/>
      <c r="E1525" s="1276">
        <f>[11]building!Y1856</f>
        <v>0</v>
      </c>
      <c r="F1525" s="748">
        <f t="shared" si="262"/>
        <v>0</v>
      </c>
      <c r="G1525" s="1205"/>
      <c r="H1525" s="1055"/>
      <c r="I1525" s="1055"/>
      <c r="J1525" s="1055"/>
      <c r="K1525" s="1205"/>
      <c r="L1525" s="1055"/>
      <c r="M1525" s="1205"/>
      <c r="N1525" s="1054"/>
      <c r="O1525" s="1207"/>
      <c r="Q1525" s="1207"/>
    </row>
    <row r="1526" spans="3:17" s="700" customFormat="1" ht="70.5" hidden="1" customHeight="1">
      <c r="C1526" s="701"/>
      <c r="D1526" s="811"/>
      <c r="E1526" s="1276">
        <f>[11]building!Y1857</f>
        <v>0</v>
      </c>
      <c r="F1526" s="748">
        <f t="shared" si="262"/>
        <v>0</v>
      </c>
      <c r="G1526" s="1205"/>
      <c r="H1526" s="1055"/>
      <c r="I1526" s="1055"/>
      <c r="J1526" s="1055"/>
      <c r="K1526" s="1205"/>
      <c r="L1526" s="1055"/>
      <c r="M1526" s="1205"/>
      <c r="N1526" s="1054"/>
      <c r="O1526" s="1207"/>
      <c r="Q1526" s="1207"/>
    </row>
    <row r="1527" spans="3:17" s="700" customFormat="1" ht="70.5" hidden="1" customHeight="1">
      <c r="C1527" s="701"/>
      <c r="D1527" s="811"/>
      <c r="E1527" s="1276">
        <f>[11]building!Y1858</f>
        <v>0</v>
      </c>
      <c r="F1527" s="748">
        <f t="shared" si="262"/>
        <v>0</v>
      </c>
      <c r="G1527" s="1205"/>
      <c r="H1527" s="1055"/>
      <c r="I1527" s="1055"/>
      <c r="J1527" s="1055"/>
      <c r="K1527" s="1205"/>
      <c r="L1527" s="1055"/>
      <c r="M1527" s="1205"/>
      <c r="N1527" s="1054"/>
      <c r="O1527" s="1207"/>
      <c r="Q1527" s="1207"/>
    </row>
    <row r="1528" spans="3:17" s="700" customFormat="1" ht="70.5" hidden="1" customHeight="1">
      <c r="C1528" s="701"/>
      <c r="D1528" s="811"/>
      <c r="E1528" s="1276">
        <f>[11]building!Y1859</f>
        <v>0</v>
      </c>
      <c r="F1528" s="748">
        <f t="shared" si="262"/>
        <v>0</v>
      </c>
      <c r="G1528" s="1205"/>
      <c r="H1528" s="1055"/>
      <c r="I1528" s="1055"/>
      <c r="J1528" s="1055"/>
      <c r="K1528" s="1205"/>
      <c r="L1528" s="1055"/>
      <c r="M1528" s="1205"/>
      <c r="N1528" s="1054"/>
      <c r="O1528" s="1207"/>
      <c r="Q1528" s="1207"/>
    </row>
    <row r="1529" spans="3:17" s="700" customFormat="1" ht="70.5" hidden="1" customHeight="1">
      <c r="C1529" s="701"/>
      <c r="D1529" s="811"/>
      <c r="E1529" s="1276">
        <f>[11]building!Y1860</f>
        <v>0</v>
      </c>
      <c r="F1529" s="748">
        <f t="shared" si="262"/>
        <v>0</v>
      </c>
      <c r="G1529" s="1205"/>
      <c r="H1529" s="1055"/>
      <c r="I1529" s="1055"/>
      <c r="J1529" s="1055"/>
      <c r="K1529" s="1205"/>
      <c r="L1529" s="1055"/>
      <c r="M1529" s="1205"/>
      <c r="N1529" s="1054"/>
      <c r="O1529" s="1207"/>
      <c r="Q1529" s="1207"/>
    </row>
    <row r="1530" spans="3:17" s="700" customFormat="1" ht="70.5" hidden="1" customHeight="1">
      <c r="C1530" s="701"/>
      <c r="D1530" s="811"/>
      <c r="E1530" s="1276">
        <f>[11]building!Y1861</f>
        <v>0</v>
      </c>
      <c r="F1530" s="748">
        <f t="shared" si="262"/>
        <v>0</v>
      </c>
      <c r="G1530" s="1205"/>
      <c r="H1530" s="1055"/>
      <c r="I1530" s="1055"/>
      <c r="J1530" s="1055"/>
      <c r="K1530" s="1205"/>
      <c r="L1530" s="1055"/>
      <c r="M1530" s="1205"/>
      <c r="N1530" s="1054"/>
      <c r="O1530" s="1207"/>
      <c r="Q1530" s="1207"/>
    </row>
    <row r="1531" spans="3:17" s="700" customFormat="1" ht="70.5" hidden="1" customHeight="1">
      <c r="C1531" s="701"/>
      <c r="D1531" s="811"/>
      <c r="E1531" s="1276">
        <f>[11]building!Y1862</f>
        <v>0</v>
      </c>
      <c r="F1531" s="748">
        <f t="shared" si="262"/>
        <v>0</v>
      </c>
      <c r="G1531" s="1205"/>
      <c r="H1531" s="1055"/>
      <c r="I1531" s="1055"/>
      <c r="J1531" s="1055"/>
      <c r="K1531" s="1205"/>
      <c r="L1531" s="1055"/>
      <c r="M1531" s="1205"/>
      <c r="N1531" s="1054"/>
      <c r="O1531" s="1207"/>
      <c r="Q1531" s="1207"/>
    </row>
    <row r="1532" spans="3:17" s="700" customFormat="1" ht="70.5" hidden="1" customHeight="1">
      <c r="C1532" s="701"/>
      <c r="D1532" s="811"/>
      <c r="E1532" s="1276">
        <f>[11]building!Y1863</f>
        <v>0</v>
      </c>
      <c r="F1532" s="748">
        <f t="shared" si="262"/>
        <v>0</v>
      </c>
      <c r="G1532" s="1205"/>
      <c r="H1532" s="1055"/>
      <c r="I1532" s="1055"/>
      <c r="J1532" s="1055"/>
      <c r="K1532" s="1205"/>
      <c r="L1532" s="1055"/>
      <c r="M1532" s="1205"/>
      <c r="N1532" s="1054"/>
      <c r="O1532" s="1207"/>
      <c r="Q1532" s="1207"/>
    </row>
    <row r="1533" spans="3:17" s="700" customFormat="1" ht="70.5" hidden="1" customHeight="1">
      <c r="C1533" s="701"/>
      <c r="D1533" s="811"/>
      <c r="E1533" s="1276">
        <f>[11]building!Y1864</f>
        <v>0</v>
      </c>
      <c r="F1533" s="748">
        <f t="shared" si="262"/>
        <v>0</v>
      </c>
      <c r="G1533" s="1205"/>
      <c r="H1533" s="1055"/>
      <c r="I1533" s="1055"/>
      <c r="J1533" s="1055"/>
      <c r="K1533" s="1205"/>
      <c r="L1533" s="1055"/>
      <c r="M1533" s="1205"/>
      <c r="N1533" s="1054"/>
      <c r="O1533" s="1207"/>
      <c r="Q1533" s="1207"/>
    </row>
    <row r="1534" spans="3:17" s="700" customFormat="1" ht="70.5" hidden="1" customHeight="1">
      <c r="C1534" s="701"/>
      <c r="D1534" s="811"/>
      <c r="E1534" s="1276">
        <f>[11]building!Y1865</f>
        <v>0</v>
      </c>
      <c r="F1534" s="748">
        <f t="shared" si="262"/>
        <v>0</v>
      </c>
      <c r="G1534" s="1205"/>
      <c r="H1534" s="1055"/>
      <c r="I1534" s="1055"/>
      <c r="J1534" s="1055"/>
      <c r="K1534" s="1205"/>
      <c r="L1534" s="1055"/>
      <c r="M1534" s="1205"/>
      <c r="N1534" s="1054"/>
      <c r="O1534" s="1207"/>
      <c r="Q1534" s="1207"/>
    </row>
    <row r="1535" spans="3:17" s="700" customFormat="1" ht="70.5" hidden="1" customHeight="1">
      <c r="C1535" s="701"/>
      <c r="D1535" s="811"/>
      <c r="E1535" s="1276">
        <f>[11]building!Y1866</f>
        <v>0</v>
      </c>
      <c r="F1535" s="748">
        <f t="shared" si="262"/>
        <v>0</v>
      </c>
      <c r="G1535" s="1205"/>
      <c r="H1535" s="1055"/>
      <c r="I1535" s="1055"/>
      <c r="J1535" s="1055"/>
      <c r="K1535" s="1205"/>
      <c r="L1535" s="1055"/>
      <c r="M1535" s="1205"/>
      <c r="N1535" s="1054"/>
      <c r="O1535" s="1207"/>
      <c r="Q1535" s="1207"/>
    </row>
    <row r="1536" spans="3:17" s="700" customFormat="1" ht="70.5" hidden="1" customHeight="1">
      <c r="C1536" s="701"/>
      <c r="D1536" s="811"/>
      <c r="E1536" s="1276">
        <f>[11]building!Y1867</f>
        <v>0</v>
      </c>
      <c r="F1536" s="748">
        <f t="shared" ref="F1536:F1599" si="263">E1536*C1536</f>
        <v>0</v>
      </c>
      <c r="G1536" s="1205"/>
      <c r="H1536" s="1055"/>
      <c r="I1536" s="1055"/>
      <c r="J1536" s="1055"/>
      <c r="K1536" s="1205"/>
      <c r="L1536" s="1055"/>
      <c r="M1536" s="1205"/>
      <c r="N1536" s="1054"/>
      <c r="O1536" s="1207"/>
      <c r="Q1536" s="1207"/>
    </row>
    <row r="1537" spans="3:17" s="700" customFormat="1" ht="70.5" hidden="1" customHeight="1">
      <c r="C1537" s="701"/>
      <c r="D1537" s="811"/>
      <c r="E1537" s="1276">
        <f>[11]building!Y1868</f>
        <v>0</v>
      </c>
      <c r="F1537" s="748">
        <f t="shared" si="263"/>
        <v>0</v>
      </c>
      <c r="G1537" s="1205"/>
      <c r="H1537" s="1055"/>
      <c r="I1537" s="1055"/>
      <c r="J1537" s="1055"/>
      <c r="K1537" s="1205"/>
      <c r="L1537" s="1055"/>
      <c r="M1537" s="1205"/>
      <c r="N1537" s="1054"/>
      <c r="O1537" s="1207"/>
      <c r="Q1537" s="1207"/>
    </row>
    <row r="1538" spans="3:17" s="700" customFormat="1" ht="70.5" hidden="1" customHeight="1">
      <c r="C1538" s="701"/>
      <c r="D1538" s="811"/>
      <c r="E1538" s="1276">
        <f>[11]building!Y1869</f>
        <v>0</v>
      </c>
      <c r="F1538" s="748">
        <f t="shared" si="263"/>
        <v>0</v>
      </c>
      <c r="G1538" s="1205"/>
      <c r="H1538" s="1055"/>
      <c r="I1538" s="1055"/>
      <c r="J1538" s="1055"/>
      <c r="K1538" s="1205"/>
      <c r="L1538" s="1055"/>
      <c r="M1538" s="1205"/>
      <c r="N1538" s="1054"/>
      <c r="O1538" s="1207"/>
      <c r="Q1538" s="1207"/>
    </row>
    <row r="1539" spans="3:17" s="700" customFormat="1" ht="70.5" hidden="1" customHeight="1">
      <c r="C1539" s="701"/>
      <c r="D1539" s="811"/>
      <c r="E1539" s="1276">
        <f>[11]building!Y1870</f>
        <v>0</v>
      </c>
      <c r="F1539" s="748">
        <f t="shared" si="263"/>
        <v>0</v>
      </c>
      <c r="G1539" s="1205"/>
      <c r="H1539" s="1055"/>
      <c r="I1539" s="1055"/>
      <c r="J1539" s="1055"/>
      <c r="K1539" s="1205"/>
      <c r="L1539" s="1055"/>
      <c r="M1539" s="1205"/>
      <c r="N1539" s="1054"/>
      <c r="O1539" s="1207"/>
      <c r="Q1539" s="1207"/>
    </row>
    <row r="1540" spans="3:17" s="700" customFormat="1" ht="70.5" hidden="1" customHeight="1">
      <c r="C1540" s="701"/>
      <c r="D1540" s="811"/>
      <c r="E1540" s="1276">
        <f>[11]building!Y1871</f>
        <v>0</v>
      </c>
      <c r="F1540" s="748">
        <f t="shared" si="263"/>
        <v>0</v>
      </c>
      <c r="G1540" s="1205"/>
      <c r="H1540" s="1055"/>
      <c r="I1540" s="1055"/>
      <c r="J1540" s="1055"/>
      <c r="K1540" s="1205"/>
      <c r="L1540" s="1055"/>
      <c r="M1540" s="1205"/>
      <c r="N1540" s="1054"/>
      <c r="O1540" s="1207"/>
      <c r="Q1540" s="1207"/>
    </row>
    <row r="1541" spans="3:17" s="700" customFormat="1" ht="70.5" hidden="1" customHeight="1">
      <c r="C1541" s="701"/>
      <c r="D1541" s="811"/>
      <c r="E1541" s="1276">
        <f>[11]building!Y1872</f>
        <v>0</v>
      </c>
      <c r="F1541" s="748">
        <f t="shared" si="263"/>
        <v>0</v>
      </c>
      <c r="G1541" s="1205"/>
      <c r="H1541" s="1055"/>
      <c r="I1541" s="1055"/>
      <c r="J1541" s="1055"/>
      <c r="K1541" s="1205"/>
      <c r="L1541" s="1055"/>
      <c r="M1541" s="1205"/>
      <c r="N1541" s="1054"/>
      <c r="O1541" s="1207"/>
      <c r="Q1541" s="1207"/>
    </row>
    <row r="1542" spans="3:17" s="700" customFormat="1" ht="70.5" hidden="1" customHeight="1">
      <c r="C1542" s="701"/>
      <c r="D1542" s="811"/>
      <c r="E1542" s="1276">
        <f>[11]building!Y1873</f>
        <v>0</v>
      </c>
      <c r="F1542" s="748">
        <f t="shared" si="263"/>
        <v>0</v>
      </c>
      <c r="G1542" s="1205"/>
      <c r="H1542" s="1055"/>
      <c r="I1542" s="1055"/>
      <c r="J1542" s="1055"/>
      <c r="K1542" s="1205"/>
      <c r="L1542" s="1055"/>
      <c r="M1542" s="1205"/>
      <c r="N1542" s="1054"/>
      <c r="O1542" s="1207"/>
      <c r="Q1542" s="1207"/>
    </row>
    <row r="1543" spans="3:17" s="700" customFormat="1" ht="70.5" hidden="1" customHeight="1">
      <c r="C1543" s="701"/>
      <c r="D1543" s="811"/>
      <c r="E1543" s="1276">
        <f>[11]building!Y1874</f>
        <v>0</v>
      </c>
      <c r="F1543" s="748">
        <f t="shared" si="263"/>
        <v>0</v>
      </c>
      <c r="G1543" s="1205"/>
      <c r="H1543" s="1055"/>
      <c r="I1543" s="1055"/>
      <c r="J1543" s="1055"/>
      <c r="K1543" s="1205"/>
      <c r="L1543" s="1055"/>
      <c r="M1543" s="1205"/>
      <c r="N1543" s="1054"/>
      <c r="O1543" s="1207"/>
      <c r="Q1543" s="1207"/>
    </row>
    <row r="1544" spans="3:17" s="700" customFormat="1" ht="70.5" hidden="1" customHeight="1">
      <c r="C1544" s="701"/>
      <c r="D1544" s="811"/>
      <c r="E1544" s="1276">
        <f>[11]building!Y1875</f>
        <v>0</v>
      </c>
      <c r="F1544" s="748">
        <f t="shared" si="263"/>
        <v>0</v>
      </c>
      <c r="G1544" s="1205"/>
      <c r="H1544" s="1055"/>
      <c r="I1544" s="1055"/>
      <c r="J1544" s="1055"/>
      <c r="K1544" s="1205"/>
      <c r="L1544" s="1055"/>
      <c r="M1544" s="1205"/>
      <c r="N1544" s="1054"/>
      <c r="O1544" s="1207"/>
      <c r="Q1544" s="1207"/>
    </row>
    <row r="1545" spans="3:17" s="700" customFormat="1" ht="70.5" hidden="1" customHeight="1">
      <c r="C1545" s="701"/>
      <c r="D1545" s="811"/>
      <c r="E1545" s="1276">
        <f>[11]building!Y1876</f>
        <v>0</v>
      </c>
      <c r="F1545" s="748">
        <f t="shared" si="263"/>
        <v>0</v>
      </c>
      <c r="G1545" s="1205"/>
      <c r="H1545" s="1055"/>
      <c r="I1545" s="1055"/>
      <c r="J1545" s="1055"/>
      <c r="K1545" s="1205"/>
      <c r="L1545" s="1055"/>
      <c r="M1545" s="1205"/>
      <c r="N1545" s="1054"/>
      <c r="O1545" s="1207"/>
      <c r="Q1545" s="1207"/>
    </row>
    <row r="1546" spans="3:17" s="700" customFormat="1" ht="70.5" hidden="1" customHeight="1">
      <c r="C1546" s="701"/>
      <c r="D1546" s="811"/>
      <c r="E1546" s="1276">
        <f>[11]building!Y1877</f>
        <v>0</v>
      </c>
      <c r="F1546" s="748">
        <f t="shared" si="263"/>
        <v>0</v>
      </c>
      <c r="G1546" s="1205"/>
      <c r="H1546" s="1055"/>
      <c r="I1546" s="1055"/>
      <c r="J1546" s="1055"/>
      <c r="K1546" s="1205"/>
      <c r="L1546" s="1055"/>
      <c r="M1546" s="1205"/>
      <c r="N1546" s="1054"/>
      <c r="O1546" s="1207"/>
      <c r="Q1546" s="1207"/>
    </row>
    <row r="1547" spans="3:17" s="700" customFormat="1" ht="70.5" hidden="1" customHeight="1">
      <c r="C1547" s="701"/>
      <c r="D1547" s="811"/>
      <c r="E1547" s="1276">
        <f>[11]building!Y1878</f>
        <v>0</v>
      </c>
      <c r="F1547" s="748">
        <f t="shared" si="263"/>
        <v>0</v>
      </c>
      <c r="G1547" s="1205"/>
      <c r="H1547" s="1055"/>
      <c r="I1547" s="1055"/>
      <c r="J1547" s="1055"/>
      <c r="K1547" s="1205"/>
      <c r="L1547" s="1055"/>
      <c r="M1547" s="1205"/>
      <c r="N1547" s="1054"/>
      <c r="O1547" s="1207"/>
      <c r="Q1547" s="1207"/>
    </row>
    <row r="1548" spans="3:17" s="700" customFormat="1" ht="70.5" hidden="1" customHeight="1">
      <c r="C1548" s="701"/>
      <c r="D1548" s="811"/>
      <c r="E1548" s="1276">
        <f>[11]building!Y1879</f>
        <v>0</v>
      </c>
      <c r="F1548" s="748">
        <f t="shared" si="263"/>
        <v>0</v>
      </c>
      <c r="G1548" s="1205"/>
      <c r="H1548" s="1055"/>
      <c r="I1548" s="1055"/>
      <c r="J1548" s="1055"/>
      <c r="K1548" s="1205"/>
      <c r="L1548" s="1055"/>
      <c r="M1548" s="1205"/>
      <c r="N1548" s="1054"/>
      <c r="O1548" s="1207"/>
      <c r="Q1548" s="1207"/>
    </row>
    <row r="1549" spans="3:17" s="700" customFormat="1" ht="70.5" hidden="1" customHeight="1">
      <c r="C1549" s="701"/>
      <c r="D1549" s="811"/>
      <c r="E1549" s="1276">
        <f>[11]building!Y1880</f>
        <v>0</v>
      </c>
      <c r="F1549" s="748">
        <f t="shared" si="263"/>
        <v>0</v>
      </c>
      <c r="G1549" s="1205"/>
      <c r="H1549" s="1055"/>
      <c r="I1549" s="1055"/>
      <c r="J1549" s="1055"/>
      <c r="K1549" s="1205"/>
      <c r="L1549" s="1055"/>
      <c r="M1549" s="1205"/>
      <c r="N1549" s="1054"/>
      <c r="O1549" s="1207"/>
      <c r="Q1549" s="1207"/>
    </row>
    <row r="1550" spans="3:17" s="700" customFormat="1" ht="70.5" hidden="1" customHeight="1">
      <c r="C1550" s="701"/>
      <c r="D1550" s="811"/>
      <c r="E1550" s="1276">
        <f>[11]building!Y1881</f>
        <v>0</v>
      </c>
      <c r="F1550" s="748">
        <f t="shared" si="263"/>
        <v>0</v>
      </c>
      <c r="G1550" s="1205"/>
      <c r="H1550" s="1055"/>
      <c r="I1550" s="1055"/>
      <c r="J1550" s="1055"/>
      <c r="K1550" s="1205"/>
      <c r="L1550" s="1055"/>
      <c r="M1550" s="1205"/>
      <c r="N1550" s="1054"/>
      <c r="O1550" s="1207"/>
      <c r="Q1550" s="1207"/>
    </row>
    <row r="1551" spans="3:17" s="700" customFormat="1" ht="70.5" hidden="1" customHeight="1">
      <c r="C1551" s="701"/>
      <c r="D1551" s="811"/>
      <c r="E1551" s="1276">
        <f>[11]building!Y1882</f>
        <v>0</v>
      </c>
      <c r="F1551" s="748">
        <f t="shared" si="263"/>
        <v>0</v>
      </c>
      <c r="G1551" s="1205"/>
      <c r="H1551" s="1055"/>
      <c r="I1551" s="1055"/>
      <c r="J1551" s="1055"/>
      <c r="K1551" s="1205"/>
      <c r="L1551" s="1055"/>
      <c r="M1551" s="1205"/>
      <c r="N1551" s="1054"/>
      <c r="O1551" s="1207"/>
      <c r="Q1551" s="1207"/>
    </row>
    <row r="1552" spans="3:17" s="700" customFormat="1" ht="70.5" hidden="1" customHeight="1">
      <c r="C1552" s="701"/>
      <c r="D1552" s="811"/>
      <c r="E1552" s="1276">
        <f>[11]building!Y1883</f>
        <v>0</v>
      </c>
      <c r="F1552" s="748">
        <f t="shared" si="263"/>
        <v>0</v>
      </c>
      <c r="G1552" s="1205"/>
      <c r="H1552" s="1055"/>
      <c r="I1552" s="1055"/>
      <c r="J1552" s="1055"/>
      <c r="K1552" s="1205"/>
      <c r="L1552" s="1055"/>
      <c r="M1552" s="1205"/>
      <c r="N1552" s="1054"/>
      <c r="O1552" s="1207"/>
      <c r="Q1552" s="1207"/>
    </row>
    <row r="1553" spans="3:17" s="700" customFormat="1" ht="70.5" hidden="1" customHeight="1">
      <c r="C1553" s="701"/>
      <c r="D1553" s="811"/>
      <c r="E1553" s="1276">
        <f>[11]building!Y1884</f>
        <v>0</v>
      </c>
      <c r="F1553" s="748">
        <f t="shared" si="263"/>
        <v>0</v>
      </c>
      <c r="G1553" s="1205"/>
      <c r="H1553" s="1055"/>
      <c r="I1553" s="1055"/>
      <c r="J1553" s="1055"/>
      <c r="K1553" s="1205"/>
      <c r="L1553" s="1055"/>
      <c r="M1553" s="1205"/>
      <c r="N1553" s="1054"/>
      <c r="O1553" s="1207"/>
      <c r="Q1553" s="1207"/>
    </row>
    <row r="1554" spans="3:17" s="700" customFormat="1" ht="70.5" hidden="1" customHeight="1">
      <c r="C1554" s="701"/>
      <c r="D1554" s="811"/>
      <c r="E1554" s="1276">
        <f>[11]building!Y1885</f>
        <v>0</v>
      </c>
      <c r="F1554" s="748">
        <f t="shared" si="263"/>
        <v>0</v>
      </c>
      <c r="G1554" s="1205"/>
      <c r="H1554" s="1055"/>
      <c r="I1554" s="1055"/>
      <c r="J1554" s="1055"/>
      <c r="K1554" s="1205"/>
      <c r="L1554" s="1055"/>
      <c r="M1554" s="1205"/>
      <c r="N1554" s="1054"/>
      <c r="O1554" s="1207"/>
      <c r="Q1554" s="1207"/>
    </row>
    <row r="1555" spans="3:17" s="700" customFormat="1" ht="70.5" hidden="1" customHeight="1">
      <c r="C1555" s="701"/>
      <c r="D1555" s="811"/>
      <c r="E1555" s="1276">
        <f>[11]building!Y1886</f>
        <v>0</v>
      </c>
      <c r="F1555" s="748">
        <f t="shared" si="263"/>
        <v>0</v>
      </c>
      <c r="G1555" s="1205"/>
      <c r="H1555" s="1055"/>
      <c r="I1555" s="1055"/>
      <c r="J1555" s="1055"/>
      <c r="K1555" s="1205"/>
      <c r="L1555" s="1055"/>
      <c r="M1555" s="1205"/>
      <c r="N1555" s="1054"/>
      <c r="O1555" s="1207"/>
      <c r="Q1555" s="1207"/>
    </row>
    <row r="1556" spans="3:17" s="700" customFormat="1" ht="70.5" hidden="1" customHeight="1">
      <c r="C1556" s="701"/>
      <c r="D1556" s="811"/>
      <c r="E1556" s="1276">
        <f>[11]building!Y1887</f>
        <v>0</v>
      </c>
      <c r="F1556" s="748">
        <f t="shared" si="263"/>
        <v>0</v>
      </c>
      <c r="G1556" s="1205"/>
      <c r="H1556" s="1055"/>
      <c r="I1556" s="1055"/>
      <c r="J1556" s="1055"/>
      <c r="K1556" s="1205"/>
      <c r="L1556" s="1055"/>
      <c r="M1556" s="1205"/>
      <c r="N1556" s="1054"/>
      <c r="O1556" s="1207"/>
      <c r="Q1556" s="1207"/>
    </row>
    <row r="1557" spans="3:17" s="700" customFormat="1" ht="70.5" hidden="1" customHeight="1">
      <c r="C1557" s="701"/>
      <c r="D1557" s="811"/>
      <c r="E1557" s="1276">
        <f>[11]building!Y1888</f>
        <v>0</v>
      </c>
      <c r="F1557" s="748">
        <f t="shared" si="263"/>
        <v>0</v>
      </c>
      <c r="G1557" s="1205"/>
      <c r="H1557" s="1055"/>
      <c r="I1557" s="1055"/>
      <c r="J1557" s="1055"/>
      <c r="K1557" s="1205"/>
      <c r="L1557" s="1055"/>
      <c r="M1557" s="1205"/>
      <c r="N1557" s="1054"/>
      <c r="O1557" s="1207"/>
      <c r="Q1557" s="1207"/>
    </row>
    <row r="1558" spans="3:17" s="700" customFormat="1" ht="70.5" hidden="1" customHeight="1">
      <c r="C1558" s="701"/>
      <c r="D1558" s="811"/>
      <c r="E1558" s="1276">
        <f>[11]building!Y1889</f>
        <v>0</v>
      </c>
      <c r="F1558" s="748">
        <f t="shared" si="263"/>
        <v>0</v>
      </c>
      <c r="G1558" s="1205"/>
      <c r="H1558" s="1055"/>
      <c r="I1558" s="1055"/>
      <c r="J1558" s="1055"/>
      <c r="K1558" s="1205"/>
      <c r="L1558" s="1055"/>
      <c r="M1558" s="1205"/>
      <c r="N1558" s="1054"/>
      <c r="O1558" s="1207"/>
      <c r="Q1558" s="1207"/>
    </row>
    <row r="1559" spans="3:17" s="700" customFormat="1" ht="70.5" hidden="1" customHeight="1">
      <c r="C1559" s="701"/>
      <c r="D1559" s="811"/>
      <c r="E1559" s="1276">
        <f>[11]building!Y1890</f>
        <v>0</v>
      </c>
      <c r="F1559" s="748">
        <f t="shared" si="263"/>
        <v>0</v>
      </c>
      <c r="G1559" s="1205"/>
      <c r="H1559" s="1055"/>
      <c r="I1559" s="1055"/>
      <c r="J1559" s="1055"/>
      <c r="K1559" s="1205"/>
      <c r="L1559" s="1055"/>
      <c r="M1559" s="1205"/>
      <c r="N1559" s="1054"/>
      <c r="O1559" s="1207"/>
      <c r="Q1559" s="1207"/>
    </row>
    <row r="1560" spans="3:17" s="700" customFormat="1" ht="70.5" hidden="1" customHeight="1">
      <c r="C1560" s="701"/>
      <c r="D1560" s="811"/>
      <c r="E1560" s="1276">
        <f>[11]building!Y1891</f>
        <v>0</v>
      </c>
      <c r="F1560" s="748">
        <f t="shared" si="263"/>
        <v>0</v>
      </c>
      <c r="G1560" s="1205"/>
      <c r="H1560" s="1055"/>
      <c r="I1560" s="1055"/>
      <c r="J1560" s="1055"/>
      <c r="K1560" s="1205"/>
      <c r="L1560" s="1055"/>
      <c r="M1560" s="1205"/>
      <c r="N1560" s="1054"/>
      <c r="O1560" s="1207"/>
      <c r="Q1560" s="1207"/>
    </row>
    <row r="1561" spans="3:17" s="700" customFormat="1" ht="70.5" hidden="1" customHeight="1">
      <c r="C1561" s="701"/>
      <c r="D1561" s="811"/>
      <c r="E1561" s="1276">
        <f>[11]building!Y1892</f>
        <v>0</v>
      </c>
      <c r="F1561" s="748">
        <f t="shared" si="263"/>
        <v>0</v>
      </c>
      <c r="G1561" s="1205"/>
      <c r="H1561" s="1055"/>
      <c r="I1561" s="1055"/>
      <c r="J1561" s="1055"/>
      <c r="K1561" s="1205"/>
      <c r="L1561" s="1055"/>
      <c r="M1561" s="1205"/>
      <c r="N1561" s="1054"/>
      <c r="O1561" s="1207"/>
      <c r="Q1561" s="1207"/>
    </row>
    <row r="1562" spans="3:17" s="700" customFormat="1" ht="70.5" hidden="1" customHeight="1">
      <c r="C1562" s="701"/>
      <c r="D1562" s="811"/>
      <c r="E1562" s="1276">
        <f>[11]building!Y1893</f>
        <v>0</v>
      </c>
      <c r="F1562" s="748">
        <f t="shared" si="263"/>
        <v>0</v>
      </c>
      <c r="G1562" s="1205"/>
      <c r="H1562" s="1055"/>
      <c r="I1562" s="1055"/>
      <c r="J1562" s="1055"/>
      <c r="K1562" s="1205"/>
      <c r="L1562" s="1055"/>
      <c r="M1562" s="1205"/>
      <c r="N1562" s="1054"/>
      <c r="O1562" s="1207"/>
      <c r="Q1562" s="1207"/>
    </row>
    <row r="1563" spans="3:17" s="700" customFormat="1" ht="70.5" hidden="1" customHeight="1">
      <c r="C1563" s="701"/>
      <c r="D1563" s="811"/>
      <c r="E1563" s="1276">
        <f>[11]building!Y1894</f>
        <v>0</v>
      </c>
      <c r="F1563" s="748">
        <f t="shared" si="263"/>
        <v>0</v>
      </c>
      <c r="G1563" s="1205"/>
      <c r="H1563" s="1055"/>
      <c r="I1563" s="1055"/>
      <c r="J1563" s="1055"/>
      <c r="K1563" s="1205"/>
      <c r="L1563" s="1055"/>
      <c r="M1563" s="1205"/>
      <c r="N1563" s="1054"/>
      <c r="O1563" s="1207"/>
      <c r="Q1563" s="1207"/>
    </row>
    <row r="1564" spans="3:17" s="700" customFormat="1" ht="70.5" hidden="1" customHeight="1">
      <c r="C1564" s="701"/>
      <c r="D1564" s="811"/>
      <c r="E1564" s="1276">
        <f>[11]building!Y1895</f>
        <v>0</v>
      </c>
      <c r="F1564" s="748">
        <f t="shared" si="263"/>
        <v>0</v>
      </c>
      <c r="G1564" s="1205"/>
      <c r="H1564" s="1055"/>
      <c r="I1564" s="1055"/>
      <c r="J1564" s="1055"/>
      <c r="K1564" s="1205"/>
      <c r="L1564" s="1055"/>
      <c r="M1564" s="1205"/>
      <c r="N1564" s="1054"/>
      <c r="O1564" s="1207"/>
      <c r="Q1564" s="1207"/>
    </row>
    <row r="1565" spans="3:17" s="700" customFormat="1" ht="70.5" hidden="1" customHeight="1">
      <c r="C1565" s="701"/>
      <c r="D1565" s="811"/>
      <c r="E1565" s="1276">
        <f>[11]building!Y1896</f>
        <v>0</v>
      </c>
      <c r="F1565" s="748">
        <f t="shared" si="263"/>
        <v>0</v>
      </c>
      <c r="G1565" s="1205"/>
      <c r="H1565" s="1055"/>
      <c r="I1565" s="1055"/>
      <c r="J1565" s="1055"/>
      <c r="K1565" s="1205"/>
      <c r="L1565" s="1055"/>
      <c r="M1565" s="1205"/>
      <c r="N1565" s="1054"/>
      <c r="O1565" s="1207"/>
      <c r="Q1565" s="1207"/>
    </row>
    <row r="1566" spans="3:17" s="700" customFormat="1" ht="70.5" hidden="1" customHeight="1">
      <c r="C1566" s="701"/>
      <c r="D1566" s="811"/>
      <c r="E1566" s="1276">
        <f>[11]building!Y1897</f>
        <v>0</v>
      </c>
      <c r="F1566" s="748">
        <f t="shared" si="263"/>
        <v>0</v>
      </c>
      <c r="G1566" s="1205"/>
      <c r="H1566" s="1055"/>
      <c r="I1566" s="1055"/>
      <c r="J1566" s="1055"/>
      <c r="K1566" s="1205"/>
      <c r="L1566" s="1055"/>
      <c r="M1566" s="1205"/>
      <c r="N1566" s="1054"/>
      <c r="O1566" s="1207"/>
      <c r="Q1566" s="1207"/>
    </row>
    <row r="1567" spans="3:17" s="700" customFormat="1" ht="70.5" hidden="1" customHeight="1">
      <c r="C1567" s="701"/>
      <c r="D1567" s="811"/>
      <c r="E1567" s="1276">
        <f>[11]building!Y1898</f>
        <v>0</v>
      </c>
      <c r="F1567" s="748">
        <f t="shared" si="263"/>
        <v>0</v>
      </c>
      <c r="G1567" s="1205"/>
      <c r="H1567" s="1055"/>
      <c r="I1567" s="1055"/>
      <c r="J1567" s="1055"/>
      <c r="K1567" s="1205"/>
      <c r="L1567" s="1055"/>
      <c r="M1567" s="1205"/>
      <c r="N1567" s="1054"/>
      <c r="O1567" s="1207"/>
      <c r="Q1567" s="1207"/>
    </row>
    <row r="1568" spans="3:17" s="700" customFormat="1" ht="70.5" hidden="1" customHeight="1">
      <c r="C1568" s="701"/>
      <c r="D1568" s="811"/>
      <c r="E1568" s="1276">
        <f>[11]building!Y1899</f>
        <v>0</v>
      </c>
      <c r="F1568" s="748">
        <f t="shared" si="263"/>
        <v>0</v>
      </c>
      <c r="G1568" s="1205"/>
      <c r="H1568" s="1055"/>
      <c r="I1568" s="1055"/>
      <c r="J1568" s="1055"/>
      <c r="K1568" s="1205"/>
      <c r="L1568" s="1055"/>
      <c r="M1568" s="1205"/>
      <c r="N1568" s="1054"/>
      <c r="O1568" s="1207"/>
      <c r="Q1568" s="1207"/>
    </row>
    <row r="1569" spans="3:17" s="700" customFormat="1" ht="70.5" hidden="1" customHeight="1">
      <c r="C1569" s="701"/>
      <c r="D1569" s="811"/>
      <c r="E1569" s="1276">
        <f>[11]building!Y1900</f>
        <v>0</v>
      </c>
      <c r="F1569" s="748">
        <f t="shared" si="263"/>
        <v>0</v>
      </c>
      <c r="G1569" s="1205"/>
      <c r="H1569" s="1055"/>
      <c r="I1569" s="1055"/>
      <c r="J1569" s="1055"/>
      <c r="K1569" s="1205"/>
      <c r="L1569" s="1055"/>
      <c r="M1569" s="1205"/>
      <c r="N1569" s="1054"/>
      <c r="O1569" s="1207"/>
      <c r="Q1569" s="1207"/>
    </row>
    <row r="1570" spans="3:17" s="700" customFormat="1" ht="70.5" hidden="1" customHeight="1">
      <c r="C1570" s="701"/>
      <c r="D1570" s="811"/>
      <c r="E1570" s="1276">
        <f>[11]building!Y1901</f>
        <v>0</v>
      </c>
      <c r="F1570" s="748">
        <f t="shared" si="263"/>
        <v>0</v>
      </c>
      <c r="G1570" s="1205"/>
      <c r="H1570" s="1055"/>
      <c r="I1570" s="1055"/>
      <c r="J1570" s="1055"/>
      <c r="K1570" s="1205"/>
      <c r="L1570" s="1055"/>
      <c r="M1570" s="1205"/>
      <c r="N1570" s="1054"/>
      <c r="O1570" s="1207"/>
      <c r="Q1570" s="1207"/>
    </row>
    <row r="1571" spans="3:17" s="700" customFormat="1" ht="70.5" hidden="1" customHeight="1">
      <c r="C1571" s="701"/>
      <c r="D1571" s="811"/>
      <c r="E1571" s="1276">
        <f>[11]building!Y1902</f>
        <v>0</v>
      </c>
      <c r="F1571" s="748">
        <f t="shared" si="263"/>
        <v>0</v>
      </c>
      <c r="G1571" s="1205"/>
      <c r="H1571" s="1055"/>
      <c r="I1571" s="1055"/>
      <c r="J1571" s="1055"/>
      <c r="K1571" s="1205"/>
      <c r="L1571" s="1055"/>
      <c r="M1571" s="1205"/>
      <c r="N1571" s="1054"/>
      <c r="O1571" s="1207"/>
      <c r="Q1571" s="1207"/>
    </row>
    <row r="1572" spans="3:17" s="700" customFormat="1" ht="70.5" hidden="1" customHeight="1">
      <c r="C1572" s="701"/>
      <c r="D1572" s="811"/>
      <c r="E1572" s="1276">
        <f>[11]building!Y1903</f>
        <v>0</v>
      </c>
      <c r="F1572" s="748">
        <f t="shared" si="263"/>
        <v>0</v>
      </c>
      <c r="G1572" s="1205"/>
      <c r="H1572" s="1055"/>
      <c r="I1572" s="1055"/>
      <c r="J1572" s="1055"/>
      <c r="K1572" s="1205"/>
      <c r="L1572" s="1055"/>
      <c r="M1572" s="1205"/>
      <c r="N1572" s="1054"/>
      <c r="O1572" s="1207"/>
      <c r="Q1572" s="1207"/>
    </row>
    <row r="1573" spans="3:17" s="700" customFormat="1" ht="70.5" hidden="1" customHeight="1">
      <c r="C1573" s="701"/>
      <c r="D1573" s="811"/>
      <c r="E1573" s="1276">
        <f>[11]building!Y1904</f>
        <v>0</v>
      </c>
      <c r="F1573" s="748">
        <f t="shared" si="263"/>
        <v>0</v>
      </c>
      <c r="G1573" s="1205"/>
      <c r="H1573" s="1055"/>
      <c r="I1573" s="1055"/>
      <c r="J1573" s="1055"/>
      <c r="K1573" s="1205"/>
      <c r="L1573" s="1055"/>
      <c r="M1573" s="1205"/>
      <c r="N1573" s="1054"/>
      <c r="O1573" s="1207"/>
      <c r="Q1573" s="1207"/>
    </row>
    <row r="1574" spans="3:17" s="700" customFormat="1" ht="70.5" hidden="1" customHeight="1">
      <c r="C1574" s="701"/>
      <c r="D1574" s="811"/>
      <c r="E1574" s="1276">
        <f>[11]building!Y1905</f>
        <v>0</v>
      </c>
      <c r="F1574" s="748">
        <f t="shared" si="263"/>
        <v>0</v>
      </c>
      <c r="G1574" s="1205"/>
      <c r="H1574" s="1055"/>
      <c r="I1574" s="1055"/>
      <c r="J1574" s="1055"/>
      <c r="K1574" s="1205"/>
      <c r="L1574" s="1055"/>
      <c r="M1574" s="1205"/>
      <c r="N1574" s="1054"/>
      <c r="O1574" s="1207"/>
      <c r="Q1574" s="1207"/>
    </row>
    <row r="1575" spans="3:17" s="700" customFormat="1" ht="70.5" hidden="1" customHeight="1">
      <c r="C1575" s="701"/>
      <c r="D1575" s="811"/>
      <c r="E1575" s="1276">
        <f>[11]building!Y1906</f>
        <v>0</v>
      </c>
      <c r="F1575" s="748">
        <f t="shared" si="263"/>
        <v>0</v>
      </c>
      <c r="G1575" s="1205"/>
      <c r="H1575" s="1055"/>
      <c r="I1575" s="1055"/>
      <c r="J1575" s="1055"/>
      <c r="K1575" s="1205"/>
      <c r="L1575" s="1055"/>
      <c r="M1575" s="1205"/>
      <c r="N1575" s="1054"/>
      <c r="O1575" s="1207"/>
      <c r="Q1575" s="1207"/>
    </row>
    <row r="1576" spans="3:17" s="700" customFormat="1" ht="70.5" hidden="1" customHeight="1">
      <c r="C1576" s="701"/>
      <c r="D1576" s="811"/>
      <c r="E1576" s="1276">
        <f>[11]building!Y1907</f>
        <v>0</v>
      </c>
      <c r="F1576" s="748">
        <f t="shared" si="263"/>
        <v>0</v>
      </c>
      <c r="G1576" s="1205"/>
      <c r="H1576" s="1055"/>
      <c r="I1576" s="1055"/>
      <c r="J1576" s="1055"/>
      <c r="K1576" s="1205"/>
      <c r="L1576" s="1055"/>
      <c r="M1576" s="1205"/>
      <c r="N1576" s="1054"/>
      <c r="O1576" s="1207"/>
      <c r="Q1576" s="1207"/>
    </row>
    <row r="1577" spans="3:17" s="700" customFormat="1" ht="70.5" hidden="1" customHeight="1">
      <c r="C1577" s="701"/>
      <c r="D1577" s="811"/>
      <c r="E1577" s="1276">
        <f>[11]building!Y1908</f>
        <v>0</v>
      </c>
      <c r="F1577" s="748">
        <f t="shared" si="263"/>
        <v>0</v>
      </c>
      <c r="G1577" s="1205"/>
      <c r="H1577" s="1055"/>
      <c r="I1577" s="1055"/>
      <c r="J1577" s="1055"/>
      <c r="K1577" s="1205"/>
      <c r="L1577" s="1055"/>
      <c r="M1577" s="1205"/>
      <c r="N1577" s="1054"/>
      <c r="O1577" s="1207"/>
      <c r="Q1577" s="1207"/>
    </row>
    <row r="1578" spans="3:17" s="700" customFormat="1" ht="70.5" hidden="1" customHeight="1">
      <c r="C1578" s="701"/>
      <c r="D1578" s="811"/>
      <c r="E1578" s="1276">
        <f>[11]building!Y1909</f>
        <v>0</v>
      </c>
      <c r="F1578" s="748">
        <f t="shared" si="263"/>
        <v>0</v>
      </c>
      <c r="G1578" s="1205"/>
      <c r="H1578" s="1055"/>
      <c r="I1578" s="1055"/>
      <c r="J1578" s="1055"/>
      <c r="K1578" s="1205"/>
      <c r="L1578" s="1055"/>
      <c r="M1578" s="1205"/>
      <c r="N1578" s="1054"/>
      <c r="O1578" s="1207"/>
      <c r="Q1578" s="1207"/>
    </row>
    <row r="1579" spans="3:17" s="700" customFormat="1" ht="70.5" hidden="1" customHeight="1">
      <c r="C1579" s="701"/>
      <c r="D1579" s="811"/>
      <c r="E1579" s="1276">
        <f>[11]building!Y1910</f>
        <v>0</v>
      </c>
      <c r="F1579" s="748">
        <f t="shared" si="263"/>
        <v>0</v>
      </c>
      <c r="G1579" s="1205"/>
      <c r="H1579" s="1055"/>
      <c r="I1579" s="1055"/>
      <c r="J1579" s="1055"/>
      <c r="K1579" s="1205"/>
      <c r="L1579" s="1055"/>
      <c r="M1579" s="1205"/>
      <c r="N1579" s="1054"/>
      <c r="O1579" s="1207"/>
      <c r="Q1579" s="1207"/>
    </row>
    <row r="1580" spans="3:17" s="700" customFormat="1" ht="70.5" hidden="1" customHeight="1">
      <c r="C1580" s="701"/>
      <c r="D1580" s="811"/>
      <c r="E1580" s="1276">
        <f>[11]building!Y1911</f>
        <v>0</v>
      </c>
      <c r="F1580" s="748">
        <f t="shared" si="263"/>
        <v>0</v>
      </c>
      <c r="G1580" s="1205"/>
      <c r="H1580" s="1055"/>
      <c r="I1580" s="1055"/>
      <c r="J1580" s="1055"/>
      <c r="K1580" s="1205"/>
      <c r="L1580" s="1055"/>
      <c r="M1580" s="1205"/>
      <c r="N1580" s="1054"/>
      <c r="O1580" s="1207"/>
      <c r="Q1580" s="1207"/>
    </row>
    <row r="1581" spans="3:17" s="700" customFormat="1" ht="70.5" hidden="1" customHeight="1">
      <c r="C1581" s="701"/>
      <c r="D1581" s="811"/>
      <c r="E1581" s="1276">
        <f>[11]building!Y1912</f>
        <v>0</v>
      </c>
      <c r="F1581" s="748">
        <f t="shared" si="263"/>
        <v>0</v>
      </c>
      <c r="G1581" s="1205"/>
      <c r="H1581" s="1055"/>
      <c r="I1581" s="1055"/>
      <c r="J1581" s="1055"/>
      <c r="K1581" s="1205"/>
      <c r="L1581" s="1055"/>
      <c r="M1581" s="1205"/>
      <c r="N1581" s="1054"/>
      <c r="O1581" s="1207"/>
      <c r="Q1581" s="1207"/>
    </row>
    <row r="1582" spans="3:17" s="700" customFormat="1" ht="70.5" hidden="1" customHeight="1">
      <c r="C1582" s="701"/>
      <c r="D1582" s="811"/>
      <c r="E1582" s="1276">
        <f>[11]building!Y1913</f>
        <v>0</v>
      </c>
      <c r="F1582" s="748">
        <f t="shared" si="263"/>
        <v>0</v>
      </c>
      <c r="G1582" s="1205"/>
      <c r="H1582" s="1055"/>
      <c r="I1582" s="1055"/>
      <c r="J1582" s="1055"/>
      <c r="K1582" s="1205"/>
      <c r="L1582" s="1055"/>
      <c r="M1582" s="1205"/>
      <c r="N1582" s="1054"/>
      <c r="O1582" s="1207"/>
      <c r="Q1582" s="1207"/>
    </row>
    <row r="1583" spans="3:17" s="700" customFormat="1" ht="70.5" hidden="1" customHeight="1">
      <c r="C1583" s="701"/>
      <c r="D1583" s="811"/>
      <c r="E1583" s="1276">
        <f>[11]building!Y1914</f>
        <v>0</v>
      </c>
      <c r="F1583" s="748">
        <f t="shared" si="263"/>
        <v>0</v>
      </c>
      <c r="G1583" s="1205"/>
      <c r="H1583" s="1055"/>
      <c r="I1583" s="1055"/>
      <c r="J1583" s="1055"/>
      <c r="K1583" s="1205"/>
      <c r="L1583" s="1055"/>
      <c r="M1583" s="1205"/>
      <c r="N1583" s="1054"/>
      <c r="O1583" s="1207"/>
      <c r="Q1583" s="1207"/>
    </row>
    <row r="1584" spans="3:17" s="700" customFormat="1" ht="70.5" hidden="1" customHeight="1">
      <c r="C1584" s="701"/>
      <c r="D1584" s="811"/>
      <c r="E1584" s="1276">
        <f>[11]building!Y1915</f>
        <v>0</v>
      </c>
      <c r="F1584" s="748">
        <f t="shared" si="263"/>
        <v>0</v>
      </c>
      <c r="G1584" s="1205"/>
      <c r="H1584" s="1055"/>
      <c r="I1584" s="1055"/>
      <c r="J1584" s="1055"/>
      <c r="K1584" s="1205"/>
      <c r="L1584" s="1055"/>
      <c r="M1584" s="1205"/>
      <c r="N1584" s="1054"/>
      <c r="O1584" s="1207"/>
      <c r="Q1584" s="1207"/>
    </row>
    <row r="1585" spans="3:17" s="700" customFormat="1" ht="70.5" hidden="1" customHeight="1">
      <c r="C1585" s="701"/>
      <c r="D1585" s="811"/>
      <c r="E1585" s="1276">
        <f>[11]building!Y1916</f>
        <v>0</v>
      </c>
      <c r="F1585" s="748">
        <f t="shared" si="263"/>
        <v>0</v>
      </c>
      <c r="G1585" s="1205"/>
      <c r="H1585" s="1055"/>
      <c r="I1585" s="1055"/>
      <c r="J1585" s="1055"/>
      <c r="K1585" s="1205"/>
      <c r="L1585" s="1055"/>
      <c r="M1585" s="1205"/>
      <c r="N1585" s="1054"/>
      <c r="O1585" s="1207"/>
      <c r="Q1585" s="1207"/>
    </row>
    <row r="1586" spans="3:17" s="700" customFormat="1" ht="70.5" hidden="1" customHeight="1">
      <c r="C1586" s="701"/>
      <c r="D1586" s="811"/>
      <c r="E1586" s="1276">
        <f>[11]building!Y1917</f>
        <v>0</v>
      </c>
      <c r="F1586" s="748">
        <f t="shared" si="263"/>
        <v>0</v>
      </c>
      <c r="G1586" s="1205"/>
      <c r="H1586" s="1055"/>
      <c r="I1586" s="1055"/>
      <c r="J1586" s="1055"/>
      <c r="K1586" s="1205"/>
      <c r="L1586" s="1055"/>
      <c r="M1586" s="1205"/>
      <c r="N1586" s="1054"/>
      <c r="O1586" s="1207"/>
      <c r="Q1586" s="1207"/>
    </row>
    <row r="1587" spans="3:17" s="700" customFormat="1" ht="70.5" hidden="1" customHeight="1">
      <c r="C1587" s="701"/>
      <c r="D1587" s="811"/>
      <c r="E1587" s="1276">
        <f>[11]building!Y1918</f>
        <v>0</v>
      </c>
      <c r="F1587" s="748">
        <f t="shared" si="263"/>
        <v>0</v>
      </c>
      <c r="G1587" s="1205"/>
      <c r="H1587" s="1055"/>
      <c r="I1587" s="1055"/>
      <c r="J1587" s="1055"/>
      <c r="K1587" s="1205"/>
      <c r="L1587" s="1055"/>
      <c r="M1587" s="1205"/>
      <c r="N1587" s="1054"/>
      <c r="O1587" s="1207"/>
      <c r="Q1587" s="1207"/>
    </row>
    <row r="1588" spans="3:17" s="700" customFormat="1" ht="70.5" hidden="1" customHeight="1">
      <c r="C1588" s="701"/>
      <c r="D1588" s="811"/>
      <c r="E1588" s="1276">
        <f>[11]building!Y1919</f>
        <v>0</v>
      </c>
      <c r="F1588" s="748">
        <f t="shared" si="263"/>
        <v>0</v>
      </c>
      <c r="G1588" s="1205"/>
      <c r="H1588" s="1055"/>
      <c r="I1588" s="1055"/>
      <c r="J1588" s="1055"/>
      <c r="K1588" s="1205"/>
      <c r="L1588" s="1055"/>
      <c r="M1588" s="1205"/>
      <c r="N1588" s="1054"/>
      <c r="O1588" s="1207"/>
      <c r="Q1588" s="1207"/>
    </row>
    <row r="1589" spans="3:17" s="700" customFormat="1" ht="70.5" hidden="1" customHeight="1">
      <c r="C1589" s="701"/>
      <c r="D1589" s="811"/>
      <c r="E1589" s="1276">
        <f>[11]building!Y1920</f>
        <v>0</v>
      </c>
      <c r="F1589" s="748">
        <f t="shared" si="263"/>
        <v>0</v>
      </c>
      <c r="G1589" s="1205"/>
      <c r="H1589" s="1055"/>
      <c r="I1589" s="1055"/>
      <c r="J1589" s="1055"/>
      <c r="K1589" s="1205"/>
      <c r="L1589" s="1055"/>
      <c r="M1589" s="1205"/>
      <c r="N1589" s="1054"/>
      <c r="O1589" s="1207"/>
      <c r="Q1589" s="1207"/>
    </row>
    <row r="1590" spans="3:17" s="700" customFormat="1" ht="70.5" hidden="1" customHeight="1">
      <c r="C1590" s="701"/>
      <c r="D1590" s="811"/>
      <c r="E1590" s="1276">
        <f>[11]building!Y1921</f>
        <v>0</v>
      </c>
      <c r="F1590" s="748">
        <f t="shared" si="263"/>
        <v>0</v>
      </c>
      <c r="G1590" s="1205"/>
      <c r="H1590" s="1055"/>
      <c r="I1590" s="1055"/>
      <c r="J1590" s="1055"/>
      <c r="K1590" s="1205"/>
      <c r="L1590" s="1055"/>
      <c r="M1590" s="1205"/>
      <c r="N1590" s="1054"/>
      <c r="O1590" s="1207"/>
      <c r="Q1590" s="1207"/>
    </row>
    <row r="1591" spans="3:17" s="700" customFormat="1" ht="70.5" hidden="1" customHeight="1">
      <c r="C1591" s="701"/>
      <c r="D1591" s="811"/>
      <c r="E1591" s="1276">
        <f>[11]building!Y1922</f>
        <v>0</v>
      </c>
      <c r="F1591" s="748">
        <f t="shared" si="263"/>
        <v>0</v>
      </c>
      <c r="G1591" s="1205"/>
      <c r="H1591" s="1055"/>
      <c r="I1591" s="1055"/>
      <c r="J1591" s="1055"/>
      <c r="K1591" s="1205"/>
      <c r="L1591" s="1055"/>
      <c r="M1591" s="1205"/>
      <c r="N1591" s="1054"/>
      <c r="O1591" s="1207"/>
      <c r="Q1591" s="1207"/>
    </row>
    <row r="1592" spans="3:17" s="700" customFormat="1" ht="70.5" hidden="1" customHeight="1">
      <c r="C1592" s="701"/>
      <c r="D1592" s="811"/>
      <c r="E1592" s="1276">
        <f>[11]building!Y1923</f>
        <v>0</v>
      </c>
      <c r="F1592" s="748">
        <f t="shared" si="263"/>
        <v>0</v>
      </c>
      <c r="G1592" s="1205"/>
      <c r="H1592" s="1055"/>
      <c r="I1592" s="1055"/>
      <c r="J1592" s="1055"/>
      <c r="K1592" s="1205"/>
      <c r="L1592" s="1055"/>
      <c r="M1592" s="1205"/>
      <c r="N1592" s="1054"/>
      <c r="O1592" s="1207"/>
      <c r="Q1592" s="1207"/>
    </row>
    <row r="1593" spans="3:17" s="700" customFormat="1" ht="70.5" hidden="1" customHeight="1">
      <c r="C1593" s="701"/>
      <c r="D1593" s="811"/>
      <c r="E1593" s="1276">
        <f>[11]building!Y1924</f>
        <v>0</v>
      </c>
      <c r="F1593" s="748">
        <f t="shared" si="263"/>
        <v>0</v>
      </c>
      <c r="G1593" s="1205"/>
      <c r="H1593" s="1055"/>
      <c r="I1593" s="1055"/>
      <c r="J1593" s="1055"/>
      <c r="K1593" s="1205"/>
      <c r="L1593" s="1055"/>
      <c r="M1593" s="1205"/>
      <c r="N1593" s="1054"/>
      <c r="O1593" s="1207"/>
      <c r="Q1593" s="1207"/>
    </row>
    <row r="1594" spans="3:17" s="700" customFormat="1" ht="70.5" hidden="1" customHeight="1">
      <c r="C1594" s="701"/>
      <c r="D1594" s="811"/>
      <c r="E1594" s="1276">
        <f>[11]building!Y1925</f>
        <v>0</v>
      </c>
      <c r="F1594" s="748">
        <f t="shared" si="263"/>
        <v>0</v>
      </c>
      <c r="G1594" s="1205"/>
      <c r="H1594" s="1055"/>
      <c r="I1594" s="1055"/>
      <c r="J1594" s="1055"/>
      <c r="K1594" s="1205"/>
      <c r="L1594" s="1055"/>
      <c r="M1594" s="1205"/>
      <c r="N1594" s="1054"/>
      <c r="O1594" s="1207"/>
      <c r="Q1594" s="1207"/>
    </row>
    <row r="1595" spans="3:17" s="700" customFormat="1" ht="70.5" hidden="1" customHeight="1">
      <c r="C1595" s="701"/>
      <c r="D1595" s="811"/>
      <c r="E1595" s="1276">
        <f>[11]building!Y1926</f>
        <v>0</v>
      </c>
      <c r="F1595" s="748">
        <f t="shared" si="263"/>
        <v>0</v>
      </c>
      <c r="G1595" s="1205"/>
      <c r="H1595" s="1055"/>
      <c r="I1595" s="1055"/>
      <c r="J1595" s="1055"/>
      <c r="K1595" s="1205"/>
      <c r="L1595" s="1055"/>
      <c r="M1595" s="1205"/>
      <c r="N1595" s="1054"/>
      <c r="O1595" s="1207"/>
      <c r="Q1595" s="1207"/>
    </row>
    <row r="1596" spans="3:17" s="700" customFormat="1" ht="70.5" hidden="1" customHeight="1">
      <c r="C1596" s="701"/>
      <c r="D1596" s="811"/>
      <c r="E1596" s="1276">
        <f>[11]building!Y1927</f>
        <v>0</v>
      </c>
      <c r="F1596" s="748">
        <f t="shared" si="263"/>
        <v>0</v>
      </c>
      <c r="G1596" s="1205"/>
      <c r="H1596" s="1055"/>
      <c r="I1596" s="1055"/>
      <c r="J1596" s="1055"/>
      <c r="K1596" s="1205"/>
      <c r="L1596" s="1055"/>
      <c r="M1596" s="1205"/>
      <c r="N1596" s="1054"/>
      <c r="O1596" s="1207"/>
      <c r="Q1596" s="1207"/>
    </row>
    <row r="1597" spans="3:17" s="700" customFormat="1" ht="70.5" hidden="1" customHeight="1">
      <c r="C1597" s="701"/>
      <c r="D1597" s="811"/>
      <c r="E1597" s="1276">
        <f>[11]building!Y1928</f>
        <v>0</v>
      </c>
      <c r="F1597" s="748">
        <f t="shared" si="263"/>
        <v>0</v>
      </c>
      <c r="G1597" s="1205"/>
      <c r="H1597" s="1055"/>
      <c r="I1597" s="1055"/>
      <c r="J1597" s="1055"/>
      <c r="K1597" s="1205"/>
      <c r="L1597" s="1055"/>
      <c r="M1597" s="1205"/>
      <c r="N1597" s="1054"/>
      <c r="O1597" s="1207"/>
      <c r="Q1597" s="1207"/>
    </row>
    <row r="1598" spans="3:17" s="700" customFormat="1" ht="70.5" hidden="1" customHeight="1">
      <c r="C1598" s="701"/>
      <c r="D1598" s="811"/>
      <c r="E1598" s="1276">
        <f>[11]building!Y1929</f>
        <v>0</v>
      </c>
      <c r="F1598" s="748">
        <f t="shared" si="263"/>
        <v>0</v>
      </c>
      <c r="G1598" s="1205"/>
      <c r="H1598" s="1055"/>
      <c r="I1598" s="1055"/>
      <c r="J1598" s="1055"/>
      <c r="K1598" s="1205"/>
      <c r="L1598" s="1055"/>
      <c r="M1598" s="1205"/>
      <c r="N1598" s="1054"/>
      <c r="O1598" s="1207"/>
      <c r="Q1598" s="1207"/>
    </row>
    <row r="1599" spans="3:17" s="700" customFormat="1" ht="70.5" hidden="1" customHeight="1">
      <c r="C1599" s="701"/>
      <c r="D1599" s="811"/>
      <c r="E1599" s="1276">
        <f>[11]building!Y1930</f>
        <v>0</v>
      </c>
      <c r="F1599" s="748">
        <f t="shared" si="263"/>
        <v>0</v>
      </c>
      <c r="G1599" s="1205"/>
      <c r="H1599" s="1055"/>
      <c r="I1599" s="1055"/>
      <c r="J1599" s="1055"/>
      <c r="K1599" s="1205"/>
      <c r="L1599" s="1055"/>
      <c r="M1599" s="1205"/>
      <c r="N1599" s="1054"/>
      <c r="O1599" s="1207"/>
      <c r="Q1599" s="1207"/>
    </row>
    <row r="1600" spans="3:17" s="700" customFormat="1" ht="70.5" hidden="1" customHeight="1">
      <c r="C1600" s="701"/>
      <c r="D1600" s="811"/>
      <c r="E1600" s="1276">
        <f>[11]building!Y1931</f>
        <v>0</v>
      </c>
      <c r="F1600" s="748">
        <f t="shared" ref="F1600:F1663" si="264">E1600*C1600</f>
        <v>0</v>
      </c>
      <c r="G1600" s="1205"/>
      <c r="H1600" s="1055"/>
      <c r="I1600" s="1055"/>
      <c r="J1600" s="1055"/>
      <c r="K1600" s="1205"/>
      <c r="L1600" s="1055"/>
      <c r="M1600" s="1205"/>
      <c r="N1600" s="1054"/>
      <c r="O1600" s="1207"/>
      <c r="Q1600" s="1207"/>
    </row>
    <row r="1601" spans="3:17" s="700" customFormat="1" ht="70.5" hidden="1" customHeight="1">
      <c r="C1601" s="701"/>
      <c r="D1601" s="811"/>
      <c r="E1601" s="1276">
        <f>[11]building!Y1932</f>
        <v>0</v>
      </c>
      <c r="F1601" s="748">
        <f t="shared" si="264"/>
        <v>0</v>
      </c>
      <c r="G1601" s="1205"/>
      <c r="H1601" s="1055"/>
      <c r="I1601" s="1055"/>
      <c r="J1601" s="1055"/>
      <c r="K1601" s="1205"/>
      <c r="L1601" s="1055"/>
      <c r="M1601" s="1205"/>
      <c r="N1601" s="1054"/>
      <c r="O1601" s="1207"/>
      <c r="Q1601" s="1207"/>
    </row>
    <row r="1602" spans="3:17" s="700" customFormat="1" ht="70.5" hidden="1" customHeight="1">
      <c r="C1602" s="701"/>
      <c r="D1602" s="811"/>
      <c r="E1602" s="1276">
        <f>[11]building!Y1933</f>
        <v>0</v>
      </c>
      <c r="F1602" s="748">
        <f t="shared" si="264"/>
        <v>0</v>
      </c>
      <c r="G1602" s="1205"/>
      <c r="H1602" s="1055"/>
      <c r="I1602" s="1055"/>
      <c r="J1602" s="1055"/>
      <c r="K1602" s="1205"/>
      <c r="L1602" s="1055"/>
      <c r="M1602" s="1205"/>
      <c r="N1602" s="1054"/>
      <c r="O1602" s="1207"/>
      <c r="Q1602" s="1207"/>
    </row>
    <row r="1603" spans="3:17" s="700" customFormat="1" ht="70.5" hidden="1" customHeight="1">
      <c r="C1603" s="701"/>
      <c r="D1603" s="811"/>
      <c r="E1603" s="1276">
        <f>[11]building!Y1934</f>
        <v>0</v>
      </c>
      <c r="F1603" s="748">
        <f t="shared" si="264"/>
        <v>0</v>
      </c>
      <c r="G1603" s="1205"/>
      <c r="H1603" s="1055"/>
      <c r="I1603" s="1055"/>
      <c r="J1603" s="1055"/>
      <c r="K1603" s="1205"/>
      <c r="L1603" s="1055"/>
      <c r="M1603" s="1205"/>
      <c r="N1603" s="1054"/>
      <c r="O1603" s="1207"/>
      <c r="Q1603" s="1207"/>
    </row>
    <row r="1604" spans="3:17" s="700" customFormat="1" ht="70.5" hidden="1" customHeight="1">
      <c r="C1604" s="701"/>
      <c r="D1604" s="811"/>
      <c r="E1604" s="1276">
        <f>[11]building!Y1935</f>
        <v>0</v>
      </c>
      <c r="F1604" s="748">
        <f t="shared" si="264"/>
        <v>0</v>
      </c>
      <c r="G1604" s="1205"/>
      <c r="H1604" s="1055"/>
      <c r="I1604" s="1055"/>
      <c r="J1604" s="1055"/>
      <c r="K1604" s="1205"/>
      <c r="L1604" s="1055"/>
      <c r="M1604" s="1205"/>
      <c r="N1604" s="1054"/>
      <c r="O1604" s="1207"/>
      <c r="Q1604" s="1207"/>
    </row>
    <row r="1605" spans="3:17" s="700" customFormat="1" ht="70.5" hidden="1" customHeight="1">
      <c r="C1605" s="701"/>
      <c r="D1605" s="811"/>
      <c r="E1605" s="1276">
        <f>[11]building!Y1936</f>
        <v>0</v>
      </c>
      <c r="F1605" s="748">
        <f t="shared" si="264"/>
        <v>0</v>
      </c>
      <c r="G1605" s="1205"/>
      <c r="H1605" s="1055"/>
      <c r="I1605" s="1055"/>
      <c r="J1605" s="1055"/>
      <c r="K1605" s="1205"/>
      <c r="L1605" s="1055"/>
      <c r="M1605" s="1205"/>
      <c r="N1605" s="1054"/>
      <c r="O1605" s="1207"/>
      <c r="Q1605" s="1207"/>
    </row>
    <row r="1606" spans="3:17" s="700" customFormat="1" ht="70.5" hidden="1" customHeight="1">
      <c r="C1606" s="701"/>
      <c r="D1606" s="811"/>
      <c r="E1606" s="1276">
        <f>[11]building!Y1937</f>
        <v>0</v>
      </c>
      <c r="F1606" s="748">
        <f t="shared" si="264"/>
        <v>0</v>
      </c>
      <c r="G1606" s="1205"/>
      <c r="H1606" s="1055"/>
      <c r="I1606" s="1055"/>
      <c r="J1606" s="1055"/>
      <c r="K1606" s="1205"/>
      <c r="L1606" s="1055"/>
      <c r="M1606" s="1205"/>
      <c r="N1606" s="1054"/>
      <c r="O1606" s="1207"/>
      <c r="Q1606" s="1207"/>
    </row>
    <row r="1607" spans="3:17" s="700" customFormat="1" ht="70.5" hidden="1" customHeight="1">
      <c r="C1607" s="701"/>
      <c r="D1607" s="811"/>
      <c r="E1607" s="1276">
        <f>[11]building!Y1938</f>
        <v>0</v>
      </c>
      <c r="F1607" s="748">
        <f t="shared" si="264"/>
        <v>0</v>
      </c>
      <c r="G1607" s="1205"/>
      <c r="H1607" s="1055"/>
      <c r="I1607" s="1055"/>
      <c r="J1607" s="1055"/>
      <c r="K1607" s="1205"/>
      <c r="L1607" s="1055"/>
      <c r="M1607" s="1205"/>
      <c r="N1607" s="1054"/>
      <c r="O1607" s="1207"/>
      <c r="Q1607" s="1207"/>
    </row>
    <row r="1608" spans="3:17" s="700" customFormat="1" ht="70.5" hidden="1" customHeight="1">
      <c r="C1608" s="701"/>
      <c r="D1608" s="811"/>
      <c r="E1608" s="1276">
        <f>[11]building!Y1939</f>
        <v>0</v>
      </c>
      <c r="F1608" s="748">
        <f t="shared" si="264"/>
        <v>0</v>
      </c>
      <c r="G1608" s="1205"/>
      <c r="H1608" s="1055"/>
      <c r="I1608" s="1055"/>
      <c r="J1608" s="1055"/>
      <c r="K1608" s="1205"/>
      <c r="L1608" s="1055"/>
      <c r="M1608" s="1205"/>
      <c r="N1608" s="1054"/>
      <c r="O1608" s="1207"/>
      <c r="Q1608" s="1207"/>
    </row>
    <row r="1609" spans="3:17" s="700" customFormat="1" ht="70.5" hidden="1" customHeight="1">
      <c r="C1609" s="701"/>
      <c r="D1609" s="811"/>
      <c r="E1609" s="1276">
        <f>[11]building!Y1940</f>
        <v>0</v>
      </c>
      <c r="F1609" s="748">
        <f t="shared" si="264"/>
        <v>0</v>
      </c>
      <c r="G1609" s="1205"/>
      <c r="H1609" s="1055"/>
      <c r="I1609" s="1055"/>
      <c r="J1609" s="1055"/>
      <c r="K1609" s="1205"/>
      <c r="L1609" s="1055"/>
      <c r="M1609" s="1205"/>
      <c r="N1609" s="1054"/>
      <c r="O1609" s="1207"/>
      <c r="Q1609" s="1207"/>
    </row>
    <row r="1610" spans="3:17" s="700" customFormat="1" ht="70.5" hidden="1" customHeight="1">
      <c r="C1610" s="701"/>
      <c r="D1610" s="811"/>
      <c r="E1610" s="1276">
        <f>[11]building!Y1941</f>
        <v>0</v>
      </c>
      <c r="F1610" s="748">
        <f t="shared" si="264"/>
        <v>0</v>
      </c>
      <c r="G1610" s="1205"/>
      <c r="H1610" s="1055"/>
      <c r="I1610" s="1055"/>
      <c r="J1610" s="1055"/>
      <c r="K1610" s="1205"/>
      <c r="L1610" s="1055"/>
      <c r="M1610" s="1205"/>
      <c r="N1610" s="1054"/>
      <c r="O1610" s="1207"/>
      <c r="Q1610" s="1207"/>
    </row>
    <row r="1611" spans="3:17" s="700" customFormat="1" ht="70.5" hidden="1" customHeight="1">
      <c r="C1611" s="701"/>
      <c r="D1611" s="811"/>
      <c r="E1611" s="1276">
        <f>[11]building!Y1942</f>
        <v>0</v>
      </c>
      <c r="F1611" s="748">
        <f t="shared" si="264"/>
        <v>0</v>
      </c>
      <c r="G1611" s="1205"/>
      <c r="H1611" s="1055"/>
      <c r="I1611" s="1055"/>
      <c r="J1611" s="1055"/>
      <c r="K1611" s="1205"/>
      <c r="L1611" s="1055"/>
      <c r="M1611" s="1205"/>
      <c r="N1611" s="1054"/>
      <c r="O1611" s="1207"/>
      <c r="Q1611" s="1207"/>
    </row>
    <row r="1612" spans="3:17" s="700" customFormat="1" ht="70.5" hidden="1" customHeight="1">
      <c r="C1612" s="701"/>
      <c r="D1612" s="811"/>
      <c r="E1612" s="1276">
        <f>[11]building!Y1943</f>
        <v>0</v>
      </c>
      <c r="F1612" s="748">
        <f t="shared" si="264"/>
        <v>0</v>
      </c>
      <c r="G1612" s="1205"/>
      <c r="H1612" s="1055"/>
      <c r="I1612" s="1055"/>
      <c r="J1612" s="1055"/>
      <c r="K1612" s="1205"/>
      <c r="L1612" s="1055"/>
      <c r="M1612" s="1205"/>
      <c r="N1612" s="1054"/>
      <c r="O1612" s="1207"/>
      <c r="Q1612" s="1207"/>
    </row>
    <row r="1613" spans="3:17" s="700" customFormat="1" ht="70.5" hidden="1" customHeight="1">
      <c r="C1613" s="701"/>
      <c r="D1613" s="811"/>
      <c r="E1613" s="1276">
        <f>[11]building!Y1944</f>
        <v>0</v>
      </c>
      <c r="F1613" s="748">
        <f t="shared" si="264"/>
        <v>0</v>
      </c>
      <c r="G1613" s="1205"/>
      <c r="H1613" s="1055"/>
      <c r="I1613" s="1055"/>
      <c r="J1613" s="1055"/>
      <c r="K1613" s="1205"/>
      <c r="L1613" s="1055"/>
      <c r="M1613" s="1205"/>
      <c r="N1613" s="1054"/>
      <c r="O1613" s="1207"/>
      <c r="Q1613" s="1207"/>
    </row>
    <row r="1614" spans="3:17" s="700" customFormat="1" ht="70.5" hidden="1" customHeight="1">
      <c r="C1614" s="701"/>
      <c r="D1614" s="811"/>
      <c r="E1614" s="1276">
        <f>[11]building!Y1945</f>
        <v>0</v>
      </c>
      <c r="F1614" s="748">
        <f t="shared" si="264"/>
        <v>0</v>
      </c>
      <c r="G1614" s="1205"/>
      <c r="H1614" s="1055"/>
      <c r="I1614" s="1055"/>
      <c r="J1614" s="1055"/>
      <c r="K1614" s="1205"/>
      <c r="L1614" s="1055"/>
      <c r="M1614" s="1205"/>
      <c r="N1614" s="1054"/>
      <c r="O1614" s="1207"/>
      <c r="Q1614" s="1207"/>
    </row>
    <row r="1615" spans="3:17" s="700" customFormat="1" ht="70.5" hidden="1" customHeight="1">
      <c r="C1615" s="701"/>
      <c r="D1615" s="811"/>
      <c r="E1615" s="1276">
        <f>[11]building!Y1946</f>
        <v>0</v>
      </c>
      <c r="F1615" s="748">
        <f t="shared" si="264"/>
        <v>0</v>
      </c>
      <c r="G1615" s="1205"/>
      <c r="H1615" s="1055"/>
      <c r="I1615" s="1055"/>
      <c r="J1615" s="1055"/>
      <c r="K1615" s="1205"/>
      <c r="L1615" s="1055"/>
      <c r="M1615" s="1205"/>
      <c r="N1615" s="1054"/>
      <c r="O1615" s="1207"/>
      <c r="Q1615" s="1207"/>
    </row>
    <row r="1616" spans="3:17" s="700" customFormat="1" ht="70.5" hidden="1" customHeight="1">
      <c r="C1616" s="701"/>
      <c r="D1616" s="811"/>
      <c r="E1616" s="1276">
        <f>[11]building!Y1947</f>
        <v>0</v>
      </c>
      <c r="F1616" s="748">
        <f t="shared" si="264"/>
        <v>0</v>
      </c>
      <c r="G1616" s="1205"/>
      <c r="H1616" s="1055"/>
      <c r="I1616" s="1055"/>
      <c r="J1616" s="1055"/>
      <c r="K1616" s="1205"/>
      <c r="L1616" s="1055"/>
      <c r="M1616" s="1205"/>
      <c r="N1616" s="1054"/>
      <c r="O1616" s="1207"/>
      <c r="Q1616" s="1207"/>
    </row>
    <row r="1617" spans="3:17" s="700" customFormat="1" ht="70.5" hidden="1" customHeight="1">
      <c r="C1617" s="701"/>
      <c r="D1617" s="811"/>
      <c r="E1617" s="1276">
        <f>[11]building!Y1948</f>
        <v>0</v>
      </c>
      <c r="F1617" s="748">
        <f t="shared" si="264"/>
        <v>0</v>
      </c>
      <c r="G1617" s="1205"/>
      <c r="H1617" s="1055"/>
      <c r="I1617" s="1055"/>
      <c r="J1617" s="1055"/>
      <c r="K1617" s="1205"/>
      <c r="L1617" s="1055"/>
      <c r="M1617" s="1205"/>
      <c r="N1617" s="1054"/>
      <c r="O1617" s="1207"/>
      <c r="Q1617" s="1207"/>
    </row>
    <row r="1618" spans="3:17" s="700" customFormat="1" ht="70.5" hidden="1" customHeight="1">
      <c r="C1618" s="701"/>
      <c r="D1618" s="811"/>
      <c r="E1618" s="1276">
        <f>[11]building!Y1949</f>
        <v>0</v>
      </c>
      <c r="F1618" s="748">
        <f t="shared" si="264"/>
        <v>0</v>
      </c>
      <c r="G1618" s="1205"/>
      <c r="H1618" s="1055"/>
      <c r="I1618" s="1055"/>
      <c r="J1618" s="1055"/>
      <c r="K1618" s="1205"/>
      <c r="L1618" s="1055"/>
      <c r="M1618" s="1205"/>
      <c r="N1618" s="1054"/>
      <c r="O1618" s="1207"/>
      <c r="Q1618" s="1207"/>
    </row>
    <row r="1619" spans="3:17" s="700" customFormat="1" ht="70.5" hidden="1" customHeight="1">
      <c r="C1619" s="701"/>
      <c r="D1619" s="811"/>
      <c r="E1619" s="1276">
        <f>[11]building!Y1950</f>
        <v>0</v>
      </c>
      <c r="F1619" s="748">
        <f t="shared" si="264"/>
        <v>0</v>
      </c>
      <c r="G1619" s="1205"/>
      <c r="H1619" s="1055"/>
      <c r="I1619" s="1055"/>
      <c r="J1619" s="1055"/>
      <c r="K1619" s="1205"/>
      <c r="L1619" s="1055"/>
      <c r="M1619" s="1205"/>
      <c r="N1619" s="1054"/>
      <c r="O1619" s="1207"/>
      <c r="Q1619" s="1207"/>
    </row>
    <row r="1620" spans="3:17" s="700" customFormat="1" ht="70.5" hidden="1" customHeight="1">
      <c r="C1620" s="701"/>
      <c r="D1620" s="811"/>
      <c r="E1620" s="1276">
        <f>[11]building!Y1951</f>
        <v>0</v>
      </c>
      <c r="F1620" s="748">
        <f t="shared" si="264"/>
        <v>0</v>
      </c>
      <c r="G1620" s="1205"/>
      <c r="H1620" s="1055"/>
      <c r="I1620" s="1055"/>
      <c r="J1620" s="1055"/>
      <c r="K1620" s="1205"/>
      <c r="L1620" s="1055"/>
      <c r="M1620" s="1205"/>
      <c r="N1620" s="1054"/>
      <c r="O1620" s="1207"/>
      <c r="Q1620" s="1207"/>
    </row>
    <row r="1621" spans="3:17" s="700" customFormat="1" ht="70.5" hidden="1" customHeight="1">
      <c r="C1621" s="701"/>
      <c r="D1621" s="811"/>
      <c r="E1621" s="1276">
        <f>[11]building!Y1952</f>
        <v>0</v>
      </c>
      <c r="F1621" s="748">
        <f t="shared" si="264"/>
        <v>0</v>
      </c>
      <c r="G1621" s="1205"/>
      <c r="H1621" s="1055"/>
      <c r="I1621" s="1055"/>
      <c r="J1621" s="1055"/>
      <c r="K1621" s="1205"/>
      <c r="L1621" s="1055"/>
      <c r="M1621" s="1205"/>
      <c r="N1621" s="1054"/>
      <c r="O1621" s="1207"/>
      <c r="Q1621" s="1207"/>
    </row>
    <row r="1622" spans="3:17" s="700" customFormat="1" ht="70.5" hidden="1" customHeight="1">
      <c r="C1622" s="701"/>
      <c r="D1622" s="811"/>
      <c r="E1622" s="1276">
        <f>[11]building!Y1953</f>
        <v>0</v>
      </c>
      <c r="F1622" s="748">
        <f t="shared" si="264"/>
        <v>0</v>
      </c>
      <c r="G1622" s="1205"/>
      <c r="H1622" s="1055"/>
      <c r="I1622" s="1055"/>
      <c r="J1622" s="1055"/>
      <c r="K1622" s="1205"/>
      <c r="L1622" s="1055"/>
      <c r="M1622" s="1205"/>
      <c r="N1622" s="1054"/>
      <c r="O1622" s="1207"/>
      <c r="Q1622" s="1207"/>
    </row>
    <row r="1623" spans="3:17" s="700" customFormat="1" ht="70.5" hidden="1" customHeight="1">
      <c r="C1623" s="701"/>
      <c r="D1623" s="811"/>
      <c r="E1623" s="1276">
        <f>[11]building!Y1954</f>
        <v>0</v>
      </c>
      <c r="F1623" s="748">
        <f t="shared" si="264"/>
        <v>0</v>
      </c>
      <c r="G1623" s="1205"/>
      <c r="H1623" s="1055"/>
      <c r="I1623" s="1055"/>
      <c r="J1623" s="1055"/>
      <c r="K1623" s="1205"/>
      <c r="L1623" s="1055"/>
      <c r="M1623" s="1205"/>
      <c r="N1623" s="1054"/>
      <c r="O1623" s="1207"/>
      <c r="Q1623" s="1207"/>
    </row>
    <row r="1624" spans="3:17" s="700" customFormat="1" ht="70.5" hidden="1" customHeight="1">
      <c r="C1624" s="701"/>
      <c r="D1624" s="811"/>
      <c r="E1624" s="1276">
        <f>[11]building!Y1955</f>
        <v>0</v>
      </c>
      <c r="F1624" s="748">
        <f t="shared" si="264"/>
        <v>0</v>
      </c>
      <c r="G1624" s="1205"/>
      <c r="H1624" s="1055"/>
      <c r="I1624" s="1055"/>
      <c r="J1624" s="1055"/>
      <c r="K1624" s="1205"/>
      <c r="L1624" s="1055"/>
      <c r="M1624" s="1205"/>
      <c r="N1624" s="1054"/>
      <c r="O1624" s="1207"/>
      <c r="Q1624" s="1207"/>
    </row>
    <row r="1625" spans="3:17" s="700" customFormat="1" ht="70.5" hidden="1" customHeight="1">
      <c r="C1625" s="701"/>
      <c r="D1625" s="811"/>
      <c r="E1625" s="1276">
        <f>[11]building!Y1956</f>
        <v>0</v>
      </c>
      <c r="F1625" s="748">
        <f t="shared" si="264"/>
        <v>0</v>
      </c>
      <c r="G1625" s="1205"/>
      <c r="H1625" s="1055"/>
      <c r="I1625" s="1055"/>
      <c r="J1625" s="1055"/>
      <c r="K1625" s="1205"/>
      <c r="L1625" s="1055"/>
      <c r="M1625" s="1205"/>
      <c r="N1625" s="1054"/>
      <c r="O1625" s="1207"/>
      <c r="Q1625" s="1207"/>
    </row>
    <row r="1626" spans="3:17" s="700" customFormat="1" ht="70.5" hidden="1" customHeight="1">
      <c r="C1626" s="701"/>
      <c r="D1626" s="811"/>
      <c r="E1626" s="1276">
        <f>[11]building!Y1957</f>
        <v>0</v>
      </c>
      <c r="F1626" s="748">
        <f t="shared" si="264"/>
        <v>0</v>
      </c>
      <c r="G1626" s="1205"/>
      <c r="H1626" s="1055"/>
      <c r="I1626" s="1055"/>
      <c r="J1626" s="1055"/>
      <c r="K1626" s="1205"/>
      <c r="L1626" s="1055"/>
      <c r="M1626" s="1205"/>
      <c r="N1626" s="1054"/>
      <c r="O1626" s="1207"/>
      <c r="Q1626" s="1207"/>
    </row>
    <row r="1627" spans="3:17" s="700" customFormat="1" ht="70.5" hidden="1" customHeight="1">
      <c r="C1627" s="701"/>
      <c r="D1627" s="811"/>
      <c r="E1627" s="1276">
        <f>[11]building!Y1958</f>
        <v>0</v>
      </c>
      <c r="F1627" s="748">
        <f t="shared" si="264"/>
        <v>0</v>
      </c>
      <c r="G1627" s="1205"/>
      <c r="H1627" s="1055"/>
      <c r="I1627" s="1055"/>
      <c r="J1627" s="1055"/>
      <c r="K1627" s="1205"/>
      <c r="L1627" s="1055"/>
      <c r="M1627" s="1205"/>
      <c r="N1627" s="1054"/>
      <c r="O1627" s="1207"/>
      <c r="Q1627" s="1207"/>
    </row>
    <row r="1628" spans="3:17" s="700" customFormat="1" ht="70.5" hidden="1" customHeight="1">
      <c r="C1628" s="701"/>
      <c r="D1628" s="811"/>
      <c r="E1628" s="1276">
        <f>[11]building!Y1959</f>
        <v>0</v>
      </c>
      <c r="F1628" s="748">
        <f t="shared" si="264"/>
        <v>0</v>
      </c>
      <c r="G1628" s="1205"/>
      <c r="H1628" s="1055"/>
      <c r="I1628" s="1055"/>
      <c r="J1628" s="1055"/>
      <c r="K1628" s="1205"/>
      <c r="L1628" s="1055"/>
      <c r="M1628" s="1205"/>
      <c r="N1628" s="1054"/>
      <c r="O1628" s="1207"/>
      <c r="Q1628" s="1207"/>
    </row>
    <row r="1629" spans="3:17" s="700" customFormat="1" ht="70.5" hidden="1" customHeight="1">
      <c r="C1629" s="701"/>
      <c r="D1629" s="811"/>
      <c r="E1629" s="1276">
        <f>[11]building!Y1960</f>
        <v>0</v>
      </c>
      <c r="F1629" s="748">
        <f t="shared" si="264"/>
        <v>0</v>
      </c>
      <c r="G1629" s="1205"/>
      <c r="H1629" s="1055"/>
      <c r="I1629" s="1055"/>
      <c r="J1629" s="1055"/>
      <c r="K1629" s="1205"/>
      <c r="L1629" s="1055"/>
      <c r="M1629" s="1205"/>
      <c r="N1629" s="1054"/>
      <c r="O1629" s="1207"/>
      <c r="Q1629" s="1207"/>
    </row>
    <row r="1630" spans="3:17" s="700" customFormat="1" ht="70.5" hidden="1" customHeight="1">
      <c r="C1630" s="701"/>
      <c r="D1630" s="811"/>
      <c r="E1630" s="1276">
        <f>[11]building!Y1961</f>
        <v>0</v>
      </c>
      <c r="F1630" s="748">
        <f t="shared" si="264"/>
        <v>0</v>
      </c>
      <c r="G1630" s="1205"/>
      <c r="H1630" s="1055"/>
      <c r="I1630" s="1055"/>
      <c r="J1630" s="1055"/>
      <c r="K1630" s="1205"/>
      <c r="L1630" s="1055"/>
      <c r="M1630" s="1205"/>
      <c r="N1630" s="1054"/>
      <c r="O1630" s="1207"/>
      <c r="Q1630" s="1207"/>
    </row>
    <row r="1631" spans="3:17" s="700" customFormat="1" ht="70.5" hidden="1" customHeight="1">
      <c r="C1631" s="701"/>
      <c r="D1631" s="811"/>
      <c r="E1631" s="1276">
        <f>[11]building!Y1962</f>
        <v>0</v>
      </c>
      <c r="F1631" s="748">
        <f t="shared" si="264"/>
        <v>0</v>
      </c>
      <c r="G1631" s="1205"/>
      <c r="H1631" s="1055"/>
      <c r="I1631" s="1055"/>
      <c r="J1631" s="1055"/>
      <c r="K1631" s="1205"/>
      <c r="L1631" s="1055"/>
      <c r="M1631" s="1205"/>
      <c r="N1631" s="1054"/>
      <c r="O1631" s="1207"/>
      <c r="Q1631" s="1207"/>
    </row>
    <row r="1632" spans="3:17" s="700" customFormat="1" ht="70.5" hidden="1" customHeight="1">
      <c r="C1632" s="701"/>
      <c r="D1632" s="811"/>
      <c r="E1632" s="1276">
        <f>[11]building!Y1963</f>
        <v>0</v>
      </c>
      <c r="F1632" s="748">
        <f t="shared" si="264"/>
        <v>0</v>
      </c>
      <c r="G1632" s="1205"/>
      <c r="H1632" s="1055"/>
      <c r="I1632" s="1055"/>
      <c r="J1632" s="1055"/>
      <c r="K1632" s="1205"/>
      <c r="L1632" s="1055"/>
      <c r="M1632" s="1205"/>
      <c r="N1632" s="1054"/>
      <c r="O1632" s="1207"/>
      <c r="Q1632" s="1207"/>
    </row>
    <row r="1633" spans="3:17" s="700" customFormat="1" ht="70.5" hidden="1" customHeight="1">
      <c r="C1633" s="701"/>
      <c r="D1633" s="811"/>
      <c r="E1633" s="1276">
        <f>[11]building!Y1964</f>
        <v>0</v>
      </c>
      <c r="F1633" s="748">
        <f t="shared" si="264"/>
        <v>0</v>
      </c>
      <c r="G1633" s="1205"/>
      <c r="H1633" s="1055"/>
      <c r="I1633" s="1055"/>
      <c r="J1633" s="1055"/>
      <c r="K1633" s="1205"/>
      <c r="L1633" s="1055"/>
      <c r="M1633" s="1205"/>
      <c r="N1633" s="1054"/>
      <c r="O1633" s="1207"/>
      <c r="Q1633" s="1207"/>
    </row>
    <row r="1634" spans="3:17" s="700" customFormat="1" ht="70.5" hidden="1" customHeight="1">
      <c r="C1634" s="701"/>
      <c r="D1634" s="811"/>
      <c r="E1634" s="1276">
        <f>[11]building!Y1965</f>
        <v>0</v>
      </c>
      <c r="F1634" s="748">
        <f t="shared" si="264"/>
        <v>0</v>
      </c>
      <c r="G1634" s="1205"/>
      <c r="H1634" s="1055"/>
      <c r="I1634" s="1055"/>
      <c r="J1634" s="1055"/>
      <c r="K1634" s="1205"/>
      <c r="L1634" s="1055"/>
      <c r="M1634" s="1205"/>
      <c r="N1634" s="1054"/>
      <c r="O1634" s="1207"/>
      <c r="Q1634" s="1207"/>
    </row>
    <row r="1635" spans="3:17" s="700" customFormat="1" ht="70.5" hidden="1" customHeight="1">
      <c r="C1635" s="701"/>
      <c r="D1635" s="811"/>
      <c r="E1635" s="1276">
        <f>[11]building!Y1966</f>
        <v>0</v>
      </c>
      <c r="F1635" s="748">
        <f t="shared" si="264"/>
        <v>0</v>
      </c>
      <c r="G1635" s="1205"/>
      <c r="H1635" s="1055"/>
      <c r="I1635" s="1055"/>
      <c r="J1635" s="1055"/>
      <c r="K1635" s="1205"/>
      <c r="L1635" s="1055"/>
      <c r="M1635" s="1205"/>
      <c r="N1635" s="1054"/>
      <c r="O1635" s="1207"/>
      <c r="Q1635" s="1207"/>
    </row>
    <row r="1636" spans="3:17" s="700" customFormat="1" ht="70.5" hidden="1" customHeight="1">
      <c r="C1636" s="701"/>
      <c r="D1636" s="811"/>
      <c r="E1636" s="1276">
        <f>[11]building!Y1967</f>
        <v>0</v>
      </c>
      <c r="F1636" s="748">
        <f t="shared" si="264"/>
        <v>0</v>
      </c>
      <c r="G1636" s="1205"/>
      <c r="H1636" s="1055"/>
      <c r="I1636" s="1055"/>
      <c r="J1636" s="1055"/>
      <c r="K1636" s="1205"/>
      <c r="L1636" s="1055"/>
      <c r="M1636" s="1205"/>
      <c r="N1636" s="1054"/>
      <c r="O1636" s="1207"/>
      <c r="Q1636" s="1207"/>
    </row>
    <row r="1637" spans="3:17" s="700" customFormat="1" ht="70.5" hidden="1" customHeight="1">
      <c r="C1637" s="701"/>
      <c r="D1637" s="811"/>
      <c r="E1637" s="1276">
        <f>[11]building!Y1968</f>
        <v>0</v>
      </c>
      <c r="F1637" s="748">
        <f t="shared" si="264"/>
        <v>0</v>
      </c>
      <c r="G1637" s="1205"/>
      <c r="H1637" s="1055"/>
      <c r="I1637" s="1055"/>
      <c r="J1637" s="1055"/>
      <c r="K1637" s="1205"/>
      <c r="L1637" s="1055"/>
      <c r="M1637" s="1205"/>
      <c r="N1637" s="1054"/>
      <c r="O1637" s="1207"/>
      <c r="Q1637" s="1207"/>
    </row>
    <row r="1638" spans="3:17" s="700" customFormat="1" ht="70.5" hidden="1" customHeight="1">
      <c r="C1638" s="701"/>
      <c r="D1638" s="811"/>
      <c r="E1638" s="1276">
        <f>[11]building!Y1969</f>
        <v>0</v>
      </c>
      <c r="F1638" s="748">
        <f t="shared" si="264"/>
        <v>0</v>
      </c>
      <c r="G1638" s="1205"/>
      <c r="H1638" s="1055"/>
      <c r="I1638" s="1055"/>
      <c r="J1638" s="1055"/>
      <c r="K1638" s="1205"/>
      <c r="L1638" s="1055"/>
      <c r="M1638" s="1205"/>
      <c r="N1638" s="1054"/>
      <c r="O1638" s="1207"/>
      <c r="Q1638" s="1207"/>
    </row>
    <row r="1639" spans="3:17" s="700" customFormat="1" ht="70.5" hidden="1" customHeight="1">
      <c r="C1639" s="701"/>
      <c r="D1639" s="811"/>
      <c r="E1639" s="1276">
        <f>[11]building!Y1970</f>
        <v>0</v>
      </c>
      <c r="F1639" s="748">
        <f t="shared" si="264"/>
        <v>0</v>
      </c>
      <c r="G1639" s="1205"/>
      <c r="H1639" s="1055"/>
      <c r="I1639" s="1055"/>
      <c r="J1639" s="1055"/>
      <c r="K1639" s="1205"/>
      <c r="L1639" s="1055"/>
      <c r="M1639" s="1205"/>
      <c r="N1639" s="1054"/>
      <c r="O1639" s="1207"/>
      <c r="Q1639" s="1207"/>
    </row>
    <row r="1640" spans="3:17" s="700" customFormat="1" ht="70.5" hidden="1" customHeight="1">
      <c r="C1640" s="701"/>
      <c r="D1640" s="811"/>
      <c r="E1640" s="1276">
        <f>[11]building!Y1971</f>
        <v>0</v>
      </c>
      <c r="F1640" s="748">
        <f t="shared" si="264"/>
        <v>0</v>
      </c>
      <c r="G1640" s="1205"/>
      <c r="H1640" s="1055"/>
      <c r="I1640" s="1055"/>
      <c r="J1640" s="1055"/>
      <c r="K1640" s="1205"/>
      <c r="L1640" s="1055"/>
      <c r="M1640" s="1205"/>
      <c r="N1640" s="1054"/>
      <c r="O1640" s="1207"/>
      <c r="Q1640" s="1207"/>
    </row>
    <row r="1641" spans="3:17" s="700" customFormat="1" ht="70.5" hidden="1" customHeight="1">
      <c r="C1641" s="701"/>
      <c r="D1641" s="811"/>
      <c r="E1641" s="1276">
        <f>[11]building!Y1972</f>
        <v>0</v>
      </c>
      <c r="F1641" s="748">
        <f t="shared" si="264"/>
        <v>0</v>
      </c>
      <c r="G1641" s="1205"/>
      <c r="H1641" s="1055"/>
      <c r="I1641" s="1055"/>
      <c r="J1641" s="1055"/>
      <c r="K1641" s="1205"/>
      <c r="L1641" s="1055"/>
      <c r="M1641" s="1205"/>
      <c r="N1641" s="1054"/>
      <c r="O1641" s="1207"/>
      <c r="Q1641" s="1207"/>
    </row>
    <row r="1642" spans="3:17" s="700" customFormat="1" ht="70.5" hidden="1" customHeight="1">
      <c r="C1642" s="701"/>
      <c r="D1642" s="811"/>
      <c r="E1642" s="1276">
        <f>[11]building!Y1973</f>
        <v>0</v>
      </c>
      <c r="F1642" s="748">
        <f t="shared" si="264"/>
        <v>0</v>
      </c>
      <c r="G1642" s="1205"/>
      <c r="H1642" s="1055"/>
      <c r="I1642" s="1055"/>
      <c r="J1642" s="1055"/>
      <c r="K1642" s="1205"/>
      <c r="L1642" s="1055"/>
      <c r="M1642" s="1205"/>
      <c r="N1642" s="1054"/>
      <c r="O1642" s="1207"/>
      <c r="Q1642" s="1207"/>
    </row>
    <row r="1643" spans="3:17" s="700" customFormat="1" ht="70.5" hidden="1" customHeight="1">
      <c r="C1643" s="701"/>
      <c r="D1643" s="811"/>
      <c r="E1643" s="1276">
        <f>[11]building!Y1974</f>
        <v>0</v>
      </c>
      <c r="F1643" s="748">
        <f t="shared" si="264"/>
        <v>0</v>
      </c>
      <c r="G1643" s="1205"/>
      <c r="H1643" s="1055"/>
      <c r="I1643" s="1055"/>
      <c r="J1643" s="1055"/>
      <c r="K1643" s="1205"/>
      <c r="L1643" s="1055"/>
      <c r="M1643" s="1205"/>
      <c r="N1643" s="1054"/>
      <c r="O1643" s="1207"/>
      <c r="Q1643" s="1207"/>
    </row>
    <row r="1644" spans="3:17" s="700" customFormat="1" ht="70.5" hidden="1" customHeight="1">
      <c r="C1644" s="701"/>
      <c r="D1644" s="811"/>
      <c r="E1644" s="1276">
        <f>[11]building!Y1975</f>
        <v>0</v>
      </c>
      <c r="F1644" s="748">
        <f t="shared" si="264"/>
        <v>0</v>
      </c>
      <c r="G1644" s="1205"/>
      <c r="H1644" s="1055"/>
      <c r="I1644" s="1055"/>
      <c r="J1644" s="1055"/>
      <c r="K1644" s="1205"/>
      <c r="L1644" s="1055"/>
      <c r="M1644" s="1205"/>
      <c r="N1644" s="1054"/>
      <c r="O1644" s="1207"/>
      <c r="Q1644" s="1207"/>
    </row>
    <row r="1645" spans="3:17" s="700" customFormat="1" ht="70.5" hidden="1" customHeight="1">
      <c r="C1645" s="701"/>
      <c r="D1645" s="811"/>
      <c r="E1645" s="1276">
        <f>[11]building!Y1976</f>
        <v>0</v>
      </c>
      <c r="F1645" s="748">
        <f t="shared" si="264"/>
        <v>0</v>
      </c>
      <c r="G1645" s="1205"/>
      <c r="H1645" s="1055"/>
      <c r="I1645" s="1055"/>
      <c r="J1645" s="1055"/>
      <c r="K1645" s="1205"/>
      <c r="L1645" s="1055"/>
      <c r="M1645" s="1205"/>
      <c r="N1645" s="1054"/>
      <c r="O1645" s="1207"/>
      <c r="Q1645" s="1207"/>
    </row>
    <row r="1646" spans="3:17" s="700" customFormat="1" ht="70.5" hidden="1" customHeight="1">
      <c r="C1646" s="701"/>
      <c r="D1646" s="811"/>
      <c r="E1646" s="1276">
        <f>[11]building!Y1977</f>
        <v>0</v>
      </c>
      <c r="F1646" s="748">
        <f t="shared" si="264"/>
        <v>0</v>
      </c>
      <c r="G1646" s="1205"/>
      <c r="H1646" s="1055"/>
      <c r="I1646" s="1055"/>
      <c r="J1646" s="1055"/>
      <c r="K1646" s="1205"/>
      <c r="L1646" s="1055"/>
      <c r="M1646" s="1205"/>
      <c r="N1646" s="1054"/>
      <c r="O1646" s="1207"/>
      <c r="Q1646" s="1207"/>
    </row>
    <row r="1647" spans="3:17" s="700" customFormat="1" ht="70.5" hidden="1" customHeight="1">
      <c r="C1647" s="701"/>
      <c r="D1647" s="811"/>
      <c r="E1647" s="1276">
        <f>[11]building!Y1978</f>
        <v>0</v>
      </c>
      <c r="F1647" s="748">
        <f t="shared" si="264"/>
        <v>0</v>
      </c>
      <c r="G1647" s="1205"/>
      <c r="H1647" s="1055"/>
      <c r="I1647" s="1055"/>
      <c r="J1647" s="1055"/>
      <c r="K1647" s="1205"/>
      <c r="L1647" s="1055"/>
      <c r="M1647" s="1205"/>
      <c r="N1647" s="1054"/>
      <c r="O1647" s="1207"/>
      <c r="Q1647" s="1207"/>
    </row>
    <row r="1648" spans="3:17" s="700" customFormat="1" ht="70.5" hidden="1" customHeight="1">
      <c r="C1648" s="701"/>
      <c r="D1648" s="811"/>
      <c r="E1648" s="1276">
        <f>[11]building!Y1979</f>
        <v>0</v>
      </c>
      <c r="F1648" s="748">
        <f t="shared" si="264"/>
        <v>0</v>
      </c>
      <c r="G1648" s="1205"/>
      <c r="H1648" s="1055"/>
      <c r="I1648" s="1055"/>
      <c r="J1648" s="1055"/>
      <c r="K1648" s="1205"/>
      <c r="L1648" s="1055"/>
      <c r="M1648" s="1205"/>
      <c r="N1648" s="1054"/>
      <c r="O1648" s="1207"/>
      <c r="Q1648" s="1207"/>
    </row>
    <row r="1649" spans="3:17" s="700" customFormat="1" ht="70.5" hidden="1" customHeight="1">
      <c r="C1649" s="701"/>
      <c r="D1649" s="811"/>
      <c r="E1649" s="1276">
        <f>[11]building!Y1980</f>
        <v>0</v>
      </c>
      <c r="F1649" s="748">
        <f t="shared" si="264"/>
        <v>0</v>
      </c>
      <c r="G1649" s="1205"/>
      <c r="H1649" s="1055"/>
      <c r="I1649" s="1055"/>
      <c r="J1649" s="1055"/>
      <c r="K1649" s="1205"/>
      <c r="L1649" s="1055"/>
      <c r="M1649" s="1205"/>
      <c r="N1649" s="1054"/>
      <c r="O1649" s="1207"/>
      <c r="Q1649" s="1207"/>
    </row>
    <row r="1650" spans="3:17" s="700" customFormat="1" ht="70.5" hidden="1" customHeight="1">
      <c r="C1650" s="701"/>
      <c r="D1650" s="811"/>
      <c r="E1650" s="1276">
        <f>[11]building!Y1981</f>
        <v>0</v>
      </c>
      <c r="F1650" s="748">
        <f t="shared" si="264"/>
        <v>0</v>
      </c>
      <c r="G1650" s="1205"/>
      <c r="H1650" s="1055"/>
      <c r="I1650" s="1055"/>
      <c r="J1650" s="1055"/>
      <c r="K1650" s="1205"/>
      <c r="L1650" s="1055"/>
      <c r="M1650" s="1205"/>
      <c r="N1650" s="1054"/>
      <c r="O1650" s="1207"/>
      <c r="Q1650" s="1207"/>
    </row>
    <row r="1651" spans="3:17" s="700" customFormat="1" ht="70.5" hidden="1" customHeight="1">
      <c r="C1651" s="701"/>
      <c r="D1651" s="811"/>
      <c r="E1651" s="1276">
        <f>[11]building!Y1982</f>
        <v>0</v>
      </c>
      <c r="F1651" s="748">
        <f t="shared" si="264"/>
        <v>0</v>
      </c>
      <c r="G1651" s="1205"/>
      <c r="H1651" s="1055"/>
      <c r="I1651" s="1055"/>
      <c r="J1651" s="1055"/>
      <c r="K1651" s="1205"/>
      <c r="L1651" s="1055"/>
      <c r="M1651" s="1205"/>
      <c r="N1651" s="1054"/>
      <c r="O1651" s="1207"/>
      <c r="Q1651" s="1207"/>
    </row>
    <row r="1652" spans="3:17" s="700" customFormat="1" ht="70.5" hidden="1" customHeight="1">
      <c r="C1652" s="701"/>
      <c r="D1652" s="811"/>
      <c r="E1652" s="1276">
        <f>[11]building!Y1983</f>
        <v>0</v>
      </c>
      <c r="F1652" s="748">
        <f t="shared" si="264"/>
        <v>0</v>
      </c>
      <c r="G1652" s="1205"/>
      <c r="H1652" s="1055"/>
      <c r="I1652" s="1055"/>
      <c r="J1652" s="1055"/>
      <c r="K1652" s="1205"/>
      <c r="L1652" s="1055"/>
      <c r="M1652" s="1205"/>
      <c r="N1652" s="1054"/>
      <c r="O1652" s="1207"/>
      <c r="Q1652" s="1207"/>
    </row>
    <row r="1653" spans="3:17" s="700" customFormat="1" ht="70.5" hidden="1" customHeight="1">
      <c r="C1653" s="701"/>
      <c r="D1653" s="811"/>
      <c r="E1653" s="1276">
        <f>[11]building!Y1984</f>
        <v>0</v>
      </c>
      <c r="F1653" s="748">
        <f t="shared" si="264"/>
        <v>0</v>
      </c>
      <c r="G1653" s="1205"/>
      <c r="H1653" s="1055"/>
      <c r="I1653" s="1055"/>
      <c r="J1653" s="1055"/>
      <c r="K1653" s="1205"/>
      <c r="L1653" s="1055"/>
      <c r="M1653" s="1205"/>
      <c r="N1653" s="1054"/>
      <c r="O1653" s="1207"/>
      <c r="Q1653" s="1207"/>
    </row>
    <row r="1654" spans="3:17" s="700" customFormat="1" ht="70.5" hidden="1" customHeight="1">
      <c r="C1654" s="701"/>
      <c r="D1654" s="811"/>
      <c r="E1654" s="1276">
        <f>[11]building!Y1985</f>
        <v>0</v>
      </c>
      <c r="F1654" s="748">
        <f t="shared" si="264"/>
        <v>0</v>
      </c>
      <c r="G1654" s="1205"/>
      <c r="H1654" s="1055"/>
      <c r="I1654" s="1055"/>
      <c r="J1654" s="1055"/>
      <c r="K1654" s="1205"/>
      <c r="L1654" s="1055"/>
      <c r="M1654" s="1205"/>
      <c r="N1654" s="1054"/>
      <c r="O1654" s="1207"/>
      <c r="Q1654" s="1207"/>
    </row>
    <row r="1655" spans="3:17" s="700" customFormat="1" ht="70.5" hidden="1" customHeight="1">
      <c r="C1655" s="701"/>
      <c r="D1655" s="811"/>
      <c r="E1655" s="1276">
        <f>[11]building!Y1986</f>
        <v>0</v>
      </c>
      <c r="F1655" s="748">
        <f t="shared" si="264"/>
        <v>0</v>
      </c>
      <c r="G1655" s="1205"/>
      <c r="H1655" s="1055"/>
      <c r="I1655" s="1055"/>
      <c r="J1655" s="1055"/>
      <c r="K1655" s="1205"/>
      <c r="L1655" s="1055"/>
      <c r="M1655" s="1205"/>
      <c r="N1655" s="1054"/>
      <c r="O1655" s="1207"/>
      <c r="Q1655" s="1207"/>
    </row>
    <row r="1656" spans="3:17" s="700" customFormat="1" ht="70.5" hidden="1" customHeight="1">
      <c r="C1656" s="701"/>
      <c r="D1656" s="811"/>
      <c r="E1656" s="1276">
        <f>[11]building!Y1987</f>
        <v>0</v>
      </c>
      <c r="F1656" s="748">
        <f t="shared" si="264"/>
        <v>0</v>
      </c>
      <c r="G1656" s="1205"/>
      <c r="H1656" s="1055"/>
      <c r="I1656" s="1055"/>
      <c r="J1656" s="1055"/>
      <c r="K1656" s="1205"/>
      <c r="L1656" s="1055"/>
      <c r="M1656" s="1205"/>
      <c r="N1656" s="1054"/>
      <c r="O1656" s="1207"/>
      <c r="Q1656" s="1207"/>
    </row>
    <row r="1657" spans="3:17" s="700" customFormat="1" ht="70.5" hidden="1" customHeight="1">
      <c r="C1657" s="701"/>
      <c r="D1657" s="811"/>
      <c r="E1657" s="1276">
        <f>[11]building!Y1988</f>
        <v>0</v>
      </c>
      <c r="F1657" s="748">
        <f t="shared" si="264"/>
        <v>0</v>
      </c>
      <c r="G1657" s="1205"/>
      <c r="H1657" s="1055"/>
      <c r="I1657" s="1055"/>
      <c r="J1657" s="1055"/>
      <c r="K1657" s="1205"/>
      <c r="L1657" s="1055"/>
      <c r="M1657" s="1205"/>
      <c r="N1657" s="1054"/>
      <c r="O1657" s="1207"/>
      <c r="Q1657" s="1207"/>
    </row>
    <row r="1658" spans="3:17" s="700" customFormat="1" ht="70.5" hidden="1" customHeight="1">
      <c r="C1658" s="701"/>
      <c r="D1658" s="811"/>
      <c r="E1658" s="1276">
        <f>[11]building!Y1989</f>
        <v>0</v>
      </c>
      <c r="F1658" s="748">
        <f t="shared" si="264"/>
        <v>0</v>
      </c>
      <c r="G1658" s="1205"/>
      <c r="H1658" s="1055"/>
      <c r="I1658" s="1055"/>
      <c r="J1658" s="1055"/>
      <c r="K1658" s="1205"/>
      <c r="L1658" s="1055"/>
      <c r="M1658" s="1205"/>
      <c r="N1658" s="1054"/>
      <c r="O1658" s="1207"/>
      <c r="Q1658" s="1207"/>
    </row>
    <row r="1659" spans="3:17" s="700" customFormat="1" ht="70.5" hidden="1" customHeight="1">
      <c r="C1659" s="701"/>
      <c r="D1659" s="811"/>
      <c r="E1659" s="1276">
        <f>[11]building!Y1990</f>
        <v>0</v>
      </c>
      <c r="F1659" s="748">
        <f t="shared" si="264"/>
        <v>0</v>
      </c>
      <c r="G1659" s="1205"/>
      <c r="H1659" s="1055"/>
      <c r="I1659" s="1055"/>
      <c r="J1659" s="1055"/>
      <c r="K1659" s="1205"/>
      <c r="L1659" s="1055"/>
      <c r="M1659" s="1205"/>
      <c r="N1659" s="1054"/>
      <c r="O1659" s="1207"/>
      <c r="Q1659" s="1207"/>
    </row>
    <row r="1660" spans="3:17" s="700" customFormat="1" ht="70.5" hidden="1" customHeight="1">
      <c r="C1660" s="701"/>
      <c r="D1660" s="811"/>
      <c r="E1660" s="1276">
        <f>[11]building!Y1991</f>
        <v>0</v>
      </c>
      <c r="F1660" s="748">
        <f t="shared" si="264"/>
        <v>0</v>
      </c>
      <c r="G1660" s="1205"/>
      <c r="H1660" s="1055"/>
      <c r="I1660" s="1055"/>
      <c r="J1660" s="1055"/>
      <c r="K1660" s="1205"/>
      <c r="L1660" s="1055"/>
      <c r="M1660" s="1205"/>
      <c r="N1660" s="1054"/>
      <c r="O1660" s="1207"/>
      <c r="Q1660" s="1207"/>
    </row>
    <row r="1661" spans="3:17" s="700" customFormat="1" ht="70.5" hidden="1" customHeight="1">
      <c r="C1661" s="701"/>
      <c r="D1661" s="811"/>
      <c r="E1661" s="1276">
        <f>[11]building!Y1992</f>
        <v>0</v>
      </c>
      <c r="F1661" s="748">
        <f t="shared" si="264"/>
        <v>0</v>
      </c>
      <c r="G1661" s="1205"/>
      <c r="H1661" s="1055"/>
      <c r="I1661" s="1055"/>
      <c r="J1661" s="1055"/>
      <c r="K1661" s="1205"/>
      <c r="L1661" s="1055"/>
      <c r="M1661" s="1205"/>
      <c r="N1661" s="1054"/>
      <c r="O1661" s="1207"/>
      <c r="Q1661" s="1207"/>
    </row>
    <row r="1662" spans="3:17" s="700" customFormat="1" ht="70.5" hidden="1" customHeight="1">
      <c r="C1662" s="701"/>
      <c r="D1662" s="811"/>
      <c r="E1662" s="1276">
        <f>[11]building!Y1993</f>
        <v>0</v>
      </c>
      <c r="F1662" s="748">
        <f t="shared" si="264"/>
        <v>0</v>
      </c>
      <c r="G1662" s="1205"/>
      <c r="H1662" s="1055"/>
      <c r="I1662" s="1055"/>
      <c r="J1662" s="1055"/>
      <c r="K1662" s="1205"/>
      <c r="L1662" s="1055"/>
      <c r="M1662" s="1205"/>
      <c r="N1662" s="1054"/>
      <c r="O1662" s="1207"/>
      <c r="Q1662" s="1207"/>
    </row>
    <row r="1663" spans="3:17" s="700" customFormat="1" ht="70.5" hidden="1" customHeight="1">
      <c r="C1663" s="701"/>
      <c r="D1663" s="811"/>
      <c r="E1663" s="1276">
        <f>[11]building!Y1994</f>
        <v>0</v>
      </c>
      <c r="F1663" s="748">
        <f t="shared" si="264"/>
        <v>0</v>
      </c>
      <c r="G1663" s="1205"/>
      <c r="H1663" s="1055"/>
      <c r="I1663" s="1055"/>
      <c r="J1663" s="1055"/>
      <c r="K1663" s="1205"/>
      <c r="L1663" s="1055"/>
      <c r="M1663" s="1205"/>
      <c r="N1663" s="1054"/>
      <c r="O1663" s="1207"/>
      <c r="Q1663" s="1207"/>
    </row>
    <row r="1664" spans="3:17" s="700" customFormat="1" ht="70.5" hidden="1" customHeight="1">
      <c r="C1664" s="701"/>
      <c r="D1664" s="811"/>
      <c r="E1664" s="1276">
        <f>[11]building!Y1995</f>
        <v>0</v>
      </c>
      <c r="F1664" s="748">
        <f t="shared" ref="F1664:F1727" si="265">E1664*C1664</f>
        <v>0</v>
      </c>
      <c r="G1664" s="1205"/>
      <c r="H1664" s="1055"/>
      <c r="I1664" s="1055"/>
      <c r="J1664" s="1055"/>
      <c r="K1664" s="1205"/>
      <c r="L1664" s="1055"/>
      <c r="M1664" s="1205"/>
      <c r="N1664" s="1054"/>
      <c r="O1664" s="1207"/>
      <c r="Q1664" s="1207"/>
    </row>
    <row r="1665" spans="3:17" s="700" customFormat="1" ht="70.5" hidden="1" customHeight="1">
      <c r="C1665" s="701"/>
      <c r="D1665" s="811"/>
      <c r="E1665" s="1276">
        <f>[11]building!Y1996</f>
        <v>0</v>
      </c>
      <c r="F1665" s="748">
        <f t="shared" si="265"/>
        <v>0</v>
      </c>
      <c r="G1665" s="1205"/>
      <c r="H1665" s="1055"/>
      <c r="I1665" s="1055"/>
      <c r="J1665" s="1055"/>
      <c r="K1665" s="1205"/>
      <c r="L1665" s="1055"/>
      <c r="M1665" s="1205"/>
      <c r="N1665" s="1054"/>
      <c r="O1665" s="1207"/>
      <c r="Q1665" s="1207"/>
    </row>
    <row r="1666" spans="3:17" s="700" customFormat="1" ht="70.5" hidden="1" customHeight="1">
      <c r="C1666" s="701"/>
      <c r="D1666" s="811"/>
      <c r="E1666" s="1276">
        <f>[11]building!Y1997</f>
        <v>0</v>
      </c>
      <c r="F1666" s="748">
        <f t="shared" si="265"/>
        <v>0</v>
      </c>
      <c r="G1666" s="1205"/>
      <c r="H1666" s="1055"/>
      <c r="I1666" s="1055"/>
      <c r="J1666" s="1055"/>
      <c r="K1666" s="1205"/>
      <c r="L1666" s="1055"/>
      <c r="M1666" s="1205"/>
      <c r="N1666" s="1054"/>
      <c r="O1666" s="1207"/>
      <c r="Q1666" s="1207"/>
    </row>
    <row r="1667" spans="3:17" s="700" customFormat="1" ht="70.5" hidden="1" customHeight="1">
      <c r="C1667" s="701"/>
      <c r="D1667" s="811"/>
      <c r="E1667" s="1276">
        <f>[11]building!Y1998</f>
        <v>0</v>
      </c>
      <c r="F1667" s="748">
        <f t="shared" si="265"/>
        <v>0</v>
      </c>
      <c r="G1667" s="1205"/>
      <c r="H1667" s="1055"/>
      <c r="I1667" s="1055"/>
      <c r="J1667" s="1055"/>
      <c r="K1667" s="1205"/>
      <c r="L1667" s="1055"/>
      <c r="M1667" s="1205"/>
      <c r="N1667" s="1054"/>
      <c r="O1667" s="1207"/>
      <c r="Q1667" s="1207"/>
    </row>
    <row r="1668" spans="3:17" s="700" customFormat="1" ht="70.5" hidden="1" customHeight="1">
      <c r="C1668" s="701"/>
      <c r="D1668" s="811"/>
      <c r="E1668" s="1276">
        <f>[11]building!Y1999</f>
        <v>0</v>
      </c>
      <c r="F1668" s="748">
        <f t="shared" si="265"/>
        <v>0</v>
      </c>
      <c r="G1668" s="1205"/>
      <c r="H1668" s="1055"/>
      <c r="I1668" s="1055"/>
      <c r="J1668" s="1055"/>
      <c r="K1668" s="1205"/>
      <c r="L1668" s="1055"/>
      <c r="M1668" s="1205"/>
      <c r="N1668" s="1054"/>
      <c r="O1668" s="1207"/>
      <c r="Q1668" s="1207"/>
    </row>
    <row r="1669" spans="3:17" s="700" customFormat="1" ht="70.5" hidden="1" customHeight="1">
      <c r="C1669" s="701"/>
      <c r="D1669" s="811"/>
      <c r="E1669" s="1276">
        <f>[11]building!Y2000</f>
        <v>0</v>
      </c>
      <c r="F1669" s="748">
        <f t="shared" si="265"/>
        <v>0</v>
      </c>
      <c r="G1669" s="1205"/>
      <c r="H1669" s="1055"/>
      <c r="I1669" s="1055"/>
      <c r="J1669" s="1055"/>
      <c r="K1669" s="1205"/>
      <c r="L1669" s="1055"/>
      <c r="M1669" s="1205"/>
      <c r="N1669" s="1054"/>
      <c r="O1669" s="1207"/>
      <c r="Q1669" s="1207"/>
    </row>
    <row r="1670" spans="3:17" s="700" customFormat="1" ht="70.5" hidden="1" customHeight="1">
      <c r="C1670" s="701"/>
      <c r="D1670" s="811"/>
      <c r="E1670" s="1276">
        <f>[11]building!Y2001</f>
        <v>0</v>
      </c>
      <c r="F1670" s="748">
        <f t="shared" si="265"/>
        <v>0</v>
      </c>
      <c r="G1670" s="1205"/>
      <c r="H1670" s="1055"/>
      <c r="I1670" s="1055"/>
      <c r="J1670" s="1055"/>
      <c r="K1670" s="1205"/>
      <c r="L1670" s="1055"/>
      <c r="M1670" s="1205"/>
      <c r="N1670" s="1054"/>
      <c r="O1670" s="1207"/>
      <c r="Q1670" s="1207"/>
    </row>
    <row r="1671" spans="3:17" s="700" customFormat="1" ht="70.5" hidden="1" customHeight="1">
      <c r="C1671" s="701"/>
      <c r="D1671" s="811"/>
      <c r="E1671" s="1276">
        <f>[11]building!Y2002</f>
        <v>0</v>
      </c>
      <c r="F1671" s="748">
        <f t="shared" si="265"/>
        <v>0</v>
      </c>
      <c r="G1671" s="1205"/>
      <c r="H1671" s="1055"/>
      <c r="I1671" s="1055"/>
      <c r="J1671" s="1055"/>
      <c r="K1671" s="1205"/>
      <c r="L1671" s="1055"/>
      <c r="M1671" s="1205"/>
      <c r="N1671" s="1054"/>
      <c r="O1671" s="1207"/>
      <c r="Q1671" s="1207"/>
    </row>
    <row r="1672" spans="3:17" s="700" customFormat="1" ht="70.5" hidden="1" customHeight="1">
      <c r="C1672" s="701"/>
      <c r="D1672" s="811"/>
      <c r="E1672" s="1276">
        <f>[11]building!Y2003</f>
        <v>0</v>
      </c>
      <c r="F1672" s="748">
        <f t="shared" si="265"/>
        <v>0</v>
      </c>
      <c r="G1672" s="1205"/>
      <c r="H1672" s="1055"/>
      <c r="I1672" s="1055"/>
      <c r="J1672" s="1055"/>
      <c r="K1672" s="1205"/>
      <c r="L1672" s="1055"/>
      <c r="M1672" s="1205"/>
      <c r="N1672" s="1054"/>
      <c r="O1672" s="1207"/>
      <c r="Q1672" s="1207"/>
    </row>
    <row r="1673" spans="3:17" s="700" customFormat="1" ht="70.5" hidden="1" customHeight="1">
      <c r="C1673" s="701"/>
      <c r="D1673" s="811"/>
      <c r="E1673" s="1276">
        <f>[11]building!Y2004</f>
        <v>0</v>
      </c>
      <c r="F1673" s="748">
        <f t="shared" si="265"/>
        <v>0</v>
      </c>
      <c r="G1673" s="1205"/>
      <c r="H1673" s="1055"/>
      <c r="I1673" s="1055"/>
      <c r="J1673" s="1055"/>
      <c r="K1673" s="1205"/>
      <c r="L1673" s="1055"/>
      <c r="M1673" s="1205"/>
      <c r="N1673" s="1054"/>
      <c r="O1673" s="1207"/>
      <c r="Q1673" s="1207"/>
    </row>
    <row r="1674" spans="3:17" s="700" customFormat="1" ht="70.5" hidden="1" customHeight="1">
      <c r="C1674" s="701"/>
      <c r="D1674" s="811"/>
      <c r="E1674" s="1276">
        <f>[11]building!Y2005</f>
        <v>0</v>
      </c>
      <c r="F1674" s="748">
        <f t="shared" si="265"/>
        <v>0</v>
      </c>
      <c r="G1674" s="1205"/>
      <c r="H1674" s="1055"/>
      <c r="I1674" s="1055"/>
      <c r="J1674" s="1055"/>
      <c r="K1674" s="1205"/>
      <c r="L1674" s="1055"/>
      <c r="M1674" s="1205"/>
      <c r="N1674" s="1054"/>
      <c r="O1674" s="1207"/>
      <c r="Q1674" s="1207"/>
    </row>
    <row r="1675" spans="3:17" s="700" customFormat="1" ht="70.5" hidden="1" customHeight="1">
      <c r="C1675" s="701"/>
      <c r="D1675" s="811"/>
      <c r="E1675" s="1276">
        <f>[11]building!Y2006</f>
        <v>0</v>
      </c>
      <c r="F1675" s="748">
        <f t="shared" si="265"/>
        <v>0</v>
      </c>
      <c r="G1675" s="1205"/>
      <c r="H1675" s="1055"/>
      <c r="I1675" s="1055"/>
      <c r="J1675" s="1055"/>
      <c r="K1675" s="1205"/>
      <c r="L1675" s="1055"/>
      <c r="M1675" s="1205"/>
      <c r="N1675" s="1054"/>
      <c r="O1675" s="1207"/>
      <c r="Q1675" s="1207"/>
    </row>
    <row r="1676" spans="3:17" s="700" customFormat="1" ht="70.5" hidden="1" customHeight="1">
      <c r="C1676" s="701"/>
      <c r="D1676" s="811"/>
      <c r="E1676" s="1276">
        <f>[11]building!Y2007</f>
        <v>0</v>
      </c>
      <c r="F1676" s="748">
        <f t="shared" si="265"/>
        <v>0</v>
      </c>
      <c r="G1676" s="1205"/>
      <c r="H1676" s="1055"/>
      <c r="I1676" s="1055"/>
      <c r="J1676" s="1055"/>
      <c r="K1676" s="1205"/>
      <c r="L1676" s="1055"/>
      <c r="M1676" s="1205"/>
      <c r="N1676" s="1054"/>
      <c r="O1676" s="1207"/>
      <c r="Q1676" s="1207"/>
    </row>
    <row r="1677" spans="3:17" s="700" customFormat="1" ht="70.5" hidden="1" customHeight="1">
      <c r="C1677" s="701"/>
      <c r="D1677" s="811"/>
      <c r="E1677" s="1276">
        <f>[11]building!Y2008</f>
        <v>0</v>
      </c>
      <c r="F1677" s="748">
        <f t="shared" si="265"/>
        <v>0</v>
      </c>
      <c r="G1677" s="1205"/>
      <c r="H1677" s="1055"/>
      <c r="I1677" s="1055"/>
      <c r="J1677" s="1055"/>
      <c r="K1677" s="1205"/>
      <c r="L1677" s="1055"/>
      <c r="M1677" s="1205"/>
      <c r="N1677" s="1054"/>
      <c r="O1677" s="1207"/>
      <c r="Q1677" s="1207"/>
    </row>
    <row r="1678" spans="3:17" s="700" customFormat="1" ht="70.5" hidden="1" customHeight="1">
      <c r="C1678" s="701"/>
      <c r="D1678" s="811"/>
      <c r="E1678" s="1276">
        <f>[11]building!Y2009</f>
        <v>0</v>
      </c>
      <c r="F1678" s="748">
        <f t="shared" si="265"/>
        <v>0</v>
      </c>
      <c r="G1678" s="1205"/>
      <c r="H1678" s="1055"/>
      <c r="I1678" s="1055"/>
      <c r="J1678" s="1055"/>
      <c r="K1678" s="1205"/>
      <c r="L1678" s="1055"/>
      <c r="M1678" s="1205"/>
      <c r="N1678" s="1054"/>
      <c r="O1678" s="1207"/>
      <c r="Q1678" s="1207"/>
    </row>
    <row r="1679" spans="3:17" s="700" customFormat="1" ht="70.5" hidden="1" customHeight="1">
      <c r="C1679" s="701"/>
      <c r="D1679" s="811"/>
      <c r="E1679" s="1276">
        <f>[11]building!Y2010</f>
        <v>0</v>
      </c>
      <c r="F1679" s="748">
        <f t="shared" si="265"/>
        <v>0</v>
      </c>
      <c r="G1679" s="1205"/>
      <c r="H1679" s="1055"/>
      <c r="I1679" s="1055"/>
      <c r="J1679" s="1055"/>
      <c r="K1679" s="1205"/>
      <c r="L1679" s="1055"/>
      <c r="M1679" s="1205"/>
      <c r="N1679" s="1054"/>
      <c r="O1679" s="1207"/>
      <c r="Q1679" s="1207"/>
    </row>
    <row r="1680" spans="3:17" s="700" customFormat="1" ht="70.5" hidden="1" customHeight="1">
      <c r="C1680" s="701"/>
      <c r="D1680" s="811"/>
      <c r="E1680" s="1276">
        <f>[11]building!Y2011</f>
        <v>0</v>
      </c>
      <c r="F1680" s="748">
        <f t="shared" si="265"/>
        <v>0</v>
      </c>
      <c r="G1680" s="1205"/>
      <c r="H1680" s="1055"/>
      <c r="I1680" s="1055"/>
      <c r="J1680" s="1055"/>
      <c r="K1680" s="1205"/>
      <c r="L1680" s="1055"/>
      <c r="M1680" s="1205"/>
      <c r="N1680" s="1054"/>
      <c r="O1680" s="1207"/>
      <c r="Q1680" s="1207"/>
    </row>
    <row r="1681" spans="3:17" s="700" customFormat="1" ht="70.5" hidden="1" customHeight="1">
      <c r="C1681" s="701"/>
      <c r="D1681" s="811"/>
      <c r="E1681" s="1276">
        <f>[11]building!Y2012</f>
        <v>0</v>
      </c>
      <c r="F1681" s="748">
        <f t="shared" si="265"/>
        <v>0</v>
      </c>
      <c r="G1681" s="1205"/>
      <c r="H1681" s="1055"/>
      <c r="I1681" s="1055"/>
      <c r="J1681" s="1055"/>
      <c r="K1681" s="1205"/>
      <c r="L1681" s="1055"/>
      <c r="M1681" s="1205"/>
      <c r="N1681" s="1054"/>
      <c r="O1681" s="1207"/>
      <c r="Q1681" s="1207"/>
    </row>
    <row r="1682" spans="3:17" s="700" customFormat="1" ht="70.5" hidden="1" customHeight="1">
      <c r="C1682" s="701"/>
      <c r="D1682" s="811"/>
      <c r="E1682" s="1276">
        <f>[11]building!Y2013</f>
        <v>0</v>
      </c>
      <c r="F1682" s="748">
        <f t="shared" si="265"/>
        <v>0</v>
      </c>
      <c r="G1682" s="1205"/>
      <c r="H1682" s="1055"/>
      <c r="I1682" s="1055"/>
      <c r="J1682" s="1055"/>
      <c r="K1682" s="1205"/>
      <c r="L1682" s="1055"/>
      <c r="M1682" s="1205"/>
      <c r="N1682" s="1054"/>
      <c r="O1682" s="1207"/>
      <c r="Q1682" s="1207"/>
    </row>
    <row r="1683" spans="3:17" s="700" customFormat="1" ht="70.5" hidden="1" customHeight="1">
      <c r="C1683" s="701"/>
      <c r="D1683" s="811"/>
      <c r="E1683" s="1276">
        <f>[11]building!Y2014</f>
        <v>0</v>
      </c>
      <c r="F1683" s="748">
        <f t="shared" si="265"/>
        <v>0</v>
      </c>
      <c r="G1683" s="1205"/>
      <c r="H1683" s="1055"/>
      <c r="I1683" s="1055"/>
      <c r="J1683" s="1055"/>
      <c r="K1683" s="1205"/>
      <c r="L1683" s="1055"/>
      <c r="M1683" s="1205"/>
      <c r="N1683" s="1054"/>
      <c r="O1683" s="1207"/>
      <c r="Q1683" s="1207"/>
    </row>
    <row r="1684" spans="3:17" s="700" customFormat="1" ht="70.5" hidden="1" customHeight="1">
      <c r="C1684" s="701"/>
      <c r="D1684" s="811"/>
      <c r="E1684" s="1276">
        <f>[11]building!Y2015</f>
        <v>0</v>
      </c>
      <c r="F1684" s="748">
        <f t="shared" si="265"/>
        <v>0</v>
      </c>
      <c r="G1684" s="1205"/>
      <c r="H1684" s="1055"/>
      <c r="I1684" s="1055"/>
      <c r="J1684" s="1055"/>
      <c r="K1684" s="1205"/>
      <c r="L1684" s="1055"/>
      <c r="M1684" s="1205"/>
      <c r="N1684" s="1054"/>
      <c r="O1684" s="1207"/>
      <c r="Q1684" s="1207"/>
    </row>
    <row r="1685" spans="3:17" s="700" customFormat="1" ht="70.5" hidden="1" customHeight="1">
      <c r="C1685" s="701"/>
      <c r="D1685" s="811"/>
      <c r="E1685" s="1276">
        <f>[11]building!Y2016</f>
        <v>0</v>
      </c>
      <c r="F1685" s="748">
        <f t="shared" si="265"/>
        <v>0</v>
      </c>
      <c r="G1685" s="1205"/>
      <c r="H1685" s="1055"/>
      <c r="I1685" s="1055"/>
      <c r="J1685" s="1055"/>
      <c r="K1685" s="1205"/>
      <c r="L1685" s="1055"/>
      <c r="M1685" s="1205"/>
      <c r="N1685" s="1054"/>
      <c r="O1685" s="1207"/>
      <c r="Q1685" s="1207"/>
    </row>
    <row r="1686" spans="3:17" s="700" customFormat="1" ht="70.5" hidden="1" customHeight="1">
      <c r="C1686" s="701"/>
      <c r="D1686" s="811"/>
      <c r="E1686" s="1276">
        <f>[11]building!Y2017</f>
        <v>0</v>
      </c>
      <c r="F1686" s="748">
        <f t="shared" si="265"/>
        <v>0</v>
      </c>
      <c r="G1686" s="1205"/>
      <c r="H1686" s="1055"/>
      <c r="I1686" s="1055"/>
      <c r="J1686" s="1055"/>
      <c r="K1686" s="1205"/>
      <c r="L1686" s="1055"/>
      <c r="M1686" s="1205"/>
      <c r="N1686" s="1054"/>
      <c r="O1686" s="1207"/>
      <c r="Q1686" s="1207"/>
    </row>
    <row r="1687" spans="3:17" s="700" customFormat="1" ht="70.5" hidden="1" customHeight="1">
      <c r="C1687" s="701"/>
      <c r="D1687" s="811"/>
      <c r="E1687" s="1276">
        <f>[11]building!Y2018</f>
        <v>0</v>
      </c>
      <c r="F1687" s="748">
        <f t="shared" si="265"/>
        <v>0</v>
      </c>
      <c r="G1687" s="1205"/>
      <c r="H1687" s="1055"/>
      <c r="I1687" s="1055"/>
      <c r="J1687" s="1055"/>
      <c r="K1687" s="1205"/>
      <c r="L1687" s="1055"/>
      <c r="M1687" s="1205"/>
      <c r="N1687" s="1054"/>
      <c r="O1687" s="1207"/>
      <c r="Q1687" s="1207"/>
    </row>
    <row r="1688" spans="3:17" s="700" customFormat="1" ht="70.5" hidden="1" customHeight="1">
      <c r="C1688" s="701"/>
      <c r="D1688" s="811"/>
      <c r="E1688" s="1276">
        <f>[11]building!Y2019</f>
        <v>0</v>
      </c>
      <c r="F1688" s="748">
        <f t="shared" si="265"/>
        <v>0</v>
      </c>
      <c r="G1688" s="1205"/>
      <c r="H1688" s="1055"/>
      <c r="I1688" s="1055"/>
      <c r="J1688" s="1055"/>
      <c r="K1688" s="1205"/>
      <c r="L1688" s="1055"/>
      <c r="M1688" s="1205"/>
      <c r="N1688" s="1054"/>
      <c r="O1688" s="1207"/>
      <c r="Q1688" s="1207"/>
    </row>
    <row r="1689" spans="3:17" s="700" customFormat="1" ht="70.5" hidden="1" customHeight="1">
      <c r="C1689" s="701"/>
      <c r="D1689" s="811"/>
      <c r="E1689" s="1276">
        <f>[11]building!Y2020</f>
        <v>0</v>
      </c>
      <c r="F1689" s="748">
        <f t="shared" si="265"/>
        <v>0</v>
      </c>
      <c r="G1689" s="1205"/>
      <c r="H1689" s="1055"/>
      <c r="I1689" s="1055"/>
      <c r="J1689" s="1055"/>
      <c r="K1689" s="1205"/>
      <c r="L1689" s="1055"/>
      <c r="M1689" s="1205"/>
      <c r="N1689" s="1054"/>
      <c r="O1689" s="1207"/>
      <c r="Q1689" s="1207"/>
    </row>
    <row r="1690" spans="3:17" s="700" customFormat="1" ht="70.5" hidden="1" customHeight="1">
      <c r="C1690" s="701"/>
      <c r="D1690" s="811"/>
      <c r="E1690" s="1276">
        <f>[11]building!Y2021</f>
        <v>0</v>
      </c>
      <c r="F1690" s="748">
        <f t="shared" si="265"/>
        <v>0</v>
      </c>
      <c r="G1690" s="1205"/>
      <c r="H1690" s="1055"/>
      <c r="I1690" s="1055"/>
      <c r="J1690" s="1055"/>
      <c r="K1690" s="1205"/>
      <c r="L1690" s="1055"/>
      <c r="M1690" s="1205"/>
      <c r="N1690" s="1054"/>
      <c r="O1690" s="1207"/>
      <c r="Q1690" s="1207"/>
    </row>
    <row r="1691" spans="3:17" s="700" customFormat="1" ht="70.5" hidden="1" customHeight="1">
      <c r="C1691" s="701"/>
      <c r="D1691" s="811"/>
      <c r="E1691" s="1276">
        <f>[11]building!Y2022</f>
        <v>0</v>
      </c>
      <c r="F1691" s="748">
        <f t="shared" si="265"/>
        <v>0</v>
      </c>
      <c r="G1691" s="1205"/>
      <c r="H1691" s="1055"/>
      <c r="I1691" s="1055"/>
      <c r="J1691" s="1055"/>
      <c r="K1691" s="1205"/>
      <c r="L1691" s="1055"/>
      <c r="M1691" s="1205"/>
      <c r="N1691" s="1054"/>
      <c r="O1691" s="1207"/>
      <c r="Q1691" s="1207"/>
    </row>
    <row r="1692" spans="3:17" s="700" customFormat="1" ht="70.5" hidden="1" customHeight="1">
      <c r="C1692" s="701"/>
      <c r="D1692" s="811"/>
      <c r="E1692" s="1276">
        <f>[11]building!Y2023</f>
        <v>0</v>
      </c>
      <c r="F1692" s="748">
        <f t="shared" si="265"/>
        <v>0</v>
      </c>
      <c r="G1692" s="1205"/>
      <c r="H1692" s="1055"/>
      <c r="I1692" s="1055"/>
      <c r="J1692" s="1055"/>
      <c r="K1692" s="1205"/>
      <c r="L1692" s="1055"/>
      <c r="M1692" s="1205"/>
      <c r="N1692" s="1054"/>
      <c r="O1692" s="1207"/>
      <c r="Q1692" s="1207"/>
    </row>
    <row r="1693" spans="3:17" s="700" customFormat="1" ht="70.5" hidden="1" customHeight="1">
      <c r="C1693" s="701"/>
      <c r="D1693" s="811"/>
      <c r="E1693" s="1276">
        <f>[11]building!Y2024</f>
        <v>0</v>
      </c>
      <c r="F1693" s="748">
        <f t="shared" si="265"/>
        <v>0</v>
      </c>
      <c r="G1693" s="1205"/>
      <c r="H1693" s="1055"/>
      <c r="I1693" s="1055"/>
      <c r="J1693" s="1055"/>
      <c r="K1693" s="1205"/>
      <c r="L1693" s="1055"/>
      <c r="M1693" s="1205"/>
      <c r="N1693" s="1054"/>
      <c r="O1693" s="1207"/>
      <c r="Q1693" s="1207"/>
    </row>
    <row r="1694" spans="3:17" s="700" customFormat="1" ht="70.5" hidden="1" customHeight="1">
      <c r="C1694" s="701"/>
      <c r="D1694" s="811"/>
      <c r="E1694" s="1276">
        <f>[11]building!Y2025</f>
        <v>0</v>
      </c>
      <c r="F1694" s="748">
        <f t="shared" si="265"/>
        <v>0</v>
      </c>
      <c r="G1694" s="1205"/>
      <c r="H1694" s="1055"/>
      <c r="I1694" s="1055"/>
      <c r="J1694" s="1055"/>
      <c r="K1694" s="1205"/>
      <c r="L1694" s="1055"/>
      <c r="M1694" s="1205"/>
      <c r="N1694" s="1054"/>
      <c r="O1694" s="1207"/>
      <c r="Q1694" s="1207"/>
    </row>
    <row r="1695" spans="3:17" s="700" customFormat="1" ht="70.5" hidden="1" customHeight="1">
      <c r="C1695" s="701"/>
      <c r="D1695" s="811"/>
      <c r="E1695" s="1276">
        <f>[11]building!Y2026</f>
        <v>0</v>
      </c>
      <c r="F1695" s="748">
        <f t="shared" si="265"/>
        <v>0</v>
      </c>
      <c r="G1695" s="1205"/>
      <c r="H1695" s="1055"/>
      <c r="I1695" s="1055"/>
      <c r="J1695" s="1055"/>
      <c r="K1695" s="1205"/>
      <c r="L1695" s="1055"/>
      <c r="M1695" s="1205"/>
      <c r="N1695" s="1054"/>
      <c r="O1695" s="1207"/>
      <c r="Q1695" s="1207"/>
    </row>
    <row r="1696" spans="3:17" s="700" customFormat="1" ht="70.5" hidden="1" customHeight="1">
      <c r="C1696" s="701"/>
      <c r="D1696" s="811"/>
      <c r="E1696" s="1276">
        <f>[11]building!Y2027</f>
        <v>0</v>
      </c>
      <c r="F1696" s="748">
        <f t="shared" si="265"/>
        <v>0</v>
      </c>
      <c r="G1696" s="1205"/>
      <c r="H1696" s="1055"/>
      <c r="I1696" s="1055"/>
      <c r="J1696" s="1055"/>
      <c r="K1696" s="1205"/>
      <c r="L1696" s="1055"/>
      <c r="M1696" s="1205"/>
      <c r="N1696" s="1054"/>
      <c r="O1696" s="1207"/>
      <c r="Q1696" s="1207"/>
    </row>
    <row r="1697" spans="3:17" s="700" customFormat="1" ht="70.5" hidden="1" customHeight="1">
      <c r="C1697" s="701"/>
      <c r="D1697" s="811"/>
      <c r="E1697" s="1276">
        <f>[11]building!Y2028</f>
        <v>0</v>
      </c>
      <c r="F1697" s="748">
        <f t="shared" si="265"/>
        <v>0</v>
      </c>
      <c r="G1697" s="1205"/>
      <c r="H1697" s="1055"/>
      <c r="I1697" s="1055"/>
      <c r="J1697" s="1055"/>
      <c r="K1697" s="1205"/>
      <c r="L1697" s="1055"/>
      <c r="M1697" s="1205"/>
      <c r="N1697" s="1054"/>
      <c r="O1697" s="1207"/>
      <c r="Q1697" s="1207"/>
    </row>
    <row r="1698" spans="3:17" s="700" customFormat="1" ht="70.5" hidden="1" customHeight="1">
      <c r="C1698" s="701"/>
      <c r="D1698" s="811"/>
      <c r="E1698" s="1276">
        <f>[11]building!Y2029</f>
        <v>0</v>
      </c>
      <c r="F1698" s="748">
        <f t="shared" si="265"/>
        <v>0</v>
      </c>
      <c r="G1698" s="1205"/>
      <c r="H1698" s="1055"/>
      <c r="I1698" s="1055"/>
      <c r="J1698" s="1055"/>
      <c r="K1698" s="1205"/>
      <c r="L1698" s="1055"/>
      <c r="M1698" s="1205"/>
      <c r="N1698" s="1054"/>
      <c r="O1698" s="1207"/>
      <c r="Q1698" s="1207"/>
    </row>
    <row r="1699" spans="3:17" s="700" customFormat="1" ht="70.5" hidden="1" customHeight="1">
      <c r="C1699" s="701"/>
      <c r="D1699" s="811"/>
      <c r="E1699" s="1276">
        <f>[11]building!Y2030</f>
        <v>0</v>
      </c>
      <c r="F1699" s="748">
        <f t="shared" si="265"/>
        <v>0</v>
      </c>
      <c r="G1699" s="1205"/>
      <c r="H1699" s="1055"/>
      <c r="I1699" s="1055"/>
      <c r="J1699" s="1055"/>
      <c r="K1699" s="1205"/>
      <c r="L1699" s="1055"/>
      <c r="M1699" s="1205"/>
      <c r="N1699" s="1054"/>
      <c r="O1699" s="1207"/>
      <c r="Q1699" s="1207"/>
    </row>
    <row r="1700" spans="3:17" s="700" customFormat="1" ht="70.5" hidden="1" customHeight="1">
      <c r="C1700" s="701"/>
      <c r="D1700" s="811"/>
      <c r="E1700" s="1276">
        <f>[11]building!Y2031</f>
        <v>0</v>
      </c>
      <c r="F1700" s="748">
        <f t="shared" si="265"/>
        <v>0</v>
      </c>
      <c r="G1700" s="1205"/>
      <c r="H1700" s="1055"/>
      <c r="I1700" s="1055"/>
      <c r="J1700" s="1055"/>
      <c r="K1700" s="1205"/>
      <c r="L1700" s="1055"/>
      <c r="M1700" s="1205"/>
      <c r="N1700" s="1054"/>
      <c r="O1700" s="1207"/>
      <c r="Q1700" s="1207"/>
    </row>
    <row r="1701" spans="3:17" s="700" customFormat="1" ht="70.5" hidden="1" customHeight="1">
      <c r="C1701" s="701"/>
      <c r="D1701" s="811"/>
      <c r="E1701" s="1276">
        <f>[11]building!Y2032</f>
        <v>0</v>
      </c>
      <c r="F1701" s="748">
        <f t="shared" si="265"/>
        <v>0</v>
      </c>
      <c r="G1701" s="1205"/>
      <c r="H1701" s="1055"/>
      <c r="I1701" s="1055"/>
      <c r="J1701" s="1055"/>
      <c r="K1701" s="1205"/>
      <c r="L1701" s="1055"/>
      <c r="M1701" s="1205"/>
      <c r="N1701" s="1054"/>
      <c r="O1701" s="1207"/>
      <c r="Q1701" s="1207"/>
    </row>
    <row r="1702" spans="3:17" s="700" customFormat="1" ht="70.5" hidden="1" customHeight="1">
      <c r="C1702" s="701"/>
      <c r="D1702" s="811"/>
      <c r="E1702" s="1276">
        <f>[11]building!Y2033</f>
        <v>0</v>
      </c>
      <c r="F1702" s="748">
        <f t="shared" si="265"/>
        <v>0</v>
      </c>
      <c r="G1702" s="1205"/>
      <c r="H1702" s="1055"/>
      <c r="I1702" s="1055"/>
      <c r="J1702" s="1055"/>
      <c r="K1702" s="1205"/>
      <c r="L1702" s="1055"/>
      <c r="M1702" s="1205"/>
      <c r="N1702" s="1054"/>
      <c r="O1702" s="1207"/>
      <c r="Q1702" s="1207"/>
    </row>
    <row r="1703" spans="3:17" s="700" customFormat="1" ht="70.5" hidden="1" customHeight="1">
      <c r="C1703" s="701"/>
      <c r="D1703" s="811"/>
      <c r="E1703" s="1276">
        <f>[11]building!Y2034</f>
        <v>0</v>
      </c>
      <c r="F1703" s="748">
        <f t="shared" si="265"/>
        <v>0</v>
      </c>
      <c r="G1703" s="1205"/>
      <c r="H1703" s="1055"/>
      <c r="I1703" s="1055"/>
      <c r="J1703" s="1055"/>
      <c r="K1703" s="1205"/>
      <c r="L1703" s="1055"/>
      <c r="M1703" s="1205"/>
      <c r="N1703" s="1054"/>
      <c r="O1703" s="1207"/>
      <c r="Q1703" s="1207"/>
    </row>
    <row r="1704" spans="3:17" s="700" customFormat="1" ht="70.5" hidden="1" customHeight="1">
      <c r="C1704" s="701"/>
      <c r="D1704" s="811"/>
      <c r="E1704" s="1276">
        <f>[11]building!Y2035</f>
        <v>0</v>
      </c>
      <c r="F1704" s="748">
        <f t="shared" si="265"/>
        <v>0</v>
      </c>
      <c r="G1704" s="1205"/>
      <c r="H1704" s="1055"/>
      <c r="I1704" s="1055"/>
      <c r="J1704" s="1055"/>
      <c r="K1704" s="1205"/>
      <c r="L1704" s="1055"/>
      <c r="M1704" s="1205"/>
      <c r="N1704" s="1054"/>
      <c r="O1704" s="1207"/>
      <c r="Q1704" s="1207"/>
    </row>
    <row r="1705" spans="3:17" s="700" customFormat="1" ht="70.5" hidden="1" customHeight="1">
      <c r="C1705" s="701"/>
      <c r="D1705" s="811"/>
      <c r="E1705" s="1276">
        <f>[11]building!Y2036</f>
        <v>0</v>
      </c>
      <c r="F1705" s="748">
        <f t="shared" si="265"/>
        <v>0</v>
      </c>
      <c r="G1705" s="1205"/>
      <c r="H1705" s="1055"/>
      <c r="I1705" s="1055"/>
      <c r="J1705" s="1055"/>
      <c r="K1705" s="1205"/>
      <c r="L1705" s="1055"/>
      <c r="M1705" s="1205"/>
      <c r="N1705" s="1054"/>
      <c r="O1705" s="1207"/>
      <c r="Q1705" s="1207"/>
    </row>
    <row r="1706" spans="3:17" s="700" customFormat="1" ht="70.5" hidden="1" customHeight="1">
      <c r="C1706" s="701"/>
      <c r="D1706" s="811"/>
      <c r="E1706" s="1276">
        <f>[11]building!Y2037</f>
        <v>0</v>
      </c>
      <c r="F1706" s="748">
        <f t="shared" si="265"/>
        <v>0</v>
      </c>
      <c r="G1706" s="1205"/>
      <c r="H1706" s="1055"/>
      <c r="I1706" s="1055"/>
      <c r="J1706" s="1055"/>
      <c r="K1706" s="1205"/>
      <c r="L1706" s="1055"/>
      <c r="M1706" s="1205"/>
      <c r="N1706" s="1054"/>
      <c r="O1706" s="1207"/>
      <c r="Q1706" s="1207"/>
    </row>
    <row r="1707" spans="3:17" s="700" customFormat="1" ht="70.5" hidden="1" customHeight="1">
      <c r="C1707" s="701"/>
      <c r="D1707" s="811"/>
      <c r="E1707" s="1276">
        <f>[11]building!Y2038</f>
        <v>0</v>
      </c>
      <c r="F1707" s="748">
        <f t="shared" si="265"/>
        <v>0</v>
      </c>
      <c r="G1707" s="1205"/>
      <c r="H1707" s="1055"/>
      <c r="I1707" s="1055"/>
      <c r="J1707" s="1055"/>
      <c r="K1707" s="1205"/>
      <c r="L1707" s="1055"/>
      <c r="M1707" s="1205"/>
      <c r="N1707" s="1054"/>
      <c r="O1707" s="1207"/>
      <c r="Q1707" s="1207"/>
    </row>
    <row r="1708" spans="3:17" s="700" customFormat="1" ht="70.5" hidden="1" customHeight="1">
      <c r="C1708" s="701"/>
      <c r="D1708" s="811"/>
      <c r="E1708" s="1276">
        <f>[11]building!Y2039</f>
        <v>0</v>
      </c>
      <c r="F1708" s="748">
        <f t="shared" si="265"/>
        <v>0</v>
      </c>
      <c r="G1708" s="1205"/>
      <c r="H1708" s="1055"/>
      <c r="I1708" s="1055"/>
      <c r="J1708" s="1055"/>
      <c r="K1708" s="1205"/>
      <c r="L1708" s="1055"/>
      <c r="M1708" s="1205"/>
      <c r="N1708" s="1054"/>
      <c r="O1708" s="1207"/>
      <c r="Q1708" s="1207"/>
    </row>
    <row r="1709" spans="3:17" s="700" customFormat="1" ht="70.5" hidden="1" customHeight="1">
      <c r="C1709" s="701"/>
      <c r="D1709" s="811"/>
      <c r="E1709" s="1276">
        <f>[11]building!Y2040</f>
        <v>0</v>
      </c>
      <c r="F1709" s="748">
        <f t="shared" si="265"/>
        <v>0</v>
      </c>
      <c r="G1709" s="1205"/>
      <c r="H1709" s="1055"/>
      <c r="I1709" s="1055"/>
      <c r="J1709" s="1055"/>
      <c r="K1709" s="1205"/>
      <c r="L1709" s="1055"/>
      <c r="M1709" s="1205"/>
      <c r="N1709" s="1054"/>
      <c r="O1709" s="1207"/>
      <c r="Q1709" s="1207"/>
    </row>
    <row r="1710" spans="3:17" s="700" customFormat="1" ht="70.5" hidden="1" customHeight="1">
      <c r="C1710" s="701"/>
      <c r="D1710" s="811"/>
      <c r="E1710" s="1276">
        <f>[11]building!Y2041</f>
        <v>0</v>
      </c>
      <c r="F1710" s="748">
        <f t="shared" si="265"/>
        <v>0</v>
      </c>
      <c r="G1710" s="1205"/>
      <c r="H1710" s="1055"/>
      <c r="I1710" s="1055"/>
      <c r="J1710" s="1055"/>
      <c r="K1710" s="1205"/>
      <c r="L1710" s="1055"/>
      <c r="M1710" s="1205"/>
      <c r="N1710" s="1054"/>
      <c r="O1710" s="1207"/>
      <c r="Q1710" s="1207"/>
    </row>
    <row r="1711" spans="3:17" s="700" customFormat="1" ht="70.5" hidden="1" customHeight="1">
      <c r="C1711" s="701"/>
      <c r="D1711" s="811"/>
      <c r="E1711" s="1276">
        <f>[11]building!Y2042</f>
        <v>0</v>
      </c>
      <c r="F1711" s="748">
        <f t="shared" si="265"/>
        <v>0</v>
      </c>
      <c r="G1711" s="1205"/>
      <c r="H1711" s="1055"/>
      <c r="I1711" s="1055"/>
      <c r="J1711" s="1055"/>
      <c r="K1711" s="1205"/>
      <c r="L1711" s="1055"/>
      <c r="M1711" s="1205"/>
      <c r="N1711" s="1054"/>
      <c r="O1711" s="1207"/>
      <c r="Q1711" s="1207"/>
    </row>
    <row r="1712" spans="3:17" s="700" customFormat="1" ht="70.5" hidden="1" customHeight="1">
      <c r="C1712" s="701"/>
      <c r="D1712" s="811"/>
      <c r="E1712" s="1276">
        <f>[11]building!Y2043</f>
        <v>0</v>
      </c>
      <c r="F1712" s="748">
        <f t="shared" si="265"/>
        <v>0</v>
      </c>
      <c r="G1712" s="1205"/>
      <c r="H1712" s="1055"/>
      <c r="I1712" s="1055"/>
      <c r="J1712" s="1055"/>
      <c r="K1712" s="1205"/>
      <c r="L1712" s="1055"/>
      <c r="M1712" s="1205"/>
      <c r="N1712" s="1054"/>
      <c r="O1712" s="1207"/>
      <c r="Q1712" s="1207"/>
    </row>
    <row r="1713" spans="3:17" s="700" customFormat="1" ht="70.5" hidden="1" customHeight="1">
      <c r="C1713" s="701"/>
      <c r="D1713" s="811"/>
      <c r="E1713" s="1276">
        <f>[11]building!Y2044</f>
        <v>0</v>
      </c>
      <c r="F1713" s="748">
        <f t="shared" si="265"/>
        <v>0</v>
      </c>
      <c r="G1713" s="1205"/>
      <c r="H1713" s="1055"/>
      <c r="I1713" s="1055"/>
      <c r="J1713" s="1055"/>
      <c r="K1713" s="1205"/>
      <c r="L1713" s="1055"/>
      <c r="M1713" s="1205"/>
      <c r="N1713" s="1054"/>
      <c r="O1713" s="1207"/>
      <c r="Q1713" s="1207"/>
    </row>
    <row r="1714" spans="3:17" s="700" customFormat="1" ht="70.5" hidden="1" customHeight="1">
      <c r="C1714" s="701"/>
      <c r="D1714" s="811"/>
      <c r="E1714" s="1276">
        <f>[11]building!Y2045</f>
        <v>0</v>
      </c>
      <c r="F1714" s="748">
        <f t="shared" si="265"/>
        <v>0</v>
      </c>
      <c r="G1714" s="1205"/>
      <c r="H1714" s="1055"/>
      <c r="I1714" s="1055"/>
      <c r="J1714" s="1055"/>
      <c r="K1714" s="1205"/>
      <c r="L1714" s="1055"/>
      <c r="M1714" s="1205"/>
      <c r="N1714" s="1054"/>
      <c r="O1714" s="1207"/>
      <c r="Q1714" s="1207"/>
    </row>
    <row r="1715" spans="3:17" s="700" customFormat="1" ht="70.5" hidden="1" customHeight="1">
      <c r="C1715" s="701"/>
      <c r="D1715" s="811"/>
      <c r="E1715" s="1276">
        <f>[11]building!Y2046</f>
        <v>0</v>
      </c>
      <c r="F1715" s="748">
        <f t="shared" si="265"/>
        <v>0</v>
      </c>
      <c r="G1715" s="1205"/>
      <c r="H1715" s="1055"/>
      <c r="I1715" s="1055"/>
      <c r="J1715" s="1055"/>
      <c r="K1715" s="1205"/>
      <c r="L1715" s="1055"/>
      <c r="M1715" s="1205"/>
      <c r="N1715" s="1054"/>
      <c r="O1715" s="1207"/>
      <c r="Q1715" s="1207"/>
    </row>
    <row r="1716" spans="3:17" s="700" customFormat="1" ht="70.5" hidden="1" customHeight="1">
      <c r="C1716" s="701"/>
      <c r="D1716" s="811"/>
      <c r="E1716" s="1276">
        <f>[11]building!Y2047</f>
        <v>0</v>
      </c>
      <c r="F1716" s="748">
        <f t="shared" si="265"/>
        <v>0</v>
      </c>
      <c r="G1716" s="1205"/>
      <c r="H1716" s="1055"/>
      <c r="I1716" s="1055"/>
      <c r="J1716" s="1055"/>
      <c r="K1716" s="1205"/>
      <c r="L1716" s="1055"/>
      <c r="M1716" s="1205"/>
      <c r="N1716" s="1054"/>
      <c r="O1716" s="1207"/>
      <c r="Q1716" s="1207"/>
    </row>
    <row r="1717" spans="3:17" s="700" customFormat="1" ht="70.5" hidden="1" customHeight="1">
      <c r="C1717" s="701"/>
      <c r="D1717" s="811"/>
      <c r="E1717" s="1276">
        <f>[11]building!Y2048</f>
        <v>0</v>
      </c>
      <c r="F1717" s="748">
        <f t="shared" si="265"/>
        <v>0</v>
      </c>
      <c r="G1717" s="1205"/>
      <c r="H1717" s="1055"/>
      <c r="I1717" s="1055"/>
      <c r="J1717" s="1055"/>
      <c r="K1717" s="1205"/>
      <c r="L1717" s="1055"/>
      <c r="M1717" s="1205"/>
      <c r="N1717" s="1054"/>
      <c r="O1717" s="1207"/>
      <c r="Q1717" s="1207"/>
    </row>
    <row r="1718" spans="3:17" s="700" customFormat="1" ht="70.5" hidden="1" customHeight="1">
      <c r="C1718" s="701"/>
      <c r="D1718" s="811"/>
      <c r="E1718" s="1276">
        <f>[11]building!Y2049</f>
        <v>0</v>
      </c>
      <c r="F1718" s="748">
        <f t="shared" si="265"/>
        <v>0</v>
      </c>
      <c r="G1718" s="1205"/>
      <c r="H1718" s="1055"/>
      <c r="I1718" s="1055"/>
      <c r="J1718" s="1055"/>
      <c r="K1718" s="1205"/>
      <c r="L1718" s="1055"/>
      <c r="M1718" s="1205"/>
      <c r="N1718" s="1054"/>
      <c r="O1718" s="1207"/>
      <c r="Q1718" s="1207"/>
    </row>
    <row r="1719" spans="3:17" s="700" customFormat="1" ht="70.5" hidden="1" customHeight="1">
      <c r="C1719" s="701"/>
      <c r="D1719" s="811"/>
      <c r="E1719" s="1276">
        <f>[11]building!Y2050</f>
        <v>0</v>
      </c>
      <c r="F1719" s="748">
        <f t="shared" si="265"/>
        <v>0</v>
      </c>
      <c r="G1719" s="1205"/>
      <c r="H1719" s="1055"/>
      <c r="I1719" s="1055"/>
      <c r="J1719" s="1055"/>
      <c r="K1719" s="1205"/>
      <c r="L1719" s="1055"/>
      <c r="M1719" s="1205"/>
      <c r="N1719" s="1054"/>
      <c r="O1719" s="1207"/>
      <c r="Q1719" s="1207"/>
    </row>
    <row r="1720" spans="3:17" s="700" customFormat="1" ht="70.5" hidden="1" customHeight="1">
      <c r="C1720" s="701"/>
      <c r="D1720" s="811"/>
      <c r="E1720" s="1276">
        <f>[11]building!Y2051</f>
        <v>0</v>
      </c>
      <c r="F1720" s="748">
        <f t="shared" si="265"/>
        <v>0</v>
      </c>
      <c r="G1720" s="1205"/>
      <c r="H1720" s="1055"/>
      <c r="I1720" s="1055"/>
      <c r="J1720" s="1055"/>
      <c r="K1720" s="1205"/>
      <c r="L1720" s="1055"/>
      <c r="M1720" s="1205"/>
      <c r="N1720" s="1054"/>
      <c r="O1720" s="1207"/>
      <c r="Q1720" s="1207"/>
    </row>
    <row r="1721" spans="3:17" s="700" customFormat="1" ht="70.5" hidden="1" customHeight="1">
      <c r="C1721" s="701"/>
      <c r="D1721" s="811"/>
      <c r="E1721" s="1276">
        <f>[11]building!Y2052</f>
        <v>0</v>
      </c>
      <c r="F1721" s="748">
        <f t="shared" si="265"/>
        <v>0</v>
      </c>
      <c r="G1721" s="1205"/>
      <c r="H1721" s="1055"/>
      <c r="I1721" s="1055"/>
      <c r="J1721" s="1055"/>
      <c r="K1721" s="1205"/>
      <c r="L1721" s="1055"/>
      <c r="M1721" s="1205"/>
      <c r="N1721" s="1054"/>
      <c r="O1721" s="1207"/>
      <c r="Q1721" s="1207"/>
    </row>
    <row r="1722" spans="3:17" s="700" customFormat="1" ht="70.5" hidden="1" customHeight="1">
      <c r="C1722" s="701"/>
      <c r="D1722" s="811"/>
      <c r="E1722" s="1276">
        <f>[11]building!Y2053</f>
        <v>0</v>
      </c>
      <c r="F1722" s="748">
        <f t="shared" si="265"/>
        <v>0</v>
      </c>
      <c r="G1722" s="1205"/>
      <c r="H1722" s="1055"/>
      <c r="I1722" s="1055"/>
      <c r="J1722" s="1055"/>
      <c r="K1722" s="1205"/>
      <c r="L1722" s="1055"/>
      <c r="M1722" s="1205"/>
      <c r="N1722" s="1054"/>
      <c r="O1722" s="1207"/>
      <c r="Q1722" s="1207"/>
    </row>
    <row r="1723" spans="3:17" s="700" customFormat="1" ht="70.5" hidden="1" customHeight="1">
      <c r="C1723" s="701"/>
      <c r="D1723" s="811"/>
      <c r="E1723" s="1276">
        <f>[11]building!Y2054</f>
        <v>0</v>
      </c>
      <c r="F1723" s="748">
        <f t="shared" si="265"/>
        <v>0</v>
      </c>
      <c r="G1723" s="1205"/>
      <c r="H1723" s="1055"/>
      <c r="I1723" s="1055"/>
      <c r="J1723" s="1055"/>
      <c r="K1723" s="1205"/>
      <c r="L1723" s="1055"/>
      <c r="M1723" s="1205"/>
      <c r="N1723" s="1054"/>
      <c r="O1723" s="1207"/>
      <c r="Q1723" s="1207"/>
    </row>
    <row r="1724" spans="3:17" s="700" customFormat="1" ht="70.5" hidden="1" customHeight="1">
      <c r="C1724" s="701"/>
      <c r="D1724" s="811"/>
      <c r="E1724" s="1276">
        <f>[11]building!Y2055</f>
        <v>0</v>
      </c>
      <c r="F1724" s="748">
        <f t="shared" si="265"/>
        <v>0</v>
      </c>
      <c r="G1724" s="1205"/>
      <c r="H1724" s="1055"/>
      <c r="I1724" s="1055"/>
      <c r="J1724" s="1055"/>
      <c r="K1724" s="1205"/>
      <c r="L1724" s="1055"/>
      <c r="M1724" s="1205"/>
      <c r="N1724" s="1054"/>
      <c r="O1724" s="1207"/>
      <c r="Q1724" s="1207"/>
    </row>
    <row r="1725" spans="3:17" s="700" customFormat="1" ht="70.5" hidden="1" customHeight="1">
      <c r="C1725" s="701"/>
      <c r="D1725" s="811"/>
      <c r="E1725" s="1276">
        <f>[11]building!Y2056</f>
        <v>0</v>
      </c>
      <c r="F1725" s="748">
        <f t="shared" si="265"/>
        <v>0</v>
      </c>
      <c r="G1725" s="1205"/>
      <c r="H1725" s="1055"/>
      <c r="I1725" s="1055"/>
      <c r="J1725" s="1055"/>
      <c r="K1725" s="1205"/>
      <c r="L1725" s="1055"/>
      <c r="M1725" s="1205"/>
      <c r="N1725" s="1054"/>
      <c r="O1725" s="1207"/>
      <c r="Q1725" s="1207"/>
    </row>
    <row r="1726" spans="3:17" s="700" customFormat="1" ht="70.5" hidden="1" customHeight="1">
      <c r="C1726" s="701"/>
      <c r="D1726" s="811"/>
      <c r="E1726" s="1276">
        <f>[11]building!Y2057</f>
        <v>0</v>
      </c>
      <c r="F1726" s="748">
        <f t="shared" si="265"/>
        <v>0</v>
      </c>
      <c r="G1726" s="1205"/>
      <c r="H1726" s="1055"/>
      <c r="I1726" s="1055"/>
      <c r="J1726" s="1055"/>
      <c r="K1726" s="1205"/>
      <c r="L1726" s="1055"/>
      <c r="M1726" s="1205"/>
      <c r="N1726" s="1054"/>
      <c r="O1726" s="1207"/>
      <c r="Q1726" s="1207"/>
    </row>
    <row r="1727" spans="3:17" s="700" customFormat="1" ht="70.5" hidden="1" customHeight="1">
      <c r="C1727" s="701"/>
      <c r="D1727" s="811"/>
      <c r="E1727" s="1276">
        <f>[11]building!Y2058</f>
        <v>0</v>
      </c>
      <c r="F1727" s="748">
        <f t="shared" si="265"/>
        <v>0</v>
      </c>
      <c r="G1727" s="1205"/>
      <c r="H1727" s="1055"/>
      <c r="I1727" s="1055"/>
      <c r="J1727" s="1055"/>
      <c r="K1727" s="1205"/>
      <c r="L1727" s="1055"/>
      <c r="M1727" s="1205"/>
      <c r="N1727" s="1054"/>
      <c r="O1727" s="1207"/>
      <c r="Q1727" s="1207"/>
    </row>
    <row r="1728" spans="3:17" s="700" customFormat="1" ht="70.5" hidden="1" customHeight="1">
      <c r="C1728" s="701"/>
      <c r="D1728" s="811"/>
      <c r="E1728" s="1276">
        <f>[11]building!Y2059</f>
        <v>0</v>
      </c>
      <c r="F1728" s="748">
        <f t="shared" ref="F1728:F1791" si="266">E1728*C1728</f>
        <v>0</v>
      </c>
      <c r="G1728" s="1205"/>
      <c r="H1728" s="1055"/>
      <c r="I1728" s="1055"/>
      <c r="J1728" s="1055"/>
      <c r="K1728" s="1205"/>
      <c r="L1728" s="1055"/>
      <c r="M1728" s="1205"/>
      <c r="N1728" s="1054"/>
      <c r="O1728" s="1207"/>
      <c r="Q1728" s="1207"/>
    </row>
    <row r="1729" spans="3:17" s="700" customFormat="1" ht="70.5" hidden="1" customHeight="1">
      <c r="C1729" s="701"/>
      <c r="D1729" s="811"/>
      <c r="E1729" s="1276">
        <f>[11]building!Y2060</f>
        <v>0</v>
      </c>
      <c r="F1729" s="748">
        <f t="shared" si="266"/>
        <v>0</v>
      </c>
      <c r="G1729" s="1205"/>
      <c r="H1729" s="1055"/>
      <c r="I1729" s="1055"/>
      <c r="J1729" s="1055"/>
      <c r="K1729" s="1205"/>
      <c r="L1729" s="1055"/>
      <c r="M1729" s="1205"/>
      <c r="N1729" s="1054"/>
      <c r="O1729" s="1207"/>
      <c r="Q1729" s="1207"/>
    </row>
    <row r="1730" spans="3:17" s="700" customFormat="1" ht="70.5" hidden="1" customHeight="1">
      <c r="C1730" s="701"/>
      <c r="D1730" s="811"/>
      <c r="E1730" s="1276">
        <f>[11]building!Y2061</f>
        <v>0</v>
      </c>
      <c r="F1730" s="748">
        <f t="shared" si="266"/>
        <v>0</v>
      </c>
      <c r="G1730" s="1205"/>
      <c r="H1730" s="1055"/>
      <c r="I1730" s="1055"/>
      <c r="J1730" s="1055"/>
      <c r="K1730" s="1205"/>
      <c r="L1730" s="1055"/>
      <c r="M1730" s="1205"/>
      <c r="N1730" s="1054"/>
      <c r="O1730" s="1207"/>
      <c r="Q1730" s="1207"/>
    </row>
    <row r="1731" spans="3:17" s="700" customFormat="1" ht="70.5" hidden="1" customHeight="1">
      <c r="C1731" s="701"/>
      <c r="D1731" s="811"/>
      <c r="E1731" s="1276">
        <f>[11]building!Y2062</f>
        <v>0</v>
      </c>
      <c r="F1731" s="748">
        <f t="shared" si="266"/>
        <v>0</v>
      </c>
      <c r="G1731" s="1205"/>
      <c r="H1731" s="1055"/>
      <c r="I1731" s="1055"/>
      <c r="J1731" s="1055"/>
      <c r="K1731" s="1205"/>
      <c r="L1731" s="1055"/>
      <c r="M1731" s="1205"/>
      <c r="N1731" s="1054"/>
      <c r="O1731" s="1207"/>
      <c r="Q1731" s="1207"/>
    </row>
    <row r="1732" spans="3:17" s="700" customFormat="1" ht="70.5" hidden="1" customHeight="1">
      <c r="C1732" s="701"/>
      <c r="D1732" s="811"/>
      <c r="E1732" s="1276">
        <f>[11]building!Y2063</f>
        <v>0</v>
      </c>
      <c r="F1732" s="748">
        <f t="shared" si="266"/>
        <v>0</v>
      </c>
      <c r="G1732" s="1205"/>
      <c r="H1732" s="1055"/>
      <c r="I1732" s="1055"/>
      <c r="J1732" s="1055"/>
      <c r="K1732" s="1205"/>
      <c r="L1732" s="1055"/>
      <c r="M1732" s="1205"/>
      <c r="N1732" s="1054"/>
      <c r="O1732" s="1207"/>
      <c r="Q1732" s="1207"/>
    </row>
    <row r="1733" spans="3:17" s="700" customFormat="1" ht="70.5" hidden="1" customHeight="1">
      <c r="C1733" s="701"/>
      <c r="D1733" s="811"/>
      <c r="E1733" s="1276">
        <f>[11]building!Y2064</f>
        <v>0</v>
      </c>
      <c r="F1733" s="748">
        <f t="shared" si="266"/>
        <v>0</v>
      </c>
      <c r="G1733" s="1205"/>
      <c r="H1733" s="1055"/>
      <c r="I1733" s="1055"/>
      <c r="J1733" s="1055"/>
      <c r="K1733" s="1205"/>
      <c r="L1733" s="1055"/>
      <c r="M1733" s="1205"/>
      <c r="N1733" s="1054"/>
      <c r="O1733" s="1207"/>
      <c r="Q1733" s="1207"/>
    </row>
    <row r="1734" spans="3:17" s="700" customFormat="1" ht="70.5" hidden="1" customHeight="1">
      <c r="C1734" s="701"/>
      <c r="D1734" s="811"/>
      <c r="E1734" s="1276">
        <f>[11]building!Y2065</f>
        <v>0</v>
      </c>
      <c r="F1734" s="748">
        <f t="shared" si="266"/>
        <v>0</v>
      </c>
      <c r="G1734" s="1205"/>
      <c r="H1734" s="1055"/>
      <c r="I1734" s="1055"/>
      <c r="J1734" s="1055"/>
      <c r="K1734" s="1205"/>
      <c r="L1734" s="1055"/>
      <c r="M1734" s="1205"/>
      <c r="N1734" s="1054"/>
      <c r="O1734" s="1207"/>
      <c r="Q1734" s="1207"/>
    </row>
    <row r="1735" spans="3:17" s="700" customFormat="1" ht="70.5" hidden="1" customHeight="1">
      <c r="C1735" s="701"/>
      <c r="D1735" s="811"/>
      <c r="E1735" s="1276">
        <f>[11]building!Y2066</f>
        <v>0</v>
      </c>
      <c r="F1735" s="748">
        <f t="shared" si="266"/>
        <v>0</v>
      </c>
      <c r="G1735" s="1205"/>
      <c r="H1735" s="1055"/>
      <c r="I1735" s="1055"/>
      <c r="J1735" s="1055"/>
      <c r="K1735" s="1205"/>
      <c r="L1735" s="1055"/>
      <c r="M1735" s="1205"/>
      <c r="N1735" s="1054"/>
      <c r="O1735" s="1207"/>
      <c r="Q1735" s="1207"/>
    </row>
    <row r="1736" spans="3:17" s="700" customFormat="1" ht="70.5" hidden="1" customHeight="1">
      <c r="C1736" s="701"/>
      <c r="D1736" s="811"/>
      <c r="E1736" s="1276">
        <f>[11]building!Y2067</f>
        <v>0</v>
      </c>
      <c r="F1736" s="748">
        <f t="shared" si="266"/>
        <v>0</v>
      </c>
      <c r="G1736" s="1205"/>
      <c r="H1736" s="1055"/>
      <c r="I1736" s="1055"/>
      <c r="J1736" s="1055"/>
      <c r="K1736" s="1205"/>
      <c r="L1736" s="1055"/>
      <c r="M1736" s="1205"/>
      <c r="N1736" s="1054"/>
      <c r="O1736" s="1207"/>
      <c r="Q1736" s="1207"/>
    </row>
    <row r="1737" spans="3:17" s="700" customFormat="1" ht="70.5" hidden="1" customHeight="1">
      <c r="C1737" s="701"/>
      <c r="D1737" s="811"/>
      <c r="E1737" s="1276">
        <f>[11]building!Y2068</f>
        <v>0</v>
      </c>
      <c r="F1737" s="748">
        <f t="shared" si="266"/>
        <v>0</v>
      </c>
      <c r="G1737" s="1205"/>
      <c r="H1737" s="1055"/>
      <c r="I1737" s="1055"/>
      <c r="J1737" s="1055"/>
      <c r="K1737" s="1205"/>
      <c r="L1737" s="1055"/>
      <c r="M1737" s="1205"/>
      <c r="N1737" s="1054"/>
      <c r="O1737" s="1207"/>
      <c r="Q1737" s="1207"/>
    </row>
    <row r="1738" spans="3:17" s="700" customFormat="1" ht="70.5" hidden="1" customHeight="1">
      <c r="C1738" s="701"/>
      <c r="D1738" s="811"/>
      <c r="E1738" s="1276">
        <f>[11]building!Y2069</f>
        <v>0</v>
      </c>
      <c r="F1738" s="748">
        <f t="shared" si="266"/>
        <v>0</v>
      </c>
      <c r="G1738" s="1205"/>
      <c r="H1738" s="1055"/>
      <c r="I1738" s="1055"/>
      <c r="J1738" s="1055"/>
      <c r="K1738" s="1205"/>
      <c r="L1738" s="1055"/>
      <c r="M1738" s="1205"/>
      <c r="N1738" s="1054"/>
      <c r="O1738" s="1207"/>
      <c r="Q1738" s="1207"/>
    </row>
    <row r="1739" spans="3:17" s="700" customFormat="1" ht="70.5" hidden="1" customHeight="1">
      <c r="C1739" s="701"/>
      <c r="D1739" s="811"/>
      <c r="E1739" s="1276">
        <f>[11]building!Y2070</f>
        <v>0</v>
      </c>
      <c r="F1739" s="748">
        <f t="shared" si="266"/>
        <v>0</v>
      </c>
      <c r="G1739" s="1205"/>
      <c r="H1739" s="1055"/>
      <c r="I1739" s="1055"/>
      <c r="J1739" s="1055"/>
      <c r="K1739" s="1205"/>
      <c r="L1739" s="1055"/>
      <c r="M1739" s="1205"/>
      <c r="N1739" s="1054"/>
      <c r="O1739" s="1207"/>
      <c r="Q1739" s="1207"/>
    </row>
    <row r="1740" spans="3:17" s="700" customFormat="1" ht="70.5" hidden="1" customHeight="1">
      <c r="C1740" s="701"/>
      <c r="D1740" s="811"/>
      <c r="E1740" s="1276">
        <f>[11]building!Y2071</f>
        <v>0</v>
      </c>
      <c r="F1740" s="748">
        <f t="shared" si="266"/>
        <v>0</v>
      </c>
      <c r="G1740" s="1205"/>
      <c r="H1740" s="1055"/>
      <c r="I1740" s="1055"/>
      <c r="J1740" s="1055"/>
      <c r="K1740" s="1205"/>
      <c r="L1740" s="1055"/>
      <c r="M1740" s="1205"/>
      <c r="N1740" s="1054"/>
      <c r="O1740" s="1207"/>
      <c r="Q1740" s="1207"/>
    </row>
    <row r="1741" spans="3:17" s="700" customFormat="1" ht="70.5" hidden="1" customHeight="1">
      <c r="C1741" s="701"/>
      <c r="D1741" s="811"/>
      <c r="E1741" s="1276">
        <f>[11]building!Y2072</f>
        <v>0</v>
      </c>
      <c r="F1741" s="748">
        <f t="shared" si="266"/>
        <v>0</v>
      </c>
      <c r="G1741" s="1205"/>
      <c r="H1741" s="1055"/>
      <c r="I1741" s="1055"/>
      <c r="J1741" s="1055"/>
      <c r="K1741" s="1205"/>
      <c r="L1741" s="1055"/>
      <c r="M1741" s="1205"/>
      <c r="N1741" s="1054"/>
      <c r="O1741" s="1207"/>
      <c r="Q1741" s="1207"/>
    </row>
    <row r="1742" spans="3:17" s="700" customFormat="1" ht="70.5" hidden="1" customHeight="1">
      <c r="C1742" s="701"/>
      <c r="D1742" s="811"/>
      <c r="E1742" s="1276">
        <f>[11]building!Y2073</f>
        <v>0</v>
      </c>
      <c r="F1742" s="748">
        <f t="shared" si="266"/>
        <v>0</v>
      </c>
      <c r="G1742" s="1205"/>
      <c r="H1742" s="1055"/>
      <c r="I1742" s="1055"/>
      <c r="J1742" s="1055"/>
      <c r="K1742" s="1205"/>
      <c r="L1742" s="1055"/>
      <c r="M1742" s="1205"/>
      <c r="N1742" s="1054"/>
      <c r="O1742" s="1207"/>
      <c r="Q1742" s="1207"/>
    </row>
    <row r="1743" spans="3:17" s="700" customFormat="1" ht="70.5" hidden="1" customHeight="1">
      <c r="C1743" s="701"/>
      <c r="D1743" s="811"/>
      <c r="E1743" s="1276">
        <f>[11]building!Y2074</f>
        <v>0</v>
      </c>
      <c r="F1743" s="748">
        <f t="shared" si="266"/>
        <v>0</v>
      </c>
      <c r="G1743" s="1205"/>
      <c r="H1743" s="1055"/>
      <c r="I1743" s="1055"/>
      <c r="J1743" s="1055"/>
      <c r="K1743" s="1205"/>
      <c r="L1743" s="1055"/>
      <c r="M1743" s="1205"/>
      <c r="N1743" s="1054"/>
      <c r="O1743" s="1207"/>
      <c r="Q1743" s="1207"/>
    </row>
    <row r="1744" spans="3:17" s="700" customFormat="1" ht="70.5" hidden="1" customHeight="1">
      <c r="C1744" s="701"/>
      <c r="D1744" s="811"/>
      <c r="E1744" s="1276">
        <f>[11]building!Y2075</f>
        <v>0</v>
      </c>
      <c r="F1744" s="748">
        <f t="shared" si="266"/>
        <v>0</v>
      </c>
      <c r="G1744" s="1205"/>
      <c r="H1744" s="1055"/>
      <c r="I1744" s="1055"/>
      <c r="J1744" s="1055"/>
      <c r="K1744" s="1205"/>
      <c r="L1744" s="1055"/>
      <c r="M1744" s="1205"/>
      <c r="N1744" s="1054"/>
      <c r="O1744" s="1207"/>
      <c r="Q1744" s="1207"/>
    </row>
    <row r="1745" spans="3:17" s="700" customFormat="1" ht="70.5" hidden="1" customHeight="1">
      <c r="C1745" s="701"/>
      <c r="D1745" s="811"/>
      <c r="E1745" s="1276">
        <f>[11]building!Y2076</f>
        <v>0</v>
      </c>
      <c r="F1745" s="748">
        <f t="shared" si="266"/>
        <v>0</v>
      </c>
      <c r="G1745" s="1205"/>
      <c r="H1745" s="1055"/>
      <c r="I1745" s="1055"/>
      <c r="J1745" s="1055"/>
      <c r="K1745" s="1205"/>
      <c r="L1745" s="1055"/>
      <c r="M1745" s="1205"/>
      <c r="N1745" s="1054"/>
      <c r="O1745" s="1207"/>
      <c r="Q1745" s="1207"/>
    </row>
    <row r="1746" spans="3:17" s="700" customFormat="1" ht="70.5" hidden="1" customHeight="1">
      <c r="C1746" s="701"/>
      <c r="D1746" s="811"/>
      <c r="E1746" s="1276">
        <f>[11]building!Y2077</f>
        <v>0</v>
      </c>
      <c r="F1746" s="748">
        <f t="shared" si="266"/>
        <v>0</v>
      </c>
      <c r="G1746" s="1205"/>
      <c r="H1746" s="1055"/>
      <c r="I1746" s="1055"/>
      <c r="J1746" s="1055"/>
      <c r="K1746" s="1205"/>
      <c r="L1746" s="1055"/>
      <c r="M1746" s="1205"/>
      <c r="N1746" s="1054"/>
      <c r="O1746" s="1207"/>
      <c r="Q1746" s="1207"/>
    </row>
    <row r="1747" spans="3:17" s="700" customFormat="1" ht="70.5" hidden="1" customHeight="1">
      <c r="C1747" s="701"/>
      <c r="D1747" s="811"/>
      <c r="E1747" s="1276">
        <f>[11]building!Y2078</f>
        <v>0</v>
      </c>
      <c r="F1747" s="748">
        <f t="shared" si="266"/>
        <v>0</v>
      </c>
      <c r="G1747" s="1205"/>
      <c r="H1747" s="1055"/>
      <c r="I1747" s="1055"/>
      <c r="J1747" s="1055"/>
      <c r="K1747" s="1205"/>
      <c r="L1747" s="1055"/>
      <c r="M1747" s="1205"/>
      <c r="N1747" s="1054"/>
      <c r="O1747" s="1207"/>
      <c r="Q1747" s="1207"/>
    </row>
    <row r="1748" spans="3:17" s="700" customFormat="1" ht="70.5" hidden="1" customHeight="1">
      <c r="C1748" s="701"/>
      <c r="D1748" s="811"/>
      <c r="E1748" s="1276">
        <f>[11]building!Y2079</f>
        <v>0</v>
      </c>
      <c r="F1748" s="748">
        <f t="shared" si="266"/>
        <v>0</v>
      </c>
      <c r="G1748" s="1205"/>
      <c r="H1748" s="1055"/>
      <c r="I1748" s="1055"/>
      <c r="J1748" s="1055"/>
      <c r="K1748" s="1205"/>
      <c r="L1748" s="1055"/>
      <c r="M1748" s="1205"/>
      <c r="N1748" s="1054"/>
      <c r="O1748" s="1207"/>
      <c r="Q1748" s="1207"/>
    </row>
    <row r="1749" spans="3:17" s="700" customFormat="1" ht="70.5" hidden="1" customHeight="1">
      <c r="C1749" s="701"/>
      <c r="D1749" s="811"/>
      <c r="E1749" s="1276">
        <f>[11]building!Y2080</f>
        <v>0</v>
      </c>
      <c r="F1749" s="748">
        <f t="shared" si="266"/>
        <v>0</v>
      </c>
      <c r="G1749" s="1205"/>
      <c r="H1749" s="1055"/>
      <c r="I1749" s="1055"/>
      <c r="J1749" s="1055"/>
      <c r="K1749" s="1205"/>
      <c r="L1749" s="1055"/>
      <c r="M1749" s="1205"/>
      <c r="N1749" s="1054"/>
      <c r="O1749" s="1207"/>
      <c r="Q1749" s="1207"/>
    </row>
    <row r="1750" spans="3:17" s="700" customFormat="1" ht="70.5" hidden="1" customHeight="1">
      <c r="C1750" s="701"/>
      <c r="D1750" s="811"/>
      <c r="E1750" s="1276">
        <f>[11]building!Y2081</f>
        <v>0</v>
      </c>
      <c r="F1750" s="748">
        <f t="shared" si="266"/>
        <v>0</v>
      </c>
      <c r="G1750" s="1205"/>
      <c r="H1750" s="1055"/>
      <c r="I1750" s="1055"/>
      <c r="J1750" s="1055"/>
      <c r="K1750" s="1205"/>
      <c r="L1750" s="1055"/>
      <c r="M1750" s="1205"/>
      <c r="N1750" s="1054"/>
      <c r="O1750" s="1207"/>
      <c r="Q1750" s="1207"/>
    </row>
    <row r="1751" spans="3:17" s="700" customFormat="1" ht="70.5" hidden="1" customHeight="1">
      <c r="C1751" s="701"/>
      <c r="D1751" s="811"/>
      <c r="E1751" s="1276">
        <f>[11]building!Y2082</f>
        <v>0</v>
      </c>
      <c r="F1751" s="748">
        <f t="shared" si="266"/>
        <v>0</v>
      </c>
      <c r="G1751" s="1205"/>
      <c r="H1751" s="1055"/>
      <c r="I1751" s="1055"/>
      <c r="J1751" s="1055"/>
      <c r="K1751" s="1205"/>
      <c r="L1751" s="1055"/>
      <c r="M1751" s="1205"/>
      <c r="N1751" s="1054"/>
      <c r="O1751" s="1207"/>
      <c r="Q1751" s="1207"/>
    </row>
    <row r="1752" spans="3:17" s="700" customFormat="1" ht="70.5" hidden="1" customHeight="1">
      <c r="C1752" s="701"/>
      <c r="D1752" s="811"/>
      <c r="E1752" s="1276">
        <f>[11]building!Y2083</f>
        <v>0</v>
      </c>
      <c r="F1752" s="748">
        <f t="shared" si="266"/>
        <v>0</v>
      </c>
      <c r="G1752" s="1205"/>
      <c r="H1752" s="1055"/>
      <c r="I1752" s="1055"/>
      <c r="J1752" s="1055"/>
      <c r="K1752" s="1205"/>
      <c r="L1752" s="1055"/>
      <c r="M1752" s="1205"/>
      <c r="N1752" s="1054"/>
      <c r="O1752" s="1207"/>
      <c r="Q1752" s="1207"/>
    </row>
    <row r="1753" spans="3:17" s="700" customFormat="1" ht="70.5" hidden="1" customHeight="1">
      <c r="C1753" s="701"/>
      <c r="D1753" s="811"/>
      <c r="E1753" s="1276">
        <f>[11]building!Y2084</f>
        <v>0</v>
      </c>
      <c r="F1753" s="748">
        <f t="shared" si="266"/>
        <v>0</v>
      </c>
      <c r="G1753" s="1205"/>
      <c r="H1753" s="1055"/>
      <c r="I1753" s="1055"/>
      <c r="J1753" s="1055"/>
      <c r="K1753" s="1205"/>
      <c r="L1753" s="1055"/>
      <c r="M1753" s="1205"/>
      <c r="N1753" s="1054"/>
      <c r="O1753" s="1207"/>
      <c r="Q1753" s="1207"/>
    </row>
    <row r="1754" spans="3:17" s="700" customFormat="1" ht="70.5" hidden="1" customHeight="1">
      <c r="C1754" s="701"/>
      <c r="D1754" s="811"/>
      <c r="E1754" s="1276">
        <f>[11]building!Y2085</f>
        <v>0</v>
      </c>
      <c r="F1754" s="748">
        <f t="shared" si="266"/>
        <v>0</v>
      </c>
      <c r="G1754" s="1205"/>
      <c r="H1754" s="1055"/>
      <c r="I1754" s="1055"/>
      <c r="J1754" s="1055"/>
      <c r="K1754" s="1205"/>
      <c r="L1754" s="1055"/>
      <c r="M1754" s="1205"/>
      <c r="N1754" s="1054"/>
      <c r="O1754" s="1207"/>
      <c r="Q1754" s="1207"/>
    </row>
    <row r="1755" spans="3:17" s="700" customFormat="1" ht="70.5" hidden="1" customHeight="1">
      <c r="C1755" s="701"/>
      <c r="D1755" s="811"/>
      <c r="E1755" s="1276">
        <f>[11]building!Y2086</f>
        <v>0</v>
      </c>
      <c r="F1755" s="748">
        <f t="shared" si="266"/>
        <v>0</v>
      </c>
      <c r="G1755" s="1205"/>
      <c r="H1755" s="1055"/>
      <c r="I1755" s="1055"/>
      <c r="J1755" s="1055"/>
      <c r="K1755" s="1205"/>
      <c r="L1755" s="1055"/>
      <c r="M1755" s="1205"/>
      <c r="N1755" s="1054"/>
      <c r="O1755" s="1207"/>
      <c r="Q1755" s="1207"/>
    </row>
    <row r="1756" spans="3:17" s="700" customFormat="1" ht="70.5" hidden="1" customHeight="1">
      <c r="C1756" s="701"/>
      <c r="D1756" s="811"/>
      <c r="E1756" s="1276">
        <f>[11]building!Y2087</f>
        <v>0</v>
      </c>
      <c r="F1756" s="748">
        <f t="shared" si="266"/>
        <v>0</v>
      </c>
      <c r="G1756" s="1205"/>
      <c r="H1756" s="1055"/>
      <c r="I1756" s="1055"/>
      <c r="J1756" s="1055"/>
      <c r="K1756" s="1205"/>
      <c r="L1756" s="1055"/>
      <c r="M1756" s="1205"/>
      <c r="N1756" s="1054"/>
      <c r="O1756" s="1207"/>
      <c r="Q1756" s="1207"/>
    </row>
    <row r="1757" spans="3:17" s="700" customFormat="1" ht="70.5" hidden="1" customHeight="1">
      <c r="C1757" s="701"/>
      <c r="D1757" s="811"/>
      <c r="E1757" s="1276">
        <f>[11]building!Y2088</f>
        <v>0</v>
      </c>
      <c r="F1757" s="748">
        <f t="shared" si="266"/>
        <v>0</v>
      </c>
      <c r="G1757" s="1205"/>
      <c r="H1757" s="1055"/>
      <c r="I1757" s="1055"/>
      <c r="J1757" s="1055"/>
      <c r="K1757" s="1205"/>
      <c r="L1757" s="1055"/>
      <c r="M1757" s="1205"/>
      <c r="N1757" s="1054"/>
      <c r="O1757" s="1207"/>
      <c r="Q1757" s="1207"/>
    </row>
    <row r="1758" spans="3:17" s="700" customFormat="1" ht="70.5" hidden="1" customHeight="1">
      <c r="C1758" s="701"/>
      <c r="D1758" s="811"/>
      <c r="E1758" s="1276">
        <f>[11]building!Y2089</f>
        <v>0</v>
      </c>
      <c r="F1758" s="748">
        <f t="shared" si="266"/>
        <v>0</v>
      </c>
      <c r="G1758" s="1205"/>
      <c r="H1758" s="1055"/>
      <c r="I1758" s="1055"/>
      <c r="J1758" s="1055"/>
      <c r="K1758" s="1205"/>
      <c r="L1758" s="1055"/>
      <c r="M1758" s="1205"/>
      <c r="N1758" s="1054"/>
      <c r="O1758" s="1207"/>
      <c r="Q1758" s="1207"/>
    </row>
    <row r="1759" spans="3:17" s="700" customFormat="1" ht="70.5" hidden="1" customHeight="1">
      <c r="C1759" s="701"/>
      <c r="D1759" s="811"/>
      <c r="E1759" s="1276">
        <f>[11]building!Y2090</f>
        <v>0</v>
      </c>
      <c r="F1759" s="748">
        <f t="shared" si="266"/>
        <v>0</v>
      </c>
      <c r="G1759" s="1205"/>
      <c r="H1759" s="1055"/>
      <c r="I1759" s="1055"/>
      <c r="J1759" s="1055"/>
      <c r="K1759" s="1205"/>
      <c r="L1759" s="1055"/>
      <c r="M1759" s="1205"/>
      <c r="N1759" s="1054"/>
      <c r="O1759" s="1207"/>
      <c r="Q1759" s="1207"/>
    </row>
    <row r="1760" spans="3:17" s="700" customFormat="1" ht="70.5" hidden="1" customHeight="1">
      <c r="C1760" s="701"/>
      <c r="D1760" s="811"/>
      <c r="E1760" s="1276">
        <f>[11]building!Y2091</f>
        <v>0</v>
      </c>
      <c r="F1760" s="748">
        <f t="shared" si="266"/>
        <v>0</v>
      </c>
      <c r="G1760" s="1205"/>
      <c r="H1760" s="1055"/>
      <c r="I1760" s="1055"/>
      <c r="J1760" s="1055"/>
      <c r="K1760" s="1205"/>
      <c r="L1760" s="1055"/>
      <c r="M1760" s="1205"/>
      <c r="N1760" s="1054"/>
      <c r="O1760" s="1207"/>
      <c r="Q1760" s="1207"/>
    </row>
    <row r="1761" spans="3:17" s="700" customFormat="1" ht="70.5" hidden="1" customHeight="1">
      <c r="C1761" s="701"/>
      <c r="D1761" s="811"/>
      <c r="E1761" s="1276">
        <f>[11]building!Y2092</f>
        <v>0</v>
      </c>
      <c r="F1761" s="748">
        <f t="shared" si="266"/>
        <v>0</v>
      </c>
      <c r="G1761" s="1205"/>
      <c r="H1761" s="1055"/>
      <c r="I1761" s="1055"/>
      <c r="J1761" s="1055"/>
      <c r="K1761" s="1205"/>
      <c r="L1761" s="1055"/>
      <c r="M1761" s="1205"/>
      <c r="N1761" s="1054"/>
      <c r="O1761" s="1207"/>
      <c r="Q1761" s="1207"/>
    </row>
    <row r="1762" spans="3:17" s="700" customFormat="1" ht="70.5" hidden="1" customHeight="1">
      <c r="C1762" s="701"/>
      <c r="D1762" s="811"/>
      <c r="E1762" s="1276">
        <f>[11]building!Y2093</f>
        <v>0</v>
      </c>
      <c r="F1762" s="748">
        <f t="shared" si="266"/>
        <v>0</v>
      </c>
      <c r="G1762" s="1205"/>
      <c r="H1762" s="1055"/>
      <c r="I1762" s="1055"/>
      <c r="J1762" s="1055"/>
      <c r="K1762" s="1205"/>
      <c r="L1762" s="1055"/>
      <c r="M1762" s="1205"/>
      <c r="N1762" s="1054"/>
      <c r="O1762" s="1207"/>
      <c r="Q1762" s="1207"/>
    </row>
    <row r="1763" spans="3:17" s="700" customFormat="1" ht="70.5" hidden="1" customHeight="1">
      <c r="C1763" s="701"/>
      <c r="D1763" s="811"/>
      <c r="E1763" s="1276">
        <f>[11]building!Y2094</f>
        <v>0</v>
      </c>
      <c r="F1763" s="748">
        <f t="shared" si="266"/>
        <v>0</v>
      </c>
      <c r="G1763" s="1205"/>
      <c r="H1763" s="1055"/>
      <c r="I1763" s="1055"/>
      <c r="J1763" s="1055"/>
      <c r="K1763" s="1205"/>
      <c r="L1763" s="1055"/>
      <c r="M1763" s="1205"/>
      <c r="N1763" s="1054"/>
      <c r="O1763" s="1207"/>
      <c r="Q1763" s="1207"/>
    </row>
    <row r="1764" spans="3:17" s="700" customFormat="1" ht="70.5" hidden="1" customHeight="1">
      <c r="C1764" s="701"/>
      <c r="D1764" s="811"/>
      <c r="E1764" s="1276">
        <f>[11]building!Y2095</f>
        <v>0</v>
      </c>
      <c r="F1764" s="748">
        <f t="shared" si="266"/>
        <v>0</v>
      </c>
      <c r="G1764" s="1205"/>
      <c r="H1764" s="1055"/>
      <c r="I1764" s="1055"/>
      <c r="J1764" s="1055"/>
      <c r="K1764" s="1205"/>
      <c r="L1764" s="1055"/>
      <c r="M1764" s="1205"/>
      <c r="N1764" s="1054"/>
      <c r="O1764" s="1207"/>
      <c r="Q1764" s="1207"/>
    </row>
    <row r="1765" spans="3:17" s="700" customFormat="1" ht="70.5" hidden="1" customHeight="1">
      <c r="C1765" s="701"/>
      <c r="D1765" s="811"/>
      <c r="E1765" s="1276">
        <f>[11]building!Y2096</f>
        <v>0</v>
      </c>
      <c r="F1765" s="748">
        <f t="shared" si="266"/>
        <v>0</v>
      </c>
      <c r="G1765" s="1205"/>
      <c r="H1765" s="1055"/>
      <c r="I1765" s="1055"/>
      <c r="J1765" s="1055"/>
      <c r="K1765" s="1205"/>
      <c r="L1765" s="1055"/>
      <c r="M1765" s="1205"/>
      <c r="N1765" s="1054"/>
      <c r="O1765" s="1207"/>
      <c r="Q1765" s="1207"/>
    </row>
    <row r="1766" spans="3:17" s="700" customFormat="1" ht="70.5" hidden="1" customHeight="1">
      <c r="C1766" s="701"/>
      <c r="D1766" s="811"/>
      <c r="E1766" s="1276">
        <f>[11]building!Y2097</f>
        <v>0</v>
      </c>
      <c r="F1766" s="748">
        <f t="shared" si="266"/>
        <v>0</v>
      </c>
      <c r="G1766" s="1205"/>
      <c r="H1766" s="1055"/>
      <c r="I1766" s="1055"/>
      <c r="J1766" s="1055"/>
      <c r="K1766" s="1205"/>
      <c r="L1766" s="1055"/>
      <c r="M1766" s="1205"/>
      <c r="N1766" s="1054"/>
      <c r="O1766" s="1207"/>
      <c r="Q1766" s="1207"/>
    </row>
    <row r="1767" spans="3:17" s="700" customFormat="1" ht="70.5" hidden="1" customHeight="1">
      <c r="C1767" s="701"/>
      <c r="D1767" s="811"/>
      <c r="E1767" s="1276">
        <f>[11]building!Y2098</f>
        <v>0</v>
      </c>
      <c r="F1767" s="748">
        <f t="shared" si="266"/>
        <v>0</v>
      </c>
      <c r="G1767" s="1205"/>
      <c r="H1767" s="1055"/>
      <c r="I1767" s="1055"/>
      <c r="J1767" s="1055"/>
      <c r="K1767" s="1205"/>
      <c r="L1767" s="1055"/>
      <c r="M1767" s="1205"/>
      <c r="N1767" s="1054"/>
      <c r="O1767" s="1207"/>
      <c r="Q1767" s="1207"/>
    </row>
    <row r="1768" spans="3:17" s="700" customFormat="1" ht="70.5" hidden="1" customHeight="1">
      <c r="C1768" s="701"/>
      <c r="D1768" s="811"/>
      <c r="E1768" s="1276">
        <f>[11]building!Y2099</f>
        <v>0</v>
      </c>
      <c r="F1768" s="748">
        <f t="shared" si="266"/>
        <v>0</v>
      </c>
      <c r="G1768" s="1205"/>
      <c r="H1768" s="1055"/>
      <c r="I1768" s="1055"/>
      <c r="J1768" s="1055"/>
      <c r="K1768" s="1205"/>
      <c r="L1768" s="1055"/>
      <c r="M1768" s="1205"/>
      <c r="N1768" s="1054"/>
      <c r="O1768" s="1207"/>
      <c r="Q1768" s="1207"/>
    </row>
    <row r="1769" spans="3:17" s="700" customFormat="1" ht="70.5" hidden="1" customHeight="1">
      <c r="C1769" s="701"/>
      <c r="D1769" s="811"/>
      <c r="E1769" s="1276">
        <f>[11]building!Y2100</f>
        <v>0</v>
      </c>
      <c r="F1769" s="748">
        <f t="shared" si="266"/>
        <v>0</v>
      </c>
      <c r="G1769" s="1205"/>
      <c r="H1769" s="1055"/>
      <c r="I1769" s="1055"/>
      <c r="J1769" s="1055"/>
      <c r="K1769" s="1205"/>
      <c r="L1769" s="1055"/>
      <c r="M1769" s="1205"/>
      <c r="N1769" s="1054"/>
      <c r="O1769" s="1207"/>
      <c r="Q1769" s="1207"/>
    </row>
    <row r="1770" spans="3:17" s="700" customFormat="1" ht="70.5" hidden="1" customHeight="1">
      <c r="C1770" s="701"/>
      <c r="D1770" s="811"/>
      <c r="E1770" s="1276">
        <f>[11]building!Y2101</f>
        <v>0</v>
      </c>
      <c r="F1770" s="748">
        <f t="shared" si="266"/>
        <v>0</v>
      </c>
      <c r="G1770" s="1205"/>
      <c r="H1770" s="1055"/>
      <c r="I1770" s="1055"/>
      <c r="J1770" s="1055"/>
      <c r="K1770" s="1205"/>
      <c r="L1770" s="1055"/>
      <c r="M1770" s="1205"/>
      <c r="N1770" s="1054"/>
      <c r="O1770" s="1207"/>
      <c r="Q1770" s="1207"/>
    </row>
    <row r="1771" spans="3:17" s="700" customFormat="1" ht="70.5" hidden="1" customHeight="1">
      <c r="C1771" s="701"/>
      <c r="D1771" s="811"/>
      <c r="E1771" s="1276">
        <f>[11]building!Y2102</f>
        <v>0</v>
      </c>
      <c r="F1771" s="748">
        <f t="shared" si="266"/>
        <v>0</v>
      </c>
      <c r="G1771" s="1205"/>
      <c r="H1771" s="1055"/>
      <c r="I1771" s="1055"/>
      <c r="J1771" s="1055"/>
      <c r="K1771" s="1205"/>
      <c r="L1771" s="1055"/>
      <c r="M1771" s="1205"/>
      <c r="N1771" s="1054"/>
      <c r="O1771" s="1207"/>
      <c r="Q1771" s="1207"/>
    </row>
    <row r="1772" spans="3:17" s="700" customFormat="1" ht="70.5" hidden="1" customHeight="1">
      <c r="C1772" s="701"/>
      <c r="D1772" s="811"/>
      <c r="E1772" s="1276">
        <f>[11]building!Y2103</f>
        <v>0</v>
      </c>
      <c r="F1772" s="748">
        <f t="shared" si="266"/>
        <v>0</v>
      </c>
      <c r="G1772" s="1205"/>
      <c r="H1772" s="1055"/>
      <c r="I1772" s="1055"/>
      <c r="J1772" s="1055"/>
      <c r="K1772" s="1205"/>
      <c r="L1772" s="1055"/>
      <c r="M1772" s="1205"/>
      <c r="N1772" s="1054"/>
      <c r="O1772" s="1207"/>
      <c r="Q1772" s="1207"/>
    </row>
    <row r="1773" spans="3:17" s="700" customFormat="1" ht="70.5" hidden="1" customHeight="1">
      <c r="C1773" s="701"/>
      <c r="D1773" s="811"/>
      <c r="E1773" s="1276">
        <f>[11]building!Y2104</f>
        <v>0</v>
      </c>
      <c r="F1773" s="748">
        <f t="shared" si="266"/>
        <v>0</v>
      </c>
      <c r="G1773" s="1205"/>
      <c r="H1773" s="1055"/>
      <c r="I1773" s="1055"/>
      <c r="J1773" s="1055"/>
      <c r="K1773" s="1205"/>
      <c r="L1773" s="1055"/>
      <c r="M1773" s="1205"/>
      <c r="N1773" s="1054"/>
      <c r="O1773" s="1207"/>
      <c r="Q1773" s="1207"/>
    </row>
    <row r="1774" spans="3:17" s="700" customFormat="1" ht="70.5" hidden="1" customHeight="1">
      <c r="C1774" s="701"/>
      <c r="D1774" s="811"/>
      <c r="E1774" s="1276">
        <f>[11]building!Y2105</f>
        <v>0</v>
      </c>
      <c r="F1774" s="748">
        <f t="shared" si="266"/>
        <v>0</v>
      </c>
      <c r="G1774" s="1205"/>
      <c r="H1774" s="1055"/>
      <c r="I1774" s="1055"/>
      <c r="J1774" s="1055"/>
      <c r="K1774" s="1205"/>
      <c r="L1774" s="1055"/>
      <c r="M1774" s="1205"/>
      <c r="N1774" s="1054"/>
      <c r="O1774" s="1207"/>
      <c r="Q1774" s="1207"/>
    </row>
    <row r="1775" spans="3:17" s="700" customFormat="1" ht="70.5" hidden="1" customHeight="1">
      <c r="C1775" s="701"/>
      <c r="D1775" s="811"/>
      <c r="E1775" s="1276">
        <f>[11]building!Y2106</f>
        <v>0</v>
      </c>
      <c r="F1775" s="748">
        <f t="shared" si="266"/>
        <v>0</v>
      </c>
      <c r="G1775" s="1205"/>
      <c r="H1775" s="1055"/>
      <c r="I1775" s="1055"/>
      <c r="J1775" s="1055"/>
      <c r="K1775" s="1205"/>
      <c r="L1775" s="1055"/>
      <c r="M1775" s="1205"/>
      <c r="N1775" s="1054"/>
      <c r="O1775" s="1207"/>
      <c r="Q1775" s="1207"/>
    </row>
    <row r="1776" spans="3:17" s="700" customFormat="1" ht="70.5" hidden="1" customHeight="1">
      <c r="C1776" s="701"/>
      <c r="D1776" s="811"/>
      <c r="E1776" s="1276">
        <f>[11]building!Y2107</f>
        <v>0</v>
      </c>
      <c r="F1776" s="748">
        <f t="shared" si="266"/>
        <v>0</v>
      </c>
      <c r="G1776" s="1205"/>
      <c r="H1776" s="1055"/>
      <c r="I1776" s="1055"/>
      <c r="J1776" s="1055"/>
      <c r="K1776" s="1205"/>
      <c r="L1776" s="1055"/>
      <c r="M1776" s="1205"/>
      <c r="N1776" s="1054"/>
      <c r="O1776" s="1207"/>
      <c r="Q1776" s="1207"/>
    </row>
    <row r="1777" spans="3:17" s="700" customFormat="1" ht="70.5" hidden="1" customHeight="1">
      <c r="C1777" s="701"/>
      <c r="D1777" s="811"/>
      <c r="E1777" s="1276">
        <f>[11]building!Y2108</f>
        <v>0</v>
      </c>
      <c r="F1777" s="748">
        <f t="shared" si="266"/>
        <v>0</v>
      </c>
      <c r="G1777" s="1205"/>
      <c r="H1777" s="1055"/>
      <c r="I1777" s="1055"/>
      <c r="J1777" s="1055"/>
      <c r="K1777" s="1205"/>
      <c r="L1777" s="1055"/>
      <c r="M1777" s="1205"/>
      <c r="N1777" s="1054"/>
      <c r="O1777" s="1207"/>
      <c r="Q1777" s="1207"/>
    </row>
    <row r="1778" spans="3:17" s="700" customFormat="1" ht="70.5" hidden="1" customHeight="1">
      <c r="C1778" s="701"/>
      <c r="D1778" s="811"/>
      <c r="E1778" s="1276">
        <f>[11]building!Y2109</f>
        <v>0</v>
      </c>
      <c r="F1778" s="748">
        <f t="shared" si="266"/>
        <v>0</v>
      </c>
      <c r="G1778" s="1205"/>
      <c r="H1778" s="1055"/>
      <c r="I1778" s="1055"/>
      <c r="J1778" s="1055"/>
      <c r="K1778" s="1205"/>
      <c r="L1778" s="1055"/>
      <c r="M1778" s="1205"/>
      <c r="N1778" s="1054"/>
      <c r="O1778" s="1207"/>
      <c r="Q1778" s="1207"/>
    </row>
    <row r="1779" spans="3:17" s="700" customFormat="1" ht="70.5" hidden="1" customHeight="1">
      <c r="C1779" s="701"/>
      <c r="D1779" s="811"/>
      <c r="E1779" s="1276">
        <f>[11]building!Y2110</f>
        <v>0</v>
      </c>
      <c r="F1779" s="748">
        <f t="shared" si="266"/>
        <v>0</v>
      </c>
      <c r="G1779" s="1205"/>
      <c r="H1779" s="1055"/>
      <c r="I1779" s="1055"/>
      <c r="J1779" s="1055"/>
      <c r="K1779" s="1205"/>
      <c r="L1779" s="1055"/>
      <c r="M1779" s="1205"/>
      <c r="N1779" s="1054"/>
      <c r="O1779" s="1207"/>
      <c r="Q1779" s="1207"/>
    </row>
    <row r="1780" spans="3:17" s="700" customFormat="1" ht="70.5" hidden="1" customHeight="1">
      <c r="C1780" s="701"/>
      <c r="D1780" s="811"/>
      <c r="E1780" s="1276">
        <f>[11]building!Y2111</f>
        <v>0</v>
      </c>
      <c r="F1780" s="748">
        <f t="shared" si="266"/>
        <v>0</v>
      </c>
      <c r="G1780" s="1205"/>
      <c r="H1780" s="1055"/>
      <c r="I1780" s="1055"/>
      <c r="J1780" s="1055"/>
      <c r="K1780" s="1205"/>
      <c r="L1780" s="1055"/>
      <c r="M1780" s="1205"/>
      <c r="N1780" s="1054"/>
      <c r="O1780" s="1207"/>
      <c r="Q1780" s="1207"/>
    </row>
    <row r="1781" spans="3:17" s="700" customFormat="1" ht="70.5" hidden="1" customHeight="1">
      <c r="C1781" s="701"/>
      <c r="D1781" s="811"/>
      <c r="E1781" s="1276">
        <f>[11]building!Y2112</f>
        <v>0</v>
      </c>
      <c r="F1781" s="748">
        <f t="shared" si="266"/>
        <v>0</v>
      </c>
      <c r="G1781" s="1205"/>
      <c r="H1781" s="1055"/>
      <c r="I1781" s="1055"/>
      <c r="J1781" s="1055"/>
      <c r="K1781" s="1205"/>
      <c r="L1781" s="1055"/>
      <c r="M1781" s="1205"/>
      <c r="N1781" s="1054"/>
      <c r="O1781" s="1207"/>
      <c r="Q1781" s="1207"/>
    </row>
    <row r="1782" spans="3:17" s="700" customFormat="1" ht="70.5" hidden="1" customHeight="1">
      <c r="C1782" s="701"/>
      <c r="D1782" s="811"/>
      <c r="E1782" s="1276">
        <f>[11]building!Y2113</f>
        <v>0</v>
      </c>
      <c r="F1782" s="748">
        <f t="shared" si="266"/>
        <v>0</v>
      </c>
      <c r="G1782" s="1205"/>
      <c r="H1782" s="1055"/>
      <c r="I1782" s="1055"/>
      <c r="J1782" s="1055"/>
      <c r="K1782" s="1205"/>
      <c r="L1782" s="1055"/>
      <c r="M1782" s="1205"/>
      <c r="N1782" s="1054"/>
      <c r="O1782" s="1207"/>
      <c r="Q1782" s="1207"/>
    </row>
    <row r="1783" spans="3:17" s="700" customFormat="1" ht="70.5" hidden="1" customHeight="1">
      <c r="C1783" s="701"/>
      <c r="D1783" s="811"/>
      <c r="E1783" s="1276">
        <f>[11]building!Y2114</f>
        <v>0</v>
      </c>
      <c r="F1783" s="748">
        <f t="shared" si="266"/>
        <v>0</v>
      </c>
      <c r="G1783" s="1205"/>
      <c r="H1783" s="1055"/>
      <c r="I1783" s="1055"/>
      <c r="J1783" s="1055"/>
      <c r="K1783" s="1205"/>
      <c r="L1783" s="1055"/>
      <c r="M1783" s="1205"/>
      <c r="N1783" s="1054"/>
      <c r="O1783" s="1207"/>
      <c r="Q1783" s="1207"/>
    </row>
    <row r="1784" spans="3:17" s="700" customFormat="1" ht="70.5" hidden="1" customHeight="1">
      <c r="C1784" s="701"/>
      <c r="D1784" s="811"/>
      <c r="E1784" s="1276">
        <f>[11]building!Y2115</f>
        <v>0</v>
      </c>
      <c r="F1784" s="748">
        <f t="shared" si="266"/>
        <v>0</v>
      </c>
      <c r="G1784" s="1205"/>
      <c r="H1784" s="1055"/>
      <c r="I1784" s="1055"/>
      <c r="J1784" s="1055"/>
      <c r="K1784" s="1205"/>
      <c r="L1784" s="1055"/>
      <c r="M1784" s="1205"/>
      <c r="N1784" s="1054"/>
      <c r="O1784" s="1207"/>
      <c r="Q1784" s="1207"/>
    </row>
    <row r="1785" spans="3:17" s="700" customFormat="1" ht="70.5" hidden="1" customHeight="1">
      <c r="C1785" s="701"/>
      <c r="D1785" s="811"/>
      <c r="E1785" s="1276">
        <f>[11]building!Y2116</f>
        <v>0</v>
      </c>
      <c r="F1785" s="748">
        <f t="shared" si="266"/>
        <v>0</v>
      </c>
      <c r="G1785" s="1205"/>
      <c r="H1785" s="1055"/>
      <c r="I1785" s="1055"/>
      <c r="J1785" s="1055"/>
      <c r="K1785" s="1205"/>
      <c r="L1785" s="1055"/>
      <c r="M1785" s="1205"/>
      <c r="N1785" s="1054"/>
      <c r="O1785" s="1207"/>
      <c r="Q1785" s="1207"/>
    </row>
    <row r="1786" spans="3:17" s="700" customFormat="1" ht="70.5" hidden="1" customHeight="1">
      <c r="C1786" s="701"/>
      <c r="D1786" s="811"/>
      <c r="E1786" s="1276">
        <f>[11]building!Y2117</f>
        <v>0</v>
      </c>
      <c r="F1786" s="748">
        <f t="shared" si="266"/>
        <v>0</v>
      </c>
      <c r="G1786" s="1205"/>
      <c r="H1786" s="1055"/>
      <c r="I1786" s="1055"/>
      <c r="J1786" s="1055"/>
      <c r="K1786" s="1205"/>
      <c r="L1786" s="1055"/>
      <c r="M1786" s="1205"/>
      <c r="N1786" s="1054"/>
      <c r="O1786" s="1207"/>
      <c r="Q1786" s="1207"/>
    </row>
    <row r="1787" spans="3:17" s="700" customFormat="1" ht="70.5" hidden="1" customHeight="1">
      <c r="C1787" s="701"/>
      <c r="D1787" s="811"/>
      <c r="E1787" s="1276">
        <f>[11]building!Y2118</f>
        <v>0</v>
      </c>
      <c r="F1787" s="748">
        <f t="shared" si="266"/>
        <v>0</v>
      </c>
      <c r="G1787" s="1205"/>
      <c r="H1787" s="1055"/>
      <c r="I1787" s="1055"/>
      <c r="J1787" s="1055"/>
      <c r="K1787" s="1205"/>
      <c r="L1787" s="1055"/>
      <c r="M1787" s="1205"/>
      <c r="N1787" s="1054"/>
      <c r="O1787" s="1207"/>
      <c r="Q1787" s="1207"/>
    </row>
    <row r="1788" spans="3:17" s="700" customFormat="1" ht="70.5" hidden="1" customHeight="1">
      <c r="C1788" s="701"/>
      <c r="D1788" s="811"/>
      <c r="E1788" s="1276">
        <f>[11]building!Y2119</f>
        <v>0</v>
      </c>
      <c r="F1788" s="748">
        <f t="shared" si="266"/>
        <v>0</v>
      </c>
      <c r="G1788" s="1205"/>
      <c r="H1788" s="1055"/>
      <c r="I1788" s="1055"/>
      <c r="J1788" s="1055"/>
      <c r="K1788" s="1205"/>
      <c r="L1788" s="1055"/>
      <c r="M1788" s="1205"/>
      <c r="N1788" s="1054"/>
      <c r="O1788" s="1207"/>
      <c r="Q1788" s="1207"/>
    </row>
    <row r="1789" spans="3:17" s="700" customFormat="1" ht="70.5" hidden="1" customHeight="1">
      <c r="C1789" s="701"/>
      <c r="D1789" s="811"/>
      <c r="E1789" s="1276">
        <f>[11]building!Y2120</f>
        <v>0</v>
      </c>
      <c r="F1789" s="748">
        <f t="shared" si="266"/>
        <v>0</v>
      </c>
      <c r="G1789" s="1205"/>
      <c r="H1789" s="1055"/>
      <c r="I1789" s="1055"/>
      <c r="J1789" s="1055"/>
      <c r="K1789" s="1205"/>
      <c r="L1789" s="1055"/>
      <c r="M1789" s="1205"/>
      <c r="N1789" s="1054"/>
      <c r="O1789" s="1207"/>
      <c r="Q1789" s="1207"/>
    </row>
    <row r="1790" spans="3:17" s="700" customFormat="1" ht="70.5" hidden="1" customHeight="1">
      <c r="C1790" s="701"/>
      <c r="D1790" s="811"/>
      <c r="E1790" s="1276">
        <f>[11]building!Y2121</f>
        <v>0</v>
      </c>
      <c r="F1790" s="748">
        <f t="shared" si="266"/>
        <v>0</v>
      </c>
      <c r="G1790" s="1205"/>
      <c r="H1790" s="1055"/>
      <c r="I1790" s="1055"/>
      <c r="J1790" s="1055"/>
      <c r="K1790" s="1205"/>
      <c r="L1790" s="1055"/>
      <c r="M1790" s="1205"/>
      <c r="N1790" s="1054"/>
      <c r="O1790" s="1207"/>
      <c r="Q1790" s="1207"/>
    </row>
    <row r="1791" spans="3:17" s="700" customFormat="1" ht="70.5" hidden="1" customHeight="1">
      <c r="C1791" s="701"/>
      <c r="D1791" s="811"/>
      <c r="E1791" s="1276">
        <f>[11]building!Y2122</f>
        <v>0</v>
      </c>
      <c r="F1791" s="748">
        <f t="shared" si="266"/>
        <v>0</v>
      </c>
      <c r="G1791" s="1205"/>
      <c r="H1791" s="1055"/>
      <c r="I1791" s="1055"/>
      <c r="J1791" s="1055"/>
      <c r="K1791" s="1205"/>
      <c r="L1791" s="1055"/>
      <c r="M1791" s="1205"/>
      <c r="N1791" s="1054"/>
      <c r="O1791" s="1207"/>
      <c r="Q1791" s="1207"/>
    </row>
    <row r="1792" spans="3:17" s="700" customFormat="1" ht="70.5" hidden="1" customHeight="1">
      <c r="C1792" s="701"/>
      <c r="D1792" s="811"/>
      <c r="E1792" s="1276">
        <f>[11]building!Y2123</f>
        <v>0</v>
      </c>
      <c r="F1792" s="748">
        <f t="shared" ref="F1792:F1855" si="267">E1792*C1792</f>
        <v>0</v>
      </c>
      <c r="G1792" s="1205"/>
      <c r="H1792" s="1055"/>
      <c r="I1792" s="1055"/>
      <c r="J1792" s="1055"/>
      <c r="K1792" s="1205"/>
      <c r="L1792" s="1055"/>
      <c r="M1792" s="1205"/>
      <c r="N1792" s="1054"/>
      <c r="O1792" s="1207"/>
      <c r="Q1792" s="1207"/>
    </row>
    <row r="1793" spans="3:17" s="700" customFormat="1" ht="70.5" hidden="1" customHeight="1">
      <c r="C1793" s="701"/>
      <c r="D1793" s="811"/>
      <c r="E1793" s="1276">
        <f>[11]building!Y2124</f>
        <v>0</v>
      </c>
      <c r="F1793" s="748">
        <f t="shared" si="267"/>
        <v>0</v>
      </c>
      <c r="G1793" s="1205"/>
      <c r="H1793" s="1055"/>
      <c r="I1793" s="1055"/>
      <c r="J1793" s="1055"/>
      <c r="K1793" s="1205"/>
      <c r="L1793" s="1055"/>
      <c r="M1793" s="1205"/>
      <c r="N1793" s="1054"/>
      <c r="O1793" s="1207"/>
      <c r="Q1793" s="1207"/>
    </row>
    <row r="1794" spans="3:17" s="700" customFormat="1" ht="70.5" hidden="1" customHeight="1">
      <c r="C1794" s="701"/>
      <c r="D1794" s="811"/>
      <c r="E1794" s="1276">
        <f>[11]building!Y2125</f>
        <v>0</v>
      </c>
      <c r="F1794" s="748">
        <f t="shared" si="267"/>
        <v>0</v>
      </c>
      <c r="G1794" s="1205"/>
      <c r="H1794" s="1055"/>
      <c r="I1794" s="1055"/>
      <c r="J1794" s="1055"/>
      <c r="K1794" s="1205"/>
      <c r="L1794" s="1055"/>
      <c r="M1794" s="1205"/>
      <c r="N1794" s="1054"/>
      <c r="O1794" s="1207"/>
      <c r="Q1794" s="1207"/>
    </row>
    <row r="1795" spans="3:17" s="700" customFormat="1" ht="70.5" hidden="1" customHeight="1">
      <c r="C1795" s="701"/>
      <c r="D1795" s="811"/>
      <c r="E1795" s="1276">
        <f>[11]building!Y2126</f>
        <v>0</v>
      </c>
      <c r="F1795" s="748">
        <f t="shared" si="267"/>
        <v>0</v>
      </c>
      <c r="G1795" s="1205"/>
      <c r="H1795" s="1055"/>
      <c r="I1795" s="1055"/>
      <c r="J1795" s="1055"/>
      <c r="K1795" s="1205"/>
      <c r="L1795" s="1055"/>
      <c r="M1795" s="1205"/>
      <c r="N1795" s="1054"/>
      <c r="O1795" s="1207"/>
      <c r="Q1795" s="1207"/>
    </row>
    <row r="1796" spans="3:17" s="700" customFormat="1" ht="70.5" hidden="1" customHeight="1">
      <c r="C1796" s="701"/>
      <c r="D1796" s="811"/>
      <c r="E1796" s="1276">
        <f>[11]building!Y2127</f>
        <v>0</v>
      </c>
      <c r="F1796" s="748">
        <f t="shared" si="267"/>
        <v>0</v>
      </c>
      <c r="G1796" s="1205"/>
      <c r="H1796" s="1055"/>
      <c r="I1796" s="1055"/>
      <c r="J1796" s="1055"/>
      <c r="K1796" s="1205"/>
      <c r="L1796" s="1055"/>
      <c r="M1796" s="1205"/>
      <c r="N1796" s="1054"/>
      <c r="O1796" s="1207"/>
      <c r="Q1796" s="1207"/>
    </row>
    <row r="1797" spans="3:17" s="700" customFormat="1" ht="70.5" hidden="1" customHeight="1">
      <c r="C1797" s="701"/>
      <c r="D1797" s="811"/>
      <c r="E1797" s="1276">
        <f>[11]building!Y2128</f>
        <v>0</v>
      </c>
      <c r="F1797" s="748">
        <f t="shared" si="267"/>
        <v>0</v>
      </c>
      <c r="G1797" s="1205"/>
      <c r="H1797" s="1055"/>
      <c r="I1797" s="1055"/>
      <c r="J1797" s="1055"/>
      <c r="K1797" s="1205"/>
      <c r="L1797" s="1055"/>
      <c r="M1797" s="1205"/>
      <c r="N1797" s="1054"/>
      <c r="O1797" s="1207"/>
      <c r="Q1797" s="1207"/>
    </row>
    <row r="1798" spans="3:17" s="700" customFormat="1" ht="70.5" hidden="1" customHeight="1">
      <c r="C1798" s="701"/>
      <c r="D1798" s="811"/>
      <c r="E1798" s="1276">
        <f>[11]building!Y2129</f>
        <v>0</v>
      </c>
      <c r="F1798" s="748">
        <f t="shared" si="267"/>
        <v>0</v>
      </c>
      <c r="G1798" s="1205"/>
      <c r="H1798" s="1055"/>
      <c r="I1798" s="1055"/>
      <c r="J1798" s="1055"/>
      <c r="K1798" s="1205"/>
      <c r="L1798" s="1055"/>
      <c r="M1798" s="1205"/>
      <c r="N1798" s="1054"/>
      <c r="O1798" s="1207"/>
      <c r="Q1798" s="1207"/>
    </row>
    <row r="1799" spans="3:17" s="700" customFormat="1" ht="70.5" hidden="1" customHeight="1">
      <c r="C1799" s="701"/>
      <c r="D1799" s="811"/>
      <c r="E1799" s="1276">
        <f>[11]building!Y2130</f>
        <v>0</v>
      </c>
      <c r="F1799" s="748">
        <f t="shared" si="267"/>
        <v>0</v>
      </c>
      <c r="G1799" s="1205"/>
      <c r="H1799" s="1055"/>
      <c r="I1799" s="1055"/>
      <c r="J1799" s="1055"/>
      <c r="K1799" s="1205"/>
      <c r="L1799" s="1055"/>
      <c r="M1799" s="1205"/>
      <c r="N1799" s="1054"/>
      <c r="O1799" s="1207"/>
      <c r="Q1799" s="1207"/>
    </row>
    <row r="1800" spans="3:17" s="700" customFormat="1" ht="70.5" hidden="1" customHeight="1">
      <c r="C1800" s="701"/>
      <c r="D1800" s="811"/>
      <c r="E1800" s="1276">
        <f>[11]building!Y2131</f>
        <v>0</v>
      </c>
      <c r="F1800" s="748">
        <f t="shared" si="267"/>
        <v>0</v>
      </c>
      <c r="G1800" s="1205"/>
      <c r="H1800" s="1055"/>
      <c r="I1800" s="1055"/>
      <c r="J1800" s="1055"/>
      <c r="K1800" s="1205"/>
      <c r="L1800" s="1055"/>
      <c r="M1800" s="1205"/>
      <c r="N1800" s="1054"/>
      <c r="O1800" s="1207"/>
      <c r="Q1800" s="1207"/>
    </row>
    <row r="1801" spans="3:17" s="700" customFormat="1" ht="70.5" hidden="1" customHeight="1">
      <c r="C1801" s="701"/>
      <c r="D1801" s="811"/>
      <c r="E1801" s="1276">
        <f>[11]building!Y2132</f>
        <v>0</v>
      </c>
      <c r="F1801" s="748">
        <f t="shared" si="267"/>
        <v>0</v>
      </c>
      <c r="G1801" s="1205"/>
      <c r="H1801" s="1055"/>
      <c r="I1801" s="1055"/>
      <c r="J1801" s="1055"/>
      <c r="K1801" s="1205"/>
      <c r="L1801" s="1055"/>
      <c r="M1801" s="1205"/>
      <c r="N1801" s="1054"/>
      <c r="O1801" s="1207"/>
      <c r="Q1801" s="1207"/>
    </row>
    <row r="1802" spans="3:17" s="700" customFormat="1" ht="70.5" hidden="1" customHeight="1">
      <c r="C1802" s="701"/>
      <c r="D1802" s="811"/>
      <c r="E1802" s="1276">
        <f>[11]building!Y2133</f>
        <v>0</v>
      </c>
      <c r="F1802" s="748">
        <f t="shared" si="267"/>
        <v>0</v>
      </c>
      <c r="G1802" s="1205"/>
      <c r="H1802" s="1055"/>
      <c r="I1802" s="1055"/>
      <c r="J1802" s="1055"/>
      <c r="K1802" s="1205"/>
      <c r="L1802" s="1055"/>
      <c r="M1802" s="1205"/>
      <c r="N1802" s="1054"/>
      <c r="O1802" s="1207"/>
      <c r="Q1802" s="1207"/>
    </row>
    <row r="1803" spans="3:17" s="700" customFormat="1" ht="70.5" hidden="1" customHeight="1">
      <c r="C1803" s="701"/>
      <c r="D1803" s="811"/>
      <c r="E1803" s="1276">
        <f>[11]building!Y2134</f>
        <v>0</v>
      </c>
      <c r="F1803" s="748">
        <f t="shared" si="267"/>
        <v>0</v>
      </c>
      <c r="G1803" s="1205"/>
      <c r="H1803" s="1055"/>
      <c r="I1803" s="1055"/>
      <c r="J1803" s="1055"/>
      <c r="K1803" s="1205"/>
      <c r="L1803" s="1055"/>
      <c r="M1803" s="1205"/>
      <c r="N1803" s="1054"/>
      <c r="O1803" s="1207"/>
      <c r="Q1803" s="1207"/>
    </row>
    <row r="1804" spans="3:17" s="700" customFormat="1" ht="70.5" hidden="1" customHeight="1">
      <c r="C1804" s="701"/>
      <c r="D1804" s="811"/>
      <c r="E1804" s="1276">
        <f>[11]building!Y2135</f>
        <v>0</v>
      </c>
      <c r="F1804" s="748">
        <f t="shared" si="267"/>
        <v>0</v>
      </c>
      <c r="G1804" s="1205"/>
      <c r="H1804" s="1055"/>
      <c r="I1804" s="1055"/>
      <c r="J1804" s="1055"/>
      <c r="K1804" s="1205"/>
      <c r="L1804" s="1055"/>
      <c r="M1804" s="1205"/>
      <c r="N1804" s="1054"/>
      <c r="O1804" s="1207"/>
      <c r="Q1804" s="1207"/>
    </row>
    <row r="1805" spans="3:17" s="700" customFormat="1" ht="70.5" hidden="1" customHeight="1">
      <c r="C1805" s="701"/>
      <c r="D1805" s="811"/>
      <c r="E1805" s="1276">
        <f>[11]building!Y2136</f>
        <v>0</v>
      </c>
      <c r="F1805" s="748">
        <f t="shared" si="267"/>
        <v>0</v>
      </c>
      <c r="G1805" s="1205"/>
      <c r="H1805" s="1055"/>
      <c r="I1805" s="1055"/>
      <c r="J1805" s="1055"/>
      <c r="K1805" s="1205"/>
      <c r="L1805" s="1055"/>
      <c r="M1805" s="1205"/>
      <c r="N1805" s="1054"/>
      <c r="O1805" s="1207"/>
      <c r="Q1805" s="1207"/>
    </row>
    <row r="1806" spans="3:17" s="700" customFormat="1" ht="70.5" hidden="1" customHeight="1">
      <c r="C1806" s="701"/>
      <c r="D1806" s="811"/>
      <c r="E1806" s="1276">
        <f>[11]building!Y2137</f>
        <v>0</v>
      </c>
      <c r="F1806" s="748">
        <f t="shared" si="267"/>
        <v>0</v>
      </c>
      <c r="G1806" s="1205"/>
      <c r="H1806" s="1055"/>
      <c r="I1806" s="1055"/>
      <c r="J1806" s="1055"/>
      <c r="K1806" s="1205"/>
      <c r="L1806" s="1055"/>
      <c r="M1806" s="1205"/>
      <c r="N1806" s="1054"/>
      <c r="O1806" s="1207"/>
      <c r="Q1806" s="1207"/>
    </row>
    <row r="1807" spans="3:17" s="700" customFormat="1" ht="70.5" hidden="1" customHeight="1">
      <c r="C1807" s="701"/>
      <c r="D1807" s="811"/>
      <c r="E1807" s="1276">
        <f>[11]building!Y2138</f>
        <v>0</v>
      </c>
      <c r="F1807" s="748">
        <f t="shared" si="267"/>
        <v>0</v>
      </c>
      <c r="G1807" s="1205"/>
      <c r="H1807" s="1055"/>
      <c r="I1807" s="1055"/>
      <c r="J1807" s="1055"/>
      <c r="K1807" s="1205"/>
      <c r="L1807" s="1055"/>
      <c r="M1807" s="1205"/>
      <c r="N1807" s="1054"/>
      <c r="O1807" s="1207"/>
      <c r="Q1807" s="1207"/>
    </row>
    <row r="1808" spans="3:17" s="700" customFormat="1" ht="70.5" hidden="1" customHeight="1">
      <c r="C1808" s="701"/>
      <c r="D1808" s="811"/>
      <c r="E1808" s="1276">
        <f>[11]building!Y2139</f>
        <v>0</v>
      </c>
      <c r="F1808" s="748">
        <f t="shared" si="267"/>
        <v>0</v>
      </c>
      <c r="G1808" s="1205"/>
      <c r="H1808" s="1055"/>
      <c r="I1808" s="1055"/>
      <c r="J1808" s="1055"/>
      <c r="K1808" s="1205"/>
      <c r="L1808" s="1055"/>
      <c r="M1808" s="1205"/>
      <c r="N1808" s="1054"/>
      <c r="O1808" s="1207"/>
      <c r="Q1808" s="1207"/>
    </row>
    <row r="1809" spans="3:17" s="700" customFormat="1" ht="70.5" hidden="1" customHeight="1">
      <c r="C1809" s="701"/>
      <c r="D1809" s="811"/>
      <c r="E1809" s="1276">
        <f>[11]building!Y2140</f>
        <v>0</v>
      </c>
      <c r="F1809" s="748">
        <f t="shared" si="267"/>
        <v>0</v>
      </c>
      <c r="G1809" s="1205"/>
      <c r="H1809" s="1055"/>
      <c r="I1809" s="1055"/>
      <c r="J1809" s="1055"/>
      <c r="K1809" s="1205"/>
      <c r="L1809" s="1055"/>
      <c r="M1809" s="1205"/>
      <c r="N1809" s="1054"/>
      <c r="O1809" s="1207"/>
      <c r="Q1809" s="1207"/>
    </row>
    <row r="1810" spans="3:17" s="700" customFormat="1" ht="70.5" hidden="1" customHeight="1">
      <c r="C1810" s="701"/>
      <c r="D1810" s="811"/>
      <c r="E1810" s="1276">
        <f>[11]building!Y2141</f>
        <v>0</v>
      </c>
      <c r="F1810" s="748">
        <f t="shared" si="267"/>
        <v>0</v>
      </c>
      <c r="G1810" s="1205"/>
      <c r="H1810" s="1055"/>
      <c r="I1810" s="1055"/>
      <c r="J1810" s="1055"/>
      <c r="K1810" s="1205"/>
      <c r="L1810" s="1055"/>
      <c r="M1810" s="1205"/>
      <c r="N1810" s="1054"/>
      <c r="O1810" s="1207"/>
      <c r="Q1810" s="1207"/>
    </row>
    <row r="1811" spans="3:17" s="700" customFormat="1" ht="70.5" hidden="1" customHeight="1">
      <c r="C1811" s="701"/>
      <c r="D1811" s="811"/>
      <c r="E1811" s="1276">
        <f>[11]building!Y2142</f>
        <v>0</v>
      </c>
      <c r="F1811" s="748">
        <f t="shared" si="267"/>
        <v>0</v>
      </c>
      <c r="G1811" s="1205"/>
      <c r="H1811" s="1055"/>
      <c r="I1811" s="1055"/>
      <c r="J1811" s="1055"/>
      <c r="K1811" s="1205"/>
      <c r="L1811" s="1055"/>
      <c r="M1811" s="1205"/>
      <c r="N1811" s="1054"/>
      <c r="O1811" s="1207"/>
      <c r="Q1811" s="1207"/>
    </row>
    <row r="1812" spans="3:17" s="700" customFormat="1" ht="70.5" hidden="1" customHeight="1">
      <c r="C1812" s="701"/>
      <c r="D1812" s="811"/>
      <c r="E1812" s="1276">
        <f>[11]building!Y2143</f>
        <v>0</v>
      </c>
      <c r="F1812" s="748">
        <f t="shared" si="267"/>
        <v>0</v>
      </c>
      <c r="G1812" s="1205"/>
      <c r="H1812" s="1055"/>
      <c r="I1812" s="1055"/>
      <c r="J1812" s="1055"/>
      <c r="K1812" s="1205"/>
      <c r="L1812" s="1055"/>
      <c r="M1812" s="1205"/>
      <c r="N1812" s="1054"/>
      <c r="O1812" s="1207"/>
      <c r="Q1812" s="1207"/>
    </row>
    <row r="1813" spans="3:17" s="700" customFormat="1" ht="70.5" hidden="1" customHeight="1">
      <c r="C1813" s="701"/>
      <c r="D1813" s="811"/>
      <c r="E1813" s="1276">
        <f>[11]building!Y2144</f>
        <v>0</v>
      </c>
      <c r="F1813" s="748">
        <f t="shared" si="267"/>
        <v>0</v>
      </c>
      <c r="G1813" s="1205"/>
      <c r="H1813" s="1055"/>
      <c r="I1813" s="1055"/>
      <c r="J1813" s="1055"/>
      <c r="K1813" s="1205"/>
      <c r="L1813" s="1055"/>
      <c r="M1813" s="1205"/>
      <c r="N1813" s="1054"/>
      <c r="O1813" s="1207"/>
      <c r="Q1813" s="1207"/>
    </row>
    <row r="1814" spans="3:17" s="700" customFormat="1" ht="70.5" hidden="1" customHeight="1">
      <c r="C1814" s="701"/>
      <c r="D1814" s="811"/>
      <c r="E1814" s="1276">
        <f>[11]building!Y2145</f>
        <v>0</v>
      </c>
      <c r="F1814" s="748">
        <f t="shared" si="267"/>
        <v>0</v>
      </c>
      <c r="G1814" s="1205"/>
      <c r="H1814" s="1055"/>
      <c r="I1814" s="1055"/>
      <c r="J1814" s="1055"/>
      <c r="K1814" s="1205"/>
      <c r="L1814" s="1055"/>
      <c r="M1814" s="1205"/>
      <c r="N1814" s="1054"/>
      <c r="O1814" s="1207"/>
      <c r="Q1814" s="1207"/>
    </row>
    <row r="1815" spans="3:17" s="700" customFormat="1" ht="70.5" hidden="1" customHeight="1">
      <c r="C1815" s="701"/>
      <c r="D1815" s="811"/>
      <c r="E1815" s="1276">
        <f>[11]building!Y2146</f>
        <v>0</v>
      </c>
      <c r="F1815" s="748">
        <f t="shared" si="267"/>
        <v>0</v>
      </c>
      <c r="G1815" s="1205"/>
      <c r="H1815" s="1055"/>
      <c r="I1815" s="1055"/>
      <c r="J1815" s="1055"/>
      <c r="K1815" s="1205"/>
      <c r="L1815" s="1055"/>
      <c r="M1815" s="1205"/>
      <c r="N1815" s="1054"/>
      <c r="O1815" s="1207"/>
      <c r="Q1815" s="1207"/>
    </row>
    <row r="1816" spans="3:17" s="700" customFormat="1" ht="70.5" hidden="1" customHeight="1">
      <c r="C1816" s="701"/>
      <c r="D1816" s="811"/>
      <c r="E1816" s="1276">
        <f>[11]building!Y2147</f>
        <v>0</v>
      </c>
      <c r="F1816" s="748">
        <f t="shared" si="267"/>
        <v>0</v>
      </c>
      <c r="G1816" s="1205"/>
      <c r="H1816" s="1055"/>
      <c r="I1816" s="1055"/>
      <c r="J1816" s="1055"/>
      <c r="K1816" s="1205"/>
      <c r="L1816" s="1055"/>
      <c r="M1816" s="1205"/>
      <c r="N1816" s="1054"/>
      <c r="O1816" s="1207"/>
      <c r="Q1816" s="1207"/>
    </row>
    <row r="1817" spans="3:17" s="700" customFormat="1" ht="70.5" hidden="1" customHeight="1">
      <c r="C1817" s="701"/>
      <c r="D1817" s="811"/>
      <c r="E1817" s="1276">
        <f>[11]building!Y2148</f>
        <v>0</v>
      </c>
      <c r="F1817" s="748">
        <f t="shared" si="267"/>
        <v>0</v>
      </c>
      <c r="G1817" s="1205"/>
      <c r="H1817" s="1055"/>
      <c r="I1817" s="1055"/>
      <c r="J1817" s="1055"/>
      <c r="K1817" s="1205"/>
      <c r="L1817" s="1055"/>
      <c r="M1817" s="1205"/>
      <c r="N1817" s="1054"/>
      <c r="O1817" s="1207"/>
      <c r="Q1817" s="1207"/>
    </row>
    <row r="1818" spans="3:17" s="700" customFormat="1" ht="70.5" hidden="1" customHeight="1">
      <c r="C1818" s="701"/>
      <c r="D1818" s="811"/>
      <c r="E1818" s="1276">
        <f>[11]building!Y2149</f>
        <v>0</v>
      </c>
      <c r="F1818" s="748">
        <f t="shared" si="267"/>
        <v>0</v>
      </c>
      <c r="G1818" s="1205"/>
      <c r="H1818" s="1055"/>
      <c r="I1818" s="1055"/>
      <c r="J1818" s="1055"/>
      <c r="K1818" s="1205"/>
      <c r="L1818" s="1055"/>
      <c r="M1818" s="1205"/>
      <c r="N1818" s="1054"/>
      <c r="O1818" s="1207"/>
      <c r="Q1818" s="1207"/>
    </row>
    <row r="1819" spans="3:17" s="700" customFormat="1" ht="70.5" hidden="1" customHeight="1">
      <c r="C1819" s="701"/>
      <c r="D1819" s="811"/>
      <c r="E1819" s="1276">
        <f>[11]building!Y2150</f>
        <v>0</v>
      </c>
      <c r="F1819" s="748">
        <f t="shared" si="267"/>
        <v>0</v>
      </c>
      <c r="G1819" s="1205"/>
      <c r="H1819" s="1055"/>
      <c r="I1819" s="1055"/>
      <c r="J1819" s="1055"/>
      <c r="K1819" s="1205"/>
      <c r="L1819" s="1055"/>
      <c r="M1819" s="1205"/>
      <c r="N1819" s="1054"/>
      <c r="O1819" s="1207"/>
      <c r="Q1819" s="1207"/>
    </row>
    <row r="1820" spans="3:17" s="700" customFormat="1" ht="70.5" hidden="1" customHeight="1">
      <c r="C1820" s="701"/>
      <c r="D1820" s="811"/>
      <c r="E1820" s="1276">
        <f>[11]building!Y2151</f>
        <v>0</v>
      </c>
      <c r="F1820" s="748">
        <f t="shared" si="267"/>
        <v>0</v>
      </c>
      <c r="G1820" s="1205"/>
      <c r="H1820" s="1055"/>
      <c r="I1820" s="1055"/>
      <c r="J1820" s="1055"/>
      <c r="K1820" s="1205"/>
      <c r="L1820" s="1055"/>
      <c r="M1820" s="1205"/>
      <c r="N1820" s="1054"/>
      <c r="O1820" s="1207"/>
      <c r="Q1820" s="1207"/>
    </row>
    <row r="1821" spans="3:17" s="700" customFormat="1" ht="70.5" hidden="1" customHeight="1">
      <c r="C1821" s="701"/>
      <c r="D1821" s="811"/>
      <c r="E1821" s="1276">
        <f>[11]building!Y2152</f>
        <v>0</v>
      </c>
      <c r="F1821" s="748">
        <f t="shared" si="267"/>
        <v>0</v>
      </c>
      <c r="G1821" s="1205"/>
      <c r="H1821" s="1055"/>
      <c r="I1821" s="1055"/>
      <c r="J1821" s="1055"/>
      <c r="K1821" s="1205"/>
      <c r="L1821" s="1055"/>
      <c r="M1821" s="1205"/>
      <c r="N1821" s="1054"/>
      <c r="O1821" s="1207"/>
      <c r="Q1821" s="1207"/>
    </row>
    <row r="1822" spans="3:17" s="700" customFormat="1" ht="70.5" hidden="1" customHeight="1">
      <c r="C1822" s="701"/>
      <c r="D1822" s="811"/>
      <c r="E1822" s="1276">
        <f>[11]building!Y2153</f>
        <v>0</v>
      </c>
      <c r="F1822" s="748">
        <f t="shared" si="267"/>
        <v>0</v>
      </c>
      <c r="G1822" s="1205"/>
      <c r="H1822" s="1055"/>
      <c r="I1822" s="1055"/>
      <c r="J1822" s="1055"/>
      <c r="K1822" s="1205"/>
      <c r="L1822" s="1055"/>
      <c r="M1822" s="1205"/>
      <c r="N1822" s="1054"/>
      <c r="O1822" s="1207"/>
      <c r="Q1822" s="1207"/>
    </row>
    <row r="1823" spans="3:17" s="700" customFormat="1" ht="70.5" hidden="1" customHeight="1">
      <c r="C1823" s="701"/>
      <c r="D1823" s="811"/>
      <c r="E1823" s="1276">
        <f>[11]building!Y2154</f>
        <v>0</v>
      </c>
      <c r="F1823" s="748">
        <f t="shared" si="267"/>
        <v>0</v>
      </c>
      <c r="G1823" s="1205"/>
      <c r="H1823" s="1055"/>
      <c r="I1823" s="1055"/>
      <c r="J1823" s="1055"/>
      <c r="K1823" s="1205"/>
      <c r="L1823" s="1055"/>
      <c r="M1823" s="1205"/>
      <c r="N1823" s="1054"/>
      <c r="O1823" s="1207"/>
      <c r="Q1823" s="1207"/>
    </row>
    <row r="1824" spans="3:17" s="700" customFormat="1" ht="70.5" hidden="1" customHeight="1">
      <c r="C1824" s="701"/>
      <c r="D1824" s="811"/>
      <c r="E1824" s="1276">
        <f>[11]building!Y2155</f>
        <v>0</v>
      </c>
      <c r="F1824" s="748">
        <f t="shared" si="267"/>
        <v>0</v>
      </c>
      <c r="G1824" s="1205"/>
      <c r="H1824" s="1055"/>
      <c r="I1824" s="1055"/>
      <c r="J1824" s="1055"/>
      <c r="K1824" s="1205"/>
      <c r="L1824" s="1055"/>
      <c r="M1824" s="1205"/>
      <c r="N1824" s="1054"/>
      <c r="O1824" s="1207"/>
      <c r="Q1824" s="1207"/>
    </row>
    <row r="1825" spans="3:17" s="700" customFormat="1" ht="70.5" hidden="1" customHeight="1">
      <c r="C1825" s="701"/>
      <c r="D1825" s="811"/>
      <c r="E1825" s="1276">
        <f>[11]building!Y2156</f>
        <v>0</v>
      </c>
      <c r="F1825" s="748">
        <f t="shared" si="267"/>
        <v>0</v>
      </c>
      <c r="G1825" s="1205"/>
      <c r="H1825" s="1055"/>
      <c r="I1825" s="1055"/>
      <c r="J1825" s="1055"/>
      <c r="K1825" s="1205"/>
      <c r="L1825" s="1055"/>
      <c r="M1825" s="1205"/>
      <c r="N1825" s="1054"/>
      <c r="O1825" s="1207"/>
      <c r="Q1825" s="1207"/>
    </row>
    <row r="1826" spans="3:17" s="700" customFormat="1" ht="70.5" hidden="1" customHeight="1">
      <c r="C1826" s="701"/>
      <c r="D1826" s="811"/>
      <c r="E1826" s="1276">
        <f>[11]building!Y2157</f>
        <v>0</v>
      </c>
      <c r="F1826" s="748">
        <f t="shared" si="267"/>
        <v>0</v>
      </c>
      <c r="G1826" s="1205"/>
      <c r="H1826" s="1055"/>
      <c r="I1826" s="1055"/>
      <c r="J1826" s="1055"/>
      <c r="K1826" s="1205"/>
      <c r="L1826" s="1055"/>
      <c r="M1826" s="1205"/>
      <c r="N1826" s="1054"/>
      <c r="O1826" s="1207"/>
      <c r="Q1826" s="1207"/>
    </row>
    <row r="1827" spans="3:17" s="700" customFormat="1" ht="70.5" hidden="1" customHeight="1">
      <c r="C1827" s="701"/>
      <c r="D1827" s="811"/>
      <c r="E1827" s="1276">
        <f>[11]building!Y2158</f>
        <v>0</v>
      </c>
      <c r="F1827" s="748">
        <f t="shared" si="267"/>
        <v>0</v>
      </c>
      <c r="G1827" s="1205"/>
      <c r="H1827" s="1055"/>
      <c r="I1827" s="1055"/>
      <c r="J1827" s="1055"/>
      <c r="K1827" s="1205"/>
      <c r="L1827" s="1055"/>
      <c r="M1827" s="1205"/>
      <c r="N1827" s="1054"/>
      <c r="O1827" s="1207"/>
      <c r="Q1827" s="1207"/>
    </row>
    <row r="1828" spans="3:17" s="700" customFormat="1" ht="70.5" hidden="1" customHeight="1">
      <c r="C1828" s="701"/>
      <c r="D1828" s="811"/>
      <c r="E1828" s="1276">
        <f>[11]building!Y2159</f>
        <v>0</v>
      </c>
      <c r="F1828" s="748">
        <f t="shared" si="267"/>
        <v>0</v>
      </c>
      <c r="G1828" s="1205"/>
      <c r="H1828" s="1055"/>
      <c r="I1828" s="1055"/>
      <c r="J1828" s="1055"/>
      <c r="K1828" s="1205"/>
      <c r="L1828" s="1055"/>
      <c r="M1828" s="1205"/>
      <c r="N1828" s="1054"/>
      <c r="O1828" s="1207"/>
      <c r="Q1828" s="1207"/>
    </row>
    <row r="1829" spans="3:17" s="700" customFormat="1" ht="70.5" hidden="1" customHeight="1">
      <c r="C1829" s="701"/>
      <c r="D1829" s="811"/>
      <c r="E1829" s="1276">
        <f>[11]building!Y2160</f>
        <v>0</v>
      </c>
      <c r="F1829" s="748">
        <f t="shared" si="267"/>
        <v>0</v>
      </c>
      <c r="G1829" s="1205"/>
      <c r="H1829" s="1055"/>
      <c r="I1829" s="1055"/>
      <c r="J1829" s="1055"/>
      <c r="K1829" s="1205"/>
      <c r="L1829" s="1055"/>
      <c r="M1829" s="1205"/>
      <c r="N1829" s="1054"/>
      <c r="O1829" s="1207"/>
      <c r="Q1829" s="1207"/>
    </row>
    <row r="1830" spans="3:17" s="700" customFormat="1" ht="70.5" hidden="1" customHeight="1">
      <c r="C1830" s="701"/>
      <c r="D1830" s="811"/>
      <c r="E1830" s="1276">
        <f>[11]building!Y2161</f>
        <v>0</v>
      </c>
      <c r="F1830" s="748">
        <f t="shared" si="267"/>
        <v>0</v>
      </c>
      <c r="G1830" s="1205"/>
      <c r="H1830" s="1055"/>
      <c r="I1830" s="1055"/>
      <c r="J1830" s="1055"/>
      <c r="K1830" s="1205"/>
      <c r="L1830" s="1055"/>
      <c r="M1830" s="1205"/>
      <c r="N1830" s="1054"/>
      <c r="O1830" s="1207"/>
      <c r="Q1830" s="1207"/>
    </row>
    <row r="1831" spans="3:17" s="700" customFormat="1" ht="70.5" hidden="1" customHeight="1">
      <c r="C1831" s="701"/>
      <c r="D1831" s="811"/>
      <c r="E1831" s="1276">
        <f>[11]building!Y2162</f>
        <v>0</v>
      </c>
      <c r="F1831" s="748">
        <f t="shared" si="267"/>
        <v>0</v>
      </c>
      <c r="G1831" s="1205"/>
      <c r="H1831" s="1055"/>
      <c r="I1831" s="1055"/>
      <c r="J1831" s="1055"/>
      <c r="K1831" s="1205"/>
      <c r="L1831" s="1055"/>
      <c r="M1831" s="1205"/>
      <c r="N1831" s="1054"/>
      <c r="O1831" s="1207"/>
      <c r="Q1831" s="1207"/>
    </row>
    <row r="1832" spans="3:17" s="700" customFormat="1" ht="70.5" hidden="1" customHeight="1">
      <c r="C1832" s="701"/>
      <c r="D1832" s="811"/>
      <c r="E1832" s="1276">
        <f>[11]building!Y2163</f>
        <v>0</v>
      </c>
      <c r="F1832" s="748">
        <f t="shared" si="267"/>
        <v>0</v>
      </c>
      <c r="G1832" s="1205"/>
      <c r="H1832" s="1055"/>
      <c r="I1832" s="1055"/>
      <c r="J1832" s="1055"/>
      <c r="K1832" s="1205"/>
      <c r="L1832" s="1055"/>
      <c r="M1832" s="1205"/>
      <c r="N1832" s="1054"/>
      <c r="O1832" s="1207"/>
      <c r="Q1832" s="1207"/>
    </row>
    <row r="1833" spans="3:17" s="700" customFormat="1" ht="70.5" hidden="1" customHeight="1">
      <c r="C1833" s="701"/>
      <c r="D1833" s="811"/>
      <c r="E1833" s="1276">
        <f>[11]building!Y2164</f>
        <v>0</v>
      </c>
      <c r="F1833" s="748">
        <f t="shared" si="267"/>
        <v>0</v>
      </c>
      <c r="G1833" s="1205"/>
      <c r="H1833" s="1055"/>
      <c r="I1833" s="1055"/>
      <c r="J1833" s="1055"/>
      <c r="K1833" s="1205"/>
      <c r="L1833" s="1055"/>
      <c r="M1833" s="1205"/>
      <c r="N1833" s="1054"/>
      <c r="O1833" s="1207"/>
      <c r="Q1833" s="1207"/>
    </row>
    <row r="1834" spans="3:17" s="700" customFormat="1" ht="70.5" hidden="1" customHeight="1">
      <c r="C1834" s="701"/>
      <c r="D1834" s="811"/>
      <c r="E1834" s="1276">
        <f>[11]building!Y2165</f>
        <v>0</v>
      </c>
      <c r="F1834" s="748">
        <f t="shared" si="267"/>
        <v>0</v>
      </c>
      <c r="G1834" s="1205"/>
      <c r="H1834" s="1055"/>
      <c r="I1834" s="1055"/>
      <c r="J1834" s="1055"/>
      <c r="K1834" s="1205"/>
      <c r="L1834" s="1055"/>
      <c r="M1834" s="1205"/>
      <c r="N1834" s="1054"/>
      <c r="O1834" s="1207"/>
      <c r="Q1834" s="1207"/>
    </row>
    <row r="1835" spans="3:17" s="700" customFormat="1" ht="70.5" hidden="1" customHeight="1">
      <c r="C1835" s="701"/>
      <c r="D1835" s="811"/>
      <c r="E1835" s="1276">
        <f>[11]building!Y2166</f>
        <v>0</v>
      </c>
      <c r="F1835" s="748">
        <f t="shared" si="267"/>
        <v>0</v>
      </c>
      <c r="G1835" s="1205"/>
      <c r="H1835" s="1055"/>
      <c r="I1835" s="1055"/>
      <c r="J1835" s="1055"/>
      <c r="K1835" s="1205"/>
      <c r="L1835" s="1055"/>
      <c r="M1835" s="1205"/>
      <c r="N1835" s="1054"/>
      <c r="O1835" s="1207"/>
      <c r="Q1835" s="1207"/>
    </row>
    <row r="1836" spans="3:17" s="700" customFormat="1" ht="70.5" hidden="1" customHeight="1">
      <c r="C1836" s="701"/>
      <c r="D1836" s="811"/>
      <c r="E1836" s="1276">
        <f>[11]building!Y2167</f>
        <v>0</v>
      </c>
      <c r="F1836" s="748">
        <f t="shared" si="267"/>
        <v>0</v>
      </c>
      <c r="G1836" s="1205"/>
      <c r="H1836" s="1055"/>
      <c r="I1836" s="1055"/>
      <c r="J1836" s="1055"/>
      <c r="K1836" s="1205"/>
      <c r="L1836" s="1055"/>
      <c r="M1836" s="1205"/>
      <c r="N1836" s="1054"/>
      <c r="O1836" s="1207"/>
      <c r="Q1836" s="1207"/>
    </row>
    <row r="1837" spans="3:17" s="700" customFormat="1" ht="70.5" hidden="1" customHeight="1">
      <c r="C1837" s="701"/>
      <c r="D1837" s="811"/>
      <c r="E1837" s="1276">
        <f>[11]building!Y2168</f>
        <v>0</v>
      </c>
      <c r="F1837" s="748">
        <f t="shared" si="267"/>
        <v>0</v>
      </c>
      <c r="G1837" s="1205"/>
      <c r="H1837" s="1055"/>
      <c r="I1837" s="1055"/>
      <c r="J1837" s="1055"/>
      <c r="K1837" s="1205"/>
      <c r="L1837" s="1055"/>
      <c r="M1837" s="1205"/>
      <c r="N1837" s="1054"/>
      <c r="O1837" s="1207"/>
      <c r="Q1837" s="1207"/>
    </row>
    <row r="1838" spans="3:17" s="700" customFormat="1" ht="70.5" hidden="1" customHeight="1">
      <c r="C1838" s="701"/>
      <c r="D1838" s="811"/>
      <c r="E1838" s="1276">
        <f>[11]building!Y2169</f>
        <v>0</v>
      </c>
      <c r="F1838" s="748">
        <f t="shared" si="267"/>
        <v>0</v>
      </c>
      <c r="G1838" s="1205"/>
      <c r="H1838" s="1055"/>
      <c r="I1838" s="1055"/>
      <c r="J1838" s="1055"/>
      <c r="K1838" s="1205"/>
      <c r="L1838" s="1055"/>
      <c r="M1838" s="1205"/>
      <c r="N1838" s="1054"/>
      <c r="O1838" s="1207"/>
      <c r="Q1838" s="1207"/>
    </row>
    <row r="1839" spans="3:17" s="700" customFormat="1" ht="70.5" hidden="1" customHeight="1">
      <c r="C1839" s="701"/>
      <c r="D1839" s="811"/>
      <c r="E1839" s="1276">
        <f>[11]building!Y2170</f>
        <v>0</v>
      </c>
      <c r="F1839" s="748">
        <f t="shared" si="267"/>
        <v>0</v>
      </c>
      <c r="G1839" s="1205"/>
      <c r="H1839" s="1055"/>
      <c r="I1839" s="1055"/>
      <c r="J1839" s="1055"/>
      <c r="K1839" s="1205"/>
      <c r="L1839" s="1055"/>
      <c r="M1839" s="1205"/>
      <c r="N1839" s="1054"/>
      <c r="O1839" s="1207"/>
      <c r="Q1839" s="1207"/>
    </row>
    <row r="1840" spans="3:17" s="700" customFormat="1" ht="70.5" hidden="1" customHeight="1">
      <c r="C1840" s="701"/>
      <c r="D1840" s="811"/>
      <c r="E1840" s="1276">
        <f>[11]building!Y2171</f>
        <v>0</v>
      </c>
      <c r="F1840" s="748">
        <f t="shared" si="267"/>
        <v>0</v>
      </c>
      <c r="G1840" s="1205"/>
      <c r="H1840" s="1055"/>
      <c r="I1840" s="1055"/>
      <c r="J1840" s="1055"/>
      <c r="K1840" s="1205"/>
      <c r="L1840" s="1055"/>
      <c r="M1840" s="1205"/>
      <c r="N1840" s="1054"/>
      <c r="O1840" s="1207"/>
      <c r="Q1840" s="1207"/>
    </row>
    <row r="1841" spans="3:17" s="700" customFormat="1" ht="70.5" hidden="1" customHeight="1">
      <c r="C1841" s="701"/>
      <c r="D1841" s="811"/>
      <c r="E1841" s="1276">
        <f>[11]building!Y2172</f>
        <v>0</v>
      </c>
      <c r="F1841" s="748">
        <f t="shared" si="267"/>
        <v>0</v>
      </c>
      <c r="G1841" s="1205"/>
      <c r="H1841" s="1055"/>
      <c r="I1841" s="1055"/>
      <c r="J1841" s="1055"/>
      <c r="K1841" s="1205"/>
      <c r="L1841" s="1055"/>
      <c r="M1841" s="1205"/>
      <c r="N1841" s="1054"/>
      <c r="O1841" s="1207"/>
      <c r="Q1841" s="1207"/>
    </row>
    <row r="1842" spans="3:17" s="700" customFormat="1" ht="70.5" hidden="1" customHeight="1">
      <c r="C1842" s="701"/>
      <c r="D1842" s="811"/>
      <c r="E1842" s="1276">
        <f>[11]building!Y2173</f>
        <v>0</v>
      </c>
      <c r="F1842" s="748">
        <f t="shared" si="267"/>
        <v>0</v>
      </c>
      <c r="G1842" s="1205"/>
      <c r="H1842" s="1055"/>
      <c r="I1842" s="1055"/>
      <c r="J1842" s="1055"/>
      <c r="K1842" s="1205"/>
      <c r="L1842" s="1055"/>
      <c r="M1842" s="1205"/>
      <c r="N1842" s="1054"/>
      <c r="O1842" s="1207"/>
      <c r="Q1842" s="1207"/>
    </row>
    <row r="1843" spans="3:17" s="700" customFormat="1" ht="70.5" hidden="1" customHeight="1">
      <c r="C1843" s="701"/>
      <c r="D1843" s="811"/>
      <c r="E1843" s="1276">
        <f>[11]building!Y2174</f>
        <v>0</v>
      </c>
      <c r="F1843" s="748">
        <f t="shared" si="267"/>
        <v>0</v>
      </c>
      <c r="G1843" s="1205"/>
      <c r="H1843" s="1055"/>
      <c r="I1843" s="1055"/>
      <c r="J1843" s="1055"/>
      <c r="K1843" s="1205"/>
      <c r="L1843" s="1055"/>
      <c r="M1843" s="1205"/>
      <c r="N1843" s="1054"/>
      <c r="O1843" s="1207"/>
      <c r="Q1843" s="1207"/>
    </row>
    <row r="1844" spans="3:17" s="700" customFormat="1" ht="70.5" hidden="1" customHeight="1">
      <c r="C1844" s="701"/>
      <c r="D1844" s="811"/>
      <c r="E1844" s="1276">
        <f>[11]building!Y2175</f>
        <v>0</v>
      </c>
      <c r="F1844" s="748">
        <f t="shared" si="267"/>
        <v>0</v>
      </c>
      <c r="G1844" s="1205"/>
      <c r="H1844" s="1055"/>
      <c r="I1844" s="1055"/>
      <c r="J1844" s="1055"/>
      <c r="K1844" s="1205"/>
      <c r="L1844" s="1055"/>
      <c r="M1844" s="1205"/>
      <c r="N1844" s="1054"/>
      <c r="O1844" s="1207"/>
      <c r="Q1844" s="1207"/>
    </row>
    <row r="1845" spans="3:17" s="700" customFormat="1" ht="70.5" hidden="1" customHeight="1">
      <c r="C1845" s="701"/>
      <c r="D1845" s="811"/>
      <c r="E1845" s="1276">
        <f>[11]building!Y2176</f>
        <v>0</v>
      </c>
      <c r="F1845" s="748">
        <f t="shared" si="267"/>
        <v>0</v>
      </c>
      <c r="G1845" s="1205"/>
      <c r="H1845" s="1055"/>
      <c r="I1845" s="1055"/>
      <c r="J1845" s="1055"/>
      <c r="K1845" s="1205"/>
      <c r="L1845" s="1055"/>
      <c r="M1845" s="1205"/>
      <c r="N1845" s="1054"/>
      <c r="O1845" s="1207"/>
      <c r="Q1845" s="1207"/>
    </row>
    <row r="1846" spans="3:17" s="700" customFormat="1" ht="70.5" hidden="1" customHeight="1">
      <c r="C1846" s="701"/>
      <c r="D1846" s="811"/>
      <c r="E1846" s="1276">
        <f>[11]building!Y2177</f>
        <v>0</v>
      </c>
      <c r="F1846" s="748">
        <f t="shared" si="267"/>
        <v>0</v>
      </c>
      <c r="G1846" s="1205"/>
      <c r="H1846" s="1055"/>
      <c r="I1846" s="1055"/>
      <c r="J1846" s="1055"/>
      <c r="K1846" s="1205"/>
      <c r="L1846" s="1055"/>
      <c r="M1846" s="1205"/>
      <c r="N1846" s="1054"/>
      <c r="O1846" s="1207"/>
      <c r="Q1846" s="1207"/>
    </row>
    <row r="1847" spans="3:17" s="700" customFormat="1" ht="70.5" hidden="1" customHeight="1">
      <c r="C1847" s="701"/>
      <c r="D1847" s="811"/>
      <c r="E1847" s="1276">
        <f>[11]building!Y2178</f>
        <v>0</v>
      </c>
      <c r="F1847" s="748">
        <f t="shared" si="267"/>
        <v>0</v>
      </c>
      <c r="G1847" s="1205"/>
      <c r="H1847" s="1055"/>
      <c r="I1847" s="1055"/>
      <c r="J1847" s="1055"/>
      <c r="K1847" s="1205"/>
      <c r="L1847" s="1055"/>
      <c r="M1847" s="1205"/>
      <c r="N1847" s="1054"/>
      <c r="O1847" s="1207"/>
      <c r="Q1847" s="1207"/>
    </row>
    <row r="1848" spans="3:17" s="700" customFormat="1" ht="70.5" hidden="1" customHeight="1">
      <c r="C1848" s="701"/>
      <c r="D1848" s="811"/>
      <c r="E1848" s="1276">
        <f>[11]building!Y2179</f>
        <v>0</v>
      </c>
      <c r="F1848" s="748">
        <f t="shared" si="267"/>
        <v>0</v>
      </c>
      <c r="G1848" s="1205"/>
      <c r="H1848" s="1055"/>
      <c r="I1848" s="1055"/>
      <c r="J1848" s="1055"/>
      <c r="K1848" s="1205"/>
      <c r="L1848" s="1055"/>
      <c r="M1848" s="1205"/>
      <c r="N1848" s="1054"/>
      <c r="O1848" s="1207"/>
      <c r="Q1848" s="1207"/>
    </row>
    <row r="1849" spans="3:17" s="700" customFormat="1" ht="70.5" hidden="1" customHeight="1">
      <c r="C1849" s="701"/>
      <c r="D1849" s="811"/>
      <c r="E1849" s="1276">
        <f>[11]building!Y2180</f>
        <v>0</v>
      </c>
      <c r="F1849" s="748">
        <f t="shared" si="267"/>
        <v>0</v>
      </c>
      <c r="G1849" s="1205"/>
      <c r="H1849" s="1055"/>
      <c r="I1849" s="1055"/>
      <c r="J1849" s="1055"/>
      <c r="K1849" s="1205"/>
      <c r="L1849" s="1055"/>
      <c r="M1849" s="1205"/>
      <c r="N1849" s="1054"/>
      <c r="O1849" s="1207"/>
      <c r="Q1849" s="1207"/>
    </row>
    <row r="1850" spans="3:17" s="700" customFormat="1" ht="70.5" hidden="1" customHeight="1">
      <c r="C1850" s="701"/>
      <c r="D1850" s="811"/>
      <c r="E1850" s="1276">
        <f>[11]building!Y2181</f>
        <v>0</v>
      </c>
      <c r="F1850" s="748">
        <f t="shared" si="267"/>
        <v>0</v>
      </c>
      <c r="G1850" s="1205"/>
      <c r="H1850" s="1055"/>
      <c r="I1850" s="1055"/>
      <c r="J1850" s="1055"/>
      <c r="K1850" s="1205"/>
      <c r="L1850" s="1055"/>
      <c r="M1850" s="1205"/>
      <c r="N1850" s="1054"/>
      <c r="O1850" s="1207"/>
      <c r="Q1850" s="1207"/>
    </row>
    <row r="1851" spans="3:17" s="700" customFormat="1" ht="70.5" hidden="1" customHeight="1">
      <c r="C1851" s="701"/>
      <c r="D1851" s="811"/>
      <c r="E1851" s="1276">
        <f>[11]building!Y2182</f>
        <v>0</v>
      </c>
      <c r="F1851" s="748">
        <f t="shared" si="267"/>
        <v>0</v>
      </c>
      <c r="G1851" s="1205"/>
      <c r="H1851" s="1055"/>
      <c r="I1851" s="1055"/>
      <c r="J1851" s="1055"/>
      <c r="K1851" s="1205"/>
      <c r="L1851" s="1055"/>
      <c r="M1851" s="1205"/>
      <c r="N1851" s="1054"/>
      <c r="O1851" s="1207"/>
      <c r="Q1851" s="1207"/>
    </row>
    <row r="1852" spans="3:17" s="700" customFormat="1" ht="70.5" hidden="1" customHeight="1">
      <c r="C1852" s="701"/>
      <c r="D1852" s="811"/>
      <c r="E1852" s="1276">
        <f>[11]building!Y2183</f>
        <v>0</v>
      </c>
      <c r="F1852" s="748">
        <f t="shared" si="267"/>
        <v>0</v>
      </c>
      <c r="G1852" s="1205"/>
      <c r="H1852" s="1055"/>
      <c r="I1852" s="1055"/>
      <c r="J1852" s="1055"/>
      <c r="K1852" s="1205"/>
      <c r="L1852" s="1055"/>
      <c r="M1852" s="1205"/>
      <c r="N1852" s="1054"/>
      <c r="O1852" s="1207"/>
      <c r="Q1852" s="1207"/>
    </row>
    <row r="1853" spans="3:17" s="700" customFormat="1" ht="70.5" hidden="1" customHeight="1">
      <c r="C1853" s="701"/>
      <c r="D1853" s="811"/>
      <c r="E1853" s="1276">
        <f>[11]building!Y2184</f>
        <v>0</v>
      </c>
      <c r="F1853" s="748">
        <f t="shared" si="267"/>
        <v>0</v>
      </c>
      <c r="G1853" s="1205"/>
      <c r="H1853" s="1055"/>
      <c r="I1853" s="1055"/>
      <c r="J1853" s="1055"/>
      <c r="K1853" s="1205"/>
      <c r="L1853" s="1055"/>
      <c r="M1853" s="1205"/>
      <c r="N1853" s="1054"/>
      <c r="O1853" s="1207"/>
      <c r="Q1853" s="1207"/>
    </row>
    <row r="1854" spans="3:17" s="700" customFormat="1" ht="70.5" hidden="1" customHeight="1">
      <c r="C1854" s="701"/>
      <c r="D1854" s="811"/>
      <c r="E1854" s="1276">
        <f>[11]building!Y2185</f>
        <v>0</v>
      </c>
      <c r="F1854" s="748">
        <f t="shared" si="267"/>
        <v>0</v>
      </c>
      <c r="G1854" s="1205"/>
      <c r="H1854" s="1055"/>
      <c r="I1854" s="1055"/>
      <c r="J1854" s="1055"/>
      <c r="K1854" s="1205"/>
      <c r="L1854" s="1055"/>
      <c r="M1854" s="1205"/>
      <c r="N1854" s="1054"/>
      <c r="O1854" s="1207"/>
      <c r="Q1854" s="1207"/>
    </row>
    <row r="1855" spans="3:17" s="700" customFormat="1" ht="70.5" hidden="1" customHeight="1">
      <c r="C1855" s="701"/>
      <c r="D1855" s="811"/>
      <c r="E1855" s="1276">
        <f>[11]building!Y2186</f>
        <v>0</v>
      </c>
      <c r="F1855" s="748">
        <f t="shared" si="267"/>
        <v>0</v>
      </c>
      <c r="G1855" s="1205"/>
      <c r="H1855" s="1055"/>
      <c r="I1855" s="1055"/>
      <c r="J1855" s="1055"/>
      <c r="K1855" s="1205"/>
      <c r="L1855" s="1055"/>
      <c r="M1855" s="1205"/>
      <c r="N1855" s="1054"/>
      <c r="O1855" s="1207"/>
      <c r="Q1855" s="1207"/>
    </row>
    <row r="1856" spans="3:17" s="700" customFormat="1" ht="70.5" hidden="1" customHeight="1">
      <c r="C1856" s="701"/>
      <c r="D1856" s="811"/>
      <c r="E1856" s="1276">
        <f>[11]building!Y2187</f>
        <v>0</v>
      </c>
      <c r="F1856" s="748">
        <f t="shared" ref="F1856:F1919" si="268">E1856*C1856</f>
        <v>0</v>
      </c>
      <c r="G1856" s="1205"/>
      <c r="H1856" s="1055"/>
      <c r="I1856" s="1055"/>
      <c r="J1856" s="1055"/>
      <c r="K1856" s="1205"/>
      <c r="L1856" s="1055"/>
      <c r="M1856" s="1205"/>
      <c r="N1856" s="1054"/>
      <c r="O1856" s="1207"/>
      <c r="Q1856" s="1207"/>
    </row>
    <row r="1857" spans="3:17" s="700" customFormat="1" ht="70.5" hidden="1" customHeight="1">
      <c r="C1857" s="701"/>
      <c r="D1857" s="811"/>
      <c r="E1857" s="1276">
        <f>[11]building!Y2188</f>
        <v>0</v>
      </c>
      <c r="F1857" s="748">
        <f t="shared" si="268"/>
        <v>0</v>
      </c>
      <c r="G1857" s="1205"/>
      <c r="H1857" s="1055"/>
      <c r="I1857" s="1055"/>
      <c r="J1857" s="1055"/>
      <c r="K1857" s="1205"/>
      <c r="L1857" s="1055"/>
      <c r="M1857" s="1205"/>
      <c r="N1857" s="1054"/>
      <c r="O1857" s="1207"/>
      <c r="Q1857" s="1207"/>
    </row>
    <row r="1858" spans="3:17" s="700" customFormat="1" ht="70.5" hidden="1" customHeight="1">
      <c r="C1858" s="701"/>
      <c r="D1858" s="811"/>
      <c r="E1858" s="1276">
        <f>[11]building!Y2189</f>
        <v>0</v>
      </c>
      <c r="F1858" s="748">
        <f t="shared" si="268"/>
        <v>0</v>
      </c>
      <c r="G1858" s="1205"/>
      <c r="H1858" s="1055"/>
      <c r="I1858" s="1055"/>
      <c r="J1858" s="1055"/>
      <c r="K1858" s="1205"/>
      <c r="L1858" s="1055"/>
      <c r="M1858" s="1205"/>
      <c r="N1858" s="1054"/>
      <c r="O1858" s="1207"/>
      <c r="Q1858" s="1207"/>
    </row>
    <row r="1859" spans="3:17" s="700" customFormat="1" ht="70.5" hidden="1" customHeight="1">
      <c r="C1859" s="701"/>
      <c r="D1859" s="811"/>
      <c r="E1859" s="1276">
        <f>[11]building!Y2190</f>
        <v>0</v>
      </c>
      <c r="F1859" s="748">
        <f t="shared" si="268"/>
        <v>0</v>
      </c>
      <c r="G1859" s="1205"/>
      <c r="H1859" s="1055"/>
      <c r="I1859" s="1055"/>
      <c r="J1859" s="1055"/>
      <c r="K1859" s="1205"/>
      <c r="L1859" s="1055"/>
      <c r="M1859" s="1205"/>
      <c r="N1859" s="1054"/>
      <c r="O1859" s="1207"/>
      <c r="Q1859" s="1207"/>
    </row>
    <row r="1860" spans="3:17" s="700" customFormat="1" ht="70.5" hidden="1" customHeight="1">
      <c r="C1860" s="701"/>
      <c r="D1860" s="811"/>
      <c r="E1860" s="1276">
        <f>[11]building!Y2191</f>
        <v>0</v>
      </c>
      <c r="F1860" s="748">
        <f t="shared" si="268"/>
        <v>0</v>
      </c>
      <c r="G1860" s="1205"/>
      <c r="H1860" s="1055"/>
      <c r="I1860" s="1055"/>
      <c r="J1860" s="1055"/>
      <c r="K1860" s="1205"/>
      <c r="L1860" s="1055"/>
      <c r="M1860" s="1205"/>
      <c r="N1860" s="1054"/>
      <c r="O1860" s="1207"/>
      <c r="Q1860" s="1207"/>
    </row>
    <row r="1861" spans="3:17" s="700" customFormat="1" ht="70.5" hidden="1" customHeight="1">
      <c r="C1861" s="701"/>
      <c r="D1861" s="811"/>
      <c r="E1861" s="1276">
        <f>[11]building!Y2192</f>
        <v>0</v>
      </c>
      <c r="F1861" s="748">
        <f t="shared" si="268"/>
        <v>0</v>
      </c>
      <c r="G1861" s="1205"/>
      <c r="H1861" s="1055"/>
      <c r="I1861" s="1055"/>
      <c r="J1861" s="1055"/>
      <c r="K1861" s="1205"/>
      <c r="L1861" s="1055"/>
      <c r="M1861" s="1205"/>
      <c r="N1861" s="1054"/>
      <c r="O1861" s="1207"/>
      <c r="Q1861" s="1207"/>
    </row>
    <row r="1862" spans="3:17" s="700" customFormat="1" ht="70.5" hidden="1" customHeight="1">
      <c r="C1862" s="701"/>
      <c r="D1862" s="811"/>
      <c r="E1862" s="1276">
        <f>[11]building!Y2193</f>
        <v>0</v>
      </c>
      <c r="F1862" s="748">
        <f t="shared" si="268"/>
        <v>0</v>
      </c>
      <c r="G1862" s="1205"/>
      <c r="H1862" s="1055"/>
      <c r="I1862" s="1055"/>
      <c r="J1862" s="1055"/>
      <c r="K1862" s="1205"/>
      <c r="L1862" s="1055"/>
      <c r="M1862" s="1205"/>
      <c r="N1862" s="1054"/>
      <c r="O1862" s="1207"/>
      <c r="Q1862" s="1207"/>
    </row>
    <row r="1863" spans="3:17" s="700" customFormat="1" ht="70.5" hidden="1" customHeight="1">
      <c r="C1863" s="701"/>
      <c r="D1863" s="811"/>
      <c r="E1863" s="1276">
        <f>[11]building!Y2194</f>
        <v>0</v>
      </c>
      <c r="F1863" s="748">
        <f t="shared" si="268"/>
        <v>0</v>
      </c>
      <c r="G1863" s="1205"/>
      <c r="H1863" s="1055"/>
      <c r="I1863" s="1055"/>
      <c r="J1863" s="1055"/>
      <c r="K1863" s="1205"/>
      <c r="L1863" s="1055"/>
      <c r="M1863" s="1205"/>
      <c r="N1863" s="1054"/>
      <c r="O1863" s="1207"/>
      <c r="Q1863" s="1207"/>
    </row>
    <row r="1864" spans="3:17" s="700" customFormat="1" ht="70.5" hidden="1" customHeight="1">
      <c r="C1864" s="701"/>
      <c r="D1864" s="811"/>
      <c r="E1864" s="1276">
        <f>[11]building!Y2195</f>
        <v>0</v>
      </c>
      <c r="F1864" s="748">
        <f t="shared" si="268"/>
        <v>0</v>
      </c>
      <c r="G1864" s="1205"/>
      <c r="H1864" s="1055"/>
      <c r="I1864" s="1055"/>
      <c r="J1864" s="1055"/>
      <c r="K1864" s="1205"/>
      <c r="L1864" s="1055"/>
      <c r="M1864" s="1205"/>
      <c r="N1864" s="1054"/>
      <c r="O1864" s="1207"/>
      <c r="Q1864" s="1207"/>
    </row>
    <row r="1865" spans="3:17" s="700" customFormat="1" ht="70.5" hidden="1" customHeight="1">
      <c r="C1865" s="701"/>
      <c r="D1865" s="811"/>
      <c r="E1865" s="1276">
        <f>[11]building!Y2196</f>
        <v>0</v>
      </c>
      <c r="F1865" s="748">
        <f t="shared" si="268"/>
        <v>0</v>
      </c>
      <c r="G1865" s="1205"/>
      <c r="H1865" s="1055"/>
      <c r="I1865" s="1055"/>
      <c r="J1865" s="1055"/>
      <c r="K1865" s="1205"/>
      <c r="L1865" s="1055"/>
      <c r="M1865" s="1205"/>
      <c r="N1865" s="1054"/>
      <c r="O1865" s="1207"/>
      <c r="Q1865" s="1207"/>
    </row>
    <row r="1866" spans="3:17" s="700" customFormat="1" ht="70.5" hidden="1" customHeight="1">
      <c r="C1866" s="701"/>
      <c r="D1866" s="811"/>
      <c r="E1866" s="1276">
        <f>[11]building!Y2197</f>
        <v>0</v>
      </c>
      <c r="F1866" s="748">
        <f t="shared" si="268"/>
        <v>0</v>
      </c>
      <c r="G1866" s="1205"/>
      <c r="H1866" s="1055"/>
      <c r="I1866" s="1055"/>
      <c r="J1866" s="1055"/>
      <c r="K1866" s="1205"/>
      <c r="L1866" s="1055"/>
      <c r="M1866" s="1205"/>
      <c r="N1866" s="1054"/>
      <c r="O1866" s="1207"/>
      <c r="Q1866" s="1207"/>
    </row>
    <row r="1867" spans="3:17" s="700" customFormat="1" ht="70.5" hidden="1" customHeight="1">
      <c r="C1867" s="701"/>
      <c r="D1867" s="811"/>
      <c r="E1867" s="1276">
        <f>[11]building!Y2198</f>
        <v>0</v>
      </c>
      <c r="F1867" s="748">
        <f t="shared" si="268"/>
        <v>0</v>
      </c>
      <c r="G1867" s="1205"/>
      <c r="H1867" s="1055"/>
      <c r="I1867" s="1055"/>
      <c r="J1867" s="1055"/>
      <c r="K1867" s="1205"/>
      <c r="L1867" s="1055"/>
      <c r="M1867" s="1205"/>
      <c r="N1867" s="1054"/>
      <c r="O1867" s="1207"/>
      <c r="Q1867" s="1207"/>
    </row>
    <row r="1868" spans="3:17" s="700" customFormat="1" ht="70.5" hidden="1" customHeight="1">
      <c r="C1868" s="701"/>
      <c r="D1868" s="811"/>
      <c r="E1868" s="1276">
        <f>[11]building!Y2199</f>
        <v>0</v>
      </c>
      <c r="F1868" s="748">
        <f t="shared" si="268"/>
        <v>0</v>
      </c>
      <c r="G1868" s="1205"/>
      <c r="H1868" s="1055"/>
      <c r="I1868" s="1055"/>
      <c r="J1868" s="1055"/>
      <c r="K1868" s="1205"/>
      <c r="L1868" s="1055"/>
      <c r="M1868" s="1205"/>
      <c r="N1868" s="1054"/>
      <c r="O1868" s="1207"/>
      <c r="Q1868" s="1207"/>
    </row>
    <row r="1869" spans="3:17" s="700" customFormat="1" ht="70.5" hidden="1" customHeight="1">
      <c r="C1869" s="701"/>
      <c r="D1869" s="811"/>
      <c r="E1869" s="1276">
        <f>[11]building!Y2200</f>
        <v>0</v>
      </c>
      <c r="F1869" s="748">
        <f t="shared" si="268"/>
        <v>0</v>
      </c>
      <c r="G1869" s="1205"/>
      <c r="H1869" s="1055"/>
      <c r="I1869" s="1055"/>
      <c r="J1869" s="1055"/>
      <c r="K1869" s="1205"/>
      <c r="L1869" s="1055"/>
      <c r="M1869" s="1205"/>
      <c r="N1869" s="1054"/>
      <c r="O1869" s="1207"/>
      <c r="Q1869" s="1207"/>
    </row>
    <row r="1870" spans="3:17" s="700" customFormat="1" ht="70.5" hidden="1" customHeight="1">
      <c r="C1870" s="701"/>
      <c r="D1870" s="811"/>
      <c r="E1870" s="1276">
        <f>[11]building!Y2201</f>
        <v>0</v>
      </c>
      <c r="F1870" s="748">
        <f t="shared" si="268"/>
        <v>0</v>
      </c>
      <c r="G1870" s="1205"/>
      <c r="H1870" s="1055"/>
      <c r="I1870" s="1055"/>
      <c r="J1870" s="1055"/>
      <c r="K1870" s="1205"/>
      <c r="L1870" s="1055"/>
      <c r="M1870" s="1205"/>
      <c r="N1870" s="1054"/>
      <c r="O1870" s="1207"/>
      <c r="Q1870" s="1207"/>
    </row>
    <row r="1871" spans="3:17" s="700" customFormat="1" ht="70.5" hidden="1" customHeight="1">
      <c r="C1871" s="701"/>
      <c r="D1871" s="811"/>
      <c r="E1871" s="1276">
        <f>[11]building!Y2202</f>
        <v>0</v>
      </c>
      <c r="F1871" s="748">
        <f t="shared" si="268"/>
        <v>0</v>
      </c>
      <c r="G1871" s="1205"/>
      <c r="H1871" s="1055"/>
      <c r="I1871" s="1055"/>
      <c r="J1871" s="1055"/>
      <c r="K1871" s="1205"/>
      <c r="L1871" s="1055"/>
      <c r="M1871" s="1205"/>
      <c r="N1871" s="1054"/>
      <c r="O1871" s="1207"/>
      <c r="Q1871" s="1207"/>
    </row>
    <row r="1872" spans="3:17" s="700" customFormat="1" ht="70.5" hidden="1" customHeight="1">
      <c r="C1872" s="701"/>
      <c r="D1872" s="811"/>
      <c r="E1872" s="1276">
        <f>[11]building!Y2203</f>
        <v>0</v>
      </c>
      <c r="F1872" s="748">
        <f t="shared" si="268"/>
        <v>0</v>
      </c>
      <c r="G1872" s="1205"/>
      <c r="H1872" s="1055"/>
      <c r="I1872" s="1055"/>
      <c r="J1872" s="1055"/>
      <c r="K1872" s="1205"/>
      <c r="L1872" s="1055"/>
      <c r="M1872" s="1205"/>
      <c r="N1872" s="1054"/>
      <c r="O1872" s="1207"/>
      <c r="Q1872" s="1207"/>
    </row>
    <row r="1873" spans="3:17" s="700" customFormat="1" ht="70.5" hidden="1" customHeight="1">
      <c r="C1873" s="701"/>
      <c r="D1873" s="811"/>
      <c r="E1873" s="1276">
        <f>[11]building!Y2204</f>
        <v>0</v>
      </c>
      <c r="F1873" s="748">
        <f t="shared" si="268"/>
        <v>0</v>
      </c>
      <c r="G1873" s="1205"/>
      <c r="H1873" s="1055"/>
      <c r="I1873" s="1055"/>
      <c r="J1873" s="1055"/>
      <c r="K1873" s="1205"/>
      <c r="L1873" s="1055"/>
      <c r="M1873" s="1205"/>
      <c r="N1873" s="1054"/>
      <c r="O1873" s="1207"/>
      <c r="Q1873" s="1207"/>
    </row>
    <row r="1874" spans="3:17" s="700" customFormat="1" ht="70.5" hidden="1" customHeight="1">
      <c r="C1874" s="701"/>
      <c r="D1874" s="811"/>
      <c r="E1874" s="1276">
        <f>[11]building!Y2205</f>
        <v>0</v>
      </c>
      <c r="F1874" s="748">
        <f t="shared" si="268"/>
        <v>0</v>
      </c>
      <c r="G1874" s="1205"/>
      <c r="H1874" s="1055"/>
      <c r="I1874" s="1055"/>
      <c r="J1874" s="1055"/>
      <c r="K1874" s="1205"/>
      <c r="L1874" s="1055"/>
      <c r="M1874" s="1205"/>
      <c r="N1874" s="1054"/>
      <c r="O1874" s="1207"/>
      <c r="Q1874" s="1207"/>
    </row>
    <row r="1875" spans="3:17" s="700" customFormat="1" ht="70.5" hidden="1" customHeight="1">
      <c r="C1875" s="701"/>
      <c r="D1875" s="811"/>
      <c r="E1875" s="1276">
        <f>[11]building!Y2206</f>
        <v>0</v>
      </c>
      <c r="F1875" s="748">
        <f t="shared" si="268"/>
        <v>0</v>
      </c>
      <c r="G1875" s="1205"/>
      <c r="H1875" s="1055"/>
      <c r="I1875" s="1055"/>
      <c r="J1875" s="1055"/>
      <c r="K1875" s="1205"/>
      <c r="L1875" s="1055"/>
      <c r="M1875" s="1205"/>
      <c r="N1875" s="1054"/>
      <c r="O1875" s="1207"/>
      <c r="Q1875" s="1207"/>
    </row>
    <row r="1876" spans="3:17" s="700" customFormat="1" ht="70.5" hidden="1" customHeight="1">
      <c r="C1876" s="701"/>
      <c r="D1876" s="811"/>
      <c r="E1876" s="1276">
        <f>[11]building!Y2207</f>
        <v>0</v>
      </c>
      <c r="F1876" s="748">
        <f t="shared" si="268"/>
        <v>0</v>
      </c>
      <c r="G1876" s="1205"/>
      <c r="H1876" s="1055"/>
      <c r="I1876" s="1055"/>
      <c r="J1876" s="1055"/>
      <c r="K1876" s="1205"/>
      <c r="L1876" s="1055"/>
      <c r="M1876" s="1205"/>
      <c r="N1876" s="1054"/>
      <c r="O1876" s="1207"/>
      <c r="Q1876" s="1207"/>
    </row>
    <row r="1877" spans="3:17" s="700" customFormat="1" ht="70.5" hidden="1" customHeight="1">
      <c r="C1877" s="701"/>
      <c r="D1877" s="811"/>
      <c r="E1877" s="1276">
        <f>[11]building!Y2208</f>
        <v>0</v>
      </c>
      <c r="F1877" s="748">
        <f t="shared" si="268"/>
        <v>0</v>
      </c>
      <c r="G1877" s="1205"/>
      <c r="H1877" s="1055"/>
      <c r="I1877" s="1055"/>
      <c r="J1877" s="1055"/>
      <c r="K1877" s="1205"/>
      <c r="L1877" s="1055"/>
      <c r="M1877" s="1205"/>
      <c r="N1877" s="1054"/>
      <c r="O1877" s="1207"/>
      <c r="Q1877" s="1207"/>
    </row>
    <row r="1878" spans="3:17" s="700" customFormat="1" ht="70.5" hidden="1" customHeight="1">
      <c r="C1878" s="701"/>
      <c r="D1878" s="811"/>
      <c r="E1878" s="1276">
        <f>[11]building!Y2209</f>
        <v>0</v>
      </c>
      <c r="F1878" s="748">
        <f t="shared" si="268"/>
        <v>0</v>
      </c>
      <c r="G1878" s="1205"/>
      <c r="H1878" s="1055"/>
      <c r="I1878" s="1055"/>
      <c r="J1878" s="1055"/>
      <c r="K1878" s="1205"/>
      <c r="L1878" s="1055"/>
      <c r="M1878" s="1205"/>
      <c r="N1878" s="1054"/>
      <c r="O1878" s="1207"/>
      <c r="Q1878" s="1207"/>
    </row>
    <row r="1879" spans="3:17" s="700" customFormat="1" ht="70.5" hidden="1" customHeight="1">
      <c r="C1879" s="701"/>
      <c r="D1879" s="811"/>
      <c r="E1879" s="1276">
        <f>[11]building!Y2210</f>
        <v>0</v>
      </c>
      <c r="F1879" s="748">
        <f t="shared" si="268"/>
        <v>0</v>
      </c>
      <c r="G1879" s="1205"/>
      <c r="H1879" s="1055"/>
      <c r="I1879" s="1055"/>
      <c r="J1879" s="1055"/>
      <c r="K1879" s="1205"/>
      <c r="L1879" s="1055"/>
      <c r="M1879" s="1205"/>
      <c r="N1879" s="1054"/>
      <c r="O1879" s="1207"/>
      <c r="Q1879" s="1207"/>
    </row>
    <row r="1880" spans="3:17" s="700" customFormat="1" ht="70.5" hidden="1" customHeight="1">
      <c r="C1880" s="701"/>
      <c r="D1880" s="811"/>
      <c r="E1880" s="1276">
        <f>[11]building!Y2211</f>
        <v>0</v>
      </c>
      <c r="F1880" s="748">
        <f t="shared" si="268"/>
        <v>0</v>
      </c>
      <c r="G1880" s="1205"/>
      <c r="H1880" s="1055"/>
      <c r="I1880" s="1055"/>
      <c r="J1880" s="1055"/>
      <c r="K1880" s="1205"/>
      <c r="L1880" s="1055"/>
      <c r="M1880" s="1205"/>
      <c r="N1880" s="1054"/>
      <c r="O1880" s="1207"/>
      <c r="Q1880" s="1207"/>
    </row>
    <row r="1881" spans="3:17" s="700" customFormat="1" ht="70.5" hidden="1" customHeight="1">
      <c r="C1881" s="701"/>
      <c r="D1881" s="811"/>
      <c r="E1881" s="1276">
        <f>[11]building!Y2212</f>
        <v>0</v>
      </c>
      <c r="F1881" s="748">
        <f t="shared" si="268"/>
        <v>0</v>
      </c>
      <c r="G1881" s="1205"/>
      <c r="H1881" s="1055"/>
      <c r="I1881" s="1055"/>
      <c r="J1881" s="1055"/>
      <c r="K1881" s="1205"/>
      <c r="L1881" s="1055"/>
      <c r="M1881" s="1205"/>
      <c r="N1881" s="1054"/>
      <c r="O1881" s="1207"/>
      <c r="Q1881" s="1207"/>
    </row>
    <row r="1882" spans="3:17" s="700" customFormat="1" ht="70.5" hidden="1" customHeight="1">
      <c r="C1882" s="701"/>
      <c r="D1882" s="811"/>
      <c r="E1882" s="1276">
        <f>[11]building!Y2213</f>
        <v>0</v>
      </c>
      <c r="F1882" s="748">
        <f t="shared" si="268"/>
        <v>0</v>
      </c>
      <c r="G1882" s="1205"/>
      <c r="H1882" s="1055"/>
      <c r="I1882" s="1055"/>
      <c r="J1882" s="1055"/>
      <c r="K1882" s="1205"/>
      <c r="L1882" s="1055"/>
      <c r="M1882" s="1205"/>
      <c r="N1882" s="1054"/>
      <c r="O1882" s="1207"/>
      <c r="Q1882" s="1207"/>
    </row>
    <row r="1883" spans="3:17" s="700" customFormat="1" ht="70.5" hidden="1" customHeight="1">
      <c r="C1883" s="701"/>
      <c r="D1883" s="811"/>
      <c r="E1883" s="1276">
        <f>[11]building!Y2214</f>
        <v>0</v>
      </c>
      <c r="F1883" s="748">
        <f t="shared" si="268"/>
        <v>0</v>
      </c>
      <c r="G1883" s="1205"/>
      <c r="H1883" s="1055"/>
      <c r="I1883" s="1055"/>
      <c r="J1883" s="1055"/>
      <c r="K1883" s="1205"/>
      <c r="L1883" s="1055"/>
      <c r="M1883" s="1205"/>
      <c r="N1883" s="1054"/>
      <c r="O1883" s="1207"/>
      <c r="Q1883" s="1207"/>
    </row>
    <row r="1884" spans="3:17" s="700" customFormat="1" ht="70.5" hidden="1" customHeight="1">
      <c r="C1884" s="701"/>
      <c r="D1884" s="811"/>
      <c r="E1884" s="1276">
        <f>[11]building!Y2215</f>
        <v>0</v>
      </c>
      <c r="F1884" s="748">
        <f t="shared" si="268"/>
        <v>0</v>
      </c>
      <c r="G1884" s="1205"/>
      <c r="H1884" s="1055"/>
      <c r="I1884" s="1055"/>
      <c r="J1884" s="1055"/>
      <c r="K1884" s="1205"/>
      <c r="L1884" s="1055"/>
      <c r="M1884" s="1205"/>
      <c r="N1884" s="1054"/>
      <c r="O1884" s="1207"/>
      <c r="Q1884" s="1207"/>
    </row>
    <row r="1885" spans="3:17" s="700" customFormat="1" ht="70.5" hidden="1" customHeight="1">
      <c r="C1885" s="701"/>
      <c r="D1885" s="811"/>
      <c r="E1885" s="1276">
        <f>[11]building!Y2216</f>
        <v>0</v>
      </c>
      <c r="F1885" s="748">
        <f t="shared" si="268"/>
        <v>0</v>
      </c>
      <c r="G1885" s="1205"/>
      <c r="H1885" s="1055"/>
      <c r="I1885" s="1055"/>
      <c r="J1885" s="1055"/>
      <c r="K1885" s="1205"/>
      <c r="L1885" s="1055"/>
      <c r="M1885" s="1205"/>
      <c r="N1885" s="1054"/>
      <c r="O1885" s="1207"/>
      <c r="Q1885" s="1207"/>
    </row>
    <row r="1886" spans="3:17" s="700" customFormat="1" ht="70.5" hidden="1" customHeight="1">
      <c r="C1886" s="701"/>
      <c r="D1886" s="811"/>
      <c r="E1886" s="1276">
        <f>[11]building!Y2217</f>
        <v>0</v>
      </c>
      <c r="F1886" s="748">
        <f t="shared" si="268"/>
        <v>0</v>
      </c>
      <c r="G1886" s="1205"/>
      <c r="H1886" s="1055"/>
      <c r="I1886" s="1055"/>
      <c r="J1886" s="1055"/>
      <c r="K1886" s="1205"/>
      <c r="L1886" s="1055"/>
      <c r="M1886" s="1205"/>
      <c r="N1886" s="1054"/>
      <c r="O1886" s="1207"/>
      <c r="Q1886" s="1207"/>
    </row>
    <row r="1887" spans="3:17" s="700" customFormat="1" ht="70.5" hidden="1" customHeight="1">
      <c r="C1887" s="701"/>
      <c r="D1887" s="811"/>
      <c r="E1887" s="1276">
        <f>[11]building!Y2218</f>
        <v>0</v>
      </c>
      <c r="F1887" s="748">
        <f t="shared" si="268"/>
        <v>0</v>
      </c>
      <c r="G1887" s="1205"/>
      <c r="H1887" s="1055"/>
      <c r="I1887" s="1055"/>
      <c r="J1887" s="1055"/>
      <c r="K1887" s="1205"/>
      <c r="L1887" s="1055"/>
      <c r="M1887" s="1205"/>
      <c r="N1887" s="1054"/>
      <c r="O1887" s="1207"/>
      <c r="Q1887" s="1207"/>
    </row>
    <row r="1888" spans="3:17" s="700" customFormat="1" ht="70.5" hidden="1" customHeight="1">
      <c r="C1888" s="701"/>
      <c r="D1888" s="811"/>
      <c r="E1888" s="1276">
        <f>[11]building!Y2219</f>
        <v>0</v>
      </c>
      <c r="F1888" s="748">
        <f t="shared" si="268"/>
        <v>0</v>
      </c>
      <c r="G1888" s="1205"/>
      <c r="H1888" s="1055"/>
      <c r="I1888" s="1055"/>
      <c r="J1888" s="1055"/>
      <c r="K1888" s="1205"/>
      <c r="L1888" s="1055"/>
      <c r="M1888" s="1205"/>
      <c r="N1888" s="1054"/>
      <c r="O1888" s="1207"/>
      <c r="Q1888" s="1207"/>
    </row>
    <row r="1889" spans="3:17" s="700" customFormat="1" ht="70.5" hidden="1" customHeight="1">
      <c r="C1889" s="701"/>
      <c r="D1889" s="811"/>
      <c r="E1889" s="1276">
        <f>[11]building!Y2220</f>
        <v>0</v>
      </c>
      <c r="F1889" s="748">
        <f t="shared" si="268"/>
        <v>0</v>
      </c>
      <c r="G1889" s="1205"/>
      <c r="H1889" s="1055"/>
      <c r="I1889" s="1055"/>
      <c r="J1889" s="1055"/>
      <c r="K1889" s="1205"/>
      <c r="L1889" s="1055"/>
      <c r="M1889" s="1205"/>
      <c r="N1889" s="1054"/>
      <c r="O1889" s="1207"/>
      <c r="Q1889" s="1207"/>
    </row>
    <row r="1890" spans="3:17" s="700" customFormat="1" ht="70.5" hidden="1" customHeight="1">
      <c r="C1890" s="701"/>
      <c r="D1890" s="811"/>
      <c r="E1890" s="1276">
        <f>[11]building!Y2221</f>
        <v>0</v>
      </c>
      <c r="F1890" s="748">
        <f t="shared" si="268"/>
        <v>0</v>
      </c>
      <c r="G1890" s="1205"/>
      <c r="H1890" s="1055"/>
      <c r="I1890" s="1055"/>
      <c r="J1890" s="1055"/>
      <c r="K1890" s="1205"/>
      <c r="L1890" s="1055"/>
      <c r="M1890" s="1205"/>
      <c r="N1890" s="1054"/>
      <c r="O1890" s="1207"/>
      <c r="Q1890" s="1207"/>
    </row>
    <row r="1891" spans="3:17" s="700" customFormat="1" ht="70.5" hidden="1" customHeight="1">
      <c r="C1891" s="701"/>
      <c r="D1891" s="811"/>
      <c r="E1891" s="1276">
        <f>[11]building!Y2222</f>
        <v>0</v>
      </c>
      <c r="F1891" s="748">
        <f t="shared" si="268"/>
        <v>0</v>
      </c>
      <c r="G1891" s="1205"/>
      <c r="H1891" s="1055"/>
      <c r="I1891" s="1055"/>
      <c r="J1891" s="1055"/>
      <c r="K1891" s="1205"/>
      <c r="L1891" s="1055"/>
      <c r="M1891" s="1205"/>
      <c r="N1891" s="1054"/>
      <c r="O1891" s="1207"/>
      <c r="Q1891" s="1207"/>
    </row>
    <row r="1892" spans="3:17" s="700" customFormat="1" ht="70.5" hidden="1" customHeight="1">
      <c r="C1892" s="701"/>
      <c r="D1892" s="811"/>
      <c r="E1892" s="1276">
        <f>[11]building!Y2223</f>
        <v>0</v>
      </c>
      <c r="F1892" s="748">
        <f t="shared" si="268"/>
        <v>0</v>
      </c>
      <c r="G1892" s="1205"/>
      <c r="H1892" s="1055"/>
      <c r="I1892" s="1055"/>
      <c r="J1892" s="1055"/>
      <c r="K1892" s="1205"/>
      <c r="L1892" s="1055"/>
      <c r="M1892" s="1205"/>
      <c r="N1892" s="1054"/>
      <c r="O1892" s="1207"/>
      <c r="Q1892" s="1207"/>
    </row>
    <row r="1893" spans="3:17" s="700" customFormat="1" ht="70.5" hidden="1" customHeight="1">
      <c r="C1893" s="701"/>
      <c r="D1893" s="811"/>
      <c r="E1893" s="1276">
        <f>[11]building!Y2224</f>
        <v>0</v>
      </c>
      <c r="F1893" s="748">
        <f t="shared" si="268"/>
        <v>0</v>
      </c>
      <c r="G1893" s="1205"/>
      <c r="H1893" s="1055"/>
      <c r="I1893" s="1055"/>
      <c r="J1893" s="1055"/>
      <c r="K1893" s="1205"/>
      <c r="L1893" s="1055"/>
      <c r="M1893" s="1205"/>
      <c r="N1893" s="1054"/>
      <c r="O1893" s="1207"/>
      <c r="Q1893" s="1207"/>
    </row>
    <row r="1894" spans="3:17" s="700" customFormat="1" ht="70.5" hidden="1" customHeight="1">
      <c r="C1894" s="701"/>
      <c r="D1894" s="811"/>
      <c r="E1894" s="1276">
        <f>[11]building!Y2225</f>
        <v>0</v>
      </c>
      <c r="F1894" s="748">
        <f t="shared" si="268"/>
        <v>0</v>
      </c>
      <c r="G1894" s="1205"/>
      <c r="H1894" s="1055"/>
      <c r="I1894" s="1055"/>
      <c r="J1894" s="1055"/>
      <c r="K1894" s="1205"/>
      <c r="L1894" s="1055"/>
      <c r="M1894" s="1205"/>
      <c r="N1894" s="1054"/>
      <c r="O1894" s="1207"/>
      <c r="Q1894" s="1207"/>
    </row>
    <row r="1895" spans="3:17" s="700" customFormat="1" ht="70.5" hidden="1" customHeight="1">
      <c r="C1895" s="701"/>
      <c r="D1895" s="811"/>
      <c r="E1895" s="1276">
        <f>[11]building!Y2226</f>
        <v>0</v>
      </c>
      <c r="F1895" s="748">
        <f t="shared" si="268"/>
        <v>0</v>
      </c>
      <c r="G1895" s="1205"/>
      <c r="H1895" s="1055"/>
      <c r="I1895" s="1055"/>
      <c r="J1895" s="1055"/>
      <c r="K1895" s="1205"/>
      <c r="L1895" s="1055"/>
      <c r="M1895" s="1205"/>
      <c r="N1895" s="1054"/>
      <c r="O1895" s="1207"/>
      <c r="Q1895" s="1207"/>
    </row>
    <row r="1896" spans="3:17" s="700" customFormat="1" ht="70.5" hidden="1" customHeight="1">
      <c r="C1896" s="701"/>
      <c r="D1896" s="811"/>
      <c r="E1896" s="1276">
        <f>[11]building!Y2227</f>
        <v>0</v>
      </c>
      <c r="F1896" s="748">
        <f t="shared" si="268"/>
        <v>0</v>
      </c>
      <c r="G1896" s="1205"/>
      <c r="H1896" s="1055"/>
      <c r="I1896" s="1055"/>
      <c r="J1896" s="1055"/>
      <c r="K1896" s="1205"/>
      <c r="L1896" s="1055"/>
      <c r="M1896" s="1205"/>
      <c r="N1896" s="1054"/>
      <c r="O1896" s="1207"/>
      <c r="Q1896" s="1207"/>
    </row>
    <row r="1897" spans="3:17" s="700" customFormat="1" ht="70.5" hidden="1" customHeight="1">
      <c r="C1897" s="701"/>
      <c r="D1897" s="811"/>
      <c r="E1897" s="1276">
        <f>[11]building!Y2228</f>
        <v>0</v>
      </c>
      <c r="F1897" s="748">
        <f t="shared" si="268"/>
        <v>0</v>
      </c>
      <c r="G1897" s="1205"/>
      <c r="H1897" s="1055"/>
      <c r="I1897" s="1055"/>
      <c r="J1897" s="1055"/>
      <c r="K1897" s="1205"/>
      <c r="L1897" s="1055"/>
      <c r="M1897" s="1205"/>
      <c r="N1897" s="1054"/>
      <c r="O1897" s="1207"/>
      <c r="Q1897" s="1207"/>
    </row>
    <row r="1898" spans="3:17" s="700" customFormat="1" ht="70.5" hidden="1" customHeight="1">
      <c r="C1898" s="701"/>
      <c r="D1898" s="811"/>
      <c r="E1898" s="1276">
        <f>[11]building!Y2229</f>
        <v>0</v>
      </c>
      <c r="F1898" s="748">
        <f t="shared" si="268"/>
        <v>0</v>
      </c>
      <c r="G1898" s="1205"/>
      <c r="H1898" s="1055"/>
      <c r="I1898" s="1055"/>
      <c r="J1898" s="1055"/>
      <c r="K1898" s="1205"/>
      <c r="L1898" s="1055"/>
      <c r="M1898" s="1205"/>
      <c r="N1898" s="1054"/>
      <c r="O1898" s="1207"/>
      <c r="Q1898" s="1207"/>
    </row>
    <row r="1899" spans="3:17" s="700" customFormat="1" ht="70.5" hidden="1" customHeight="1">
      <c r="C1899" s="701"/>
      <c r="D1899" s="811"/>
      <c r="E1899" s="1276">
        <f>[11]building!Y2230</f>
        <v>0</v>
      </c>
      <c r="F1899" s="748">
        <f t="shared" si="268"/>
        <v>0</v>
      </c>
      <c r="G1899" s="1205"/>
      <c r="H1899" s="1055"/>
      <c r="I1899" s="1055"/>
      <c r="J1899" s="1055"/>
      <c r="K1899" s="1205"/>
      <c r="L1899" s="1055"/>
      <c r="M1899" s="1205"/>
      <c r="N1899" s="1054"/>
      <c r="O1899" s="1207"/>
      <c r="Q1899" s="1207"/>
    </row>
    <row r="1900" spans="3:17" s="700" customFormat="1" ht="70.5" hidden="1" customHeight="1">
      <c r="C1900" s="701"/>
      <c r="D1900" s="811"/>
      <c r="E1900" s="1276">
        <f>[11]building!Y2231</f>
        <v>0</v>
      </c>
      <c r="F1900" s="748">
        <f t="shared" si="268"/>
        <v>0</v>
      </c>
      <c r="G1900" s="1205"/>
      <c r="H1900" s="1055"/>
      <c r="I1900" s="1055"/>
      <c r="J1900" s="1055"/>
      <c r="K1900" s="1205"/>
      <c r="L1900" s="1055"/>
      <c r="M1900" s="1205"/>
      <c r="N1900" s="1054"/>
      <c r="O1900" s="1207"/>
      <c r="Q1900" s="1207"/>
    </row>
    <row r="1901" spans="3:17" s="700" customFormat="1" ht="70.5" hidden="1" customHeight="1">
      <c r="C1901" s="701"/>
      <c r="D1901" s="811"/>
      <c r="E1901" s="1276">
        <f>[11]building!Y2232</f>
        <v>0</v>
      </c>
      <c r="F1901" s="748">
        <f t="shared" si="268"/>
        <v>0</v>
      </c>
      <c r="G1901" s="1205"/>
      <c r="H1901" s="1055"/>
      <c r="I1901" s="1055"/>
      <c r="J1901" s="1055"/>
      <c r="K1901" s="1205"/>
      <c r="L1901" s="1055"/>
      <c r="M1901" s="1205"/>
      <c r="N1901" s="1054"/>
      <c r="O1901" s="1207"/>
      <c r="Q1901" s="1207"/>
    </row>
    <row r="1902" spans="3:17" s="700" customFormat="1" ht="70.5" hidden="1" customHeight="1">
      <c r="C1902" s="701"/>
      <c r="D1902" s="811"/>
      <c r="E1902" s="1276">
        <f>[11]building!Y2233</f>
        <v>0</v>
      </c>
      <c r="F1902" s="748">
        <f t="shared" si="268"/>
        <v>0</v>
      </c>
      <c r="G1902" s="1205"/>
      <c r="H1902" s="1055"/>
      <c r="I1902" s="1055"/>
      <c r="J1902" s="1055"/>
      <c r="K1902" s="1205"/>
      <c r="L1902" s="1055"/>
      <c r="M1902" s="1205"/>
      <c r="N1902" s="1054"/>
      <c r="O1902" s="1207"/>
      <c r="Q1902" s="1207"/>
    </row>
    <row r="1903" spans="3:17" s="700" customFormat="1" ht="70.5" hidden="1" customHeight="1">
      <c r="C1903" s="701"/>
      <c r="D1903" s="811"/>
      <c r="E1903" s="1276">
        <f>[11]building!Y2234</f>
        <v>0</v>
      </c>
      <c r="F1903" s="748">
        <f t="shared" si="268"/>
        <v>0</v>
      </c>
      <c r="G1903" s="1205"/>
      <c r="H1903" s="1055"/>
      <c r="I1903" s="1055"/>
      <c r="J1903" s="1055"/>
      <c r="K1903" s="1205"/>
      <c r="L1903" s="1055"/>
      <c r="M1903" s="1205"/>
      <c r="N1903" s="1054"/>
      <c r="O1903" s="1207"/>
      <c r="Q1903" s="1207"/>
    </row>
    <row r="1904" spans="3:17" s="700" customFormat="1" ht="70.5" hidden="1" customHeight="1">
      <c r="C1904" s="701"/>
      <c r="D1904" s="811"/>
      <c r="E1904" s="1276">
        <f>[11]building!Y2235</f>
        <v>0</v>
      </c>
      <c r="F1904" s="748">
        <f t="shared" si="268"/>
        <v>0</v>
      </c>
      <c r="G1904" s="1205"/>
      <c r="H1904" s="1055"/>
      <c r="I1904" s="1055"/>
      <c r="J1904" s="1055"/>
      <c r="K1904" s="1205"/>
      <c r="L1904" s="1055"/>
      <c r="M1904" s="1205"/>
      <c r="N1904" s="1054"/>
      <c r="O1904" s="1207"/>
      <c r="Q1904" s="1207"/>
    </row>
    <row r="1905" spans="3:17" s="700" customFormat="1" ht="70.5" hidden="1" customHeight="1">
      <c r="C1905" s="701"/>
      <c r="D1905" s="811"/>
      <c r="E1905" s="1276">
        <f>[11]building!Y2236</f>
        <v>0</v>
      </c>
      <c r="F1905" s="748">
        <f t="shared" si="268"/>
        <v>0</v>
      </c>
      <c r="G1905" s="1205"/>
      <c r="H1905" s="1055"/>
      <c r="I1905" s="1055"/>
      <c r="J1905" s="1055"/>
      <c r="K1905" s="1205"/>
      <c r="L1905" s="1055"/>
      <c r="M1905" s="1205"/>
      <c r="N1905" s="1054"/>
      <c r="O1905" s="1207"/>
      <c r="Q1905" s="1207"/>
    </row>
    <row r="1906" spans="3:17" s="700" customFormat="1" ht="70.5" hidden="1" customHeight="1">
      <c r="C1906" s="701"/>
      <c r="D1906" s="811"/>
      <c r="E1906" s="1276">
        <f>[11]building!Y2237</f>
        <v>0</v>
      </c>
      <c r="F1906" s="748">
        <f t="shared" si="268"/>
        <v>0</v>
      </c>
      <c r="G1906" s="1205"/>
      <c r="H1906" s="1055"/>
      <c r="I1906" s="1055"/>
      <c r="J1906" s="1055"/>
      <c r="K1906" s="1205"/>
      <c r="L1906" s="1055"/>
      <c r="M1906" s="1205"/>
      <c r="N1906" s="1054"/>
      <c r="O1906" s="1207"/>
      <c r="Q1906" s="1207"/>
    </row>
    <row r="1907" spans="3:17" s="700" customFormat="1" ht="70.5" hidden="1" customHeight="1">
      <c r="C1907" s="701"/>
      <c r="D1907" s="811"/>
      <c r="E1907" s="1276">
        <f>[11]building!Y2238</f>
        <v>0</v>
      </c>
      <c r="F1907" s="748">
        <f t="shared" si="268"/>
        <v>0</v>
      </c>
      <c r="G1907" s="1205"/>
      <c r="H1907" s="1055"/>
      <c r="I1907" s="1055"/>
      <c r="J1907" s="1055"/>
      <c r="K1907" s="1205"/>
      <c r="L1907" s="1055"/>
      <c r="M1907" s="1205"/>
      <c r="N1907" s="1054"/>
      <c r="O1907" s="1207"/>
      <c r="Q1907" s="1207"/>
    </row>
    <row r="1908" spans="3:17" s="700" customFormat="1" ht="70.5" hidden="1" customHeight="1">
      <c r="C1908" s="701"/>
      <c r="D1908" s="811"/>
      <c r="E1908" s="1276">
        <f>[11]building!Y2239</f>
        <v>0</v>
      </c>
      <c r="F1908" s="748">
        <f t="shared" si="268"/>
        <v>0</v>
      </c>
      <c r="G1908" s="1205"/>
      <c r="H1908" s="1055"/>
      <c r="I1908" s="1055"/>
      <c r="J1908" s="1055"/>
      <c r="K1908" s="1205"/>
      <c r="L1908" s="1055"/>
      <c r="M1908" s="1205"/>
      <c r="N1908" s="1054"/>
      <c r="O1908" s="1207"/>
      <c r="Q1908" s="1207"/>
    </row>
    <row r="1909" spans="3:17" s="700" customFormat="1" ht="70.5" hidden="1" customHeight="1">
      <c r="C1909" s="701"/>
      <c r="D1909" s="811"/>
      <c r="E1909" s="1276">
        <f>[11]building!Y2240</f>
        <v>0</v>
      </c>
      <c r="F1909" s="748">
        <f t="shared" si="268"/>
        <v>0</v>
      </c>
      <c r="G1909" s="1205"/>
      <c r="H1909" s="1055"/>
      <c r="I1909" s="1055"/>
      <c r="J1909" s="1055"/>
      <c r="K1909" s="1205"/>
      <c r="L1909" s="1055"/>
      <c r="M1909" s="1205"/>
      <c r="N1909" s="1054"/>
      <c r="O1909" s="1207"/>
      <c r="Q1909" s="1207"/>
    </row>
    <row r="1910" spans="3:17" s="700" customFormat="1" ht="70.5" hidden="1" customHeight="1">
      <c r="C1910" s="701"/>
      <c r="D1910" s="811"/>
      <c r="E1910" s="1276">
        <f>[11]building!Y2241</f>
        <v>0</v>
      </c>
      <c r="F1910" s="748">
        <f t="shared" si="268"/>
        <v>0</v>
      </c>
      <c r="G1910" s="1205"/>
      <c r="H1910" s="1055"/>
      <c r="I1910" s="1055"/>
      <c r="J1910" s="1055"/>
      <c r="K1910" s="1205"/>
      <c r="L1910" s="1055"/>
      <c r="M1910" s="1205"/>
      <c r="N1910" s="1054"/>
      <c r="O1910" s="1207"/>
      <c r="Q1910" s="1207"/>
    </row>
    <row r="1911" spans="3:17" s="700" customFormat="1" ht="70.5" hidden="1" customHeight="1">
      <c r="C1911" s="701"/>
      <c r="D1911" s="811"/>
      <c r="E1911" s="1276">
        <f>[11]building!Y2242</f>
        <v>0</v>
      </c>
      <c r="F1911" s="748">
        <f t="shared" si="268"/>
        <v>0</v>
      </c>
      <c r="G1911" s="1205"/>
      <c r="H1911" s="1055"/>
      <c r="I1911" s="1055"/>
      <c r="J1911" s="1055"/>
      <c r="K1911" s="1205"/>
      <c r="L1911" s="1055"/>
      <c r="M1911" s="1205"/>
      <c r="N1911" s="1054"/>
      <c r="O1911" s="1207"/>
      <c r="Q1911" s="1207"/>
    </row>
    <row r="1912" spans="3:17" s="700" customFormat="1" ht="70.5" hidden="1" customHeight="1">
      <c r="C1912" s="701"/>
      <c r="D1912" s="811"/>
      <c r="E1912" s="1276">
        <f>[11]building!Y2243</f>
        <v>0</v>
      </c>
      <c r="F1912" s="748">
        <f t="shared" si="268"/>
        <v>0</v>
      </c>
      <c r="G1912" s="1205"/>
      <c r="H1912" s="1055"/>
      <c r="I1912" s="1055"/>
      <c r="J1912" s="1055"/>
      <c r="K1912" s="1205"/>
      <c r="L1912" s="1055"/>
      <c r="M1912" s="1205"/>
      <c r="N1912" s="1054"/>
      <c r="O1912" s="1207"/>
      <c r="Q1912" s="1207"/>
    </row>
    <row r="1913" spans="3:17" s="700" customFormat="1" ht="70.5" hidden="1" customHeight="1">
      <c r="C1913" s="701"/>
      <c r="D1913" s="811"/>
      <c r="E1913" s="1276">
        <f>[11]building!Y2244</f>
        <v>0</v>
      </c>
      <c r="F1913" s="748">
        <f t="shared" si="268"/>
        <v>0</v>
      </c>
      <c r="G1913" s="1205"/>
      <c r="H1913" s="1055"/>
      <c r="I1913" s="1055"/>
      <c r="J1913" s="1055"/>
      <c r="K1913" s="1205"/>
      <c r="L1913" s="1055"/>
      <c r="M1913" s="1205"/>
      <c r="N1913" s="1054"/>
      <c r="O1913" s="1207"/>
      <c r="Q1913" s="1207"/>
    </row>
    <row r="1914" spans="3:17" s="700" customFormat="1" ht="70.5" hidden="1" customHeight="1">
      <c r="C1914" s="701"/>
      <c r="D1914" s="811"/>
      <c r="E1914" s="1276">
        <f>[11]building!Y2245</f>
        <v>0</v>
      </c>
      <c r="F1914" s="748">
        <f t="shared" si="268"/>
        <v>0</v>
      </c>
      <c r="G1914" s="1205"/>
      <c r="H1914" s="1055"/>
      <c r="I1914" s="1055"/>
      <c r="J1914" s="1055"/>
      <c r="K1914" s="1205"/>
      <c r="L1914" s="1055"/>
      <c r="M1914" s="1205"/>
      <c r="N1914" s="1054"/>
      <c r="O1914" s="1207"/>
      <c r="Q1914" s="1207"/>
    </row>
    <row r="1915" spans="3:17" s="700" customFormat="1" ht="70.5" hidden="1" customHeight="1">
      <c r="C1915" s="701"/>
      <c r="D1915" s="811"/>
      <c r="E1915" s="1276">
        <f>[11]building!Y2246</f>
        <v>0</v>
      </c>
      <c r="F1915" s="748">
        <f t="shared" si="268"/>
        <v>0</v>
      </c>
      <c r="G1915" s="1205"/>
      <c r="H1915" s="1055"/>
      <c r="I1915" s="1055"/>
      <c r="J1915" s="1055"/>
      <c r="K1915" s="1205"/>
      <c r="L1915" s="1055"/>
      <c r="M1915" s="1205"/>
      <c r="N1915" s="1054"/>
      <c r="O1915" s="1207"/>
      <c r="Q1915" s="1207"/>
    </row>
    <row r="1916" spans="3:17" s="700" customFormat="1" ht="70.5" hidden="1" customHeight="1">
      <c r="C1916" s="701"/>
      <c r="D1916" s="811"/>
      <c r="E1916" s="1276">
        <f>[11]building!Y2247</f>
        <v>0</v>
      </c>
      <c r="F1916" s="748">
        <f t="shared" si="268"/>
        <v>0</v>
      </c>
      <c r="G1916" s="1205"/>
      <c r="H1916" s="1055"/>
      <c r="I1916" s="1055"/>
      <c r="J1916" s="1055"/>
      <c r="K1916" s="1205"/>
      <c r="L1916" s="1055"/>
      <c r="M1916" s="1205"/>
      <c r="N1916" s="1054"/>
      <c r="O1916" s="1207"/>
      <c r="Q1916" s="1207"/>
    </row>
    <row r="1917" spans="3:17" s="700" customFormat="1" ht="70.5" hidden="1" customHeight="1">
      <c r="C1917" s="701"/>
      <c r="D1917" s="811"/>
      <c r="E1917" s="1276">
        <f>[11]building!Y2248</f>
        <v>0</v>
      </c>
      <c r="F1917" s="748">
        <f t="shared" si="268"/>
        <v>0</v>
      </c>
      <c r="G1917" s="1205"/>
      <c r="H1917" s="1055"/>
      <c r="I1917" s="1055"/>
      <c r="J1917" s="1055"/>
      <c r="K1917" s="1205"/>
      <c r="L1917" s="1055"/>
      <c r="M1917" s="1205"/>
      <c r="N1917" s="1054"/>
      <c r="O1917" s="1207"/>
      <c r="Q1917" s="1207"/>
    </row>
    <row r="1918" spans="3:17" s="700" customFormat="1" ht="70.5" hidden="1" customHeight="1">
      <c r="C1918" s="701"/>
      <c r="D1918" s="811"/>
      <c r="E1918" s="1276">
        <f>[11]building!Y2249</f>
        <v>0</v>
      </c>
      <c r="F1918" s="748">
        <f t="shared" si="268"/>
        <v>0</v>
      </c>
      <c r="G1918" s="1205"/>
      <c r="H1918" s="1055"/>
      <c r="I1918" s="1055"/>
      <c r="J1918" s="1055"/>
      <c r="K1918" s="1205"/>
      <c r="L1918" s="1055"/>
      <c r="M1918" s="1205"/>
      <c r="N1918" s="1054"/>
      <c r="O1918" s="1207"/>
      <c r="Q1918" s="1207"/>
    </row>
    <row r="1919" spans="3:17" s="700" customFormat="1" ht="70.5" hidden="1" customHeight="1">
      <c r="C1919" s="701"/>
      <c r="D1919" s="811"/>
      <c r="E1919" s="1276">
        <f>[11]building!Y2250</f>
        <v>0</v>
      </c>
      <c r="F1919" s="748">
        <f t="shared" si="268"/>
        <v>0</v>
      </c>
      <c r="G1919" s="1205"/>
      <c r="H1919" s="1055"/>
      <c r="I1919" s="1055"/>
      <c r="J1919" s="1055"/>
      <c r="K1919" s="1205"/>
      <c r="L1919" s="1055"/>
      <c r="M1919" s="1205"/>
      <c r="N1919" s="1054"/>
      <c r="O1919" s="1207"/>
      <c r="Q1919" s="1207"/>
    </row>
    <row r="1920" spans="3:17" s="700" customFormat="1" ht="70.5" hidden="1" customHeight="1">
      <c r="C1920" s="701"/>
      <c r="D1920" s="811"/>
      <c r="E1920" s="1276">
        <f>[11]building!Y2251</f>
        <v>0</v>
      </c>
      <c r="F1920" s="748">
        <f t="shared" ref="F1920:F1983" si="269">E1920*C1920</f>
        <v>0</v>
      </c>
      <c r="G1920" s="1205"/>
      <c r="H1920" s="1055"/>
      <c r="I1920" s="1055"/>
      <c r="J1920" s="1055"/>
      <c r="K1920" s="1205"/>
      <c r="L1920" s="1055"/>
      <c r="M1920" s="1205"/>
      <c r="N1920" s="1054"/>
      <c r="O1920" s="1207"/>
      <c r="Q1920" s="1207"/>
    </row>
    <row r="1921" spans="3:17" s="700" customFormat="1" ht="70.5" hidden="1" customHeight="1">
      <c r="C1921" s="701"/>
      <c r="D1921" s="811"/>
      <c r="E1921" s="1276">
        <f>[11]building!Y2252</f>
        <v>0</v>
      </c>
      <c r="F1921" s="748">
        <f t="shared" si="269"/>
        <v>0</v>
      </c>
      <c r="G1921" s="1205"/>
      <c r="H1921" s="1055"/>
      <c r="I1921" s="1055"/>
      <c r="J1921" s="1055"/>
      <c r="K1921" s="1205"/>
      <c r="L1921" s="1055"/>
      <c r="M1921" s="1205"/>
      <c r="N1921" s="1054"/>
      <c r="O1921" s="1207"/>
      <c r="Q1921" s="1207"/>
    </row>
    <row r="1922" spans="3:17" s="700" customFormat="1" ht="70.5" hidden="1" customHeight="1">
      <c r="C1922" s="701"/>
      <c r="D1922" s="811"/>
      <c r="E1922" s="1276">
        <f>[11]building!Y2253</f>
        <v>0</v>
      </c>
      <c r="F1922" s="748">
        <f t="shared" si="269"/>
        <v>0</v>
      </c>
      <c r="G1922" s="1205"/>
      <c r="H1922" s="1055"/>
      <c r="I1922" s="1055"/>
      <c r="J1922" s="1055"/>
      <c r="K1922" s="1205"/>
      <c r="L1922" s="1055"/>
      <c r="M1922" s="1205"/>
      <c r="N1922" s="1054"/>
      <c r="O1922" s="1207"/>
      <c r="Q1922" s="1207"/>
    </row>
    <row r="1923" spans="3:17" s="700" customFormat="1" ht="70.5" hidden="1" customHeight="1">
      <c r="C1923" s="701"/>
      <c r="D1923" s="811"/>
      <c r="E1923" s="1276">
        <f>[11]building!Y2254</f>
        <v>0</v>
      </c>
      <c r="F1923" s="748">
        <f t="shared" si="269"/>
        <v>0</v>
      </c>
      <c r="G1923" s="1205"/>
      <c r="H1923" s="1055"/>
      <c r="I1923" s="1055"/>
      <c r="J1923" s="1055"/>
      <c r="K1923" s="1205"/>
      <c r="L1923" s="1055"/>
      <c r="M1923" s="1205"/>
      <c r="N1923" s="1054"/>
      <c r="O1923" s="1207"/>
      <c r="Q1923" s="1207"/>
    </row>
    <row r="1924" spans="3:17" s="700" customFormat="1" ht="70.5" hidden="1" customHeight="1">
      <c r="C1924" s="701"/>
      <c r="D1924" s="811"/>
      <c r="E1924" s="1276">
        <f>[11]building!Y2255</f>
        <v>0</v>
      </c>
      <c r="F1924" s="748">
        <f t="shared" si="269"/>
        <v>0</v>
      </c>
      <c r="G1924" s="1205"/>
      <c r="H1924" s="1055"/>
      <c r="I1924" s="1055"/>
      <c r="J1924" s="1055"/>
      <c r="K1924" s="1205"/>
      <c r="L1924" s="1055"/>
      <c r="M1924" s="1205"/>
      <c r="N1924" s="1054"/>
      <c r="O1924" s="1207"/>
      <c r="Q1924" s="1207"/>
    </row>
    <row r="1925" spans="3:17" s="700" customFormat="1" ht="70.5" hidden="1" customHeight="1">
      <c r="C1925" s="701"/>
      <c r="D1925" s="811"/>
      <c r="E1925" s="1276">
        <f>[11]building!Y2256</f>
        <v>0</v>
      </c>
      <c r="F1925" s="748">
        <f t="shared" si="269"/>
        <v>0</v>
      </c>
      <c r="G1925" s="1205"/>
      <c r="H1925" s="1055"/>
      <c r="I1925" s="1055"/>
      <c r="J1925" s="1055"/>
      <c r="K1925" s="1205"/>
      <c r="L1925" s="1055"/>
      <c r="M1925" s="1205"/>
      <c r="N1925" s="1054"/>
      <c r="O1925" s="1207"/>
      <c r="Q1925" s="1207"/>
    </row>
    <row r="1926" spans="3:17" s="700" customFormat="1" ht="70.5" hidden="1" customHeight="1">
      <c r="C1926" s="701"/>
      <c r="D1926" s="811"/>
      <c r="E1926" s="1276">
        <f>[11]building!Y2257</f>
        <v>0</v>
      </c>
      <c r="F1926" s="748">
        <f t="shared" si="269"/>
        <v>0</v>
      </c>
      <c r="G1926" s="1205"/>
      <c r="H1926" s="1055"/>
      <c r="I1926" s="1055"/>
      <c r="J1926" s="1055"/>
      <c r="K1926" s="1205"/>
      <c r="L1926" s="1055"/>
      <c r="M1926" s="1205"/>
      <c r="N1926" s="1054"/>
      <c r="O1926" s="1207"/>
      <c r="Q1926" s="1207"/>
    </row>
    <row r="1927" spans="3:17" s="700" customFormat="1" ht="70.5" hidden="1" customHeight="1">
      <c r="C1927" s="701"/>
      <c r="D1927" s="811"/>
      <c r="E1927" s="1276">
        <f>[11]building!Y2258</f>
        <v>0</v>
      </c>
      <c r="F1927" s="748">
        <f t="shared" si="269"/>
        <v>0</v>
      </c>
      <c r="G1927" s="1205"/>
      <c r="H1927" s="1055"/>
      <c r="I1927" s="1055"/>
      <c r="J1927" s="1055"/>
      <c r="K1927" s="1205"/>
      <c r="L1927" s="1055"/>
      <c r="M1927" s="1205"/>
      <c r="N1927" s="1054"/>
      <c r="O1927" s="1207"/>
      <c r="Q1927" s="1207"/>
    </row>
    <row r="1928" spans="3:17" s="700" customFormat="1" ht="70.5" hidden="1" customHeight="1">
      <c r="C1928" s="701"/>
      <c r="D1928" s="811"/>
      <c r="E1928" s="1276">
        <f>[11]building!Y2259</f>
        <v>0</v>
      </c>
      <c r="F1928" s="748">
        <f t="shared" si="269"/>
        <v>0</v>
      </c>
      <c r="G1928" s="1205"/>
      <c r="H1928" s="1055"/>
      <c r="I1928" s="1055"/>
      <c r="J1928" s="1055"/>
      <c r="K1928" s="1205"/>
      <c r="L1928" s="1055"/>
      <c r="M1928" s="1205"/>
      <c r="N1928" s="1054"/>
      <c r="O1928" s="1207"/>
      <c r="Q1928" s="1207"/>
    </row>
    <row r="1929" spans="3:17" s="700" customFormat="1" ht="70.5" hidden="1" customHeight="1">
      <c r="C1929" s="701"/>
      <c r="D1929" s="811"/>
      <c r="E1929" s="1276">
        <f>[11]building!Y2260</f>
        <v>0</v>
      </c>
      <c r="F1929" s="748">
        <f t="shared" si="269"/>
        <v>0</v>
      </c>
      <c r="G1929" s="1205"/>
      <c r="H1929" s="1055"/>
      <c r="I1929" s="1055"/>
      <c r="J1929" s="1055"/>
      <c r="K1929" s="1205"/>
      <c r="L1929" s="1055"/>
      <c r="M1929" s="1205"/>
      <c r="N1929" s="1054"/>
      <c r="O1929" s="1207"/>
      <c r="Q1929" s="1207"/>
    </row>
    <row r="1930" spans="3:17" s="700" customFormat="1" ht="70.5" hidden="1" customHeight="1">
      <c r="C1930" s="701"/>
      <c r="D1930" s="811"/>
      <c r="E1930" s="1276">
        <f>[11]building!Y2261</f>
        <v>0</v>
      </c>
      <c r="F1930" s="748">
        <f t="shared" si="269"/>
        <v>0</v>
      </c>
      <c r="G1930" s="1205"/>
      <c r="H1930" s="1055"/>
      <c r="I1930" s="1055"/>
      <c r="J1930" s="1055"/>
      <c r="K1930" s="1205"/>
      <c r="L1930" s="1055"/>
      <c r="M1930" s="1205"/>
      <c r="N1930" s="1054"/>
      <c r="O1930" s="1207"/>
      <c r="Q1930" s="1207"/>
    </row>
    <row r="1931" spans="3:17" s="700" customFormat="1" ht="70.5" hidden="1" customHeight="1">
      <c r="C1931" s="701"/>
      <c r="D1931" s="811"/>
      <c r="E1931" s="1276">
        <f>[11]building!Y2262</f>
        <v>0</v>
      </c>
      <c r="F1931" s="748">
        <f t="shared" si="269"/>
        <v>0</v>
      </c>
      <c r="G1931" s="1205"/>
      <c r="H1931" s="1055"/>
      <c r="I1931" s="1055"/>
      <c r="J1931" s="1055"/>
      <c r="K1931" s="1205"/>
      <c r="L1931" s="1055"/>
      <c r="M1931" s="1205"/>
      <c r="N1931" s="1054"/>
      <c r="O1931" s="1207"/>
      <c r="Q1931" s="1207"/>
    </row>
    <row r="1932" spans="3:17" s="700" customFormat="1" ht="70.5" hidden="1" customHeight="1">
      <c r="C1932" s="701"/>
      <c r="D1932" s="811"/>
      <c r="E1932" s="1276">
        <f>[11]building!Y2263</f>
        <v>0</v>
      </c>
      <c r="F1932" s="748">
        <f t="shared" si="269"/>
        <v>0</v>
      </c>
      <c r="G1932" s="1205"/>
      <c r="H1932" s="1055"/>
      <c r="I1932" s="1055"/>
      <c r="J1932" s="1055"/>
      <c r="K1932" s="1205"/>
      <c r="L1932" s="1055"/>
      <c r="M1932" s="1205"/>
      <c r="N1932" s="1054"/>
      <c r="O1932" s="1207"/>
      <c r="Q1932" s="1207"/>
    </row>
    <row r="1933" spans="3:17" s="700" customFormat="1" ht="70.5" hidden="1" customHeight="1">
      <c r="C1933" s="701"/>
      <c r="D1933" s="811"/>
      <c r="E1933" s="1276">
        <f>[11]building!Y2264</f>
        <v>0</v>
      </c>
      <c r="F1933" s="748">
        <f t="shared" si="269"/>
        <v>0</v>
      </c>
      <c r="G1933" s="1205"/>
      <c r="H1933" s="1055"/>
      <c r="I1933" s="1055"/>
      <c r="J1933" s="1055"/>
      <c r="K1933" s="1205"/>
      <c r="L1933" s="1055"/>
      <c r="M1933" s="1205"/>
      <c r="N1933" s="1054"/>
      <c r="O1933" s="1207"/>
      <c r="Q1933" s="1207"/>
    </row>
    <row r="1934" spans="3:17" s="700" customFormat="1" ht="70.5" hidden="1" customHeight="1">
      <c r="C1934" s="701"/>
      <c r="D1934" s="811"/>
      <c r="E1934" s="1276">
        <f>[11]building!Y2265</f>
        <v>0</v>
      </c>
      <c r="F1934" s="748">
        <f t="shared" si="269"/>
        <v>0</v>
      </c>
      <c r="G1934" s="1205"/>
      <c r="H1934" s="1055"/>
      <c r="I1934" s="1055"/>
      <c r="J1934" s="1055"/>
      <c r="K1934" s="1205"/>
      <c r="L1934" s="1055"/>
      <c r="M1934" s="1205"/>
      <c r="N1934" s="1054"/>
      <c r="O1934" s="1207"/>
      <c r="Q1934" s="1207"/>
    </row>
    <row r="1935" spans="3:17" s="700" customFormat="1" ht="70.5" hidden="1" customHeight="1">
      <c r="C1935" s="701"/>
      <c r="D1935" s="811"/>
      <c r="E1935" s="1276">
        <f>[11]building!Y2266</f>
        <v>0</v>
      </c>
      <c r="F1935" s="748">
        <f t="shared" si="269"/>
        <v>0</v>
      </c>
      <c r="G1935" s="1205"/>
      <c r="H1935" s="1055"/>
      <c r="I1935" s="1055"/>
      <c r="J1935" s="1055"/>
      <c r="K1935" s="1205"/>
      <c r="L1935" s="1055"/>
      <c r="M1935" s="1205"/>
      <c r="N1935" s="1054"/>
      <c r="O1935" s="1207"/>
      <c r="Q1935" s="1207"/>
    </row>
    <row r="1936" spans="3:17" s="700" customFormat="1" ht="70.5" hidden="1" customHeight="1">
      <c r="C1936" s="701"/>
      <c r="D1936" s="811"/>
      <c r="E1936" s="1276">
        <f>[11]building!Y2267</f>
        <v>0</v>
      </c>
      <c r="F1936" s="748">
        <f t="shared" si="269"/>
        <v>0</v>
      </c>
      <c r="G1936" s="1205"/>
      <c r="H1936" s="1055"/>
      <c r="I1936" s="1055"/>
      <c r="J1936" s="1055"/>
      <c r="K1936" s="1205"/>
      <c r="L1936" s="1055"/>
      <c r="M1936" s="1205"/>
      <c r="N1936" s="1054"/>
      <c r="O1936" s="1207"/>
      <c r="Q1936" s="1207"/>
    </row>
    <row r="1937" spans="3:17" s="700" customFormat="1" ht="70.5" hidden="1" customHeight="1">
      <c r="C1937" s="701"/>
      <c r="D1937" s="811"/>
      <c r="E1937" s="1276">
        <f>[11]building!Y2268</f>
        <v>0</v>
      </c>
      <c r="F1937" s="748">
        <f t="shared" si="269"/>
        <v>0</v>
      </c>
      <c r="G1937" s="1205"/>
      <c r="H1937" s="1055"/>
      <c r="I1937" s="1055"/>
      <c r="J1937" s="1055"/>
      <c r="K1937" s="1205"/>
      <c r="L1937" s="1055"/>
      <c r="M1937" s="1205"/>
      <c r="N1937" s="1054"/>
      <c r="O1937" s="1207"/>
      <c r="Q1937" s="1207"/>
    </row>
    <row r="1938" spans="3:17" s="700" customFormat="1" ht="70.5" hidden="1" customHeight="1">
      <c r="C1938" s="701"/>
      <c r="D1938" s="811"/>
      <c r="E1938" s="1276">
        <f>[11]building!Y2269</f>
        <v>0</v>
      </c>
      <c r="F1938" s="748">
        <f t="shared" si="269"/>
        <v>0</v>
      </c>
      <c r="G1938" s="1205"/>
      <c r="H1938" s="1055"/>
      <c r="I1938" s="1055"/>
      <c r="J1938" s="1055"/>
      <c r="K1938" s="1205"/>
      <c r="L1938" s="1055"/>
      <c r="M1938" s="1205"/>
      <c r="N1938" s="1054"/>
      <c r="O1938" s="1207"/>
      <c r="Q1938" s="1207"/>
    </row>
    <row r="1939" spans="3:17" s="700" customFormat="1" ht="70.5" hidden="1" customHeight="1">
      <c r="C1939" s="701"/>
      <c r="D1939" s="811"/>
      <c r="E1939" s="1276">
        <f>[11]building!Y2270</f>
        <v>0</v>
      </c>
      <c r="F1939" s="748">
        <f t="shared" si="269"/>
        <v>0</v>
      </c>
      <c r="G1939" s="1205"/>
      <c r="H1939" s="1055"/>
      <c r="I1939" s="1055"/>
      <c r="J1939" s="1055"/>
      <c r="K1939" s="1205"/>
      <c r="L1939" s="1055"/>
      <c r="M1939" s="1205"/>
      <c r="N1939" s="1054"/>
      <c r="O1939" s="1207"/>
      <c r="Q1939" s="1207"/>
    </row>
    <row r="1940" spans="3:17" s="700" customFormat="1" ht="70.5" hidden="1" customHeight="1">
      <c r="C1940" s="701"/>
      <c r="D1940" s="811"/>
      <c r="E1940" s="1276">
        <f>[11]building!Y2271</f>
        <v>0</v>
      </c>
      <c r="F1940" s="748">
        <f t="shared" si="269"/>
        <v>0</v>
      </c>
      <c r="G1940" s="1205"/>
      <c r="H1940" s="1055"/>
      <c r="I1940" s="1055"/>
      <c r="J1940" s="1055"/>
      <c r="K1940" s="1205"/>
      <c r="L1940" s="1055"/>
      <c r="M1940" s="1205"/>
      <c r="N1940" s="1054"/>
      <c r="O1940" s="1207"/>
      <c r="Q1940" s="1207"/>
    </row>
    <row r="1941" spans="3:17" s="700" customFormat="1" ht="70.5" hidden="1" customHeight="1">
      <c r="C1941" s="701"/>
      <c r="D1941" s="811"/>
      <c r="E1941" s="1276">
        <f>[11]building!Y2272</f>
        <v>0</v>
      </c>
      <c r="F1941" s="748">
        <f t="shared" si="269"/>
        <v>0</v>
      </c>
      <c r="G1941" s="1205"/>
      <c r="H1941" s="1055"/>
      <c r="I1941" s="1055"/>
      <c r="J1941" s="1055"/>
      <c r="K1941" s="1205"/>
      <c r="L1941" s="1055"/>
      <c r="M1941" s="1205"/>
      <c r="N1941" s="1054"/>
      <c r="O1941" s="1207"/>
      <c r="Q1941" s="1207"/>
    </row>
    <row r="1942" spans="3:17" s="700" customFormat="1" ht="70.5" hidden="1" customHeight="1">
      <c r="C1942" s="701"/>
      <c r="D1942" s="811"/>
      <c r="E1942" s="1276">
        <f>[11]building!Y2273</f>
        <v>0</v>
      </c>
      <c r="F1942" s="748">
        <f t="shared" si="269"/>
        <v>0</v>
      </c>
      <c r="G1942" s="1205"/>
      <c r="H1942" s="1055"/>
      <c r="I1942" s="1055"/>
      <c r="J1942" s="1055"/>
      <c r="K1942" s="1205"/>
      <c r="L1942" s="1055"/>
      <c r="M1942" s="1205"/>
      <c r="N1942" s="1054"/>
      <c r="O1942" s="1207"/>
      <c r="Q1942" s="1207"/>
    </row>
    <row r="1943" spans="3:17" s="700" customFormat="1" ht="70.5" hidden="1" customHeight="1">
      <c r="C1943" s="701"/>
      <c r="D1943" s="811"/>
      <c r="E1943" s="1276">
        <f>[11]building!Y2274</f>
        <v>0</v>
      </c>
      <c r="F1943" s="748">
        <f t="shared" si="269"/>
        <v>0</v>
      </c>
      <c r="G1943" s="1205"/>
      <c r="H1943" s="1055"/>
      <c r="I1943" s="1055"/>
      <c r="J1943" s="1055"/>
      <c r="K1943" s="1205"/>
      <c r="L1943" s="1055"/>
      <c r="M1943" s="1205"/>
      <c r="N1943" s="1054"/>
      <c r="O1943" s="1207"/>
      <c r="Q1943" s="1207"/>
    </row>
    <row r="1944" spans="3:17" s="700" customFormat="1" ht="70.5" hidden="1" customHeight="1">
      <c r="C1944" s="701"/>
      <c r="D1944" s="811"/>
      <c r="E1944" s="1276">
        <f>[11]building!Y2275</f>
        <v>0</v>
      </c>
      <c r="F1944" s="748">
        <f t="shared" si="269"/>
        <v>0</v>
      </c>
      <c r="G1944" s="1205"/>
      <c r="H1944" s="1055"/>
      <c r="I1944" s="1055"/>
      <c r="J1944" s="1055"/>
      <c r="K1944" s="1205"/>
      <c r="L1944" s="1055"/>
      <c r="M1944" s="1205"/>
      <c r="N1944" s="1054"/>
      <c r="O1944" s="1207"/>
      <c r="Q1944" s="1207"/>
    </row>
    <row r="1945" spans="3:17" s="700" customFormat="1" ht="70.5" hidden="1" customHeight="1">
      <c r="C1945" s="701"/>
      <c r="D1945" s="811"/>
      <c r="E1945" s="1276">
        <f>[11]building!Y2276</f>
        <v>0</v>
      </c>
      <c r="F1945" s="748">
        <f t="shared" si="269"/>
        <v>0</v>
      </c>
      <c r="G1945" s="1205"/>
      <c r="H1945" s="1055"/>
      <c r="I1945" s="1055"/>
      <c r="J1945" s="1055"/>
      <c r="K1945" s="1205"/>
      <c r="L1945" s="1055"/>
      <c r="M1945" s="1205"/>
      <c r="N1945" s="1054"/>
      <c r="O1945" s="1207"/>
      <c r="Q1945" s="1207"/>
    </row>
    <row r="1946" spans="3:17" s="700" customFormat="1" ht="70.5" hidden="1" customHeight="1">
      <c r="C1946" s="701"/>
      <c r="D1946" s="811"/>
      <c r="E1946" s="1276">
        <f>[11]building!Y2277</f>
        <v>0</v>
      </c>
      <c r="F1946" s="748">
        <f t="shared" si="269"/>
        <v>0</v>
      </c>
      <c r="G1946" s="1205"/>
      <c r="H1946" s="1055"/>
      <c r="I1946" s="1055"/>
      <c r="J1946" s="1055"/>
      <c r="K1946" s="1205"/>
      <c r="L1946" s="1055"/>
      <c r="M1946" s="1205"/>
      <c r="N1946" s="1054"/>
      <c r="O1946" s="1207"/>
      <c r="Q1946" s="1207"/>
    </row>
    <row r="1947" spans="3:17" s="700" customFormat="1" ht="70.5" hidden="1" customHeight="1">
      <c r="C1947" s="701"/>
      <c r="D1947" s="811"/>
      <c r="E1947" s="1276">
        <f>[11]building!Y2278</f>
        <v>0</v>
      </c>
      <c r="F1947" s="748">
        <f t="shared" si="269"/>
        <v>0</v>
      </c>
      <c r="G1947" s="1205"/>
      <c r="H1947" s="1055"/>
      <c r="I1947" s="1055"/>
      <c r="J1947" s="1055"/>
      <c r="K1947" s="1205"/>
      <c r="L1947" s="1055"/>
      <c r="M1947" s="1205"/>
      <c r="N1947" s="1054"/>
      <c r="O1947" s="1207"/>
      <c r="Q1947" s="1207"/>
    </row>
    <row r="1948" spans="3:17" s="700" customFormat="1" ht="70.5" hidden="1" customHeight="1">
      <c r="C1948" s="701"/>
      <c r="D1948" s="811"/>
      <c r="E1948" s="1276">
        <f>[11]building!Y2279</f>
        <v>0</v>
      </c>
      <c r="F1948" s="748">
        <f t="shared" si="269"/>
        <v>0</v>
      </c>
      <c r="G1948" s="1205"/>
      <c r="H1948" s="1055"/>
      <c r="I1948" s="1055"/>
      <c r="J1948" s="1055"/>
      <c r="K1948" s="1205"/>
      <c r="L1948" s="1055"/>
      <c r="M1948" s="1205"/>
      <c r="N1948" s="1054"/>
      <c r="O1948" s="1207"/>
      <c r="Q1948" s="1207"/>
    </row>
    <row r="1949" spans="3:17" s="700" customFormat="1" ht="70.5" hidden="1" customHeight="1">
      <c r="C1949" s="701"/>
      <c r="D1949" s="811"/>
      <c r="E1949" s="1276">
        <f>[11]building!Y2280</f>
        <v>0</v>
      </c>
      <c r="F1949" s="748">
        <f t="shared" si="269"/>
        <v>0</v>
      </c>
      <c r="G1949" s="1205"/>
      <c r="H1949" s="1055"/>
      <c r="I1949" s="1055"/>
      <c r="J1949" s="1055"/>
      <c r="K1949" s="1205"/>
      <c r="L1949" s="1055"/>
      <c r="M1949" s="1205"/>
      <c r="N1949" s="1054"/>
      <c r="O1949" s="1207"/>
      <c r="Q1949" s="1207"/>
    </row>
    <row r="1950" spans="3:17" s="700" customFormat="1" ht="70.5" hidden="1" customHeight="1">
      <c r="C1950" s="701"/>
      <c r="D1950" s="811"/>
      <c r="E1950" s="1276">
        <f>[11]building!Y2281</f>
        <v>0</v>
      </c>
      <c r="F1950" s="748">
        <f t="shared" si="269"/>
        <v>0</v>
      </c>
      <c r="G1950" s="1205"/>
      <c r="H1950" s="1055"/>
      <c r="I1950" s="1055"/>
      <c r="J1950" s="1055"/>
      <c r="K1950" s="1205"/>
      <c r="L1950" s="1055"/>
      <c r="M1950" s="1205"/>
      <c r="N1950" s="1054"/>
      <c r="O1950" s="1207"/>
      <c r="Q1950" s="1207"/>
    </row>
    <row r="1951" spans="3:17" s="700" customFormat="1" ht="70.5" hidden="1" customHeight="1">
      <c r="C1951" s="701"/>
      <c r="D1951" s="811"/>
      <c r="E1951" s="1276">
        <f>[11]building!Y2282</f>
        <v>0</v>
      </c>
      <c r="F1951" s="748">
        <f t="shared" si="269"/>
        <v>0</v>
      </c>
      <c r="G1951" s="1205"/>
      <c r="H1951" s="1055"/>
      <c r="I1951" s="1055"/>
      <c r="J1951" s="1055"/>
      <c r="K1951" s="1205"/>
      <c r="L1951" s="1055"/>
      <c r="M1951" s="1205"/>
      <c r="N1951" s="1054"/>
      <c r="O1951" s="1207"/>
      <c r="Q1951" s="1207"/>
    </row>
    <row r="1952" spans="3:17" s="700" customFormat="1" ht="70.5" hidden="1" customHeight="1">
      <c r="C1952" s="701"/>
      <c r="D1952" s="811"/>
      <c r="E1952" s="1276">
        <f>[11]building!Y2283</f>
        <v>0</v>
      </c>
      <c r="F1952" s="748">
        <f t="shared" si="269"/>
        <v>0</v>
      </c>
      <c r="G1952" s="1205"/>
      <c r="H1952" s="1055"/>
      <c r="I1952" s="1055"/>
      <c r="J1952" s="1055"/>
      <c r="K1952" s="1205"/>
      <c r="L1952" s="1055"/>
      <c r="M1952" s="1205"/>
      <c r="N1952" s="1054"/>
      <c r="O1952" s="1207"/>
      <c r="Q1952" s="1207"/>
    </row>
    <row r="1953" spans="3:17" s="700" customFormat="1" ht="70.5" hidden="1" customHeight="1">
      <c r="C1953" s="701"/>
      <c r="D1953" s="811"/>
      <c r="E1953" s="1276">
        <f>[11]building!Y2284</f>
        <v>0</v>
      </c>
      <c r="F1953" s="748">
        <f t="shared" si="269"/>
        <v>0</v>
      </c>
      <c r="G1953" s="1205"/>
      <c r="H1953" s="1055"/>
      <c r="I1953" s="1055"/>
      <c r="J1953" s="1055"/>
      <c r="K1953" s="1205"/>
      <c r="L1953" s="1055"/>
      <c r="M1953" s="1205"/>
      <c r="N1953" s="1054"/>
      <c r="O1953" s="1207"/>
      <c r="Q1953" s="1207"/>
    </row>
    <row r="1954" spans="3:17" s="700" customFormat="1" ht="70.5" hidden="1" customHeight="1">
      <c r="C1954" s="701"/>
      <c r="D1954" s="811"/>
      <c r="E1954" s="1276">
        <f>[11]building!Y2285</f>
        <v>0</v>
      </c>
      <c r="F1954" s="748">
        <f t="shared" si="269"/>
        <v>0</v>
      </c>
      <c r="G1954" s="1205"/>
      <c r="H1954" s="1055"/>
      <c r="I1954" s="1055"/>
      <c r="J1954" s="1055"/>
      <c r="K1954" s="1205"/>
      <c r="L1954" s="1055"/>
      <c r="M1954" s="1205"/>
      <c r="N1954" s="1054"/>
      <c r="O1954" s="1207"/>
      <c r="Q1954" s="1207"/>
    </row>
    <row r="1955" spans="3:17" s="700" customFormat="1" ht="70.5" hidden="1" customHeight="1">
      <c r="C1955" s="701"/>
      <c r="D1955" s="811"/>
      <c r="E1955" s="1276">
        <f>[11]building!Y2286</f>
        <v>0</v>
      </c>
      <c r="F1955" s="748">
        <f t="shared" si="269"/>
        <v>0</v>
      </c>
      <c r="G1955" s="1205"/>
      <c r="H1955" s="1055"/>
      <c r="I1955" s="1055"/>
      <c r="J1955" s="1055"/>
      <c r="K1955" s="1205"/>
      <c r="L1955" s="1055"/>
      <c r="M1955" s="1205"/>
      <c r="N1955" s="1054"/>
      <c r="O1955" s="1207"/>
      <c r="Q1955" s="1207"/>
    </row>
    <row r="1956" spans="3:17" s="700" customFormat="1" ht="70.5" hidden="1" customHeight="1">
      <c r="C1956" s="701"/>
      <c r="D1956" s="811"/>
      <c r="E1956" s="1276">
        <f>[11]building!Y2287</f>
        <v>0</v>
      </c>
      <c r="F1956" s="748">
        <f t="shared" si="269"/>
        <v>0</v>
      </c>
      <c r="G1956" s="1205"/>
      <c r="H1956" s="1055"/>
      <c r="I1956" s="1055"/>
      <c r="J1956" s="1055"/>
      <c r="K1956" s="1205"/>
      <c r="L1956" s="1055"/>
      <c r="M1956" s="1205"/>
      <c r="N1956" s="1054"/>
      <c r="O1956" s="1207"/>
      <c r="Q1956" s="1207"/>
    </row>
    <row r="1957" spans="3:17" s="700" customFormat="1" ht="70.5" hidden="1" customHeight="1">
      <c r="C1957" s="701"/>
      <c r="D1957" s="811"/>
      <c r="E1957" s="1276">
        <f>[11]building!Y2288</f>
        <v>0</v>
      </c>
      <c r="F1957" s="748">
        <f t="shared" si="269"/>
        <v>0</v>
      </c>
      <c r="G1957" s="1205"/>
      <c r="H1957" s="1055"/>
      <c r="I1957" s="1055"/>
      <c r="J1957" s="1055"/>
      <c r="K1957" s="1205"/>
      <c r="L1957" s="1055"/>
      <c r="M1957" s="1205"/>
      <c r="N1957" s="1054"/>
      <c r="O1957" s="1207"/>
      <c r="Q1957" s="1207"/>
    </row>
    <row r="1958" spans="3:17" s="700" customFormat="1" ht="70.5" hidden="1" customHeight="1">
      <c r="C1958" s="701"/>
      <c r="D1958" s="811"/>
      <c r="E1958" s="1276">
        <f>[11]building!Y2289</f>
        <v>0</v>
      </c>
      <c r="F1958" s="748">
        <f t="shared" si="269"/>
        <v>0</v>
      </c>
      <c r="G1958" s="1205"/>
      <c r="H1958" s="1055"/>
      <c r="I1958" s="1055"/>
      <c r="J1958" s="1055"/>
      <c r="K1958" s="1205"/>
      <c r="L1958" s="1055"/>
      <c r="M1958" s="1205"/>
      <c r="N1958" s="1054"/>
      <c r="O1958" s="1207"/>
      <c r="Q1958" s="1207"/>
    </row>
    <row r="1959" spans="3:17" s="700" customFormat="1" ht="70.5" hidden="1" customHeight="1">
      <c r="C1959" s="701"/>
      <c r="D1959" s="811"/>
      <c r="E1959" s="1276">
        <f>[11]building!Y2290</f>
        <v>0</v>
      </c>
      <c r="F1959" s="748">
        <f t="shared" si="269"/>
        <v>0</v>
      </c>
      <c r="G1959" s="1205"/>
      <c r="H1959" s="1055"/>
      <c r="I1959" s="1055"/>
      <c r="J1959" s="1055"/>
      <c r="K1959" s="1205"/>
      <c r="L1959" s="1055"/>
      <c r="M1959" s="1205"/>
      <c r="N1959" s="1054"/>
      <c r="O1959" s="1207"/>
      <c r="Q1959" s="1207"/>
    </row>
    <row r="1960" spans="3:17" s="700" customFormat="1" ht="70.5" hidden="1" customHeight="1">
      <c r="C1960" s="701"/>
      <c r="D1960" s="811"/>
      <c r="E1960" s="1276">
        <f>[11]building!Y2291</f>
        <v>0</v>
      </c>
      <c r="F1960" s="748">
        <f t="shared" si="269"/>
        <v>0</v>
      </c>
      <c r="G1960" s="1205"/>
      <c r="H1960" s="1055"/>
      <c r="I1960" s="1055"/>
      <c r="J1960" s="1055"/>
      <c r="K1960" s="1205"/>
      <c r="L1960" s="1055"/>
      <c r="M1960" s="1205"/>
      <c r="N1960" s="1054"/>
      <c r="O1960" s="1207"/>
      <c r="Q1960" s="1207"/>
    </row>
    <row r="1961" spans="3:17" s="700" customFormat="1" ht="70.5" hidden="1" customHeight="1">
      <c r="C1961" s="701"/>
      <c r="D1961" s="811"/>
      <c r="E1961" s="1276">
        <f>[11]building!Y2292</f>
        <v>0</v>
      </c>
      <c r="F1961" s="748">
        <f t="shared" si="269"/>
        <v>0</v>
      </c>
      <c r="G1961" s="1205"/>
      <c r="H1961" s="1055"/>
      <c r="I1961" s="1055"/>
      <c r="J1961" s="1055"/>
      <c r="K1961" s="1205"/>
      <c r="L1961" s="1055"/>
      <c r="M1961" s="1205"/>
      <c r="N1961" s="1054"/>
      <c r="O1961" s="1207"/>
      <c r="Q1961" s="1207"/>
    </row>
    <row r="1962" spans="3:17" s="700" customFormat="1" ht="70.5" hidden="1" customHeight="1">
      <c r="C1962" s="701"/>
      <c r="D1962" s="811"/>
      <c r="E1962" s="1276">
        <f>[11]building!Y2293</f>
        <v>0</v>
      </c>
      <c r="F1962" s="748">
        <f t="shared" si="269"/>
        <v>0</v>
      </c>
      <c r="G1962" s="1205"/>
      <c r="H1962" s="1055"/>
      <c r="I1962" s="1055"/>
      <c r="J1962" s="1055"/>
      <c r="K1962" s="1205"/>
      <c r="L1962" s="1055"/>
      <c r="M1962" s="1205"/>
      <c r="N1962" s="1054"/>
      <c r="O1962" s="1207"/>
      <c r="Q1962" s="1207"/>
    </row>
    <row r="1963" spans="3:17" s="700" customFormat="1" ht="70.5" hidden="1" customHeight="1">
      <c r="C1963" s="701"/>
      <c r="D1963" s="811"/>
      <c r="E1963" s="1276">
        <f>[11]building!Y2294</f>
        <v>0</v>
      </c>
      <c r="F1963" s="748">
        <f t="shared" si="269"/>
        <v>0</v>
      </c>
      <c r="G1963" s="1205"/>
      <c r="H1963" s="1055"/>
      <c r="I1963" s="1055"/>
      <c r="J1963" s="1055"/>
      <c r="K1963" s="1205"/>
      <c r="L1963" s="1055"/>
      <c r="M1963" s="1205"/>
      <c r="N1963" s="1054"/>
      <c r="O1963" s="1207"/>
      <c r="Q1963" s="1207"/>
    </row>
    <row r="1964" spans="3:17" s="700" customFormat="1" ht="70.5" hidden="1" customHeight="1">
      <c r="C1964" s="701"/>
      <c r="D1964" s="811"/>
      <c r="E1964" s="1276">
        <f>[11]building!Y2295</f>
        <v>0</v>
      </c>
      <c r="F1964" s="748">
        <f t="shared" si="269"/>
        <v>0</v>
      </c>
      <c r="G1964" s="1205"/>
      <c r="H1964" s="1055"/>
      <c r="I1964" s="1055"/>
      <c r="J1964" s="1055"/>
      <c r="K1964" s="1205"/>
      <c r="L1964" s="1055"/>
      <c r="M1964" s="1205"/>
      <c r="N1964" s="1054"/>
      <c r="O1964" s="1207"/>
      <c r="Q1964" s="1207"/>
    </row>
    <row r="1965" spans="3:17" s="700" customFormat="1" ht="70.5" hidden="1" customHeight="1">
      <c r="C1965" s="701"/>
      <c r="D1965" s="811"/>
      <c r="E1965" s="1276">
        <f>[11]building!Y2296</f>
        <v>0</v>
      </c>
      <c r="F1965" s="748">
        <f t="shared" si="269"/>
        <v>0</v>
      </c>
      <c r="G1965" s="1205"/>
      <c r="H1965" s="1055"/>
      <c r="I1965" s="1055"/>
      <c r="J1965" s="1055"/>
      <c r="K1965" s="1205"/>
      <c r="L1965" s="1055"/>
      <c r="M1965" s="1205"/>
      <c r="N1965" s="1054"/>
      <c r="O1965" s="1207"/>
      <c r="Q1965" s="1207"/>
    </row>
    <row r="1966" spans="3:17" s="700" customFormat="1" ht="70.5" hidden="1" customHeight="1">
      <c r="C1966" s="701"/>
      <c r="D1966" s="811"/>
      <c r="E1966" s="1276">
        <f>[11]building!Y2297</f>
        <v>0</v>
      </c>
      <c r="F1966" s="748">
        <f t="shared" si="269"/>
        <v>0</v>
      </c>
      <c r="G1966" s="1205"/>
      <c r="H1966" s="1055"/>
      <c r="I1966" s="1055"/>
      <c r="J1966" s="1055"/>
      <c r="K1966" s="1205"/>
      <c r="L1966" s="1055"/>
      <c r="M1966" s="1205"/>
      <c r="N1966" s="1054"/>
      <c r="O1966" s="1207"/>
      <c r="Q1966" s="1207"/>
    </row>
    <row r="1967" spans="3:17" s="700" customFormat="1" ht="70.5" hidden="1" customHeight="1">
      <c r="C1967" s="701"/>
      <c r="D1967" s="811"/>
      <c r="E1967" s="1276">
        <f>[11]building!Y2298</f>
        <v>0</v>
      </c>
      <c r="F1967" s="748">
        <f t="shared" si="269"/>
        <v>0</v>
      </c>
      <c r="G1967" s="1205"/>
      <c r="H1967" s="1055"/>
      <c r="I1967" s="1055"/>
      <c r="J1967" s="1055"/>
      <c r="K1967" s="1205"/>
      <c r="L1967" s="1055"/>
      <c r="M1967" s="1205"/>
      <c r="N1967" s="1054"/>
      <c r="O1967" s="1207"/>
      <c r="Q1967" s="1207"/>
    </row>
    <row r="1968" spans="3:17" s="700" customFormat="1" ht="70.5" hidden="1" customHeight="1">
      <c r="C1968" s="701"/>
      <c r="D1968" s="811"/>
      <c r="E1968" s="1276">
        <f>[11]building!Y2299</f>
        <v>0</v>
      </c>
      <c r="F1968" s="748">
        <f t="shared" si="269"/>
        <v>0</v>
      </c>
      <c r="G1968" s="1205"/>
      <c r="H1968" s="1055"/>
      <c r="I1968" s="1055"/>
      <c r="J1968" s="1055"/>
      <c r="K1968" s="1205"/>
      <c r="L1968" s="1055"/>
      <c r="M1968" s="1205"/>
      <c r="N1968" s="1054"/>
      <c r="O1968" s="1207"/>
      <c r="Q1968" s="1207"/>
    </row>
    <row r="1969" spans="3:17" s="700" customFormat="1" ht="70.5" hidden="1" customHeight="1">
      <c r="C1969" s="701"/>
      <c r="D1969" s="811"/>
      <c r="E1969" s="1276">
        <f>[11]building!Y2300</f>
        <v>0</v>
      </c>
      <c r="F1969" s="748">
        <f t="shared" si="269"/>
        <v>0</v>
      </c>
      <c r="G1969" s="1205"/>
      <c r="H1969" s="1055"/>
      <c r="I1969" s="1055"/>
      <c r="J1969" s="1055"/>
      <c r="K1969" s="1205"/>
      <c r="L1969" s="1055"/>
      <c r="M1969" s="1205"/>
      <c r="N1969" s="1054"/>
      <c r="O1969" s="1207"/>
      <c r="Q1969" s="1207"/>
    </row>
    <row r="1970" spans="3:17" s="700" customFormat="1" ht="70.5" hidden="1" customHeight="1">
      <c r="C1970" s="701"/>
      <c r="D1970" s="811"/>
      <c r="E1970" s="1276">
        <f>[11]building!Y2301</f>
        <v>0</v>
      </c>
      <c r="F1970" s="748">
        <f t="shared" si="269"/>
        <v>0</v>
      </c>
      <c r="G1970" s="1205"/>
      <c r="H1970" s="1055"/>
      <c r="I1970" s="1055"/>
      <c r="J1970" s="1055"/>
      <c r="K1970" s="1205"/>
      <c r="L1970" s="1055"/>
      <c r="M1970" s="1205"/>
      <c r="N1970" s="1054"/>
      <c r="O1970" s="1207"/>
      <c r="Q1970" s="1207"/>
    </row>
    <row r="1971" spans="3:17" s="700" customFormat="1" ht="70.5" hidden="1" customHeight="1">
      <c r="C1971" s="701"/>
      <c r="D1971" s="811"/>
      <c r="E1971" s="1276">
        <f>[11]building!Y2302</f>
        <v>0</v>
      </c>
      <c r="F1971" s="748">
        <f t="shared" si="269"/>
        <v>0</v>
      </c>
      <c r="G1971" s="1205"/>
      <c r="H1971" s="1055"/>
      <c r="I1971" s="1055"/>
      <c r="J1971" s="1055"/>
      <c r="K1971" s="1205"/>
      <c r="L1971" s="1055"/>
      <c r="M1971" s="1205"/>
      <c r="N1971" s="1054"/>
      <c r="O1971" s="1207"/>
      <c r="Q1971" s="1207"/>
    </row>
    <row r="1972" spans="3:17" s="700" customFormat="1" ht="70.5" hidden="1" customHeight="1">
      <c r="C1972" s="701"/>
      <c r="D1972" s="811"/>
      <c r="E1972" s="1276">
        <f>[11]building!Y2303</f>
        <v>0</v>
      </c>
      <c r="F1972" s="748">
        <f t="shared" si="269"/>
        <v>0</v>
      </c>
      <c r="G1972" s="1205"/>
      <c r="H1972" s="1055"/>
      <c r="I1972" s="1055"/>
      <c r="J1972" s="1055"/>
      <c r="K1972" s="1205"/>
      <c r="L1972" s="1055"/>
      <c r="M1972" s="1205"/>
      <c r="N1972" s="1054"/>
      <c r="O1972" s="1207"/>
      <c r="Q1972" s="1207"/>
    </row>
    <row r="1973" spans="3:17" s="700" customFormat="1" ht="70.5" hidden="1" customHeight="1">
      <c r="C1973" s="701"/>
      <c r="D1973" s="811"/>
      <c r="E1973" s="1276">
        <f>[11]building!Y2304</f>
        <v>0</v>
      </c>
      <c r="F1973" s="748">
        <f t="shared" si="269"/>
        <v>0</v>
      </c>
      <c r="G1973" s="1205"/>
      <c r="H1973" s="1055"/>
      <c r="I1973" s="1055"/>
      <c r="J1973" s="1055"/>
      <c r="K1973" s="1205"/>
      <c r="L1973" s="1055"/>
      <c r="M1973" s="1205"/>
      <c r="N1973" s="1054"/>
      <c r="O1973" s="1207"/>
      <c r="Q1973" s="1207"/>
    </row>
    <row r="1974" spans="3:17" s="700" customFormat="1" ht="70.5" hidden="1" customHeight="1">
      <c r="C1974" s="701"/>
      <c r="D1974" s="811"/>
      <c r="E1974" s="1276">
        <f>[11]building!Y2305</f>
        <v>0</v>
      </c>
      <c r="F1974" s="748">
        <f t="shared" si="269"/>
        <v>0</v>
      </c>
      <c r="G1974" s="1205"/>
      <c r="H1974" s="1055"/>
      <c r="I1974" s="1055"/>
      <c r="J1974" s="1055"/>
      <c r="K1974" s="1205"/>
      <c r="L1974" s="1055"/>
      <c r="M1974" s="1205"/>
      <c r="N1974" s="1054"/>
      <c r="O1974" s="1207"/>
      <c r="Q1974" s="1207"/>
    </row>
    <row r="1975" spans="3:17" s="700" customFormat="1" ht="70.5" hidden="1" customHeight="1">
      <c r="C1975" s="701"/>
      <c r="D1975" s="811"/>
      <c r="E1975" s="1276">
        <f>[11]building!Y2306</f>
        <v>0</v>
      </c>
      <c r="F1975" s="748">
        <f t="shared" si="269"/>
        <v>0</v>
      </c>
      <c r="G1975" s="1205"/>
      <c r="H1975" s="1055"/>
      <c r="I1975" s="1055"/>
      <c r="J1975" s="1055"/>
      <c r="K1975" s="1205"/>
      <c r="L1975" s="1055"/>
      <c r="M1975" s="1205"/>
      <c r="N1975" s="1054"/>
      <c r="O1975" s="1207"/>
      <c r="Q1975" s="1207"/>
    </row>
    <row r="1976" spans="3:17" s="700" customFormat="1" ht="70.5" hidden="1" customHeight="1">
      <c r="C1976" s="701"/>
      <c r="D1976" s="811"/>
      <c r="E1976" s="1276">
        <f>[11]building!Y2307</f>
        <v>0</v>
      </c>
      <c r="F1976" s="748">
        <f t="shared" si="269"/>
        <v>0</v>
      </c>
      <c r="G1976" s="1205"/>
      <c r="H1976" s="1055"/>
      <c r="I1976" s="1055"/>
      <c r="J1976" s="1055"/>
      <c r="K1976" s="1205"/>
      <c r="L1976" s="1055"/>
      <c r="M1976" s="1205"/>
      <c r="N1976" s="1054"/>
      <c r="O1976" s="1207"/>
      <c r="Q1976" s="1207"/>
    </row>
    <row r="1977" spans="3:17" s="700" customFormat="1" ht="70.5" hidden="1" customHeight="1">
      <c r="C1977" s="701"/>
      <c r="D1977" s="811"/>
      <c r="E1977" s="1276">
        <f>[11]building!Y2308</f>
        <v>0</v>
      </c>
      <c r="F1977" s="748">
        <f t="shared" si="269"/>
        <v>0</v>
      </c>
      <c r="G1977" s="1205"/>
      <c r="H1977" s="1055"/>
      <c r="I1977" s="1055"/>
      <c r="J1977" s="1055"/>
      <c r="K1977" s="1205"/>
      <c r="L1977" s="1055"/>
      <c r="M1977" s="1205"/>
      <c r="N1977" s="1054"/>
      <c r="O1977" s="1207"/>
      <c r="Q1977" s="1207"/>
    </row>
    <row r="1978" spans="3:17" s="700" customFormat="1" ht="70.5" hidden="1" customHeight="1">
      <c r="C1978" s="701"/>
      <c r="D1978" s="811"/>
      <c r="E1978" s="1276">
        <f>[11]building!Y2309</f>
        <v>0</v>
      </c>
      <c r="F1978" s="748">
        <f t="shared" si="269"/>
        <v>0</v>
      </c>
      <c r="G1978" s="1205"/>
      <c r="H1978" s="1055"/>
      <c r="I1978" s="1055"/>
      <c r="J1978" s="1055"/>
      <c r="K1978" s="1205"/>
      <c r="L1978" s="1055"/>
      <c r="M1978" s="1205"/>
      <c r="N1978" s="1054"/>
      <c r="O1978" s="1207"/>
      <c r="Q1978" s="1207"/>
    </row>
    <row r="1979" spans="3:17" s="700" customFormat="1" ht="70.5" hidden="1" customHeight="1">
      <c r="C1979" s="701"/>
      <c r="D1979" s="811"/>
      <c r="E1979" s="1276">
        <f>[11]building!Y2310</f>
        <v>0</v>
      </c>
      <c r="F1979" s="748">
        <f t="shared" si="269"/>
        <v>0</v>
      </c>
      <c r="G1979" s="1205"/>
      <c r="H1979" s="1055"/>
      <c r="I1979" s="1055"/>
      <c r="J1979" s="1055"/>
      <c r="K1979" s="1205"/>
      <c r="L1979" s="1055"/>
      <c r="M1979" s="1205"/>
      <c r="N1979" s="1054"/>
      <c r="O1979" s="1207"/>
      <c r="Q1979" s="1207"/>
    </row>
    <row r="1980" spans="3:17" s="700" customFormat="1" ht="70.5" hidden="1" customHeight="1">
      <c r="C1980" s="701"/>
      <c r="D1980" s="811"/>
      <c r="E1980" s="1276">
        <f>[11]building!Y2311</f>
        <v>0</v>
      </c>
      <c r="F1980" s="748">
        <f t="shared" si="269"/>
        <v>0</v>
      </c>
      <c r="G1980" s="1205"/>
      <c r="H1980" s="1055"/>
      <c r="I1980" s="1055"/>
      <c r="J1980" s="1055"/>
      <c r="K1980" s="1205"/>
      <c r="L1980" s="1055"/>
      <c r="M1980" s="1205"/>
      <c r="N1980" s="1054"/>
      <c r="O1980" s="1207"/>
      <c r="Q1980" s="1207"/>
    </row>
    <row r="1981" spans="3:17" s="700" customFormat="1" ht="70.5" hidden="1" customHeight="1">
      <c r="C1981" s="701"/>
      <c r="D1981" s="811"/>
      <c r="E1981" s="1276">
        <f>[11]building!Y2312</f>
        <v>0</v>
      </c>
      <c r="F1981" s="748">
        <f t="shared" si="269"/>
        <v>0</v>
      </c>
      <c r="G1981" s="1205"/>
      <c r="H1981" s="1055"/>
      <c r="I1981" s="1055"/>
      <c r="J1981" s="1055"/>
      <c r="K1981" s="1205"/>
      <c r="L1981" s="1055"/>
      <c r="M1981" s="1205"/>
      <c r="N1981" s="1054"/>
      <c r="O1981" s="1207"/>
      <c r="Q1981" s="1207"/>
    </row>
    <row r="1982" spans="3:17" s="700" customFormat="1" ht="70.5" hidden="1" customHeight="1">
      <c r="C1982" s="701"/>
      <c r="D1982" s="811"/>
      <c r="E1982" s="1276">
        <f>[11]building!Y2313</f>
        <v>0</v>
      </c>
      <c r="F1982" s="748">
        <f t="shared" si="269"/>
        <v>0</v>
      </c>
      <c r="G1982" s="1205"/>
      <c r="H1982" s="1055"/>
      <c r="I1982" s="1055"/>
      <c r="J1982" s="1055"/>
      <c r="K1982" s="1205"/>
      <c r="L1982" s="1055"/>
      <c r="M1982" s="1205"/>
      <c r="N1982" s="1054"/>
      <c r="O1982" s="1207"/>
      <c r="Q1982" s="1207"/>
    </row>
    <row r="1983" spans="3:17" s="700" customFormat="1" ht="70.5" hidden="1" customHeight="1">
      <c r="C1983" s="701"/>
      <c r="D1983" s="811"/>
      <c r="E1983" s="1276">
        <f>[11]building!Y2314</f>
        <v>0</v>
      </c>
      <c r="F1983" s="748">
        <f t="shared" si="269"/>
        <v>0</v>
      </c>
      <c r="G1983" s="1205"/>
      <c r="H1983" s="1055"/>
      <c r="I1983" s="1055"/>
      <c r="J1983" s="1055"/>
      <c r="K1983" s="1205"/>
      <c r="L1983" s="1055"/>
      <c r="M1983" s="1205"/>
      <c r="N1983" s="1054"/>
      <c r="O1983" s="1207"/>
      <c r="Q1983" s="1207"/>
    </row>
    <row r="1984" spans="3:17" s="700" customFormat="1" ht="70.5" hidden="1" customHeight="1">
      <c r="C1984" s="701"/>
      <c r="D1984" s="811"/>
      <c r="E1984" s="1276">
        <f>[11]building!Y2315</f>
        <v>0</v>
      </c>
      <c r="F1984" s="748">
        <f t="shared" ref="F1984:F2047" si="270">E1984*C1984</f>
        <v>0</v>
      </c>
      <c r="G1984" s="1205"/>
      <c r="H1984" s="1055"/>
      <c r="I1984" s="1055"/>
      <c r="J1984" s="1055"/>
      <c r="K1984" s="1205"/>
      <c r="L1984" s="1055"/>
      <c r="M1984" s="1205"/>
      <c r="N1984" s="1054"/>
      <c r="O1984" s="1207"/>
      <c r="Q1984" s="1207"/>
    </row>
    <row r="1985" spans="3:17" s="700" customFormat="1" ht="70.5" hidden="1" customHeight="1">
      <c r="C1985" s="701"/>
      <c r="D1985" s="811"/>
      <c r="E1985" s="1276">
        <f>[11]building!Y2316</f>
        <v>0</v>
      </c>
      <c r="F1985" s="748">
        <f t="shared" si="270"/>
        <v>0</v>
      </c>
      <c r="G1985" s="1205"/>
      <c r="H1985" s="1055"/>
      <c r="I1985" s="1055"/>
      <c r="J1985" s="1055"/>
      <c r="K1985" s="1205"/>
      <c r="L1985" s="1055"/>
      <c r="M1985" s="1205"/>
      <c r="N1985" s="1054"/>
      <c r="O1985" s="1207"/>
      <c r="Q1985" s="1207"/>
    </row>
    <row r="1986" spans="3:17" s="700" customFormat="1" ht="70.5" hidden="1" customHeight="1">
      <c r="C1986" s="701"/>
      <c r="D1986" s="811"/>
      <c r="E1986" s="1276">
        <f>[11]building!Y2317</f>
        <v>0</v>
      </c>
      <c r="F1986" s="748">
        <f t="shared" si="270"/>
        <v>0</v>
      </c>
      <c r="G1986" s="1205"/>
      <c r="H1986" s="1055"/>
      <c r="I1986" s="1055"/>
      <c r="J1986" s="1055"/>
      <c r="K1986" s="1205"/>
      <c r="L1986" s="1055"/>
      <c r="M1986" s="1205"/>
      <c r="N1986" s="1054"/>
      <c r="O1986" s="1207"/>
      <c r="Q1986" s="1207"/>
    </row>
    <row r="1987" spans="3:17" s="700" customFormat="1" ht="70.5" hidden="1" customHeight="1">
      <c r="C1987" s="701"/>
      <c r="D1987" s="811"/>
      <c r="E1987" s="1276">
        <f>[11]building!Y2318</f>
        <v>0</v>
      </c>
      <c r="F1987" s="748">
        <f t="shared" si="270"/>
        <v>0</v>
      </c>
      <c r="G1987" s="1205"/>
      <c r="H1987" s="1055"/>
      <c r="I1987" s="1055"/>
      <c r="J1987" s="1055"/>
      <c r="K1987" s="1205"/>
      <c r="L1987" s="1055"/>
      <c r="M1987" s="1205"/>
      <c r="N1987" s="1054"/>
      <c r="O1987" s="1207"/>
      <c r="Q1987" s="1207"/>
    </row>
    <row r="1988" spans="3:17" s="700" customFormat="1" ht="70.5" hidden="1" customHeight="1">
      <c r="C1988" s="701"/>
      <c r="D1988" s="811"/>
      <c r="E1988" s="1276">
        <f>[11]building!Y2319</f>
        <v>0</v>
      </c>
      <c r="F1988" s="748">
        <f t="shared" si="270"/>
        <v>0</v>
      </c>
      <c r="G1988" s="1205"/>
      <c r="H1988" s="1055"/>
      <c r="I1988" s="1055"/>
      <c r="J1988" s="1055"/>
      <c r="K1988" s="1205"/>
      <c r="L1988" s="1055"/>
      <c r="M1988" s="1205"/>
      <c r="N1988" s="1054"/>
      <c r="O1988" s="1207"/>
      <c r="Q1988" s="1207"/>
    </row>
    <row r="1989" spans="3:17" s="700" customFormat="1" ht="70.5" hidden="1" customHeight="1">
      <c r="C1989" s="701"/>
      <c r="D1989" s="811"/>
      <c r="E1989" s="1276">
        <f>[11]building!Y2320</f>
        <v>0</v>
      </c>
      <c r="F1989" s="748">
        <f t="shared" si="270"/>
        <v>0</v>
      </c>
      <c r="G1989" s="1205"/>
      <c r="H1989" s="1055"/>
      <c r="I1989" s="1055"/>
      <c r="J1989" s="1055"/>
      <c r="K1989" s="1205"/>
      <c r="L1989" s="1055"/>
      <c r="M1989" s="1205"/>
      <c r="N1989" s="1054"/>
      <c r="O1989" s="1207"/>
      <c r="Q1989" s="1207"/>
    </row>
    <row r="1990" spans="3:17" s="700" customFormat="1" ht="70.5" hidden="1" customHeight="1">
      <c r="C1990" s="701"/>
      <c r="D1990" s="811"/>
      <c r="E1990" s="1276">
        <f>[11]building!Y2321</f>
        <v>0</v>
      </c>
      <c r="F1990" s="748">
        <f t="shared" si="270"/>
        <v>0</v>
      </c>
      <c r="G1990" s="1205"/>
      <c r="H1990" s="1055"/>
      <c r="I1990" s="1055"/>
      <c r="J1990" s="1055"/>
      <c r="K1990" s="1205"/>
      <c r="L1990" s="1055"/>
      <c r="M1990" s="1205"/>
      <c r="N1990" s="1054"/>
      <c r="O1990" s="1207"/>
      <c r="Q1990" s="1207"/>
    </row>
    <row r="1991" spans="3:17" s="700" customFormat="1" ht="70.5" hidden="1" customHeight="1">
      <c r="C1991" s="701"/>
      <c r="D1991" s="811"/>
      <c r="E1991" s="1276">
        <f>[11]building!Y2322</f>
        <v>0</v>
      </c>
      <c r="F1991" s="748">
        <f t="shared" si="270"/>
        <v>0</v>
      </c>
      <c r="G1991" s="1205"/>
      <c r="H1991" s="1055"/>
      <c r="I1991" s="1055"/>
      <c r="J1991" s="1055"/>
      <c r="K1991" s="1205"/>
      <c r="L1991" s="1055"/>
      <c r="M1991" s="1205"/>
      <c r="N1991" s="1054"/>
      <c r="O1991" s="1207"/>
      <c r="Q1991" s="1207"/>
    </row>
    <row r="1992" spans="3:17" s="700" customFormat="1" ht="70.5" hidden="1" customHeight="1">
      <c r="C1992" s="701"/>
      <c r="D1992" s="811"/>
      <c r="E1992" s="1276">
        <f>[11]building!Y2323</f>
        <v>0</v>
      </c>
      <c r="F1992" s="748">
        <f t="shared" si="270"/>
        <v>0</v>
      </c>
      <c r="G1992" s="1205"/>
      <c r="H1992" s="1055"/>
      <c r="I1992" s="1055"/>
      <c r="J1992" s="1055"/>
      <c r="K1992" s="1205"/>
      <c r="L1992" s="1055"/>
      <c r="M1992" s="1205"/>
      <c r="N1992" s="1054"/>
      <c r="O1992" s="1207"/>
      <c r="Q1992" s="1207"/>
    </row>
    <row r="1993" spans="3:17" s="700" customFormat="1" ht="70.5" hidden="1" customHeight="1">
      <c r="C1993" s="701"/>
      <c r="D1993" s="811"/>
      <c r="E1993" s="1276">
        <f>[11]building!Y2324</f>
        <v>0</v>
      </c>
      <c r="F1993" s="748">
        <f t="shared" si="270"/>
        <v>0</v>
      </c>
      <c r="G1993" s="1205"/>
      <c r="H1993" s="1055"/>
      <c r="I1993" s="1055"/>
      <c r="J1993" s="1055"/>
      <c r="K1993" s="1205"/>
      <c r="L1993" s="1055"/>
      <c r="M1993" s="1205"/>
      <c r="N1993" s="1054"/>
      <c r="O1993" s="1207"/>
      <c r="Q1993" s="1207"/>
    </row>
    <row r="1994" spans="3:17" s="700" customFormat="1" ht="70.5" hidden="1" customHeight="1">
      <c r="C1994" s="701"/>
      <c r="D1994" s="811"/>
      <c r="E1994" s="1276">
        <f>[11]building!Y2325</f>
        <v>0</v>
      </c>
      <c r="F1994" s="748">
        <f t="shared" si="270"/>
        <v>0</v>
      </c>
      <c r="G1994" s="1205"/>
      <c r="H1994" s="1055"/>
      <c r="I1994" s="1055"/>
      <c r="J1994" s="1055"/>
      <c r="K1994" s="1205"/>
      <c r="L1994" s="1055"/>
      <c r="M1994" s="1205"/>
      <c r="N1994" s="1054"/>
      <c r="O1994" s="1207"/>
      <c r="Q1994" s="1207"/>
    </row>
    <row r="1995" spans="3:17" s="700" customFormat="1" ht="70.5" hidden="1" customHeight="1">
      <c r="C1995" s="701"/>
      <c r="D1995" s="811"/>
      <c r="E1995" s="1276">
        <f>[11]building!Y2326</f>
        <v>0</v>
      </c>
      <c r="F1995" s="748">
        <f t="shared" si="270"/>
        <v>0</v>
      </c>
      <c r="G1995" s="1205"/>
      <c r="H1995" s="1055"/>
      <c r="I1995" s="1055"/>
      <c r="J1995" s="1055"/>
      <c r="K1995" s="1205"/>
      <c r="L1995" s="1055"/>
      <c r="M1995" s="1205"/>
      <c r="N1995" s="1054"/>
      <c r="O1995" s="1207"/>
      <c r="Q1995" s="1207"/>
    </row>
    <row r="1996" spans="3:17" s="700" customFormat="1" ht="70.5" hidden="1" customHeight="1">
      <c r="C1996" s="701"/>
      <c r="D1996" s="811"/>
      <c r="E1996" s="1276">
        <f>[11]building!Y2327</f>
        <v>0</v>
      </c>
      <c r="F1996" s="748">
        <f t="shared" si="270"/>
        <v>0</v>
      </c>
      <c r="G1996" s="1205"/>
      <c r="H1996" s="1055"/>
      <c r="I1996" s="1055"/>
      <c r="J1996" s="1055"/>
      <c r="K1996" s="1205"/>
      <c r="L1996" s="1055"/>
      <c r="M1996" s="1205"/>
      <c r="N1996" s="1054"/>
      <c r="O1996" s="1207"/>
      <c r="Q1996" s="1207"/>
    </row>
    <row r="1997" spans="3:17" s="700" customFormat="1" ht="70.5" hidden="1" customHeight="1">
      <c r="C1997" s="701"/>
      <c r="D1997" s="811"/>
      <c r="E1997" s="1276">
        <f>[11]building!Y2328</f>
        <v>0</v>
      </c>
      <c r="F1997" s="748">
        <f t="shared" si="270"/>
        <v>0</v>
      </c>
      <c r="G1997" s="1205"/>
      <c r="H1997" s="1055"/>
      <c r="I1997" s="1055"/>
      <c r="J1997" s="1055"/>
      <c r="K1997" s="1205"/>
      <c r="L1997" s="1055"/>
      <c r="M1997" s="1205"/>
      <c r="N1997" s="1054"/>
      <c r="O1997" s="1207"/>
      <c r="Q1997" s="1207"/>
    </row>
    <row r="1998" spans="3:17" s="700" customFormat="1" ht="70.5" hidden="1" customHeight="1">
      <c r="C1998" s="701"/>
      <c r="D1998" s="811"/>
      <c r="E1998" s="1276">
        <f>[11]building!Y2329</f>
        <v>0</v>
      </c>
      <c r="F1998" s="748">
        <f t="shared" si="270"/>
        <v>0</v>
      </c>
      <c r="G1998" s="1205"/>
      <c r="H1998" s="1055"/>
      <c r="I1998" s="1055"/>
      <c r="J1998" s="1055"/>
      <c r="K1998" s="1205"/>
      <c r="L1998" s="1055"/>
      <c r="M1998" s="1205"/>
      <c r="N1998" s="1054"/>
      <c r="O1998" s="1207"/>
      <c r="Q1998" s="1207"/>
    </row>
    <row r="1999" spans="3:17" s="700" customFormat="1" ht="70.5" hidden="1" customHeight="1">
      <c r="C1999" s="701"/>
      <c r="D1999" s="811"/>
      <c r="E1999" s="1276">
        <f>[11]building!Y2330</f>
        <v>0</v>
      </c>
      <c r="F1999" s="748">
        <f t="shared" si="270"/>
        <v>0</v>
      </c>
      <c r="G1999" s="1205"/>
      <c r="H1999" s="1055"/>
      <c r="I1999" s="1055"/>
      <c r="J1999" s="1055"/>
      <c r="K1999" s="1205"/>
      <c r="L1999" s="1055"/>
      <c r="M1999" s="1205"/>
      <c r="N1999" s="1054"/>
      <c r="O1999" s="1207"/>
      <c r="Q1999" s="1207"/>
    </row>
    <row r="2000" spans="3:17" s="700" customFormat="1" ht="70.5" hidden="1" customHeight="1">
      <c r="C2000" s="701"/>
      <c r="D2000" s="811"/>
      <c r="E2000" s="1276">
        <f>[11]building!Y2331</f>
        <v>0</v>
      </c>
      <c r="F2000" s="748">
        <f t="shared" si="270"/>
        <v>0</v>
      </c>
      <c r="G2000" s="1205"/>
      <c r="H2000" s="1055"/>
      <c r="I2000" s="1055"/>
      <c r="J2000" s="1055"/>
      <c r="K2000" s="1205"/>
      <c r="L2000" s="1055"/>
      <c r="M2000" s="1205"/>
      <c r="N2000" s="1054"/>
      <c r="O2000" s="1207"/>
      <c r="Q2000" s="1207"/>
    </row>
    <row r="2001" spans="3:17" s="700" customFormat="1" ht="70.5" hidden="1" customHeight="1">
      <c r="C2001" s="701"/>
      <c r="D2001" s="811"/>
      <c r="E2001" s="1276">
        <f>[11]building!Y2332</f>
        <v>0</v>
      </c>
      <c r="F2001" s="748">
        <f t="shared" si="270"/>
        <v>0</v>
      </c>
      <c r="G2001" s="1205"/>
      <c r="H2001" s="1055"/>
      <c r="I2001" s="1055"/>
      <c r="J2001" s="1055"/>
      <c r="K2001" s="1205"/>
      <c r="L2001" s="1055"/>
      <c r="M2001" s="1205"/>
      <c r="N2001" s="1054"/>
      <c r="O2001" s="1207"/>
      <c r="Q2001" s="1207"/>
    </row>
    <row r="2002" spans="3:17" s="700" customFormat="1" ht="70.5" hidden="1" customHeight="1">
      <c r="C2002" s="701"/>
      <c r="D2002" s="811"/>
      <c r="E2002" s="1276">
        <f>[11]building!Y2333</f>
        <v>0</v>
      </c>
      <c r="F2002" s="748">
        <f t="shared" si="270"/>
        <v>0</v>
      </c>
      <c r="G2002" s="1205"/>
      <c r="H2002" s="1055"/>
      <c r="I2002" s="1055"/>
      <c r="J2002" s="1055"/>
      <c r="K2002" s="1205"/>
      <c r="L2002" s="1055"/>
      <c r="M2002" s="1205"/>
      <c r="N2002" s="1054"/>
      <c r="O2002" s="1207"/>
      <c r="Q2002" s="1207"/>
    </row>
    <row r="2003" spans="3:17" s="700" customFormat="1" ht="70.5" hidden="1" customHeight="1">
      <c r="C2003" s="701"/>
      <c r="D2003" s="811"/>
      <c r="E2003" s="1276">
        <f>[11]building!Y2334</f>
        <v>0</v>
      </c>
      <c r="F2003" s="748">
        <f t="shared" si="270"/>
        <v>0</v>
      </c>
      <c r="G2003" s="1205"/>
      <c r="H2003" s="1055"/>
      <c r="I2003" s="1055"/>
      <c r="J2003" s="1055"/>
      <c r="K2003" s="1205"/>
      <c r="L2003" s="1055"/>
      <c r="M2003" s="1205"/>
      <c r="N2003" s="1054"/>
      <c r="O2003" s="1207"/>
      <c r="Q2003" s="1207"/>
    </row>
    <row r="2004" spans="3:17" s="700" customFormat="1" ht="70.5" hidden="1" customHeight="1">
      <c r="C2004" s="701"/>
      <c r="D2004" s="811"/>
      <c r="E2004" s="1276">
        <f>[11]building!Y2335</f>
        <v>0</v>
      </c>
      <c r="F2004" s="748">
        <f t="shared" si="270"/>
        <v>0</v>
      </c>
      <c r="G2004" s="1205"/>
      <c r="H2004" s="1055"/>
      <c r="I2004" s="1055"/>
      <c r="J2004" s="1055"/>
      <c r="K2004" s="1205"/>
      <c r="L2004" s="1055"/>
      <c r="M2004" s="1205"/>
      <c r="N2004" s="1054"/>
      <c r="O2004" s="1207"/>
      <c r="Q2004" s="1207"/>
    </row>
    <row r="2005" spans="3:17" s="700" customFormat="1" ht="70.5" hidden="1" customHeight="1">
      <c r="C2005" s="701"/>
      <c r="D2005" s="811"/>
      <c r="E2005" s="1276">
        <f>[11]building!Y2336</f>
        <v>0</v>
      </c>
      <c r="F2005" s="748">
        <f t="shared" si="270"/>
        <v>0</v>
      </c>
      <c r="G2005" s="1205"/>
      <c r="H2005" s="1055"/>
      <c r="I2005" s="1055"/>
      <c r="J2005" s="1055"/>
      <c r="K2005" s="1205"/>
      <c r="L2005" s="1055"/>
      <c r="M2005" s="1205"/>
      <c r="N2005" s="1054"/>
      <c r="O2005" s="1207"/>
      <c r="Q2005" s="1207"/>
    </row>
    <row r="2006" spans="3:17" s="700" customFormat="1" ht="70.5" hidden="1" customHeight="1">
      <c r="C2006" s="701"/>
      <c r="D2006" s="811"/>
      <c r="E2006" s="1276">
        <f>[11]building!Y2337</f>
        <v>0</v>
      </c>
      <c r="F2006" s="748">
        <f t="shared" si="270"/>
        <v>0</v>
      </c>
      <c r="G2006" s="1205"/>
      <c r="H2006" s="1055"/>
      <c r="I2006" s="1055"/>
      <c r="J2006" s="1055"/>
      <c r="K2006" s="1205"/>
      <c r="L2006" s="1055"/>
      <c r="M2006" s="1205"/>
      <c r="N2006" s="1054"/>
      <c r="O2006" s="1207"/>
      <c r="Q2006" s="1207"/>
    </row>
    <row r="2007" spans="3:17" s="700" customFormat="1" ht="70.5" hidden="1" customHeight="1">
      <c r="C2007" s="701"/>
      <c r="D2007" s="811"/>
      <c r="E2007" s="1276">
        <f>[11]building!Y2338</f>
        <v>0</v>
      </c>
      <c r="F2007" s="748">
        <f t="shared" si="270"/>
        <v>0</v>
      </c>
      <c r="G2007" s="1205"/>
      <c r="H2007" s="1055"/>
      <c r="I2007" s="1055"/>
      <c r="J2007" s="1055"/>
      <c r="K2007" s="1205"/>
      <c r="L2007" s="1055"/>
      <c r="M2007" s="1205"/>
      <c r="N2007" s="1054"/>
      <c r="O2007" s="1207"/>
      <c r="Q2007" s="1207"/>
    </row>
    <row r="2008" spans="3:17" s="700" customFormat="1" ht="70.5" hidden="1" customHeight="1">
      <c r="C2008" s="701"/>
      <c r="D2008" s="811"/>
      <c r="E2008" s="1276">
        <f>[11]building!Y2339</f>
        <v>0</v>
      </c>
      <c r="F2008" s="748">
        <f t="shared" si="270"/>
        <v>0</v>
      </c>
      <c r="G2008" s="1205"/>
      <c r="H2008" s="1055"/>
      <c r="I2008" s="1055"/>
      <c r="J2008" s="1055"/>
      <c r="K2008" s="1205"/>
      <c r="L2008" s="1055"/>
      <c r="M2008" s="1205"/>
      <c r="N2008" s="1054"/>
      <c r="O2008" s="1207"/>
      <c r="Q2008" s="1207"/>
    </row>
    <row r="2009" spans="3:17" s="700" customFormat="1" ht="70.5" hidden="1" customHeight="1">
      <c r="C2009" s="701"/>
      <c r="D2009" s="811"/>
      <c r="E2009" s="1276">
        <f>[11]building!Y2340</f>
        <v>0</v>
      </c>
      <c r="F2009" s="748">
        <f t="shared" si="270"/>
        <v>0</v>
      </c>
      <c r="G2009" s="1205"/>
      <c r="H2009" s="1055"/>
      <c r="I2009" s="1055"/>
      <c r="J2009" s="1055"/>
      <c r="K2009" s="1205"/>
      <c r="L2009" s="1055"/>
      <c r="M2009" s="1205"/>
      <c r="N2009" s="1054"/>
      <c r="O2009" s="1207"/>
      <c r="Q2009" s="1207"/>
    </row>
    <row r="2010" spans="3:17" s="700" customFormat="1" ht="70.5" hidden="1" customHeight="1">
      <c r="C2010" s="701"/>
      <c r="D2010" s="811"/>
      <c r="E2010" s="1276">
        <f>[11]building!Y2341</f>
        <v>0</v>
      </c>
      <c r="F2010" s="748">
        <f t="shared" si="270"/>
        <v>0</v>
      </c>
      <c r="G2010" s="1205"/>
      <c r="H2010" s="1055"/>
      <c r="I2010" s="1055"/>
      <c r="J2010" s="1055"/>
      <c r="K2010" s="1205"/>
      <c r="L2010" s="1055"/>
      <c r="M2010" s="1205"/>
      <c r="N2010" s="1054"/>
      <c r="O2010" s="1207"/>
      <c r="Q2010" s="1207"/>
    </row>
    <row r="2011" spans="3:17" s="700" customFormat="1" ht="70.5" hidden="1" customHeight="1">
      <c r="C2011" s="701"/>
      <c r="D2011" s="811"/>
      <c r="E2011" s="1276">
        <f>[11]building!Y2342</f>
        <v>0</v>
      </c>
      <c r="F2011" s="748">
        <f t="shared" si="270"/>
        <v>0</v>
      </c>
      <c r="G2011" s="1205"/>
      <c r="H2011" s="1055"/>
      <c r="I2011" s="1055"/>
      <c r="J2011" s="1055"/>
      <c r="K2011" s="1205"/>
      <c r="L2011" s="1055"/>
      <c r="M2011" s="1205"/>
      <c r="N2011" s="1054"/>
      <c r="O2011" s="1207"/>
      <c r="Q2011" s="1207"/>
    </row>
    <row r="2012" spans="3:17" s="700" customFormat="1" ht="70.5" hidden="1" customHeight="1">
      <c r="C2012" s="701"/>
      <c r="D2012" s="811"/>
      <c r="E2012" s="1276">
        <f>[11]building!Y2343</f>
        <v>0</v>
      </c>
      <c r="F2012" s="748">
        <f t="shared" si="270"/>
        <v>0</v>
      </c>
      <c r="G2012" s="1205"/>
      <c r="H2012" s="1055"/>
      <c r="I2012" s="1055"/>
      <c r="J2012" s="1055"/>
      <c r="K2012" s="1205"/>
      <c r="L2012" s="1055"/>
      <c r="M2012" s="1205"/>
      <c r="N2012" s="1054"/>
      <c r="O2012" s="1207"/>
      <c r="Q2012" s="1207"/>
    </row>
    <row r="2013" spans="3:17" s="700" customFormat="1" ht="70.5" hidden="1" customHeight="1">
      <c r="C2013" s="701"/>
      <c r="D2013" s="811"/>
      <c r="E2013" s="1276">
        <f>[11]building!Y2344</f>
        <v>0</v>
      </c>
      <c r="F2013" s="748">
        <f t="shared" si="270"/>
        <v>0</v>
      </c>
      <c r="G2013" s="1205"/>
      <c r="H2013" s="1055"/>
      <c r="I2013" s="1055"/>
      <c r="J2013" s="1055"/>
      <c r="K2013" s="1205"/>
      <c r="L2013" s="1055"/>
      <c r="M2013" s="1205"/>
      <c r="N2013" s="1054"/>
      <c r="O2013" s="1207"/>
      <c r="Q2013" s="1207"/>
    </row>
    <row r="2014" spans="3:17" s="700" customFormat="1" ht="70.5" hidden="1" customHeight="1">
      <c r="C2014" s="701"/>
      <c r="D2014" s="811"/>
      <c r="E2014" s="1276">
        <f>[11]building!Y2345</f>
        <v>0</v>
      </c>
      <c r="F2014" s="748">
        <f t="shared" si="270"/>
        <v>0</v>
      </c>
      <c r="G2014" s="1205"/>
      <c r="H2014" s="1055"/>
      <c r="I2014" s="1055"/>
      <c r="J2014" s="1055"/>
      <c r="K2014" s="1205"/>
      <c r="L2014" s="1055"/>
      <c r="M2014" s="1205"/>
      <c r="N2014" s="1054"/>
      <c r="O2014" s="1207"/>
      <c r="Q2014" s="1207"/>
    </row>
    <row r="2015" spans="3:17" s="700" customFormat="1" ht="70.5" hidden="1" customHeight="1">
      <c r="C2015" s="701"/>
      <c r="D2015" s="811"/>
      <c r="E2015" s="1276">
        <f>[11]building!Y2346</f>
        <v>0</v>
      </c>
      <c r="F2015" s="748">
        <f t="shared" si="270"/>
        <v>0</v>
      </c>
      <c r="G2015" s="1205"/>
      <c r="H2015" s="1055"/>
      <c r="I2015" s="1055"/>
      <c r="J2015" s="1055"/>
      <c r="K2015" s="1205"/>
      <c r="L2015" s="1055"/>
      <c r="M2015" s="1205"/>
      <c r="N2015" s="1054"/>
      <c r="O2015" s="1207"/>
      <c r="Q2015" s="1207"/>
    </row>
    <row r="2016" spans="3:17" s="700" customFormat="1" ht="70.5" hidden="1" customHeight="1">
      <c r="C2016" s="701"/>
      <c r="D2016" s="811"/>
      <c r="E2016" s="1276">
        <f>[11]building!Y2347</f>
        <v>0</v>
      </c>
      <c r="F2016" s="748">
        <f t="shared" si="270"/>
        <v>0</v>
      </c>
      <c r="G2016" s="1205"/>
      <c r="H2016" s="1055"/>
      <c r="I2016" s="1055"/>
      <c r="J2016" s="1055"/>
      <c r="K2016" s="1205"/>
      <c r="L2016" s="1055"/>
      <c r="M2016" s="1205"/>
      <c r="N2016" s="1054"/>
      <c r="O2016" s="1207"/>
      <c r="Q2016" s="1207"/>
    </row>
    <row r="2017" spans="3:17" s="700" customFormat="1" ht="70.5" hidden="1" customHeight="1">
      <c r="C2017" s="701"/>
      <c r="D2017" s="811"/>
      <c r="E2017" s="1276">
        <f>[11]building!Y2348</f>
        <v>0</v>
      </c>
      <c r="F2017" s="748">
        <f t="shared" si="270"/>
        <v>0</v>
      </c>
      <c r="G2017" s="1205"/>
      <c r="H2017" s="1055"/>
      <c r="I2017" s="1055"/>
      <c r="J2017" s="1055"/>
      <c r="K2017" s="1205"/>
      <c r="L2017" s="1055"/>
      <c r="M2017" s="1205"/>
      <c r="N2017" s="1054"/>
      <c r="O2017" s="1207"/>
      <c r="Q2017" s="1207"/>
    </row>
    <row r="2018" spans="3:17" s="700" customFormat="1" ht="70.5" hidden="1" customHeight="1">
      <c r="C2018" s="701"/>
      <c r="D2018" s="811"/>
      <c r="E2018" s="1276">
        <f>[11]building!Y2349</f>
        <v>0</v>
      </c>
      <c r="F2018" s="748">
        <f t="shared" si="270"/>
        <v>0</v>
      </c>
      <c r="G2018" s="1205"/>
      <c r="H2018" s="1055"/>
      <c r="I2018" s="1055"/>
      <c r="J2018" s="1055"/>
      <c r="K2018" s="1205"/>
      <c r="L2018" s="1055"/>
      <c r="M2018" s="1205"/>
      <c r="N2018" s="1054"/>
      <c r="O2018" s="1207"/>
      <c r="Q2018" s="1207"/>
    </row>
    <row r="2019" spans="3:17" s="700" customFormat="1" ht="70.5" hidden="1" customHeight="1">
      <c r="C2019" s="701"/>
      <c r="D2019" s="811"/>
      <c r="E2019" s="1276">
        <f>[11]building!Y2350</f>
        <v>0</v>
      </c>
      <c r="F2019" s="748">
        <f t="shared" si="270"/>
        <v>0</v>
      </c>
      <c r="G2019" s="1205"/>
      <c r="H2019" s="1055"/>
      <c r="I2019" s="1055"/>
      <c r="J2019" s="1055"/>
      <c r="K2019" s="1205"/>
      <c r="L2019" s="1055"/>
      <c r="M2019" s="1205"/>
      <c r="N2019" s="1054"/>
      <c r="O2019" s="1207"/>
      <c r="Q2019" s="1207"/>
    </row>
    <row r="2020" spans="3:17" s="700" customFormat="1" ht="70.5" hidden="1" customHeight="1">
      <c r="C2020" s="701"/>
      <c r="D2020" s="811"/>
      <c r="E2020" s="1276">
        <f>[11]building!Y2351</f>
        <v>0</v>
      </c>
      <c r="F2020" s="748">
        <f t="shared" si="270"/>
        <v>0</v>
      </c>
      <c r="G2020" s="1205"/>
      <c r="H2020" s="1055"/>
      <c r="I2020" s="1055"/>
      <c r="J2020" s="1055"/>
      <c r="K2020" s="1205"/>
      <c r="L2020" s="1055"/>
      <c r="M2020" s="1205"/>
      <c r="N2020" s="1054"/>
      <c r="O2020" s="1207"/>
      <c r="Q2020" s="1207"/>
    </row>
    <row r="2021" spans="3:17" s="700" customFormat="1" ht="70.5" hidden="1" customHeight="1">
      <c r="C2021" s="701"/>
      <c r="D2021" s="811"/>
      <c r="E2021" s="1276">
        <f>[11]building!Y2352</f>
        <v>0</v>
      </c>
      <c r="F2021" s="748">
        <f t="shared" si="270"/>
        <v>0</v>
      </c>
      <c r="G2021" s="1205"/>
      <c r="H2021" s="1055"/>
      <c r="I2021" s="1055"/>
      <c r="J2021" s="1055"/>
      <c r="K2021" s="1205"/>
      <c r="L2021" s="1055"/>
      <c r="M2021" s="1205"/>
      <c r="N2021" s="1054"/>
      <c r="O2021" s="1207"/>
      <c r="Q2021" s="1207"/>
    </row>
    <row r="2022" spans="3:17" s="700" customFormat="1" ht="70.5" hidden="1" customHeight="1">
      <c r="C2022" s="701"/>
      <c r="D2022" s="811"/>
      <c r="E2022" s="1276">
        <f>[11]building!Y2353</f>
        <v>0</v>
      </c>
      <c r="F2022" s="748">
        <f t="shared" si="270"/>
        <v>0</v>
      </c>
      <c r="G2022" s="1205"/>
      <c r="H2022" s="1055"/>
      <c r="I2022" s="1055"/>
      <c r="J2022" s="1055"/>
      <c r="K2022" s="1205"/>
      <c r="L2022" s="1055"/>
      <c r="M2022" s="1205"/>
      <c r="N2022" s="1054"/>
      <c r="O2022" s="1207"/>
      <c r="Q2022" s="1207"/>
    </row>
    <row r="2023" spans="3:17" s="700" customFormat="1" ht="70.5" hidden="1" customHeight="1">
      <c r="C2023" s="701"/>
      <c r="D2023" s="811"/>
      <c r="E2023" s="1276">
        <f>[11]building!Y2354</f>
        <v>0</v>
      </c>
      <c r="F2023" s="748">
        <f t="shared" si="270"/>
        <v>0</v>
      </c>
      <c r="G2023" s="1205"/>
      <c r="H2023" s="1055"/>
      <c r="I2023" s="1055"/>
      <c r="J2023" s="1055"/>
      <c r="K2023" s="1205"/>
      <c r="L2023" s="1055"/>
      <c r="M2023" s="1205"/>
      <c r="N2023" s="1054"/>
      <c r="O2023" s="1207"/>
      <c r="Q2023" s="1207"/>
    </row>
    <row r="2024" spans="3:17" s="700" customFormat="1" ht="70.5" hidden="1" customHeight="1">
      <c r="C2024" s="701"/>
      <c r="D2024" s="811"/>
      <c r="E2024" s="1276">
        <f>[11]building!Y2355</f>
        <v>0</v>
      </c>
      <c r="F2024" s="748">
        <f t="shared" si="270"/>
        <v>0</v>
      </c>
      <c r="G2024" s="1205"/>
      <c r="H2024" s="1055"/>
      <c r="I2024" s="1055"/>
      <c r="J2024" s="1055"/>
      <c r="K2024" s="1205"/>
      <c r="L2024" s="1055"/>
      <c r="M2024" s="1205"/>
      <c r="N2024" s="1054"/>
      <c r="O2024" s="1207"/>
      <c r="Q2024" s="1207"/>
    </row>
    <row r="2025" spans="3:17" s="700" customFormat="1" ht="70.5" hidden="1" customHeight="1">
      <c r="C2025" s="701"/>
      <c r="D2025" s="811"/>
      <c r="E2025" s="1276">
        <f>[11]building!Y2356</f>
        <v>0</v>
      </c>
      <c r="F2025" s="748">
        <f t="shared" si="270"/>
        <v>0</v>
      </c>
      <c r="G2025" s="1205"/>
      <c r="H2025" s="1055"/>
      <c r="I2025" s="1055"/>
      <c r="J2025" s="1055"/>
      <c r="K2025" s="1205"/>
      <c r="L2025" s="1055"/>
      <c r="M2025" s="1205"/>
      <c r="N2025" s="1054"/>
      <c r="O2025" s="1207"/>
      <c r="Q2025" s="1207"/>
    </row>
    <row r="2026" spans="3:17" s="700" customFormat="1" ht="70.5" hidden="1" customHeight="1">
      <c r="C2026" s="701"/>
      <c r="D2026" s="811"/>
      <c r="E2026" s="1276">
        <f>[11]building!Y2357</f>
        <v>0</v>
      </c>
      <c r="F2026" s="748">
        <f t="shared" si="270"/>
        <v>0</v>
      </c>
      <c r="G2026" s="1205"/>
      <c r="H2026" s="1055"/>
      <c r="I2026" s="1055"/>
      <c r="J2026" s="1055"/>
      <c r="K2026" s="1205"/>
      <c r="L2026" s="1055"/>
      <c r="M2026" s="1205"/>
      <c r="N2026" s="1054"/>
      <c r="O2026" s="1207"/>
      <c r="Q2026" s="1207"/>
    </row>
    <row r="2027" spans="3:17" s="700" customFormat="1" ht="70.5" hidden="1" customHeight="1">
      <c r="C2027" s="701"/>
      <c r="D2027" s="811"/>
      <c r="E2027" s="1276">
        <f>[11]building!Y2358</f>
        <v>0</v>
      </c>
      <c r="F2027" s="748">
        <f t="shared" si="270"/>
        <v>0</v>
      </c>
      <c r="G2027" s="1205"/>
      <c r="H2027" s="1055"/>
      <c r="I2027" s="1055"/>
      <c r="J2027" s="1055"/>
      <c r="K2027" s="1205"/>
      <c r="L2027" s="1055"/>
      <c r="M2027" s="1205"/>
      <c r="N2027" s="1054"/>
      <c r="O2027" s="1207"/>
      <c r="Q2027" s="1207"/>
    </row>
    <row r="2028" spans="3:17" s="700" customFormat="1" ht="70.5" hidden="1" customHeight="1">
      <c r="C2028" s="701"/>
      <c r="D2028" s="811"/>
      <c r="E2028" s="1276">
        <f>[11]building!Y2359</f>
        <v>0</v>
      </c>
      <c r="F2028" s="748">
        <f t="shared" si="270"/>
        <v>0</v>
      </c>
      <c r="G2028" s="1205"/>
      <c r="H2028" s="1055"/>
      <c r="I2028" s="1055"/>
      <c r="J2028" s="1055"/>
      <c r="K2028" s="1205"/>
      <c r="L2028" s="1055"/>
      <c r="M2028" s="1205"/>
      <c r="N2028" s="1054"/>
      <c r="O2028" s="1207"/>
      <c r="Q2028" s="1207"/>
    </row>
    <row r="2029" spans="3:17" s="700" customFormat="1" ht="70.5" hidden="1" customHeight="1">
      <c r="C2029" s="701"/>
      <c r="D2029" s="811"/>
      <c r="E2029" s="1276">
        <f>[11]building!Y2360</f>
        <v>0</v>
      </c>
      <c r="F2029" s="748">
        <f t="shared" si="270"/>
        <v>0</v>
      </c>
      <c r="G2029" s="1205"/>
      <c r="H2029" s="1055"/>
      <c r="I2029" s="1055"/>
      <c r="J2029" s="1055"/>
      <c r="K2029" s="1205"/>
      <c r="L2029" s="1055"/>
      <c r="M2029" s="1205"/>
      <c r="N2029" s="1054"/>
      <c r="O2029" s="1207"/>
      <c r="Q2029" s="1207"/>
    </row>
    <row r="2030" spans="3:17" s="700" customFormat="1" ht="70.5" hidden="1" customHeight="1">
      <c r="C2030" s="701"/>
      <c r="D2030" s="811"/>
      <c r="E2030" s="1276">
        <f>[11]building!Y2361</f>
        <v>0</v>
      </c>
      <c r="F2030" s="748">
        <f t="shared" si="270"/>
        <v>0</v>
      </c>
      <c r="G2030" s="1205"/>
      <c r="H2030" s="1055"/>
      <c r="I2030" s="1055"/>
      <c r="J2030" s="1055"/>
      <c r="K2030" s="1205"/>
      <c r="L2030" s="1055"/>
      <c r="M2030" s="1205"/>
      <c r="N2030" s="1054"/>
      <c r="O2030" s="1207"/>
      <c r="Q2030" s="1207"/>
    </row>
    <row r="2031" spans="3:17" s="700" customFormat="1" ht="70.5" hidden="1" customHeight="1">
      <c r="C2031" s="701"/>
      <c r="D2031" s="811"/>
      <c r="E2031" s="1276">
        <f>[11]building!Y2362</f>
        <v>0</v>
      </c>
      <c r="F2031" s="748">
        <f t="shared" si="270"/>
        <v>0</v>
      </c>
      <c r="G2031" s="1205"/>
      <c r="H2031" s="1055"/>
      <c r="I2031" s="1055"/>
      <c r="J2031" s="1055"/>
      <c r="K2031" s="1205"/>
      <c r="L2031" s="1055"/>
      <c r="M2031" s="1205"/>
      <c r="N2031" s="1054"/>
      <c r="O2031" s="1207"/>
      <c r="Q2031" s="1207"/>
    </row>
    <row r="2032" spans="3:17" s="700" customFormat="1" ht="70.5" hidden="1" customHeight="1">
      <c r="C2032" s="701"/>
      <c r="D2032" s="811"/>
      <c r="E2032" s="1276">
        <f>[11]building!Y2363</f>
        <v>0</v>
      </c>
      <c r="F2032" s="748">
        <f t="shared" si="270"/>
        <v>0</v>
      </c>
      <c r="G2032" s="1205"/>
      <c r="H2032" s="1055"/>
      <c r="I2032" s="1055"/>
      <c r="J2032" s="1055"/>
      <c r="K2032" s="1205"/>
      <c r="L2032" s="1055"/>
      <c r="M2032" s="1205"/>
      <c r="N2032" s="1054"/>
      <c r="O2032" s="1207"/>
      <c r="Q2032" s="1207"/>
    </row>
    <row r="2033" spans="3:17" s="700" customFormat="1" ht="70.5" hidden="1" customHeight="1">
      <c r="C2033" s="701"/>
      <c r="D2033" s="811"/>
      <c r="E2033" s="1276">
        <f>[11]building!Y2364</f>
        <v>0</v>
      </c>
      <c r="F2033" s="748">
        <f t="shared" si="270"/>
        <v>0</v>
      </c>
      <c r="G2033" s="1205"/>
      <c r="H2033" s="1055"/>
      <c r="I2033" s="1055"/>
      <c r="J2033" s="1055"/>
      <c r="K2033" s="1205"/>
      <c r="L2033" s="1055"/>
      <c r="M2033" s="1205"/>
      <c r="N2033" s="1054"/>
      <c r="O2033" s="1207"/>
      <c r="Q2033" s="1207"/>
    </row>
    <row r="2034" spans="3:17" s="700" customFormat="1" ht="70.5" hidden="1" customHeight="1">
      <c r="C2034" s="701"/>
      <c r="D2034" s="811"/>
      <c r="E2034" s="1276">
        <f>[11]building!Y2365</f>
        <v>0</v>
      </c>
      <c r="F2034" s="748">
        <f t="shared" si="270"/>
        <v>0</v>
      </c>
      <c r="G2034" s="1205"/>
      <c r="H2034" s="1055"/>
      <c r="I2034" s="1055"/>
      <c r="J2034" s="1055"/>
      <c r="K2034" s="1205"/>
      <c r="L2034" s="1055"/>
      <c r="M2034" s="1205"/>
      <c r="N2034" s="1054"/>
      <c r="O2034" s="1207"/>
      <c r="Q2034" s="1207"/>
    </row>
    <row r="2035" spans="3:17" s="700" customFormat="1" ht="70.5" hidden="1" customHeight="1">
      <c r="C2035" s="701"/>
      <c r="D2035" s="811"/>
      <c r="E2035" s="1276">
        <f>[11]building!Y2366</f>
        <v>0</v>
      </c>
      <c r="F2035" s="748">
        <f t="shared" si="270"/>
        <v>0</v>
      </c>
      <c r="G2035" s="1205"/>
      <c r="H2035" s="1055"/>
      <c r="I2035" s="1055"/>
      <c r="J2035" s="1055"/>
      <c r="K2035" s="1205"/>
      <c r="L2035" s="1055"/>
      <c r="M2035" s="1205"/>
      <c r="N2035" s="1054"/>
      <c r="O2035" s="1207"/>
      <c r="Q2035" s="1207"/>
    </row>
    <row r="2036" spans="3:17" s="700" customFormat="1" ht="70.5" hidden="1" customHeight="1">
      <c r="C2036" s="701"/>
      <c r="D2036" s="811"/>
      <c r="E2036" s="1276">
        <f>[11]building!Y2367</f>
        <v>0</v>
      </c>
      <c r="F2036" s="748">
        <f t="shared" si="270"/>
        <v>0</v>
      </c>
      <c r="G2036" s="1205"/>
      <c r="H2036" s="1055"/>
      <c r="I2036" s="1055"/>
      <c r="J2036" s="1055"/>
      <c r="K2036" s="1205"/>
      <c r="L2036" s="1055"/>
      <c r="M2036" s="1205"/>
      <c r="N2036" s="1054"/>
      <c r="O2036" s="1207"/>
      <c r="Q2036" s="1207"/>
    </row>
    <row r="2037" spans="3:17" s="700" customFormat="1" ht="70.5" hidden="1" customHeight="1">
      <c r="C2037" s="701"/>
      <c r="D2037" s="811"/>
      <c r="E2037" s="1276">
        <f>[11]building!Y2368</f>
        <v>0</v>
      </c>
      <c r="F2037" s="748">
        <f t="shared" si="270"/>
        <v>0</v>
      </c>
      <c r="G2037" s="1205"/>
      <c r="H2037" s="1055"/>
      <c r="I2037" s="1055"/>
      <c r="J2037" s="1055"/>
      <c r="K2037" s="1205"/>
      <c r="L2037" s="1055"/>
      <c r="M2037" s="1205"/>
      <c r="N2037" s="1054"/>
      <c r="O2037" s="1207"/>
      <c r="Q2037" s="1207"/>
    </row>
    <row r="2038" spans="3:17" s="700" customFormat="1" ht="70.5" hidden="1" customHeight="1">
      <c r="C2038" s="701"/>
      <c r="D2038" s="811"/>
      <c r="E2038" s="1276">
        <f>[11]building!Y2369</f>
        <v>0</v>
      </c>
      <c r="F2038" s="748">
        <f t="shared" si="270"/>
        <v>0</v>
      </c>
      <c r="G2038" s="1205"/>
      <c r="H2038" s="1055"/>
      <c r="I2038" s="1055"/>
      <c r="J2038" s="1055"/>
      <c r="K2038" s="1205"/>
      <c r="L2038" s="1055"/>
      <c r="M2038" s="1205"/>
      <c r="N2038" s="1054"/>
      <c r="O2038" s="1207"/>
      <c r="Q2038" s="1207"/>
    </row>
    <row r="2039" spans="3:17" s="700" customFormat="1" ht="70.5" hidden="1" customHeight="1">
      <c r="C2039" s="701"/>
      <c r="D2039" s="811"/>
      <c r="E2039" s="1276">
        <f>[11]building!Y2370</f>
        <v>0</v>
      </c>
      <c r="F2039" s="748">
        <f t="shared" si="270"/>
        <v>0</v>
      </c>
      <c r="G2039" s="1205"/>
      <c r="H2039" s="1055"/>
      <c r="I2039" s="1055"/>
      <c r="J2039" s="1055"/>
      <c r="K2039" s="1205"/>
      <c r="L2039" s="1055"/>
      <c r="M2039" s="1205"/>
      <c r="N2039" s="1054"/>
      <c r="O2039" s="1207"/>
      <c r="Q2039" s="1207"/>
    </row>
    <row r="2040" spans="3:17" s="700" customFormat="1" ht="70.5" hidden="1" customHeight="1">
      <c r="C2040" s="701"/>
      <c r="D2040" s="811"/>
      <c r="E2040" s="1276">
        <f>[11]building!Y2371</f>
        <v>0</v>
      </c>
      <c r="F2040" s="748">
        <f t="shared" si="270"/>
        <v>0</v>
      </c>
      <c r="G2040" s="1205"/>
      <c r="H2040" s="1055"/>
      <c r="I2040" s="1055"/>
      <c r="J2040" s="1055"/>
      <c r="K2040" s="1205"/>
      <c r="L2040" s="1055"/>
      <c r="M2040" s="1205"/>
      <c r="N2040" s="1054"/>
      <c r="O2040" s="1207"/>
      <c r="Q2040" s="1207"/>
    </row>
    <row r="2041" spans="3:17" s="700" customFormat="1" ht="70.5" hidden="1" customHeight="1">
      <c r="C2041" s="701"/>
      <c r="D2041" s="811"/>
      <c r="E2041" s="1276">
        <f>[11]building!Y2372</f>
        <v>0</v>
      </c>
      <c r="F2041" s="748">
        <f t="shared" si="270"/>
        <v>0</v>
      </c>
      <c r="G2041" s="1205"/>
      <c r="H2041" s="1055"/>
      <c r="I2041" s="1055"/>
      <c r="J2041" s="1055"/>
      <c r="K2041" s="1205"/>
      <c r="L2041" s="1055"/>
      <c r="M2041" s="1205"/>
      <c r="N2041" s="1054"/>
      <c r="O2041" s="1207"/>
      <c r="Q2041" s="1207"/>
    </row>
    <row r="2042" spans="3:17" s="700" customFormat="1" ht="70.5" hidden="1" customHeight="1">
      <c r="C2042" s="701"/>
      <c r="D2042" s="811"/>
      <c r="E2042" s="1276">
        <f>[11]building!Y2373</f>
        <v>0</v>
      </c>
      <c r="F2042" s="748">
        <f t="shared" si="270"/>
        <v>0</v>
      </c>
      <c r="G2042" s="1205"/>
      <c r="H2042" s="1055"/>
      <c r="I2042" s="1055"/>
      <c r="J2042" s="1055"/>
      <c r="K2042" s="1205"/>
      <c r="L2042" s="1055"/>
      <c r="M2042" s="1205"/>
      <c r="N2042" s="1054"/>
      <c r="O2042" s="1207"/>
      <c r="Q2042" s="1207"/>
    </row>
    <row r="2043" spans="3:17" s="700" customFormat="1" ht="70.5" hidden="1" customHeight="1">
      <c r="C2043" s="701"/>
      <c r="D2043" s="811"/>
      <c r="E2043" s="1276">
        <f>[11]building!Y2374</f>
        <v>0</v>
      </c>
      <c r="F2043" s="748">
        <f t="shared" si="270"/>
        <v>0</v>
      </c>
      <c r="G2043" s="1205"/>
      <c r="H2043" s="1055"/>
      <c r="I2043" s="1055"/>
      <c r="J2043" s="1055"/>
      <c r="K2043" s="1205"/>
      <c r="L2043" s="1055"/>
      <c r="M2043" s="1205"/>
      <c r="N2043" s="1054"/>
      <c r="O2043" s="1207"/>
      <c r="Q2043" s="1207"/>
    </row>
    <row r="2044" spans="3:17" s="700" customFormat="1" ht="70.5" hidden="1" customHeight="1">
      <c r="C2044" s="701"/>
      <c r="D2044" s="811"/>
      <c r="E2044" s="1276">
        <f>[11]building!Y2375</f>
        <v>0</v>
      </c>
      <c r="F2044" s="748">
        <f t="shared" si="270"/>
        <v>0</v>
      </c>
      <c r="G2044" s="1205"/>
      <c r="H2044" s="1055"/>
      <c r="I2044" s="1055"/>
      <c r="J2044" s="1055"/>
      <c r="K2044" s="1205"/>
      <c r="L2044" s="1055"/>
      <c r="M2044" s="1205"/>
      <c r="N2044" s="1054"/>
      <c r="O2044" s="1207"/>
      <c r="Q2044" s="1207"/>
    </row>
    <row r="2045" spans="3:17" s="700" customFormat="1" ht="70.5" hidden="1" customHeight="1">
      <c r="C2045" s="701"/>
      <c r="D2045" s="811"/>
      <c r="E2045" s="1276">
        <f>[11]building!Y2376</f>
        <v>0</v>
      </c>
      <c r="F2045" s="748">
        <f t="shared" si="270"/>
        <v>0</v>
      </c>
      <c r="G2045" s="1205"/>
      <c r="H2045" s="1055"/>
      <c r="I2045" s="1055"/>
      <c r="J2045" s="1055"/>
      <c r="K2045" s="1205"/>
      <c r="L2045" s="1055"/>
      <c r="M2045" s="1205"/>
      <c r="N2045" s="1054"/>
      <c r="O2045" s="1207"/>
      <c r="Q2045" s="1207"/>
    </row>
    <row r="2046" spans="3:17" s="700" customFormat="1" ht="70.5" hidden="1" customHeight="1">
      <c r="C2046" s="701"/>
      <c r="D2046" s="811"/>
      <c r="E2046" s="1276">
        <f>[11]building!Y2377</f>
        <v>0</v>
      </c>
      <c r="F2046" s="748">
        <f t="shared" si="270"/>
        <v>0</v>
      </c>
      <c r="G2046" s="1205"/>
      <c r="H2046" s="1055"/>
      <c r="I2046" s="1055"/>
      <c r="J2046" s="1055"/>
      <c r="K2046" s="1205"/>
      <c r="L2046" s="1055"/>
      <c r="M2046" s="1205"/>
      <c r="N2046" s="1054"/>
      <c r="O2046" s="1207"/>
      <c r="Q2046" s="1207"/>
    </row>
    <row r="2047" spans="3:17" s="700" customFormat="1" ht="70.5" hidden="1" customHeight="1">
      <c r="C2047" s="701"/>
      <c r="D2047" s="811"/>
      <c r="E2047" s="1276">
        <f>[11]building!Y2378</f>
        <v>0</v>
      </c>
      <c r="F2047" s="748">
        <f t="shared" si="270"/>
        <v>0</v>
      </c>
      <c r="G2047" s="1205"/>
      <c r="H2047" s="1055"/>
      <c r="I2047" s="1055"/>
      <c r="J2047" s="1055"/>
      <c r="K2047" s="1205"/>
      <c r="L2047" s="1055"/>
      <c r="M2047" s="1205"/>
      <c r="N2047" s="1054"/>
      <c r="O2047" s="1207"/>
      <c r="Q2047" s="1207"/>
    </row>
    <row r="2048" spans="3:17" s="700" customFormat="1" ht="70.5" hidden="1" customHeight="1">
      <c r="C2048" s="701"/>
      <c r="D2048" s="811"/>
      <c r="E2048" s="1276">
        <f>[11]building!Y2379</f>
        <v>0</v>
      </c>
      <c r="F2048" s="748">
        <f t="shared" ref="F2048:F2111" si="271">E2048*C2048</f>
        <v>0</v>
      </c>
      <c r="G2048" s="1205"/>
      <c r="H2048" s="1055"/>
      <c r="I2048" s="1055"/>
      <c r="J2048" s="1055"/>
      <c r="K2048" s="1205"/>
      <c r="L2048" s="1055"/>
      <c r="M2048" s="1205"/>
      <c r="N2048" s="1054"/>
      <c r="O2048" s="1207"/>
      <c r="Q2048" s="1207"/>
    </row>
    <row r="2049" spans="3:17" s="700" customFormat="1" ht="70.5" hidden="1" customHeight="1">
      <c r="C2049" s="701"/>
      <c r="D2049" s="811"/>
      <c r="E2049" s="1276">
        <f>[11]building!Y2380</f>
        <v>0</v>
      </c>
      <c r="F2049" s="748">
        <f t="shared" si="271"/>
        <v>0</v>
      </c>
      <c r="G2049" s="1205"/>
      <c r="H2049" s="1055"/>
      <c r="I2049" s="1055"/>
      <c r="J2049" s="1055"/>
      <c r="K2049" s="1205"/>
      <c r="L2049" s="1055"/>
      <c r="M2049" s="1205"/>
      <c r="N2049" s="1054"/>
      <c r="O2049" s="1207"/>
      <c r="Q2049" s="1207"/>
    </row>
    <row r="2050" spans="3:17" s="700" customFormat="1" ht="70.5" hidden="1" customHeight="1">
      <c r="C2050" s="701"/>
      <c r="D2050" s="811"/>
      <c r="E2050" s="1276">
        <f>[11]building!Y2381</f>
        <v>0</v>
      </c>
      <c r="F2050" s="748">
        <f t="shared" si="271"/>
        <v>0</v>
      </c>
      <c r="G2050" s="1205"/>
      <c r="H2050" s="1055"/>
      <c r="I2050" s="1055"/>
      <c r="J2050" s="1055"/>
      <c r="K2050" s="1205"/>
      <c r="L2050" s="1055"/>
      <c r="M2050" s="1205"/>
      <c r="N2050" s="1054"/>
      <c r="O2050" s="1207"/>
      <c r="Q2050" s="1207"/>
    </row>
    <row r="2051" spans="3:17" s="700" customFormat="1" ht="70.5" hidden="1" customHeight="1">
      <c r="C2051" s="701"/>
      <c r="D2051" s="811"/>
      <c r="E2051" s="1276">
        <f>[11]building!Y2382</f>
        <v>0</v>
      </c>
      <c r="F2051" s="748">
        <f t="shared" si="271"/>
        <v>0</v>
      </c>
      <c r="G2051" s="1205"/>
      <c r="H2051" s="1055"/>
      <c r="I2051" s="1055"/>
      <c r="J2051" s="1055"/>
      <c r="K2051" s="1205"/>
      <c r="L2051" s="1055"/>
      <c r="M2051" s="1205"/>
      <c r="N2051" s="1054"/>
      <c r="O2051" s="1207"/>
      <c r="Q2051" s="1207"/>
    </row>
    <row r="2052" spans="3:17" s="700" customFormat="1" ht="70.5" hidden="1" customHeight="1">
      <c r="C2052" s="701"/>
      <c r="D2052" s="811"/>
      <c r="E2052" s="1276">
        <f>[11]building!Y2383</f>
        <v>0</v>
      </c>
      <c r="F2052" s="748">
        <f t="shared" si="271"/>
        <v>0</v>
      </c>
      <c r="G2052" s="1205"/>
      <c r="H2052" s="1055"/>
      <c r="I2052" s="1055"/>
      <c r="J2052" s="1055"/>
      <c r="K2052" s="1205"/>
      <c r="L2052" s="1055"/>
      <c r="M2052" s="1205"/>
      <c r="N2052" s="1054"/>
      <c r="O2052" s="1207"/>
      <c r="Q2052" s="1207"/>
    </row>
    <row r="2053" spans="3:17" s="700" customFormat="1" ht="70.5" hidden="1" customHeight="1">
      <c r="C2053" s="701"/>
      <c r="D2053" s="811"/>
      <c r="E2053" s="1276">
        <f>[11]building!Y2384</f>
        <v>0</v>
      </c>
      <c r="F2053" s="748">
        <f t="shared" si="271"/>
        <v>0</v>
      </c>
      <c r="G2053" s="1205"/>
      <c r="H2053" s="1055"/>
      <c r="I2053" s="1055"/>
      <c r="J2053" s="1055"/>
      <c r="K2053" s="1205"/>
      <c r="L2053" s="1055"/>
      <c r="M2053" s="1205"/>
      <c r="N2053" s="1054"/>
      <c r="O2053" s="1207"/>
      <c r="Q2053" s="1207"/>
    </row>
    <row r="2054" spans="3:17" s="700" customFormat="1" ht="70.5" hidden="1" customHeight="1">
      <c r="C2054" s="701"/>
      <c r="D2054" s="811"/>
      <c r="E2054" s="1276">
        <f>[11]building!Y2385</f>
        <v>0</v>
      </c>
      <c r="F2054" s="748">
        <f t="shared" si="271"/>
        <v>0</v>
      </c>
      <c r="G2054" s="1205"/>
      <c r="H2054" s="1055"/>
      <c r="I2054" s="1055"/>
      <c r="J2054" s="1055"/>
      <c r="K2054" s="1205"/>
      <c r="L2054" s="1055"/>
      <c r="M2054" s="1205"/>
      <c r="N2054" s="1054"/>
      <c r="O2054" s="1207"/>
      <c r="Q2054" s="1207"/>
    </row>
    <row r="2055" spans="3:17" s="700" customFormat="1" ht="70.5" hidden="1" customHeight="1">
      <c r="C2055" s="701"/>
      <c r="D2055" s="811"/>
      <c r="E2055" s="1276">
        <f>[11]building!Y2386</f>
        <v>0</v>
      </c>
      <c r="F2055" s="748">
        <f t="shared" si="271"/>
        <v>0</v>
      </c>
      <c r="G2055" s="1205"/>
      <c r="H2055" s="1055"/>
      <c r="I2055" s="1055"/>
      <c r="J2055" s="1055"/>
      <c r="K2055" s="1205"/>
      <c r="L2055" s="1055"/>
      <c r="M2055" s="1205"/>
      <c r="N2055" s="1054"/>
      <c r="O2055" s="1207"/>
      <c r="Q2055" s="1207"/>
    </row>
    <row r="2056" spans="3:17" s="700" customFormat="1" ht="70.5" hidden="1" customHeight="1">
      <c r="C2056" s="701"/>
      <c r="D2056" s="811"/>
      <c r="E2056" s="1276">
        <f>[11]building!Y2387</f>
        <v>0</v>
      </c>
      <c r="F2056" s="748">
        <f t="shared" si="271"/>
        <v>0</v>
      </c>
      <c r="G2056" s="1205"/>
      <c r="H2056" s="1055"/>
      <c r="I2056" s="1055"/>
      <c r="J2056" s="1055"/>
      <c r="K2056" s="1205"/>
      <c r="L2056" s="1055"/>
      <c r="M2056" s="1205"/>
      <c r="N2056" s="1054"/>
      <c r="O2056" s="1207"/>
      <c r="Q2056" s="1207"/>
    </row>
    <row r="2057" spans="3:17" s="700" customFormat="1" ht="70.5" hidden="1" customHeight="1">
      <c r="C2057" s="701"/>
      <c r="D2057" s="811"/>
      <c r="E2057" s="1276">
        <f>[11]building!Y2388</f>
        <v>0</v>
      </c>
      <c r="F2057" s="748">
        <f t="shared" si="271"/>
        <v>0</v>
      </c>
      <c r="G2057" s="1205"/>
      <c r="H2057" s="1055"/>
      <c r="I2057" s="1055"/>
      <c r="J2057" s="1055"/>
      <c r="K2057" s="1205"/>
      <c r="L2057" s="1055"/>
      <c r="M2057" s="1205"/>
      <c r="N2057" s="1054"/>
      <c r="O2057" s="1207"/>
      <c r="Q2057" s="1207"/>
    </row>
    <row r="2058" spans="3:17" s="700" customFormat="1" ht="70.5" hidden="1" customHeight="1">
      <c r="C2058" s="701"/>
      <c r="D2058" s="811"/>
      <c r="E2058" s="1276">
        <f>[11]building!Y2389</f>
        <v>0</v>
      </c>
      <c r="F2058" s="748">
        <f t="shared" si="271"/>
        <v>0</v>
      </c>
      <c r="G2058" s="1205"/>
      <c r="H2058" s="1055"/>
      <c r="I2058" s="1055"/>
      <c r="J2058" s="1055"/>
      <c r="K2058" s="1205"/>
      <c r="L2058" s="1055"/>
      <c r="M2058" s="1205"/>
      <c r="N2058" s="1054"/>
      <c r="O2058" s="1207"/>
      <c r="Q2058" s="1207"/>
    </row>
    <row r="2059" spans="3:17" s="700" customFormat="1" ht="70.5" hidden="1" customHeight="1">
      <c r="C2059" s="701"/>
      <c r="D2059" s="811"/>
      <c r="E2059" s="1276">
        <f>[11]building!Y2390</f>
        <v>0</v>
      </c>
      <c r="F2059" s="748">
        <f t="shared" si="271"/>
        <v>0</v>
      </c>
      <c r="G2059" s="1205"/>
      <c r="H2059" s="1055"/>
      <c r="I2059" s="1055"/>
      <c r="J2059" s="1055"/>
      <c r="K2059" s="1205"/>
      <c r="L2059" s="1055"/>
      <c r="M2059" s="1205"/>
      <c r="N2059" s="1054"/>
      <c r="O2059" s="1207"/>
      <c r="Q2059" s="1207"/>
    </row>
    <row r="2060" spans="3:17" s="700" customFormat="1" ht="70.5" hidden="1" customHeight="1">
      <c r="C2060" s="701"/>
      <c r="D2060" s="811"/>
      <c r="E2060" s="1276">
        <f>[11]building!Y2391</f>
        <v>0</v>
      </c>
      <c r="F2060" s="748">
        <f t="shared" si="271"/>
        <v>0</v>
      </c>
      <c r="G2060" s="1205"/>
      <c r="H2060" s="1055"/>
      <c r="I2060" s="1055"/>
      <c r="J2060" s="1055"/>
      <c r="K2060" s="1205"/>
      <c r="L2060" s="1055"/>
      <c r="M2060" s="1205"/>
      <c r="N2060" s="1054"/>
      <c r="O2060" s="1207"/>
      <c r="Q2060" s="1207"/>
    </row>
    <row r="2061" spans="3:17" s="700" customFormat="1" ht="70.5" hidden="1" customHeight="1">
      <c r="C2061" s="701"/>
      <c r="D2061" s="811"/>
      <c r="E2061" s="1276">
        <f>[11]building!Y2392</f>
        <v>0</v>
      </c>
      <c r="F2061" s="748">
        <f t="shared" si="271"/>
        <v>0</v>
      </c>
      <c r="G2061" s="1205"/>
      <c r="H2061" s="1055"/>
      <c r="I2061" s="1055"/>
      <c r="J2061" s="1055"/>
      <c r="K2061" s="1205"/>
      <c r="L2061" s="1055"/>
      <c r="M2061" s="1205"/>
      <c r="N2061" s="1054"/>
      <c r="O2061" s="1207"/>
      <c r="Q2061" s="1207"/>
    </row>
    <row r="2062" spans="3:17" s="700" customFormat="1" ht="70.5" hidden="1" customHeight="1">
      <c r="C2062" s="701"/>
      <c r="D2062" s="811"/>
      <c r="E2062" s="1276">
        <f>[11]building!Y2393</f>
        <v>0</v>
      </c>
      <c r="F2062" s="748">
        <f t="shared" si="271"/>
        <v>0</v>
      </c>
      <c r="G2062" s="1205"/>
      <c r="H2062" s="1055"/>
      <c r="I2062" s="1055"/>
      <c r="J2062" s="1055"/>
      <c r="K2062" s="1205"/>
      <c r="L2062" s="1055"/>
      <c r="M2062" s="1205"/>
      <c r="N2062" s="1054"/>
      <c r="O2062" s="1207"/>
      <c r="Q2062" s="1207"/>
    </row>
    <row r="2063" spans="3:17" s="700" customFormat="1" ht="70.5" hidden="1" customHeight="1">
      <c r="C2063" s="701"/>
      <c r="D2063" s="811"/>
      <c r="E2063" s="1276">
        <f>[11]building!Y2394</f>
        <v>0</v>
      </c>
      <c r="F2063" s="748">
        <f t="shared" si="271"/>
        <v>0</v>
      </c>
      <c r="G2063" s="1205"/>
      <c r="H2063" s="1055"/>
      <c r="I2063" s="1055"/>
      <c r="J2063" s="1055"/>
      <c r="K2063" s="1205"/>
      <c r="L2063" s="1055"/>
      <c r="M2063" s="1205"/>
      <c r="N2063" s="1054"/>
      <c r="O2063" s="1207"/>
      <c r="Q2063" s="1207"/>
    </row>
    <row r="2064" spans="3:17" s="700" customFormat="1" ht="70.5" hidden="1" customHeight="1">
      <c r="C2064" s="701"/>
      <c r="D2064" s="811"/>
      <c r="E2064" s="1276">
        <f>[11]building!Y2395</f>
        <v>0</v>
      </c>
      <c r="F2064" s="748">
        <f t="shared" si="271"/>
        <v>0</v>
      </c>
      <c r="G2064" s="1205"/>
      <c r="H2064" s="1055"/>
      <c r="I2064" s="1055"/>
      <c r="J2064" s="1055"/>
      <c r="K2064" s="1205"/>
      <c r="L2064" s="1055"/>
      <c r="M2064" s="1205"/>
      <c r="N2064" s="1054"/>
      <c r="O2064" s="1207"/>
      <c r="Q2064" s="1207"/>
    </row>
    <row r="2065" spans="3:17" s="700" customFormat="1" ht="70.5" hidden="1" customHeight="1">
      <c r="C2065" s="701"/>
      <c r="D2065" s="811"/>
      <c r="E2065" s="1276">
        <f>[11]building!Y2396</f>
        <v>0</v>
      </c>
      <c r="F2065" s="748">
        <f t="shared" si="271"/>
        <v>0</v>
      </c>
      <c r="G2065" s="1205"/>
      <c r="H2065" s="1055"/>
      <c r="I2065" s="1055"/>
      <c r="J2065" s="1055"/>
      <c r="K2065" s="1205"/>
      <c r="L2065" s="1055"/>
      <c r="M2065" s="1205"/>
      <c r="N2065" s="1054"/>
      <c r="O2065" s="1207"/>
      <c r="Q2065" s="1207"/>
    </row>
    <row r="2066" spans="3:17" s="700" customFormat="1" ht="70.5" hidden="1" customHeight="1">
      <c r="C2066" s="701"/>
      <c r="D2066" s="811"/>
      <c r="E2066" s="1276">
        <f>[11]building!Y2397</f>
        <v>0</v>
      </c>
      <c r="F2066" s="748">
        <f t="shared" si="271"/>
        <v>0</v>
      </c>
      <c r="G2066" s="1205"/>
      <c r="H2066" s="1055"/>
      <c r="I2066" s="1055"/>
      <c r="J2066" s="1055"/>
      <c r="K2066" s="1205"/>
      <c r="L2066" s="1055"/>
      <c r="M2066" s="1205"/>
      <c r="N2066" s="1054"/>
      <c r="O2066" s="1207"/>
      <c r="Q2066" s="1207"/>
    </row>
    <row r="2067" spans="3:17" s="700" customFormat="1" ht="70.5" hidden="1" customHeight="1">
      <c r="C2067" s="701"/>
      <c r="D2067" s="811"/>
      <c r="E2067" s="1276">
        <f>[11]building!Y2398</f>
        <v>0</v>
      </c>
      <c r="F2067" s="748">
        <f t="shared" si="271"/>
        <v>0</v>
      </c>
      <c r="G2067" s="1205"/>
      <c r="H2067" s="1055"/>
      <c r="I2067" s="1055"/>
      <c r="J2067" s="1055"/>
      <c r="K2067" s="1205"/>
      <c r="L2067" s="1055"/>
      <c r="M2067" s="1205"/>
      <c r="N2067" s="1054"/>
      <c r="O2067" s="1207"/>
      <c r="Q2067" s="1207"/>
    </row>
    <row r="2068" spans="3:17" s="700" customFormat="1" ht="70.5" hidden="1" customHeight="1">
      <c r="C2068" s="701"/>
      <c r="D2068" s="811"/>
      <c r="E2068" s="1276">
        <f>[11]building!Y2399</f>
        <v>0</v>
      </c>
      <c r="F2068" s="748">
        <f t="shared" si="271"/>
        <v>0</v>
      </c>
      <c r="G2068" s="1205"/>
      <c r="H2068" s="1055"/>
      <c r="I2068" s="1055"/>
      <c r="J2068" s="1055"/>
      <c r="K2068" s="1205"/>
      <c r="L2068" s="1055"/>
      <c r="M2068" s="1205"/>
      <c r="N2068" s="1054"/>
      <c r="O2068" s="1207"/>
      <c r="Q2068" s="1207"/>
    </row>
    <row r="2069" spans="3:17" s="700" customFormat="1" ht="70.5" hidden="1" customHeight="1">
      <c r="C2069" s="701"/>
      <c r="D2069" s="811"/>
      <c r="E2069" s="1276">
        <f>[11]building!Y2400</f>
        <v>0</v>
      </c>
      <c r="F2069" s="748">
        <f t="shared" si="271"/>
        <v>0</v>
      </c>
      <c r="G2069" s="1205"/>
      <c r="H2069" s="1055"/>
      <c r="I2069" s="1055"/>
      <c r="J2069" s="1055"/>
      <c r="K2069" s="1205"/>
      <c r="L2069" s="1055"/>
      <c r="M2069" s="1205"/>
      <c r="N2069" s="1054"/>
      <c r="O2069" s="1207"/>
      <c r="Q2069" s="1207"/>
    </row>
    <row r="2070" spans="3:17" s="700" customFormat="1" ht="70.5" hidden="1" customHeight="1">
      <c r="C2070" s="701"/>
      <c r="D2070" s="811"/>
      <c r="E2070" s="1276">
        <f>[11]building!Y2401</f>
        <v>0</v>
      </c>
      <c r="F2070" s="748">
        <f t="shared" si="271"/>
        <v>0</v>
      </c>
      <c r="G2070" s="1205"/>
      <c r="H2070" s="1055"/>
      <c r="I2070" s="1055"/>
      <c r="J2070" s="1055"/>
      <c r="K2070" s="1205"/>
      <c r="L2070" s="1055"/>
      <c r="M2070" s="1205"/>
      <c r="N2070" s="1054"/>
      <c r="O2070" s="1207"/>
      <c r="Q2070" s="1207"/>
    </row>
    <row r="2071" spans="3:17" s="700" customFormat="1" ht="70.5" hidden="1" customHeight="1">
      <c r="C2071" s="701"/>
      <c r="D2071" s="811"/>
      <c r="E2071" s="1276">
        <f>[11]building!Y2402</f>
        <v>0</v>
      </c>
      <c r="F2071" s="748">
        <f t="shared" si="271"/>
        <v>0</v>
      </c>
      <c r="G2071" s="1205"/>
      <c r="H2071" s="1055"/>
      <c r="I2071" s="1055"/>
      <c r="J2071" s="1055"/>
      <c r="K2071" s="1205"/>
      <c r="L2071" s="1055"/>
      <c r="M2071" s="1205"/>
      <c r="N2071" s="1054"/>
      <c r="O2071" s="1207"/>
      <c r="Q2071" s="1207"/>
    </row>
    <row r="2072" spans="3:17" s="700" customFormat="1" ht="70.5" hidden="1" customHeight="1">
      <c r="C2072" s="701"/>
      <c r="D2072" s="811"/>
      <c r="E2072" s="1276">
        <f>[11]building!Y2403</f>
        <v>0</v>
      </c>
      <c r="F2072" s="748">
        <f t="shared" si="271"/>
        <v>0</v>
      </c>
      <c r="G2072" s="1205"/>
      <c r="H2072" s="1055"/>
      <c r="I2072" s="1055"/>
      <c r="J2072" s="1055"/>
      <c r="K2072" s="1205"/>
      <c r="L2072" s="1055"/>
      <c r="M2072" s="1205"/>
      <c r="N2072" s="1054"/>
      <c r="O2072" s="1207"/>
      <c r="Q2072" s="1207"/>
    </row>
    <row r="2073" spans="3:17" s="700" customFormat="1" ht="70.5" hidden="1" customHeight="1">
      <c r="C2073" s="701"/>
      <c r="D2073" s="811"/>
      <c r="E2073" s="1276">
        <f>[11]building!Y2404</f>
        <v>0</v>
      </c>
      <c r="F2073" s="748">
        <f t="shared" si="271"/>
        <v>0</v>
      </c>
      <c r="G2073" s="1205"/>
      <c r="H2073" s="1055"/>
      <c r="I2073" s="1055"/>
      <c r="J2073" s="1055"/>
      <c r="K2073" s="1205"/>
      <c r="L2073" s="1055"/>
      <c r="M2073" s="1205"/>
      <c r="N2073" s="1054"/>
      <c r="O2073" s="1207"/>
      <c r="Q2073" s="1207"/>
    </row>
    <row r="2074" spans="3:17" s="700" customFormat="1" ht="70.5" hidden="1" customHeight="1">
      <c r="C2074" s="701"/>
      <c r="D2074" s="811"/>
      <c r="E2074" s="1276">
        <f>[11]building!Y2405</f>
        <v>0</v>
      </c>
      <c r="F2074" s="748">
        <f t="shared" si="271"/>
        <v>0</v>
      </c>
      <c r="G2074" s="1205"/>
      <c r="H2074" s="1055"/>
      <c r="I2074" s="1055"/>
      <c r="J2074" s="1055"/>
      <c r="K2074" s="1205"/>
      <c r="L2074" s="1055"/>
      <c r="M2074" s="1205"/>
      <c r="N2074" s="1054"/>
      <c r="O2074" s="1207"/>
      <c r="Q2074" s="1207"/>
    </row>
    <row r="2075" spans="3:17" s="700" customFormat="1" ht="70.5" hidden="1" customHeight="1">
      <c r="C2075" s="701"/>
      <c r="D2075" s="811"/>
      <c r="E2075" s="1276">
        <f>[11]building!Y2406</f>
        <v>0</v>
      </c>
      <c r="F2075" s="748">
        <f t="shared" si="271"/>
        <v>0</v>
      </c>
      <c r="G2075" s="1205"/>
      <c r="H2075" s="1055"/>
      <c r="I2075" s="1055"/>
      <c r="J2075" s="1055"/>
      <c r="K2075" s="1205"/>
      <c r="L2075" s="1055"/>
      <c r="M2075" s="1205"/>
      <c r="N2075" s="1054"/>
      <c r="O2075" s="1207"/>
      <c r="Q2075" s="1207"/>
    </row>
    <row r="2076" spans="3:17" s="700" customFormat="1" ht="70.5" hidden="1" customHeight="1">
      <c r="C2076" s="701"/>
      <c r="D2076" s="811"/>
      <c r="E2076" s="1276">
        <f>[11]building!Y2407</f>
        <v>0</v>
      </c>
      <c r="F2076" s="748">
        <f t="shared" si="271"/>
        <v>0</v>
      </c>
      <c r="G2076" s="1205"/>
      <c r="H2076" s="1055"/>
      <c r="I2076" s="1055"/>
      <c r="J2076" s="1055"/>
      <c r="K2076" s="1205"/>
      <c r="L2076" s="1055"/>
      <c r="M2076" s="1205"/>
      <c r="N2076" s="1054"/>
      <c r="O2076" s="1207"/>
      <c r="Q2076" s="1207"/>
    </row>
    <row r="2077" spans="3:17" s="700" customFormat="1" ht="70.5" hidden="1" customHeight="1">
      <c r="C2077" s="701"/>
      <c r="D2077" s="811"/>
      <c r="E2077" s="1276">
        <f>[11]building!Y2408</f>
        <v>0</v>
      </c>
      <c r="F2077" s="748">
        <f t="shared" si="271"/>
        <v>0</v>
      </c>
      <c r="G2077" s="1205"/>
      <c r="H2077" s="1055"/>
      <c r="I2077" s="1055"/>
      <c r="J2077" s="1055"/>
      <c r="K2077" s="1205"/>
      <c r="L2077" s="1055"/>
      <c r="M2077" s="1205"/>
      <c r="N2077" s="1054"/>
      <c r="O2077" s="1207"/>
      <c r="Q2077" s="1207"/>
    </row>
    <row r="2078" spans="3:17" s="700" customFormat="1" ht="70.5" hidden="1" customHeight="1">
      <c r="C2078" s="701"/>
      <c r="D2078" s="811"/>
      <c r="E2078" s="1276">
        <f>[11]building!Y2409</f>
        <v>0</v>
      </c>
      <c r="F2078" s="748">
        <f t="shared" si="271"/>
        <v>0</v>
      </c>
      <c r="G2078" s="1205"/>
      <c r="H2078" s="1055"/>
      <c r="I2078" s="1055"/>
      <c r="J2078" s="1055"/>
      <c r="K2078" s="1205"/>
      <c r="L2078" s="1055"/>
      <c r="M2078" s="1205"/>
      <c r="N2078" s="1054"/>
      <c r="O2078" s="1207"/>
      <c r="Q2078" s="1207"/>
    </row>
    <row r="2079" spans="3:17" s="700" customFormat="1" ht="70.5" hidden="1" customHeight="1">
      <c r="C2079" s="701"/>
      <c r="D2079" s="811"/>
      <c r="E2079" s="1276">
        <f>[11]building!Y2410</f>
        <v>0</v>
      </c>
      <c r="F2079" s="748">
        <f t="shared" si="271"/>
        <v>0</v>
      </c>
      <c r="G2079" s="1205"/>
      <c r="H2079" s="1055"/>
      <c r="I2079" s="1055"/>
      <c r="J2079" s="1055"/>
      <c r="K2079" s="1205"/>
      <c r="L2079" s="1055"/>
      <c r="M2079" s="1205"/>
      <c r="N2079" s="1054"/>
      <c r="O2079" s="1207"/>
      <c r="Q2079" s="1207"/>
    </row>
    <row r="2080" spans="3:17" s="700" customFormat="1" ht="70.5" hidden="1" customHeight="1">
      <c r="C2080" s="701"/>
      <c r="D2080" s="811"/>
      <c r="E2080" s="1276">
        <f>[11]building!Y2411</f>
        <v>0</v>
      </c>
      <c r="F2080" s="748">
        <f t="shared" si="271"/>
        <v>0</v>
      </c>
      <c r="G2080" s="1205"/>
      <c r="H2080" s="1055"/>
      <c r="I2080" s="1055"/>
      <c r="J2080" s="1055"/>
      <c r="K2080" s="1205"/>
      <c r="L2080" s="1055"/>
      <c r="M2080" s="1205"/>
      <c r="N2080" s="1054"/>
      <c r="O2080" s="1207"/>
      <c r="Q2080" s="1207"/>
    </row>
    <row r="2081" spans="3:17" s="700" customFormat="1" ht="70.5" hidden="1" customHeight="1">
      <c r="C2081" s="701"/>
      <c r="D2081" s="811"/>
      <c r="E2081" s="1276">
        <f>[11]building!Y2412</f>
        <v>0</v>
      </c>
      <c r="F2081" s="748">
        <f t="shared" si="271"/>
        <v>0</v>
      </c>
      <c r="G2081" s="1205"/>
      <c r="H2081" s="1055"/>
      <c r="I2081" s="1055"/>
      <c r="J2081" s="1055"/>
      <c r="K2081" s="1205"/>
      <c r="L2081" s="1055"/>
      <c r="M2081" s="1205"/>
      <c r="N2081" s="1054"/>
      <c r="O2081" s="1207"/>
      <c r="Q2081" s="1207"/>
    </row>
    <row r="2082" spans="3:17" s="700" customFormat="1" ht="70.5" hidden="1" customHeight="1">
      <c r="C2082" s="701"/>
      <c r="D2082" s="811"/>
      <c r="E2082" s="1276">
        <f>[11]building!Y2413</f>
        <v>0</v>
      </c>
      <c r="F2082" s="748">
        <f t="shared" si="271"/>
        <v>0</v>
      </c>
      <c r="G2082" s="1205"/>
      <c r="H2082" s="1055"/>
      <c r="I2082" s="1055"/>
      <c r="J2082" s="1055"/>
      <c r="K2082" s="1205"/>
      <c r="L2082" s="1055"/>
      <c r="M2082" s="1205"/>
      <c r="N2082" s="1054"/>
      <c r="O2082" s="1207"/>
      <c r="Q2082" s="1207"/>
    </row>
    <row r="2083" spans="3:17" s="700" customFormat="1" ht="70.5" hidden="1" customHeight="1">
      <c r="C2083" s="701"/>
      <c r="D2083" s="811"/>
      <c r="E2083" s="1276">
        <f>[11]building!Y2414</f>
        <v>0</v>
      </c>
      <c r="F2083" s="748">
        <f t="shared" si="271"/>
        <v>0</v>
      </c>
      <c r="G2083" s="1205"/>
      <c r="H2083" s="1055"/>
      <c r="I2083" s="1055"/>
      <c r="J2083" s="1055"/>
      <c r="K2083" s="1205"/>
      <c r="L2083" s="1055"/>
      <c r="M2083" s="1205"/>
      <c r="N2083" s="1054"/>
      <c r="O2083" s="1207"/>
      <c r="Q2083" s="1207"/>
    </row>
    <row r="2084" spans="3:17" s="700" customFormat="1" ht="70.5" hidden="1" customHeight="1">
      <c r="C2084" s="701"/>
      <c r="D2084" s="811"/>
      <c r="E2084" s="1276">
        <f>[11]building!Y2415</f>
        <v>0</v>
      </c>
      <c r="F2084" s="748">
        <f t="shared" si="271"/>
        <v>0</v>
      </c>
      <c r="G2084" s="1205"/>
      <c r="H2084" s="1055"/>
      <c r="I2084" s="1055"/>
      <c r="J2084" s="1055"/>
      <c r="K2084" s="1205"/>
      <c r="L2084" s="1055"/>
      <c r="M2084" s="1205"/>
      <c r="N2084" s="1054"/>
      <c r="O2084" s="1207"/>
      <c r="Q2084" s="1207"/>
    </row>
    <row r="2085" spans="3:17" s="700" customFormat="1" ht="70.5" hidden="1" customHeight="1">
      <c r="C2085" s="701"/>
      <c r="D2085" s="811"/>
      <c r="E2085" s="1276">
        <f>[11]building!Y2416</f>
        <v>0</v>
      </c>
      <c r="F2085" s="748">
        <f t="shared" si="271"/>
        <v>0</v>
      </c>
      <c r="G2085" s="1205"/>
      <c r="H2085" s="1055"/>
      <c r="I2085" s="1055"/>
      <c r="J2085" s="1055"/>
      <c r="K2085" s="1205"/>
      <c r="L2085" s="1055"/>
      <c r="M2085" s="1205"/>
      <c r="N2085" s="1054"/>
      <c r="O2085" s="1207"/>
      <c r="Q2085" s="1207"/>
    </row>
    <row r="2086" spans="3:17" s="700" customFormat="1" ht="70.5" hidden="1" customHeight="1">
      <c r="C2086" s="701"/>
      <c r="D2086" s="811"/>
      <c r="E2086" s="1276">
        <f>[11]building!Y2417</f>
        <v>0</v>
      </c>
      <c r="F2086" s="748">
        <f t="shared" si="271"/>
        <v>0</v>
      </c>
      <c r="G2086" s="1205"/>
      <c r="H2086" s="1055"/>
      <c r="I2086" s="1055"/>
      <c r="J2086" s="1055"/>
      <c r="K2086" s="1205"/>
      <c r="L2086" s="1055"/>
      <c r="M2086" s="1205"/>
      <c r="N2086" s="1054"/>
      <c r="O2086" s="1207"/>
      <c r="Q2086" s="1207"/>
    </row>
    <row r="2087" spans="3:17" s="700" customFormat="1" ht="70.5" hidden="1" customHeight="1">
      <c r="C2087" s="701"/>
      <c r="D2087" s="811"/>
      <c r="E2087" s="1276">
        <f>[11]building!Y2418</f>
        <v>0</v>
      </c>
      <c r="F2087" s="748">
        <f t="shared" si="271"/>
        <v>0</v>
      </c>
      <c r="G2087" s="1205"/>
      <c r="H2087" s="1055"/>
      <c r="I2087" s="1055"/>
      <c r="J2087" s="1055"/>
      <c r="K2087" s="1205"/>
      <c r="L2087" s="1055"/>
      <c r="M2087" s="1205"/>
      <c r="N2087" s="1054"/>
      <c r="O2087" s="1207"/>
      <c r="Q2087" s="1207"/>
    </row>
    <row r="2088" spans="3:17" s="700" customFormat="1" ht="70.5" hidden="1" customHeight="1">
      <c r="C2088" s="701"/>
      <c r="D2088" s="811"/>
      <c r="E2088" s="1276">
        <f>[11]building!Y2419</f>
        <v>0</v>
      </c>
      <c r="F2088" s="748">
        <f t="shared" si="271"/>
        <v>0</v>
      </c>
      <c r="G2088" s="1205"/>
      <c r="H2088" s="1055"/>
      <c r="I2088" s="1055"/>
      <c r="J2088" s="1055"/>
      <c r="K2088" s="1205"/>
      <c r="L2088" s="1055"/>
      <c r="M2088" s="1205"/>
      <c r="N2088" s="1054"/>
      <c r="O2088" s="1207"/>
      <c r="Q2088" s="1207"/>
    </row>
    <row r="2089" spans="3:17" s="700" customFormat="1" ht="70.5" hidden="1" customHeight="1">
      <c r="C2089" s="701"/>
      <c r="D2089" s="811"/>
      <c r="E2089" s="1276">
        <f>[11]building!Y2420</f>
        <v>0</v>
      </c>
      <c r="F2089" s="748">
        <f t="shared" si="271"/>
        <v>0</v>
      </c>
      <c r="G2089" s="1205"/>
      <c r="H2089" s="1055"/>
      <c r="I2089" s="1055"/>
      <c r="J2089" s="1055"/>
      <c r="K2089" s="1205"/>
      <c r="L2089" s="1055"/>
      <c r="M2089" s="1205"/>
      <c r="N2089" s="1054"/>
      <c r="O2089" s="1207"/>
      <c r="Q2089" s="1207"/>
    </row>
    <row r="2090" spans="3:17" s="700" customFormat="1" ht="70.5" hidden="1" customHeight="1">
      <c r="C2090" s="701"/>
      <c r="D2090" s="811"/>
      <c r="E2090" s="1276">
        <f>[11]building!Y2421</f>
        <v>0</v>
      </c>
      <c r="F2090" s="748">
        <f t="shared" si="271"/>
        <v>0</v>
      </c>
      <c r="G2090" s="1205"/>
      <c r="H2090" s="1055"/>
      <c r="I2090" s="1055"/>
      <c r="J2090" s="1055"/>
      <c r="K2090" s="1205"/>
      <c r="L2090" s="1055"/>
      <c r="M2090" s="1205"/>
      <c r="N2090" s="1054"/>
      <c r="O2090" s="1207"/>
      <c r="Q2090" s="1207"/>
    </row>
    <row r="2091" spans="3:17" s="700" customFormat="1" ht="70.5" hidden="1" customHeight="1">
      <c r="C2091" s="701"/>
      <c r="D2091" s="811"/>
      <c r="E2091" s="1276">
        <f>[11]building!Y2422</f>
        <v>0</v>
      </c>
      <c r="F2091" s="748">
        <f t="shared" si="271"/>
        <v>0</v>
      </c>
      <c r="G2091" s="1205"/>
      <c r="H2091" s="1055"/>
      <c r="I2091" s="1055"/>
      <c r="J2091" s="1055"/>
      <c r="K2091" s="1205"/>
      <c r="L2091" s="1055"/>
      <c r="M2091" s="1205"/>
      <c r="N2091" s="1054"/>
      <c r="O2091" s="1207"/>
      <c r="Q2091" s="1207"/>
    </row>
    <row r="2092" spans="3:17" s="700" customFormat="1" ht="70.5" hidden="1" customHeight="1">
      <c r="C2092" s="701"/>
      <c r="D2092" s="811"/>
      <c r="E2092" s="1276">
        <f>[11]building!Y2423</f>
        <v>0</v>
      </c>
      <c r="F2092" s="748">
        <f t="shared" si="271"/>
        <v>0</v>
      </c>
      <c r="G2092" s="1205"/>
      <c r="H2092" s="1055"/>
      <c r="I2092" s="1055"/>
      <c r="J2092" s="1055"/>
      <c r="K2092" s="1205"/>
      <c r="L2092" s="1055"/>
      <c r="M2092" s="1205"/>
      <c r="N2092" s="1054"/>
      <c r="O2092" s="1207"/>
      <c r="Q2092" s="1207"/>
    </row>
    <row r="2093" spans="3:17" s="700" customFormat="1" ht="70.5" hidden="1" customHeight="1">
      <c r="C2093" s="701"/>
      <c r="D2093" s="811"/>
      <c r="E2093" s="1276">
        <f>[11]building!Y2424</f>
        <v>0</v>
      </c>
      <c r="F2093" s="748">
        <f t="shared" si="271"/>
        <v>0</v>
      </c>
      <c r="G2093" s="1205"/>
      <c r="H2093" s="1055"/>
      <c r="I2093" s="1055"/>
      <c r="J2093" s="1055"/>
      <c r="K2093" s="1205"/>
      <c r="L2093" s="1055"/>
      <c r="M2093" s="1205"/>
      <c r="N2093" s="1054"/>
      <c r="O2093" s="1207"/>
      <c r="Q2093" s="1207"/>
    </row>
    <row r="2094" spans="3:17" s="700" customFormat="1" ht="70.5" hidden="1" customHeight="1">
      <c r="C2094" s="701"/>
      <c r="D2094" s="811"/>
      <c r="E2094" s="1276">
        <f>[11]building!Y2425</f>
        <v>0</v>
      </c>
      <c r="F2094" s="748">
        <f t="shared" si="271"/>
        <v>0</v>
      </c>
      <c r="G2094" s="1205"/>
      <c r="H2094" s="1055"/>
      <c r="I2094" s="1055"/>
      <c r="J2094" s="1055"/>
      <c r="K2094" s="1205"/>
      <c r="L2094" s="1055"/>
      <c r="M2094" s="1205"/>
      <c r="N2094" s="1054"/>
      <c r="O2094" s="1207"/>
      <c r="Q2094" s="1207"/>
    </row>
    <row r="2095" spans="3:17" s="700" customFormat="1" ht="70.5" hidden="1" customHeight="1">
      <c r="C2095" s="701"/>
      <c r="D2095" s="811"/>
      <c r="E2095" s="1276">
        <f>[11]building!Y2426</f>
        <v>0</v>
      </c>
      <c r="F2095" s="748">
        <f t="shared" si="271"/>
        <v>0</v>
      </c>
      <c r="G2095" s="1205"/>
      <c r="H2095" s="1055"/>
      <c r="I2095" s="1055"/>
      <c r="J2095" s="1055"/>
      <c r="K2095" s="1205"/>
      <c r="L2095" s="1055"/>
      <c r="M2095" s="1205"/>
      <c r="N2095" s="1054"/>
      <c r="O2095" s="1207"/>
      <c r="Q2095" s="1207"/>
    </row>
    <row r="2096" spans="3:17" s="700" customFormat="1" ht="70.5" hidden="1" customHeight="1">
      <c r="C2096" s="701"/>
      <c r="D2096" s="811"/>
      <c r="E2096" s="1276">
        <f>[11]building!Y2427</f>
        <v>0</v>
      </c>
      <c r="F2096" s="748">
        <f t="shared" si="271"/>
        <v>0</v>
      </c>
      <c r="G2096" s="1205"/>
      <c r="H2096" s="1055"/>
      <c r="I2096" s="1055"/>
      <c r="J2096" s="1055"/>
      <c r="K2096" s="1205"/>
      <c r="L2096" s="1055"/>
      <c r="M2096" s="1205"/>
      <c r="N2096" s="1054"/>
      <c r="O2096" s="1207"/>
      <c r="Q2096" s="1207"/>
    </row>
    <row r="2097" spans="3:17" s="700" customFormat="1" ht="70.5" hidden="1" customHeight="1">
      <c r="C2097" s="701"/>
      <c r="D2097" s="811"/>
      <c r="E2097" s="1276">
        <f>[11]building!Y2428</f>
        <v>0</v>
      </c>
      <c r="F2097" s="748">
        <f t="shared" si="271"/>
        <v>0</v>
      </c>
      <c r="G2097" s="1205"/>
      <c r="H2097" s="1055"/>
      <c r="I2097" s="1055"/>
      <c r="J2097" s="1055"/>
      <c r="K2097" s="1205"/>
      <c r="L2097" s="1055"/>
      <c r="M2097" s="1205"/>
      <c r="N2097" s="1054"/>
      <c r="O2097" s="1207"/>
      <c r="Q2097" s="1207"/>
    </row>
    <row r="2098" spans="3:17" s="700" customFormat="1" ht="70.5" hidden="1" customHeight="1">
      <c r="C2098" s="701"/>
      <c r="D2098" s="811"/>
      <c r="E2098" s="1276">
        <f>[11]building!Y2429</f>
        <v>0</v>
      </c>
      <c r="F2098" s="748">
        <f t="shared" si="271"/>
        <v>0</v>
      </c>
      <c r="G2098" s="1205"/>
      <c r="H2098" s="1055"/>
      <c r="I2098" s="1055"/>
      <c r="J2098" s="1055"/>
      <c r="K2098" s="1205"/>
      <c r="L2098" s="1055"/>
      <c r="M2098" s="1205"/>
      <c r="N2098" s="1054"/>
      <c r="O2098" s="1207"/>
      <c r="Q2098" s="1207"/>
    </row>
    <row r="2099" spans="3:17" s="700" customFormat="1" ht="70.5" hidden="1" customHeight="1">
      <c r="C2099" s="701"/>
      <c r="D2099" s="811"/>
      <c r="E2099" s="1276">
        <f>[11]building!Y2430</f>
        <v>0</v>
      </c>
      <c r="F2099" s="748">
        <f t="shared" si="271"/>
        <v>0</v>
      </c>
      <c r="G2099" s="1205"/>
      <c r="H2099" s="1055"/>
      <c r="I2099" s="1055"/>
      <c r="J2099" s="1055"/>
      <c r="K2099" s="1205"/>
      <c r="L2099" s="1055"/>
      <c r="M2099" s="1205"/>
      <c r="N2099" s="1054"/>
      <c r="O2099" s="1207"/>
      <c r="Q2099" s="1207"/>
    </row>
    <row r="2100" spans="3:17" s="700" customFormat="1" ht="70.5" hidden="1" customHeight="1">
      <c r="C2100" s="701"/>
      <c r="D2100" s="811"/>
      <c r="E2100" s="1276">
        <f>[11]building!Y2431</f>
        <v>0</v>
      </c>
      <c r="F2100" s="748">
        <f t="shared" si="271"/>
        <v>0</v>
      </c>
      <c r="G2100" s="1205"/>
      <c r="H2100" s="1055"/>
      <c r="I2100" s="1055"/>
      <c r="J2100" s="1055"/>
      <c r="K2100" s="1205"/>
      <c r="L2100" s="1055"/>
      <c r="M2100" s="1205"/>
      <c r="N2100" s="1054"/>
      <c r="O2100" s="1207"/>
      <c r="Q2100" s="1207"/>
    </row>
    <row r="2101" spans="3:17" s="700" customFormat="1" ht="70.5" hidden="1" customHeight="1">
      <c r="C2101" s="701"/>
      <c r="D2101" s="811"/>
      <c r="E2101" s="1276">
        <f>[11]building!Y2432</f>
        <v>0</v>
      </c>
      <c r="F2101" s="748">
        <f t="shared" si="271"/>
        <v>0</v>
      </c>
      <c r="G2101" s="1205"/>
      <c r="H2101" s="1055"/>
      <c r="I2101" s="1055"/>
      <c r="J2101" s="1055"/>
      <c r="K2101" s="1205"/>
      <c r="L2101" s="1055"/>
      <c r="M2101" s="1205"/>
      <c r="N2101" s="1054"/>
      <c r="O2101" s="1207"/>
      <c r="Q2101" s="1207"/>
    </row>
    <row r="2102" spans="3:17" s="700" customFormat="1" ht="70.5" hidden="1" customHeight="1">
      <c r="C2102" s="701"/>
      <c r="D2102" s="811"/>
      <c r="E2102" s="1276">
        <f>[11]building!Y2433</f>
        <v>0</v>
      </c>
      <c r="F2102" s="748">
        <f t="shared" si="271"/>
        <v>0</v>
      </c>
      <c r="G2102" s="1205"/>
      <c r="H2102" s="1055"/>
      <c r="I2102" s="1055"/>
      <c r="J2102" s="1055"/>
      <c r="K2102" s="1205"/>
      <c r="L2102" s="1055"/>
      <c r="M2102" s="1205"/>
      <c r="N2102" s="1054"/>
      <c r="O2102" s="1207"/>
      <c r="Q2102" s="1207"/>
    </row>
    <row r="2103" spans="3:17" s="700" customFormat="1" ht="70.5" hidden="1" customHeight="1">
      <c r="C2103" s="701"/>
      <c r="D2103" s="811"/>
      <c r="E2103" s="1276">
        <f>[11]building!Y2434</f>
        <v>0</v>
      </c>
      <c r="F2103" s="748">
        <f t="shared" si="271"/>
        <v>0</v>
      </c>
      <c r="G2103" s="1205"/>
      <c r="H2103" s="1055"/>
      <c r="I2103" s="1055"/>
      <c r="J2103" s="1055"/>
      <c r="K2103" s="1205"/>
      <c r="L2103" s="1055"/>
      <c r="M2103" s="1205"/>
      <c r="N2103" s="1054"/>
      <c r="O2103" s="1207"/>
      <c r="Q2103" s="1207"/>
    </row>
    <row r="2104" spans="3:17" s="700" customFormat="1" ht="70.5" hidden="1" customHeight="1">
      <c r="C2104" s="701"/>
      <c r="D2104" s="811"/>
      <c r="E2104" s="1276">
        <f>[11]building!Y2435</f>
        <v>0</v>
      </c>
      <c r="F2104" s="748">
        <f t="shared" si="271"/>
        <v>0</v>
      </c>
      <c r="G2104" s="1205"/>
      <c r="H2104" s="1055"/>
      <c r="I2104" s="1055"/>
      <c r="J2104" s="1055"/>
      <c r="K2104" s="1205"/>
      <c r="L2104" s="1055"/>
      <c r="M2104" s="1205"/>
      <c r="N2104" s="1054"/>
      <c r="O2104" s="1207"/>
      <c r="Q2104" s="1207"/>
    </row>
    <row r="2105" spans="3:17" s="700" customFormat="1" ht="70.5" hidden="1" customHeight="1">
      <c r="C2105" s="701"/>
      <c r="D2105" s="811"/>
      <c r="E2105" s="1276">
        <f>[11]building!Y2436</f>
        <v>0</v>
      </c>
      <c r="F2105" s="748">
        <f t="shared" si="271"/>
        <v>0</v>
      </c>
      <c r="G2105" s="1205"/>
      <c r="H2105" s="1055"/>
      <c r="I2105" s="1055"/>
      <c r="J2105" s="1055"/>
      <c r="K2105" s="1205"/>
      <c r="L2105" s="1055"/>
      <c r="M2105" s="1205"/>
      <c r="N2105" s="1054"/>
      <c r="O2105" s="1207"/>
      <c r="Q2105" s="1207"/>
    </row>
    <row r="2106" spans="3:17" s="700" customFormat="1" ht="70.5" hidden="1" customHeight="1">
      <c r="C2106" s="701"/>
      <c r="D2106" s="811"/>
      <c r="E2106" s="1276">
        <f>[11]building!Y2437</f>
        <v>0</v>
      </c>
      <c r="F2106" s="748">
        <f t="shared" si="271"/>
        <v>0</v>
      </c>
      <c r="G2106" s="1205"/>
      <c r="H2106" s="1055"/>
      <c r="I2106" s="1055"/>
      <c r="J2106" s="1055"/>
      <c r="K2106" s="1205"/>
      <c r="L2106" s="1055"/>
      <c r="M2106" s="1205"/>
      <c r="N2106" s="1054"/>
      <c r="O2106" s="1207"/>
      <c r="Q2106" s="1207"/>
    </row>
    <row r="2107" spans="3:17" s="700" customFormat="1" ht="70.5" hidden="1" customHeight="1">
      <c r="C2107" s="701"/>
      <c r="D2107" s="811"/>
      <c r="E2107" s="1276">
        <f>[11]building!Y2438</f>
        <v>0</v>
      </c>
      <c r="F2107" s="748">
        <f t="shared" si="271"/>
        <v>0</v>
      </c>
      <c r="G2107" s="1205"/>
      <c r="H2107" s="1055"/>
      <c r="I2107" s="1055"/>
      <c r="J2107" s="1055"/>
      <c r="K2107" s="1205"/>
      <c r="L2107" s="1055"/>
      <c r="M2107" s="1205"/>
      <c r="N2107" s="1054"/>
      <c r="O2107" s="1207"/>
      <c r="Q2107" s="1207"/>
    </row>
    <row r="2108" spans="3:17" s="700" customFormat="1" ht="70.5" hidden="1" customHeight="1">
      <c r="C2108" s="701"/>
      <c r="D2108" s="811"/>
      <c r="E2108" s="1276">
        <f>[11]building!Y2439</f>
        <v>0</v>
      </c>
      <c r="F2108" s="748">
        <f t="shared" si="271"/>
        <v>0</v>
      </c>
      <c r="G2108" s="1205"/>
      <c r="H2108" s="1055"/>
      <c r="I2108" s="1055"/>
      <c r="J2108" s="1055"/>
      <c r="K2108" s="1205"/>
      <c r="L2108" s="1055"/>
      <c r="M2108" s="1205"/>
      <c r="N2108" s="1054"/>
      <c r="O2108" s="1207"/>
      <c r="Q2108" s="1207"/>
    </row>
    <row r="2109" spans="3:17" s="700" customFormat="1" ht="70.5" hidden="1" customHeight="1">
      <c r="C2109" s="701"/>
      <c r="D2109" s="811"/>
      <c r="E2109" s="1276">
        <f>[11]building!Y2440</f>
        <v>0</v>
      </c>
      <c r="F2109" s="748">
        <f t="shared" si="271"/>
        <v>0</v>
      </c>
      <c r="G2109" s="1205"/>
      <c r="H2109" s="1055"/>
      <c r="I2109" s="1055"/>
      <c r="J2109" s="1055"/>
      <c r="K2109" s="1205"/>
      <c r="L2109" s="1055"/>
      <c r="M2109" s="1205"/>
      <c r="N2109" s="1054"/>
      <c r="O2109" s="1207"/>
      <c r="Q2109" s="1207"/>
    </row>
    <row r="2110" spans="3:17" s="700" customFormat="1" ht="70.5" hidden="1" customHeight="1">
      <c r="C2110" s="701"/>
      <c r="D2110" s="811"/>
      <c r="E2110" s="1276">
        <f>[11]building!Y2441</f>
        <v>0</v>
      </c>
      <c r="F2110" s="748">
        <f t="shared" si="271"/>
        <v>0</v>
      </c>
      <c r="G2110" s="1205"/>
      <c r="H2110" s="1055"/>
      <c r="I2110" s="1055"/>
      <c r="J2110" s="1055"/>
      <c r="K2110" s="1205"/>
      <c r="L2110" s="1055"/>
      <c r="M2110" s="1205"/>
      <c r="N2110" s="1054"/>
      <c r="O2110" s="1207"/>
      <c r="Q2110" s="1207"/>
    </row>
    <row r="2111" spans="3:17" s="700" customFormat="1" ht="70.5" hidden="1" customHeight="1">
      <c r="C2111" s="701"/>
      <c r="D2111" s="811"/>
      <c r="E2111" s="1276">
        <f>[11]building!Y2442</f>
        <v>0</v>
      </c>
      <c r="F2111" s="748">
        <f t="shared" si="271"/>
        <v>0</v>
      </c>
      <c r="G2111" s="1205"/>
      <c r="H2111" s="1055"/>
      <c r="I2111" s="1055"/>
      <c r="J2111" s="1055"/>
      <c r="K2111" s="1205"/>
      <c r="L2111" s="1055"/>
      <c r="M2111" s="1205"/>
      <c r="N2111" s="1054"/>
      <c r="O2111" s="1207"/>
      <c r="Q2111" s="1207"/>
    </row>
    <row r="2112" spans="3:17" s="700" customFormat="1" ht="70.5" hidden="1" customHeight="1">
      <c r="C2112" s="701"/>
      <c r="D2112" s="811"/>
      <c r="E2112" s="1276">
        <f>[11]building!Y2443</f>
        <v>0</v>
      </c>
      <c r="F2112" s="748">
        <f t="shared" ref="F2112:F2175" si="272">E2112*C2112</f>
        <v>0</v>
      </c>
      <c r="G2112" s="1205"/>
      <c r="H2112" s="1055"/>
      <c r="I2112" s="1055"/>
      <c r="J2112" s="1055"/>
      <c r="K2112" s="1205"/>
      <c r="L2112" s="1055"/>
      <c r="M2112" s="1205"/>
      <c r="N2112" s="1054"/>
      <c r="O2112" s="1207"/>
      <c r="Q2112" s="1207"/>
    </row>
    <row r="2113" spans="3:17" s="700" customFormat="1" ht="70.5" hidden="1" customHeight="1">
      <c r="C2113" s="701"/>
      <c r="D2113" s="811"/>
      <c r="E2113" s="1276">
        <f>[11]building!Y2444</f>
        <v>0</v>
      </c>
      <c r="F2113" s="748">
        <f t="shared" si="272"/>
        <v>0</v>
      </c>
      <c r="G2113" s="1205"/>
      <c r="H2113" s="1055"/>
      <c r="I2113" s="1055"/>
      <c r="J2113" s="1055"/>
      <c r="K2113" s="1205"/>
      <c r="L2113" s="1055"/>
      <c r="M2113" s="1205"/>
      <c r="N2113" s="1054"/>
      <c r="O2113" s="1207"/>
      <c r="Q2113" s="1207"/>
    </row>
    <row r="2114" spans="3:17" s="700" customFormat="1" ht="70.5" hidden="1" customHeight="1">
      <c r="C2114" s="701"/>
      <c r="D2114" s="811"/>
      <c r="E2114" s="1276">
        <f>[11]building!Y2445</f>
        <v>0</v>
      </c>
      <c r="F2114" s="748">
        <f t="shared" si="272"/>
        <v>0</v>
      </c>
      <c r="G2114" s="1205"/>
      <c r="H2114" s="1055"/>
      <c r="I2114" s="1055"/>
      <c r="J2114" s="1055"/>
      <c r="K2114" s="1205"/>
      <c r="L2114" s="1055"/>
      <c r="M2114" s="1205"/>
      <c r="N2114" s="1054"/>
      <c r="O2114" s="1207"/>
      <c r="Q2114" s="1207"/>
    </row>
    <row r="2115" spans="3:17" s="700" customFormat="1" ht="70.5" hidden="1" customHeight="1">
      <c r="C2115" s="701"/>
      <c r="D2115" s="811"/>
      <c r="E2115" s="1276">
        <f>[11]building!Y2446</f>
        <v>0</v>
      </c>
      <c r="F2115" s="748">
        <f t="shared" si="272"/>
        <v>0</v>
      </c>
      <c r="G2115" s="1205"/>
      <c r="H2115" s="1055"/>
      <c r="I2115" s="1055"/>
      <c r="J2115" s="1055"/>
      <c r="K2115" s="1205"/>
      <c r="L2115" s="1055"/>
      <c r="M2115" s="1205"/>
      <c r="N2115" s="1054"/>
      <c r="O2115" s="1207"/>
      <c r="Q2115" s="1207"/>
    </row>
    <row r="2116" spans="3:17" s="700" customFormat="1" ht="70.5" hidden="1" customHeight="1">
      <c r="C2116" s="701"/>
      <c r="D2116" s="811"/>
      <c r="E2116" s="1276">
        <f>[11]building!Y2447</f>
        <v>0</v>
      </c>
      <c r="F2116" s="748">
        <f t="shared" si="272"/>
        <v>0</v>
      </c>
      <c r="G2116" s="1205"/>
      <c r="H2116" s="1055"/>
      <c r="I2116" s="1055"/>
      <c r="J2116" s="1055"/>
      <c r="K2116" s="1205"/>
      <c r="L2116" s="1055"/>
      <c r="M2116" s="1205"/>
      <c r="N2116" s="1054"/>
      <c r="O2116" s="1207"/>
      <c r="Q2116" s="1207"/>
    </row>
    <row r="2117" spans="3:17" s="700" customFormat="1" ht="70.5" hidden="1" customHeight="1">
      <c r="C2117" s="701"/>
      <c r="D2117" s="811"/>
      <c r="E2117" s="1276">
        <f>[11]building!Y2448</f>
        <v>0</v>
      </c>
      <c r="F2117" s="748">
        <f t="shared" si="272"/>
        <v>0</v>
      </c>
      <c r="G2117" s="1205"/>
      <c r="H2117" s="1055"/>
      <c r="I2117" s="1055"/>
      <c r="J2117" s="1055"/>
      <c r="K2117" s="1205"/>
      <c r="L2117" s="1055"/>
      <c r="M2117" s="1205"/>
      <c r="N2117" s="1054"/>
      <c r="O2117" s="1207"/>
      <c r="Q2117" s="1207"/>
    </row>
    <row r="2118" spans="3:17" s="700" customFormat="1" ht="70.5" hidden="1" customHeight="1">
      <c r="C2118" s="701"/>
      <c r="D2118" s="811"/>
      <c r="E2118" s="1276">
        <f>[11]building!Y2449</f>
        <v>0</v>
      </c>
      <c r="F2118" s="748">
        <f t="shared" si="272"/>
        <v>0</v>
      </c>
      <c r="G2118" s="1205"/>
      <c r="H2118" s="1055"/>
      <c r="I2118" s="1055"/>
      <c r="J2118" s="1055"/>
      <c r="K2118" s="1205"/>
      <c r="L2118" s="1055"/>
      <c r="M2118" s="1205"/>
      <c r="N2118" s="1054"/>
      <c r="O2118" s="1207"/>
      <c r="Q2118" s="1207"/>
    </row>
    <row r="2119" spans="3:17" s="700" customFormat="1" ht="70.5" hidden="1" customHeight="1">
      <c r="C2119" s="701"/>
      <c r="D2119" s="811"/>
      <c r="E2119" s="1276">
        <f>[11]building!Y2450</f>
        <v>0</v>
      </c>
      <c r="F2119" s="748">
        <f t="shared" si="272"/>
        <v>0</v>
      </c>
      <c r="G2119" s="1205"/>
      <c r="H2119" s="1055"/>
      <c r="I2119" s="1055"/>
      <c r="J2119" s="1055"/>
      <c r="K2119" s="1205"/>
      <c r="L2119" s="1055"/>
      <c r="M2119" s="1205"/>
      <c r="N2119" s="1054"/>
      <c r="O2119" s="1207"/>
      <c r="Q2119" s="1207"/>
    </row>
    <row r="2120" spans="3:17" s="700" customFormat="1" ht="70.5" hidden="1" customHeight="1">
      <c r="C2120" s="701"/>
      <c r="D2120" s="811"/>
      <c r="E2120" s="1276">
        <f>[11]building!Y2451</f>
        <v>0</v>
      </c>
      <c r="F2120" s="748">
        <f t="shared" si="272"/>
        <v>0</v>
      </c>
      <c r="G2120" s="1205"/>
      <c r="H2120" s="1055"/>
      <c r="I2120" s="1055"/>
      <c r="J2120" s="1055"/>
      <c r="K2120" s="1205"/>
      <c r="L2120" s="1055"/>
      <c r="M2120" s="1205"/>
      <c r="N2120" s="1054"/>
      <c r="O2120" s="1207"/>
      <c r="Q2120" s="1207"/>
    </row>
    <row r="2121" spans="3:17" s="700" customFormat="1" ht="70.5" hidden="1" customHeight="1">
      <c r="C2121" s="701"/>
      <c r="D2121" s="811"/>
      <c r="E2121" s="1276">
        <f>[11]building!Y2452</f>
        <v>0</v>
      </c>
      <c r="F2121" s="748">
        <f t="shared" si="272"/>
        <v>0</v>
      </c>
      <c r="G2121" s="1205"/>
      <c r="H2121" s="1055"/>
      <c r="I2121" s="1055"/>
      <c r="J2121" s="1055"/>
      <c r="K2121" s="1205"/>
      <c r="L2121" s="1055"/>
      <c r="M2121" s="1205"/>
      <c r="N2121" s="1054"/>
      <c r="O2121" s="1207"/>
      <c r="Q2121" s="1207"/>
    </row>
    <row r="2122" spans="3:17" s="700" customFormat="1" ht="70.5" hidden="1" customHeight="1">
      <c r="C2122" s="701"/>
      <c r="D2122" s="811"/>
      <c r="E2122" s="1276">
        <f>[11]building!Y2453</f>
        <v>0</v>
      </c>
      <c r="F2122" s="748">
        <f t="shared" si="272"/>
        <v>0</v>
      </c>
      <c r="G2122" s="1205"/>
      <c r="H2122" s="1055"/>
      <c r="I2122" s="1055"/>
      <c r="J2122" s="1055"/>
      <c r="K2122" s="1205"/>
      <c r="L2122" s="1055"/>
      <c r="M2122" s="1205"/>
      <c r="N2122" s="1054"/>
      <c r="O2122" s="1207"/>
      <c r="Q2122" s="1207"/>
    </row>
    <row r="2123" spans="3:17" s="700" customFormat="1" ht="70.5" hidden="1" customHeight="1">
      <c r="C2123" s="701"/>
      <c r="D2123" s="811"/>
      <c r="E2123" s="1276">
        <f>[11]building!Y2454</f>
        <v>0</v>
      </c>
      <c r="F2123" s="748">
        <f t="shared" si="272"/>
        <v>0</v>
      </c>
      <c r="G2123" s="1205"/>
      <c r="H2123" s="1055"/>
      <c r="I2123" s="1055"/>
      <c r="J2123" s="1055"/>
      <c r="K2123" s="1205"/>
      <c r="L2123" s="1055"/>
      <c r="M2123" s="1205"/>
      <c r="N2123" s="1054"/>
      <c r="O2123" s="1207"/>
      <c r="Q2123" s="1207"/>
    </row>
    <row r="2124" spans="3:17" s="700" customFormat="1" ht="70.5" hidden="1" customHeight="1">
      <c r="C2124" s="701"/>
      <c r="D2124" s="811"/>
      <c r="E2124" s="1276">
        <f>[11]building!Y2455</f>
        <v>0</v>
      </c>
      <c r="F2124" s="748">
        <f t="shared" si="272"/>
        <v>0</v>
      </c>
      <c r="G2124" s="1205"/>
      <c r="H2124" s="1055"/>
      <c r="I2124" s="1055"/>
      <c r="J2124" s="1055"/>
      <c r="K2124" s="1205"/>
      <c r="L2124" s="1055"/>
      <c r="M2124" s="1205"/>
      <c r="N2124" s="1054"/>
      <c r="O2124" s="1207"/>
      <c r="Q2124" s="1207"/>
    </row>
    <row r="2125" spans="3:17" s="700" customFormat="1" ht="70.5" hidden="1" customHeight="1">
      <c r="C2125" s="701"/>
      <c r="D2125" s="811"/>
      <c r="E2125" s="1276">
        <f>[11]building!Y2456</f>
        <v>0</v>
      </c>
      <c r="F2125" s="748">
        <f t="shared" si="272"/>
        <v>0</v>
      </c>
      <c r="G2125" s="1205"/>
      <c r="H2125" s="1055"/>
      <c r="I2125" s="1055"/>
      <c r="J2125" s="1055"/>
      <c r="K2125" s="1205"/>
      <c r="L2125" s="1055"/>
      <c r="M2125" s="1205"/>
      <c r="N2125" s="1054"/>
      <c r="O2125" s="1207"/>
      <c r="Q2125" s="1207"/>
    </row>
    <row r="2126" spans="3:17" s="700" customFormat="1" ht="70.5" hidden="1" customHeight="1">
      <c r="C2126" s="701"/>
      <c r="D2126" s="811"/>
      <c r="E2126" s="1276">
        <f>[11]building!Y2457</f>
        <v>0</v>
      </c>
      <c r="F2126" s="748">
        <f t="shared" si="272"/>
        <v>0</v>
      </c>
      <c r="G2126" s="1205"/>
      <c r="H2126" s="1055"/>
      <c r="I2126" s="1055"/>
      <c r="J2126" s="1055"/>
      <c r="K2126" s="1205"/>
      <c r="L2126" s="1055"/>
      <c r="M2126" s="1205"/>
      <c r="N2126" s="1054"/>
      <c r="O2126" s="1207"/>
      <c r="Q2126" s="1207"/>
    </row>
    <row r="2127" spans="3:17" s="700" customFormat="1" ht="70.5" hidden="1" customHeight="1">
      <c r="C2127" s="701"/>
      <c r="D2127" s="811"/>
      <c r="E2127" s="1276">
        <f>[11]building!Y2458</f>
        <v>0</v>
      </c>
      <c r="F2127" s="748">
        <f t="shared" si="272"/>
        <v>0</v>
      </c>
      <c r="G2127" s="1205"/>
      <c r="H2127" s="1055"/>
      <c r="I2127" s="1055"/>
      <c r="J2127" s="1055"/>
      <c r="K2127" s="1205"/>
      <c r="L2127" s="1055"/>
      <c r="M2127" s="1205"/>
      <c r="N2127" s="1054"/>
      <c r="O2127" s="1207"/>
      <c r="Q2127" s="1207"/>
    </row>
    <row r="2128" spans="3:17" s="700" customFormat="1" ht="70.5" hidden="1" customHeight="1">
      <c r="C2128" s="701"/>
      <c r="D2128" s="811"/>
      <c r="E2128" s="1276">
        <f>[11]building!Y2459</f>
        <v>0</v>
      </c>
      <c r="F2128" s="748">
        <f t="shared" si="272"/>
        <v>0</v>
      </c>
      <c r="G2128" s="1205"/>
      <c r="H2128" s="1055"/>
      <c r="I2128" s="1055"/>
      <c r="J2128" s="1055"/>
      <c r="K2128" s="1205"/>
      <c r="L2128" s="1055"/>
      <c r="M2128" s="1205"/>
      <c r="N2128" s="1054"/>
      <c r="O2128" s="1207"/>
      <c r="Q2128" s="1207"/>
    </row>
    <row r="2129" spans="3:17" s="700" customFormat="1" ht="70.5" hidden="1" customHeight="1">
      <c r="C2129" s="701"/>
      <c r="D2129" s="811"/>
      <c r="E2129" s="1276">
        <f>[11]building!Y2460</f>
        <v>0</v>
      </c>
      <c r="F2129" s="748">
        <f t="shared" si="272"/>
        <v>0</v>
      </c>
      <c r="G2129" s="1205"/>
      <c r="H2129" s="1055"/>
      <c r="I2129" s="1055"/>
      <c r="J2129" s="1055"/>
      <c r="K2129" s="1205"/>
      <c r="L2129" s="1055"/>
      <c r="M2129" s="1205"/>
      <c r="N2129" s="1054"/>
      <c r="O2129" s="1207"/>
      <c r="Q2129" s="1207"/>
    </row>
    <row r="2130" spans="3:17" s="700" customFormat="1" ht="70.5" hidden="1" customHeight="1">
      <c r="C2130" s="701"/>
      <c r="D2130" s="811"/>
      <c r="E2130" s="1276">
        <f>[11]building!Y2461</f>
        <v>0</v>
      </c>
      <c r="F2130" s="748">
        <f t="shared" si="272"/>
        <v>0</v>
      </c>
      <c r="G2130" s="1205"/>
      <c r="H2130" s="1055"/>
      <c r="I2130" s="1055"/>
      <c r="J2130" s="1055"/>
      <c r="K2130" s="1205"/>
      <c r="L2130" s="1055"/>
      <c r="M2130" s="1205"/>
      <c r="N2130" s="1054"/>
      <c r="O2130" s="1207"/>
      <c r="Q2130" s="1207"/>
    </row>
    <row r="2131" spans="3:17" s="700" customFormat="1" ht="70.5" hidden="1" customHeight="1">
      <c r="C2131" s="701"/>
      <c r="D2131" s="811"/>
      <c r="E2131" s="1276">
        <f>[11]building!Y2462</f>
        <v>0</v>
      </c>
      <c r="F2131" s="748">
        <f t="shared" si="272"/>
        <v>0</v>
      </c>
      <c r="G2131" s="1205"/>
      <c r="H2131" s="1055"/>
      <c r="I2131" s="1055"/>
      <c r="J2131" s="1055"/>
      <c r="K2131" s="1205"/>
      <c r="L2131" s="1055"/>
      <c r="M2131" s="1205"/>
      <c r="N2131" s="1054"/>
      <c r="O2131" s="1207"/>
      <c r="Q2131" s="1207"/>
    </row>
    <row r="2132" spans="3:17" s="700" customFormat="1" ht="70.5" hidden="1" customHeight="1">
      <c r="C2132" s="701"/>
      <c r="D2132" s="811"/>
      <c r="E2132" s="1276">
        <f>[11]building!Y2463</f>
        <v>0</v>
      </c>
      <c r="F2132" s="748">
        <f t="shared" si="272"/>
        <v>0</v>
      </c>
      <c r="G2132" s="1205"/>
      <c r="H2132" s="1055"/>
      <c r="I2132" s="1055"/>
      <c r="J2132" s="1055"/>
      <c r="K2132" s="1205"/>
      <c r="L2132" s="1055"/>
      <c r="M2132" s="1205"/>
      <c r="N2132" s="1054"/>
      <c r="O2132" s="1207"/>
      <c r="Q2132" s="1207"/>
    </row>
    <row r="2133" spans="3:17" s="700" customFormat="1" ht="70.5" hidden="1" customHeight="1">
      <c r="C2133" s="701"/>
      <c r="D2133" s="811"/>
      <c r="E2133" s="1276">
        <f>[11]building!Y2464</f>
        <v>0</v>
      </c>
      <c r="F2133" s="748">
        <f t="shared" si="272"/>
        <v>0</v>
      </c>
      <c r="G2133" s="1205"/>
      <c r="H2133" s="1055"/>
      <c r="I2133" s="1055"/>
      <c r="J2133" s="1055"/>
      <c r="K2133" s="1205"/>
      <c r="L2133" s="1055"/>
      <c r="M2133" s="1205"/>
      <c r="N2133" s="1054"/>
      <c r="O2133" s="1207"/>
      <c r="Q2133" s="1207"/>
    </row>
    <row r="2134" spans="3:17" s="700" customFormat="1" ht="70.5" hidden="1" customHeight="1">
      <c r="C2134" s="701"/>
      <c r="D2134" s="811"/>
      <c r="E2134" s="1276">
        <f>[11]building!Y2465</f>
        <v>0</v>
      </c>
      <c r="F2134" s="748">
        <f t="shared" si="272"/>
        <v>0</v>
      </c>
      <c r="G2134" s="1205"/>
      <c r="H2134" s="1055"/>
      <c r="I2134" s="1055"/>
      <c r="J2134" s="1055"/>
      <c r="K2134" s="1205"/>
      <c r="L2134" s="1055"/>
      <c r="M2134" s="1205"/>
      <c r="N2134" s="1054"/>
      <c r="O2134" s="1207"/>
      <c r="Q2134" s="1207"/>
    </row>
    <row r="2135" spans="3:17" s="700" customFormat="1" ht="70.5" hidden="1" customHeight="1">
      <c r="C2135" s="701"/>
      <c r="D2135" s="811"/>
      <c r="E2135" s="1276">
        <f>[11]building!Y2466</f>
        <v>0</v>
      </c>
      <c r="F2135" s="748">
        <f t="shared" si="272"/>
        <v>0</v>
      </c>
      <c r="G2135" s="1205"/>
      <c r="H2135" s="1055"/>
      <c r="I2135" s="1055"/>
      <c r="J2135" s="1055"/>
      <c r="K2135" s="1205"/>
      <c r="L2135" s="1055"/>
      <c r="M2135" s="1205"/>
      <c r="N2135" s="1054"/>
      <c r="O2135" s="1207"/>
      <c r="Q2135" s="1207"/>
    </row>
    <row r="2136" spans="3:17" s="700" customFormat="1" ht="70.5" hidden="1" customHeight="1">
      <c r="C2136" s="701"/>
      <c r="D2136" s="811"/>
      <c r="E2136" s="1276">
        <f>[11]building!Y2467</f>
        <v>0</v>
      </c>
      <c r="F2136" s="748">
        <f t="shared" si="272"/>
        <v>0</v>
      </c>
      <c r="G2136" s="1205"/>
      <c r="H2136" s="1055"/>
      <c r="I2136" s="1055"/>
      <c r="J2136" s="1055"/>
      <c r="K2136" s="1205"/>
      <c r="L2136" s="1055"/>
      <c r="M2136" s="1205"/>
      <c r="N2136" s="1054"/>
      <c r="O2136" s="1207"/>
      <c r="Q2136" s="1207"/>
    </row>
    <row r="2137" spans="3:17" s="700" customFormat="1" ht="70.5" hidden="1" customHeight="1">
      <c r="C2137" s="701"/>
      <c r="D2137" s="811"/>
      <c r="E2137" s="1276">
        <f>[11]building!Y2468</f>
        <v>0</v>
      </c>
      <c r="F2137" s="748">
        <f t="shared" si="272"/>
        <v>0</v>
      </c>
      <c r="G2137" s="1205"/>
      <c r="H2137" s="1055"/>
      <c r="I2137" s="1055"/>
      <c r="J2137" s="1055"/>
      <c r="K2137" s="1205"/>
      <c r="L2137" s="1055"/>
      <c r="M2137" s="1205"/>
      <c r="N2137" s="1054"/>
      <c r="O2137" s="1207"/>
      <c r="Q2137" s="1207"/>
    </row>
    <row r="2138" spans="3:17" s="700" customFormat="1" ht="70.5" hidden="1" customHeight="1">
      <c r="C2138" s="701"/>
      <c r="D2138" s="811"/>
      <c r="E2138" s="1276">
        <f>[11]building!Y2469</f>
        <v>0</v>
      </c>
      <c r="F2138" s="748">
        <f t="shared" si="272"/>
        <v>0</v>
      </c>
      <c r="G2138" s="1205"/>
      <c r="H2138" s="1055"/>
      <c r="I2138" s="1055"/>
      <c r="J2138" s="1055"/>
      <c r="K2138" s="1205"/>
      <c r="L2138" s="1055"/>
      <c r="M2138" s="1205"/>
      <c r="N2138" s="1054"/>
      <c r="O2138" s="1207"/>
      <c r="Q2138" s="1207"/>
    </row>
    <row r="2139" spans="3:17" s="700" customFormat="1" ht="70.5" hidden="1" customHeight="1">
      <c r="C2139" s="701"/>
      <c r="D2139" s="811"/>
      <c r="E2139" s="1276">
        <f>[11]building!Y2470</f>
        <v>0</v>
      </c>
      <c r="F2139" s="748">
        <f t="shared" si="272"/>
        <v>0</v>
      </c>
      <c r="G2139" s="1205"/>
      <c r="H2139" s="1055"/>
      <c r="I2139" s="1055"/>
      <c r="J2139" s="1055"/>
      <c r="K2139" s="1205"/>
      <c r="L2139" s="1055"/>
      <c r="M2139" s="1205"/>
      <c r="N2139" s="1054"/>
      <c r="O2139" s="1207"/>
      <c r="Q2139" s="1207"/>
    </row>
    <row r="2140" spans="3:17" s="700" customFormat="1" ht="70.5" hidden="1" customHeight="1">
      <c r="C2140" s="701"/>
      <c r="D2140" s="811"/>
      <c r="E2140" s="1276">
        <f>[11]building!Y2471</f>
        <v>0</v>
      </c>
      <c r="F2140" s="748">
        <f t="shared" si="272"/>
        <v>0</v>
      </c>
      <c r="G2140" s="1205"/>
      <c r="H2140" s="1055"/>
      <c r="I2140" s="1055"/>
      <c r="J2140" s="1055"/>
      <c r="K2140" s="1205"/>
      <c r="L2140" s="1055"/>
      <c r="M2140" s="1205"/>
      <c r="N2140" s="1054"/>
      <c r="O2140" s="1207"/>
      <c r="Q2140" s="1207"/>
    </row>
    <row r="2141" spans="3:17" s="700" customFormat="1" ht="70.5" hidden="1" customHeight="1">
      <c r="C2141" s="701"/>
      <c r="D2141" s="811"/>
      <c r="E2141" s="1276">
        <f>[11]building!Y2472</f>
        <v>0</v>
      </c>
      <c r="F2141" s="748">
        <f t="shared" si="272"/>
        <v>0</v>
      </c>
      <c r="G2141" s="1205"/>
      <c r="H2141" s="1055"/>
      <c r="I2141" s="1055"/>
      <c r="J2141" s="1055"/>
      <c r="K2141" s="1205"/>
      <c r="L2141" s="1055"/>
      <c r="M2141" s="1205"/>
      <c r="N2141" s="1054"/>
      <c r="O2141" s="1207"/>
      <c r="Q2141" s="1207"/>
    </row>
    <row r="2142" spans="3:17" s="700" customFormat="1" ht="70.5" hidden="1" customHeight="1">
      <c r="C2142" s="701"/>
      <c r="D2142" s="811"/>
      <c r="E2142" s="1276">
        <f>[11]building!Y2473</f>
        <v>0</v>
      </c>
      <c r="F2142" s="748">
        <f t="shared" si="272"/>
        <v>0</v>
      </c>
      <c r="G2142" s="1205"/>
      <c r="H2142" s="1055"/>
      <c r="I2142" s="1055"/>
      <c r="J2142" s="1055"/>
      <c r="K2142" s="1205"/>
      <c r="L2142" s="1055"/>
      <c r="M2142" s="1205"/>
      <c r="N2142" s="1054"/>
      <c r="O2142" s="1207"/>
      <c r="Q2142" s="1207"/>
    </row>
    <row r="2143" spans="3:17" s="700" customFormat="1" ht="70.5" hidden="1" customHeight="1">
      <c r="C2143" s="701"/>
      <c r="D2143" s="811"/>
      <c r="E2143" s="1276">
        <f>[11]building!Y2474</f>
        <v>0</v>
      </c>
      <c r="F2143" s="748">
        <f t="shared" si="272"/>
        <v>0</v>
      </c>
      <c r="G2143" s="1205"/>
      <c r="H2143" s="1055"/>
      <c r="I2143" s="1055"/>
      <c r="J2143" s="1055"/>
      <c r="K2143" s="1205"/>
      <c r="L2143" s="1055"/>
      <c r="M2143" s="1205"/>
      <c r="N2143" s="1054"/>
      <c r="O2143" s="1207"/>
      <c r="Q2143" s="1207"/>
    </row>
    <row r="2144" spans="3:17" s="700" customFormat="1" ht="70.5" hidden="1" customHeight="1">
      <c r="C2144" s="701"/>
      <c r="D2144" s="811"/>
      <c r="E2144" s="1276">
        <f>[11]building!Y2475</f>
        <v>0</v>
      </c>
      <c r="F2144" s="748">
        <f t="shared" si="272"/>
        <v>0</v>
      </c>
      <c r="G2144" s="1205"/>
      <c r="H2144" s="1055"/>
      <c r="I2144" s="1055"/>
      <c r="J2144" s="1055"/>
      <c r="K2144" s="1205"/>
      <c r="L2144" s="1055"/>
      <c r="M2144" s="1205"/>
      <c r="N2144" s="1054"/>
      <c r="O2144" s="1207"/>
      <c r="Q2144" s="1207"/>
    </row>
    <row r="2145" spans="3:17" s="700" customFormat="1" ht="70.5" hidden="1" customHeight="1">
      <c r="C2145" s="701"/>
      <c r="D2145" s="811"/>
      <c r="E2145" s="1276">
        <f>[11]building!Y2476</f>
        <v>0</v>
      </c>
      <c r="F2145" s="748">
        <f t="shared" si="272"/>
        <v>0</v>
      </c>
      <c r="G2145" s="1205"/>
      <c r="H2145" s="1055"/>
      <c r="I2145" s="1055"/>
      <c r="J2145" s="1055"/>
      <c r="K2145" s="1205"/>
      <c r="L2145" s="1055"/>
      <c r="M2145" s="1205"/>
      <c r="N2145" s="1054"/>
      <c r="O2145" s="1207"/>
      <c r="Q2145" s="1207"/>
    </row>
    <row r="2146" spans="3:17" s="700" customFormat="1" ht="70.5" hidden="1" customHeight="1">
      <c r="C2146" s="701"/>
      <c r="D2146" s="811"/>
      <c r="E2146" s="1276">
        <f>[11]building!Y2477</f>
        <v>0</v>
      </c>
      <c r="F2146" s="748">
        <f t="shared" si="272"/>
        <v>0</v>
      </c>
      <c r="G2146" s="1205"/>
      <c r="H2146" s="1055"/>
      <c r="I2146" s="1055"/>
      <c r="J2146" s="1055"/>
      <c r="K2146" s="1205"/>
      <c r="L2146" s="1055"/>
      <c r="M2146" s="1205"/>
      <c r="N2146" s="1054"/>
      <c r="O2146" s="1207"/>
      <c r="Q2146" s="1207"/>
    </row>
    <row r="2147" spans="3:17" s="700" customFormat="1" ht="70.5" hidden="1" customHeight="1">
      <c r="C2147" s="701"/>
      <c r="D2147" s="811"/>
      <c r="E2147" s="1276">
        <f>[11]building!Y2478</f>
        <v>0</v>
      </c>
      <c r="F2147" s="748">
        <f t="shared" si="272"/>
        <v>0</v>
      </c>
      <c r="G2147" s="1205"/>
      <c r="H2147" s="1055"/>
      <c r="I2147" s="1055"/>
      <c r="J2147" s="1055"/>
      <c r="K2147" s="1205"/>
      <c r="L2147" s="1055"/>
      <c r="M2147" s="1205"/>
      <c r="N2147" s="1054"/>
      <c r="O2147" s="1207"/>
      <c r="Q2147" s="1207"/>
    </row>
    <row r="2148" spans="3:17" s="700" customFormat="1" ht="70.5" hidden="1" customHeight="1">
      <c r="C2148" s="701"/>
      <c r="D2148" s="811"/>
      <c r="E2148" s="1276">
        <f>[11]building!Y2479</f>
        <v>0</v>
      </c>
      <c r="F2148" s="748">
        <f t="shared" si="272"/>
        <v>0</v>
      </c>
      <c r="G2148" s="1205"/>
      <c r="H2148" s="1055"/>
      <c r="I2148" s="1055"/>
      <c r="J2148" s="1055"/>
      <c r="K2148" s="1205"/>
      <c r="L2148" s="1055"/>
      <c r="M2148" s="1205"/>
      <c r="N2148" s="1054"/>
      <c r="O2148" s="1207"/>
      <c r="Q2148" s="1207"/>
    </row>
    <row r="2149" spans="3:17" s="700" customFormat="1" ht="70.5" hidden="1" customHeight="1">
      <c r="C2149" s="701"/>
      <c r="D2149" s="811"/>
      <c r="E2149" s="1276">
        <f>[11]building!Y2480</f>
        <v>0</v>
      </c>
      <c r="F2149" s="748">
        <f t="shared" si="272"/>
        <v>0</v>
      </c>
      <c r="G2149" s="1205"/>
      <c r="H2149" s="1055"/>
      <c r="I2149" s="1055"/>
      <c r="J2149" s="1055"/>
      <c r="K2149" s="1205"/>
      <c r="L2149" s="1055"/>
      <c r="M2149" s="1205"/>
      <c r="N2149" s="1054"/>
      <c r="O2149" s="1207"/>
      <c r="Q2149" s="1207"/>
    </row>
    <row r="2150" spans="3:17" s="700" customFormat="1" ht="70.5" hidden="1" customHeight="1">
      <c r="C2150" s="701"/>
      <c r="D2150" s="811"/>
      <c r="E2150" s="1276">
        <f>[11]building!Y2481</f>
        <v>0</v>
      </c>
      <c r="F2150" s="748">
        <f t="shared" si="272"/>
        <v>0</v>
      </c>
      <c r="G2150" s="1205"/>
      <c r="H2150" s="1055"/>
      <c r="I2150" s="1055"/>
      <c r="J2150" s="1055"/>
      <c r="K2150" s="1205"/>
      <c r="L2150" s="1055"/>
      <c r="M2150" s="1205"/>
      <c r="N2150" s="1054"/>
      <c r="O2150" s="1207"/>
      <c r="Q2150" s="1207"/>
    </row>
    <row r="2151" spans="3:17" s="700" customFormat="1" ht="70.5" hidden="1" customHeight="1">
      <c r="C2151" s="701"/>
      <c r="D2151" s="811"/>
      <c r="E2151" s="1276">
        <f>[11]building!Y2482</f>
        <v>0</v>
      </c>
      <c r="F2151" s="748">
        <f t="shared" si="272"/>
        <v>0</v>
      </c>
      <c r="G2151" s="1205"/>
      <c r="H2151" s="1055"/>
      <c r="I2151" s="1055"/>
      <c r="J2151" s="1055"/>
      <c r="K2151" s="1205"/>
      <c r="L2151" s="1055"/>
      <c r="M2151" s="1205"/>
      <c r="N2151" s="1054"/>
      <c r="O2151" s="1207"/>
      <c r="Q2151" s="1207"/>
    </row>
    <row r="2152" spans="3:17" s="700" customFormat="1" ht="70.5" hidden="1" customHeight="1">
      <c r="C2152" s="701"/>
      <c r="D2152" s="811"/>
      <c r="E2152" s="1276">
        <f>[11]building!Y2483</f>
        <v>0</v>
      </c>
      <c r="F2152" s="748">
        <f t="shared" si="272"/>
        <v>0</v>
      </c>
      <c r="G2152" s="1205"/>
      <c r="H2152" s="1055"/>
      <c r="I2152" s="1055"/>
      <c r="J2152" s="1055"/>
      <c r="K2152" s="1205"/>
      <c r="L2152" s="1055"/>
      <c r="M2152" s="1205"/>
      <c r="N2152" s="1054"/>
      <c r="O2152" s="1207"/>
      <c r="Q2152" s="1207"/>
    </row>
    <row r="2153" spans="3:17" s="700" customFormat="1" ht="70.5" hidden="1" customHeight="1">
      <c r="C2153" s="701"/>
      <c r="D2153" s="811"/>
      <c r="E2153" s="1276">
        <f>[11]building!Y2484</f>
        <v>0</v>
      </c>
      <c r="F2153" s="748">
        <f t="shared" si="272"/>
        <v>0</v>
      </c>
      <c r="G2153" s="1205"/>
      <c r="H2153" s="1055"/>
      <c r="I2153" s="1055"/>
      <c r="J2153" s="1055"/>
      <c r="K2153" s="1205"/>
      <c r="L2153" s="1055"/>
      <c r="M2153" s="1205"/>
      <c r="N2153" s="1054"/>
      <c r="O2153" s="1207"/>
      <c r="Q2153" s="1207"/>
    </row>
    <row r="2154" spans="3:17" s="700" customFormat="1" ht="70.5" hidden="1" customHeight="1">
      <c r="C2154" s="701"/>
      <c r="D2154" s="811"/>
      <c r="E2154" s="1276">
        <f>[11]building!Y2485</f>
        <v>0</v>
      </c>
      <c r="F2154" s="748">
        <f t="shared" si="272"/>
        <v>0</v>
      </c>
      <c r="G2154" s="1205"/>
      <c r="H2154" s="1055"/>
      <c r="I2154" s="1055"/>
      <c r="J2154" s="1055"/>
      <c r="K2154" s="1205"/>
      <c r="L2154" s="1055"/>
      <c r="M2154" s="1205"/>
      <c r="N2154" s="1054"/>
      <c r="O2154" s="1207"/>
      <c r="Q2154" s="1207"/>
    </row>
    <row r="2155" spans="3:17" s="700" customFormat="1" ht="70.5" hidden="1" customHeight="1">
      <c r="C2155" s="701"/>
      <c r="D2155" s="811"/>
      <c r="E2155" s="1276">
        <f>[11]building!Y2486</f>
        <v>0</v>
      </c>
      <c r="F2155" s="748">
        <f t="shared" si="272"/>
        <v>0</v>
      </c>
      <c r="G2155" s="1205"/>
      <c r="H2155" s="1055"/>
      <c r="I2155" s="1055"/>
      <c r="J2155" s="1055"/>
      <c r="K2155" s="1205"/>
      <c r="L2155" s="1055"/>
      <c r="M2155" s="1205"/>
      <c r="N2155" s="1054"/>
      <c r="O2155" s="1207"/>
      <c r="Q2155" s="1207"/>
    </row>
    <row r="2156" spans="3:17" s="700" customFormat="1" ht="70.5" hidden="1" customHeight="1">
      <c r="C2156" s="701"/>
      <c r="D2156" s="811"/>
      <c r="E2156" s="1276">
        <f>[11]building!Y2487</f>
        <v>0</v>
      </c>
      <c r="F2156" s="748">
        <f t="shared" si="272"/>
        <v>0</v>
      </c>
      <c r="G2156" s="1205"/>
      <c r="H2156" s="1055"/>
      <c r="I2156" s="1055"/>
      <c r="J2156" s="1055"/>
      <c r="K2156" s="1205"/>
      <c r="L2156" s="1055"/>
      <c r="M2156" s="1205"/>
      <c r="N2156" s="1054"/>
      <c r="O2156" s="1207"/>
      <c r="Q2156" s="1207"/>
    </row>
    <row r="2157" spans="3:17" s="700" customFormat="1" ht="70.5" hidden="1" customHeight="1">
      <c r="C2157" s="701"/>
      <c r="D2157" s="811"/>
      <c r="E2157" s="1276">
        <f>[11]building!Y2488</f>
        <v>0</v>
      </c>
      <c r="F2157" s="748">
        <f t="shared" si="272"/>
        <v>0</v>
      </c>
      <c r="G2157" s="1205"/>
      <c r="H2157" s="1055"/>
      <c r="I2157" s="1055"/>
      <c r="J2157" s="1055"/>
      <c r="K2157" s="1205"/>
      <c r="L2157" s="1055"/>
      <c r="M2157" s="1205"/>
      <c r="N2157" s="1054"/>
      <c r="O2157" s="1207"/>
      <c r="Q2157" s="1207"/>
    </row>
    <row r="2158" spans="3:17" s="700" customFormat="1" ht="70.5" hidden="1" customHeight="1">
      <c r="C2158" s="701"/>
      <c r="D2158" s="811"/>
      <c r="E2158" s="1276">
        <f>[11]building!Y2489</f>
        <v>0</v>
      </c>
      <c r="F2158" s="748">
        <f t="shared" si="272"/>
        <v>0</v>
      </c>
      <c r="G2158" s="1205"/>
      <c r="H2158" s="1055"/>
      <c r="I2158" s="1055"/>
      <c r="J2158" s="1055"/>
      <c r="K2158" s="1205"/>
      <c r="L2158" s="1055"/>
      <c r="M2158" s="1205"/>
      <c r="N2158" s="1054"/>
      <c r="O2158" s="1207"/>
      <c r="Q2158" s="1207"/>
    </row>
    <row r="2159" spans="3:17" s="700" customFormat="1" ht="70.5" hidden="1" customHeight="1">
      <c r="C2159" s="701"/>
      <c r="D2159" s="811"/>
      <c r="E2159" s="1276">
        <f>[11]building!Y2490</f>
        <v>0</v>
      </c>
      <c r="F2159" s="748">
        <f t="shared" si="272"/>
        <v>0</v>
      </c>
      <c r="G2159" s="1205"/>
      <c r="H2159" s="1055"/>
      <c r="I2159" s="1055"/>
      <c r="J2159" s="1055"/>
      <c r="K2159" s="1205"/>
      <c r="L2159" s="1055"/>
      <c r="M2159" s="1205"/>
      <c r="N2159" s="1054"/>
      <c r="O2159" s="1207"/>
      <c r="Q2159" s="1207"/>
    </row>
    <row r="2160" spans="3:17" s="700" customFormat="1" ht="70.5" hidden="1" customHeight="1">
      <c r="C2160" s="701"/>
      <c r="D2160" s="811"/>
      <c r="E2160" s="1276">
        <f>[11]building!Y2491</f>
        <v>0</v>
      </c>
      <c r="F2160" s="748">
        <f t="shared" si="272"/>
        <v>0</v>
      </c>
      <c r="G2160" s="1205"/>
      <c r="H2160" s="1055"/>
      <c r="I2160" s="1055"/>
      <c r="J2160" s="1055"/>
      <c r="K2160" s="1205"/>
      <c r="L2160" s="1055"/>
      <c r="M2160" s="1205"/>
      <c r="N2160" s="1054"/>
      <c r="O2160" s="1207"/>
      <c r="Q2160" s="1207"/>
    </row>
    <row r="2161" spans="3:17" s="700" customFormat="1" ht="70.5" hidden="1" customHeight="1">
      <c r="C2161" s="701"/>
      <c r="D2161" s="811"/>
      <c r="E2161" s="1276">
        <f>[11]building!Y2492</f>
        <v>0</v>
      </c>
      <c r="F2161" s="748">
        <f t="shared" si="272"/>
        <v>0</v>
      </c>
      <c r="G2161" s="1205"/>
      <c r="H2161" s="1055"/>
      <c r="I2161" s="1055"/>
      <c r="J2161" s="1055"/>
      <c r="K2161" s="1205"/>
      <c r="L2161" s="1055"/>
      <c r="M2161" s="1205"/>
      <c r="N2161" s="1054"/>
      <c r="O2161" s="1207"/>
      <c r="Q2161" s="1207"/>
    </row>
    <row r="2162" spans="3:17" s="700" customFormat="1" ht="70.5" hidden="1" customHeight="1">
      <c r="C2162" s="701"/>
      <c r="D2162" s="811"/>
      <c r="E2162" s="1276">
        <f>[11]building!Y2493</f>
        <v>0</v>
      </c>
      <c r="F2162" s="748">
        <f t="shared" si="272"/>
        <v>0</v>
      </c>
      <c r="G2162" s="1205"/>
      <c r="H2162" s="1055"/>
      <c r="I2162" s="1055"/>
      <c r="J2162" s="1055"/>
      <c r="K2162" s="1205"/>
      <c r="L2162" s="1055"/>
      <c r="M2162" s="1205"/>
      <c r="N2162" s="1054"/>
      <c r="O2162" s="1207"/>
      <c r="Q2162" s="1207"/>
    </row>
    <row r="2163" spans="3:17" s="700" customFormat="1" ht="70.5" hidden="1" customHeight="1">
      <c r="C2163" s="701"/>
      <c r="D2163" s="811"/>
      <c r="E2163" s="1276">
        <f>[11]building!Y2494</f>
        <v>0</v>
      </c>
      <c r="F2163" s="748">
        <f t="shared" si="272"/>
        <v>0</v>
      </c>
      <c r="G2163" s="1205"/>
      <c r="H2163" s="1055"/>
      <c r="I2163" s="1055"/>
      <c r="J2163" s="1055"/>
      <c r="K2163" s="1205"/>
      <c r="L2163" s="1055"/>
      <c r="M2163" s="1205"/>
      <c r="N2163" s="1054"/>
      <c r="O2163" s="1207"/>
      <c r="Q2163" s="1207"/>
    </row>
    <row r="2164" spans="3:17" s="700" customFormat="1" ht="70.5" hidden="1" customHeight="1">
      <c r="C2164" s="701"/>
      <c r="D2164" s="811"/>
      <c r="E2164" s="1276">
        <f>[11]building!Y2495</f>
        <v>0</v>
      </c>
      <c r="F2164" s="748">
        <f t="shared" si="272"/>
        <v>0</v>
      </c>
      <c r="G2164" s="1205"/>
      <c r="H2164" s="1055"/>
      <c r="I2164" s="1055"/>
      <c r="J2164" s="1055"/>
      <c r="K2164" s="1205"/>
      <c r="L2164" s="1055"/>
      <c r="M2164" s="1205"/>
      <c r="N2164" s="1054"/>
      <c r="O2164" s="1207"/>
      <c r="Q2164" s="1207"/>
    </row>
    <row r="2165" spans="3:17" s="700" customFormat="1" ht="70.5" hidden="1" customHeight="1">
      <c r="C2165" s="701"/>
      <c r="D2165" s="811"/>
      <c r="E2165" s="1276">
        <f>[11]building!Y2496</f>
        <v>0</v>
      </c>
      <c r="F2165" s="748">
        <f t="shared" si="272"/>
        <v>0</v>
      </c>
      <c r="G2165" s="1205"/>
      <c r="H2165" s="1055"/>
      <c r="I2165" s="1055"/>
      <c r="J2165" s="1055"/>
      <c r="K2165" s="1205"/>
      <c r="L2165" s="1055"/>
      <c r="M2165" s="1205"/>
      <c r="N2165" s="1054"/>
      <c r="O2165" s="1207"/>
      <c r="Q2165" s="1207"/>
    </row>
    <row r="2166" spans="3:17" s="700" customFormat="1" ht="70.5" hidden="1" customHeight="1">
      <c r="C2166" s="701"/>
      <c r="D2166" s="811"/>
      <c r="E2166" s="1276">
        <f>[11]building!Y2497</f>
        <v>0</v>
      </c>
      <c r="F2166" s="748">
        <f t="shared" si="272"/>
        <v>0</v>
      </c>
      <c r="G2166" s="1205"/>
      <c r="H2166" s="1055"/>
      <c r="I2166" s="1055"/>
      <c r="J2166" s="1055"/>
      <c r="K2166" s="1205"/>
      <c r="L2166" s="1055"/>
      <c r="M2166" s="1205"/>
      <c r="N2166" s="1054"/>
      <c r="O2166" s="1207"/>
      <c r="Q2166" s="1207"/>
    </row>
    <row r="2167" spans="3:17" s="700" customFormat="1" ht="70.5" hidden="1" customHeight="1">
      <c r="C2167" s="701"/>
      <c r="D2167" s="811"/>
      <c r="E2167" s="1276">
        <f>[11]building!Y2498</f>
        <v>0</v>
      </c>
      <c r="F2167" s="748">
        <f t="shared" si="272"/>
        <v>0</v>
      </c>
      <c r="G2167" s="1205"/>
      <c r="H2167" s="1055"/>
      <c r="I2167" s="1055"/>
      <c r="J2167" s="1055"/>
      <c r="K2167" s="1205"/>
      <c r="L2167" s="1055"/>
      <c r="M2167" s="1205"/>
      <c r="N2167" s="1054"/>
      <c r="O2167" s="1207"/>
      <c r="Q2167" s="1207"/>
    </row>
    <row r="2168" spans="3:17" s="700" customFormat="1" ht="70.5" hidden="1" customHeight="1">
      <c r="C2168" s="701"/>
      <c r="D2168" s="811"/>
      <c r="E2168" s="1276">
        <f>[11]building!Y2499</f>
        <v>0</v>
      </c>
      <c r="F2168" s="748">
        <f t="shared" si="272"/>
        <v>0</v>
      </c>
      <c r="G2168" s="1205"/>
      <c r="H2168" s="1055"/>
      <c r="I2168" s="1055"/>
      <c r="J2168" s="1055"/>
      <c r="K2168" s="1205"/>
      <c r="L2168" s="1055"/>
      <c r="M2168" s="1205"/>
      <c r="N2168" s="1054"/>
      <c r="O2168" s="1207"/>
      <c r="Q2168" s="1207"/>
    </row>
    <row r="2169" spans="3:17" s="700" customFormat="1" ht="70.5" hidden="1" customHeight="1">
      <c r="C2169" s="701"/>
      <c r="D2169" s="811"/>
      <c r="E2169" s="1276">
        <f>[11]building!Y2500</f>
        <v>0</v>
      </c>
      <c r="F2169" s="748">
        <f t="shared" si="272"/>
        <v>0</v>
      </c>
      <c r="G2169" s="1205"/>
      <c r="H2169" s="1055"/>
      <c r="I2169" s="1055"/>
      <c r="J2169" s="1055"/>
      <c r="K2169" s="1205"/>
      <c r="L2169" s="1055"/>
      <c r="M2169" s="1205"/>
      <c r="N2169" s="1054"/>
      <c r="O2169" s="1207"/>
      <c r="Q2169" s="1207"/>
    </row>
    <row r="2170" spans="3:17" s="700" customFormat="1" ht="70.5" hidden="1" customHeight="1">
      <c r="C2170" s="701"/>
      <c r="D2170" s="811"/>
      <c r="E2170" s="1276">
        <f>[11]building!Y2501</f>
        <v>0</v>
      </c>
      <c r="F2170" s="748">
        <f t="shared" si="272"/>
        <v>0</v>
      </c>
      <c r="G2170" s="1205"/>
      <c r="H2170" s="1055"/>
      <c r="I2170" s="1055"/>
      <c r="J2170" s="1055"/>
      <c r="K2170" s="1205"/>
      <c r="L2170" s="1055"/>
      <c r="M2170" s="1205"/>
      <c r="N2170" s="1054"/>
      <c r="O2170" s="1207"/>
      <c r="Q2170" s="1207"/>
    </row>
    <row r="2171" spans="3:17" s="700" customFormat="1" ht="70.5" hidden="1" customHeight="1">
      <c r="C2171" s="701"/>
      <c r="D2171" s="811"/>
      <c r="E2171" s="1276">
        <f>[11]building!Y2502</f>
        <v>0</v>
      </c>
      <c r="F2171" s="748">
        <f t="shared" si="272"/>
        <v>0</v>
      </c>
      <c r="G2171" s="1205"/>
      <c r="H2171" s="1055"/>
      <c r="I2171" s="1055"/>
      <c r="J2171" s="1055"/>
      <c r="K2171" s="1205"/>
      <c r="L2171" s="1055"/>
      <c r="M2171" s="1205"/>
      <c r="N2171" s="1054"/>
      <c r="O2171" s="1207"/>
      <c r="Q2171" s="1207"/>
    </row>
    <row r="2172" spans="3:17" s="700" customFormat="1" ht="70.5" hidden="1" customHeight="1">
      <c r="C2172" s="701"/>
      <c r="D2172" s="811"/>
      <c r="E2172" s="1276">
        <f>[11]building!Y2503</f>
        <v>0</v>
      </c>
      <c r="F2172" s="748">
        <f t="shared" si="272"/>
        <v>0</v>
      </c>
      <c r="G2172" s="1205"/>
      <c r="H2172" s="1055"/>
      <c r="I2172" s="1055"/>
      <c r="J2172" s="1055"/>
      <c r="K2172" s="1205"/>
      <c r="L2172" s="1055"/>
      <c r="M2172" s="1205"/>
      <c r="N2172" s="1054"/>
      <c r="O2172" s="1207"/>
      <c r="Q2172" s="1207"/>
    </row>
    <row r="2173" spans="3:17" s="700" customFormat="1" ht="70.5" hidden="1" customHeight="1">
      <c r="C2173" s="701"/>
      <c r="D2173" s="811"/>
      <c r="E2173" s="1276">
        <f>[11]building!Y2504</f>
        <v>0</v>
      </c>
      <c r="F2173" s="748">
        <f t="shared" si="272"/>
        <v>0</v>
      </c>
      <c r="G2173" s="1205"/>
      <c r="H2173" s="1055"/>
      <c r="I2173" s="1055"/>
      <c r="J2173" s="1055"/>
      <c r="K2173" s="1205"/>
      <c r="L2173" s="1055"/>
      <c r="M2173" s="1205"/>
      <c r="N2173" s="1054"/>
      <c r="O2173" s="1207"/>
      <c r="Q2173" s="1207"/>
    </row>
    <row r="2174" spans="3:17" s="700" customFormat="1" ht="70.5" hidden="1" customHeight="1">
      <c r="C2174" s="701"/>
      <c r="D2174" s="811"/>
      <c r="E2174" s="1276">
        <f>[11]building!Y2505</f>
        <v>0</v>
      </c>
      <c r="F2174" s="748">
        <f t="shared" si="272"/>
        <v>0</v>
      </c>
      <c r="G2174" s="1205"/>
      <c r="H2174" s="1055"/>
      <c r="I2174" s="1055"/>
      <c r="J2174" s="1055"/>
      <c r="K2174" s="1205"/>
      <c r="L2174" s="1055"/>
      <c r="M2174" s="1205"/>
      <c r="N2174" s="1054"/>
      <c r="O2174" s="1207"/>
      <c r="Q2174" s="1207"/>
    </row>
    <row r="2175" spans="3:17" s="700" customFormat="1" ht="70.5" hidden="1" customHeight="1">
      <c r="C2175" s="701"/>
      <c r="D2175" s="811"/>
      <c r="E2175" s="1276">
        <f>[11]building!Y2506</f>
        <v>0</v>
      </c>
      <c r="F2175" s="748">
        <f t="shared" si="272"/>
        <v>0</v>
      </c>
      <c r="G2175" s="1205"/>
      <c r="H2175" s="1055"/>
      <c r="I2175" s="1055"/>
      <c r="J2175" s="1055"/>
      <c r="K2175" s="1205"/>
      <c r="L2175" s="1055"/>
      <c r="M2175" s="1205"/>
      <c r="N2175" s="1054"/>
      <c r="O2175" s="1207"/>
      <c r="Q2175" s="1207"/>
    </row>
    <row r="2176" spans="3:17" s="700" customFormat="1" ht="70.5" hidden="1" customHeight="1">
      <c r="C2176" s="701"/>
      <c r="D2176" s="811"/>
      <c r="E2176" s="1276">
        <f>[11]building!Y2507</f>
        <v>0</v>
      </c>
      <c r="F2176" s="748">
        <f t="shared" ref="F2176:F2239" si="273">E2176*C2176</f>
        <v>0</v>
      </c>
      <c r="G2176" s="1205"/>
      <c r="H2176" s="1055"/>
      <c r="I2176" s="1055"/>
      <c r="J2176" s="1055"/>
      <c r="K2176" s="1205"/>
      <c r="L2176" s="1055"/>
      <c r="M2176" s="1205"/>
      <c r="N2176" s="1054"/>
      <c r="O2176" s="1207"/>
      <c r="Q2176" s="1207"/>
    </row>
    <row r="2177" spans="3:17" s="700" customFormat="1" ht="70.5" hidden="1" customHeight="1">
      <c r="C2177" s="701"/>
      <c r="D2177" s="811"/>
      <c r="E2177" s="1276">
        <f>[11]building!Y2508</f>
        <v>0</v>
      </c>
      <c r="F2177" s="748">
        <f t="shared" si="273"/>
        <v>0</v>
      </c>
      <c r="G2177" s="1205"/>
      <c r="H2177" s="1055"/>
      <c r="I2177" s="1055"/>
      <c r="J2177" s="1055"/>
      <c r="K2177" s="1205"/>
      <c r="L2177" s="1055"/>
      <c r="M2177" s="1205"/>
      <c r="N2177" s="1054"/>
      <c r="O2177" s="1207"/>
      <c r="Q2177" s="1207"/>
    </row>
    <row r="2178" spans="3:17" s="700" customFormat="1" ht="70.5" hidden="1" customHeight="1">
      <c r="C2178" s="701"/>
      <c r="D2178" s="811"/>
      <c r="E2178" s="1276">
        <f>[11]building!Y2509</f>
        <v>0</v>
      </c>
      <c r="F2178" s="748">
        <f t="shared" si="273"/>
        <v>0</v>
      </c>
      <c r="G2178" s="1205"/>
      <c r="H2178" s="1055"/>
      <c r="I2178" s="1055"/>
      <c r="J2178" s="1055"/>
      <c r="K2178" s="1205"/>
      <c r="L2178" s="1055"/>
      <c r="M2178" s="1205"/>
      <c r="N2178" s="1054"/>
      <c r="O2178" s="1207"/>
      <c r="Q2178" s="1207"/>
    </row>
    <row r="2179" spans="3:17" s="700" customFormat="1" ht="70.5" hidden="1" customHeight="1">
      <c r="C2179" s="701"/>
      <c r="D2179" s="811"/>
      <c r="E2179" s="1276">
        <f>[11]building!Y2510</f>
        <v>0</v>
      </c>
      <c r="F2179" s="748">
        <f t="shared" si="273"/>
        <v>0</v>
      </c>
      <c r="G2179" s="1205"/>
      <c r="H2179" s="1055"/>
      <c r="I2179" s="1055"/>
      <c r="J2179" s="1055"/>
      <c r="K2179" s="1205"/>
      <c r="L2179" s="1055"/>
      <c r="M2179" s="1205"/>
      <c r="N2179" s="1054"/>
      <c r="O2179" s="1207"/>
      <c r="Q2179" s="1207"/>
    </row>
    <row r="2180" spans="3:17" s="700" customFormat="1" ht="70.5" hidden="1" customHeight="1">
      <c r="C2180" s="701"/>
      <c r="D2180" s="811"/>
      <c r="E2180" s="1276">
        <f>[11]building!Y2511</f>
        <v>0</v>
      </c>
      <c r="F2180" s="748">
        <f t="shared" si="273"/>
        <v>0</v>
      </c>
      <c r="G2180" s="1205"/>
      <c r="H2180" s="1055"/>
      <c r="I2180" s="1055"/>
      <c r="J2180" s="1055"/>
      <c r="K2180" s="1205"/>
      <c r="L2180" s="1055"/>
      <c r="M2180" s="1205"/>
      <c r="N2180" s="1054"/>
      <c r="O2180" s="1207"/>
      <c r="Q2180" s="1207"/>
    </row>
    <row r="2181" spans="3:17" s="700" customFormat="1" ht="70.5" hidden="1" customHeight="1">
      <c r="C2181" s="701"/>
      <c r="D2181" s="811"/>
      <c r="E2181" s="1276">
        <f>[11]building!Y2512</f>
        <v>0</v>
      </c>
      <c r="F2181" s="748">
        <f t="shared" si="273"/>
        <v>0</v>
      </c>
      <c r="G2181" s="1205"/>
      <c r="H2181" s="1055"/>
      <c r="I2181" s="1055"/>
      <c r="J2181" s="1055"/>
      <c r="K2181" s="1205"/>
      <c r="L2181" s="1055"/>
      <c r="M2181" s="1205"/>
      <c r="N2181" s="1054"/>
      <c r="O2181" s="1207"/>
      <c r="Q2181" s="1207"/>
    </row>
    <row r="2182" spans="3:17" s="700" customFormat="1" ht="70.5" hidden="1" customHeight="1">
      <c r="C2182" s="701"/>
      <c r="D2182" s="811"/>
      <c r="E2182" s="1276">
        <f>[11]building!Y2513</f>
        <v>0</v>
      </c>
      <c r="F2182" s="748">
        <f t="shared" si="273"/>
        <v>0</v>
      </c>
      <c r="G2182" s="1205"/>
      <c r="H2182" s="1055"/>
      <c r="I2182" s="1055"/>
      <c r="J2182" s="1055"/>
      <c r="K2182" s="1205"/>
      <c r="L2182" s="1055"/>
      <c r="M2182" s="1205"/>
      <c r="N2182" s="1054"/>
      <c r="O2182" s="1207"/>
      <c r="Q2182" s="1207"/>
    </row>
    <row r="2183" spans="3:17" s="700" customFormat="1" ht="70.5" hidden="1" customHeight="1">
      <c r="C2183" s="701"/>
      <c r="D2183" s="811"/>
      <c r="E2183" s="1276">
        <f>[11]building!Y2514</f>
        <v>0</v>
      </c>
      <c r="F2183" s="748">
        <f t="shared" si="273"/>
        <v>0</v>
      </c>
      <c r="G2183" s="1205"/>
      <c r="H2183" s="1055"/>
      <c r="I2183" s="1055"/>
      <c r="J2183" s="1055"/>
      <c r="K2183" s="1205"/>
      <c r="L2183" s="1055"/>
      <c r="M2183" s="1205"/>
      <c r="N2183" s="1054"/>
      <c r="O2183" s="1207"/>
      <c r="Q2183" s="1207"/>
    </row>
    <row r="2184" spans="3:17" s="700" customFormat="1" ht="70.5" hidden="1" customHeight="1">
      <c r="C2184" s="701"/>
      <c r="D2184" s="811"/>
      <c r="E2184" s="1276">
        <f>[11]building!Y2515</f>
        <v>0</v>
      </c>
      <c r="F2184" s="748">
        <f t="shared" si="273"/>
        <v>0</v>
      </c>
      <c r="G2184" s="1205"/>
      <c r="H2184" s="1055"/>
      <c r="I2184" s="1055"/>
      <c r="J2184" s="1055"/>
      <c r="K2184" s="1205"/>
      <c r="L2184" s="1055"/>
      <c r="M2184" s="1205"/>
      <c r="N2184" s="1054"/>
      <c r="O2184" s="1207"/>
      <c r="Q2184" s="1207"/>
    </row>
    <row r="2185" spans="3:17" s="700" customFormat="1" ht="70.5" hidden="1" customHeight="1">
      <c r="C2185" s="701"/>
      <c r="D2185" s="811"/>
      <c r="E2185" s="1276">
        <f>[11]building!Y2516</f>
        <v>0</v>
      </c>
      <c r="F2185" s="748">
        <f t="shared" si="273"/>
        <v>0</v>
      </c>
      <c r="G2185" s="1205"/>
      <c r="H2185" s="1055"/>
      <c r="I2185" s="1055"/>
      <c r="J2185" s="1055"/>
      <c r="K2185" s="1205"/>
      <c r="L2185" s="1055"/>
      <c r="M2185" s="1205"/>
      <c r="N2185" s="1054"/>
      <c r="O2185" s="1207"/>
      <c r="Q2185" s="1207"/>
    </row>
    <row r="2186" spans="3:17" s="700" customFormat="1" ht="70.5" hidden="1" customHeight="1">
      <c r="C2186" s="701"/>
      <c r="D2186" s="811"/>
      <c r="E2186" s="1276">
        <f>[11]building!Y2517</f>
        <v>0</v>
      </c>
      <c r="F2186" s="748">
        <f t="shared" si="273"/>
        <v>0</v>
      </c>
      <c r="G2186" s="1205"/>
      <c r="H2186" s="1055"/>
      <c r="I2186" s="1055"/>
      <c r="J2186" s="1055"/>
      <c r="K2186" s="1205"/>
      <c r="L2186" s="1055"/>
      <c r="M2186" s="1205"/>
      <c r="N2186" s="1054"/>
      <c r="O2186" s="1207"/>
      <c r="Q2186" s="1207"/>
    </row>
    <row r="2187" spans="3:17" s="700" customFormat="1" ht="70.5" hidden="1" customHeight="1">
      <c r="C2187" s="701"/>
      <c r="D2187" s="811"/>
      <c r="E2187" s="1276">
        <f>[11]building!Y2518</f>
        <v>0</v>
      </c>
      <c r="F2187" s="748">
        <f t="shared" si="273"/>
        <v>0</v>
      </c>
      <c r="G2187" s="1205"/>
      <c r="H2187" s="1055"/>
      <c r="I2187" s="1055"/>
      <c r="J2187" s="1055"/>
      <c r="K2187" s="1205"/>
      <c r="L2187" s="1055"/>
      <c r="M2187" s="1205"/>
      <c r="N2187" s="1054"/>
      <c r="O2187" s="1207"/>
      <c r="Q2187" s="1207"/>
    </row>
    <row r="2188" spans="3:17" s="700" customFormat="1" ht="70.5" hidden="1" customHeight="1">
      <c r="C2188" s="701"/>
      <c r="D2188" s="811"/>
      <c r="E2188" s="1276">
        <f>[11]building!Y2519</f>
        <v>0</v>
      </c>
      <c r="F2188" s="748">
        <f t="shared" si="273"/>
        <v>0</v>
      </c>
      <c r="G2188" s="1205"/>
      <c r="H2188" s="1055"/>
      <c r="I2188" s="1055"/>
      <c r="J2188" s="1055"/>
      <c r="K2188" s="1205"/>
      <c r="L2188" s="1055"/>
      <c r="M2188" s="1205"/>
      <c r="N2188" s="1054"/>
      <c r="O2188" s="1207"/>
      <c r="Q2188" s="1207"/>
    </row>
    <row r="2189" spans="3:17" s="700" customFormat="1" ht="70.5" hidden="1" customHeight="1">
      <c r="C2189" s="701"/>
      <c r="D2189" s="811"/>
      <c r="E2189" s="1276">
        <f>[11]building!Y2520</f>
        <v>0</v>
      </c>
      <c r="F2189" s="748">
        <f t="shared" si="273"/>
        <v>0</v>
      </c>
      <c r="G2189" s="1205"/>
      <c r="H2189" s="1055"/>
      <c r="I2189" s="1055"/>
      <c r="J2189" s="1055"/>
      <c r="K2189" s="1205"/>
      <c r="L2189" s="1055"/>
      <c r="M2189" s="1205"/>
      <c r="N2189" s="1054"/>
      <c r="O2189" s="1207"/>
      <c r="Q2189" s="1207"/>
    </row>
    <row r="2190" spans="3:17" s="700" customFormat="1" ht="70.5" hidden="1" customHeight="1">
      <c r="C2190" s="701"/>
      <c r="D2190" s="811"/>
      <c r="E2190" s="1276">
        <f>[11]building!Y2521</f>
        <v>0</v>
      </c>
      <c r="F2190" s="748">
        <f t="shared" si="273"/>
        <v>0</v>
      </c>
      <c r="G2190" s="1205"/>
      <c r="H2190" s="1055"/>
      <c r="I2190" s="1055"/>
      <c r="J2190" s="1055"/>
      <c r="K2190" s="1205"/>
      <c r="L2190" s="1055"/>
      <c r="M2190" s="1205"/>
      <c r="N2190" s="1054"/>
      <c r="O2190" s="1207"/>
      <c r="Q2190" s="1207"/>
    </row>
    <row r="2191" spans="3:17" s="700" customFormat="1" ht="70.5" hidden="1" customHeight="1">
      <c r="C2191" s="701"/>
      <c r="D2191" s="811"/>
      <c r="E2191" s="1276">
        <f>[11]building!Y2522</f>
        <v>0</v>
      </c>
      <c r="F2191" s="748">
        <f t="shared" si="273"/>
        <v>0</v>
      </c>
      <c r="G2191" s="1205"/>
      <c r="H2191" s="1055"/>
      <c r="I2191" s="1055"/>
      <c r="J2191" s="1055"/>
      <c r="K2191" s="1205"/>
      <c r="L2191" s="1055"/>
      <c r="M2191" s="1205"/>
      <c r="N2191" s="1054"/>
      <c r="O2191" s="1207"/>
      <c r="Q2191" s="1207"/>
    </row>
    <row r="2192" spans="3:17" s="700" customFormat="1" ht="70.5" hidden="1" customHeight="1">
      <c r="C2192" s="701"/>
      <c r="D2192" s="811"/>
      <c r="E2192" s="1276">
        <f>[11]building!Y2523</f>
        <v>0</v>
      </c>
      <c r="F2192" s="748">
        <f t="shared" si="273"/>
        <v>0</v>
      </c>
      <c r="G2192" s="1205"/>
      <c r="H2192" s="1055"/>
      <c r="I2192" s="1055"/>
      <c r="J2192" s="1055"/>
      <c r="K2192" s="1205"/>
      <c r="L2192" s="1055"/>
      <c r="M2192" s="1205"/>
      <c r="N2192" s="1054"/>
      <c r="O2192" s="1207"/>
      <c r="Q2192" s="1207"/>
    </row>
    <row r="2193" spans="3:17" s="700" customFormat="1" ht="70.5" hidden="1" customHeight="1">
      <c r="C2193" s="701"/>
      <c r="D2193" s="811"/>
      <c r="E2193" s="1276">
        <f>[11]building!Y2524</f>
        <v>0</v>
      </c>
      <c r="F2193" s="748">
        <f t="shared" si="273"/>
        <v>0</v>
      </c>
      <c r="G2193" s="1205"/>
      <c r="H2193" s="1055"/>
      <c r="I2193" s="1055"/>
      <c r="J2193" s="1055"/>
      <c r="K2193" s="1205"/>
      <c r="L2193" s="1055"/>
      <c r="M2193" s="1205"/>
      <c r="N2193" s="1054"/>
      <c r="O2193" s="1207"/>
      <c r="Q2193" s="1207"/>
    </row>
    <row r="2194" spans="3:17" s="700" customFormat="1" ht="70.5" hidden="1" customHeight="1">
      <c r="C2194" s="701"/>
      <c r="D2194" s="811"/>
      <c r="E2194" s="1276">
        <f>[11]building!Y2525</f>
        <v>0</v>
      </c>
      <c r="F2194" s="748">
        <f t="shared" si="273"/>
        <v>0</v>
      </c>
      <c r="G2194" s="1205"/>
      <c r="H2194" s="1055"/>
      <c r="I2194" s="1055"/>
      <c r="J2194" s="1055"/>
      <c r="K2194" s="1205"/>
      <c r="L2194" s="1055"/>
      <c r="M2194" s="1205"/>
      <c r="N2194" s="1054"/>
      <c r="O2194" s="1207"/>
      <c r="Q2194" s="1207"/>
    </row>
    <row r="2195" spans="3:17" s="700" customFormat="1" ht="70.5" hidden="1" customHeight="1">
      <c r="C2195" s="701"/>
      <c r="D2195" s="811"/>
      <c r="E2195" s="1276">
        <f>[11]building!Y2526</f>
        <v>0</v>
      </c>
      <c r="F2195" s="748">
        <f t="shared" si="273"/>
        <v>0</v>
      </c>
      <c r="G2195" s="1205"/>
      <c r="H2195" s="1055"/>
      <c r="I2195" s="1055"/>
      <c r="J2195" s="1055"/>
      <c r="K2195" s="1205"/>
      <c r="L2195" s="1055"/>
      <c r="M2195" s="1205"/>
      <c r="N2195" s="1054"/>
      <c r="O2195" s="1207"/>
      <c r="Q2195" s="1207"/>
    </row>
    <row r="2196" spans="3:17" s="700" customFormat="1" ht="70.5" hidden="1" customHeight="1">
      <c r="C2196" s="701"/>
      <c r="D2196" s="811"/>
      <c r="E2196" s="1276">
        <f>[11]building!Y2527</f>
        <v>0</v>
      </c>
      <c r="F2196" s="748">
        <f t="shared" si="273"/>
        <v>0</v>
      </c>
      <c r="G2196" s="1205"/>
      <c r="H2196" s="1055"/>
      <c r="I2196" s="1055"/>
      <c r="J2196" s="1055"/>
      <c r="K2196" s="1205"/>
      <c r="L2196" s="1055"/>
      <c r="M2196" s="1205"/>
      <c r="N2196" s="1054"/>
      <c r="O2196" s="1207"/>
      <c r="Q2196" s="1207"/>
    </row>
    <row r="2197" spans="3:17" s="700" customFormat="1" ht="70.5" hidden="1" customHeight="1">
      <c r="C2197" s="701"/>
      <c r="D2197" s="811"/>
      <c r="E2197" s="1276">
        <f>[11]building!Y2528</f>
        <v>0</v>
      </c>
      <c r="F2197" s="748">
        <f t="shared" si="273"/>
        <v>0</v>
      </c>
      <c r="G2197" s="1205"/>
      <c r="H2197" s="1055"/>
      <c r="I2197" s="1055"/>
      <c r="J2197" s="1055"/>
      <c r="K2197" s="1205"/>
      <c r="L2197" s="1055"/>
      <c r="M2197" s="1205"/>
      <c r="N2197" s="1054"/>
      <c r="O2197" s="1207"/>
      <c r="Q2197" s="1207"/>
    </row>
    <row r="2198" spans="3:17" s="700" customFormat="1" ht="70.5" hidden="1" customHeight="1">
      <c r="C2198" s="701"/>
      <c r="D2198" s="811"/>
      <c r="E2198" s="1276">
        <f>[11]building!Y2529</f>
        <v>0</v>
      </c>
      <c r="F2198" s="748">
        <f t="shared" si="273"/>
        <v>0</v>
      </c>
      <c r="G2198" s="1205"/>
      <c r="H2198" s="1055"/>
      <c r="I2198" s="1055"/>
      <c r="J2198" s="1055"/>
      <c r="K2198" s="1205"/>
      <c r="L2198" s="1055"/>
      <c r="M2198" s="1205"/>
      <c r="N2198" s="1054"/>
      <c r="O2198" s="1207"/>
      <c r="Q2198" s="1207"/>
    </row>
    <row r="2199" spans="3:17" s="700" customFormat="1" ht="70.5" hidden="1" customHeight="1">
      <c r="C2199" s="701"/>
      <c r="D2199" s="811"/>
      <c r="E2199" s="1276">
        <f>[11]building!Y2530</f>
        <v>0</v>
      </c>
      <c r="F2199" s="748">
        <f t="shared" si="273"/>
        <v>0</v>
      </c>
      <c r="G2199" s="1205"/>
      <c r="H2199" s="1055"/>
      <c r="I2199" s="1055"/>
      <c r="J2199" s="1055"/>
      <c r="K2199" s="1205"/>
      <c r="L2199" s="1055"/>
      <c r="M2199" s="1205"/>
      <c r="N2199" s="1054"/>
      <c r="O2199" s="1207"/>
      <c r="Q2199" s="1207"/>
    </row>
    <row r="2200" spans="3:17" s="700" customFormat="1" ht="70.5" hidden="1" customHeight="1">
      <c r="C2200" s="701"/>
      <c r="D2200" s="811"/>
      <c r="E2200" s="1276">
        <f>[11]building!Y2531</f>
        <v>0</v>
      </c>
      <c r="F2200" s="748">
        <f t="shared" si="273"/>
        <v>0</v>
      </c>
      <c r="G2200" s="1205"/>
      <c r="H2200" s="1055"/>
      <c r="I2200" s="1055"/>
      <c r="J2200" s="1055"/>
      <c r="K2200" s="1205"/>
      <c r="L2200" s="1055"/>
      <c r="M2200" s="1205"/>
      <c r="N2200" s="1054"/>
      <c r="O2200" s="1207"/>
      <c r="Q2200" s="1207"/>
    </row>
    <row r="2201" spans="3:17" s="700" customFormat="1" ht="70.5" hidden="1" customHeight="1">
      <c r="C2201" s="701"/>
      <c r="D2201" s="811"/>
      <c r="E2201" s="1276">
        <f>[11]building!Y2532</f>
        <v>0</v>
      </c>
      <c r="F2201" s="748">
        <f t="shared" si="273"/>
        <v>0</v>
      </c>
      <c r="G2201" s="1205"/>
      <c r="H2201" s="1055"/>
      <c r="I2201" s="1055"/>
      <c r="J2201" s="1055"/>
      <c r="K2201" s="1205"/>
      <c r="L2201" s="1055"/>
      <c r="M2201" s="1205"/>
      <c r="N2201" s="1054"/>
      <c r="O2201" s="1207"/>
      <c r="Q2201" s="1207"/>
    </row>
    <row r="2202" spans="3:17" s="700" customFormat="1" ht="70.5" hidden="1" customHeight="1">
      <c r="C2202" s="701"/>
      <c r="D2202" s="811"/>
      <c r="E2202" s="1276">
        <f>[11]building!Y2533</f>
        <v>0</v>
      </c>
      <c r="F2202" s="748">
        <f t="shared" si="273"/>
        <v>0</v>
      </c>
      <c r="G2202" s="1205"/>
      <c r="H2202" s="1055"/>
      <c r="I2202" s="1055"/>
      <c r="J2202" s="1055"/>
      <c r="K2202" s="1205"/>
      <c r="L2202" s="1055"/>
      <c r="M2202" s="1205"/>
      <c r="N2202" s="1054"/>
      <c r="O2202" s="1207"/>
      <c r="Q2202" s="1207"/>
    </row>
    <row r="2203" spans="3:17" s="700" customFormat="1" ht="70.5" hidden="1" customHeight="1">
      <c r="C2203" s="701"/>
      <c r="D2203" s="811"/>
      <c r="E2203" s="1276">
        <f>[11]building!Y2534</f>
        <v>0</v>
      </c>
      <c r="F2203" s="748">
        <f t="shared" si="273"/>
        <v>0</v>
      </c>
      <c r="G2203" s="1205"/>
      <c r="H2203" s="1055"/>
      <c r="I2203" s="1055"/>
      <c r="J2203" s="1055"/>
      <c r="K2203" s="1205"/>
      <c r="L2203" s="1055"/>
      <c r="M2203" s="1205"/>
      <c r="N2203" s="1054"/>
      <c r="O2203" s="1207"/>
      <c r="Q2203" s="1207"/>
    </row>
    <row r="2204" spans="3:17" s="700" customFormat="1" ht="70.5" hidden="1" customHeight="1">
      <c r="C2204" s="701"/>
      <c r="D2204" s="811"/>
      <c r="E2204" s="1276">
        <f>[11]building!Y2535</f>
        <v>0</v>
      </c>
      <c r="F2204" s="748">
        <f t="shared" si="273"/>
        <v>0</v>
      </c>
      <c r="G2204" s="1205"/>
      <c r="H2204" s="1055"/>
      <c r="I2204" s="1055"/>
      <c r="J2204" s="1055"/>
      <c r="K2204" s="1205"/>
      <c r="L2204" s="1055"/>
      <c r="M2204" s="1205"/>
      <c r="N2204" s="1054"/>
      <c r="O2204" s="1207"/>
      <c r="Q2204" s="1207"/>
    </row>
    <row r="2205" spans="3:17" s="700" customFormat="1" ht="70.5" hidden="1" customHeight="1">
      <c r="C2205" s="701"/>
      <c r="D2205" s="811"/>
      <c r="E2205" s="1276">
        <f>[11]building!Y2536</f>
        <v>0</v>
      </c>
      <c r="F2205" s="748">
        <f t="shared" si="273"/>
        <v>0</v>
      </c>
      <c r="G2205" s="1205"/>
      <c r="H2205" s="1055"/>
      <c r="I2205" s="1055"/>
      <c r="J2205" s="1055"/>
      <c r="K2205" s="1205"/>
      <c r="L2205" s="1055"/>
      <c r="M2205" s="1205"/>
      <c r="N2205" s="1054"/>
      <c r="O2205" s="1207"/>
      <c r="Q2205" s="1207"/>
    </row>
    <row r="2206" spans="3:17" s="700" customFormat="1" ht="70.5" hidden="1" customHeight="1">
      <c r="C2206" s="701"/>
      <c r="D2206" s="811"/>
      <c r="E2206" s="1276">
        <f>[11]building!Y2537</f>
        <v>0</v>
      </c>
      <c r="F2206" s="748">
        <f t="shared" si="273"/>
        <v>0</v>
      </c>
      <c r="G2206" s="1205"/>
      <c r="H2206" s="1055"/>
      <c r="I2206" s="1055"/>
      <c r="J2206" s="1055"/>
      <c r="K2206" s="1205"/>
      <c r="L2206" s="1055"/>
      <c r="M2206" s="1205"/>
      <c r="N2206" s="1054"/>
      <c r="O2206" s="1207"/>
      <c r="Q2206" s="1207"/>
    </row>
    <row r="2207" spans="3:17" s="700" customFormat="1" ht="70.5" hidden="1" customHeight="1">
      <c r="C2207" s="701"/>
      <c r="D2207" s="811"/>
      <c r="E2207" s="1276">
        <f>[11]building!Y2538</f>
        <v>0</v>
      </c>
      <c r="F2207" s="748">
        <f t="shared" si="273"/>
        <v>0</v>
      </c>
      <c r="G2207" s="1205"/>
      <c r="H2207" s="1055"/>
      <c r="I2207" s="1055"/>
      <c r="J2207" s="1055"/>
      <c r="K2207" s="1205"/>
      <c r="L2207" s="1055"/>
      <c r="M2207" s="1205"/>
      <c r="N2207" s="1054"/>
      <c r="O2207" s="1207"/>
      <c r="Q2207" s="1207"/>
    </row>
    <row r="2208" spans="3:17" s="700" customFormat="1" ht="70.5" hidden="1" customHeight="1">
      <c r="C2208" s="701"/>
      <c r="D2208" s="811"/>
      <c r="E2208" s="1276">
        <f>[11]building!Y2539</f>
        <v>0</v>
      </c>
      <c r="F2208" s="748">
        <f t="shared" si="273"/>
        <v>0</v>
      </c>
      <c r="G2208" s="1205"/>
      <c r="H2208" s="1055"/>
      <c r="I2208" s="1055"/>
      <c r="J2208" s="1055"/>
      <c r="K2208" s="1205"/>
      <c r="L2208" s="1055"/>
      <c r="M2208" s="1205"/>
      <c r="N2208" s="1054"/>
      <c r="O2208" s="1207"/>
      <c r="Q2208" s="1207"/>
    </row>
    <row r="2209" spans="3:17" s="700" customFormat="1" ht="70.5" hidden="1" customHeight="1">
      <c r="C2209" s="701"/>
      <c r="D2209" s="811"/>
      <c r="E2209" s="1276">
        <f>[11]building!Y2540</f>
        <v>0</v>
      </c>
      <c r="F2209" s="748">
        <f t="shared" si="273"/>
        <v>0</v>
      </c>
      <c r="G2209" s="1205"/>
      <c r="H2209" s="1055"/>
      <c r="I2209" s="1055"/>
      <c r="J2209" s="1055"/>
      <c r="K2209" s="1205"/>
      <c r="L2209" s="1055"/>
      <c r="M2209" s="1205"/>
      <c r="N2209" s="1054"/>
      <c r="O2209" s="1207"/>
      <c r="Q2209" s="1207"/>
    </row>
    <row r="2210" spans="3:17" s="700" customFormat="1" ht="70.5" hidden="1" customHeight="1">
      <c r="C2210" s="701"/>
      <c r="D2210" s="811"/>
      <c r="E2210" s="1276">
        <f>[11]building!Y2541</f>
        <v>0</v>
      </c>
      <c r="F2210" s="748">
        <f t="shared" si="273"/>
        <v>0</v>
      </c>
      <c r="G2210" s="1205"/>
      <c r="H2210" s="1055"/>
      <c r="I2210" s="1055"/>
      <c r="J2210" s="1055"/>
      <c r="K2210" s="1205"/>
      <c r="L2210" s="1055"/>
      <c r="M2210" s="1205"/>
      <c r="N2210" s="1054"/>
      <c r="O2210" s="1207"/>
      <c r="Q2210" s="1207"/>
    </row>
    <row r="2211" spans="3:17" s="700" customFormat="1" ht="70.5" hidden="1" customHeight="1">
      <c r="C2211" s="701"/>
      <c r="D2211" s="811"/>
      <c r="E2211" s="1276">
        <f>[11]building!Y2542</f>
        <v>0</v>
      </c>
      <c r="F2211" s="748">
        <f t="shared" si="273"/>
        <v>0</v>
      </c>
      <c r="G2211" s="1205"/>
      <c r="H2211" s="1055"/>
      <c r="I2211" s="1055"/>
      <c r="J2211" s="1055"/>
      <c r="K2211" s="1205"/>
      <c r="L2211" s="1055"/>
      <c r="M2211" s="1205"/>
      <c r="N2211" s="1054"/>
      <c r="O2211" s="1207"/>
      <c r="Q2211" s="1207"/>
    </row>
    <row r="2212" spans="3:17" s="700" customFormat="1" ht="70.5" hidden="1" customHeight="1">
      <c r="C2212" s="701"/>
      <c r="D2212" s="811"/>
      <c r="E2212" s="1276">
        <f>[11]building!Y2543</f>
        <v>0</v>
      </c>
      <c r="F2212" s="748">
        <f t="shared" si="273"/>
        <v>0</v>
      </c>
      <c r="G2212" s="1205"/>
      <c r="H2212" s="1055"/>
      <c r="I2212" s="1055"/>
      <c r="J2212" s="1055"/>
      <c r="K2212" s="1205"/>
      <c r="L2212" s="1055"/>
      <c r="M2212" s="1205"/>
      <c r="N2212" s="1054"/>
      <c r="O2212" s="1207"/>
      <c r="Q2212" s="1207"/>
    </row>
    <row r="2213" spans="3:17" s="700" customFormat="1" ht="70.5" hidden="1" customHeight="1">
      <c r="C2213" s="701"/>
      <c r="D2213" s="811"/>
      <c r="E2213" s="1276">
        <f>[11]building!Y2544</f>
        <v>0</v>
      </c>
      <c r="F2213" s="748">
        <f t="shared" si="273"/>
        <v>0</v>
      </c>
      <c r="G2213" s="1205"/>
      <c r="H2213" s="1055"/>
      <c r="I2213" s="1055"/>
      <c r="J2213" s="1055"/>
      <c r="K2213" s="1205"/>
      <c r="L2213" s="1055"/>
      <c r="M2213" s="1205"/>
      <c r="N2213" s="1054"/>
      <c r="O2213" s="1207"/>
      <c r="Q2213" s="1207"/>
    </row>
    <row r="2214" spans="3:17" s="700" customFormat="1" ht="70.5" hidden="1" customHeight="1">
      <c r="C2214" s="701"/>
      <c r="D2214" s="811"/>
      <c r="E2214" s="1276">
        <f>[11]building!Y2545</f>
        <v>0</v>
      </c>
      <c r="F2214" s="748">
        <f t="shared" si="273"/>
        <v>0</v>
      </c>
      <c r="G2214" s="1205"/>
      <c r="H2214" s="1055"/>
      <c r="I2214" s="1055"/>
      <c r="J2214" s="1055"/>
      <c r="K2214" s="1205"/>
      <c r="L2214" s="1055"/>
      <c r="M2214" s="1205"/>
      <c r="N2214" s="1054"/>
      <c r="O2214" s="1207"/>
      <c r="Q2214" s="1207"/>
    </row>
    <row r="2215" spans="3:17" s="700" customFormat="1" ht="70.5" hidden="1" customHeight="1">
      <c r="C2215" s="701"/>
      <c r="D2215" s="811"/>
      <c r="E2215" s="1276">
        <f>[11]building!Y2546</f>
        <v>0</v>
      </c>
      <c r="F2215" s="748">
        <f t="shared" si="273"/>
        <v>0</v>
      </c>
      <c r="G2215" s="1205"/>
      <c r="H2215" s="1055"/>
      <c r="I2215" s="1055"/>
      <c r="J2215" s="1055"/>
      <c r="K2215" s="1205"/>
      <c r="L2215" s="1055"/>
      <c r="M2215" s="1205"/>
      <c r="N2215" s="1054"/>
      <c r="O2215" s="1207"/>
      <c r="Q2215" s="1207"/>
    </row>
    <row r="2216" spans="3:17" s="700" customFormat="1" ht="70.5" hidden="1" customHeight="1">
      <c r="C2216" s="701"/>
      <c r="D2216" s="811"/>
      <c r="E2216" s="1276">
        <f>[11]building!Y2547</f>
        <v>0</v>
      </c>
      <c r="F2216" s="748">
        <f t="shared" si="273"/>
        <v>0</v>
      </c>
      <c r="G2216" s="1205"/>
      <c r="H2216" s="1055"/>
      <c r="I2216" s="1055"/>
      <c r="J2216" s="1055"/>
      <c r="K2216" s="1205"/>
      <c r="L2216" s="1055"/>
      <c r="M2216" s="1205"/>
      <c r="N2216" s="1054"/>
      <c r="O2216" s="1207"/>
      <c r="Q2216" s="1207"/>
    </row>
    <row r="2217" spans="3:17" s="700" customFormat="1" ht="70.5" hidden="1" customHeight="1">
      <c r="C2217" s="701"/>
      <c r="D2217" s="811"/>
      <c r="E2217" s="1276">
        <f>[11]building!Y2548</f>
        <v>0</v>
      </c>
      <c r="F2217" s="748">
        <f t="shared" si="273"/>
        <v>0</v>
      </c>
      <c r="G2217" s="1205"/>
      <c r="H2217" s="1055"/>
      <c r="I2217" s="1055"/>
      <c r="J2217" s="1055"/>
      <c r="K2217" s="1205"/>
      <c r="L2217" s="1055"/>
      <c r="M2217" s="1205"/>
      <c r="N2217" s="1054"/>
      <c r="O2217" s="1207"/>
      <c r="Q2217" s="1207"/>
    </row>
    <row r="2218" spans="3:17" s="700" customFormat="1" ht="70.5" hidden="1" customHeight="1">
      <c r="C2218" s="701"/>
      <c r="D2218" s="811"/>
      <c r="E2218" s="1276">
        <f>[11]building!Y2549</f>
        <v>0</v>
      </c>
      <c r="F2218" s="748">
        <f t="shared" si="273"/>
        <v>0</v>
      </c>
      <c r="G2218" s="1205"/>
      <c r="H2218" s="1055"/>
      <c r="I2218" s="1055"/>
      <c r="J2218" s="1055"/>
      <c r="K2218" s="1205"/>
      <c r="L2218" s="1055"/>
      <c r="M2218" s="1205"/>
      <c r="N2218" s="1054"/>
      <c r="O2218" s="1207"/>
      <c r="Q2218" s="1207"/>
    </row>
    <row r="2219" spans="3:17" s="700" customFormat="1" ht="70.5" hidden="1" customHeight="1">
      <c r="C2219" s="701"/>
      <c r="D2219" s="811"/>
      <c r="E2219" s="1276">
        <f>[11]building!Y2550</f>
        <v>0</v>
      </c>
      <c r="F2219" s="748">
        <f t="shared" si="273"/>
        <v>0</v>
      </c>
      <c r="G2219" s="1205"/>
      <c r="H2219" s="1055"/>
      <c r="I2219" s="1055"/>
      <c r="J2219" s="1055"/>
      <c r="K2219" s="1205"/>
      <c r="L2219" s="1055"/>
      <c r="M2219" s="1205"/>
      <c r="N2219" s="1054"/>
      <c r="O2219" s="1207"/>
      <c r="Q2219" s="1207"/>
    </row>
    <row r="2220" spans="3:17" s="700" customFormat="1" ht="70.5" hidden="1" customHeight="1">
      <c r="C2220" s="701"/>
      <c r="D2220" s="811"/>
      <c r="E2220" s="1276">
        <f>[11]building!Y2551</f>
        <v>0</v>
      </c>
      <c r="F2220" s="748">
        <f t="shared" si="273"/>
        <v>0</v>
      </c>
      <c r="G2220" s="1205"/>
      <c r="H2220" s="1055"/>
      <c r="I2220" s="1055"/>
      <c r="J2220" s="1055"/>
      <c r="K2220" s="1205"/>
      <c r="L2220" s="1055"/>
      <c r="M2220" s="1205"/>
      <c r="N2220" s="1054"/>
      <c r="O2220" s="1207"/>
      <c r="Q2220" s="1207"/>
    </row>
    <row r="2221" spans="3:17" s="700" customFormat="1" ht="70.5" hidden="1" customHeight="1">
      <c r="C2221" s="701"/>
      <c r="D2221" s="811"/>
      <c r="E2221" s="1276">
        <f>[11]building!Y2552</f>
        <v>0</v>
      </c>
      <c r="F2221" s="748">
        <f t="shared" si="273"/>
        <v>0</v>
      </c>
      <c r="G2221" s="1205"/>
      <c r="H2221" s="1055"/>
      <c r="I2221" s="1055"/>
      <c r="J2221" s="1055"/>
      <c r="K2221" s="1205"/>
      <c r="L2221" s="1055"/>
      <c r="M2221" s="1205"/>
      <c r="N2221" s="1054"/>
      <c r="O2221" s="1207"/>
      <c r="Q2221" s="1207"/>
    </row>
    <row r="2222" spans="3:17" s="700" customFormat="1" ht="70.5" hidden="1" customHeight="1">
      <c r="C2222" s="701"/>
      <c r="D2222" s="811"/>
      <c r="E2222" s="1276">
        <f>[11]building!Y2553</f>
        <v>0</v>
      </c>
      <c r="F2222" s="748">
        <f t="shared" si="273"/>
        <v>0</v>
      </c>
      <c r="G2222" s="1205"/>
      <c r="H2222" s="1055"/>
      <c r="I2222" s="1055"/>
      <c r="J2222" s="1055"/>
      <c r="K2222" s="1205"/>
      <c r="L2222" s="1055"/>
      <c r="M2222" s="1205"/>
      <c r="N2222" s="1054"/>
      <c r="O2222" s="1207"/>
      <c r="Q2222" s="1207"/>
    </row>
    <row r="2223" spans="3:17" s="700" customFormat="1" ht="70.5" hidden="1" customHeight="1">
      <c r="C2223" s="701"/>
      <c r="D2223" s="811"/>
      <c r="E2223" s="1276">
        <f>[11]building!Y2554</f>
        <v>0</v>
      </c>
      <c r="F2223" s="748">
        <f t="shared" si="273"/>
        <v>0</v>
      </c>
      <c r="G2223" s="1205"/>
      <c r="H2223" s="1055"/>
      <c r="I2223" s="1055"/>
      <c r="J2223" s="1055"/>
      <c r="K2223" s="1205"/>
      <c r="L2223" s="1055"/>
      <c r="M2223" s="1205"/>
      <c r="N2223" s="1054"/>
      <c r="O2223" s="1207"/>
      <c r="Q2223" s="1207"/>
    </row>
    <row r="2224" spans="3:17" s="700" customFormat="1" ht="70.5" hidden="1" customHeight="1">
      <c r="C2224" s="701"/>
      <c r="D2224" s="811"/>
      <c r="E2224" s="1276">
        <f>[11]building!Y2555</f>
        <v>0</v>
      </c>
      <c r="F2224" s="748">
        <f t="shared" si="273"/>
        <v>0</v>
      </c>
      <c r="G2224" s="1205"/>
      <c r="H2224" s="1055"/>
      <c r="I2224" s="1055"/>
      <c r="J2224" s="1055"/>
      <c r="K2224" s="1205"/>
      <c r="L2224" s="1055"/>
      <c r="M2224" s="1205"/>
      <c r="N2224" s="1054"/>
      <c r="O2224" s="1207"/>
      <c r="Q2224" s="1207"/>
    </row>
    <row r="2225" spans="3:17" s="700" customFormat="1" ht="70.5" hidden="1" customHeight="1">
      <c r="C2225" s="701"/>
      <c r="D2225" s="811"/>
      <c r="E2225" s="1276">
        <f>[11]building!Y2556</f>
        <v>0</v>
      </c>
      <c r="F2225" s="748">
        <f t="shared" si="273"/>
        <v>0</v>
      </c>
      <c r="G2225" s="1205"/>
      <c r="H2225" s="1055"/>
      <c r="I2225" s="1055"/>
      <c r="J2225" s="1055"/>
      <c r="K2225" s="1205"/>
      <c r="L2225" s="1055"/>
      <c r="M2225" s="1205"/>
      <c r="N2225" s="1054"/>
      <c r="O2225" s="1207"/>
      <c r="Q2225" s="1207"/>
    </row>
    <row r="2226" spans="3:17" s="700" customFormat="1" ht="70.5" hidden="1" customHeight="1">
      <c r="C2226" s="701"/>
      <c r="D2226" s="811"/>
      <c r="E2226" s="1276">
        <f>[11]building!Y2557</f>
        <v>0</v>
      </c>
      <c r="F2226" s="748">
        <f t="shared" si="273"/>
        <v>0</v>
      </c>
      <c r="G2226" s="1205"/>
      <c r="H2226" s="1055"/>
      <c r="I2226" s="1055"/>
      <c r="J2226" s="1055"/>
      <c r="K2226" s="1205"/>
      <c r="L2226" s="1055"/>
      <c r="M2226" s="1205"/>
      <c r="N2226" s="1054"/>
      <c r="O2226" s="1207"/>
      <c r="Q2226" s="1207"/>
    </row>
    <row r="2227" spans="3:17" s="700" customFormat="1" ht="70.5" hidden="1" customHeight="1">
      <c r="C2227" s="701"/>
      <c r="D2227" s="811"/>
      <c r="E2227" s="1276">
        <f>[11]building!Y2558</f>
        <v>0</v>
      </c>
      <c r="F2227" s="748">
        <f t="shared" si="273"/>
        <v>0</v>
      </c>
      <c r="G2227" s="1205"/>
      <c r="H2227" s="1055"/>
      <c r="I2227" s="1055"/>
      <c r="J2227" s="1055"/>
      <c r="K2227" s="1205"/>
      <c r="L2227" s="1055"/>
      <c r="M2227" s="1205"/>
      <c r="N2227" s="1054"/>
      <c r="O2227" s="1207"/>
      <c r="Q2227" s="1207"/>
    </row>
    <row r="2228" spans="3:17" s="700" customFormat="1" ht="70.5" hidden="1" customHeight="1">
      <c r="C2228" s="701"/>
      <c r="D2228" s="811"/>
      <c r="E2228" s="1276">
        <f>[11]building!Y2559</f>
        <v>0</v>
      </c>
      <c r="F2228" s="748">
        <f t="shared" si="273"/>
        <v>0</v>
      </c>
      <c r="G2228" s="1205"/>
      <c r="H2228" s="1055"/>
      <c r="I2228" s="1055"/>
      <c r="J2228" s="1055"/>
      <c r="K2228" s="1205"/>
      <c r="L2228" s="1055"/>
      <c r="M2228" s="1205"/>
      <c r="N2228" s="1054"/>
      <c r="O2228" s="1207"/>
      <c r="Q2228" s="1207"/>
    </row>
    <row r="2229" spans="3:17" s="700" customFormat="1" ht="70.5" hidden="1" customHeight="1">
      <c r="C2229" s="701"/>
      <c r="D2229" s="811"/>
      <c r="E2229" s="1276">
        <f>[11]building!Y2560</f>
        <v>0</v>
      </c>
      <c r="F2229" s="748">
        <f t="shared" si="273"/>
        <v>0</v>
      </c>
      <c r="G2229" s="1205"/>
      <c r="H2229" s="1055"/>
      <c r="I2229" s="1055"/>
      <c r="J2229" s="1055"/>
      <c r="K2229" s="1205"/>
      <c r="L2229" s="1055"/>
      <c r="M2229" s="1205"/>
      <c r="N2229" s="1054"/>
      <c r="O2229" s="1207"/>
      <c r="Q2229" s="1207"/>
    </row>
    <row r="2230" spans="3:17" s="700" customFormat="1" ht="70.5" hidden="1" customHeight="1">
      <c r="C2230" s="701"/>
      <c r="D2230" s="811"/>
      <c r="E2230" s="1276">
        <f>[11]building!Y2561</f>
        <v>0</v>
      </c>
      <c r="F2230" s="748">
        <f t="shared" si="273"/>
        <v>0</v>
      </c>
      <c r="G2230" s="1205"/>
      <c r="H2230" s="1055"/>
      <c r="I2230" s="1055"/>
      <c r="J2230" s="1055"/>
      <c r="K2230" s="1205"/>
      <c r="L2230" s="1055"/>
      <c r="M2230" s="1205"/>
      <c r="N2230" s="1054"/>
      <c r="O2230" s="1207"/>
      <c r="Q2230" s="1207"/>
    </row>
    <row r="2231" spans="3:17" s="700" customFormat="1" ht="70.5" hidden="1" customHeight="1">
      <c r="C2231" s="701"/>
      <c r="D2231" s="811"/>
      <c r="E2231" s="1276">
        <f>[11]building!Y2562</f>
        <v>0</v>
      </c>
      <c r="F2231" s="748">
        <f t="shared" si="273"/>
        <v>0</v>
      </c>
      <c r="G2231" s="1205"/>
      <c r="H2231" s="1055"/>
      <c r="I2231" s="1055"/>
      <c r="J2231" s="1055"/>
      <c r="K2231" s="1205"/>
      <c r="L2231" s="1055"/>
      <c r="M2231" s="1205"/>
      <c r="N2231" s="1054"/>
      <c r="O2231" s="1207"/>
      <c r="Q2231" s="1207"/>
    </row>
    <row r="2232" spans="3:17" s="700" customFormat="1" ht="70.5" hidden="1" customHeight="1">
      <c r="C2232" s="701"/>
      <c r="D2232" s="811"/>
      <c r="E2232" s="1276">
        <f>[11]building!Y2563</f>
        <v>0</v>
      </c>
      <c r="F2232" s="748">
        <f t="shared" si="273"/>
        <v>0</v>
      </c>
      <c r="G2232" s="1205"/>
      <c r="H2232" s="1055"/>
      <c r="I2232" s="1055"/>
      <c r="J2232" s="1055"/>
      <c r="K2232" s="1205"/>
      <c r="L2232" s="1055"/>
      <c r="M2232" s="1205"/>
      <c r="N2232" s="1054"/>
      <c r="O2232" s="1207"/>
      <c r="Q2232" s="1207"/>
    </row>
    <row r="2233" spans="3:17" s="700" customFormat="1" ht="70.5" hidden="1" customHeight="1">
      <c r="C2233" s="701"/>
      <c r="D2233" s="811"/>
      <c r="E2233" s="1276">
        <f>[11]building!Y2564</f>
        <v>0</v>
      </c>
      <c r="F2233" s="748">
        <f t="shared" si="273"/>
        <v>0</v>
      </c>
      <c r="G2233" s="1205"/>
      <c r="H2233" s="1055"/>
      <c r="I2233" s="1055"/>
      <c r="J2233" s="1055"/>
      <c r="K2233" s="1205"/>
      <c r="L2233" s="1055"/>
      <c r="M2233" s="1205"/>
      <c r="N2233" s="1054"/>
      <c r="O2233" s="1207"/>
      <c r="Q2233" s="1207"/>
    </row>
    <row r="2234" spans="3:17" s="700" customFormat="1" ht="70.5" hidden="1" customHeight="1">
      <c r="C2234" s="701"/>
      <c r="D2234" s="811"/>
      <c r="E2234" s="1276">
        <f>[11]building!Y2565</f>
        <v>0</v>
      </c>
      <c r="F2234" s="748">
        <f t="shared" si="273"/>
        <v>0</v>
      </c>
      <c r="G2234" s="1205"/>
      <c r="H2234" s="1055"/>
      <c r="I2234" s="1055"/>
      <c r="J2234" s="1055"/>
      <c r="K2234" s="1205"/>
      <c r="L2234" s="1055"/>
      <c r="M2234" s="1205"/>
      <c r="N2234" s="1054"/>
      <c r="O2234" s="1207"/>
      <c r="Q2234" s="1207"/>
    </row>
    <row r="2235" spans="3:17" s="700" customFormat="1" ht="70.5" hidden="1" customHeight="1">
      <c r="C2235" s="701"/>
      <c r="D2235" s="811"/>
      <c r="E2235" s="1276">
        <f>[11]building!Y2566</f>
        <v>0</v>
      </c>
      <c r="F2235" s="748">
        <f t="shared" si="273"/>
        <v>0</v>
      </c>
      <c r="G2235" s="1205"/>
      <c r="H2235" s="1055"/>
      <c r="I2235" s="1055"/>
      <c r="J2235" s="1055"/>
      <c r="K2235" s="1205"/>
      <c r="L2235" s="1055"/>
      <c r="M2235" s="1205"/>
      <c r="N2235" s="1054"/>
      <c r="O2235" s="1207"/>
      <c r="Q2235" s="1207"/>
    </row>
    <row r="2236" spans="3:17" s="700" customFormat="1" ht="70.5" hidden="1" customHeight="1">
      <c r="C2236" s="701"/>
      <c r="D2236" s="811"/>
      <c r="E2236" s="1276">
        <f>[11]building!Y2567</f>
        <v>0</v>
      </c>
      <c r="F2236" s="748">
        <f t="shared" si="273"/>
        <v>0</v>
      </c>
      <c r="G2236" s="1205"/>
      <c r="H2236" s="1055"/>
      <c r="I2236" s="1055"/>
      <c r="J2236" s="1055"/>
      <c r="K2236" s="1205"/>
      <c r="L2236" s="1055"/>
      <c r="M2236" s="1205"/>
      <c r="N2236" s="1054"/>
      <c r="O2236" s="1207"/>
      <c r="Q2236" s="1207"/>
    </row>
    <row r="2237" spans="3:17" s="700" customFormat="1" ht="70.5" hidden="1" customHeight="1">
      <c r="C2237" s="701"/>
      <c r="D2237" s="811"/>
      <c r="E2237" s="1276">
        <f>[11]building!Y2568</f>
        <v>0</v>
      </c>
      <c r="F2237" s="748">
        <f t="shared" si="273"/>
        <v>0</v>
      </c>
      <c r="G2237" s="1205"/>
      <c r="H2237" s="1055"/>
      <c r="I2237" s="1055"/>
      <c r="J2237" s="1055"/>
      <c r="K2237" s="1205"/>
      <c r="L2237" s="1055"/>
      <c r="M2237" s="1205"/>
      <c r="N2237" s="1054"/>
      <c r="O2237" s="1207"/>
      <c r="Q2237" s="1207"/>
    </row>
    <row r="2238" spans="3:17" s="700" customFormat="1" ht="70.5" hidden="1" customHeight="1">
      <c r="C2238" s="701"/>
      <c r="D2238" s="811"/>
      <c r="E2238" s="1276">
        <f>[11]building!Y2569</f>
        <v>0</v>
      </c>
      <c r="F2238" s="748">
        <f t="shared" si="273"/>
        <v>0</v>
      </c>
      <c r="G2238" s="1205"/>
      <c r="H2238" s="1055"/>
      <c r="I2238" s="1055"/>
      <c r="J2238" s="1055"/>
      <c r="K2238" s="1205"/>
      <c r="L2238" s="1055"/>
      <c r="M2238" s="1205"/>
      <c r="N2238" s="1054"/>
      <c r="O2238" s="1207"/>
      <c r="Q2238" s="1207"/>
    </row>
    <row r="2239" spans="3:17" s="700" customFormat="1" ht="70.5" hidden="1" customHeight="1">
      <c r="C2239" s="701"/>
      <c r="D2239" s="811"/>
      <c r="E2239" s="1276">
        <f>[11]building!Y2570</f>
        <v>0</v>
      </c>
      <c r="F2239" s="748">
        <f t="shared" si="273"/>
        <v>0</v>
      </c>
      <c r="G2239" s="1205"/>
      <c r="H2239" s="1055"/>
      <c r="I2239" s="1055"/>
      <c r="J2239" s="1055"/>
      <c r="K2239" s="1205"/>
      <c r="L2239" s="1055"/>
      <c r="M2239" s="1205"/>
      <c r="N2239" s="1054"/>
      <c r="O2239" s="1207"/>
      <c r="Q2239" s="1207"/>
    </row>
    <row r="2240" spans="3:17" s="700" customFormat="1" ht="70.5" hidden="1" customHeight="1">
      <c r="C2240" s="701"/>
      <c r="D2240" s="811"/>
      <c r="E2240" s="1276">
        <f>[11]building!Y2571</f>
        <v>0</v>
      </c>
      <c r="F2240" s="748">
        <f t="shared" ref="F2240:F2303" si="274">E2240*C2240</f>
        <v>0</v>
      </c>
      <c r="G2240" s="1205"/>
      <c r="H2240" s="1055"/>
      <c r="I2240" s="1055"/>
      <c r="J2240" s="1055"/>
      <c r="K2240" s="1205"/>
      <c r="L2240" s="1055"/>
      <c r="M2240" s="1205"/>
      <c r="N2240" s="1054"/>
      <c r="O2240" s="1207"/>
      <c r="Q2240" s="1207"/>
    </row>
    <row r="2241" spans="3:17" s="700" customFormat="1" ht="70.5" hidden="1" customHeight="1">
      <c r="C2241" s="701"/>
      <c r="D2241" s="811"/>
      <c r="E2241" s="1276">
        <f>[11]building!Y2572</f>
        <v>0</v>
      </c>
      <c r="F2241" s="748">
        <f t="shared" si="274"/>
        <v>0</v>
      </c>
      <c r="G2241" s="1205"/>
      <c r="H2241" s="1055"/>
      <c r="I2241" s="1055"/>
      <c r="J2241" s="1055"/>
      <c r="K2241" s="1205"/>
      <c r="L2241" s="1055"/>
      <c r="M2241" s="1205"/>
      <c r="N2241" s="1054"/>
      <c r="O2241" s="1207"/>
      <c r="Q2241" s="1207"/>
    </row>
    <row r="2242" spans="3:17" s="700" customFormat="1" ht="70.5" hidden="1" customHeight="1">
      <c r="C2242" s="701"/>
      <c r="D2242" s="811"/>
      <c r="E2242" s="1276">
        <f>[11]building!Y2573</f>
        <v>0</v>
      </c>
      <c r="F2242" s="748">
        <f t="shared" si="274"/>
        <v>0</v>
      </c>
      <c r="G2242" s="1205"/>
      <c r="H2242" s="1055"/>
      <c r="I2242" s="1055"/>
      <c r="J2242" s="1055"/>
      <c r="K2242" s="1205"/>
      <c r="L2242" s="1055"/>
      <c r="M2242" s="1205"/>
      <c r="N2242" s="1054"/>
      <c r="O2242" s="1207"/>
      <c r="Q2242" s="1207"/>
    </row>
    <row r="2243" spans="3:17" s="700" customFormat="1" ht="70.5" hidden="1" customHeight="1">
      <c r="C2243" s="701"/>
      <c r="D2243" s="811"/>
      <c r="E2243" s="1276">
        <f>[11]building!Y2574</f>
        <v>0</v>
      </c>
      <c r="F2243" s="748">
        <f t="shared" si="274"/>
        <v>0</v>
      </c>
      <c r="G2243" s="1205"/>
      <c r="H2243" s="1055"/>
      <c r="I2243" s="1055"/>
      <c r="J2243" s="1055"/>
      <c r="K2243" s="1205"/>
      <c r="L2243" s="1055"/>
      <c r="M2243" s="1205"/>
      <c r="N2243" s="1054"/>
      <c r="O2243" s="1207"/>
      <c r="Q2243" s="1207"/>
    </row>
    <row r="2244" spans="3:17" s="700" customFormat="1" ht="70.5" hidden="1" customHeight="1">
      <c r="C2244" s="701"/>
      <c r="D2244" s="811"/>
      <c r="E2244" s="1276">
        <f>[11]building!Y2575</f>
        <v>0</v>
      </c>
      <c r="F2244" s="748">
        <f t="shared" si="274"/>
        <v>0</v>
      </c>
      <c r="G2244" s="1205"/>
      <c r="H2244" s="1055"/>
      <c r="I2244" s="1055"/>
      <c r="J2244" s="1055"/>
      <c r="K2244" s="1205"/>
      <c r="L2244" s="1055"/>
      <c r="M2244" s="1205"/>
      <c r="N2244" s="1054"/>
      <c r="O2244" s="1207"/>
      <c r="Q2244" s="1207"/>
    </row>
    <row r="2245" spans="3:17" s="700" customFormat="1" ht="70.5" hidden="1" customHeight="1">
      <c r="C2245" s="701"/>
      <c r="D2245" s="811"/>
      <c r="E2245" s="1276">
        <f>[11]building!Y2576</f>
        <v>0</v>
      </c>
      <c r="F2245" s="748">
        <f t="shared" si="274"/>
        <v>0</v>
      </c>
      <c r="G2245" s="1205"/>
      <c r="H2245" s="1055"/>
      <c r="I2245" s="1055"/>
      <c r="J2245" s="1055"/>
      <c r="K2245" s="1205"/>
      <c r="L2245" s="1055"/>
      <c r="M2245" s="1205"/>
      <c r="N2245" s="1054"/>
      <c r="O2245" s="1207"/>
      <c r="Q2245" s="1207"/>
    </row>
    <row r="2246" spans="3:17" s="700" customFormat="1" ht="70.5" hidden="1" customHeight="1">
      <c r="C2246" s="701"/>
      <c r="D2246" s="811"/>
      <c r="E2246" s="1276">
        <f>[11]building!Y2577</f>
        <v>0</v>
      </c>
      <c r="F2246" s="748">
        <f t="shared" si="274"/>
        <v>0</v>
      </c>
      <c r="G2246" s="1205"/>
      <c r="H2246" s="1055"/>
      <c r="I2246" s="1055"/>
      <c r="J2246" s="1055"/>
      <c r="K2246" s="1205"/>
      <c r="L2246" s="1055"/>
      <c r="M2246" s="1205"/>
      <c r="N2246" s="1054"/>
      <c r="O2246" s="1207"/>
      <c r="Q2246" s="1207"/>
    </row>
    <row r="2247" spans="3:17" s="700" customFormat="1" ht="70.5" hidden="1" customHeight="1">
      <c r="C2247" s="701"/>
      <c r="D2247" s="811"/>
      <c r="E2247" s="1276">
        <f>[11]building!Y2578</f>
        <v>0</v>
      </c>
      <c r="F2247" s="748">
        <f t="shared" si="274"/>
        <v>0</v>
      </c>
      <c r="G2247" s="1205"/>
      <c r="H2247" s="1055"/>
      <c r="I2247" s="1055"/>
      <c r="J2247" s="1055"/>
      <c r="K2247" s="1205"/>
      <c r="L2247" s="1055"/>
      <c r="M2247" s="1205"/>
      <c r="N2247" s="1054"/>
      <c r="O2247" s="1207"/>
      <c r="Q2247" s="1207"/>
    </row>
    <row r="2248" spans="3:17" s="700" customFormat="1" ht="70.5" hidden="1" customHeight="1">
      <c r="C2248" s="701"/>
      <c r="D2248" s="811"/>
      <c r="E2248" s="1276">
        <f>[11]building!Y2579</f>
        <v>0</v>
      </c>
      <c r="F2248" s="748">
        <f t="shared" si="274"/>
        <v>0</v>
      </c>
      <c r="G2248" s="1205"/>
      <c r="H2248" s="1055"/>
      <c r="I2248" s="1055"/>
      <c r="J2248" s="1055"/>
      <c r="K2248" s="1205"/>
      <c r="L2248" s="1055"/>
      <c r="M2248" s="1205"/>
      <c r="N2248" s="1054"/>
      <c r="O2248" s="1207"/>
      <c r="Q2248" s="1207"/>
    </row>
    <row r="2249" spans="3:17" s="700" customFormat="1" ht="70.5" hidden="1" customHeight="1">
      <c r="C2249" s="701"/>
      <c r="D2249" s="811"/>
      <c r="E2249" s="1276">
        <f>[11]building!Y2580</f>
        <v>0</v>
      </c>
      <c r="F2249" s="748">
        <f t="shared" si="274"/>
        <v>0</v>
      </c>
      <c r="G2249" s="1205"/>
      <c r="H2249" s="1055"/>
      <c r="I2249" s="1055"/>
      <c r="J2249" s="1055"/>
      <c r="K2249" s="1205"/>
      <c r="L2249" s="1055"/>
      <c r="M2249" s="1205"/>
      <c r="N2249" s="1054"/>
      <c r="O2249" s="1207"/>
      <c r="Q2249" s="1207"/>
    </row>
    <row r="2250" spans="3:17" s="700" customFormat="1" ht="70.5" hidden="1" customHeight="1">
      <c r="C2250" s="701"/>
      <c r="D2250" s="811"/>
      <c r="E2250" s="1276">
        <f>[11]building!Y2581</f>
        <v>0</v>
      </c>
      <c r="F2250" s="748">
        <f t="shared" si="274"/>
        <v>0</v>
      </c>
      <c r="G2250" s="1205"/>
      <c r="H2250" s="1055"/>
      <c r="I2250" s="1055"/>
      <c r="J2250" s="1055"/>
      <c r="K2250" s="1205"/>
      <c r="L2250" s="1055"/>
      <c r="M2250" s="1205"/>
      <c r="N2250" s="1054"/>
      <c r="O2250" s="1207"/>
      <c r="Q2250" s="1207"/>
    </row>
    <row r="2251" spans="3:17" s="700" customFormat="1" ht="70.5" hidden="1" customHeight="1">
      <c r="C2251" s="701"/>
      <c r="D2251" s="811"/>
      <c r="E2251" s="1276">
        <f>[11]building!Y2582</f>
        <v>0</v>
      </c>
      <c r="F2251" s="748">
        <f t="shared" si="274"/>
        <v>0</v>
      </c>
      <c r="G2251" s="1205"/>
      <c r="H2251" s="1055"/>
      <c r="I2251" s="1055"/>
      <c r="J2251" s="1055"/>
      <c r="K2251" s="1205"/>
      <c r="L2251" s="1055"/>
      <c r="M2251" s="1205"/>
      <c r="N2251" s="1054"/>
      <c r="O2251" s="1207"/>
      <c r="Q2251" s="1207"/>
    </row>
    <row r="2252" spans="3:17" s="700" customFormat="1" ht="70.5" hidden="1" customHeight="1">
      <c r="C2252" s="701"/>
      <c r="D2252" s="811"/>
      <c r="E2252" s="1276">
        <f>[11]building!Y2583</f>
        <v>0</v>
      </c>
      <c r="F2252" s="748">
        <f t="shared" si="274"/>
        <v>0</v>
      </c>
      <c r="G2252" s="1205"/>
      <c r="H2252" s="1055"/>
      <c r="I2252" s="1055"/>
      <c r="J2252" s="1055"/>
      <c r="K2252" s="1205"/>
      <c r="L2252" s="1055"/>
      <c r="M2252" s="1205"/>
      <c r="N2252" s="1054"/>
      <c r="O2252" s="1207"/>
      <c r="Q2252" s="1207"/>
    </row>
    <row r="2253" spans="3:17" s="700" customFormat="1" ht="70.5" hidden="1" customHeight="1">
      <c r="C2253" s="701"/>
      <c r="D2253" s="811"/>
      <c r="E2253" s="1276">
        <f>[11]building!Y2584</f>
        <v>0</v>
      </c>
      <c r="F2253" s="748">
        <f t="shared" si="274"/>
        <v>0</v>
      </c>
      <c r="G2253" s="1205"/>
      <c r="H2253" s="1055"/>
      <c r="I2253" s="1055"/>
      <c r="J2253" s="1055"/>
      <c r="K2253" s="1205"/>
      <c r="L2253" s="1055"/>
      <c r="M2253" s="1205"/>
      <c r="N2253" s="1054"/>
      <c r="O2253" s="1207"/>
      <c r="Q2253" s="1207"/>
    </row>
    <row r="2254" spans="3:17" s="700" customFormat="1" ht="70.5" hidden="1" customHeight="1">
      <c r="C2254" s="701"/>
      <c r="D2254" s="811"/>
      <c r="E2254" s="1276">
        <f>[11]building!Y2585</f>
        <v>0</v>
      </c>
      <c r="F2254" s="748">
        <f t="shared" si="274"/>
        <v>0</v>
      </c>
      <c r="G2254" s="1205"/>
      <c r="H2254" s="1055"/>
      <c r="I2254" s="1055"/>
      <c r="J2254" s="1055"/>
      <c r="K2254" s="1205"/>
      <c r="L2254" s="1055"/>
      <c r="M2254" s="1205"/>
      <c r="N2254" s="1054"/>
      <c r="O2254" s="1207"/>
      <c r="Q2254" s="1207"/>
    </row>
    <row r="2255" spans="3:17" s="700" customFormat="1" ht="70.5" hidden="1" customHeight="1">
      <c r="C2255" s="701"/>
      <c r="D2255" s="811"/>
      <c r="E2255" s="1276">
        <f>[11]building!Y2586</f>
        <v>0</v>
      </c>
      <c r="F2255" s="748">
        <f t="shared" si="274"/>
        <v>0</v>
      </c>
      <c r="G2255" s="1205"/>
      <c r="H2255" s="1055"/>
      <c r="I2255" s="1055"/>
      <c r="J2255" s="1055"/>
      <c r="K2255" s="1205"/>
      <c r="L2255" s="1055"/>
      <c r="M2255" s="1205"/>
      <c r="N2255" s="1054"/>
      <c r="O2255" s="1207"/>
      <c r="Q2255" s="1207"/>
    </row>
    <row r="2256" spans="3:17" s="700" customFormat="1" ht="70.5" hidden="1" customHeight="1">
      <c r="C2256" s="701"/>
      <c r="D2256" s="811"/>
      <c r="E2256" s="1276">
        <f>[11]building!Y2587</f>
        <v>0</v>
      </c>
      <c r="F2256" s="748">
        <f t="shared" si="274"/>
        <v>0</v>
      </c>
      <c r="G2256" s="1205"/>
      <c r="H2256" s="1055"/>
      <c r="I2256" s="1055"/>
      <c r="J2256" s="1055"/>
      <c r="K2256" s="1205"/>
      <c r="L2256" s="1055"/>
      <c r="M2256" s="1205"/>
      <c r="N2256" s="1054"/>
      <c r="O2256" s="1207"/>
      <c r="Q2256" s="1207"/>
    </row>
    <row r="2257" spans="3:17" s="700" customFormat="1" ht="70.5" hidden="1" customHeight="1">
      <c r="C2257" s="701"/>
      <c r="D2257" s="811"/>
      <c r="E2257" s="1276">
        <f>[11]building!Y2588</f>
        <v>0</v>
      </c>
      <c r="F2257" s="748">
        <f t="shared" si="274"/>
        <v>0</v>
      </c>
      <c r="G2257" s="1205"/>
      <c r="H2257" s="1055"/>
      <c r="I2257" s="1055"/>
      <c r="J2257" s="1055"/>
      <c r="K2257" s="1205"/>
      <c r="L2257" s="1055"/>
      <c r="M2257" s="1205"/>
      <c r="N2257" s="1054"/>
      <c r="O2257" s="1207"/>
      <c r="Q2257" s="1207"/>
    </row>
    <row r="2258" spans="3:17" s="700" customFormat="1" ht="70.5" hidden="1" customHeight="1">
      <c r="C2258" s="701"/>
      <c r="D2258" s="811"/>
      <c r="E2258" s="1276">
        <f>[11]building!Y2589</f>
        <v>0</v>
      </c>
      <c r="F2258" s="748">
        <f t="shared" si="274"/>
        <v>0</v>
      </c>
      <c r="G2258" s="1205"/>
      <c r="H2258" s="1055"/>
      <c r="I2258" s="1055"/>
      <c r="J2258" s="1055"/>
      <c r="K2258" s="1205"/>
      <c r="L2258" s="1055"/>
      <c r="M2258" s="1205"/>
      <c r="N2258" s="1054"/>
      <c r="O2258" s="1207"/>
      <c r="Q2258" s="1207"/>
    </row>
    <row r="2259" spans="3:17" s="700" customFormat="1" ht="70.5" hidden="1" customHeight="1">
      <c r="C2259" s="701"/>
      <c r="D2259" s="811"/>
      <c r="E2259" s="1276">
        <f>[11]building!Y2590</f>
        <v>0</v>
      </c>
      <c r="F2259" s="748">
        <f t="shared" si="274"/>
        <v>0</v>
      </c>
      <c r="G2259" s="1205"/>
      <c r="H2259" s="1055"/>
      <c r="I2259" s="1055"/>
      <c r="J2259" s="1055"/>
      <c r="K2259" s="1205"/>
      <c r="L2259" s="1055"/>
      <c r="M2259" s="1205"/>
      <c r="N2259" s="1054"/>
      <c r="O2259" s="1207"/>
      <c r="Q2259" s="1207"/>
    </row>
    <row r="2260" spans="3:17" s="700" customFormat="1" ht="70.5" hidden="1" customHeight="1">
      <c r="C2260" s="701"/>
      <c r="D2260" s="811"/>
      <c r="E2260" s="1276">
        <f>[11]building!Y2591</f>
        <v>0</v>
      </c>
      <c r="F2260" s="748">
        <f t="shared" si="274"/>
        <v>0</v>
      </c>
      <c r="G2260" s="1205"/>
      <c r="H2260" s="1055"/>
      <c r="I2260" s="1055"/>
      <c r="J2260" s="1055"/>
      <c r="K2260" s="1205"/>
      <c r="L2260" s="1055"/>
      <c r="M2260" s="1205"/>
      <c r="N2260" s="1054"/>
      <c r="O2260" s="1207"/>
      <c r="Q2260" s="1207"/>
    </row>
    <row r="2261" spans="3:17" s="700" customFormat="1" ht="70.5" hidden="1" customHeight="1">
      <c r="C2261" s="701"/>
      <c r="D2261" s="811"/>
      <c r="E2261" s="1276">
        <f>[11]building!Y2592</f>
        <v>0</v>
      </c>
      <c r="F2261" s="748">
        <f t="shared" si="274"/>
        <v>0</v>
      </c>
      <c r="G2261" s="1205"/>
      <c r="H2261" s="1055"/>
      <c r="I2261" s="1055"/>
      <c r="J2261" s="1055"/>
      <c r="K2261" s="1205"/>
      <c r="L2261" s="1055"/>
      <c r="M2261" s="1205"/>
      <c r="N2261" s="1054"/>
      <c r="O2261" s="1207"/>
      <c r="Q2261" s="1207"/>
    </row>
    <row r="2262" spans="3:17" s="700" customFormat="1" ht="70.5" hidden="1" customHeight="1">
      <c r="C2262" s="701"/>
      <c r="D2262" s="811"/>
      <c r="E2262" s="1276">
        <f>[11]building!Y2593</f>
        <v>0</v>
      </c>
      <c r="F2262" s="748">
        <f t="shared" si="274"/>
        <v>0</v>
      </c>
      <c r="G2262" s="1205"/>
      <c r="H2262" s="1055"/>
      <c r="I2262" s="1055"/>
      <c r="J2262" s="1055"/>
      <c r="K2262" s="1205"/>
      <c r="L2262" s="1055"/>
      <c r="M2262" s="1205"/>
      <c r="N2262" s="1054"/>
      <c r="O2262" s="1207"/>
      <c r="Q2262" s="1207"/>
    </row>
    <row r="2263" spans="3:17" s="700" customFormat="1" ht="70.5" hidden="1" customHeight="1">
      <c r="C2263" s="701"/>
      <c r="D2263" s="811"/>
      <c r="E2263" s="1276">
        <f>[11]building!Y2594</f>
        <v>0</v>
      </c>
      <c r="F2263" s="748">
        <f t="shared" si="274"/>
        <v>0</v>
      </c>
      <c r="G2263" s="1205"/>
      <c r="H2263" s="1055"/>
      <c r="I2263" s="1055"/>
      <c r="J2263" s="1055"/>
      <c r="K2263" s="1205"/>
      <c r="L2263" s="1055"/>
      <c r="M2263" s="1205"/>
      <c r="N2263" s="1054"/>
      <c r="O2263" s="1207"/>
      <c r="Q2263" s="1207"/>
    </row>
    <row r="2264" spans="3:17" s="700" customFormat="1" ht="70.5" hidden="1" customHeight="1">
      <c r="C2264" s="701"/>
      <c r="D2264" s="811"/>
      <c r="E2264" s="1276">
        <f>[11]building!Y2595</f>
        <v>0</v>
      </c>
      <c r="F2264" s="748">
        <f t="shared" si="274"/>
        <v>0</v>
      </c>
      <c r="G2264" s="1205"/>
      <c r="H2264" s="1055"/>
      <c r="I2264" s="1055"/>
      <c r="J2264" s="1055"/>
      <c r="K2264" s="1205"/>
      <c r="L2264" s="1055"/>
      <c r="M2264" s="1205"/>
      <c r="N2264" s="1054"/>
      <c r="O2264" s="1207"/>
      <c r="Q2264" s="1207"/>
    </row>
    <row r="2265" spans="3:17" s="700" customFormat="1" ht="70.5" hidden="1" customHeight="1">
      <c r="C2265" s="701"/>
      <c r="D2265" s="811"/>
      <c r="E2265" s="1276">
        <f>[11]building!Y2596</f>
        <v>0</v>
      </c>
      <c r="F2265" s="748">
        <f t="shared" si="274"/>
        <v>0</v>
      </c>
      <c r="G2265" s="1205"/>
      <c r="H2265" s="1055"/>
      <c r="I2265" s="1055"/>
      <c r="J2265" s="1055"/>
      <c r="K2265" s="1205"/>
      <c r="L2265" s="1055"/>
      <c r="M2265" s="1205"/>
      <c r="N2265" s="1054"/>
      <c r="O2265" s="1207"/>
      <c r="Q2265" s="1207"/>
    </row>
    <row r="2266" spans="3:17" s="700" customFormat="1" ht="70.5" hidden="1" customHeight="1">
      <c r="C2266" s="701"/>
      <c r="D2266" s="811"/>
      <c r="E2266" s="1276">
        <f>[11]building!Y2597</f>
        <v>0</v>
      </c>
      <c r="F2266" s="748">
        <f t="shared" si="274"/>
        <v>0</v>
      </c>
      <c r="G2266" s="1205"/>
      <c r="H2266" s="1055"/>
      <c r="I2266" s="1055"/>
      <c r="J2266" s="1055"/>
      <c r="K2266" s="1205"/>
      <c r="L2266" s="1055"/>
      <c r="M2266" s="1205"/>
      <c r="N2266" s="1054"/>
      <c r="O2266" s="1207"/>
      <c r="Q2266" s="1207"/>
    </row>
    <row r="2267" spans="3:17" s="700" customFormat="1" ht="70.5" hidden="1" customHeight="1">
      <c r="C2267" s="701"/>
      <c r="D2267" s="811"/>
      <c r="E2267" s="1276">
        <f>[11]building!Y2598</f>
        <v>0</v>
      </c>
      <c r="F2267" s="748">
        <f t="shared" si="274"/>
        <v>0</v>
      </c>
      <c r="G2267" s="1205"/>
      <c r="H2267" s="1055"/>
      <c r="I2267" s="1055"/>
      <c r="J2267" s="1055"/>
      <c r="K2267" s="1205"/>
      <c r="L2267" s="1055"/>
      <c r="M2267" s="1205"/>
      <c r="N2267" s="1054"/>
      <c r="O2267" s="1207"/>
      <c r="Q2267" s="1207"/>
    </row>
    <row r="2268" spans="3:17" s="700" customFormat="1" ht="70.5" hidden="1" customHeight="1">
      <c r="C2268" s="701"/>
      <c r="D2268" s="811"/>
      <c r="E2268" s="1276">
        <f>[11]building!Y2599</f>
        <v>0</v>
      </c>
      <c r="F2268" s="748">
        <f t="shared" si="274"/>
        <v>0</v>
      </c>
      <c r="G2268" s="1205"/>
      <c r="H2268" s="1055"/>
      <c r="I2268" s="1055"/>
      <c r="J2268" s="1055"/>
      <c r="K2268" s="1205"/>
      <c r="L2268" s="1055"/>
      <c r="M2268" s="1205"/>
      <c r="N2268" s="1054"/>
      <c r="O2268" s="1207"/>
      <c r="Q2268" s="1207"/>
    </row>
    <row r="2269" spans="3:17" s="700" customFormat="1" ht="70.5" hidden="1" customHeight="1">
      <c r="C2269" s="701"/>
      <c r="D2269" s="811"/>
      <c r="E2269" s="1276">
        <f>[11]building!Y2600</f>
        <v>0</v>
      </c>
      <c r="F2269" s="748">
        <f t="shared" si="274"/>
        <v>0</v>
      </c>
      <c r="G2269" s="1205"/>
      <c r="H2269" s="1055"/>
      <c r="I2269" s="1055"/>
      <c r="J2269" s="1055"/>
      <c r="K2269" s="1205"/>
      <c r="L2269" s="1055"/>
      <c r="M2269" s="1205"/>
      <c r="N2269" s="1054"/>
      <c r="O2269" s="1207"/>
      <c r="Q2269" s="1207"/>
    </row>
    <row r="2270" spans="3:17" s="700" customFormat="1" ht="70.5" hidden="1" customHeight="1">
      <c r="C2270" s="701"/>
      <c r="D2270" s="811"/>
      <c r="E2270" s="1276">
        <f>[11]building!Y2601</f>
        <v>0</v>
      </c>
      <c r="F2270" s="748">
        <f t="shared" si="274"/>
        <v>0</v>
      </c>
      <c r="G2270" s="1205"/>
      <c r="H2270" s="1055"/>
      <c r="I2270" s="1055"/>
      <c r="J2270" s="1055"/>
      <c r="K2270" s="1205"/>
      <c r="L2270" s="1055"/>
      <c r="M2270" s="1205"/>
      <c r="N2270" s="1054"/>
      <c r="O2270" s="1207"/>
      <c r="Q2270" s="1207"/>
    </row>
    <row r="2271" spans="3:17" s="700" customFormat="1" ht="70.5" hidden="1" customHeight="1">
      <c r="C2271" s="701"/>
      <c r="D2271" s="811"/>
      <c r="E2271" s="1276">
        <f>[11]building!Y2602</f>
        <v>0</v>
      </c>
      <c r="F2271" s="748">
        <f t="shared" si="274"/>
        <v>0</v>
      </c>
      <c r="G2271" s="1205"/>
      <c r="H2271" s="1055"/>
      <c r="I2271" s="1055"/>
      <c r="J2271" s="1055"/>
      <c r="K2271" s="1205"/>
      <c r="L2271" s="1055"/>
      <c r="M2271" s="1205"/>
      <c r="N2271" s="1054"/>
      <c r="O2271" s="1207"/>
      <c r="Q2271" s="1207"/>
    </row>
    <row r="2272" spans="3:17" s="700" customFormat="1" ht="70.5" hidden="1" customHeight="1">
      <c r="C2272" s="701"/>
      <c r="D2272" s="811"/>
      <c r="E2272" s="1276">
        <f>[11]building!Y2603</f>
        <v>0</v>
      </c>
      <c r="F2272" s="748">
        <f t="shared" si="274"/>
        <v>0</v>
      </c>
      <c r="G2272" s="1205"/>
      <c r="H2272" s="1055"/>
      <c r="I2272" s="1055"/>
      <c r="J2272" s="1055"/>
      <c r="K2272" s="1205"/>
      <c r="L2272" s="1055"/>
      <c r="M2272" s="1205"/>
      <c r="N2272" s="1054"/>
      <c r="O2272" s="1207"/>
      <c r="Q2272" s="1207"/>
    </row>
    <row r="2273" spans="3:17" s="700" customFormat="1" ht="70.5" hidden="1" customHeight="1">
      <c r="C2273" s="701"/>
      <c r="D2273" s="811"/>
      <c r="E2273" s="1276">
        <f>[11]building!Y2604</f>
        <v>0</v>
      </c>
      <c r="F2273" s="748">
        <f t="shared" si="274"/>
        <v>0</v>
      </c>
      <c r="G2273" s="1205"/>
      <c r="H2273" s="1055"/>
      <c r="I2273" s="1055"/>
      <c r="J2273" s="1055"/>
      <c r="K2273" s="1205"/>
      <c r="L2273" s="1055"/>
      <c r="M2273" s="1205"/>
      <c r="N2273" s="1054"/>
      <c r="O2273" s="1207"/>
      <c r="Q2273" s="1207"/>
    </row>
    <row r="2274" spans="3:17" s="700" customFormat="1" ht="70.5" hidden="1" customHeight="1">
      <c r="C2274" s="701"/>
      <c r="D2274" s="811"/>
      <c r="E2274" s="1276">
        <f>[11]building!Y2605</f>
        <v>0</v>
      </c>
      <c r="F2274" s="748">
        <f t="shared" si="274"/>
        <v>0</v>
      </c>
      <c r="G2274" s="1205"/>
      <c r="H2274" s="1055"/>
      <c r="I2274" s="1055"/>
      <c r="J2274" s="1055"/>
      <c r="K2274" s="1205"/>
      <c r="L2274" s="1055"/>
      <c r="M2274" s="1205"/>
      <c r="N2274" s="1054"/>
      <c r="O2274" s="1207"/>
      <c r="Q2274" s="1207"/>
    </row>
    <row r="2275" spans="3:17" s="700" customFormat="1" ht="70.5" hidden="1" customHeight="1">
      <c r="C2275" s="701"/>
      <c r="D2275" s="811"/>
      <c r="E2275" s="1276">
        <f>[11]building!Y2606</f>
        <v>0</v>
      </c>
      <c r="F2275" s="748">
        <f t="shared" si="274"/>
        <v>0</v>
      </c>
      <c r="G2275" s="1205"/>
      <c r="H2275" s="1055"/>
      <c r="I2275" s="1055"/>
      <c r="J2275" s="1055"/>
      <c r="K2275" s="1205"/>
      <c r="L2275" s="1055"/>
      <c r="M2275" s="1205"/>
      <c r="N2275" s="1054"/>
      <c r="O2275" s="1207"/>
      <c r="Q2275" s="1207"/>
    </row>
    <row r="2276" spans="3:17" s="700" customFormat="1" ht="70.5" hidden="1" customHeight="1">
      <c r="C2276" s="701"/>
      <c r="D2276" s="811"/>
      <c r="E2276" s="1276">
        <f>[11]building!Y2607</f>
        <v>0</v>
      </c>
      <c r="F2276" s="748">
        <f t="shared" si="274"/>
        <v>0</v>
      </c>
      <c r="G2276" s="1205"/>
      <c r="H2276" s="1055"/>
      <c r="I2276" s="1055"/>
      <c r="J2276" s="1055"/>
      <c r="K2276" s="1205"/>
      <c r="L2276" s="1055"/>
      <c r="M2276" s="1205"/>
      <c r="N2276" s="1054"/>
      <c r="O2276" s="1207"/>
      <c r="Q2276" s="1207"/>
    </row>
    <row r="2277" spans="3:17" s="700" customFormat="1" ht="70.5" hidden="1" customHeight="1">
      <c r="C2277" s="701"/>
      <c r="D2277" s="811"/>
      <c r="E2277" s="1276">
        <f>[11]building!Y2608</f>
        <v>0</v>
      </c>
      <c r="F2277" s="748">
        <f t="shared" si="274"/>
        <v>0</v>
      </c>
      <c r="G2277" s="1205"/>
      <c r="H2277" s="1055"/>
      <c r="I2277" s="1055"/>
      <c r="J2277" s="1055"/>
      <c r="K2277" s="1205"/>
      <c r="L2277" s="1055"/>
      <c r="M2277" s="1205"/>
      <c r="N2277" s="1054"/>
      <c r="O2277" s="1207"/>
      <c r="Q2277" s="1207"/>
    </row>
    <row r="2278" spans="3:17" s="700" customFormat="1" ht="70.5" hidden="1" customHeight="1">
      <c r="C2278" s="701"/>
      <c r="D2278" s="811"/>
      <c r="E2278" s="1276">
        <f>[11]building!Y2609</f>
        <v>0</v>
      </c>
      <c r="F2278" s="748">
        <f t="shared" si="274"/>
        <v>0</v>
      </c>
      <c r="G2278" s="1205"/>
      <c r="H2278" s="1055"/>
      <c r="I2278" s="1055"/>
      <c r="J2278" s="1055"/>
      <c r="K2278" s="1205"/>
      <c r="L2278" s="1055"/>
      <c r="M2278" s="1205"/>
      <c r="N2278" s="1054"/>
      <c r="O2278" s="1207"/>
      <c r="Q2278" s="1207"/>
    </row>
    <row r="2279" spans="3:17" s="700" customFormat="1" ht="70.5" hidden="1" customHeight="1">
      <c r="C2279" s="701"/>
      <c r="D2279" s="811"/>
      <c r="E2279" s="1276">
        <f>[11]building!Y2610</f>
        <v>0</v>
      </c>
      <c r="F2279" s="748">
        <f t="shared" si="274"/>
        <v>0</v>
      </c>
      <c r="G2279" s="1205"/>
      <c r="H2279" s="1055"/>
      <c r="I2279" s="1055"/>
      <c r="J2279" s="1055"/>
      <c r="K2279" s="1205"/>
      <c r="L2279" s="1055"/>
      <c r="M2279" s="1205"/>
      <c r="N2279" s="1054"/>
      <c r="O2279" s="1207"/>
      <c r="Q2279" s="1207"/>
    </row>
    <row r="2280" spans="3:17" s="700" customFormat="1" ht="70.5" hidden="1" customHeight="1">
      <c r="C2280" s="701"/>
      <c r="D2280" s="811"/>
      <c r="E2280" s="1276">
        <f>[11]building!Y2611</f>
        <v>0</v>
      </c>
      <c r="F2280" s="748">
        <f t="shared" si="274"/>
        <v>0</v>
      </c>
      <c r="G2280" s="1205"/>
      <c r="H2280" s="1055"/>
      <c r="I2280" s="1055"/>
      <c r="J2280" s="1055"/>
      <c r="K2280" s="1205"/>
      <c r="L2280" s="1055"/>
      <c r="M2280" s="1205"/>
      <c r="N2280" s="1054"/>
      <c r="O2280" s="1207"/>
      <c r="Q2280" s="1207"/>
    </row>
    <row r="2281" spans="3:17" s="700" customFormat="1" ht="70.5" hidden="1" customHeight="1">
      <c r="C2281" s="701"/>
      <c r="D2281" s="811"/>
      <c r="E2281" s="1276">
        <f>[11]building!Y2612</f>
        <v>0</v>
      </c>
      <c r="F2281" s="748">
        <f t="shared" si="274"/>
        <v>0</v>
      </c>
      <c r="G2281" s="1205"/>
      <c r="H2281" s="1055"/>
      <c r="I2281" s="1055"/>
      <c r="J2281" s="1055"/>
      <c r="K2281" s="1205"/>
      <c r="L2281" s="1055"/>
      <c r="M2281" s="1205"/>
      <c r="N2281" s="1054"/>
      <c r="O2281" s="1207"/>
      <c r="Q2281" s="1207"/>
    </row>
    <row r="2282" spans="3:17" s="700" customFormat="1" ht="70.5" hidden="1" customHeight="1">
      <c r="C2282" s="701"/>
      <c r="D2282" s="811"/>
      <c r="E2282" s="1276">
        <f>[11]building!Y2613</f>
        <v>0</v>
      </c>
      <c r="F2282" s="748">
        <f t="shared" si="274"/>
        <v>0</v>
      </c>
      <c r="G2282" s="1205"/>
      <c r="H2282" s="1055"/>
      <c r="I2282" s="1055"/>
      <c r="J2282" s="1055"/>
      <c r="K2282" s="1205"/>
      <c r="L2282" s="1055"/>
      <c r="M2282" s="1205"/>
      <c r="N2282" s="1054"/>
      <c r="O2282" s="1207"/>
      <c r="Q2282" s="1207"/>
    </row>
    <row r="2283" spans="3:17" s="700" customFormat="1" ht="70.5" hidden="1" customHeight="1">
      <c r="C2283" s="701"/>
      <c r="D2283" s="811"/>
      <c r="E2283" s="1276">
        <f>[11]building!Y2614</f>
        <v>0</v>
      </c>
      <c r="F2283" s="748">
        <f t="shared" si="274"/>
        <v>0</v>
      </c>
      <c r="G2283" s="1205"/>
      <c r="H2283" s="1055"/>
      <c r="I2283" s="1055"/>
      <c r="J2283" s="1055"/>
      <c r="K2283" s="1205"/>
      <c r="L2283" s="1055"/>
      <c r="M2283" s="1205"/>
      <c r="N2283" s="1054"/>
      <c r="O2283" s="1207"/>
      <c r="Q2283" s="1207"/>
    </row>
    <row r="2284" spans="3:17" s="700" customFormat="1" ht="70.5" hidden="1" customHeight="1">
      <c r="C2284" s="701"/>
      <c r="D2284" s="811"/>
      <c r="E2284" s="1276">
        <f>[11]building!Y2615</f>
        <v>0</v>
      </c>
      <c r="F2284" s="748">
        <f t="shared" si="274"/>
        <v>0</v>
      </c>
      <c r="G2284" s="1205"/>
      <c r="H2284" s="1055"/>
      <c r="I2284" s="1055"/>
      <c r="J2284" s="1055"/>
      <c r="K2284" s="1205"/>
      <c r="L2284" s="1055"/>
      <c r="M2284" s="1205"/>
      <c r="N2284" s="1054"/>
      <c r="O2284" s="1207"/>
      <c r="Q2284" s="1207"/>
    </row>
    <row r="2285" spans="3:17" s="700" customFormat="1" ht="70.5" hidden="1" customHeight="1">
      <c r="C2285" s="701"/>
      <c r="D2285" s="811"/>
      <c r="E2285" s="1276">
        <f>[11]building!Y2616</f>
        <v>0</v>
      </c>
      <c r="F2285" s="748">
        <f t="shared" si="274"/>
        <v>0</v>
      </c>
      <c r="G2285" s="1205"/>
      <c r="H2285" s="1055"/>
      <c r="I2285" s="1055"/>
      <c r="J2285" s="1055"/>
      <c r="K2285" s="1205"/>
      <c r="L2285" s="1055"/>
      <c r="M2285" s="1205"/>
      <c r="N2285" s="1054"/>
      <c r="O2285" s="1207"/>
      <c r="Q2285" s="1207"/>
    </row>
    <row r="2286" spans="3:17" s="700" customFormat="1" ht="70.5" hidden="1" customHeight="1">
      <c r="C2286" s="701"/>
      <c r="D2286" s="811"/>
      <c r="E2286" s="1276">
        <f>[11]building!Y2617</f>
        <v>0</v>
      </c>
      <c r="F2286" s="748">
        <f t="shared" si="274"/>
        <v>0</v>
      </c>
      <c r="G2286" s="1205"/>
      <c r="H2286" s="1055"/>
      <c r="I2286" s="1055"/>
      <c r="J2286" s="1055"/>
      <c r="K2286" s="1205"/>
      <c r="L2286" s="1055"/>
      <c r="M2286" s="1205"/>
      <c r="N2286" s="1054"/>
      <c r="O2286" s="1207"/>
      <c r="Q2286" s="1207"/>
    </row>
    <row r="2287" spans="3:17" s="700" customFormat="1" ht="70.5" hidden="1" customHeight="1">
      <c r="C2287" s="701"/>
      <c r="D2287" s="811"/>
      <c r="E2287" s="1276">
        <f>[11]building!Y2618</f>
        <v>0</v>
      </c>
      <c r="F2287" s="748">
        <f t="shared" si="274"/>
        <v>0</v>
      </c>
      <c r="G2287" s="1205"/>
      <c r="H2287" s="1055"/>
      <c r="I2287" s="1055"/>
      <c r="J2287" s="1055"/>
      <c r="K2287" s="1205"/>
      <c r="L2287" s="1055"/>
      <c r="M2287" s="1205"/>
      <c r="N2287" s="1054"/>
      <c r="O2287" s="1207"/>
      <c r="Q2287" s="1207"/>
    </row>
    <row r="2288" spans="3:17" s="700" customFormat="1" ht="70.5" hidden="1" customHeight="1">
      <c r="C2288" s="701"/>
      <c r="D2288" s="811"/>
      <c r="E2288" s="1276">
        <f>[11]building!Y2619</f>
        <v>0</v>
      </c>
      <c r="F2288" s="748">
        <f t="shared" si="274"/>
        <v>0</v>
      </c>
      <c r="G2288" s="1205"/>
      <c r="H2288" s="1055"/>
      <c r="I2288" s="1055"/>
      <c r="J2288" s="1055"/>
      <c r="K2288" s="1205"/>
      <c r="L2288" s="1055"/>
      <c r="M2288" s="1205"/>
      <c r="N2288" s="1054"/>
      <c r="O2288" s="1207"/>
      <c r="Q2288" s="1207"/>
    </row>
    <row r="2289" spans="3:17" s="700" customFormat="1" ht="70.5" hidden="1" customHeight="1">
      <c r="C2289" s="701"/>
      <c r="D2289" s="811"/>
      <c r="E2289" s="1276">
        <f>[11]building!Y2620</f>
        <v>0</v>
      </c>
      <c r="F2289" s="748">
        <f t="shared" si="274"/>
        <v>0</v>
      </c>
      <c r="G2289" s="1205"/>
      <c r="H2289" s="1055"/>
      <c r="I2289" s="1055"/>
      <c r="J2289" s="1055"/>
      <c r="K2289" s="1205"/>
      <c r="L2289" s="1055"/>
      <c r="M2289" s="1205"/>
      <c r="N2289" s="1054"/>
      <c r="O2289" s="1207"/>
      <c r="Q2289" s="1207"/>
    </row>
    <row r="2290" spans="3:17" s="700" customFormat="1" ht="70.5" hidden="1" customHeight="1">
      <c r="C2290" s="701"/>
      <c r="D2290" s="811"/>
      <c r="E2290" s="1276">
        <f>[11]building!Y2621</f>
        <v>0</v>
      </c>
      <c r="F2290" s="748">
        <f t="shared" si="274"/>
        <v>0</v>
      </c>
      <c r="G2290" s="1205"/>
      <c r="H2290" s="1055"/>
      <c r="I2290" s="1055"/>
      <c r="J2290" s="1055"/>
      <c r="K2290" s="1205"/>
      <c r="L2290" s="1055"/>
      <c r="M2290" s="1205"/>
      <c r="N2290" s="1054"/>
      <c r="O2290" s="1207"/>
      <c r="Q2290" s="1207"/>
    </row>
    <row r="2291" spans="3:17" s="700" customFormat="1" ht="70.5" hidden="1" customHeight="1">
      <c r="C2291" s="701"/>
      <c r="D2291" s="811"/>
      <c r="E2291" s="1276">
        <f>[11]building!Y2622</f>
        <v>0</v>
      </c>
      <c r="F2291" s="748">
        <f t="shared" si="274"/>
        <v>0</v>
      </c>
      <c r="G2291" s="1205"/>
      <c r="H2291" s="1055"/>
      <c r="I2291" s="1055"/>
      <c r="J2291" s="1055"/>
      <c r="K2291" s="1205"/>
      <c r="L2291" s="1055"/>
      <c r="M2291" s="1205"/>
      <c r="N2291" s="1054"/>
      <c r="O2291" s="1207"/>
      <c r="Q2291" s="1207"/>
    </row>
    <row r="2292" spans="3:17" s="700" customFormat="1" ht="70.5" hidden="1" customHeight="1">
      <c r="C2292" s="701"/>
      <c r="D2292" s="811"/>
      <c r="E2292" s="1276">
        <f>[11]building!Y2623</f>
        <v>0</v>
      </c>
      <c r="F2292" s="748">
        <f t="shared" si="274"/>
        <v>0</v>
      </c>
      <c r="G2292" s="1205"/>
      <c r="H2292" s="1055"/>
      <c r="I2292" s="1055"/>
      <c r="J2292" s="1055"/>
      <c r="K2292" s="1205"/>
      <c r="L2292" s="1055"/>
      <c r="M2292" s="1205"/>
      <c r="N2292" s="1054"/>
      <c r="O2292" s="1207"/>
      <c r="Q2292" s="1207"/>
    </row>
    <row r="2293" spans="3:17" s="700" customFormat="1" ht="70.5" hidden="1" customHeight="1">
      <c r="C2293" s="701"/>
      <c r="D2293" s="811"/>
      <c r="E2293" s="1276">
        <f>[11]building!Y2624</f>
        <v>0</v>
      </c>
      <c r="F2293" s="748">
        <f t="shared" si="274"/>
        <v>0</v>
      </c>
      <c r="G2293" s="1205"/>
      <c r="H2293" s="1055"/>
      <c r="I2293" s="1055"/>
      <c r="J2293" s="1055"/>
      <c r="K2293" s="1205"/>
      <c r="L2293" s="1055"/>
      <c r="M2293" s="1205"/>
      <c r="N2293" s="1054"/>
      <c r="O2293" s="1207"/>
      <c r="Q2293" s="1207"/>
    </row>
    <row r="2294" spans="3:17" s="700" customFormat="1" ht="70.5" hidden="1" customHeight="1">
      <c r="C2294" s="701"/>
      <c r="D2294" s="811"/>
      <c r="E2294" s="1276">
        <f>[11]building!Y2625</f>
        <v>0</v>
      </c>
      <c r="F2294" s="748">
        <f t="shared" si="274"/>
        <v>0</v>
      </c>
      <c r="G2294" s="1205"/>
      <c r="H2294" s="1055"/>
      <c r="I2294" s="1055"/>
      <c r="J2294" s="1055"/>
      <c r="K2294" s="1205"/>
      <c r="L2294" s="1055"/>
      <c r="M2294" s="1205"/>
      <c r="N2294" s="1054"/>
      <c r="O2294" s="1207"/>
      <c r="Q2294" s="1207"/>
    </row>
    <row r="2295" spans="3:17" s="700" customFormat="1" ht="70.5" hidden="1" customHeight="1">
      <c r="C2295" s="701"/>
      <c r="D2295" s="811"/>
      <c r="E2295" s="1276">
        <f>[11]building!Y2626</f>
        <v>0</v>
      </c>
      <c r="F2295" s="748">
        <f t="shared" si="274"/>
        <v>0</v>
      </c>
      <c r="G2295" s="1205"/>
      <c r="H2295" s="1055"/>
      <c r="I2295" s="1055"/>
      <c r="J2295" s="1055"/>
      <c r="K2295" s="1205"/>
      <c r="L2295" s="1055"/>
      <c r="M2295" s="1205"/>
      <c r="N2295" s="1054"/>
      <c r="O2295" s="1207"/>
      <c r="Q2295" s="1207"/>
    </row>
    <row r="2296" spans="3:17" s="700" customFormat="1" ht="70.5" hidden="1" customHeight="1">
      <c r="C2296" s="701"/>
      <c r="D2296" s="811"/>
      <c r="E2296" s="1276">
        <f>[11]building!Y2627</f>
        <v>0</v>
      </c>
      <c r="F2296" s="748">
        <f t="shared" si="274"/>
        <v>0</v>
      </c>
      <c r="G2296" s="1205"/>
      <c r="H2296" s="1055"/>
      <c r="I2296" s="1055"/>
      <c r="J2296" s="1055"/>
      <c r="K2296" s="1205"/>
      <c r="L2296" s="1055"/>
      <c r="M2296" s="1205"/>
      <c r="N2296" s="1054"/>
      <c r="O2296" s="1207"/>
      <c r="Q2296" s="1207"/>
    </row>
    <row r="2297" spans="3:17" s="700" customFormat="1" ht="70.5" hidden="1" customHeight="1">
      <c r="C2297" s="701"/>
      <c r="D2297" s="811"/>
      <c r="E2297" s="1276">
        <f>[11]building!Y2628</f>
        <v>0</v>
      </c>
      <c r="F2297" s="748">
        <f t="shared" si="274"/>
        <v>0</v>
      </c>
      <c r="G2297" s="1205"/>
      <c r="H2297" s="1055"/>
      <c r="I2297" s="1055"/>
      <c r="J2297" s="1055"/>
      <c r="K2297" s="1205"/>
      <c r="L2297" s="1055"/>
      <c r="M2297" s="1205"/>
      <c r="N2297" s="1054"/>
      <c r="O2297" s="1207"/>
      <c r="Q2297" s="1207"/>
    </row>
    <row r="2298" spans="3:17" s="700" customFormat="1" ht="70.5" hidden="1" customHeight="1">
      <c r="C2298" s="701"/>
      <c r="D2298" s="811"/>
      <c r="E2298" s="1276">
        <f>[11]building!Y2629</f>
        <v>0</v>
      </c>
      <c r="F2298" s="748">
        <f t="shared" si="274"/>
        <v>0</v>
      </c>
      <c r="G2298" s="1205"/>
      <c r="H2298" s="1055"/>
      <c r="I2298" s="1055"/>
      <c r="J2298" s="1055"/>
      <c r="K2298" s="1205"/>
      <c r="L2298" s="1055"/>
      <c r="M2298" s="1205"/>
      <c r="N2298" s="1054"/>
      <c r="O2298" s="1207"/>
      <c r="Q2298" s="1207"/>
    </row>
    <row r="2299" spans="3:17" s="700" customFormat="1" ht="70.5" hidden="1" customHeight="1">
      <c r="C2299" s="701"/>
      <c r="D2299" s="811"/>
      <c r="E2299" s="1276">
        <f>[11]building!Y2630</f>
        <v>0</v>
      </c>
      <c r="F2299" s="748">
        <f t="shared" si="274"/>
        <v>0</v>
      </c>
      <c r="G2299" s="1205"/>
      <c r="H2299" s="1055"/>
      <c r="I2299" s="1055"/>
      <c r="J2299" s="1055"/>
      <c r="K2299" s="1205"/>
      <c r="L2299" s="1055"/>
      <c r="M2299" s="1205"/>
      <c r="N2299" s="1054"/>
      <c r="O2299" s="1207"/>
      <c r="Q2299" s="1207"/>
    </row>
    <row r="2300" spans="3:17" s="700" customFormat="1" ht="70.5" hidden="1" customHeight="1">
      <c r="C2300" s="701"/>
      <c r="D2300" s="811"/>
      <c r="E2300" s="1276">
        <f>[11]building!Y2631</f>
        <v>0</v>
      </c>
      <c r="F2300" s="748">
        <f t="shared" si="274"/>
        <v>0</v>
      </c>
      <c r="G2300" s="1205"/>
      <c r="H2300" s="1055"/>
      <c r="I2300" s="1055"/>
      <c r="J2300" s="1055"/>
      <c r="K2300" s="1205"/>
      <c r="L2300" s="1055"/>
      <c r="M2300" s="1205"/>
      <c r="N2300" s="1054"/>
      <c r="O2300" s="1207"/>
      <c r="Q2300" s="1207"/>
    </row>
    <row r="2301" spans="3:17" s="700" customFormat="1" ht="70.5" hidden="1" customHeight="1">
      <c r="C2301" s="701"/>
      <c r="D2301" s="811"/>
      <c r="E2301" s="1276">
        <f>[11]building!Y2632</f>
        <v>0</v>
      </c>
      <c r="F2301" s="748">
        <f t="shared" si="274"/>
        <v>0</v>
      </c>
      <c r="G2301" s="1205"/>
      <c r="H2301" s="1055"/>
      <c r="I2301" s="1055"/>
      <c r="J2301" s="1055"/>
      <c r="K2301" s="1205"/>
      <c r="L2301" s="1055"/>
      <c r="M2301" s="1205"/>
      <c r="N2301" s="1054"/>
      <c r="O2301" s="1207"/>
      <c r="Q2301" s="1207"/>
    </row>
    <row r="2302" spans="3:17" s="700" customFormat="1" ht="70.5" hidden="1" customHeight="1">
      <c r="C2302" s="701"/>
      <c r="D2302" s="811"/>
      <c r="E2302" s="1276">
        <f>[11]building!Y2633</f>
        <v>0</v>
      </c>
      <c r="F2302" s="748">
        <f t="shared" si="274"/>
        <v>0</v>
      </c>
      <c r="G2302" s="1205"/>
      <c r="H2302" s="1055"/>
      <c r="I2302" s="1055"/>
      <c r="J2302" s="1055"/>
      <c r="K2302" s="1205"/>
      <c r="L2302" s="1055"/>
      <c r="M2302" s="1205"/>
      <c r="N2302" s="1054"/>
      <c r="O2302" s="1207"/>
      <c r="Q2302" s="1207"/>
    </row>
    <row r="2303" spans="3:17" s="700" customFormat="1" ht="70.5" hidden="1" customHeight="1">
      <c r="C2303" s="701"/>
      <c r="D2303" s="811"/>
      <c r="E2303" s="1276">
        <f>[11]building!Y2634</f>
        <v>0</v>
      </c>
      <c r="F2303" s="748">
        <f t="shared" si="274"/>
        <v>0</v>
      </c>
      <c r="G2303" s="1205"/>
      <c r="H2303" s="1055"/>
      <c r="I2303" s="1055"/>
      <c r="J2303" s="1055"/>
      <c r="K2303" s="1205"/>
      <c r="L2303" s="1055"/>
      <c r="M2303" s="1205"/>
      <c r="N2303" s="1054"/>
      <c r="O2303" s="1207"/>
      <c r="Q2303" s="1207"/>
    </row>
    <row r="2304" spans="3:17" s="700" customFormat="1" ht="70.5" hidden="1" customHeight="1">
      <c r="C2304" s="701"/>
      <c r="D2304" s="811"/>
      <c r="E2304" s="1276">
        <f>[11]building!Y2635</f>
        <v>0</v>
      </c>
      <c r="F2304" s="748">
        <f t="shared" ref="F2304:F2367" si="275">E2304*C2304</f>
        <v>0</v>
      </c>
      <c r="G2304" s="1205"/>
      <c r="H2304" s="1055"/>
      <c r="I2304" s="1055"/>
      <c r="J2304" s="1055"/>
      <c r="K2304" s="1205"/>
      <c r="L2304" s="1055"/>
      <c r="M2304" s="1205"/>
      <c r="N2304" s="1054"/>
      <c r="O2304" s="1207"/>
      <c r="Q2304" s="1207"/>
    </row>
    <row r="2305" spans="3:17" s="700" customFormat="1" ht="70.5" hidden="1" customHeight="1">
      <c r="C2305" s="701"/>
      <c r="D2305" s="811"/>
      <c r="E2305" s="1276">
        <f>[11]building!Y2636</f>
        <v>0</v>
      </c>
      <c r="F2305" s="748">
        <f t="shared" si="275"/>
        <v>0</v>
      </c>
      <c r="G2305" s="1205"/>
      <c r="H2305" s="1055"/>
      <c r="I2305" s="1055"/>
      <c r="J2305" s="1055"/>
      <c r="K2305" s="1205"/>
      <c r="L2305" s="1055"/>
      <c r="M2305" s="1205"/>
      <c r="N2305" s="1054"/>
      <c r="O2305" s="1207"/>
      <c r="Q2305" s="1207"/>
    </row>
    <row r="2306" spans="3:17" s="700" customFormat="1" ht="70.5" hidden="1" customHeight="1">
      <c r="C2306" s="701"/>
      <c r="D2306" s="811"/>
      <c r="E2306" s="1276">
        <f>[11]building!Y2637</f>
        <v>0</v>
      </c>
      <c r="F2306" s="748">
        <f t="shared" si="275"/>
        <v>0</v>
      </c>
      <c r="G2306" s="1205"/>
      <c r="H2306" s="1055"/>
      <c r="I2306" s="1055"/>
      <c r="J2306" s="1055"/>
      <c r="K2306" s="1205"/>
      <c r="L2306" s="1055"/>
      <c r="M2306" s="1205"/>
      <c r="N2306" s="1054"/>
      <c r="O2306" s="1207"/>
      <c r="Q2306" s="1207"/>
    </row>
    <row r="2307" spans="3:17" s="700" customFormat="1" ht="70.5" hidden="1" customHeight="1">
      <c r="C2307" s="701"/>
      <c r="D2307" s="811"/>
      <c r="E2307" s="1276">
        <f>[11]building!Y2638</f>
        <v>0</v>
      </c>
      <c r="F2307" s="748">
        <f t="shared" si="275"/>
        <v>0</v>
      </c>
      <c r="G2307" s="1205"/>
      <c r="H2307" s="1055"/>
      <c r="I2307" s="1055"/>
      <c r="J2307" s="1055"/>
      <c r="K2307" s="1205"/>
      <c r="L2307" s="1055"/>
      <c r="M2307" s="1205"/>
      <c r="N2307" s="1054"/>
      <c r="O2307" s="1207"/>
      <c r="Q2307" s="1207"/>
    </row>
    <row r="2308" spans="3:17" s="700" customFormat="1" ht="70.5" hidden="1" customHeight="1">
      <c r="C2308" s="701"/>
      <c r="D2308" s="811"/>
      <c r="E2308" s="1276">
        <f>[11]building!Y2639</f>
        <v>0</v>
      </c>
      <c r="F2308" s="748">
        <f t="shared" si="275"/>
        <v>0</v>
      </c>
      <c r="G2308" s="1205"/>
      <c r="H2308" s="1055"/>
      <c r="I2308" s="1055"/>
      <c r="J2308" s="1055"/>
      <c r="K2308" s="1205"/>
      <c r="L2308" s="1055"/>
      <c r="M2308" s="1205"/>
      <c r="N2308" s="1054"/>
      <c r="O2308" s="1207"/>
      <c r="Q2308" s="1207"/>
    </row>
    <row r="2309" spans="3:17" s="700" customFormat="1" ht="70.5" hidden="1" customHeight="1">
      <c r="C2309" s="701"/>
      <c r="D2309" s="811"/>
      <c r="E2309" s="1276">
        <f>[11]building!Y2640</f>
        <v>0</v>
      </c>
      <c r="F2309" s="748">
        <f t="shared" si="275"/>
        <v>0</v>
      </c>
      <c r="G2309" s="1205"/>
      <c r="H2309" s="1055"/>
      <c r="I2309" s="1055"/>
      <c r="J2309" s="1055"/>
      <c r="K2309" s="1205"/>
      <c r="L2309" s="1055"/>
      <c r="M2309" s="1205"/>
      <c r="N2309" s="1054"/>
      <c r="O2309" s="1207"/>
      <c r="Q2309" s="1207"/>
    </row>
    <row r="2310" spans="3:17" s="700" customFormat="1" ht="70.5" hidden="1" customHeight="1">
      <c r="C2310" s="701"/>
      <c r="D2310" s="811"/>
      <c r="E2310" s="1276">
        <f>[11]building!Y2641</f>
        <v>0</v>
      </c>
      <c r="F2310" s="748">
        <f t="shared" si="275"/>
        <v>0</v>
      </c>
      <c r="G2310" s="1205"/>
      <c r="H2310" s="1055"/>
      <c r="I2310" s="1055"/>
      <c r="J2310" s="1055"/>
      <c r="K2310" s="1205"/>
      <c r="L2310" s="1055"/>
      <c r="M2310" s="1205"/>
      <c r="N2310" s="1054"/>
      <c r="O2310" s="1207"/>
      <c r="Q2310" s="1207"/>
    </row>
    <row r="2311" spans="3:17" s="700" customFormat="1" ht="70.5" hidden="1" customHeight="1">
      <c r="C2311" s="701"/>
      <c r="D2311" s="811"/>
      <c r="E2311" s="1276">
        <f>[11]building!Y2642</f>
        <v>0</v>
      </c>
      <c r="F2311" s="748">
        <f t="shared" si="275"/>
        <v>0</v>
      </c>
      <c r="G2311" s="1205"/>
      <c r="H2311" s="1055"/>
      <c r="I2311" s="1055"/>
      <c r="J2311" s="1055"/>
      <c r="K2311" s="1205"/>
      <c r="L2311" s="1055"/>
      <c r="M2311" s="1205"/>
      <c r="N2311" s="1054"/>
      <c r="O2311" s="1207"/>
      <c r="Q2311" s="1207"/>
    </row>
    <row r="2312" spans="3:17" s="700" customFormat="1" ht="70.5" hidden="1" customHeight="1">
      <c r="C2312" s="701"/>
      <c r="D2312" s="811"/>
      <c r="E2312" s="1276">
        <f>[11]building!Y2643</f>
        <v>0</v>
      </c>
      <c r="F2312" s="748">
        <f t="shared" si="275"/>
        <v>0</v>
      </c>
      <c r="G2312" s="1205"/>
      <c r="H2312" s="1055"/>
      <c r="I2312" s="1055"/>
      <c r="J2312" s="1055"/>
      <c r="K2312" s="1205"/>
      <c r="L2312" s="1055"/>
      <c r="M2312" s="1205"/>
      <c r="N2312" s="1054"/>
      <c r="O2312" s="1207"/>
      <c r="Q2312" s="1207"/>
    </row>
    <row r="2313" spans="3:17" s="700" customFormat="1" ht="70.5" hidden="1" customHeight="1">
      <c r="C2313" s="701"/>
      <c r="D2313" s="811"/>
      <c r="E2313" s="1276">
        <f>[11]building!Y2644</f>
        <v>0</v>
      </c>
      <c r="F2313" s="748">
        <f t="shared" si="275"/>
        <v>0</v>
      </c>
      <c r="G2313" s="1205"/>
      <c r="H2313" s="1055"/>
      <c r="I2313" s="1055"/>
      <c r="J2313" s="1055"/>
      <c r="K2313" s="1205"/>
      <c r="L2313" s="1055"/>
      <c r="M2313" s="1205"/>
      <c r="N2313" s="1054"/>
      <c r="O2313" s="1207"/>
      <c r="Q2313" s="1207"/>
    </row>
    <row r="2314" spans="3:17" s="700" customFormat="1" ht="70.5" hidden="1" customHeight="1">
      <c r="C2314" s="701"/>
      <c r="D2314" s="811"/>
      <c r="E2314" s="1276">
        <f>[11]building!Y2645</f>
        <v>0</v>
      </c>
      <c r="F2314" s="748">
        <f t="shared" si="275"/>
        <v>0</v>
      </c>
      <c r="G2314" s="1205"/>
      <c r="H2314" s="1055"/>
      <c r="I2314" s="1055"/>
      <c r="J2314" s="1055"/>
      <c r="K2314" s="1205"/>
      <c r="L2314" s="1055"/>
      <c r="M2314" s="1205"/>
      <c r="N2314" s="1054"/>
      <c r="O2314" s="1207"/>
      <c r="Q2314" s="1207"/>
    </row>
    <row r="2315" spans="3:17" s="700" customFormat="1" ht="70.5" hidden="1" customHeight="1">
      <c r="C2315" s="701"/>
      <c r="D2315" s="811"/>
      <c r="E2315" s="1276">
        <f>[11]building!Y2646</f>
        <v>0</v>
      </c>
      <c r="F2315" s="748">
        <f t="shared" si="275"/>
        <v>0</v>
      </c>
      <c r="G2315" s="1205"/>
      <c r="H2315" s="1055"/>
      <c r="I2315" s="1055"/>
      <c r="J2315" s="1055"/>
      <c r="K2315" s="1205"/>
      <c r="L2315" s="1055"/>
      <c r="M2315" s="1205"/>
      <c r="N2315" s="1054"/>
      <c r="O2315" s="1207"/>
      <c r="Q2315" s="1207"/>
    </row>
    <row r="2316" spans="3:17" s="700" customFormat="1" ht="70.5" hidden="1" customHeight="1">
      <c r="C2316" s="701"/>
      <c r="D2316" s="811"/>
      <c r="E2316" s="1276">
        <f>[11]building!Y2647</f>
        <v>0</v>
      </c>
      <c r="F2316" s="748">
        <f t="shared" si="275"/>
        <v>0</v>
      </c>
      <c r="G2316" s="1205"/>
      <c r="H2316" s="1055"/>
      <c r="I2316" s="1055"/>
      <c r="J2316" s="1055"/>
      <c r="K2316" s="1205"/>
      <c r="L2316" s="1055"/>
      <c r="M2316" s="1205"/>
      <c r="N2316" s="1054"/>
      <c r="O2316" s="1207"/>
      <c r="Q2316" s="1207"/>
    </row>
    <row r="2317" spans="3:17" s="700" customFormat="1" ht="70.5" hidden="1" customHeight="1">
      <c r="C2317" s="701"/>
      <c r="D2317" s="811"/>
      <c r="E2317" s="1276">
        <f>[11]building!Y2648</f>
        <v>0</v>
      </c>
      <c r="F2317" s="748">
        <f t="shared" si="275"/>
        <v>0</v>
      </c>
      <c r="G2317" s="1205"/>
      <c r="H2317" s="1055"/>
      <c r="I2317" s="1055"/>
      <c r="J2317" s="1055"/>
      <c r="K2317" s="1205"/>
      <c r="L2317" s="1055"/>
      <c r="M2317" s="1205"/>
      <c r="N2317" s="1054"/>
      <c r="O2317" s="1207"/>
      <c r="Q2317" s="1207"/>
    </row>
    <row r="2318" spans="3:17" s="700" customFormat="1" ht="70.5" hidden="1" customHeight="1">
      <c r="C2318" s="701"/>
      <c r="D2318" s="811"/>
      <c r="E2318" s="1276">
        <f>[11]building!Y2649</f>
        <v>0</v>
      </c>
      <c r="F2318" s="748">
        <f t="shared" si="275"/>
        <v>0</v>
      </c>
      <c r="G2318" s="1205"/>
      <c r="H2318" s="1055"/>
      <c r="I2318" s="1055"/>
      <c r="J2318" s="1055"/>
      <c r="K2318" s="1205"/>
      <c r="L2318" s="1055"/>
      <c r="M2318" s="1205"/>
      <c r="N2318" s="1054"/>
      <c r="O2318" s="1207"/>
      <c r="Q2318" s="1207"/>
    </row>
    <row r="2319" spans="3:17" s="700" customFormat="1" ht="70.5" hidden="1" customHeight="1">
      <c r="C2319" s="701"/>
      <c r="D2319" s="811"/>
      <c r="E2319" s="1276">
        <f>[11]building!Y2650</f>
        <v>0</v>
      </c>
      <c r="F2319" s="748">
        <f t="shared" si="275"/>
        <v>0</v>
      </c>
      <c r="G2319" s="1205"/>
      <c r="H2319" s="1055"/>
      <c r="I2319" s="1055"/>
      <c r="J2319" s="1055"/>
      <c r="K2319" s="1205"/>
      <c r="L2319" s="1055"/>
      <c r="M2319" s="1205"/>
      <c r="N2319" s="1054"/>
      <c r="O2319" s="1207"/>
      <c r="Q2319" s="1207"/>
    </row>
    <row r="2320" spans="3:17" s="700" customFormat="1" ht="70.5" hidden="1" customHeight="1">
      <c r="C2320" s="701"/>
      <c r="D2320" s="811"/>
      <c r="E2320" s="1276">
        <f>[11]building!Y2651</f>
        <v>0</v>
      </c>
      <c r="F2320" s="748">
        <f t="shared" si="275"/>
        <v>0</v>
      </c>
      <c r="G2320" s="1205"/>
      <c r="H2320" s="1055"/>
      <c r="I2320" s="1055"/>
      <c r="J2320" s="1055"/>
      <c r="K2320" s="1205"/>
      <c r="L2320" s="1055"/>
      <c r="M2320" s="1205"/>
      <c r="N2320" s="1054"/>
      <c r="O2320" s="1207"/>
      <c r="Q2320" s="1207"/>
    </row>
    <row r="2321" spans="3:17" s="700" customFormat="1" ht="70.5" hidden="1" customHeight="1">
      <c r="C2321" s="701"/>
      <c r="D2321" s="811"/>
      <c r="E2321" s="1276">
        <f>[11]building!Y2652</f>
        <v>0</v>
      </c>
      <c r="F2321" s="748">
        <f t="shared" si="275"/>
        <v>0</v>
      </c>
      <c r="G2321" s="1205"/>
      <c r="H2321" s="1055"/>
      <c r="I2321" s="1055"/>
      <c r="J2321" s="1055"/>
      <c r="K2321" s="1205"/>
      <c r="L2321" s="1055"/>
      <c r="M2321" s="1205"/>
      <c r="N2321" s="1054"/>
      <c r="O2321" s="1207"/>
      <c r="Q2321" s="1207"/>
    </row>
    <row r="2322" spans="3:17" s="700" customFormat="1" ht="70.5" hidden="1" customHeight="1">
      <c r="C2322" s="701"/>
      <c r="D2322" s="811"/>
      <c r="E2322" s="1276">
        <f>[11]building!Y2653</f>
        <v>0</v>
      </c>
      <c r="F2322" s="748">
        <f t="shared" si="275"/>
        <v>0</v>
      </c>
      <c r="G2322" s="1205"/>
      <c r="H2322" s="1055"/>
      <c r="I2322" s="1055"/>
      <c r="J2322" s="1055"/>
      <c r="K2322" s="1205"/>
      <c r="L2322" s="1055"/>
      <c r="M2322" s="1205"/>
      <c r="N2322" s="1054"/>
      <c r="O2322" s="1207"/>
      <c r="Q2322" s="1207"/>
    </row>
    <row r="2323" spans="3:17" s="700" customFormat="1" ht="70.5" hidden="1" customHeight="1">
      <c r="C2323" s="701"/>
      <c r="D2323" s="811"/>
      <c r="E2323" s="1276">
        <f>[11]building!Y2654</f>
        <v>0</v>
      </c>
      <c r="F2323" s="748">
        <f t="shared" si="275"/>
        <v>0</v>
      </c>
      <c r="G2323" s="1205"/>
      <c r="H2323" s="1055"/>
      <c r="I2323" s="1055"/>
      <c r="J2323" s="1055"/>
      <c r="K2323" s="1205"/>
      <c r="L2323" s="1055"/>
      <c r="M2323" s="1205"/>
      <c r="N2323" s="1054"/>
      <c r="O2323" s="1207"/>
      <c r="Q2323" s="1207"/>
    </row>
    <row r="2324" spans="3:17" s="700" customFormat="1" ht="70.5" hidden="1" customHeight="1">
      <c r="C2324" s="701"/>
      <c r="D2324" s="811"/>
      <c r="E2324" s="1276">
        <f>[11]building!Y2655</f>
        <v>0</v>
      </c>
      <c r="F2324" s="748">
        <f t="shared" si="275"/>
        <v>0</v>
      </c>
      <c r="G2324" s="1205"/>
      <c r="H2324" s="1055"/>
      <c r="I2324" s="1055"/>
      <c r="J2324" s="1055"/>
      <c r="K2324" s="1205"/>
      <c r="L2324" s="1055"/>
      <c r="M2324" s="1205"/>
      <c r="N2324" s="1054"/>
      <c r="O2324" s="1207"/>
      <c r="Q2324" s="1207"/>
    </row>
    <row r="2325" spans="3:17" s="700" customFormat="1" ht="70.5" hidden="1" customHeight="1">
      <c r="C2325" s="701"/>
      <c r="D2325" s="811"/>
      <c r="E2325" s="1276">
        <f>[11]building!Y2656</f>
        <v>0</v>
      </c>
      <c r="F2325" s="748">
        <f t="shared" si="275"/>
        <v>0</v>
      </c>
      <c r="G2325" s="1205"/>
      <c r="H2325" s="1055"/>
      <c r="I2325" s="1055"/>
      <c r="J2325" s="1055"/>
      <c r="K2325" s="1205"/>
      <c r="L2325" s="1055"/>
      <c r="M2325" s="1205"/>
      <c r="N2325" s="1054"/>
      <c r="O2325" s="1207"/>
      <c r="Q2325" s="1207"/>
    </row>
    <row r="2326" spans="3:17" s="700" customFormat="1" ht="70.5" hidden="1" customHeight="1">
      <c r="C2326" s="701"/>
      <c r="D2326" s="811"/>
      <c r="E2326" s="1276">
        <f>[11]building!Y2657</f>
        <v>0</v>
      </c>
      <c r="F2326" s="748">
        <f t="shared" si="275"/>
        <v>0</v>
      </c>
      <c r="G2326" s="1205"/>
      <c r="H2326" s="1055"/>
      <c r="I2326" s="1055"/>
      <c r="J2326" s="1055"/>
      <c r="K2326" s="1205"/>
      <c r="L2326" s="1055"/>
      <c r="M2326" s="1205"/>
      <c r="N2326" s="1054"/>
      <c r="O2326" s="1207"/>
      <c r="Q2326" s="1207"/>
    </row>
    <row r="2327" spans="3:17" s="700" customFormat="1" ht="70.5" hidden="1" customHeight="1">
      <c r="C2327" s="701"/>
      <c r="D2327" s="811"/>
      <c r="E2327" s="1276">
        <f>[11]building!Y2658</f>
        <v>0</v>
      </c>
      <c r="F2327" s="748">
        <f t="shared" si="275"/>
        <v>0</v>
      </c>
      <c r="G2327" s="1205"/>
      <c r="H2327" s="1055"/>
      <c r="I2327" s="1055"/>
      <c r="J2327" s="1055"/>
      <c r="K2327" s="1205"/>
      <c r="L2327" s="1055"/>
      <c r="M2327" s="1205"/>
      <c r="N2327" s="1054"/>
      <c r="O2327" s="1207"/>
      <c r="Q2327" s="1207"/>
    </row>
    <row r="2328" spans="3:17" s="700" customFormat="1" ht="70.5" hidden="1" customHeight="1">
      <c r="C2328" s="701"/>
      <c r="D2328" s="811"/>
      <c r="E2328" s="1276">
        <f>[11]building!Y2659</f>
        <v>0</v>
      </c>
      <c r="F2328" s="748">
        <f t="shared" si="275"/>
        <v>0</v>
      </c>
      <c r="G2328" s="1205"/>
      <c r="H2328" s="1055"/>
      <c r="I2328" s="1055"/>
      <c r="J2328" s="1055"/>
      <c r="K2328" s="1205"/>
      <c r="L2328" s="1055"/>
      <c r="M2328" s="1205"/>
      <c r="N2328" s="1054"/>
      <c r="O2328" s="1207"/>
      <c r="Q2328" s="1207"/>
    </row>
    <row r="2329" spans="3:17" s="700" customFormat="1" ht="70.5" hidden="1" customHeight="1">
      <c r="C2329" s="701"/>
      <c r="D2329" s="811"/>
      <c r="E2329" s="1276">
        <f>[11]building!Y2660</f>
        <v>0</v>
      </c>
      <c r="F2329" s="748">
        <f t="shared" si="275"/>
        <v>0</v>
      </c>
      <c r="G2329" s="1205"/>
      <c r="H2329" s="1055"/>
      <c r="I2329" s="1055"/>
      <c r="J2329" s="1055"/>
      <c r="K2329" s="1205"/>
      <c r="L2329" s="1055"/>
      <c r="M2329" s="1205"/>
      <c r="N2329" s="1054"/>
      <c r="O2329" s="1207"/>
      <c r="Q2329" s="1207"/>
    </row>
    <row r="2330" spans="3:17" s="700" customFormat="1" ht="70.5" hidden="1" customHeight="1">
      <c r="C2330" s="701"/>
      <c r="D2330" s="811"/>
      <c r="E2330" s="1276">
        <f>[11]building!Y2661</f>
        <v>0</v>
      </c>
      <c r="F2330" s="748">
        <f t="shared" si="275"/>
        <v>0</v>
      </c>
      <c r="G2330" s="1205"/>
      <c r="H2330" s="1055"/>
      <c r="I2330" s="1055"/>
      <c r="J2330" s="1055"/>
      <c r="K2330" s="1205"/>
      <c r="L2330" s="1055"/>
      <c r="M2330" s="1205"/>
      <c r="N2330" s="1054"/>
      <c r="O2330" s="1207"/>
      <c r="Q2330" s="1207"/>
    </row>
    <row r="2331" spans="3:17" s="700" customFormat="1" ht="70.5" hidden="1" customHeight="1">
      <c r="C2331" s="701"/>
      <c r="D2331" s="811"/>
      <c r="E2331" s="1276">
        <f>[11]building!Y2662</f>
        <v>0</v>
      </c>
      <c r="F2331" s="748">
        <f t="shared" si="275"/>
        <v>0</v>
      </c>
      <c r="G2331" s="1205"/>
      <c r="H2331" s="1055"/>
      <c r="I2331" s="1055"/>
      <c r="J2331" s="1055"/>
      <c r="K2331" s="1205"/>
      <c r="L2331" s="1055"/>
      <c r="M2331" s="1205"/>
      <c r="N2331" s="1054"/>
      <c r="O2331" s="1207"/>
      <c r="Q2331" s="1207"/>
    </row>
    <row r="2332" spans="3:17" s="700" customFormat="1" ht="70.5" hidden="1" customHeight="1">
      <c r="C2332" s="701"/>
      <c r="D2332" s="811"/>
      <c r="E2332" s="1276">
        <f>[11]building!Y2663</f>
        <v>0</v>
      </c>
      <c r="F2332" s="748">
        <f t="shared" si="275"/>
        <v>0</v>
      </c>
      <c r="G2332" s="1205"/>
      <c r="H2332" s="1055"/>
      <c r="I2332" s="1055"/>
      <c r="J2332" s="1055"/>
      <c r="K2332" s="1205"/>
      <c r="L2332" s="1055"/>
      <c r="M2332" s="1205"/>
      <c r="N2332" s="1054"/>
      <c r="O2332" s="1207"/>
      <c r="Q2332" s="1207"/>
    </row>
    <row r="2333" spans="3:17" s="700" customFormat="1" ht="70.5" hidden="1" customHeight="1">
      <c r="C2333" s="701"/>
      <c r="D2333" s="811"/>
      <c r="E2333" s="1276">
        <f>[11]building!Y2664</f>
        <v>0</v>
      </c>
      <c r="F2333" s="748">
        <f t="shared" si="275"/>
        <v>0</v>
      </c>
      <c r="G2333" s="1205"/>
      <c r="H2333" s="1055"/>
      <c r="I2333" s="1055"/>
      <c r="J2333" s="1055"/>
      <c r="K2333" s="1205"/>
      <c r="L2333" s="1055"/>
      <c r="M2333" s="1205"/>
      <c r="N2333" s="1054"/>
      <c r="O2333" s="1207"/>
      <c r="Q2333" s="1207"/>
    </row>
    <row r="2334" spans="3:17" s="700" customFormat="1" ht="70.5" hidden="1" customHeight="1">
      <c r="C2334" s="701"/>
      <c r="D2334" s="811"/>
      <c r="E2334" s="1276">
        <f>[11]building!Y2665</f>
        <v>0</v>
      </c>
      <c r="F2334" s="748">
        <f t="shared" si="275"/>
        <v>0</v>
      </c>
      <c r="G2334" s="1205"/>
      <c r="H2334" s="1055"/>
      <c r="I2334" s="1055"/>
      <c r="J2334" s="1055"/>
      <c r="K2334" s="1205"/>
      <c r="L2334" s="1055"/>
      <c r="M2334" s="1205"/>
      <c r="N2334" s="1054"/>
      <c r="O2334" s="1207"/>
      <c r="Q2334" s="1207"/>
    </row>
    <row r="2335" spans="3:17" s="700" customFormat="1" ht="70.5" hidden="1" customHeight="1">
      <c r="C2335" s="701"/>
      <c r="D2335" s="811"/>
      <c r="E2335" s="1276">
        <f>[11]building!Y2666</f>
        <v>0</v>
      </c>
      <c r="F2335" s="748">
        <f t="shared" si="275"/>
        <v>0</v>
      </c>
      <c r="G2335" s="1205"/>
      <c r="H2335" s="1055"/>
      <c r="I2335" s="1055"/>
      <c r="J2335" s="1055"/>
      <c r="K2335" s="1205"/>
      <c r="L2335" s="1055"/>
      <c r="M2335" s="1205"/>
      <c r="N2335" s="1054"/>
      <c r="O2335" s="1207"/>
      <c r="Q2335" s="1207"/>
    </row>
    <row r="2336" spans="3:17" s="700" customFormat="1" ht="70.5" hidden="1" customHeight="1">
      <c r="C2336" s="701"/>
      <c r="D2336" s="811"/>
      <c r="E2336" s="1276">
        <f>[11]building!Y2667</f>
        <v>0</v>
      </c>
      <c r="F2336" s="748">
        <f t="shared" si="275"/>
        <v>0</v>
      </c>
      <c r="G2336" s="1205"/>
      <c r="H2336" s="1055"/>
      <c r="I2336" s="1055"/>
      <c r="J2336" s="1055"/>
      <c r="K2336" s="1205"/>
      <c r="L2336" s="1055"/>
      <c r="M2336" s="1205"/>
      <c r="N2336" s="1054"/>
      <c r="O2336" s="1207"/>
      <c r="Q2336" s="1207"/>
    </row>
    <row r="2337" spans="3:17" s="700" customFormat="1" ht="70.5" hidden="1" customHeight="1">
      <c r="C2337" s="701"/>
      <c r="D2337" s="811"/>
      <c r="E2337" s="1276">
        <f>[11]building!Y2668</f>
        <v>0</v>
      </c>
      <c r="F2337" s="748">
        <f t="shared" si="275"/>
        <v>0</v>
      </c>
      <c r="G2337" s="1205"/>
      <c r="H2337" s="1055"/>
      <c r="I2337" s="1055"/>
      <c r="J2337" s="1055"/>
      <c r="K2337" s="1205"/>
      <c r="L2337" s="1055"/>
      <c r="M2337" s="1205"/>
      <c r="N2337" s="1054"/>
      <c r="O2337" s="1207"/>
      <c r="Q2337" s="1207"/>
    </row>
    <row r="2338" spans="3:17" s="700" customFormat="1" ht="70.5" hidden="1" customHeight="1">
      <c r="C2338" s="701"/>
      <c r="D2338" s="811"/>
      <c r="E2338" s="1276">
        <f>[11]building!Y2669</f>
        <v>0</v>
      </c>
      <c r="F2338" s="748">
        <f t="shared" si="275"/>
        <v>0</v>
      </c>
      <c r="G2338" s="1205"/>
      <c r="H2338" s="1055"/>
      <c r="I2338" s="1055"/>
      <c r="J2338" s="1055"/>
      <c r="K2338" s="1205"/>
      <c r="L2338" s="1055"/>
      <c r="M2338" s="1205"/>
      <c r="N2338" s="1054"/>
      <c r="O2338" s="1207"/>
      <c r="Q2338" s="1207"/>
    </row>
    <row r="2339" spans="3:17" s="700" customFormat="1" ht="70.5" hidden="1" customHeight="1">
      <c r="C2339" s="701"/>
      <c r="D2339" s="811"/>
      <c r="E2339" s="1276">
        <f>[11]building!Y2670</f>
        <v>0</v>
      </c>
      <c r="F2339" s="748">
        <f t="shared" si="275"/>
        <v>0</v>
      </c>
      <c r="G2339" s="1205"/>
      <c r="H2339" s="1055"/>
      <c r="I2339" s="1055"/>
      <c r="J2339" s="1055"/>
      <c r="K2339" s="1205"/>
      <c r="L2339" s="1055"/>
      <c r="M2339" s="1205"/>
      <c r="N2339" s="1054"/>
      <c r="O2339" s="1207"/>
      <c r="Q2339" s="1207"/>
    </row>
    <row r="2340" spans="3:17" s="700" customFormat="1" ht="70.5" hidden="1" customHeight="1">
      <c r="C2340" s="701"/>
      <c r="D2340" s="811"/>
      <c r="E2340" s="1276">
        <f>[11]building!Y2671</f>
        <v>0</v>
      </c>
      <c r="F2340" s="748">
        <f t="shared" si="275"/>
        <v>0</v>
      </c>
      <c r="G2340" s="1205"/>
      <c r="H2340" s="1055"/>
      <c r="I2340" s="1055"/>
      <c r="J2340" s="1055"/>
      <c r="K2340" s="1205"/>
      <c r="L2340" s="1055"/>
      <c r="M2340" s="1205"/>
      <c r="N2340" s="1054"/>
      <c r="O2340" s="1207"/>
      <c r="Q2340" s="1207"/>
    </row>
    <row r="2341" spans="3:17" s="700" customFormat="1" ht="70.5" hidden="1" customHeight="1">
      <c r="C2341" s="701"/>
      <c r="D2341" s="811"/>
      <c r="E2341" s="1276">
        <f>[11]building!Y2672</f>
        <v>0</v>
      </c>
      <c r="F2341" s="748">
        <f t="shared" si="275"/>
        <v>0</v>
      </c>
      <c r="G2341" s="1205"/>
      <c r="H2341" s="1055"/>
      <c r="I2341" s="1055"/>
      <c r="J2341" s="1055"/>
      <c r="K2341" s="1205"/>
      <c r="L2341" s="1055"/>
      <c r="M2341" s="1205"/>
      <c r="N2341" s="1054"/>
      <c r="O2341" s="1207"/>
      <c r="Q2341" s="1207"/>
    </row>
    <row r="2342" spans="3:17" s="700" customFormat="1" ht="70.5" hidden="1" customHeight="1">
      <c r="C2342" s="701"/>
      <c r="D2342" s="811"/>
      <c r="E2342" s="1276">
        <f>[11]building!Y2673</f>
        <v>0</v>
      </c>
      <c r="F2342" s="748">
        <f t="shared" si="275"/>
        <v>0</v>
      </c>
      <c r="G2342" s="1205"/>
      <c r="H2342" s="1055"/>
      <c r="I2342" s="1055"/>
      <c r="J2342" s="1055"/>
      <c r="K2342" s="1205"/>
      <c r="L2342" s="1055"/>
      <c r="M2342" s="1205"/>
      <c r="N2342" s="1054"/>
      <c r="O2342" s="1207"/>
      <c r="Q2342" s="1207"/>
    </row>
    <row r="2343" spans="3:17" s="700" customFormat="1" ht="70.5" hidden="1" customHeight="1">
      <c r="C2343" s="701"/>
      <c r="D2343" s="811"/>
      <c r="E2343" s="1276">
        <f>[11]building!Y2674</f>
        <v>0</v>
      </c>
      <c r="F2343" s="748">
        <f t="shared" si="275"/>
        <v>0</v>
      </c>
      <c r="G2343" s="1205"/>
      <c r="H2343" s="1055"/>
      <c r="I2343" s="1055"/>
      <c r="J2343" s="1055"/>
      <c r="K2343" s="1205"/>
      <c r="L2343" s="1055"/>
      <c r="M2343" s="1205"/>
      <c r="N2343" s="1054"/>
      <c r="O2343" s="1207"/>
      <c r="Q2343" s="1207"/>
    </row>
    <row r="2344" spans="3:17" s="700" customFormat="1" ht="70.5" hidden="1" customHeight="1">
      <c r="C2344" s="701"/>
      <c r="D2344" s="811"/>
      <c r="E2344" s="1276">
        <f>[11]building!Y2675</f>
        <v>0</v>
      </c>
      <c r="F2344" s="748">
        <f t="shared" si="275"/>
        <v>0</v>
      </c>
      <c r="G2344" s="1205"/>
      <c r="H2344" s="1055"/>
      <c r="I2344" s="1055"/>
      <c r="J2344" s="1055"/>
      <c r="K2344" s="1205"/>
      <c r="L2344" s="1055"/>
      <c r="M2344" s="1205"/>
      <c r="N2344" s="1054"/>
      <c r="O2344" s="1207"/>
      <c r="Q2344" s="1207"/>
    </row>
    <row r="2345" spans="3:17" s="700" customFormat="1" ht="70.5" hidden="1" customHeight="1">
      <c r="C2345" s="701"/>
      <c r="D2345" s="811"/>
      <c r="E2345" s="1276">
        <f>[11]building!Y2676</f>
        <v>0</v>
      </c>
      <c r="F2345" s="748">
        <f t="shared" si="275"/>
        <v>0</v>
      </c>
      <c r="G2345" s="1205"/>
      <c r="H2345" s="1055"/>
      <c r="I2345" s="1055"/>
      <c r="J2345" s="1055"/>
      <c r="K2345" s="1205"/>
      <c r="L2345" s="1055"/>
      <c r="M2345" s="1205"/>
      <c r="N2345" s="1054"/>
      <c r="O2345" s="1207"/>
      <c r="Q2345" s="1207"/>
    </row>
    <row r="2346" spans="3:17" s="700" customFormat="1" ht="70.5" hidden="1" customHeight="1">
      <c r="C2346" s="701"/>
      <c r="D2346" s="811"/>
      <c r="E2346" s="1276">
        <f>[11]building!Y2677</f>
        <v>0</v>
      </c>
      <c r="F2346" s="748">
        <f t="shared" si="275"/>
        <v>0</v>
      </c>
      <c r="G2346" s="1205"/>
      <c r="H2346" s="1055"/>
      <c r="I2346" s="1055"/>
      <c r="J2346" s="1055"/>
      <c r="K2346" s="1205"/>
      <c r="L2346" s="1055"/>
      <c r="M2346" s="1205"/>
      <c r="N2346" s="1054"/>
      <c r="O2346" s="1207"/>
      <c r="Q2346" s="1207"/>
    </row>
    <row r="2347" spans="3:17" s="700" customFormat="1" ht="70.5" hidden="1" customHeight="1">
      <c r="C2347" s="701"/>
      <c r="D2347" s="811"/>
      <c r="E2347" s="1276">
        <f>[11]building!Y2678</f>
        <v>0</v>
      </c>
      <c r="F2347" s="748">
        <f t="shared" si="275"/>
        <v>0</v>
      </c>
      <c r="G2347" s="1205"/>
      <c r="H2347" s="1055"/>
      <c r="I2347" s="1055"/>
      <c r="J2347" s="1055"/>
      <c r="K2347" s="1205"/>
      <c r="L2347" s="1055"/>
      <c r="M2347" s="1205"/>
      <c r="N2347" s="1054"/>
      <c r="O2347" s="1207"/>
      <c r="Q2347" s="1207"/>
    </row>
    <row r="2348" spans="3:17" s="700" customFormat="1" ht="70.5" hidden="1" customHeight="1">
      <c r="C2348" s="701"/>
      <c r="D2348" s="811"/>
      <c r="E2348" s="1276">
        <f>[11]building!Y2679</f>
        <v>0</v>
      </c>
      <c r="F2348" s="748">
        <f t="shared" si="275"/>
        <v>0</v>
      </c>
      <c r="G2348" s="1205"/>
      <c r="H2348" s="1055"/>
      <c r="I2348" s="1055"/>
      <c r="J2348" s="1055"/>
      <c r="K2348" s="1205"/>
      <c r="L2348" s="1055"/>
      <c r="M2348" s="1205"/>
      <c r="N2348" s="1054"/>
      <c r="O2348" s="1207"/>
      <c r="Q2348" s="1207"/>
    </row>
    <row r="2349" spans="3:17" s="700" customFormat="1" ht="70.5" hidden="1" customHeight="1">
      <c r="C2349" s="701"/>
      <c r="D2349" s="811"/>
      <c r="E2349" s="1276">
        <f>[11]building!Y2680</f>
        <v>0</v>
      </c>
      <c r="F2349" s="748">
        <f t="shared" si="275"/>
        <v>0</v>
      </c>
      <c r="G2349" s="1205"/>
      <c r="H2349" s="1055"/>
      <c r="I2349" s="1055"/>
      <c r="J2349" s="1055"/>
      <c r="K2349" s="1205"/>
      <c r="L2349" s="1055"/>
      <c r="M2349" s="1205"/>
      <c r="N2349" s="1054"/>
      <c r="O2349" s="1207"/>
      <c r="Q2349" s="1207"/>
    </row>
    <row r="2350" spans="3:17" s="700" customFormat="1" ht="70.5" hidden="1" customHeight="1">
      <c r="C2350" s="701"/>
      <c r="D2350" s="811"/>
      <c r="E2350" s="1276">
        <f>[11]building!Y2681</f>
        <v>0</v>
      </c>
      <c r="F2350" s="748">
        <f t="shared" si="275"/>
        <v>0</v>
      </c>
      <c r="G2350" s="1205"/>
      <c r="H2350" s="1055"/>
      <c r="I2350" s="1055"/>
      <c r="J2350" s="1055"/>
      <c r="K2350" s="1205"/>
      <c r="L2350" s="1055"/>
      <c r="M2350" s="1205"/>
      <c r="N2350" s="1054"/>
      <c r="O2350" s="1207"/>
      <c r="Q2350" s="1207"/>
    </row>
    <row r="2351" spans="3:17" s="700" customFormat="1" ht="70.5" hidden="1" customHeight="1">
      <c r="C2351" s="701"/>
      <c r="D2351" s="811"/>
      <c r="E2351" s="1276">
        <f>[11]building!Y2682</f>
        <v>0</v>
      </c>
      <c r="F2351" s="748">
        <f t="shared" si="275"/>
        <v>0</v>
      </c>
      <c r="G2351" s="1205"/>
      <c r="H2351" s="1055"/>
      <c r="I2351" s="1055"/>
      <c r="J2351" s="1055"/>
      <c r="K2351" s="1205"/>
      <c r="L2351" s="1055"/>
      <c r="M2351" s="1205"/>
      <c r="N2351" s="1054"/>
      <c r="O2351" s="1207"/>
      <c r="Q2351" s="1207"/>
    </row>
    <row r="2352" spans="3:17" s="700" customFormat="1" ht="70.5" hidden="1" customHeight="1">
      <c r="C2352" s="701"/>
      <c r="D2352" s="811"/>
      <c r="E2352" s="1276">
        <f>[11]building!Y2683</f>
        <v>0</v>
      </c>
      <c r="F2352" s="748">
        <f t="shared" si="275"/>
        <v>0</v>
      </c>
      <c r="G2352" s="1205"/>
      <c r="H2352" s="1055"/>
      <c r="I2352" s="1055"/>
      <c r="J2352" s="1055"/>
      <c r="K2352" s="1205"/>
      <c r="L2352" s="1055"/>
      <c r="M2352" s="1205"/>
      <c r="N2352" s="1054"/>
      <c r="O2352" s="1207"/>
      <c r="Q2352" s="1207"/>
    </row>
    <row r="2353" spans="3:17" s="700" customFormat="1" ht="70.5" hidden="1" customHeight="1">
      <c r="C2353" s="701"/>
      <c r="D2353" s="811"/>
      <c r="E2353" s="1276">
        <f>[11]building!Y2684</f>
        <v>0</v>
      </c>
      <c r="F2353" s="748">
        <f t="shared" si="275"/>
        <v>0</v>
      </c>
      <c r="G2353" s="1205"/>
      <c r="H2353" s="1055"/>
      <c r="I2353" s="1055"/>
      <c r="J2353" s="1055"/>
      <c r="K2353" s="1205"/>
      <c r="L2353" s="1055"/>
      <c r="M2353" s="1205"/>
      <c r="N2353" s="1054"/>
      <c r="O2353" s="1207"/>
      <c r="Q2353" s="1207"/>
    </row>
    <row r="2354" spans="3:17" s="700" customFormat="1" ht="70.5" hidden="1" customHeight="1">
      <c r="C2354" s="701"/>
      <c r="D2354" s="811"/>
      <c r="E2354" s="1276">
        <f>[11]building!Y2685</f>
        <v>0</v>
      </c>
      <c r="F2354" s="748">
        <f t="shared" si="275"/>
        <v>0</v>
      </c>
      <c r="G2354" s="1205"/>
      <c r="H2354" s="1055"/>
      <c r="I2354" s="1055"/>
      <c r="J2354" s="1055"/>
      <c r="K2354" s="1205"/>
      <c r="L2354" s="1055"/>
      <c r="M2354" s="1205"/>
      <c r="N2354" s="1054"/>
      <c r="O2354" s="1207"/>
      <c r="Q2354" s="1207"/>
    </row>
    <row r="2355" spans="3:17" s="700" customFormat="1" ht="70.5" hidden="1" customHeight="1">
      <c r="C2355" s="701"/>
      <c r="D2355" s="811"/>
      <c r="E2355" s="1276">
        <f>[11]building!Y2686</f>
        <v>0</v>
      </c>
      <c r="F2355" s="748">
        <f t="shared" si="275"/>
        <v>0</v>
      </c>
      <c r="G2355" s="1205"/>
      <c r="H2355" s="1055"/>
      <c r="I2355" s="1055"/>
      <c r="J2355" s="1055"/>
      <c r="K2355" s="1205"/>
      <c r="L2355" s="1055"/>
      <c r="M2355" s="1205"/>
      <c r="N2355" s="1054"/>
      <c r="O2355" s="1207"/>
      <c r="Q2355" s="1207"/>
    </row>
    <row r="2356" spans="3:17" s="700" customFormat="1" ht="70.5" hidden="1" customHeight="1">
      <c r="C2356" s="701"/>
      <c r="D2356" s="811"/>
      <c r="E2356" s="1276">
        <f>[11]building!Y2687</f>
        <v>0</v>
      </c>
      <c r="F2356" s="748">
        <f t="shared" si="275"/>
        <v>0</v>
      </c>
      <c r="G2356" s="1205"/>
      <c r="H2356" s="1055"/>
      <c r="I2356" s="1055"/>
      <c r="J2356" s="1055"/>
      <c r="K2356" s="1205"/>
      <c r="L2356" s="1055"/>
      <c r="M2356" s="1205"/>
      <c r="N2356" s="1054"/>
      <c r="O2356" s="1207"/>
      <c r="Q2356" s="1207"/>
    </row>
    <row r="2357" spans="3:17" s="700" customFormat="1" ht="70.5" hidden="1" customHeight="1">
      <c r="C2357" s="701"/>
      <c r="D2357" s="811"/>
      <c r="E2357" s="1276">
        <f>[11]building!Y2688</f>
        <v>0</v>
      </c>
      <c r="F2357" s="748">
        <f t="shared" si="275"/>
        <v>0</v>
      </c>
      <c r="G2357" s="1205"/>
      <c r="H2357" s="1055"/>
      <c r="I2357" s="1055"/>
      <c r="J2357" s="1055"/>
      <c r="K2357" s="1205"/>
      <c r="L2357" s="1055"/>
      <c r="M2357" s="1205"/>
      <c r="N2357" s="1054"/>
      <c r="O2357" s="1207"/>
      <c r="Q2357" s="1207"/>
    </row>
    <row r="2358" spans="3:17" s="700" customFormat="1" ht="70.5" hidden="1" customHeight="1">
      <c r="C2358" s="701"/>
      <c r="D2358" s="811"/>
      <c r="E2358" s="1276">
        <f>[11]building!Y2689</f>
        <v>0</v>
      </c>
      <c r="F2358" s="748">
        <f t="shared" si="275"/>
        <v>0</v>
      </c>
      <c r="G2358" s="1205"/>
      <c r="H2358" s="1055"/>
      <c r="I2358" s="1055"/>
      <c r="J2358" s="1055"/>
      <c r="K2358" s="1205"/>
      <c r="L2358" s="1055"/>
      <c r="M2358" s="1205"/>
      <c r="N2358" s="1054"/>
      <c r="O2358" s="1207"/>
      <c r="Q2358" s="1207"/>
    </row>
    <row r="2359" spans="3:17" s="700" customFormat="1" ht="70.5" hidden="1" customHeight="1">
      <c r="C2359" s="701"/>
      <c r="D2359" s="811"/>
      <c r="E2359" s="1276">
        <f>[11]building!Y2690</f>
        <v>0</v>
      </c>
      <c r="F2359" s="748">
        <f t="shared" si="275"/>
        <v>0</v>
      </c>
      <c r="G2359" s="1205"/>
      <c r="H2359" s="1055"/>
      <c r="I2359" s="1055"/>
      <c r="J2359" s="1055"/>
      <c r="K2359" s="1205"/>
      <c r="L2359" s="1055"/>
      <c r="M2359" s="1205"/>
      <c r="N2359" s="1054"/>
      <c r="O2359" s="1207"/>
      <c r="Q2359" s="1207"/>
    </row>
    <row r="2360" spans="3:17" s="700" customFormat="1" ht="70.5" hidden="1" customHeight="1">
      <c r="C2360" s="701"/>
      <c r="D2360" s="811"/>
      <c r="E2360" s="1276">
        <f>[11]building!Y2691</f>
        <v>0</v>
      </c>
      <c r="F2360" s="748">
        <f t="shared" si="275"/>
        <v>0</v>
      </c>
      <c r="G2360" s="1205"/>
      <c r="H2360" s="1055"/>
      <c r="I2360" s="1055"/>
      <c r="J2360" s="1055"/>
      <c r="K2360" s="1205"/>
      <c r="L2360" s="1055"/>
      <c r="M2360" s="1205"/>
      <c r="N2360" s="1054"/>
      <c r="O2360" s="1207"/>
      <c r="Q2360" s="1207"/>
    </row>
    <row r="2361" spans="3:17" s="700" customFormat="1" ht="70.5" hidden="1" customHeight="1">
      <c r="C2361" s="701"/>
      <c r="D2361" s="811"/>
      <c r="E2361" s="1276">
        <f>[11]building!Y2692</f>
        <v>0</v>
      </c>
      <c r="F2361" s="748">
        <f t="shared" si="275"/>
        <v>0</v>
      </c>
      <c r="G2361" s="1205"/>
      <c r="H2361" s="1055"/>
      <c r="I2361" s="1055"/>
      <c r="J2361" s="1055"/>
      <c r="K2361" s="1205"/>
      <c r="L2361" s="1055"/>
      <c r="M2361" s="1205"/>
      <c r="N2361" s="1054"/>
      <c r="O2361" s="1207"/>
      <c r="Q2361" s="1207"/>
    </row>
    <row r="2362" spans="3:17" s="700" customFormat="1" ht="70.5" hidden="1" customHeight="1">
      <c r="C2362" s="701"/>
      <c r="D2362" s="811"/>
      <c r="E2362" s="1276">
        <f>[11]building!Y2693</f>
        <v>0</v>
      </c>
      <c r="F2362" s="748">
        <f t="shared" si="275"/>
        <v>0</v>
      </c>
      <c r="G2362" s="1205"/>
      <c r="H2362" s="1055"/>
      <c r="I2362" s="1055"/>
      <c r="J2362" s="1055"/>
      <c r="K2362" s="1205"/>
      <c r="L2362" s="1055"/>
      <c r="M2362" s="1205"/>
      <c r="N2362" s="1054"/>
      <c r="O2362" s="1207"/>
      <c r="Q2362" s="1207"/>
    </row>
    <row r="2363" spans="3:17" s="700" customFormat="1" ht="70.5" hidden="1" customHeight="1">
      <c r="C2363" s="701"/>
      <c r="D2363" s="811"/>
      <c r="E2363" s="1276">
        <f>[11]building!Y2694</f>
        <v>0</v>
      </c>
      <c r="F2363" s="748">
        <f t="shared" si="275"/>
        <v>0</v>
      </c>
      <c r="G2363" s="1205"/>
      <c r="H2363" s="1055"/>
      <c r="I2363" s="1055"/>
      <c r="J2363" s="1055"/>
      <c r="K2363" s="1205"/>
      <c r="L2363" s="1055"/>
      <c r="M2363" s="1205"/>
      <c r="N2363" s="1054"/>
      <c r="O2363" s="1207"/>
      <c r="Q2363" s="1207"/>
    </row>
    <row r="2364" spans="3:17" s="700" customFormat="1" ht="70.5" hidden="1" customHeight="1">
      <c r="C2364" s="701"/>
      <c r="D2364" s="811"/>
      <c r="E2364" s="1276">
        <f>[11]building!Y2695</f>
        <v>0</v>
      </c>
      <c r="F2364" s="748">
        <f t="shared" si="275"/>
        <v>0</v>
      </c>
      <c r="G2364" s="1205"/>
      <c r="H2364" s="1055"/>
      <c r="I2364" s="1055"/>
      <c r="J2364" s="1055"/>
      <c r="K2364" s="1205"/>
      <c r="L2364" s="1055"/>
      <c r="M2364" s="1205"/>
      <c r="N2364" s="1054"/>
      <c r="O2364" s="1207"/>
      <c r="Q2364" s="1207"/>
    </row>
    <row r="2365" spans="3:17" s="700" customFormat="1" ht="70.5" hidden="1" customHeight="1">
      <c r="C2365" s="701"/>
      <c r="D2365" s="811"/>
      <c r="E2365" s="1276">
        <f>[11]building!Y2696</f>
        <v>0</v>
      </c>
      <c r="F2365" s="748">
        <f t="shared" si="275"/>
        <v>0</v>
      </c>
      <c r="G2365" s="1205"/>
      <c r="H2365" s="1055"/>
      <c r="I2365" s="1055"/>
      <c r="J2365" s="1055"/>
      <c r="K2365" s="1205"/>
      <c r="L2365" s="1055"/>
      <c r="M2365" s="1205"/>
      <c r="N2365" s="1054"/>
      <c r="O2365" s="1207"/>
      <c r="Q2365" s="1207"/>
    </row>
    <row r="2366" spans="3:17" s="700" customFormat="1" ht="70.5" hidden="1" customHeight="1">
      <c r="C2366" s="701"/>
      <c r="D2366" s="811"/>
      <c r="E2366" s="1276">
        <f>[11]building!Y2697</f>
        <v>0</v>
      </c>
      <c r="F2366" s="748">
        <f t="shared" si="275"/>
        <v>0</v>
      </c>
      <c r="G2366" s="1205"/>
      <c r="H2366" s="1055"/>
      <c r="I2366" s="1055"/>
      <c r="J2366" s="1055"/>
      <c r="K2366" s="1205"/>
      <c r="L2366" s="1055"/>
      <c r="M2366" s="1205"/>
      <c r="N2366" s="1054"/>
      <c r="O2366" s="1207"/>
      <c r="Q2366" s="1207"/>
    </row>
    <row r="2367" spans="3:17" s="700" customFormat="1" ht="70.5" hidden="1" customHeight="1">
      <c r="C2367" s="701"/>
      <c r="D2367" s="811"/>
      <c r="E2367" s="1276">
        <f>[11]building!Y2698</f>
        <v>0</v>
      </c>
      <c r="F2367" s="748">
        <f t="shared" si="275"/>
        <v>0</v>
      </c>
      <c r="G2367" s="1205"/>
      <c r="H2367" s="1055"/>
      <c r="I2367" s="1055"/>
      <c r="J2367" s="1055"/>
      <c r="K2367" s="1205"/>
      <c r="L2367" s="1055"/>
      <c r="M2367" s="1205"/>
      <c r="N2367" s="1054"/>
      <c r="O2367" s="1207"/>
      <c r="Q2367" s="1207"/>
    </row>
    <row r="2368" spans="3:17" s="700" customFormat="1" ht="70.5" hidden="1" customHeight="1">
      <c r="C2368" s="701"/>
      <c r="D2368" s="811"/>
      <c r="E2368" s="1276">
        <f>[11]building!Y2699</f>
        <v>0</v>
      </c>
      <c r="F2368" s="748">
        <f t="shared" ref="F2368:F2431" si="276">E2368*C2368</f>
        <v>0</v>
      </c>
      <c r="G2368" s="1205"/>
      <c r="H2368" s="1055"/>
      <c r="I2368" s="1055"/>
      <c r="J2368" s="1055"/>
      <c r="K2368" s="1205"/>
      <c r="L2368" s="1055"/>
      <c r="M2368" s="1205"/>
      <c r="N2368" s="1054"/>
      <c r="O2368" s="1207"/>
      <c r="Q2368" s="1207"/>
    </row>
    <row r="2369" spans="3:17" s="700" customFormat="1" ht="70.5" hidden="1" customHeight="1">
      <c r="C2369" s="701"/>
      <c r="D2369" s="811"/>
      <c r="E2369" s="1276">
        <f>[11]building!Y2700</f>
        <v>0</v>
      </c>
      <c r="F2369" s="748">
        <f t="shared" si="276"/>
        <v>0</v>
      </c>
      <c r="G2369" s="1205"/>
      <c r="H2369" s="1055"/>
      <c r="I2369" s="1055"/>
      <c r="J2369" s="1055"/>
      <c r="K2369" s="1205"/>
      <c r="L2369" s="1055"/>
      <c r="M2369" s="1205"/>
      <c r="N2369" s="1054"/>
      <c r="O2369" s="1207"/>
      <c r="Q2369" s="1207"/>
    </row>
    <row r="2370" spans="3:17" s="700" customFormat="1" ht="70.5" hidden="1" customHeight="1">
      <c r="C2370" s="701"/>
      <c r="D2370" s="811"/>
      <c r="E2370" s="1276">
        <f>[11]building!Y2701</f>
        <v>0</v>
      </c>
      <c r="F2370" s="748">
        <f t="shared" si="276"/>
        <v>0</v>
      </c>
      <c r="G2370" s="1205"/>
      <c r="H2370" s="1055"/>
      <c r="I2370" s="1055"/>
      <c r="J2370" s="1055"/>
      <c r="K2370" s="1205"/>
      <c r="L2370" s="1055"/>
      <c r="M2370" s="1205"/>
      <c r="N2370" s="1054"/>
      <c r="O2370" s="1207"/>
      <c r="Q2370" s="1207"/>
    </row>
    <row r="2371" spans="3:17" s="700" customFormat="1" ht="70.5" hidden="1" customHeight="1">
      <c r="C2371" s="701"/>
      <c r="D2371" s="811"/>
      <c r="E2371" s="1276">
        <f>[11]building!Y2702</f>
        <v>0</v>
      </c>
      <c r="F2371" s="748">
        <f t="shared" si="276"/>
        <v>0</v>
      </c>
      <c r="G2371" s="1205"/>
      <c r="H2371" s="1055"/>
      <c r="I2371" s="1055"/>
      <c r="J2371" s="1055"/>
      <c r="K2371" s="1205"/>
      <c r="L2371" s="1055"/>
      <c r="M2371" s="1205"/>
      <c r="N2371" s="1054"/>
      <c r="O2371" s="1207"/>
      <c r="Q2371" s="1207"/>
    </row>
    <row r="2372" spans="3:17" s="700" customFormat="1" ht="70.5" hidden="1" customHeight="1">
      <c r="C2372" s="701"/>
      <c r="D2372" s="811"/>
      <c r="E2372" s="1276">
        <f>[11]building!Y2703</f>
        <v>0</v>
      </c>
      <c r="F2372" s="748">
        <f t="shared" si="276"/>
        <v>0</v>
      </c>
      <c r="G2372" s="1205"/>
      <c r="H2372" s="1055"/>
      <c r="I2372" s="1055"/>
      <c r="J2372" s="1055"/>
      <c r="K2372" s="1205"/>
      <c r="L2372" s="1055"/>
      <c r="M2372" s="1205"/>
      <c r="N2372" s="1054"/>
      <c r="O2372" s="1207"/>
      <c r="Q2372" s="1207"/>
    </row>
    <row r="2373" spans="3:17" s="700" customFormat="1" ht="70.5" hidden="1" customHeight="1">
      <c r="C2373" s="701"/>
      <c r="D2373" s="811"/>
      <c r="E2373" s="1276">
        <f>[11]building!Y2704</f>
        <v>0</v>
      </c>
      <c r="F2373" s="748">
        <f t="shared" si="276"/>
        <v>0</v>
      </c>
      <c r="G2373" s="1205"/>
      <c r="H2373" s="1055"/>
      <c r="I2373" s="1055"/>
      <c r="J2373" s="1055"/>
      <c r="K2373" s="1205"/>
      <c r="L2373" s="1055"/>
      <c r="M2373" s="1205"/>
      <c r="N2373" s="1054"/>
      <c r="O2373" s="1207"/>
      <c r="Q2373" s="1207"/>
    </row>
    <row r="2374" spans="3:17" s="700" customFormat="1" ht="70.5" hidden="1" customHeight="1">
      <c r="C2374" s="701"/>
      <c r="D2374" s="811"/>
      <c r="E2374" s="1276">
        <f>[11]building!Y2705</f>
        <v>0</v>
      </c>
      <c r="F2374" s="748">
        <f t="shared" si="276"/>
        <v>0</v>
      </c>
      <c r="G2374" s="1205"/>
      <c r="H2374" s="1055"/>
      <c r="I2374" s="1055"/>
      <c r="J2374" s="1055"/>
      <c r="K2374" s="1205"/>
      <c r="L2374" s="1055"/>
      <c r="M2374" s="1205"/>
      <c r="N2374" s="1054"/>
      <c r="O2374" s="1207"/>
      <c r="Q2374" s="1207"/>
    </row>
    <row r="2375" spans="3:17" s="700" customFormat="1" ht="70.5" hidden="1" customHeight="1">
      <c r="C2375" s="701"/>
      <c r="D2375" s="811"/>
      <c r="E2375" s="1276">
        <f>[11]building!Y2706</f>
        <v>0</v>
      </c>
      <c r="F2375" s="748">
        <f t="shared" si="276"/>
        <v>0</v>
      </c>
      <c r="G2375" s="1205"/>
      <c r="H2375" s="1055"/>
      <c r="I2375" s="1055"/>
      <c r="J2375" s="1055"/>
      <c r="K2375" s="1205"/>
      <c r="L2375" s="1055"/>
      <c r="M2375" s="1205"/>
      <c r="N2375" s="1054"/>
      <c r="O2375" s="1207"/>
      <c r="Q2375" s="1207"/>
    </row>
    <row r="2376" spans="3:17" s="700" customFormat="1" ht="70.5" hidden="1" customHeight="1">
      <c r="C2376" s="701"/>
      <c r="D2376" s="811"/>
      <c r="E2376" s="1276">
        <f>[11]building!Y2707</f>
        <v>0</v>
      </c>
      <c r="F2376" s="748">
        <f t="shared" si="276"/>
        <v>0</v>
      </c>
      <c r="G2376" s="1205"/>
      <c r="H2376" s="1055"/>
      <c r="I2376" s="1055"/>
      <c r="J2376" s="1055"/>
      <c r="K2376" s="1205"/>
      <c r="L2376" s="1055"/>
      <c r="M2376" s="1205"/>
      <c r="N2376" s="1054"/>
      <c r="O2376" s="1207"/>
      <c r="Q2376" s="1207"/>
    </row>
    <row r="2377" spans="3:17" s="700" customFormat="1" ht="70.5" hidden="1" customHeight="1">
      <c r="C2377" s="701"/>
      <c r="D2377" s="811"/>
      <c r="E2377" s="1276">
        <f>[11]building!Y2708</f>
        <v>0</v>
      </c>
      <c r="F2377" s="748">
        <f t="shared" si="276"/>
        <v>0</v>
      </c>
      <c r="G2377" s="1205"/>
      <c r="H2377" s="1055"/>
      <c r="I2377" s="1055"/>
      <c r="J2377" s="1055"/>
      <c r="K2377" s="1205"/>
      <c r="L2377" s="1055"/>
      <c r="M2377" s="1205"/>
      <c r="N2377" s="1054"/>
      <c r="O2377" s="1207"/>
      <c r="Q2377" s="1207"/>
    </row>
    <row r="2378" spans="3:17" s="700" customFormat="1" ht="70.5" hidden="1" customHeight="1">
      <c r="C2378" s="701"/>
      <c r="D2378" s="811"/>
      <c r="E2378" s="1276">
        <f>[11]building!Y2709</f>
        <v>0</v>
      </c>
      <c r="F2378" s="748">
        <f t="shared" si="276"/>
        <v>0</v>
      </c>
      <c r="G2378" s="1205"/>
      <c r="H2378" s="1055"/>
      <c r="I2378" s="1055"/>
      <c r="J2378" s="1055"/>
      <c r="K2378" s="1205"/>
      <c r="L2378" s="1055"/>
      <c r="M2378" s="1205"/>
      <c r="N2378" s="1054"/>
      <c r="O2378" s="1207"/>
      <c r="Q2378" s="1207"/>
    </row>
    <row r="2379" spans="3:17" s="700" customFormat="1" ht="70.5" hidden="1" customHeight="1">
      <c r="C2379" s="701"/>
      <c r="D2379" s="811"/>
      <c r="E2379" s="1276">
        <f>[11]building!Y2710</f>
        <v>0</v>
      </c>
      <c r="F2379" s="748">
        <f t="shared" si="276"/>
        <v>0</v>
      </c>
      <c r="G2379" s="1205"/>
      <c r="H2379" s="1055"/>
      <c r="I2379" s="1055"/>
      <c r="J2379" s="1055"/>
      <c r="K2379" s="1205"/>
      <c r="L2379" s="1055"/>
      <c r="M2379" s="1205"/>
      <c r="N2379" s="1054"/>
      <c r="O2379" s="1207"/>
      <c r="Q2379" s="1207"/>
    </row>
    <row r="2380" spans="3:17" s="700" customFormat="1" ht="70.5" hidden="1" customHeight="1">
      <c r="C2380" s="701"/>
      <c r="D2380" s="811"/>
      <c r="E2380" s="1276">
        <f>[11]building!Y2711</f>
        <v>0</v>
      </c>
      <c r="F2380" s="748">
        <f t="shared" si="276"/>
        <v>0</v>
      </c>
      <c r="G2380" s="1205"/>
      <c r="H2380" s="1055"/>
      <c r="I2380" s="1055"/>
      <c r="J2380" s="1055"/>
      <c r="K2380" s="1205"/>
      <c r="L2380" s="1055"/>
      <c r="M2380" s="1205"/>
      <c r="N2380" s="1054"/>
      <c r="O2380" s="1207"/>
      <c r="Q2380" s="1207"/>
    </row>
    <row r="2381" spans="3:17" s="700" customFormat="1" ht="70.5" hidden="1" customHeight="1">
      <c r="C2381" s="701"/>
      <c r="D2381" s="811"/>
      <c r="E2381" s="1276">
        <f>[11]building!Y2712</f>
        <v>0</v>
      </c>
      <c r="F2381" s="748">
        <f t="shared" si="276"/>
        <v>0</v>
      </c>
      <c r="G2381" s="1205"/>
      <c r="H2381" s="1055"/>
      <c r="I2381" s="1055"/>
      <c r="J2381" s="1055"/>
      <c r="K2381" s="1205"/>
      <c r="L2381" s="1055"/>
      <c r="M2381" s="1205"/>
      <c r="N2381" s="1054"/>
      <c r="O2381" s="1207"/>
      <c r="Q2381" s="1207"/>
    </row>
    <row r="2382" spans="3:17" s="700" customFormat="1" ht="70.5" hidden="1" customHeight="1">
      <c r="C2382" s="701"/>
      <c r="D2382" s="811"/>
      <c r="E2382" s="1276">
        <f>[11]building!Y2713</f>
        <v>0</v>
      </c>
      <c r="F2382" s="748">
        <f t="shared" si="276"/>
        <v>0</v>
      </c>
      <c r="G2382" s="1205"/>
      <c r="H2382" s="1055"/>
      <c r="I2382" s="1055"/>
      <c r="J2382" s="1055"/>
      <c r="K2382" s="1205"/>
      <c r="L2382" s="1055"/>
      <c r="M2382" s="1205"/>
      <c r="N2382" s="1054"/>
      <c r="O2382" s="1207"/>
      <c r="Q2382" s="1207"/>
    </row>
    <row r="2383" spans="3:17" s="700" customFormat="1" ht="70.5" hidden="1" customHeight="1">
      <c r="C2383" s="701"/>
      <c r="D2383" s="811"/>
      <c r="E2383" s="1276">
        <f>[11]building!Y2714</f>
        <v>0</v>
      </c>
      <c r="F2383" s="748">
        <f t="shared" si="276"/>
        <v>0</v>
      </c>
      <c r="G2383" s="1205"/>
      <c r="H2383" s="1055"/>
      <c r="I2383" s="1055"/>
      <c r="J2383" s="1055"/>
      <c r="K2383" s="1205"/>
      <c r="L2383" s="1055"/>
      <c r="M2383" s="1205"/>
      <c r="N2383" s="1054"/>
      <c r="O2383" s="1207"/>
      <c r="Q2383" s="1207"/>
    </row>
    <row r="2384" spans="3:17" s="700" customFormat="1" ht="70.5" hidden="1" customHeight="1">
      <c r="C2384" s="701"/>
      <c r="D2384" s="811"/>
      <c r="E2384" s="1276">
        <f>[11]building!Y2715</f>
        <v>0</v>
      </c>
      <c r="F2384" s="748">
        <f t="shared" si="276"/>
        <v>0</v>
      </c>
      <c r="G2384" s="1205"/>
      <c r="H2384" s="1055"/>
      <c r="I2384" s="1055"/>
      <c r="J2384" s="1055"/>
      <c r="K2384" s="1205"/>
      <c r="L2384" s="1055"/>
      <c r="M2384" s="1205"/>
      <c r="N2384" s="1054"/>
      <c r="O2384" s="1207"/>
      <c r="Q2384" s="1207"/>
    </row>
    <row r="2385" spans="3:17" s="700" customFormat="1" ht="70.5" hidden="1" customHeight="1">
      <c r="C2385" s="701"/>
      <c r="D2385" s="811"/>
      <c r="E2385" s="1276">
        <f>[11]building!Y2716</f>
        <v>0</v>
      </c>
      <c r="F2385" s="748">
        <f t="shared" si="276"/>
        <v>0</v>
      </c>
      <c r="G2385" s="1205"/>
      <c r="H2385" s="1055"/>
      <c r="I2385" s="1055"/>
      <c r="J2385" s="1055"/>
      <c r="K2385" s="1205"/>
      <c r="L2385" s="1055"/>
      <c r="M2385" s="1205"/>
      <c r="N2385" s="1054"/>
      <c r="O2385" s="1207"/>
      <c r="Q2385" s="1207"/>
    </row>
    <row r="2386" spans="3:17" s="700" customFormat="1" ht="70.5" hidden="1" customHeight="1">
      <c r="C2386" s="701"/>
      <c r="D2386" s="811"/>
      <c r="E2386" s="1276">
        <f>[11]building!Y2717</f>
        <v>0</v>
      </c>
      <c r="F2386" s="748">
        <f t="shared" si="276"/>
        <v>0</v>
      </c>
      <c r="G2386" s="1205"/>
      <c r="H2386" s="1055"/>
      <c r="I2386" s="1055"/>
      <c r="J2386" s="1055"/>
      <c r="K2386" s="1205"/>
      <c r="L2386" s="1055"/>
      <c r="M2386" s="1205"/>
      <c r="N2386" s="1054"/>
      <c r="O2386" s="1207"/>
      <c r="Q2386" s="1207"/>
    </row>
    <row r="2387" spans="3:17" s="700" customFormat="1" ht="70.5" hidden="1" customHeight="1">
      <c r="C2387" s="701"/>
      <c r="D2387" s="811"/>
      <c r="E2387" s="1276">
        <f>[11]building!Y2718</f>
        <v>0</v>
      </c>
      <c r="F2387" s="748">
        <f t="shared" si="276"/>
        <v>0</v>
      </c>
      <c r="G2387" s="1205"/>
      <c r="H2387" s="1055"/>
      <c r="I2387" s="1055"/>
      <c r="J2387" s="1055"/>
      <c r="K2387" s="1205"/>
      <c r="L2387" s="1055"/>
      <c r="M2387" s="1205"/>
      <c r="N2387" s="1054"/>
      <c r="O2387" s="1207"/>
      <c r="Q2387" s="1207"/>
    </row>
    <row r="2388" spans="3:17" s="700" customFormat="1" ht="70.5" hidden="1" customHeight="1">
      <c r="C2388" s="701"/>
      <c r="D2388" s="811"/>
      <c r="E2388" s="1276">
        <f>[11]building!Y2719</f>
        <v>0</v>
      </c>
      <c r="F2388" s="748">
        <f t="shared" si="276"/>
        <v>0</v>
      </c>
      <c r="G2388" s="1205"/>
      <c r="H2388" s="1055"/>
      <c r="I2388" s="1055"/>
      <c r="J2388" s="1055"/>
      <c r="K2388" s="1205"/>
      <c r="L2388" s="1055"/>
      <c r="M2388" s="1205"/>
      <c r="N2388" s="1054"/>
      <c r="O2388" s="1207"/>
      <c r="Q2388" s="1207"/>
    </row>
    <row r="2389" spans="3:17" s="700" customFormat="1" ht="70.5" hidden="1" customHeight="1">
      <c r="C2389" s="701"/>
      <c r="D2389" s="811"/>
      <c r="E2389" s="1276">
        <f>[11]building!Y2720</f>
        <v>0</v>
      </c>
      <c r="F2389" s="748">
        <f t="shared" si="276"/>
        <v>0</v>
      </c>
      <c r="G2389" s="1205"/>
      <c r="H2389" s="1055"/>
      <c r="I2389" s="1055"/>
      <c r="J2389" s="1055"/>
      <c r="K2389" s="1205"/>
      <c r="L2389" s="1055"/>
      <c r="M2389" s="1205"/>
      <c r="N2389" s="1054"/>
      <c r="O2389" s="1207"/>
      <c r="Q2389" s="1207"/>
    </row>
    <row r="2390" spans="3:17" s="700" customFormat="1" ht="70.5" hidden="1" customHeight="1">
      <c r="C2390" s="701"/>
      <c r="D2390" s="811"/>
      <c r="E2390" s="1276">
        <f>[11]building!Y2721</f>
        <v>0</v>
      </c>
      <c r="F2390" s="748">
        <f t="shared" si="276"/>
        <v>0</v>
      </c>
      <c r="G2390" s="1205"/>
      <c r="H2390" s="1055"/>
      <c r="I2390" s="1055"/>
      <c r="J2390" s="1055"/>
      <c r="K2390" s="1205"/>
      <c r="L2390" s="1055"/>
      <c r="M2390" s="1205"/>
      <c r="N2390" s="1054"/>
      <c r="O2390" s="1207"/>
      <c r="Q2390" s="1207"/>
    </row>
    <row r="2391" spans="3:17" s="700" customFormat="1" ht="70.5" hidden="1" customHeight="1">
      <c r="C2391" s="701"/>
      <c r="D2391" s="811"/>
      <c r="E2391" s="1276">
        <f>[11]building!Y2722</f>
        <v>0</v>
      </c>
      <c r="F2391" s="748">
        <f t="shared" si="276"/>
        <v>0</v>
      </c>
      <c r="G2391" s="1205"/>
      <c r="H2391" s="1055"/>
      <c r="I2391" s="1055"/>
      <c r="J2391" s="1055"/>
      <c r="K2391" s="1205"/>
      <c r="L2391" s="1055"/>
      <c r="M2391" s="1205"/>
      <c r="N2391" s="1054"/>
      <c r="O2391" s="1207"/>
      <c r="Q2391" s="1207"/>
    </row>
    <row r="2392" spans="3:17" s="700" customFormat="1" ht="70.5" hidden="1" customHeight="1">
      <c r="C2392" s="701"/>
      <c r="D2392" s="811"/>
      <c r="E2392" s="1276">
        <f>[11]building!Y2723</f>
        <v>0</v>
      </c>
      <c r="F2392" s="748">
        <f t="shared" si="276"/>
        <v>0</v>
      </c>
      <c r="G2392" s="1205"/>
      <c r="H2392" s="1055"/>
      <c r="I2392" s="1055"/>
      <c r="J2392" s="1055"/>
      <c r="K2392" s="1205"/>
      <c r="L2392" s="1055"/>
      <c r="M2392" s="1205"/>
      <c r="N2392" s="1054"/>
      <c r="O2392" s="1207"/>
      <c r="Q2392" s="1207"/>
    </row>
    <row r="2393" spans="3:17" s="700" customFormat="1" ht="70.5" hidden="1" customHeight="1">
      <c r="C2393" s="701"/>
      <c r="D2393" s="811"/>
      <c r="E2393" s="1276">
        <f>[11]building!Y2724</f>
        <v>0</v>
      </c>
      <c r="F2393" s="748">
        <f t="shared" si="276"/>
        <v>0</v>
      </c>
      <c r="G2393" s="1205"/>
      <c r="H2393" s="1055"/>
      <c r="I2393" s="1055"/>
      <c r="J2393" s="1055"/>
      <c r="K2393" s="1205"/>
      <c r="L2393" s="1055"/>
      <c r="M2393" s="1205"/>
      <c r="N2393" s="1054"/>
      <c r="O2393" s="1207"/>
      <c r="Q2393" s="1207"/>
    </row>
    <row r="2394" spans="3:17" s="700" customFormat="1" ht="70.5" hidden="1" customHeight="1">
      <c r="C2394" s="701"/>
      <c r="D2394" s="811"/>
      <c r="E2394" s="1276">
        <f>[11]building!Y2725</f>
        <v>0</v>
      </c>
      <c r="F2394" s="748">
        <f t="shared" si="276"/>
        <v>0</v>
      </c>
      <c r="G2394" s="1205"/>
      <c r="H2394" s="1055"/>
      <c r="I2394" s="1055"/>
      <c r="J2394" s="1055"/>
      <c r="K2394" s="1205"/>
      <c r="L2394" s="1055"/>
      <c r="M2394" s="1205"/>
      <c r="N2394" s="1054"/>
      <c r="O2394" s="1207"/>
      <c r="Q2394" s="1207"/>
    </row>
    <row r="2395" spans="3:17" s="700" customFormat="1" ht="70.5" hidden="1" customHeight="1">
      <c r="C2395" s="701"/>
      <c r="D2395" s="811"/>
      <c r="E2395" s="1276">
        <f>[11]building!Y2726</f>
        <v>0</v>
      </c>
      <c r="F2395" s="748">
        <f t="shared" si="276"/>
        <v>0</v>
      </c>
      <c r="G2395" s="1205"/>
      <c r="H2395" s="1055"/>
      <c r="I2395" s="1055"/>
      <c r="J2395" s="1055"/>
      <c r="K2395" s="1205"/>
      <c r="L2395" s="1055"/>
      <c r="M2395" s="1205"/>
      <c r="N2395" s="1054"/>
      <c r="O2395" s="1207"/>
      <c r="Q2395" s="1207"/>
    </row>
    <row r="2396" spans="3:17" s="700" customFormat="1" ht="70.5" hidden="1" customHeight="1">
      <c r="C2396" s="701"/>
      <c r="D2396" s="811"/>
      <c r="E2396" s="1276">
        <f>[11]building!Y2727</f>
        <v>0</v>
      </c>
      <c r="F2396" s="748">
        <f t="shared" si="276"/>
        <v>0</v>
      </c>
      <c r="G2396" s="1205"/>
      <c r="H2396" s="1055"/>
      <c r="I2396" s="1055"/>
      <c r="J2396" s="1055"/>
      <c r="K2396" s="1205"/>
      <c r="L2396" s="1055"/>
      <c r="M2396" s="1205"/>
      <c r="N2396" s="1054"/>
      <c r="O2396" s="1207"/>
      <c r="Q2396" s="1207"/>
    </row>
    <row r="2397" spans="3:17" s="700" customFormat="1" ht="70.5" hidden="1" customHeight="1">
      <c r="C2397" s="701"/>
      <c r="D2397" s="811"/>
      <c r="E2397" s="1276">
        <f>[11]building!Y2728</f>
        <v>0</v>
      </c>
      <c r="F2397" s="748">
        <f t="shared" si="276"/>
        <v>0</v>
      </c>
      <c r="G2397" s="1205"/>
      <c r="H2397" s="1055"/>
      <c r="I2397" s="1055"/>
      <c r="J2397" s="1055"/>
      <c r="K2397" s="1205"/>
      <c r="L2397" s="1055"/>
      <c r="M2397" s="1205"/>
      <c r="N2397" s="1054"/>
      <c r="O2397" s="1207"/>
      <c r="Q2397" s="1207"/>
    </row>
    <row r="2398" spans="3:17" s="700" customFormat="1" ht="70.5" hidden="1" customHeight="1">
      <c r="C2398" s="701"/>
      <c r="D2398" s="811"/>
      <c r="E2398" s="1276">
        <f>[11]building!Y2729</f>
        <v>0</v>
      </c>
      <c r="F2398" s="748">
        <f t="shared" si="276"/>
        <v>0</v>
      </c>
      <c r="G2398" s="1205"/>
      <c r="H2398" s="1055"/>
      <c r="I2398" s="1055"/>
      <c r="J2398" s="1055"/>
      <c r="K2398" s="1205"/>
      <c r="L2398" s="1055"/>
      <c r="M2398" s="1205"/>
      <c r="N2398" s="1054"/>
      <c r="O2398" s="1207"/>
      <c r="Q2398" s="1207"/>
    </row>
    <row r="2399" spans="3:17" s="700" customFormat="1" ht="70.5" hidden="1" customHeight="1">
      <c r="C2399" s="701"/>
      <c r="D2399" s="811"/>
      <c r="E2399" s="1276">
        <f>[11]building!Y2730</f>
        <v>0</v>
      </c>
      <c r="F2399" s="748">
        <f t="shared" si="276"/>
        <v>0</v>
      </c>
      <c r="G2399" s="1205"/>
      <c r="H2399" s="1055"/>
      <c r="I2399" s="1055"/>
      <c r="J2399" s="1055"/>
      <c r="K2399" s="1205"/>
      <c r="L2399" s="1055"/>
      <c r="M2399" s="1205"/>
      <c r="N2399" s="1054"/>
      <c r="O2399" s="1207"/>
      <c r="Q2399" s="1207"/>
    </row>
    <row r="2400" spans="3:17" s="700" customFormat="1" ht="70.5" hidden="1" customHeight="1">
      <c r="C2400" s="701"/>
      <c r="D2400" s="811"/>
      <c r="E2400" s="1276">
        <f>[11]building!Y2731</f>
        <v>0</v>
      </c>
      <c r="F2400" s="748">
        <f t="shared" si="276"/>
        <v>0</v>
      </c>
      <c r="G2400" s="1205"/>
      <c r="H2400" s="1055"/>
      <c r="I2400" s="1055"/>
      <c r="J2400" s="1055"/>
      <c r="K2400" s="1205"/>
      <c r="L2400" s="1055"/>
      <c r="M2400" s="1205"/>
      <c r="N2400" s="1054"/>
      <c r="O2400" s="1207"/>
      <c r="Q2400" s="1207"/>
    </row>
    <row r="2401" spans="3:17" s="700" customFormat="1" ht="70.5" hidden="1" customHeight="1">
      <c r="C2401" s="701"/>
      <c r="D2401" s="811"/>
      <c r="E2401" s="1276">
        <f>[11]building!Y2732</f>
        <v>0</v>
      </c>
      <c r="F2401" s="748">
        <f t="shared" si="276"/>
        <v>0</v>
      </c>
      <c r="G2401" s="1205"/>
      <c r="H2401" s="1055"/>
      <c r="I2401" s="1055"/>
      <c r="J2401" s="1055"/>
      <c r="K2401" s="1205"/>
      <c r="L2401" s="1055"/>
      <c r="M2401" s="1205"/>
      <c r="N2401" s="1054"/>
      <c r="O2401" s="1207"/>
      <c r="Q2401" s="1207"/>
    </row>
    <row r="2402" spans="3:17" s="700" customFormat="1" ht="70.5" hidden="1" customHeight="1">
      <c r="C2402" s="701"/>
      <c r="D2402" s="811"/>
      <c r="E2402" s="1276">
        <f>[11]building!Y2733</f>
        <v>0</v>
      </c>
      <c r="F2402" s="748">
        <f t="shared" si="276"/>
        <v>0</v>
      </c>
      <c r="G2402" s="1205"/>
      <c r="H2402" s="1055"/>
      <c r="I2402" s="1055"/>
      <c r="J2402" s="1055"/>
      <c r="K2402" s="1205"/>
      <c r="L2402" s="1055"/>
      <c r="M2402" s="1205"/>
      <c r="N2402" s="1054"/>
      <c r="O2402" s="1207"/>
      <c r="Q2402" s="1207"/>
    </row>
    <row r="2403" spans="3:17" s="700" customFormat="1" ht="70.5" hidden="1" customHeight="1">
      <c r="C2403" s="701"/>
      <c r="D2403" s="811"/>
      <c r="E2403" s="1276">
        <f>[11]building!Y2734</f>
        <v>0</v>
      </c>
      <c r="F2403" s="748">
        <f t="shared" si="276"/>
        <v>0</v>
      </c>
      <c r="G2403" s="1205"/>
      <c r="H2403" s="1055"/>
      <c r="I2403" s="1055"/>
      <c r="J2403" s="1055"/>
      <c r="K2403" s="1205"/>
      <c r="L2403" s="1055"/>
      <c r="M2403" s="1205"/>
      <c r="N2403" s="1054"/>
      <c r="O2403" s="1207"/>
      <c r="Q2403" s="1207"/>
    </row>
    <row r="2404" spans="3:17" s="700" customFormat="1" ht="70.5" hidden="1" customHeight="1">
      <c r="C2404" s="701"/>
      <c r="D2404" s="811"/>
      <c r="E2404" s="1276">
        <f>[11]building!Y2735</f>
        <v>0</v>
      </c>
      <c r="F2404" s="748">
        <f t="shared" si="276"/>
        <v>0</v>
      </c>
      <c r="G2404" s="1205"/>
      <c r="H2404" s="1055"/>
      <c r="I2404" s="1055"/>
      <c r="J2404" s="1055"/>
      <c r="K2404" s="1205"/>
      <c r="L2404" s="1055"/>
      <c r="M2404" s="1205"/>
      <c r="N2404" s="1054"/>
      <c r="O2404" s="1207"/>
      <c r="Q2404" s="1207"/>
    </row>
    <row r="2405" spans="3:17" s="700" customFormat="1" ht="70.5" hidden="1" customHeight="1">
      <c r="C2405" s="701"/>
      <c r="D2405" s="811"/>
      <c r="E2405" s="1276">
        <f>[11]building!Y2736</f>
        <v>0</v>
      </c>
      <c r="F2405" s="748">
        <f t="shared" si="276"/>
        <v>0</v>
      </c>
      <c r="G2405" s="1205"/>
      <c r="H2405" s="1055"/>
      <c r="I2405" s="1055"/>
      <c r="J2405" s="1055"/>
      <c r="K2405" s="1205"/>
      <c r="L2405" s="1055"/>
      <c r="M2405" s="1205"/>
      <c r="N2405" s="1054"/>
      <c r="O2405" s="1207"/>
      <c r="Q2405" s="1207"/>
    </row>
    <row r="2406" spans="3:17" s="700" customFormat="1" ht="70.5" hidden="1" customHeight="1">
      <c r="C2406" s="701"/>
      <c r="D2406" s="811"/>
      <c r="E2406" s="1276">
        <f>[11]building!Y2737</f>
        <v>0</v>
      </c>
      <c r="F2406" s="748">
        <f t="shared" si="276"/>
        <v>0</v>
      </c>
      <c r="G2406" s="1205"/>
      <c r="H2406" s="1055"/>
      <c r="I2406" s="1055"/>
      <c r="J2406" s="1055"/>
      <c r="K2406" s="1205"/>
      <c r="L2406" s="1055"/>
      <c r="M2406" s="1205"/>
      <c r="N2406" s="1054"/>
      <c r="O2406" s="1207"/>
      <c r="Q2406" s="1207"/>
    </row>
    <row r="2407" spans="3:17" s="700" customFormat="1" ht="70.5" hidden="1" customHeight="1">
      <c r="C2407" s="701"/>
      <c r="D2407" s="811"/>
      <c r="E2407" s="1276">
        <f>[11]building!Y2738</f>
        <v>0</v>
      </c>
      <c r="F2407" s="748">
        <f t="shared" si="276"/>
        <v>0</v>
      </c>
      <c r="G2407" s="1205"/>
      <c r="H2407" s="1055"/>
      <c r="I2407" s="1055"/>
      <c r="J2407" s="1055"/>
      <c r="K2407" s="1205"/>
      <c r="L2407" s="1055"/>
      <c r="M2407" s="1205"/>
      <c r="N2407" s="1054"/>
      <c r="O2407" s="1207"/>
      <c r="Q2407" s="1207"/>
    </row>
    <row r="2408" spans="3:17" s="700" customFormat="1" ht="70.5" hidden="1" customHeight="1">
      <c r="C2408" s="701"/>
      <c r="D2408" s="811"/>
      <c r="E2408" s="1276">
        <f>[11]building!Y2739</f>
        <v>0</v>
      </c>
      <c r="F2408" s="748">
        <f t="shared" si="276"/>
        <v>0</v>
      </c>
      <c r="G2408" s="1205"/>
      <c r="H2408" s="1055"/>
      <c r="I2408" s="1055"/>
      <c r="J2408" s="1055"/>
      <c r="K2408" s="1205"/>
      <c r="L2408" s="1055"/>
      <c r="M2408" s="1205"/>
      <c r="N2408" s="1054"/>
      <c r="O2408" s="1207"/>
      <c r="Q2408" s="1207"/>
    </row>
    <row r="2409" spans="3:17" s="700" customFormat="1" ht="70.5" hidden="1" customHeight="1">
      <c r="C2409" s="701"/>
      <c r="D2409" s="811"/>
      <c r="E2409" s="1276">
        <f>[11]building!Y2740</f>
        <v>0</v>
      </c>
      <c r="F2409" s="748">
        <f t="shared" si="276"/>
        <v>0</v>
      </c>
      <c r="G2409" s="1205"/>
      <c r="H2409" s="1055"/>
      <c r="I2409" s="1055"/>
      <c r="J2409" s="1055"/>
      <c r="K2409" s="1205"/>
      <c r="L2409" s="1055"/>
      <c r="M2409" s="1205"/>
      <c r="N2409" s="1054"/>
      <c r="O2409" s="1207"/>
      <c r="Q2409" s="1207"/>
    </row>
    <row r="2410" spans="3:17" s="700" customFormat="1" ht="70.5" hidden="1" customHeight="1">
      <c r="C2410" s="701"/>
      <c r="D2410" s="811"/>
      <c r="E2410" s="1276">
        <f>[11]building!Y2741</f>
        <v>0</v>
      </c>
      <c r="F2410" s="748">
        <f t="shared" si="276"/>
        <v>0</v>
      </c>
      <c r="G2410" s="1205"/>
      <c r="H2410" s="1055"/>
      <c r="I2410" s="1055"/>
      <c r="J2410" s="1055"/>
      <c r="K2410" s="1205"/>
      <c r="L2410" s="1055"/>
      <c r="M2410" s="1205"/>
      <c r="N2410" s="1054"/>
      <c r="O2410" s="1207"/>
      <c r="Q2410" s="1207"/>
    </row>
    <row r="2411" spans="3:17" s="700" customFormat="1" ht="70.5" hidden="1" customHeight="1">
      <c r="C2411" s="701"/>
      <c r="D2411" s="811"/>
      <c r="E2411" s="1276">
        <f>[11]building!Y2742</f>
        <v>0</v>
      </c>
      <c r="F2411" s="748">
        <f t="shared" si="276"/>
        <v>0</v>
      </c>
      <c r="G2411" s="1205"/>
      <c r="H2411" s="1055"/>
      <c r="I2411" s="1055"/>
      <c r="J2411" s="1055"/>
      <c r="K2411" s="1205"/>
      <c r="L2411" s="1055"/>
      <c r="M2411" s="1205"/>
      <c r="N2411" s="1054"/>
      <c r="O2411" s="1207"/>
      <c r="Q2411" s="1207"/>
    </row>
    <row r="2412" spans="3:17" s="700" customFormat="1" ht="70.5" hidden="1" customHeight="1">
      <c r="C2412" s="701"/>
      <c r="D2412" s="811"/>
      <c r="E2412" s="1276">
        <f>[11]building!Y2743</f>
        <v>0</v>
      </c>
      <c r="F2412" s="748">
        <f t="shared" si="276"/>
        <v>0</v>
      </c>
      <c r="G2412" s="1205"/>
      <c r="H2412" s="1055"/>
      <c r="I2412" s="1055"/>
      <c r="J2412" s="1055"/>
      <c r="K2412" s="1205"/>
      <c r="L2412" s="1055"/>
      <c r="M2412" s="1205"/>
      <c r="N2412" s="1054"/>
      <c r="O2412" s="1207"/>
      <c r="Q2412" s="1207"/>
    </row>
    <row r="2413" spans="3:17" s="700" customFormat="1" ht="70.5" hidden="1" customHeight="1">
      <c r="C2413" s="701"/>
      <c r="D2413" s="811"/>
      <c r="E2413" s="1276">
        <f>[11]building!Y2744</f>
        <v>0</v>
      </c>
      <c r="F2413" s="748">
        <f t="shared" si="276"/>
        <v>0</v>
      </c>
      <c r="G2413" s="1205"/>
      <c r="H2413" s="1055"/>
      <c r="I2413" s="1055"/>
      <c r="J2413" s="1055"/>
      <c r="K2413" s="1205"/>
      <c r="L2413" s="1055"/>
      <c r="M2413" s="1205"/>
      <c r="N2413" s="1054"/>
      <c r="O2413" s="1207"/>
      <c r="Q2413" s="1207"/>
    </row>
    <row r="2414" spans="3:17" s="700" customFormat="1" ht="70.5" hidden="1" customHeight="1">
      <c r="C2414" s="701"/>
      <c r="D2414" s="811"/>
      <c r="E2414" s="1276">
        <f>[11]building!Y2745</f>
        <v>0</v>
      </c>
      <c r="F2414" s="748">
        <f t="shared" si="276"/>
        <v>0</v>
      </c>
      <c r="G2414" s="1205"/>
      <c r="H2414" s="1055"/>
      <c r="I2414" s="1055"/>
      <c r="J2414" s="1055"/>
      <c r="K2414" s="1205"/>
      <c r="L2414" s="1055"/>
      <c r="M2414" s="1205"/>
      <c r="N2414" s="1054"/>
      <c r="O2414" s="1207"/>
      <c r="Q2414" s="1207"/>
    </row>
    <row r="2415" spans="3:17" s="700" customFormat="1" ht="70.5" hidden="1" customHeight="1">
      <c r="C2415" s="701"/>
      <c r="D2415" s="811"/>
      <c r="E2415" s="1276">
        <f>[11]building!Y2746</f>
        <v>0</v>
      </c>
      <c r="F2415" s="748">
        <f t="shared" si="276"/>
        <v>0</v>
      </c>
      <c r="G2415" s="1205"/>
      <c r="H2415" s="1055"/>
      <c r="I2415" s="1055"/>
      <c r="J2415" s="1055"/>
      <c r="K2415" s="1205"/>
      <c r="L2415" s="1055"/>
      <c r="M2415" s="1205"/>
      <c r="N2415" s="1054"/>
      <c r="O2415" s="1207"/>
      <c r="Q2415" s="1207"/>
    </row>
    <row r="2416" spans="3:17" s="700" customFormat="1" ht="70.5" hidden="1" customHeight="1">
      <c r="C2416" s="701"/>
      <c r="D2416" s="811"/>
      <c r="E2416" s="1276">
        <f>[11]building!Y2747</f>
        <v>0</v>
      </c>
      <c r="F2416" s="748">
        <f t="shared" si="276"/>
        <v>0</v>
      </c>
      <c r="G2416" s="1205"/>
      <c r="H2416" s="1055"/>
      <c r="I2416" s="1055"/>
      <c r="J2416" s="1055"/>
      <c r="K2416" s="1205"/>
      <c r="L2416" s="1055"/>
      <c r="M2416" s="1205"/>
      <c r="N2416" s="1054"/>
      <c r="O2416" s="1207"/>
      <c r="Q2416" s="1207"/>
    </row>
    <row r="2417" spans="3:17" s="700" customFormat="1" ht="70.5" hidden="1" customHeight="1">
      <c r="C2417" s="701"/>
      <c r="D2417" s="811"/>
      <c r="E2417" s="1276">
        <f>[11]building!Y2748</f>
        <v>0</v>
      </c>
      <c r="F2417" s="748">
        <f t="shared" si="276"/>
        <v>0</v>
      </c>
      <c r="G2417" s="1205"/>
      <c r="H2417" s="1055"/>
      <c r="I2417" s="1055"/>
      <c r="J2417" s="1055"/>
      <c r="K2417" s="1205"/>
      <c r="L2417" s="1055"/>
      <c r="M2417" s="1205"/>
      <c r="N2417" s="1054"/>
      <c r="O2417" s="1207"/>
      <c r="Q2417" s="1207"/>
    </row>
    <row r="2418" spans="3:17" s="700" customFormat="1" ht="70.5" hidden="1" customHeight="1">
      <c r="C2418" s="701"/>
      <c r="D2418" s="811"/>
      <c r="E2418" s="1276">
        <f>[11]building!Y2749</f>
        <v>0</v>
      </c>
      <c r="F2418" s="748">
        <f t="shared" si="276"/>
        <v>0</v>
      </c>
      <c r="G2418" s="1205"/>
      <c r="H2418" s="1055"/>
      <c r="I2418" s="1055"/>
      <c r="J2418" s="1055"/>
      <c r="K2418" s="1205"/>
      <c r="L2418" s="1055"/>
      <c r="M2418" s="1205"/>
      <c r="N2418" s="1054"/>
      <c r="O2418" s="1207"/>
      <c r="Q2418" s="1207"/>
    </row>
    <row r="2419" spans="3:17" s="700" customFormat="1" ht="70.5" hidden="1" customHeight="1">
      <c r="C2419" s="701"/>
      <c r="D2419" s="811"/>
      <c r="E2419" s="1276">
        <f>[11]building!Y2750</f>
        <v>0</v>
      </c>
      <c r="F2419" s="748">
        <f t="shared" si="276"/>
        <v>0</v>
      </c>
      <c r="G2419" s="1205"/>
      <c r="H2419" s="1055"/>
      <c r="I2419" s="1055"/>
      <c r="J2419" s="1055"/>
      <c r="K2419" s="1205"/>
      <c r="L2419" s="1055"/>
      <c r="M2419" s="1205"/>
      <c r="N2419" s="1054"/>
      <c r="O2419" s="1207"/>
      <c r="Q2419" s="1207"/>
    </row>
    <row r="2420" spans="3:17" s="700" customFormat="1" ht="70.5" hidden="1" customHeight="1">
      <c r="C2420" s="701"/>
      <c r="D2420" s="811"/>
      <c r="E2420" s="1276">
        <f>[11]building!Y2751</f>
        <v>0</v>
      </c>
      <c r="F2420" s="748">
        <f t="shared" si="276"/>
        <v>0</v>
      </c>
      <c r="G2420" s="1205"/>
      <c r="H2420" s="1055"/>
      <c r="I2420" s="1055"/>
      <c r="J2420" s="1055"/>
      <c r="K2420" s="1205"/>
      <c r="L2420" s="1055"/>
      <c r="M2420" s="1205"/>
      <c r="N2420" s="1054"/>
      <c r="O2420" s="1207"/>
      <c r="Q2420" s="1207"/>
    </row>
    <row r="2421" spans="3:17" s="700" customFormat="1" ht="70.5" hidden="1" customHeight="1">
      <c r="C2421" s="701"/>
      <c r="D2421" s="811"/>
      <c r="E2421" s="1276">
        <f>[11]building!Y2752</f>
        <v>0</v>
      </c>
      <c r="F2421" s="748">
        <f t="shared" si="276"/>
        <v>0</v>
      </c>
      <c r="G2421" s="1205"/>
      <c r="H2421" s="1055"/>
      <c r="I2421" s="1055"/>
      <c r="J2421" s="1055"/>
      <c r="K2421" s="1205"/>
      <c r="L2421" s="1055"/>
      <c r="M2421" s="1205"/>
      <c r="N2421" s="1054"/>
      <c r="O2421" s="1207"/>
      <c r="Q2421" s="1207"/>
    </row>
    <row r="2422" spans="3:17" s="700" customFormat="1" ht="70.5" hidden="1" customHeight="1">
      <c r="C2422" s="701"/>
      <c r="D2422" s="811"/>
      <c r="E2422" s="1276">
        <f>[11]building!Y2753</f>
        <v>0</v>
      </c>
      <c r="F2422" s="748">
        <f t="shared" si="276"/>
        <v>0</v>
      </c>
      <c r="G2422" s="1205"/>
      <c r="H2422" s="1055"/>
      <c r="I2422" s="1055"/>
      <c r="J2422" s="1055"/>
      <c r="K2422" s="1205"/>
      <c r="L2422" s="1055"/>
      <c r="M2422" s="1205"/>
      <c r="N2422" s="1054"/>
      <c r="O2422" s="1207"/>
      <c r="Q2422" s="1207"/>
    </row>
    <row r="2423" spans="3:17" s="700" customFormat="1" ht="70.5" hidden="1" customHeight="1">
      <c r="C2423" s="701"/>
      <c r="D2423" s="811"/>
      <c r="E2423" s="1276">
        <f>[11]building!Y2754</f>
        <v>0</v>
      </c>
      <c r="F2423" s="748">
        <f t="shared" si="276"/>
        <v>0</v>
      </c>
      <c r="G2423" s="1205"/>
      <c r="H2423" s="1055"/>
      <c r="I2423" s="1055"/>
      <c r="J2423" s="1055"/>
      <c r="K2423" s="1205"/>
      <c r="L2423" s="1055"/>
      <c r="M2423" s="1205"/>
      <c r="N2423" s="1054"/>
      <c r="O2423" s="1207"/>
      <c r="Q2423" s="1207"/>
    </row>
    <row r="2424" spans="3:17" s="700" customFormat="1" ht="70.5" hidden="1" customHeight="1">
      <c r="C2424" s="701"/>
      <c r="D2424" s="811"/>
      <c r="E2424" s="1276">
        <f>[11]building!Y2755</f>
        <v>0</v>
      </c>
      <c r="F2424" s="748">
        <f t="shared" si="276"/>
        <v>0</v>
      </c>
      <c r="G2424" s="1205"/>
      <c r="H2424" s="1055"/>
      <c r="I2424" s="1055"/>
      <c r="J2424" s="1055"/>
      <c r="K2424" s="1205"/>
      <c r="L2424" s="1055"/>
      <c r="M2424" s="1205"/>
      <c r="N2424" s="1054"/>
      <c r="O2424" s="1207"/>
      <c r="Q2424" s="1207"/>
    </row>
    <row r="2425" spans="3:17" s="700" customFormat="1" ht="70.5" hidden="1" customHeight="1">
      <c r="C2425" s="701"/>
      <c r="D2425" s="811"/>
      <c r="E2425" s="1276">
        <f>[11]building!Y2756</f>
        <v>0</v>
      </c>
      <c r="F2425" s="748">
        <f t="shared" si="276"/>
        <v>0</v>
      </c>
      <c r="G2425" s="1205"/>
      <c r="H2425" s="1055"/>
      <c r="I2425" s="1055"/>
      <c r="J2425" s="1055"/>
      <c r="K2425" s="1205"/>
      <c r="L2425" s="1055"/>
      <c r="M2425" s="1205"/>
      <c r="N2425" s="1054"/>
      <c r="O2425" s="1207"/>
      <c r="Q2425" s="1207"/>
    </row>
    <row r="2426" spans="3:17" s="700" customFormat="1" ht="70.5" hidden="1" customHeight="1">
      <c r="C2426" s="701"/>
      <c r="D2426" s="811"/>
      <c r="E2426" s="1276">
        <f>[11]building!Y2757</f>
        <v>0</v>
      </c>
      <c r="F2426" s="748">
        <f t="shared" si="276"/>
        <v>0</v>
      </c>
      <c r="G2426" s="1205"/>
      <c r="H2426" s="1055"/>
      <c r="I2426" s="1055"/>
      <c r="J2426" s="1055"/>
      <c r="K2426" s="1205"/>
      <c r="L2426" s="1055"/>
      <c r="M2426" s="1205"/>
      <c r="N2426" s="1054"/>
      <c r="O2426" s="1207"/>
      <c r="Q2426" s="1207"/>
    </row>
    <row r="2427" spans="3:17" s="700" customFormat="1" ht="70.5" hidden="1" customHeight="1">
      <c r="C2427" s="701"/>
      <c r="D2427" s="811"/>
      <c r="E2427" s="1276">
        <f>[11]building!Y2758</f>
        <v>0</v>
      </c>
      <c r="F2427" s="748">
        <f t="shared" si="276"/>
        <v>0</v>
      </c>
      <c r="G2427" s="1205"/>
      <c r="H2427" s="1055"/>
      <c r="I2427" s="1055"/>
      <c r="J2427" s="1055"/>
      <c r="K2427" s="1205"/>
      <c r="L2427" s="1055"/>
      <c r="M2427" s="1205"/>
      <c r="N2427" s="1054"/>
      <c r="O2427" s="1207"/>
      <c r="Q2427" s="1207"/>
    </row>
    <row r="2428" spans="3:17" s="700" customFormat="1" ht="70.5" hidden="1" customHeight="1">
      <c r="C2428" s="701"/>
      <c r="D2428" s="811"/>
      <c r="E2428" s="1276">
        <f>[11]building!Y2759</f>
        <v>0</v>
      </c>
      <c r="F2428" s="748">
        <f t="shared" si="276"/>
        <v>0</v>
      </c>
      <c r="G2428" s="1205"/>
      <c r="H2428" s="1055"/>
      <c r="I2428" s="1055"/>
      <c r="J2428" s="1055"/>
      <c r="K2428" s="1205"/>
      <c r="L2428" s="1055"/>
      <c r="M2428" s="1205"/>
      <c r="N2428" s="1054"/>
      <c r="O2428" s="1207"/>
      <c r="Q2428" s="1207"/>
    </row>
    <row r="2429" spans="3:17" s="700" customFormat="1" ht="70.5" hidden="1" customHeight="1">
      <c r="C2429" s="701"/>
      <c r="D2429" s="811"/>
      <c r="E2429" s="1276">
        <f>[11]building!Y2760</f>
        <v>0</v>
      </c>
      <c r="F2429" s="748">
        <f t="shared" si="276"/>
        <v>0</v>
      </c>
      <c r="G2429" s="1205"/>
      <c r="H2429" s="1055"/>
      <c r="I2429" s="1055"/>
      <c r="J2429" s="1055"/>
      <c r="K2429" s="1205"/>
      <c r="L2429" s="1055"/>
      <c r="M2429" s="1205"/>
      <c r="N2429" s="1054"/>
      <c r="O2429" s="1207"/>
      <c r="Q2429" s="1207"/>
    </row>
    <row r="2430" spans="3:17" s="700" customFormat="1" ht="70.5" hidden="1" customHeight="1">
      <c r="C2430" s="701"/>
      <c r="D2430" s="811"/>
      <c r="E2430" s="1276">
        <f>[11]building!Y2761</f>
        <v>0</v>
      </c>
      <c r="F2430" s="748">
        <f t="shared" si="276"/>
        <v>0</v>
      </c>
      <c r="G2430" s="1205"/>
      <c r="H2430" s="1055"/>
      <c r="I2430" s="1055"/>
      <c r="J2430" s="1055"/>
      <c r="K2430" s="1205"/>
      <c r="L2430" s="1055"/>
      <c r="M2430" s="1205"/>
      <c r="N2430" s="1054"/>
      <c r="O2430" s="1207"/>
      <c r="Q2430" s="1207"/>
    </row>
    <row r="2431" spans="3:17" s="700" customFormat="1" ht="70.5" hidden="1" customHeight="1">
      <c r="C2431" s="701"/>
      <c r="D2431" s="811"/>
      <c r="E2431" s="1276">
        <f>[11]building!Y2762</f>
        <v>0</v>
      </c>
      <c r="F2431" s="748">
        <f t="shared" si="276"/>
        <v>0</v>
      </c>
      <c r="G2431" s="1205"/>
      <c r="H2431" s="1055"/>
      <c r="I2431" s="1055"/>
      <c r="J2431" s="1055"/>
      <c r="K2431" s="1205"/>
      <c r="L2431" s="1055"/>
      <c r="M2431" s="1205"/>
      <c r="N2431" s="1054"/>
      <c r="O2431" s="1207"/>
      <c r="Q2431" s="1207"/>
    </row>
    <row r="2432" spans="3:17" s="700" customFormat="1" ht="70.5" hidden="1" customHeight="1">
      <c r="C2432" s="701"/>
      <c r="D2432" s="811"/>
      <c r="E2432" s="1276">
        <f>[11]building!Y2763</f>
        <v>0</v>
      </c>
      <c r="F2432" s="748">
        <f t="shared" ref="F2432:F2495" si="277">E2432*C2432</f>
        <v>0</v>
      </c>
      <c r="G2432" s="1205"/>
      <c r="H2432" s="1055"/>
      <c r="I2432" s="1055"/>
      <c r="J2432" s="1055"/>
      <c r="K2432" s="1205"/>
      <c r="L2432" s="1055"/>
      <c r="M2432" s="1205"/>
      <c r="N2432" s="1054"/>
      <c r="O2432" s="1207"/>
      <c r="Q2432" s="1207"/>
    </row>
    <row r="2433" spans="3:17" s="700" customFormat="1" ht="70.5" hidden="1" customHeight="1">
      <c r="C2433" s="701"/>
      <c r="D2433" s="811"/>
      <c r="E2433" s="1276">
        <f>[11]building!Y2764</f>
        <v>0</v>
      </c>
      <c r="F2433" s="748">
        <f t="shared" si="277"/>
        <v>0</v>
      </c>
      <c r="G2433" s="1205"/>
      <c r="H2433" s="1055"/>
      <c r="I2433" s="1055"/>
      <c r="J2433" s="1055"/>
      <c r="K2433" s="1205"/>
      <c r="L2433" s="1055"/>
      <c r="M2433" s="1205"/>
      <c r="N2433" s="1054"/>
      <c r="O2433" s="1207"/>
      <c r="Q2433" s="1207"/>
    </row>
    <row r="2434" spans="3:17" s="700" customFormat="1" ht="70.5" hidden="1" customHeight="1">
      <c r="C2434" s="701"/>
      <c r="D2434" s="811"/>
      <c r="E2434" s="1276">
        <f>[11]building!Y2765</f>
        <v>0</v>
      </c>
      <c r="F2434" s="748">
        <f t="shared" si="277"/>
        <v>0</v>
      </c>
      <c r="G2434" s="1205"/>
      <c r="H2434" s="1055"/>
      <c r="I2434" s="1055"/>
      <c r="J2434" s="1055"/>
      <c r="K2434" s="1205"/>
      <c r="L2434" s="1055"/>
      <c r="M2434" s="1205"/>
      <c r="N2434" s="1054"/>
      <c r="O2434" s="1207"/>
      <c r="Q2434" s="1207"/>
    </row>
    <row r="2435" spans="3:17" s="700" customFormat="1" ht="70.5" hidden="1" customHeight="1">
      <c r="C2435" s="701"/>
      <c r="D2435" s="811"/>
      <c r="E2435" s="1276">
        <f>[11]building!Y2766</f>
        <v>0</v>
      </c>
      <c r="F2435" s="748">
        <f t="shared" si="277"/>
        <v>0</v>
      </c>
      <c r="G2435" s="1205"/>
      <c r="H2435" s="1055"/>
      <c r="I2435" s="1055"/>
      <c r="J2435" s="1055"/>
      <c r="K2435" s="1205"/>
      <c r="L2435" s="1055"/>
      <c r="M2435" s="1205"/>
      <c r="N2435" s="1054"/>
      <c r="O2435" s="1207"/>
      <c r="Q2435" s="1207"/>
    </row>
    <row r="2436" spans="3:17" s="700" customFormat="1" ht="70.5" hidden="1" customHeight="1">
      <c r="C2436" s="701"/>
      <c r="D2436" s="811"/>
      <c r="E2436" s="1276">
        <f>[11]building!Y2767</f>
        <v>0</v>
      </c>
      <c r="F2436" s="748">
        <f t="shared" si="277"/>
        <v>0</v>
      </c>
      <c r="G2436" s="1205"/>
      <c r="H2436" s="1055"/>
      <c r="I2436" s="1055"/>
      <c r="J2436" s="1055"/>
      <c r="K2436" s="1205"/>
      <c r="L2436" s="1055"/>
      <c r="M2436" s="1205"/>
      <c r="N2436" s="1054"/>
      <c r="O2436" s="1207"/>
      <c r="Q2436" s="1207"/>
    </row>
    <row r="2437" spans="3:17" s="700" customFormat="1" ht="70.5" hidden="1" customHeight="1">
      <c r="C2437" s="701"/>
      <c r="D2437" s="811"/>
      <c r="E2437" s="1276">
        <f>[11]building!Y2768</f>
        <v>0</v>
      </c>
      <c r="F2437" s="748">
        <f t="shared" si="277"/>
        <v>0</v>
      </c>
      <c r="G2437" s="1205"/>
      <c r="H2437" s="1055"/>
      <c r="I2437" s="1055"/>
      <c r="J2437" s="1055"/>
      <c r="K2437" s="1205"/>
      <c r="L2437" s="1055"/>
      <c r="M2437" s="1205"/>
      <c r="N2437" s="1054"/>
      <c r="O2437" s="1207"/>
      <c r="Q2437" s="1207"/>
    </row>
    <row r="2438" spans="3:17" s="700" customFormat="1" ht="70.5" hidden="1" customHeight="1">
      <c r="C2438" s="701"/>
      <c r="D2438" s="811"/>
      <c r="E2438" s="1276">
        <f>[11]building!Y2769</f>
        <v>0</v>
      </c>
      <c r="F2438" s="748">
        <f t="shared" si="277"/>
        <v>0</v>
      </c>
      <c r="G2438" s="1205"/>
      <c r="H2438" s="1055"/>
      <c r="I2438" s="1055"/>
      <c r="J2438" s="1055"/>
      <c r="K2438" s="1205"/>
      <c r="L2438" s="1055"/>
      <c r="M2438" s="1205"/>
      <c r="N2438" s="1054"/>
      <c r="O2438" s="1207"/>
      <c r="Q2438" s="1207"/>
    </row>
    <row r="2439" spans="3:17" s="700" customFormat="1" ht="70.5" hidden="1" customHeight="1">
      <c r="C2439" s="701"/>
      <c r="D2439" s="811"/>
      <c r="E2439" s="1276">
        <f>[11]building!Y2770</f>
        <v>0</v>
      </c>
      <c r="F2439" s="748">
        <f t="shared" si="277"/>
        <v>0</v>
      </c>
      <c r="G2439" s="1205"/>
      <c r="H2439" s="1055"/>
      <c r="I2439" s="1055"/>
      <c r="J2439" s="1055"/>
      <c r="K2439" s="1205"/>
      <c r="L2439" s="1055"/>
      <c r="M2439" s="1205"/>
      <c r="N2439" s="1054"/>
      <c r="O2439" s="1207"/>
      <c r="Q2439" s="1207"/>
    </row>
    <row r="2440" spans="3:17" s="700" customFormat="1" ht="70.5" hidden="1" customHeight="1">
      <c r="C2440" s="701"/>
      <c r="D2440" s="811"/>
      <c r="E2440" s="1276">
        <f>[11]building!Y2771</f>
        <v>0</v>
      </c>
      <c r="F2440" s="748">
        <f t="shared" si="277"/>
        <v>0</v>
      </c>
      <c r="G2440" s="1205"/>
      <c r="H2440" s="1055"/>
      <c r="I2440" s="1055"/>
      <c r="J2440" s="1055"/>
      <c r="K2440" s="1205"/>
      <c r="L2440" s="1055"/>
      <c r="M2440" s="1205"/>
      <c r="N2440" s="1054"/>
      <c r="O2440" s="1207"/>
      <c r="Q2440" s="1207"/>
    </row>
    <row r="2441" spans="3:17" s="700" customFormat="1" ht="70.5" hidden="1" customHeight="1">
      <c r="C2441" s="701"/>
      <c r="D2441" s="811"/>
      <c r="E2441" s="1276">
        <f>[11]building!Y2772</f>
        <v>0</v>
      </c>
      <c r="F2441" s="748">
        <f t="shared" si="277"/>
        <v>0</v>
      </c>
      <c r="G2441" s="1205"/>
      <c r="H2441" s="1055"/>
      <c r="I2441" s="1055"/>
      <c r="J2441" s="1055"/>
      <c r="K2441" s="1205"/>
      <c r="L2441" s="1055"/>
      <c r="M2441" s="1205"/>
      <c r="N2441" s="1054"/>
      <c r="O2441" s="1207"/>
      <c r="Q2441" s="1207"/>
    </row>
    <row r="2442" spans="3:17" s="700" customFormat="1" ht="70.5" hidden="1" customHeight="1">
      <c r="C2442" s="701"/>
      <c r="D2442" s="811"/>
      <c r="E2442" s="1276">
        <f>[11]building!Y2773</f>
        <v>0</v>
      </c>
      <c r="F2442" s="748">
        <f t="shared" si="277"/>
        <v>0</v>
      </c>
      <c r="G2442" s="1205"/>
      <c r="H2442" s="1055"/>
      <c r="I2442" s="1055"/>
      <c r="J2442" s="1055"/>
      <c r="K2442" s="1205"/>
      <c r="L2442" s="1055"/>
      <c r="M2442" s="1205"/>
      <c r="N2442" s="1054"/>
      <c r="O2442" s="1207"/>
      <c r="Q2442" s="1207"/>
    </row>
    <row r="2443" spans="3:17" s="700" customFormat="1" ht="70.5" hidden="1" customHeight="1">
      <c r="C2443" s="701"/>
      <c r="D2443" s="811"/>
      <c r="E2443" s="1276">
        <f>[11]building!Y2774</f>
        <v>0</v>
      </c>
      <c r="F2443" s="748">
        <f t="shared" si="277"/>
        <v>0</v>
      </c>
      <c r="G2443" s="1205"/>
      <c r="H2443" s="1055"/>
      <c r="I2443" s="1055"/>
      <c r="J2443" s="1055"/>
      <c r="K2443" s="1205"/>
      <c r="L2443" s="1055"/>
      <c r="M2443" s="1205"/>
      <c r="N2443" s="1054"/>
      <c r="O2443" s="1207"/>
      <c r="Q2443" s="1207"/>
    </row>
    <row r="2444" spans="3:17" s="700" customFormat="1" ht="70.5" hidden="1" customHeight="1">
      <c r="C2444" s="701"/>
      <c r="D2444" s="811"/>
      <c r="E2444" s="1276">
        <f>[11]building!Y2775</f>
        <v>0</v>
      </c>
      <c r="F2444" s="748">
        <f t="shared" si="277"/>
        <v>0</v>
      </c>
      <c r="G2444" s="1205"/>
      <c r="H2444" s="1055"/>
      <c r="I2444" s="1055"/>
      <c r="J2444" s="1055"/>
      <c r="K2444" s="1205"/>
      <c r="L2444" s="1055"/>
      <c r="M2444" s="1205"/>
      <c r="N2444" s="1054"/>
      <c r="O2444" s="1207"/>
      <c r="Q2444" s="1207"/>
    </row>
    <row r="2445" spans="3:17" s="700" customFormat="1" ht="70.5" hidden="1" customHeight="1">
      <c r="C2445" s="701"/>
      <c r="D2445" s="811"/>
      <c r="E2445" s="1276">
        <f>[11]building!Y2776</f>
        <v>0</v>
      </c>
      <c r="F2445" s="748">
        <f t="shared" si="277"/>
        <v>0</v>
      </c>
      <c r="G2445" s="1205"/>
      <c r="H2445" s="1055"/>
      <c r="I2445" s="1055"/>
      <c r="J2445" s="1055"/>
      <c r="K2445" s="1205"/>
      <c r="L2445" s="1055"/>
      <c r="M2445" s="1205"/>
      <c r="N2445" s="1054"/>
      <c r="O2445" s="1207"/>
      <c r="Q2445" s="1207"/>
    </row>
    <row r="2446" spans="3:17" s="700" customFormat="1" ht="70.5" hidden="1" customHeight="1">
      <c r="C2446" s="701"/>
      <c r="D2446" s="811"/>
      <c r="E2446" s="1276">
        <f>[11]building!Y2777</f>
        <v>0</v>
      </c>
      <c r="F2446" s="748">
        <f t="shared" si="277"/>
        <v>0</v>
      </c>
      <c r="G2446" s="1205"/>
      <c r="H2446" s="1055"/>
      <c r="I2446" s="1055"/>
      <c r="J2446" s="1055"/>
      <c r="K2446" s="1205"/>
      <c r="L2446" s="1055"/>
      <c r="M2446" s="1205"/>
      <c r="N2446" s="1054"/>
      <c r="O2446" s="1207"/>
      <c r="Q2446" s="1207"/>
    </row>
    <row r="2447" spans="3:17" s="700" customFormat="1" ht="70.5" hidden="1" customHeight="1">
      <c r="C2447" s="701"/>
      <c r="D2447" s="811"/>
      <c r="E2447" s="1276">
        <f>[11]building!Y2778</f>
        <v>0</v>
      </c>
      <c r="F2447" s="748">
        <f t="shared" si="277"/>
        <v>0</v>
      </c>
      <c r="G2447" s="1205"/>
      <c r="H2447" s="1055"/>
      <c r="I2447" s="1055"/>
      <c r="J2447" s="1055"/>
      <c r="K2447" s="1205"/>
      <c r="L2447" s="1055"/>
      <c r="M2447" s="1205"/>
      <c r="N2447" s="1054"/>
      <c r="O2447" s="1207"/>
      <c r="Q2447" s="1207"/>
    </row>
    <row r="2448" spans="3:17" s="700" customFormat="1" ht="70.5" hidden="1" customHeight="1">
      <c r="C2448" s="701"/>
      <c r="D2448" s="811"/>
      <c r="E2448" s="1276">
        <f>[11]building!Y2779</f>
        <v>0</v>
      </c>
      <c r="F2448" s="748">
        <f t="shared" si="277"/>
        <v>0</v>
      </c>
      <c r="G2448" s="1205"/>
      <c r="H2448" s="1055"/>
      <c r="I2448" s="1055"/>
      <c r="J2448" s="1055"/>
      <c r="K2448" s="1205"/>
      <c r="L2448" s="1055"/>
      <c r="M2448" s="1205"/>
      <c r="N2448" s="1054"/>
      <c r="O2448" s="1207"/>
      <c r="Q2448" s="1207"/>
    </row>
    <row r="2449" spans="3:17" s="700" customFormat="1" ht="70.5" hidden="1" customHeight="1">
      <c r="C2449" s="701"/>
      <c r="D2449" s="811"/>
      <c r="E2449" s="1276">
        <f>[11]building!Y2780</f>
        <v>0</v>
      </c>
      <c r="F2449" s="748">
        <f t="shared" si="277"/>
        <v>0</v>
      </c>
      <c r="G2449" s="1205"/>
      <c r="H2449" s="1055"/>
      <c r="I2449" s="1055"/>
      <c r="J2449" s="1055"/>
      <c r="K2449" s="1205"/>
      <c r="L2449" s="1055"/>
      <c r="M2449" s="1205"/>
      <c r="N2449" s="1054"/>
      <c r="O2449" s="1207"/>
      <c r="Q2449" s="1207"/>
    </row>
    <row r="2450" spans="3:17" s="700" customFormat="1" ht="70.5" hidden="1" customHeight="1">
      <c r="C2450" s="701"/>
      <c r="D2450" s="811"/>
      <c r="E2450" s="1276">
        <f>[11]building!Y2781</f>
        <v>0</v>
      </c>
      <c r="F2450" s="748">
        <f t="shared" si="277"/>
        <v>0</v>
      </c>
      <c r="G2450" s="1205"/>
      <c r="H2450" s="1055"/>
      <c r="I2450" s="1055"/>
      <c r="J2450" s="1055"/>
      <c r="K2450" s="1205"/>
      <c r="L2450" s="1055"/>
      <c r="M2450" s="1205"/>
      <c r="N2450" s="1054"/>
      <c r="O2450" s="1207"/>
      <c r="Q2450" s="1207"/>
    </row>
    <row r="2451" spans="3:17" s="700" customFormat="1" ht="70.5" hidden="1" customHeight="1">
      <c r="C2451" s="701"/>
      <c r="D2451" s="811"/>
      <c r="E2451" s="1276">
        <f>[11]building!Y2782</f>
        <v>0</v>
      </c>
      <c r="F2451" s="748">
        <f t="shared" si="277"/>
        <v>0</v>
      </c>
      <c r="G2451" s="1205"/>
      <c r="H2451" s="1055"/>
      <c r="I2451" s="1055"/>
      <c r="J2451" s="1055"/>
      <c r="K2451" s="1205"/>
      <c r="L2451" s="1055"/>
      <c r="M2451" s="1205"/>
      <c r="N2451" s="1054"/>
      <c r="O2451" s="1207"/>
      <c r="Q2451" s="1207"/>
    </row>
    <row r="2452" spans="3:17" s="700" customFormat="1" ht="70.5" hidden="1" customHeight="1">
      <c r="C2452" s="701"/>
      <c r="D2452" s="811"/>
      <c r="E2452" s="1276">
        <f>[11]building!Y2783</f>
        <v>0</v>
      </c>
      <c r="F2452" s="748">
        <f t="shared" si="277"/>
        <v>0</v>
      </c>
      <c r="G2452" s="1205"/>
      <c r="H2452" s="1055"/>
      <c r="I2452" s="1055"/>
      <c r="J2452" s="1055"/>
      <c r="K2452" s="1205"/>
      <c r="L2452" s="1055"/>
      <c r="M2452" s="1205"/>
      <c r="N2452" s="1054"/>
      <c r="O2452" s="1207"/>
      <c r="Q2452" s="1207"/>
    </row>
    <row r="2453" spans="3:17" s="700" customFormat="1" ht="70.5" hidden="1" customHeight="1">
      <c r="C2453" s="701"/>
      <c r="D2453" s="811"/>
      <c r="E2453" s="1276">
        <f>[11]building!Y2784</f>
        <v>0</v>
      </c>
      <c r="F2453" s="748">
        <f t="shared" si="277"/>
        <v>0</v>
      </c>
      <c r="G2453" s="1205"/>
      <c r="H2453" s="1055"/>
      <c r="I2453" s="1055"/>
      <c r="J2453" s="1055"/>
      <c r="K2453" s="1205"/>
      <c r="L2453" s="1055"/>
      <c r="M2453" s="1205"/>
      <c r="N2453" s="1054"/>
      <c r="O2453" s="1207"/>
      <c r="Q2453" s="1207"/>
    </row>
    <row r="2454" spans="3:17" s="700" customFormat="1" ht="70.5" hidden="1" customHeight="1">
      <c r="C2454" s="701"/>
      <c r="D2454" s="811"/>
      <c r="E2454" s="1276">
        <f>[11]building!Y2785</f>
        <v>0</v>
      </c>
      <c r="F2454" s="748">
        <f t="shared" si="277"/>
        <v>0</v>
      </c>
      <c r="G2454" s="1205"/>
      <c r="H2454" s="1055"/>
      <c r="I2454" s="1055"/>
      <c r="J2454" s="1055"/>
      <c r="K2454" s="1205"/>
      <c r="L2454" s="1055"/>
      <c r="M2454" s="1205"/>
      <c r="N2454" s="1054"/>
      <c r="O2454" s="1207"/>
      <c r="Q2454" s="1207"/>
    </row>
    <row r="2455" spans="3:17" s="700" customFormat="1" ht="70.5" hidden="1" customHeight="1">
      <c r="C2455" s="701"/>
      <c r="D2455" s="811"/>
      <c r="E2455" s="1276">
        <f>[11]building!Y2786</f>
        <v>0</v>
      </c>
      <c r="F2455" s="748">
        <f t="shared" si="277"/>
        <v>0</v>
      </c>
      <c r="G2455" s="1205"/>
      <c r="H2455" s="1055"/>
      <c r="I2455" s="1055"/>
      <c r="J2455" s="1055"/>
      <c r="K2455" s="1205"/>
      <c r="L2455" s="1055"/>
      <c r="M2455" s="1205"/>
      <c r="N2455" s="1054"/>
      <c r="O2455" s="1207"/>
      <c r="Q2455" s="1207"/>
    </row>
    <row r="2456" spans="3:17" s="700" customFormat="1" ht="70.5" hidden="1" customHeight="1">
      <c r="C2456" s="701"/>
      <c r="D2456" s="811"/>
      <c r="E2456" s="1276">
        <f>[11]building!Y2787</f>
        <v>0</v>
      </c>
      <c r="F2456" s="748">
        <f t="shared" si="277"/>
        <v>0</v>
      </c>
      <c r="G2456" s="1205"/>
      <c r="H2456" s="1055"/>
      <c r="I2456" s="1055"/>
      <c r="J2456" s="1055"/>
      <c r="K2456" s="1205"/>
      <c r="L2456" s="1055"/>
      <c r="M2456" s="1205"/>
      <c r="N2456" s="1054"/>
      <c r="O2456" s="1207"/>
      <c r="Q2456" s="1207"/>
    </row>
    <row r="2457" spans="3:17" s="700" customFormat="1" ht="70.5" hidden="1" customHeight="1">
      <c r="C2457" s="701"/>
      <c r="D2457" s="811"/>
      <c r="E2457" s="1276">
        <f>[11]building!Y2788</f>
        <v>0</v>
      </c>
      <c r="F2457" s="748">
        <f t="shared" si="277"/>
        <v>0</v>
      </c>
      <c r="G2457" s="1205"/>
      <c r="H2457" s="1055"/>
      <c r="I2457" s="1055"/>
      <c r="J2457" s="1055"/>
      <c r="K2457" s="1205"/>
      <c r="L2457" s="1055"/>
      <c r="M2457" s="1205"/>
      <c r="N2457" s="1054"/>
      <c r="O2457" s="1207"/>
      <c r="Q2457" s="1207"/>
    </row>
    <row r="2458" spans="3:17" s="700" customFormat="1" ht="70.5" hidden="1" customHeight="1">
      <c r="C2458" s="701"/>
      <c r="D2458" s="811"/>
      <c r="E2458" s="1276">
        <f>[11]building!Y2789</f>
        <v>0</v>
      </c>
      <c r="F2458" s="748">
        <f t="shared" si="277"/>
        <v>0</v>
      </c>
      <c r="G2458" s="1205"/>
      <c r="H2458" s="1055"/>
      <c r="I2458" s="1055"/>
      <c r="J2458" s="1055"/>
      <c r="K2458" s="1205"/>
      <c r="L2458" s="1055"/>
      <c r="M2458" s="1205"/>
      <c r="N2458" s="1054"/>
      <c r="O2458" s="1207"/>
      <c r="Q2458" s="1207"/>
    </row>
    <row r="2459" spans="3:17" s="700" customFormat="1" ht="70.5" hidden="1" customHeight="1">
      <c r="C2459" s="701"/>
      <c r="D2459" s="811"/>
      <c r="E2459" s="1276">
        <f>[11]building!Y2790</f>
        <v>0</v>
      </c>
      <c r="F2459" s="748">
        <f t="shared" si="277"/>
        <v>0</v>
      </c>
      <c r="G2459" s="1205"/>
      <c r="H2459" s="1055"/>
      <c r="I2459" s="1055"/>
      <c r="J2459" s="1055"/>
      <c r="K2459" s="1205"/>
      <c r="L2459" s="1055"/>
      <c r="M2459" s="1205"/>
      <c r="N2459" s="1054"/>
      <c r="O2459" s="1207"/>
      <c r="Q2459" s="1207"/>
    </row>
    <row r="2460" spans="3:17" s="700" customFormat="1" ht="70.5" hidden="1" customHeight="1">
      <c r="C2460" s="701"/>
      <c r="D2460" s="811"/>
      <c r="E2460" s="1276">
        <f>[11]building!Y2791</f>
        <v>0</v>
      </c>
      <c r="F2460" s="748">
        <f t="shared" si="277"/>
        <v>0</v>
      </c>
      <c r="G2460" s="1205"/>
      <c r="H2460" s="1055"/>
      <c r="I2460" s="1055"/>
      <c r="J2460" s="1055"/>
      <c r="K2460" s="1205"/>
      <c r="L2460" s="1055"/>
      <c r="M2460" s="1205"/>
      <c r="N2460" s="1054"/>
      <c r="O2460" s="1207"/>
      <c r="Q2460" s="1207"/>
    </row>
    <row r="2461" spans="3:17" s="700" customFormat="1" ht="70.5" hidden="1" customHeight="1">
      <c r="C2461" s="701"/>
      <c r="D2461" s="811"/>
      <c r="E2461" s="1276">
        <f>[11]building!Y2792</f>
        <v>0</v>
      </c>
      <c r="F2461" s="748">
        <f t="shared" si="277"/>
        <v>0</v>
      </c>
      <c r="G2461" s="1205"/>
      <c r="H2461" s="1055"/>
      <c r="I2461" s="1055"/>
      <c r="J2461" s="1055"/>
      <c r="K2461" s="1205"/>
      <c r="L2461" s="1055"/>
      <c r="M2461" s="1205"/>
      <c r="N2461" s="1054"/>
      <c r="O2461" s="1207"/>
      <c r="Q2461" s="1207"/>
    </row>
    <row r="2462" spans="3:17" s="700" customFormat="1" ht="70.5" hidden="1" customHeight="1">
      <c r="C2462" s="701"/>
      <c r="D2462" s="811"/>
      <c r="E2462" s="1276">
        <f>[11]building!Y2793</f>
        <v>0</v>
      </c>
      <c r="F2462" s="748">
        <f t="shared" si="277"/>
        <v>0</v>
      </c>
      <c r="G2462" s="1205"/>
      <c r="H2462" s="1055"/>
      <c r="I2462" s="1055"/>
      <c r="J2462" s="1055"/>
      <c r="K2462" s="1205"/>
      <c r="L2462" s="1055"/>
      <c r="M2462" s="1205"/>
      <c r="N2462" s="1054"/>
      <c r="O2462" s="1207"/>
      <c r="Q2462" s="1207"/>
    </row>
    <row r="2463" spans="3:17" s="700" customFormat="1" ht="70.5" hidden="1" customHeight="1">
      <c r="C2463" s="701"/>
      <c r="D2463" s="811"/>
      <c r="E2463" s="1276">
        <f>[11]building!Y2794</f>
        <v>0</v>
      </c>
      <c r="F2463" s="748">
        <f t="shared" si="277"/>
        <v>0</v>
      </c>
      <c r="G2463" s="1205"/>
      <c r="H2463" s="1055"/>
      <c r="I2463" s="1055"/>
      <c r="J2463" s="1055"/>
      <c r="K2463" s="1205"/>
      <c r="L2463" s="1055"/>
      <c r="M2463" s="1205"/>
      <c r="N2463" s="1054"/>
      <c r="O2463" s="1207"/>
      <c r="Q2463" s="1207"/>
    </row>
    <row r="2464" spans="3:17" s="700" customFormat="1" ht="70.5" hidden="1" customHeight="1">
      <c r="C2464" s="701"/>
      <c r="D2464" s="811"/>
      <c r="E2464" s="1276">
        <f>[11]building!Y2795</f>
        <v>0</v>
      </c>
      <c r="F2464" s="748">
        <f t="shared" si="277"/>
        <v>0</v>
      </c>
      <c r="G2464" s="1205"/>
      <c r="H2464" s="1055"/>
      <c r="I2464" s="1055"/>
      <c r="J2464" s="1055"/>
      <c r="K2464" s="1205"/>
      <c r="L2464" s="1055"/>
      <c r="M2464" s="1205"/>
      <c r="N2464" s="1054"/>
      <c r="O2464" s="1207"/>
      <c r="Q2464" s="1207"/>
    </row>
    <row r="2465" spans="3:17" s="700" customFormat="1" ht="70.5" hidden="1" customHeight="1">
      <c r="C2465" s="701"/>
      <c r="D2465" s="811"/>
      <c r="E2465" s="1276">
        <f>[11]building!Y2796</f>
        <v>0</v>
      </c>
      <c r="F2465" s="748">
        <f t="shared" si="277"/>
        <v>0</v>
      </c>
      <c r="G2465" s="1205"/>
      <c r="H2465" s="1055"/>
      <c r="I2465" s="1055"/>
      <c r="J2465" s="1055"/>
      <c r="K2465" s="1205"/>
      <c r="L2465" s="1055"/>
      <c r="M2465" s="1205"/>
      <c r="N2465" s="1054"/>
      <c r="O2465" s="1207"/>
      <c r="Q2465" s="1207"/>
    </row>
    <row r="2466" spans="3:17" s="700" customFormat="1" ht="70.5" hidden="1" customHeight="1">
      <c r="C2466" s="701"/>
      <c r="D2466" s="811"/>
      <c r="E2466" s="1276">
        <f>[11]building!Y2797</f>
        <v>0</v>
      </c>
      <c r="F2466" s="748">
        <f t="shared" si="277"/>
        <v>0</v>
      </c>
      <c r="G2466" s="1205"/>
      <c r="H2466" s="1055"/>
      <c r="I2466" s="1055"/>
      <c r="J2466" s="1055"/>
      <c r="K2466" s="1205"/>
      <c r="L2466" s="1055"/>
      <c r="M2466" s="1205"/>
      <c r="N2466" s="1054"/>
      <c r="O2466" s="1207"/>
      <c r="Q2466" s="1207"/>
    </row>
    <row r="2467" spans="3:17" s="700" customFormat="1" ht="70.5" hidden="1" customHeight="1">
      <c r="C2467" s="701"/>
      <c r="D2467" s="811"/>
      <c r="E2467" s="1276">
        <f>[11]building!Y2798</f>
        <v>0</v>
      </c>
      <c r="F2467" s="748">
        <f t="shared" si="277"/>
        <v>0</v>
      </c>
      <c r="G2467" s="1205"/>
      <c r="H2467" s="1055"/>
      <c r="I2467" s="1055"/>
      <c r="J2467" s="1055"/>
      <c r="K2467" s="1205"/>
      <c r="L2467" s="1055"/>
      <c r="M2467" s="1205"/>
      <c r="N2467" s="1054"/>
      <c r="O2467" s="1207"/>
      <c r="Q2467" s="1207"/>
    </row>
    <row r="2468" spans="3:17" s="700" customFormat="1" ht="70.5" hidden="1" customHeight="1">
      <c r="C2468" s="701"/>
      <c r="D2468" s="811"/>
      <c r="E2468" s="1276">
        <f>[11]building!Y2799</f>
        <v>0</v>
      </c>
      <c r="F2468" s="748">
        <f t="shared" si="277"/>
        <v>0</v>
      </c>
      <c r="G2468" s="1205"/>
      <c r="H2468" s="1055"/>
      <c r="I2468" s="1055"/>
      <c r="J2468" s="1055"/>
      <c r="K2468" s="1205"/>
      <c r="L2468" s="1055"/>
      <c r="M2468" s="1205"/>
      <c r="N2468" s="1054"/>
      <c r="O2468" s="1207"/>
      <c r="Q2468" s="1207"/>
    </row>
    <row r="2469" spans="3:17" s="700" customFormat="1" ht="70.5" hidden="1" customHeight="1">
      <c r="C2469" s="701"/>
      <c r="D2469" s="811"/>
      <c r="E2469" s="1276">
        <f>[11]building!Y2800</f>
        <v>0</v>
      </c>
      <c r="F2469" s="748">
        <f t="shared" si="277"/>
        <v>0</v>
      </c>
      <c r="G2469" s="1205"/>
      <c r="H2469" s="1055"/>
      <c r="I2469" s="1055"/>
      <c r="J2469" s="1055"/>
      <c r="K2469" s="1205"/>
      <c r="L2469" s="1055"/>
      <c r="M2469" s="1205"/>
      <c r="N2469" s="1054"/>
      <c r="O2469" s="1207"/>
      <c r="Q2469" s="1207"/>
    </row>
    <row r="2470" spans="3:17" s="700" customFormat="1" ht="70.5" hidden="1" customHeight="1">
      <c r="C2470" s="701"/>
      <c r="D2470" s="811"/>
      <c r="E2470" s="1276">
        <f>[11]building!Y2801</f>
        <v>0</v>
      </c>
      <c r="F2470" s="748">
        <f t="shared" si="277"/>
        <v>0</v>
      </c>
      <c r="G2470" s="1205"/>
      <c r="H2470" s="1055"/>
      <c r="I2470" s="1055"/>
      <c r="J2470" s="1055"/>
      <c r="K2470" s="1205"/>
      <c r="L2470" s="1055"/>
      <c r="M2470" s="1205"/>
      <c r="N2470" s="1054"/>
      <c r="O2470" s="1207"/>
      <c r="Q2470" s="1207"/>
    </row>
    <row r="2471" spans="3:17" s="700" customFormat="1" ht="70.5" hidden="1" customHeight="1">
      <c r="C2471" s="701"/>
      <c r="D2471" s="811"/>
      <c r="E2471" s="1276">
        <f>[11]building!Y2802</f>
        <v>0</v>
      </c>
      <c r="F2471" s="748">
        <f t="shared" si="277"/>
        <v>0</v>
      </c>
      <c r="G2471" s="1205"/>
      <c r="H2471" s="1055"/>
      <c r="I2471" s="1055"/>
      <c r="J2471" s="1055"/>
      <c r="K2471" s="1205"/>
      <c r="L2471" s="1055"/>
      <c r="M2471" s="1205"/>
      <c r="N2471" s="1054"/>
      <c r="O2471" s="1207"/>
      <c r="Q2471" s="1207"/>
    </row>
    <row r="2472" spans="3:17" s="700" customFormat="1" ht="70.5" hidden="1" customHeight="1">
      <c r="C2472" s="701"/>
      <c r="D2472" s="811"/>
      <c r="E2472" s="1276">
        <f>[11]building!Y2803</f>
        <v>0</v>
      </c>
      <c r="F2472" s="748">
        <f t="shared" si="277"/>
        <v>0</v>
      </c>
      <c r="G2472" s="1205"/>
      <c r="H2472" s="1055"/>
      <c r="I2472" s="1055"/>
      <c r="J2472" s="1055"/>
      <c r="K2472" s="1205"/>
      <c r="L2472" s="1055"/>
      <c r="M2472" s="1205"/>
      <c r="N2472" s="1054"/>
      <c r="O2472" s="1207"/>
      <c r="Q2472" s="1207"/>
    </row>
    <row r="2473" spans="3:17" s="700" customFormat="1" ht="70.5" hidden="1" customHeight="1">
      <c r="C2473" s="701"/>
      <c r="D2473" s="811"/>
      <c r="E2473" s="1276">
        <f>[11]building!Y2804</f>
        <v>0</v>
      </c>
      <c r="F2473" s="748">
        <f t="shared" si="277"/>
        <v>0</v>
      </c>
      <c r="G2473" s="1205"/>
      <c r="H2473" s="1055"/>
      <c r="I2473" s="1055"/>
      <c r="J2473" s="1055"/>
      <c r="K2473" s="1205"/>
      <c r="L2473" s="1055"/>
      <c r="M2473" s="1205"/>
      <c r="N2473" s="1054"/>
      <c r="O2473" s="1207"/>
      <c r="Q2473" s="1207"/>
    </row>
    <row r="2474" spans="3:17" s="700" customFormat="1" ht="70.5" hidden="1" customHeight="1">
      <c r="C2474" s="701"/>
      <c r="D2474" s="811"/>
      <c r="E2474" s="1276">
        <f>[11]building!Y2805</f>
        <v>0</v>
      </c>
      <c r="F2474" s="748">
        <f t="shared" si="277"/>
        <v>0</v>
      </c>
      <c r="G2474" s="1205"/>
      <c r="H2474" s="1055"/>
      <c r="I2474" s="1055"/>
      <c r="J2474" s="1055"/>
      <c r="K2474" s="1205"/>
      <c r="L2474" s="1055"/>
      <c r="M2474" s="1205"/>
      <c r="N2474" s="1054"/>
      <c r="O2474" s="1207"/>
      <c r="Q2474" s="1207"/>
    </row>
    <row r="2475" spans="3:17" s="700" customFormat="1" ht="70.5" hidden="1" customHeight="1">
      <c r="C2475" s="701"/>
      <c r="D2475" s="811"/>
      <c r="E2475" s="1276">
        <f>[11]building!Y2806</f>
        <v>0</v>
      </c>
      <c r="F2475" s="748">
        <f t="shared" si="277"/>
        <v>0</v>
      </c>
      <c r="G2475" s="1205"/>
      <c r="H2475" s="1055"/>
      <c r="I2475" s="1055"/>
      <c r="J2475" s="1055"/>
      <c r="K2475" s="1205"/>
      <c r="L2475" s="1055"/>
      <c r="M2475" s="1205"/>
      <c r="N2475" s="1054"/>
      <c r="O2475" s="1207"/>
      <c r="Q2475" s="1207"/>
    </row>
    <row r="2476" spans="3:17" s="700" customFormat="1" ht="70.5" hidden="1" customHeight="1">
      <c r="C2476" s="701"/>
      <c r="D2476" s="811"/>
      <c r="E2476" s="1276">
        <f>[11]building!Y2807</f>
        <v>0</v>
      </c>
      <c r="F2476" s="748">
        <f t="shared" si="277"/>
        <v>0</v>
      </c>
      <c r="G2476" s="1205"/>
      <c r="H2476" s="1055"/>
      <c r="I2476" s="1055"/>
      <c r="J2476" s="1055"/>
      <c r="K2476" s="1205"/>
      <c r="L2476" s="1055"/>
      <c r="M2476" s="1205"/>
      <c r="N2476" s="1054"/>
      <c r="O2476" s="1207"/>
      <c r="Q2476" s="1207"/>
    </row>
    <row r="2477" spans="3:17" s="700" customFormat="1" ht="70.5" hidden="1" customHeight="1">
      <c r="C2477" s="701"/>
      <c r="D2477" s="811"/>
      <c r="E2477" s="1276">
        <f>[11]building!Y2808</f>
        <v>0</v>
      </c>
      <c r="F2477" s="748">
        <f t="shared" si="277"/>
        <v>0</v>
      </c>
      <c r="G2477" s="1205"/>
      <c r="H2477" s="1055"/>
      <c r="I2477" s="1055"/>
      <c r="J2477" s="1055"/>
      <c r="K2477" s="1205"/>
      <c r="L2477" s="1055"/>
      <c r="M2477" s="1205"/>
      <c r="N2477" s="1054"/>
      <c r="O2477" s="1207"/>
      <c r="Q2477" s="1207"/>
    </row>
    <row r="2478" spans="3:17" s="700" customFormat="1" ht="70.5" hidden="1" customHeight="1">
      <c r="C2478" s="701"/>
      <c r="D2478" s="811"/>
      <c r="E2478" s="1276">
        <f>[11]building!Y2809</f>
        <v>0</v>
      </c>
      <c r="F2478" s="748">
        <f t="shared" si="277"/>
        <v>0</v>
      </c>
      <c r="G2478" s="1205"/>
      <c r="H2478" s="1055"/>
      <c r="I2478" s="1055"/>
      <c r="J2478" s="1055"/>
      <c r="K2478" s="1205"/>
      <c r="L2478" s="1055"/>
      <c r="M2478" s="1205"/>
      <c r="N2478" s="1054"/>
      <c r="O2478" s="1207"/>
      <c r="Q2478" s="1207"/>
    </row>
    <row r="2479" spans="3:17" s="700" customFormat="1" ht="70.5" hidden="1" customHeight="1">
      <c r="C2479" s="701"/>
      <c r="D2479" s="811"/>
      <c r="E2479" s="1276">
        <f>[11]building!Y2810</f>
        <v>0</v>
      </c>
      <c r="F2479" s="748">
        <f t="shared" si="277"/>
        <v>0</v>
      </c>
      <c r="G2479" s="1205"/>
      <c r="H2479" s="1055"/>
      <c r="I2479" s="1055"/>
      <c r="J2479" s="1055"/>
      <c r="K2479" s="1205"/>
      <c r="L2479" s="1055"/>
      <c r="M2479" s="1205"/>
      <c r="N2479" s="1054"/>
      <c r="O2479" s="1207"/>
      <c r="Q2479" s="1207"/>
    </row>
    <row r="2480" spans="3:17" s="700" customFormat="1" ht="70.5" hidden="1" customHeight="1">
      <c r="C2480" s="701"/>
      <c r="D2480" s="811"/>
      <c r="E2480" s="1276">
        <f>[11]building!Y2811</f>
        <v>0</v>
      </c>
      <c r="F2480" s="748">
        <f t="shared" si="277"/>
        <v>0</v>
      </c>
      <c r="G2480" s="1205"/>
      <c r="H2480" s="1055"/>
      <c r="I2480" s="1055"/>
      <c r="J2480" s="1055"/>
      <c r="K2480" s="1205"/>
      <c r="L2480" s="1055"/>
      <c r="M2480" s="1205"/>
      <c r="N2480" s="1054"/>
      <c r="O2480" s="1207"/>
      <c r="Q2480" s="1207"/>
    </row>
    <row r="2481" spans="3:17" s="700" customFormat="1" ht="70.5" hidden="1" customHeight="1">
      <c r="C2481" s="701"/>
      <c r="D2481" s="811"/>
      <c r="E2481" s="1276">
        <f>[11]building!Y2812</f>
        <v>0</v>
      </c>
      <c r="F2481" s="748">
        <f t="shared" si="277"/>
        <v>0</v>
      </c>
      <c r="G2481" s="1205"/>
      <c r="H2481" s="1055"/>
      <c r="I2481" s="1055"/>
      <c r="J2481" s="1055"/>
      <c r="K2481" s="1205"/>
      <c r="L2481" s="1055"/>
      <c r="M2481" s="1205"/>
      <c r="N2481" s="1054"/>
      <c r="O2481" s="1207"/>
      <c r="Q2481" s="1207"/>
    </row>
    <row r="2482" spans="3:17" s="700" customFormat="1" ht="70.5" hidden="1" customHeight="1">
      <c r="C2482" s="701"/>
      <c r="D2482" s="811"/>
      <c r="E2482" s="1276">
        <f>[11]building!Y2813</f>
        <v>0</v>
      </c>
      <c r="F2482" s="748">
        <f t="shared" si="277"/>
        <v>0</v>
      </c>
      <c r="G2482" s="1205"/>
      <c r="H2482" s="1055"/>
      <c r="I2482" s="1055"/>
      <c r="J2482" s="1055"/>
      <c r="K2482" s="1205"/>
      <c r="L2482" s="1055"/>
      <c r="M2482" s="1205"/>
      <c r="N2482" s="1054"/>
      <c r="O2482" s="1207"/>
      <c r="Q2482" s="1207"/>
    </row>
    <row r="2483" spans="3:17" s="700" customFormat="1" ht="70.5" hidden="1" customHeight="1">
      <c r="C2483" s="701"/>
      <c r="D2483" s="811"/>
      <c r="E2483" s="1276">
        <f>[11]building!Y2814</f>
        <v>0</v>
      </c>
      <c r="F2483" s="748">
        <f t="shared" si="277"/>
        <v>0</v>
      </c>
      <c r="G2483" s="1205"/>
      <c r="H2483" s="1055"/>
      <c r="I2483" s="1055"/>
      <c r="J2483" s="1055"/>
      <c r="K2483" s="1205"/>
      <c r="L2483" s="1055"/>
      <c r="M2483" s="1205"/>
      <c r="N2483" s="1054"/>
      <c r="O2483" s="1207"/>
      <c r="Q2483" s="1207"/>
    </row>
    <row r="2484" spans="3:17" s="700" customFormat="1" ht="70.5" hidden="1" customHeight="1">
      <c r="C2484" s="701"/>
      <c r="D2484" s="811"/>
      <c r="E2484" s="1276">
        <f>[11]building!Y2815</f>
        <v>0</v>
      </c>
      <c r="F2484" s="748">
        <f t="shared" si="277"/>
        <v>0</v>
      </c>
      <c r="G2484" s="1205"/>
      <c r="H2484" s="1055"/>
      <c r="I2484" s="1055"/>
      <c r="J2484" s="1055"/>
      <c r="K2484" s="1205"/>
      <c r="L2484" s="1055"/>
      <c r="M2484" s="1205"/>
      <c r="N2484" s="1054"/>
      <c r="O2484" s="1207"/>
      <c r="Q2484" s="1207"/>
    </row>
    <row r="2485" spans="3:17" s="700" customFormat="1" ht="70.5" hidden="1" customHeight="1">
      <c r="C2485" s="701"/>
      <c r="D2485" s="811"/>
      <c r="E2485" s="1276">
        <f>[11]building!Y2816</f>
        <v>0</v>
      </c>
      <c r="F2485" s="748">
        <f t="shared" si="277"/>
        <v>0</v>
      </c>
      <c r="G2485" s="1205"/>
      <c r="H2485" s="1055"/>
      <c r="I2485" s="1055"/>
      <c r="J2485" s="1055"/>
      <c r="K2485" s="1205"/>
      <c r="L2485" s="1055"/>
      <c r="M2485" s="1205"/>
      <c r="N2485" s="1054"/>
      <c r="O2485" s="1207"/>
      <c r="Q2485" s="1207"/>
    </row>
    <row r="2486" spans="3:17" s="700" customFormat="1" ht="70.5" hidden="1" customHeight="1">
      <c r="C2486" s="701"/>
      <c r="D2486" s="811"/>
      <c r="E2486" s="1276">
        <f>[11]building!Y2817</f>
        <v>0</v>
      </c>
      <c r="F2486" s="748">
        <f t="shared" si="277"/>
        <v>0</v>
      </c>
      <c r="G2486" s="1205"/>
      <c r="H2486" s="1055"/>
      <c r="I2486" s="1055"/>
      <c r="J2486" s="1055"/>
      <c r="K2486" s="1205"/>
      <c r="L2486" s="1055"/>
      <c r="M2486" s="1205"/>
      <c r="N2486" s="1054"/>
      <c r="O2486" s="1207"/>
      <c r="Q2486" s="1207"/>
    </row>
    <row r="2487" spans="3:17" s="700" customFormat="1" ht="70.5" hidden="1" customHeight="1">
      <c r="C2487" s="701"/>
      <c r="D2487" s="811"/>
      <c r="E2487" s="1276">
        <f>[11]building!Y2818</f>
        <v>0</v>
      </c>
      <c r="F2487" s="748">
        <f t="shared" si="277"/>
        <v>0</v>
      </c>
      <c r="G2487" s="1205"/>
      <c r="H2487" s="1055"/>
      <c r="I2487" s="1055"/>
      <c r="J2487" s="1055"/>
      <c r="K2487" s="1205"/>
      <c r="L2487" s="1055"/>
      <c r="M2487" s="1205"/>
      <c r="N2487" s="1054"/>
      <c r="O2487" s="1207"/>
      <c r="Q2487" s="1207"/>
    </row>
    <row r="2488" spans="3:17" s="700" customFormat="1" ht="70.5" hidden="1" customHeight="1">
      <c r="C2488" s="701"/>
      <c r="D2488" s="811"/>
      <c r="E2488" s="1276">
        <f>[11]building!Y2819</f>
        <v>0</v>
      </c>
      <c r="F2488" s="748">
        <f t="shared" si="277"/>
        <v>0</v>
      </c>
      <c r="G2488" s="1205"/>
      <c r="H2488" s="1055"/>
      <c r="I2488" s="1055"/>
      <c r="J2488" s="1055"/>
      <c r="K2488" s="1205"/>
      <c r="L2488" s="1055"/>
      <c r="M2488" s="1205"/>
      <c r="N2488" s="1054"/>
      <c r="O2488" s="1207"/>
      <c r="Q2488" s="1207"/>
    </row>
    <row r="2489" spans="3:17" s="700" customFormat="1" ht="70.5" hidden="1" customHeight="1">
      <c r="C2489" s="701"/>
      <c r="D2489" s="811"/>
      <c r="E2489" s="1276">
        <f>[11]building!Y2820</f>
        <v>0</v>
      </c>
      <c r="F2489" s="748">
        <f t="shared" si="277"/>
        <v>0</v>
      </c>
      <c r="G2489" s="1205"/>
      <c r="H2489" s="1055"/>
      <c r="I2489" s="1055"/>
      <c r="J2489" s="1055"/>
      <c r="K2489" s="1205"/>
      <c r="L2489" s="1055"/>
      <c r="M2489" s="1205"/>
      <c r="N2489" s="1054"/>
      <c r="O2489" s="1207"/>
      <c r="Q2489" s="1207"/>
    </row>
    <row r="2490" spans="3:17" s="700" customFormat="1" ht="70.5" hidden="1" customHeight="1">
      <c r="C2490" s="701"/>
      <c r="D2490" s="811"/>
      <c r="E2490" s="1276">
        <f>[11]building!Y2821</f>
        <v>0</v>
      </c>
      <c r="F2490" s="748">
        <f t="shared" si="277"/>
        <v>0</v>
      </c>
      <c r="G2490" s="1205"/>
      <c r="H2490" s="1055"/>
      <c r="I2490" s="1055"/>
      <c r="J2490" s="1055"/>
      <c r="K2490" s="1205"/>
      <c r="L2490" s="1055"/>
      <c r="M2490" s="1205"/>
      <c r="N2490" s="1054"/>
      <c r="O2490" s="1207"/>
      <c r="Q2490" s="1207"/>
    </row>
    <row r="2491" spans="3:17" s="700" customFormat="1" ht="70.5" hidden="1" customHeight="1">
      <c r="C2491" s="701"/>
      <c r="D2491" s="811"/>
      <c r="E2491" s="1276">
        <f>[11]building!Y2822</f>
        <v>0</v>
      </c>
      <c r="F2491" s="748">
        <f t="shared" si="277"/>
        <v>0</v>
      </c>
      <c r="G2491" s="1205"/>
      <c r="H2491" s="1055"/>
      <c r="I2491" s="1055"/>
      <c r="J2491" s="1055"/>
      <c r="K2491" s="1205"/>
      <c r="L2491" s="1055"/>
      <c r="M2491" s="1205"/>
      <c r="N2491" s="1054"/>
      <c r="O2491" s="1207"/>
      <c r="Q2491" s="1207"/>
    </row>
    <row r="2492" spans="3:17" s="700" customFormat="1" ht="70.5" hidden="1" customHeight="1">
      <c r="C2492" s="701"/>
      <c r="D2492" s="811"/>
      <c r="E2492" s="1276">
        <f>[11]building!Y2823</f>
        <v>0</v>
      </c>
      <c r="F2492" s="748">
        <f t="shared" si="277"/>
        <v>0</v>
      </c>
      <c r="G2492" s="1205"/>
      <c r="H2492" s="1055"/>
      <c r="I2492" s="1055"/>
      <c r="J2492" s="1055"/>
      <c r="K2492" s="1205"/>
      <c r="L2492" s="1055"/>
      <c r="M2492" s="1205"/>
      <c r="N2492" s="1054"/>
      <c r="O2492" s="1207"/>
      <c r="Q2492" s="1207"/>
    </row>
    <row r="2493" spans="3:17" s="700" customFormat="1" ht="70.5" hidden="1" customHeight="1">
      <c r="C2493" s="701"/>
      <c r="D2493" s="811"/>
      <c r="E2493" s="1276">
        <f>[11]building!Y2824</f>
        <v>0</v>
      </c>
      <c r="F2493" s="748">
        <f t="shared" si="277"/>
        <v>0</v>
      </c>
      <c r="G2493" s="1205"/>
      <c r="H2493" s="1055"/>
      <c r="I2493" s="1055"/>
      <c r="J2493" s="1055"/>
      <c r="K2493" s="1205"/>
      <c r="L2493" s="1055"/>
      <c r="M2493" s="1205"/>
      <c r="N2493" s="1054"/>
      <c r="O2493" s="1207"/>
      <c r="Q2493" s="1207"/>
    </row>
    <row r="2494" spans="3:17" s="700" customFormat="1" ht="70.5" hidden="1" customHeight="1">
      <c r="C2494" s="701"/>
      <c r="D2494" s="811"/>
      <c r="E2494" s="1276">
        <f>[11]building!Y2825</f>
        <v>0</v>
      </c>
      <c r="F2494" s="748">
        <f t="shared" si="277"/>
        <v>0</v>
      </c>
      <c r="G2494" s="1205"/>
      <c r="H2494" s="1055"/>
      <c r="I2494" s="1055"/>
      <c r="J2494" s="1055"/>
      <c r="K2494" s="1205"/>
      <c r="L2494" s="1055"/>
      <c r="M2494" s="1205"/>
      <c r="N2494" s="1054"/>
      <c r="O2494" s="1207"/>
      <c r="Q2494" s="1207"/>
    </row>
    <row r="2495" spans="3:17" s="700" customFormat="1" ht="70.5" hidden="1" customHeight="1">
      <c r="C2495" s="701"/>
      <c r="D2495" s="811"/>
      <c r="E2495" s="1276">
        <f>[11]building!Y2826</f>
        <v>0</v>
      </c>
      <c r="F2495" s="748">
        <f t="shared" si="277"/>
        <v>0</v>
      </c>
      <c r="G2495" s="1205"/>
      <c r="H2495" s="1055"/>
      <c r="I2495" s="1055"/>
      <c r="J2495" s="1055"/>
      <c r="K2495" s="1205"/>
      <c r="L2495" s="1055"/>
      <c r="M2495" s="1205"/>
      <c r="N2495" s="1054"/>
      <c r="O2495" s="1207"/>
      <c r="Q2495" s="1207"/>
    </row>
    <row r="2496" spans="3:17" s="700" customFormat="1" ht="70.5" hidden="1" customHeight="1">
      <c r="C2496" s="701"/>
      <c r="D2496" s="811"/>
      <c r="E2496" s="1276">
        <f>[11]building!Y2827</f>
        <v>0</v>
      </c>
      <c r="F2496" s="748">
        <f t="shared" ref="F2496:F2559" si="278">E2496*C2496</f>
        <v>0</v>
      </c>
      <c r="G2496" s="1205"/>
      <c r="H2496" s="1055"/>
      <c r="I2496" s="1055"/>
      <c r="J2496" s="1055"/>
      <c r="K2496" s="1205"/>
      <c r="L2496" s="1055"/>
      <c r="M2496" s="1205"/>
      <c r="N2496" s="1054"/>
      <c r="O2496" s="1207"/>
      <c r="Q2496" s="1207"/>
    </row>
    <row r="2497" spans="3:17" s="700" customFormat="1" ht="70.5" hidden="1" customHeight="1">
      <c r="C2497" s="701"/>
      <c r="D2497" s="811"/>
      <c r="E2497" s="1276">
        <f>[11]building!Y2828</f>
        <v>0</v>
      </c>
      <c r="F2497" s="748">
        <f t="shared" si="278"/>
        <v>0</v>
      </c>
      <c r="G2497" s="1205"/>
      <c r="H2497" s="1055"/>
      <c r="I2497" s="1055"/>
      <c r="J2497" s="1055"/>
      <c r="K2497" s="1205"/>
      <c r="L2497" s="1055"/>
      <c r="M2497" s="1205"/>
      <c r="N2497" s="1054"/>
      <c r="O2497" s="1207"/>
      <c r="Q2497" s="1207"/>
    </row>
    <row r="2498" spans="3:17" s="700" customFormat="1" ht="70.5" hidden="1" customHeight="1">
      <c r="C2498" s="701"/>
      <c r="D2498" s="811"/>
      <c r="E2498" s="1276">
        <f>[11]building!Y2829</f>
        <v>0</v>
      </c>
      <c r="F2498" s="748">
        <f t="shared" si="278"/>
        <v>0</v>
      </c>
      <c r="G2498" s="1205"/>
      <c r="H2498" s="1055"/>
      <c r="I2498" s="1055"/>
      <c r="J2498" s="1055"/>
      <c r="K2498" s="1205"/>
      <c r="L2498" s="1055"/>
      <c r="M2498" s="1205"/>
      <c r="N2498" s="1054"/>
      <c r="O2498" s="1207"/>
      <c r="Q2498" s="1207"/>
    </row>
    <row r="2499" spans="3:17" s="700" customFormat="1" ht="70.5" hidden="1" customHeight="1">
      <c r="C2499" s="701"/>
      <c r="D2499" s="811"/>
      <c r="E2499" s="1276">
        <f>[11]building!Y2830</f>
        <v>0</v>
      </c>
      <c r="F2499" s="748">
        <f t="shared" si="278"/>
        <v>0</v>
      </c>
      <c r="G2499" s="1205"/>
      <c r="H2499" s="1055"/>
      <c r="I2499" s="1055"/>
      <c r="J2499" s="1055"/>
      <c r="K2499" s="1205"/>
      <c r="L2499" s="1055"/>
      <c r="M2499" s="1205"/>
      <c r="N2499" s="1054"/>
      <c r="O2499" s="1207"/>
      <c r="Q2499" s="1207"/>
    </row>
    <row r="2500" spans="3:17" s="700" customFormat="1" ht="70.5" hidden="1" customHeight="1">
      <c r="C2500" s="701"/>
      <c r="D2500" s="811"/>
      <c r="E2500" s="1276">
        <f>[11]building!Y2831</f>
        <v>0</v>
      </c>
      <c r="F2500" s="748">
        <f t="shared" si="278"/>
        <v>0</v>
      </c>
      <c r="G2500" s="1205"/>
      <c r="H2500" s="1055"/>
      <c r="I2500" s="1055"/>
      <c r="J2500" s="1055"/>
      <c r="K2500" s="1205"/>
      <c r="L2500" s="1055"/>
      <c r="M2500" s="1205"/>
      <c r="N2500" s="1054"/>
      <c r="O2500" s="1207"/>
      <c r="Q2500" s="1207"/>
    </row>
    <row r="2501" spans="3:17" s="700" customFormat="1" ht="70.5" hidden="1" customHeight="1">
      <c r="C2501" s="701"/>
      <c r="D2501" s="811"/>
      <c r="E2501" s="1276">
        <f>[11]building!Y2832</f>
        <v>0</v>
      </c>
      <c r="F2501" s="748">
        <f t="shared" si="278"/>
        <v>0</v>
      </c>
      <c r="G2501" s="1205"/>
      <c r="H2501" s="1055"/>
      <c r="I2501" s="1055"/>
      <c r="J2501" s="1055"/>
      <c r="K2501" s="1205"/>
      <c r="L2501" s="1055"/>
      <c r="M2501" s="1205"/>
      <c r="N2501" s="1054"/>
      <c r="O2501" s="1207"/>
      <c r="Q2501" s="1207"/>
    </row>
    <row r="2502" spans="3:17" s="700" customFormat="1" ht="70.5" hidden="1" customHeight="1">
      <c r="C2502" s="701"/>
      <c r="D2502" s="811"/>
      <c r="E2502" s="1276">
        <f>[11]building!Y2833</f>
        <v>0</v>
      </c>
      <c r="F2502" s="748">
        <f t="shared" si="278"/>
        <v>0</v>
      </c>
      <c r="G2502" s="1205"/>
      <c r="H2502" s="1055"/>
      <c r="I2502" s="1055"/>
      <c r="J2502" s="1055"/>
      <c r="K2502" s="1205"/>
      <c r="L2502" s="1055"/>
      <c r="M2502" s="1205"/>
      <c r="N2502" s="1054"/>
      <c r="O2502" s="1207"/>
      <c r="Q2502" s="1207"/>
    </row>
    <row r="2503" spans="3:17" s="700" customFormat="1" ht="70.5" hidden="1" customHeight="1">
      <c r="C2503" s="701"/>
      <c r="D2503" s="811"/>
      <c r="E2503" s="1276">
        <f>[11]building!Y2834</f>
        <v>0</v>
      </c>
      <c r="F2503" s="748">
        <f t="shared" si="278"/>
        <v>0</v>
      </c>
      <c r="G2503" s="1205"/>
      <c r="H2503" s="1055"/>
      <c r="I2503" s="1055"/>
      <c r="J2503" s="1055"/>
      <c r="K2503" s="1205"/>
      <c r="L2503" s="1055"/>
      <c r="M2503" s="1205"/>
      <c r="N2503" s="1054"/>
      <c r="O2503" s="1207"/>
      <c r="Q2503" s="1207"/>
    </row>
    <row r="2504" spans="3:17" s="700" customFormat="1" ht="70.5" hidden="1" customHeight="1">
      <c r="C2504" s="701"/>
      <c r="D2504" s="811"/>
      <c r="E2504" s="1276">
        <f>[11]building!Y2835</f>
        <v>0</v>
      </c>
      <c r="F2504" s="748">
        <f t="shared" si="278"/>
        <v>0</v>
      </c>
      <c r="G2504" s="1205"/>
      <c r="H2504" s="1055"/>
      <c r="I2504" s="1055"/>
      <c r="J2504" s="1055"/>
      <c r="K2504" s="1205"/>
      <c r="L2504" s="1055"/>
      <c r="M2504" s="1205"/>
      <c r="N2504" s="1054"/>
      <c r="O2504" s="1207"/>
      <c r="Q2504" s="1207"/>
    </row>
    <row r="2505" spans="3:17" s="700" customFormat="1" ht="70.5" hidden="1" customHeight="1">
      <c r="C2505" s="701"/>
      <c r="D2505" s="811"/>
      <c r="E2505" s="1276">
        <f>[11]building!Y2836</f>
        <v>0</v>
      </c>
      <c r="F2505" s="748">
        <f t="shared" si="278"/>
        <v>0</v>
      </c>
      <c r="G2505" s="1205"/>
      <c r="H2505" s="1055"/>
      <c r="I2505" s="1055"/>
      <c r="J2505" s="1055"/>
      <c r="K2505" s="1205"/>
      <c r="L2505" s="1055"/>
      <c r="M2505" s="1205"/>
      <c r="N2505" s="1054"/>
      <c r="O2505" s="1207"/>
      <c r="Q2505" s="1207"/>
    </row>
    <row r="2506" spans="3:17" s="700" customFormat="1" ht="70.5" hidden="1" customHeight="1">
      <c r="C2506" s="701"/>
      <c r="D2506" s="811"/>
      <c r="E2506" s="1276">
        <f>[11]building!Y2837</f>
        <v>0</v>
      </c>
      <c r="F2506" s="748">
        <f t="shared" si="278"/>
        <v>0</v>
      </c>
      <c r="G2506" s="1205"/>
      <c r="H2506" s="1055"/>
      <c r="I2506" s="1055"/>
      <c r="J2506" s="1055"/>
      <c r="K2506" s="1205"/>
      <c r="L2506" s="1055"/>
      <c r="M2506" s="1205"/>
      <c r="N2506" s="1054"/>
      <c r="O2506" s="1207"/>
      <c r="Q2506" s="1207"/>
    </row>
    <row r="2507" spans="3:17" s="700" customFormat="1" ht="70.5" hidden="1" customHeight="1">
      <c r="C2507" s="701"/>
      <c r="D2507" s="811"/>
      <c r="E2507" s="1276">
        <f>[11]building!Y2838</f>
        <v>0</v>
      </c>
      <c r="F2507" s="748">
        <f t="shared" si="278"/>
        <v>0</v>
      </c>
      <c r="G2507" s="1205"/>
      <c r="H2507" s="1055"/>
      <c r="I2507" s="1055"/>
      <c r="J2507" s="1055"/>
      <c r="K2507" s="1205"/>
      <c r="L2507" s="1055"/>
      <c r="M2507" s="1205"/>
      <c r="N2507" s="1054"/>
      <c r="O2507" s="1207"/>
      <c r="Q2507" s="1207"/>
    </row>
    <row r="2508" spans="3:17" s="700" customFormat="1" ht="70.5" hidden="1" customHeight="1">
      <c r="C2508" s="701"/>
      <c r="D2508" s="811"/>
      <c r="E2508" s="1276">
        <f>[11]building!Y2839</f>
        <v>0</v>
      </c>
      <c r="F2508" s="748">
        <f t="shared" si="278"/>
        <v>0</v>
      </c>
      <c r="G2508" s="1205"/>
      <c r="H2508" s="1055"/>
      <c r="I2508" s="1055"/>
      <c r="J2508" s="1055"/>
      <c r="K2508" s="1205"/>
      <c r="L2508" s="1055"/>
      <c r="M2508" s="1205"/>
      <c r="N2508" s="1054"/>
      <c r="O2508" s="1207"/>
      <c r="Q2508" s="1207"/>
    </row>
    <row r="2509" spans="3:17" s="700" customFormat="1" ht="70.5" hidden="1" customHeight="1">
      <c r="C2509" s="701"/>
      <c r="D2509" s="811"/>
      <c r="E2509" s="1276">
        <f>[11]building!Y2840</f>
        <v>0</v>
      </c>
      <c r="F2509" s="748">
        <f t="shared" si="278"/>
        <v>0</v>
      </c>
      <c r="G2509" s="1205"/>
      <c r="H2509" s="1055"/>
      <c r="I2509" s="1055"/>
      <c r="J2509" s="1055"/>
      <c r="K2509" s="1205"/>
      <c r="L2509" s="1055"/>
      <c r="M2509" s="1205"/>
      <c r="N2509" s="1054"/>
      <c r="O2509" s="1207"/>
      <c r="Q2509" s="1207"/>
    </row>
    <row r="2510" spans="3:17" s="700" customFormat="1" ht="70.5" hidden="1" customHeight="1">
      <c r="C2510" s="701"/>
      <c r="D2510" s="811"/>
      <c r="E2510" s="1276">
        <f>[11]building!Y2841</f>
        <v>0</v>
      </c>
      <c r="F2510" s="748">
        <f t="shared" si="278"/>
        <v>0</v>
      </c>
      <c r="G2510" s="1205"/>
      <c r="H2510" s="1055"/>
      <c r="I2510" s="1055"/>
      <c r="J2510" s="1055"/>
      <c r="K2510" s="1205"/>
      <c r="L2510" s="1055"/>
      <c r="M2510" s="1205"/>
      <c r="N2510" s="1054"/>
      <c r="O2510" s="1207"/>
      <c r="Q2510" s="1207"/>
    </row>
    <row r="2511" spans="3:17" s="700" customFormat="1" ht="70.5" hidden="1" customHeight="1">
      <c r="C2511" s="701"/>
      <c r="D2511" s="811"/>
      <c r="E2511" s="1276">
        <f>[11]building!Y2842</f>
        <v>0</v>
      </c>
      <c r="F2511" s="748">
        <f t="shared" si="278"/>
        <v>0</v>
      </c>
      <c r="G2511" s="1205"/>
      <c r="H2511" s="1055"/>
      <c r="I2511" s="1055"/>
      <c r="J2511" s="1055"/>
      <c r="K2511" s="1205"/>
      <c r="L2511" s="1055"/>
      <c r="M2511" s="1205"/>
      <c r="N2511" s="1054"/>
      <c r="O2511" s="1207"/>
      <c r="Q2511" s="1207"/>
    </row>
    <row r="2512" spans="3:17" s="700" customFormat="1" ht="70.5" hidden="1" customHeight="1">
      <c r="C2512" s="701"/>
      <c r="D2512" s="811"/>
      <c r="E2512" s="1276">
        <f>[11]building!Y2843</f>
        <v>0</v>
      </c>
      <c r="F2512" s="748">
        <f t="shared" si="278"/>
        <v>0</v>
      </c>
      <c r="G2512" s="1205"/>
      <c r="H2512" s="1055"/>
      <c r="I2512" s="1055"/>
      <c r="J2512" s="1055"/>
      <c r="K2512" s="1205"/>
      <c r="L2512" s="1055"/>
      <c r="M2512" s="1205"/>
      <c r="N2512" s="1054"/>
      <c r="O2512" s="1207"/>
      <c r="Q2512" s="1207"/>
    </row>
    <row r="2513" spans="3:17" s="700" customFormat="1" ht="70.5" hidden="1" customHeight="1">
      <c r="C2513" s="701"/>
      <c r="D2513" s="811"/>
      <c r="E2513" s="1276">
        <f>[11]building!Y2844</f>
        <v>0</v>
      </c>
      <c r="F2513" s="748">
        <f t="shared" si="278"/>
        <v>0</v>
      </c>
      <c r="G2513" s="1205"/>
      <c r="H2513" s="1055"/>
      <c r="I2513" s="1055"/>
      <c r="J2513" s="1055"/>
      <c r="K2513" s="1205"/>
      <c r="L2513" s="1055"/>
      <c r="M2513" s="1205"/>
      <c r="N2513" s="1054"/>
      <c r="O2513" s="1207"/>
      <c r="Q2513" s="1207"/>
    </row>
    <row r="2514" spans="3:17" s="700" customFormat="1" ht="70.5" hidden="1" customHeight="1">
      <c r="C2514" s="701"/>
      <c r="D2514" s="811"/>
      <c r="E2514" s="1276">
        <f>[11]building!Y2845</f>
        <v>0</v>
      </c>
      <c r="F2514" s="748">
        <f t="shared" si="278"/>
        <v>0</v>
      </c>
      <c r="G2514" s="1205"/>
      <c r="H2514" s="1055"/>
      <c r="I2514" s="1055"/>
      <c r="J2514" s="1055"/>
      <c r="K2514" s="1205"/>
      <c r="L2514" s="1055"/>
      <c r="M2514" s="1205"/>
      <c r="N2514" s="1054"/>
      <c r="O2514" s="1207"/>
      <c r="Q2514" s="1207"/>
    </row>
    <row r="2515" spans="3:17" s="700" customFormat="1" ht="70.5" hidden="1" customHeight="1">
      <c r="C2515" s="701"/>
      <c r="D2515" s="811"/>
      <c r="E2515" s="1276">
        <f>[11]building!Y2846</f>
        <v>0</v>
      </c>
      <c r="F2515" s="748">
        <f t="shared" si="278"/>
        <v>0</v>
      </c>
      <c r="G2515" s="1205"/>
      <c r="H2515" s="1055"/>
      <c r="I2515" s="1055"/>
      <c r="J2515" s="1055"/>
      <c r="K2515" s="1205"/>
      <c r="L2515" s="1055"/>
      <c r="M2515" s="1205"/>
      <c r="N2515" s="1054"/>
      <c r="O2515" s="1207"/>
      <c r="Q2515" s="1207"/>
    </row>
    <row r="2516" spans="3:17" s="700" customFormat="1" ht="70.5" hidden="1" customHeight="1">
      <c r="C2516" s="701"/>
      <c r="D2516" s="811"/>
      <c r="E2516" s="1276">
        <f>[11]building!Y2847</f>
        <v>0</v>
      </c>
      <c r="F2516" s="748">
        <f t="shared" si="278"/>
        <v>0</v>
      </c>
      <c r="G2516" s="1205"/>
      <c r="H2516" s="1055"/>
      <c r="I2516" s="1055"/>
      <c r="J2516" s="1055"/>
      <c r="K2516" s="1205"/>
      <c r="L2516" s="1055"/>
      <c r="M2516" s="1205"/>
      <c r="N2516" s="1054"/>
      <c r="O2516" s="1207"/>
      <c r="Q2516" s="1207"/>
    </row>
    <row r="2517" spans="3:17" s="700" customFormat="1" ht="70.5" hidden="1" customHeight="1">
      <c r="C2517" s="701"/>
      <c r="D2517" s="811"/>
      <c r="E2517" s="1276">
        <f>[11]building!Y2848</f>
        <v>0</v>
      </c>
      <c r="F2517" s="748">
        <f t="shared" si="278"/>
        <v>0</v>
      </c>
      <c r="G2517" s="1205"/>
      <c r="H2517" s="1055"/>
      <c r="I2517" s="1055"/>
      <c r="J2517" s="1055"/>
      <c r="K2517" s="1205"/>
      <c r="L2517" s="1055"/>
      <c r="M2517" s="1205"/>
      <c r="N2517" s="1054"/>
      <c r="O2517" s="1207"/>
      <c r="Q2517" s="1207"/>
    </row>
    <row r="2518" spans="3:17" s="700" customFormat="1" ht="70.5" hidden="1" customHeight="1">
      <c r="C2518" s="701"/>
      <c r="D2518" s="811"/>
      <c r="E2518" s="1276">
        <f>[11]building!Y2849</f>
        <v>0</v>
      </c>
      <c r="F2518" s="748">
        <f t="shared" si="278"/>
        <v>0</v>
      </c>
      <c r="G2518" s="1205"/>
      <c r="H2518" s="1055"/>
      <c r="I2518" s="1055"/>
      <c r="J2518" s="1055"/>
      <c r="K2518" s="1205"/>
      <c r="L2518" s="1055"/>
      <c r="M2518" s="1205"/>
      <c r="N2518" s="1054"/>
      <c r="O2518" s="1207"/>
      <c r="Q2518" s="1207"/>
    </row>
    <row r="2519" spans="3:17" s="700" customFormat="1" ht="70.5" hidden="1" customHeight="1">
      <c r="C2519" s="701"/>
      <c r="D2519" s="811"/>
      <c r="E2519" s="1276">
        <f>[11]building!Y2850</f>
        <v>0</v>
      </c>
      <c r="F2519" s="748">
        <f t="shared" si="278"/>
        <v>0</v>
      </c>
      <c r="G2519" s="1205"/>
      <c r="H2519" s="1055"/>
      <c r="I2519" s="1055"/>
      <c r="J2519" s="1055"/>
      <c r="K2519" s="1205"/>
      <c r="L2519" s="1055"/>
      <c r="M2519" s="1205"/>
      <c r="N2519" s="1054"/>
      <c r="O2519" s="1207"/>
      <c r="Q2519" s="1207"/>
    </row>
    <row r="2520" spans="3:17" s="700" customFormat="1" ht="70.5" hidden="1" customHeight="1">
      <c r="C2520" s="701"/>
      <c r="D2520" s="811"/>
      <c r="E2520" s="1276">
        <f>[11]building!Y2851</f>
        <v>0</v>
      </c>
      <c r="F2520" s="748">
        <f t="shared" si="278"/>
        <v>0</v>
      </c>
      <c r="G2520" s="1205"/>
      <c r="H2520" s="1055"/>
      <c r="I2520" s="1055"/>
      <c r="J2520" s="1055"/>
      <c r="K2520" s="1205"/>
      <c r="L2520" s="1055"/>
      <c r="M2520" s="1205"/>
      <c r="N2520" s="1054"/>
      <c r="O2520" s="1207"/>
      <c r="Q2520" s="1207"/>
    </row>
    <row r="2521" spans="3:17" s="700" customFormat="1" ht="70.5" hidden="1" customHeight="1">
      <c r="C2521" s="701"/>
      <c r="D2521" s="811"/>
      <c r="E2521" s="1276">
        <f>[11]building!Y2852</f>
        <v>0</v>
      </c>
      <c r="F2521" s="748">
        <f t="shared" si="278"/>
        <v>0</v>
      </c>
      <c r="G2521" s="1205"/>
      <c r="H2521" s="1055"/>
      <c r="I2521" s="1055"/>
      <c r="J2521" s="1055"/>
      <c r="K2521" s="1205"/>
      <c r="L2521" s="1055"/>
      <c r="M2521" s="1205"/>
      <c r="N2521" s="1054"/>
      <c r="O2521" s="1207"/>
      <c r="Q2521" s="1207"/>
    </row>
    <row r="2522" spans="3:17" s="700" customFormat="1" ht="70.5" hidden="1" customHeight="1">
      <c r="C2522" s="701"/>
      <c r="D2522" s="811"/>
      <c r="E2522" s="1276">
        <f>[11]building!Y2853</f>
        <v>0</v>
      </c>
      <c r="F2522" s="748">
        <f t="shared" si="278"/>
        <v>0</v>
      </c>
      <c r="G2522" s="1205"/>
      <c r="H2522" s="1055"/>
      <c r="I2522" s="1055"/>
      <c r="J2522" s="1055"/>
      <c r="K2522" s="1205"/>
      <c r="L2522" s="1055"/>
      <c r="M2522" s="1205"/>
      <c r="N2522" s="1054"/>
      <c r="O2522" s="1207"/>
      <c r="Q2522" s="1207"/>
    </row>
    <row r="2523" spans="3:17" s="700" customFormat="1" ht="70.5" hidden="1" customHeight="1">
      <c r="C2523" s="701"/>
      <c r="D2523" s="811"/>
      <c r="E2523" s="1276">
        <f>[11]building!Y2854</f>
        <v>0</v>
      </c>
      <c r="F2523" s="748">
        <f t="shared" si="278"/>
        <v>0</v>
      </c>
      <c r="G2523" s="1205"/>
      <c r="H2523" s="1055"/>
      <c r="I2523" s="1055"/>
      <c r="J2523" s="1055"/>
      <c r="K2523" s="1205"/>
      <c r="L2523" s="1055"/>
      <c r="M2523" s="1205"/>
      <c r="N2523" s="1054"/>
      <c r="O2523" s="1207"/>
      <c r="Q2523" s="1207"/>
    </row>
    <row r="2524" spans="3:17" s="700" customFormat="1" ht="70.5" hidden="1" customHeight="1">
      <c r="C2524" s="701"/>
      <c r="D2524" s="811"/>
      <c r="E2524" s="1276">
        <f>[11]building!Y2855</f>
        <v>0</v>
      </c>
      <c r="F2524" s="748">
        <f t="shared" si="278"/>
        <v>0</v>
      </c>
      <c r="G2524" s="1205"/>
      <c r="H2524" s="1055"/>
      <c r="I2524" s="1055"/>
      <c r="J2524" s="1055"/>
      <c r="K2524" s="1205"/>
      <c r="L2524" s="1055"/>
      <c r="M2524" s="1205"/>
      <c r="N2524" s="1054"/>
      <c r="O2524" s="1207"/>
      <c r="Q2524" s="1207"/>
    </row>
    <row r="2525" spans="3:17" s="700" customFormat="1" ht="70.5" hidden="1" customHeight="1">
      <c r="C2525" s="701"/>
      <c r="D2525" s="811"/>
      <c r="E2525" s="1276">
        <f>[11]building!Y2856</f>
        <v>0</v>
      </c>
      <c r="F2525" s="748">
        <f t="shared" si="278"/>
        <v>0</v>
      </c>
      <c r="G2525" s="1205"/>
      <c r="H2525" s="1055"/>
      <c r="I2525" s="1055"/>
      <c r="J2525" s="1055"/>
      <c r="K2525" s="1205"/>
      <c r="L2525" s="1055"/>
      <c r="M2525" s="1205"/>
      <c r="N2525" s="1054"/>
      <c r="O2525" s="1207"/>
      <c r="Q2525" s="1207"/>
    </row>
    <row r="2526" spans="3:17" s="700" customFormat="1" ht="70.5" hidden="1" customHeight="1">
      <c r="C2526" s="701"/>
      <c r="D2526" s="811"/>
      <c r="E2526" s="1276">
        <f>[11]building!Y2857</f>
        <v>0</v>
      </c>
      <c r="F2526" s="748">
        <f t="shared" si="278"/>
        <v>0</v>
      </c>
      <c r="G2526" s="1205"/>
      <c r="H2526" s="1055"/>
      <c r="I2526" s="1055"/>
      <c r="J2526" s="1055"/>
      <c r="K2526" s="1205"/>
      <c r="L2526" s="1055"/>
      <c r="M2526" s="1205"/>
      <c r="N2526" s="1054"/>
      <c r="O2526" s="1207"/>
      <c r="Q2526" s="1207"/>
    </row>
    <row r="2527" spans="3:17" s="700" customFormat="1" ht="70.5" hidden="1" customHeight="1">
      <c r="C2527" s="701"/>
      <c r="D2527" s="811"/>
      <c r="E2527" s="1276">
        <f>[11]building!Y2858</f>
        <v>0</v>
      </c>
      <c r="F2527" s="748">
        <f t="shared" si="278"/>
        <v>0</v>
      </c>
      <c r="G2527" s="1205"/>
      <c r="H2527" s="1055"/>
      <c r="I2527" s="1055"/>
      <c r="J2527" s="1055"/>
      <c r="K2527" s="1205"/>
      <c r="L2527" s="1055"/>
      <c r="M2527" s="1205"/>
      <c r="N2527" s="1054"/>
      <c r="O2527" s="1207"/>
      <c r="Q2527" s="1207"/>
    </row>
    <row r="2528" spans="3:17" s="700" customFormat="1" ht="70.5" hidden="1" customHeight="1">
      <c r="C2528" s="701"/>
      <c r="D2528" s="811"/>
      <c r="E2528" s="1276">
        <f>[11]building!Y2859</f>
        <v>0</v>
      </c>
      <c r="F2528" s="748">
        <f t="shared" si="278"/>
        <v>0</v>
      </c>
      <c r="G2528" s="1205"/>
      <c r="H2528" s="1055"/>
      <c r="I2528" s="1055"/>
      <c r="J2528" s="1055"/>
      <c r="K2528" s="1205"/>
      <c r="L2528" s="1055"/>
      <c r="M2528" s="1205"/>
      <c r="N2528" s="1054"/>
      <c r="O2528" s="1207"/>
      <c r="Q2528" s="1207"/>
    </row>
    <row r="2529" spans="3:17" s="700" customFormat="1" ht="70.5" hidden="1" customHeight="1">
      <c r="C2529" s="701"/>
      <c r="D2529" s="811"/>
      <c r="E2529" s="1276">
        <f>[11]building!Y2860</f>
        <v>0</v>
      </c>
      <c r="F2529" s="748">
        <f t="shared" si="278"/>
        <v>0</v>
      </c>
      <c r="G2529" s="1205"/>
      <c r="H2529" s="1055"/>
      <c r="I2529" s="1055"/>
      <c r="J2529" s="1055"/>
      <c r="K2529" s="1205"/>
      <c r="L2529" s="1055"/>
      <c r="M2529" s="1205"/>
      <c r="N2529" s="1054"/>
      <c r="O2529" s="1207"/>
      <c r="Q2529" s="1207"/>
    </row>
    <row r="2530" spans="3:17" s="700" customFormat="1" ht="70.5" hidden="1" customHeight="1">
      <c r="C2530" s="701"/>
      <c r="D2530" s="811"/>
      <c r="E2530" s="1276">
        <f>[11]building!Y2861</f>
        <v>0</v>
      </c>
      <c r="F2530" s="748">
        <f t="shared" si="278"/>
        <v>0</v>
      </c>
      <c r="G2530" s="1205"/>
      <c r="H2530" s="1055"/>
      <c r="I2530" s="1055"/>
      <c r="J2530" s="1055"/>
      <c r="K2530" s="1205"/>
      <c r="L2530" s="1055"/>
      <c r="M2530" s="1205"/>
      <c r="N2530" s="1054"/>
      <c r="O2530" s="1207"/>
      <c r="Q2530" s="1207"/>
    </row>
    <row r="2531" spans="3:17" s="700" customFormat="1" ht="70.5" hidden="1" customHeight="1">
      <c r="C2531" s="701"/>
      <c r="D2531" s="811"/>
      <c r="E2531" s="1276">
        <f>[11]building!Y2862</f>
        <v>0</v>
      </c>
      <c r="F2531" s="748">
        <f t="shared" si="278"/>
        <v>0</v>
      </c>
      <c r="G2531" s="1205"/>
      <c r="H2531" s="1055"/>
      <c r="I2531" s="1055"/>
      <c r="J2531" s="1055"/>
      <c r="K2531" s="1205"/>
      <c r="L2531" s="1055"/>
      <c r="M2531" s="1205"/>
      <c r="N2531" s="1054"/>
      <c r="O2531" s="1207"/>
      <c r="Q2531" s="1207"/>
    </row>
    <row r="2532" spans="3:17" s="700" customFormat="1" ht="70.5" hidden="1" customHeight="1">
      <c r="C2532" s="701"/>
      <c r="D2532" s="811"/>
      <c r="E2532" s="1276">
        <f>[11]building!Y2863</f>
        <v>0</v>
      </c>
      <c r="F2532" s="748">
        <f t="shared" si="278"/>
        <v>0</v>
      </c>
      <c r="G2532" s="1205"/>
      <c r="H2532" s="1055"/>
      <c r="I2532" s="1055"/>
      <c r="J2532" s="1055"/>
      <c r="K2532" s="1205"/>
      <c r="L2532" s="1055"/>
      <c r="M2532" s="1205"/>
      <c r="N2532" s="1054"/>
      <c r="O2532" s="1207"/>
      <c r="Q2532" s="1207"/>
    </row>
    <row r="2533" spans="3:17" s="700" customFormat="1" ht="70.5" hidden="1" customHeight="1">
      <c r="C2533" s="701"/>
      <c r="D2533" s="811"/>
      <c r="E2533" s="1276">
        <f>[11]building!Y2864</f>
        <v>0</v>
      </c>
      <c r="F2533" s="748">
        <f t="shared" si="278"/>
        <v>0</v>
      </c>
      <c r="G2533" s="1205"/>
      <c r="H2533" s="1055"/>
      <c r="I2533" s="1055"/>
      <c r="J2533" s="1055"/>
      <c r="K2533" s="1205"/>
      <c r="L2533" s="1055"/>
      <c r="M2533" s="1205"/>
      <c r="N2533" s="1054"/>
      <c r="O2533" s="1207"/>
      <c r="Q2533" s="1207"/>
    </row>
    <row r="2534" spans="3:17" s="700" customFormat="1" ht="70.5" hidden="1" customHeight="1">
      <c r="C2534" s="701"/>
      <c r="D2534" s="811"/>
      <c r="E2534" s="1276">
        <f>[11]building!Y2865</f>
        <v>0</v>
      </c>
      <c r="F2534" s="748">
        <f t="shared" si="278"/>
        <v>0</v>
      </c>
      <c r="G2534" s="1205"/>
      <c r="H2534" s="1055"/>
      <c r="I2534" s="1055"/>
      <c r="J2534" s="1055"/>
      <c r="K2534" s="1205"/>
      <c r="L2534" s="1055"/>
      <c r="M2534" s="1205"/>
      <c r="N2534" s="1054"/>
      <c r="O2534" s="1207"/>
      <c r="Q2534" s="1207"/>
    </row>
    <row r="2535" spans="3:17" s="700" customFormat="1" ht="70.5" hidden="1" customHeight="1">
      <c r="C2535" s="701"/>
      <c r="D2535" s="811"/>
      <c r="E2535" s="1276">
        <f>[11]building!Y2866</f>
        <v>0</v>
      </c>
      <c r="F2535" s="748">
        <f t="shared" si="278"/>
        <v>0</v>
      </c>
      <c r="G2535" s="1205"/>
      <c r="H2535" s="1055"/>
      <c r="I2535" s="1055"/>
      <c r="J2535" s="1055"/>
      <c r="K2535" s="1205"/>
      <c r="L2535" s="1055"/>
      <c r="M2535" s="1205"/>
      <c r="N2535" s="1054"/>
      <c r="O2535" s="1207"/>
      <c r="Q2535" s="1207"/>
    </row>
    <row r="2536" spans="3:17" s="700" customFormat="1" ht="70.5" hidden="1" customHeight="1">
      <c r="C2536" s="701"/>
      <c r="D2536" s="811"/>
      <c r="E2536" s="1276">
        <f>[11]building!Y2867</f>
        <v>0</v>
      </c>
      <c r="F2536" s="748">
        <f t="shared" si="278"/>
        <v>0</v>
      </c>
      <c r="G2536" s="1205"/>
      <c r="H2536" s="1055"/>
      <c r="I2536" s="1055"/>
      <c r="J2536" s="1055"/>
      <c r="K2536" s="1205"/>
      <c r="L2536" s="1055"/>
      <c r="M2536" s="1205"/>
      <c r="N2536" s="1054"/>
      <c r="O2536" s="1207"/>
      <c r="Q2536" s="1207"/>
    </row>
    <row r="2537" spans="3:17" s="700" customFormat="1" ht="70.5" hidden="1" customHeight="1">
      <c r="C2537" s="701"/>
      <c r="D2537" s="811"/>
      <c r="E2537" s="1276">
        <f>[11]building!Y2868</f>
        <v>0</v>
      </c>
      <c r="F2537" s="748">
        <f t="shared" si="278"/>
        <v>0</v>
      </c>
      <c r="G2537" s="1205"/>
      <c r="H2537" s="1055"/>
      <c r="I2537" s="1055"/>
      <c r="J2537" s="1055"/>
      <c r="K2537" s="1205"/>
      <c r="L2537" s="1055"/>
      <c r="M2537" s="1205"/>
      <c r="N2537" s="1054"/>
      <c r="O2537" s="1207"/>
      <c r="Q2537" s="1207"/>
    </row>
    <row r="2538" spans="3:17" s="700" customFormat="1" ht="70.5" hidden="1" customHeight="1">
      <c r="C2538" s="701"/>
      <c r="D2538" s="811"/>
      <c r="E2538" s="1276">
        <f>[11]building!Y2869</f>
        <v>0</v>
      </c>
      <c r="F2538" s="748">
        <f t="shared" si="278"/>
        <v>0</v>
      </c>
      <c r="G2538" s="1205"/>
      <c r="H2538" s="1055"/>
      <c r="I2538" s="1055"/>
      <c r="J2538" s="1055"/>
      <c r="K2538" s="1205"/>
      <c r="L2538" s="1055"/>
      <c r="M2538" s="1205"/>
      <c r="N2538" s="1054"/>
      <c r="O2538" s="1207"/>
      <c r="Q2538" s="1207"/>
    </row>
    <row r="2539" spans="3:17" s="700" customFormat="1" ht="70.5" hidden="1" customHeight="1">
      <c r="C2539" s="701"/>
      <c r="D2539" s="811"/>
      <c r="E2539" s="1276">
        <f>[11]building!Y2870</f>
        <v>0</v>
      </c>
      <c r="F2539" s="748">
        <f t="shared" si="278"/>
        <v>0</v>
      </c>
      <c r="G2539" s="1205"/>
      <c r="H2539" s="1055"/>
      <c r="I2539" s="1055"/>
      <c r="J2539" s="1055"/>
      <c r="K2539" s="1205"/>
      <c r="L2539" s="1055"/>
      <c r="M2539" s="1205"/>
      <c r="N2539" s="1054"/>
      <c r="O2539" s="1207"/>
      <c r="Q2539" s="1207"/>
    </row>
    <row r="2540" spans="3:17" s="700" customFormat="1" ht="70.5" hidden="1" customHeight="1">
      <c r="C2540" s="701"/>
      <c r="D2540" s="811"/>
      <c r="E2540" s="1276">
        <f>[11]building!Y2871</f>
        <v>0</v>
      </c>
      <c r="F2540" s="748">
        <f t="shared" si="278"/>
        <v>0</v>
      </c>
      <c r="G2540" s="1205"/>
      <c r="H2540" s="1055"/>
      <c r="I2540" s="1055"/>
      <c r="J2540" s="1055"/>
      <c r="K2540" s="1205"/>
      <c r="L2540" s="1055"/>
      <c r="M2540" s="1205"/>
      <c r="N2540" s="1054"/>
      <c r="O2540" s="1207"/>
      <c r="Q2540" s="1207"/>
    </row>
    <row r="2541" spans="3:17" s="700" customFormat="1" ht="70.5" hidden="1" customHeight="1">
      <c r="C2541" s="701"/>
      <c r="D2541" s="811"/>
      <c r="E2541" s="1276">
        <f>[11]building!Y2872</f>
        <v>0</v>
      </c>
      <c r="F2541" s="748">
        <f t="shared" si="278"/>
        <v>0</v>
      </c>
      <c r="G2541" s="1205"/>
      <c r="H2541" s="1055"/>
      <c r="I2541" s="1055"/>
      <c r="J2541" s="1055"/>
      <c r="K2541" s="1205"/>
      <c r="L2541" s="1055"/>
      <c r="M2541" s="1205"/>
      <c r="N2541" s="1054"/>
      <c r="O2541" s="1207"/>
      <c r="Q2541" s="1207"/>
    </row>
    <row r="2542" spans="3:17" s="700" customFormat="1" ht="70.5" hidden="1" customHeight="1">
      <c r="C2542" s="701"/>
      <c r="D2542" s="811"/>
      <c r="E2542" s="1276">
        <f>[11]building!Y2873</f>
        <v>0</v>
      </c>
      <c r="F2542" s="748">
        <f t="shared" si="278"/>
        <v>0</v>
      </c>
      <c r="G2542" s="1205"/>
      <c r="H2542" s="1055"/>
      <c r="I2542" s="1055"/>
      <c r="J2542" s="1055"/>
      <c r="K2542" s="1205"/>
      <c r="L2542" s="1055"/>
      <c r="M2542" s="1205"/>
      <c r="N2542" s="1054"/>
      <c r="O2542" s="1207"/>
      <c r="Q2542" s="1207"/>
    </row>
    <row r="2543" spans="3:17" s="700" customFormat="1" ht="70.5" hidden="1" customHeight="1">
      <c r="C2543" s="701"/>
      <c r="D2543" s="811"/>
      <c r="E2543" s="1276">
        <f>[11]building!Y2874</f>
        <v>0</v>
      </c>
      <c r="F2543" s="748">
        <f t="shared" si="278"/>
        <v>0</v>
      </c>
      <c r="G2543" s="1205"/>
      <c r="H2543" s="1055"/>
      <c r="I2543" s="1055"/>
      <c r="J2543" s="1055"/>
      <c r="K2543" s="1205"/>
      <c r="L2543" s="1055"/>
      <c r="M2543" s="1205"/>
      <c r="N2543" s="1054"/>
      <c r="O2543" s="1207"/>
      <c r="Q2543" s="1207"/>
    </row>
    <row r="2544" spans="3:17" s="700" customFormat="1" ht="70.5" hidden="1" customHeight="1">
      <c r="C2544" s="701"/>
      <c r="D2544" s="811"/>
      <c r="E2544" s="1276">
        <f>[11]building!Y2875</f>
        <v>0</v>
      </c>
      <c r="F2544" s="748">
        <f t="shared" si="278"/>
        <v>0</v>
      </c>
      <c r="G2544" s="1205"/>
      <c r="H2544" s="1055"/>
      <c r="I2544" s="1055"/>
      <c r="J2544" s="1055"/>
      <c r="K2544" s="1205"/>
      <c r="L2544" s="1055"/>
      <c r="M2544" s="1205"/>
      <c r="N2544" s="1054"/>
      <c r="O2544" s="1207"/>
      <c r="Q2544" s="1207"/>
    </row>
    <row r="2545" spans="3:17" s="700" customFormat="1" ht="70.5" hidden="1" customHeight="1">
      <c r="C2545" s="701"/>
      <c r="D2545" s="811"/>
      <c r="E2545" s="1276">
        <f>[11]building!Y2876</f>
        <v>0</v>
      </c>
      <c r="F2545" s="748">
        <f t="shared" si="278"/>
        <v>0</v>
      </c>
      <c r="G2545" s="1205"/>
      <c r="H2545" s="1055"/>
      <c r="I2545" s="1055"/>
      <c r="J2545" s="1055"/>
      <c r="K2545" s="1205"/>
      <c r="L2545" s="1055"/>
      <c r="M2545" s="1205"/>
      <c r="N2545" s="1054"/>
      <c r="O2545" s="1207"/>
      <c r="Q2545" s="1207"/>
    </row>
    <row r="2546" spans="3:17" s="700" customFormat="1" ht="70.5" hidden="1" customHeight="1">
      <c r="C2546" s="701"/>
      <c r="D2546" s="811"/>
      <c r="E2546" s="1276">
        <f>[11]building!Y2877</f>
        <v>0</v>
      </c>
      <c r="F2546" s="748">
        <f t="shared" si="278"/>
        <v>0</v>
      </c>
      <c r="G2546" s="1205"/>
      <c r="H2546" s="1055"/>
      <c r="I2546" s="1055"/>
      <c r="J2546" s="1055"/>
      <c r="K2546" s="1205"/>
      <c r="L2546" s="1055"/>
      <c r="M2546" s="1205"/>
      <c r="N2546" s="1054"/>
      <c r="O2546" s="1207"/>
      <c r="Q2546" s="1207"/>
    </row>
    <row r="2547" spans="3:17" s="700" customFormat="1" ht="70.5" hidden="1" customHeight="1">
      <c r="C2547" s="701"/>
      <c r="D2547" s="811"/>
      <c r="E2547" s="1276">
        <f>[11]building!Y2878</f>
        <v>0</v>
      </c>
      <c r="F2547" s="748">
        <f t="shared" si="278"/>
        <v>0</v>
      </c>
      <c r="G2547" s="1205"/>
      <c r="H2547" s="1055"/>
      <c r="I2547" s="1055"/>
      <c r="J2547" s="1055"/>
      <c r="K2547" s="1205"/>
      <c r="L2547" s="1055"/>
      <c r="M2547" s="1205"/>
      <c r="N2547" s="1054"/>
      <c r="O2547" s="1207"/>
      <c r="Q2547" s="1207"/>
    </row>
    <row r="2548" spans="3:17" s="700" customFormat="1" ht="70.5" hidden="1" customHeight="1">
      <c r="C2548" s="701"/>
      <c r="D2548" s="811"/>
      <c r="E2548" s="1276">
        <f>[11]building!Y2879</f>
        <v>0</v>
      </c>
      <c r="F2548" s="748">
        <f t="shared" si="278"/>
        <v>0</v>
      </c>
      <c r="G2548" s="1205"/>
      <c r="H2548" s="1055"/>
      <c r="I2548" s="1055"/>
      <c r="J2548" s="1055"/>
      <c r="K2548" s="1205"/>
      <c r="L2548" s="1055"/>
      <c r="M2548" s="1205"/>
      <c r="N2548" s="1054"/>
      <c r="O2548" s="1207"/>
      <c r="Q2548" s="1207"/>
    </row>
    <row r="2549" spans="3:17" s="700" customFormat="1" ht="70.5" hidden="1" customHeight="1">
      <c r="C2549" s="701"/>
      <c r="D2549" s="811"/>
      <c r="E2549" s="1276">
        <f>[11]building!Y2880</f>
        <v>0</v>
      </c>
      <c r="F2549" s="748">
        <f t="shared" si="278"/>
        <v>0</v>
      </c>
      <c r="G2549" s="1205"/>
      <c r="H2549" s="1055"/>
      <c r="I2549" s="1055"/>
      <c r="J2549" s="1055"/>
      <c r="K2549" s="1205"/>
      <c r="L2549" s="1055"/>
      <c r="M2549" s="1205"/>
      <c r="N2549" s="1054"/>
      <c r="O2549" s="1207"/>
      <c r="Q2549" s="1207"/>
    </row>
    <row r="2550" spans="3:17" s="700" customFormat="1" ht="70.5" hidden="1" customHeight="1">
      <c r="C2550" s="701"/>
      <c r="D2550" s="811"/>
      <c r="E2550" s="1276">
        <f>[11]building!Y2881</f>
        <v>0</v>
      </c>
      <c r="F2550" s="748">
        <f t="shared" si="278"/>
        <v>0</v>
      </c>
      <c r="G2550" s="1205"/>
      <c r="H2550" s="1055"/>
      <c r="I2550" s="1055"/>
      <c r="J2550" s="1055"/>
      <c r="K2550" s="1205"/>
      <c r="L2550" s="1055"/>
      <c r="M2550" s="1205"/>
      <c r="N2550" s="1054"/>
      <c r="O2550" s="1207"/>
      <c r="Q2550" s="1207"/>
    </row>
    <row r="2551" spans="3:17" s="700" customFormat="1" ht="70.5" hidden="1" customHeight="1">
      <c r="C2551" s="701"/>
      <c r="D2551" s="811"/>
      <c r="E2551" s="1276">
        <f>[11]building!Y2882</f>
        <v>0</v>
      </c>
      <c r="F2551" s="748">
        <f t="shared" si="278"/>
        <v>0</v>
      </c>
      <c r="G2551" s="1205"/>
      <c r="H2551" s="1055"/>
      <c r="I2551" s="1055"/>
      <c r="J2551" s="1055"/>
      <c r="K2551" s="1205"/>
      <c r="L2551" s="1055"/>
      <c r="M2551" s="1205"/>
      <c r="N2551" s="1054"/>
      <c r="O2551" s="1207"/>
      <c r="Q2551" s="1207"/>
    </row>
    <row r="2552" spans="3:17" s="700" customFormat="1" ht="70.5" hidden="1" customHeight="1">
      <c r="C2552" s="701"/>
      <c r="D2552" s="811"/>
      <c r="E2552" s="1276">
        <f>[11]building!Y2883</f>
        <v>0</v>
      </c>
      <c r="F2552" s="748">
        <f t="shared" si="278"/>
        <v>0</v>
      </c>
      <c r="G2552" s="1205"/>
      <c r="H2552" s="1055"/>
      <c r="I2552" s="1055"/>
      <c r="J2552" s="1055"/>
      <c r="K2552" s="1205"/>
      <c r="L2552" s="1055"/>
      <c r="M2552" s="1205"/>
      <c r="N2552" s="1054"/>
      <c r="O2552" s="1207"/>
      <c r="Q2552" s="1207"/>
    </row>
    <row r="2553" spans="3:17" s="700" customFormat="1" ht="70.5" hidden="1" customHeight="1">
      <c r="C2553" s="701"/>
      <c r="D2553" s="811"/>
      <c r="E2553" s="1276">
        <f>[11]building!Y2884</f>
        <v>0</v>
      </c>
      <c r="F2553" s="748">
        <f t="shared" si="278"/>
        <v>0</v>
      </c>
      <c r="G2553" s="1205"/>
      <c r="H2553" s="1055"/>
      <c r="I2553" s="1055"/>
      <c r="J2553" s="1055"/>
      <c r="K2553" s="1205"/>
      <c r="L2553" s="1055"/>
      <c r="M2553" s="1205"/>
      <c r="N2553" s="1054"/>
      <c r="O2553" s="1207"/>
      <c r="Q2553" s="1207"/>
    </row>
    <row r="2554" spans="3:17" s="700" customFormat="1" ht="70.5" hidden="1" customHeight="1">
      <c r="C2554" s="701"/>
      <c r="D2554" s="811"/>
      <c r="E2554" s="1276">
        <f>[11]building!Y2885</f>
        <v>0</v>
      </c>
      <c r="F2554" s="748">
        <f t="shared" si="278"/>
        <v>0</v>
      </c>
      <c r="G2554" s="1205"/>
      <c r="H2554" s="1055"/>
      <c r="I2554" s="1055"/>
      <c r="J2554" s="1055"/>
      <c r="K2554" s="1205"/>
      <c r="L2554" s="1055"/>
      <c r="M2554" s="1205"/>
      <c r="N2554" s="1054"/>
      <c r="O2554" s="1207"/>
      <c r="Q2554" s="1207"/>
    </row>
    <row r="2555" spans="3:17" s="700" customFormat="1" ht="70.5" hidden="1" customHeight="1">
      <c r="C2555" s="701"/>
      <c r="D2555" s="811"/>
      <c r="E2555" s="1276">
        <f>[11]building!Y2886</f>
        <v>0</v>
      </c>
      <c r="F2555" s="748">
        <f t="shared" si="278"/>
        <v>0</v>
      </c>
      <c r="G2555" s="1205"/>
      <c r="H2555" s="1055"/>
      <c r="I2555" s="1055"/>
      <c r="J2555" s="1055"/>
      <c r="K2555" s="1205"/>
      <c r="L2555" s="1055"/>
      <c r="M2555" s="1205"/>
      <c r="N2555" s="1054"/>
      <c r="O2555" s="1207"/>
      <c r="Q2555" s="1207"/>
    </row>
    <row r="2556" spans="3:17" s="700" customFormat="1" ht="70.5" hidden="1" customHeight="1">
      <c r="C2556" s="701"/>
      <c r="D2556" s="811"/>
      <c r="E2556" s="1276">
        <f>[11]building!Y2887</f>
        <v>0</v>
      </c>
      <c r="F2556" s="748">
        <f t="shared" si="278"/>
        <v>0</v>
      </c>
      <c r="G2556" s="1205"/>
      <c r="H2556" s="1055"/>
      <c r="I2556" s="1055"/>
      <c r="J2556" s="1055"/>
      <c r="K2556" s="1205"/>
      <c r="L2556" s="1055"/>
      <c r="M2556" s="1205"/>
      <c r="N2556" s="1054"/>
      <c r="O2556" s="1207"/>
      <c r="Q2556" s="1207"/>
    </row>
    <row r="2557" spans="3:17" s="700" customFormat="1" ht="70.5" hidden="1" customHeight="1">
      <c r="C2557" s="701"/>
      <c r="D2557" s="811"/>
      <c r="E2557" s="1276">
        <f>[11]building!Y2888</f>
        <v>0</v>
      </c>
      <c r="F2557" s="748">
        <f t="shared" si="278"/>
        <v>0</v>
      </c>
      <c r="G2557" s="1205"/>
      <c r="H2557" s="1055"/>
      <c r="I2557" s="1055"/>
      <c r="J2557" s="1055"/>
      <c r="K2557" s="1205"/>
      <c r="L2557" s="1055"/>
      <c r="M2557" s="1205"/>
      <c r="N2557" s="1054"/>
      <c r="O2557" s="1207"/>
      <c r="Q2557" s="1207"/>
    </row>
    <row r="2558" spans="3:17" s="700" customFormat="1" ht="70.5" hidden="1" customHeight="1">
      <c r="C2558" s="701"/>
      <c r="D2558" s="811"/>
      <c r="E2558" s="1276">
        <f>[11]building!Y2889</f>
        <v>0</v>
      </c>
      <c r="F2558" s="748">
        <f t="shared" si="278"/>
        <v>0</v>
      </c>
      <c r="G2558" s="1205"/>
      <c r="H2558" s="1055"/>
      <c r="I2558" s="1055"/>
      <c r="J2558" s="1055"/>
      <c r="K2558" s="1205"/>
      <c r="L2558" s="1055"/>
      <c r="M2558" s="1205"/>
      <c r="N2558" s="1054"/>
      <c r="O2558" s="1207"/>
      <c r="Q2558" s="1207"/>
    </row>
    <row r="2559" spans="3:17" s="700" customFormat="1" ht="70.5" hidden="1" customHeight="1">
      <c r="C2559" s="701"/>
      <c r="D2559" s="811"/>
      <c r="E2559" s="1276">
        <f>[11]building!Y2890</f>
        <v>0</v>
      </c>
      <c r="F2559" s="748">
        <f t="shared" si="278"/>
        <v>0</v>
      </c>
      <c r="G2559" s="1205"/>
      <c r="H2559" s="1055"/>
      <c r="I2559" s="1055"/>
      <c r="J2559" s="1055"/>
      <c r="K2559" s="1205"/>
      <c r="L2559" s="1055"/>
      <c r="M2559" s="1205"/>
      <c r="N2559" s="1054"/>
      <c r="O2559" s="1207"/>
      <c r="Q2559" s="1207"/>
    </row>
    <row r="2560" spans="3:17" s="700" customFormat="1" ht="70.5" hidden="1" customHeight="1">
      <c r="C2560" s="701"/>
      <c r="D2560" s="811"/>
      <c r="E2560" s="1276">
        <f>[11]building!Y2891</f>
        <v>0</v>
      </c>
      <c r="F2560" s="748">
        <f t="shared" ref="F2560:F2623" si="279">E2560*C2560</f>
        <v>0</v>
      </c>
      <c r="G2560" s="1205"/>
      <c r="H2560" s="1055"/>
      <c r="I2560" s="1055"/>
      <c r="J2560" s="1055"/>
      <c r="K2560" s="1205"/>
      <c r="L2560" s="1055"/>
      <c r="M2560" s="1205"/>
      <c r="N2560" s="1054"/>
      <c r="O2560" s="1207"/>
      <c r="Q2560" s="1207"/>
    </row>
    <row r="2561" spans="3:17" s="700" customFormat="1" ht="70.5" hidden="1" customHeight="1">
      <c r="C2561" s="701"/>
      <c r="D2561" s="811"/>
      <c r="E2561" s="1276">
        <f>[11]building!Y2892</f>
        <v>0</v>
      </c>
      <c r="F2561" s="748">
        <f t="shared" si="279"/>
        <v>0</v>
      </c>
      <c r="G2561" s="1205"/>
      <c r="H2561" s="1055"/>
      <c r="I2561" s="1055"/>
      <c r="J2561" s="1055"/>
      <c r="K2561" s="1205"/>
      <c r="L2561" s="1055"/>
      <c r="M2561" s="1205"/>
      <c r="N2561" s="1054"/>
      <c r="O2561" s="1207"/>
      <c r="Q2561" s="1207"/>
    </row>
    <row r="2562" spans="3:17" s="700" customFormat="1" ht="70.5" hidden="1" customHeight="1">
      <c r="C2562" s="701"/>
      <c r="D2562" s="811"/>
      <c r="E2562" s="1276">
        <f>[11]building!Y2893</f>
        <v>0</v>
      </c>
      <c r="F2562" s="748">
        <f t="shared" si="279"/>
        <v>0</v>
      </c>
      <c r="G2562" s="1205"/>
      <c r="H2562" s="1055"/>
      <c r="I2562" s="1055"/>
      <c r="J2562" s="1055"/>
      <c r="K2562" s="1205"/>
      <c r="L2562" s="1055"/>
      <c r="M2562" s="1205"/>
      <c r="N2562" s="1054"/>
      <c r="O2562" s="1207"/>
      <c r="Q2562" s="1207"/>
    </row>
    <row r="2563" spans="3:17" s="700" customFormat="1" ht="70.5" hidden="1" customHeight="1">
      <c r="C2563" s="701"/>
      <c r="D2563" s="811"/>
      <c r="E2563" s="1276">
        <f>[11]building!Y2894</f>
        <v>0</v>
      </c>
      <c r="F2563" s="748">
        <f t="shared" si="279"/>
        <v>0</v>
      </c>
      <c r="G2563" s="1205"/>
      <c r="H2563" s="1055"/>
      <c r="I2563" s="1055"/>
      <c r="J2563" s="1055"/>
      <c r="K2563" s="1205"/>
      <c r="L2563" s="1055"/>
      <c r="M2563" s="1205"/>
      <c r="N2563" s="1054"/>
      <c r="O2563" s="1207"/>
      <c r="Q2563" s="1207"/>
    </row>
    <row r="2564" spans="3:17" s="700" customFormat="1" ht="70.5" hidden="1" customHeight="1">
      <c r="C2564" s="701"/>
      <c r="D2564" s="811"/>
      <c r="E2564" s="1276">
        <f>[11]building!Y2895</f>
        <v>0</v>
      </c>
      <c r="F2564" s="748">
        <f t="shared" si="279"/>
        <v>0</v>
      </c>
      <c r="G2564" s="1205"/>
      <c r="H2564" s="1055"/>
      <c r="I2564" s="1055"/>
      <c r="J2564" s="1055"/>
      <c r="K2564" s="1205"/>
      <c r="L2564" s="1055"/>
      <c r="M2564" s="1205"/>
      <c r="N2564" s="1054"/>
      <c r="O2564" s="1207"/>
      <c r="Q2564" s="1207"/>
    </row>
    <row r="2565" spans="3:17" s="700" customFormat="1" ht="70.5" hidden="1" customHeight="1">
      <c r="C2565" s="701"/>
      <c r="D2565" s="811"/>
      <c r="E2565" s="1276">
        <f>[11]building!Y2896</f>
        <v>0</v>
      </c>
      <c r="F2565" s="748">
        <f t="shared" si="279"/>
        <v>0</v>
      </c>
      <c r="G2565" s="1205"/>
      <c r="H2565" s="1055"/>
      <c r="I2565" s="1055"/>
      <c r="J2565" s="1055"/>
      <c r="K2565" s="1205"/>
      <c r="L2565" s="1055"/>
      <c r="M2565" s="1205"/>
      <c r="N2565" s="1054"/>
      <c r="O2565" s="1207"/>
      <c r="Q2565" s="1207"/>
    </row>
    <row r="2566" spans="3:17" s="700" customFormat="1" ht="70.5" hidden="1" customHeight="1">
      <c r="C2566" s="701"/>
      <c r="D2566" s="811"/>
      <c r="E2566" s="1276">
        <f>[11]building!Y2897</f>
        <v>0</v>
      </c>
      <c r="F2566" s="748">
        <f t="shared" si="279"/>
        <v>0</v>
      </c>
      <c r="G2566" s="1205"/>
      <c r="H2566" s="1055"/>
      <c r="I2566" s="1055"/>
      <c r="J2566" s="1055"/>
      <c r="K2566" s="1205"/>
      <c r="L2566" s="1055"/>
      <c r="M2566" s="1205"/>
      <c r="N2566" s="1054"/>
      <c r="O2566" s="1207"/>
      <c r="Q2566" s="1207"/>
    </row>
    <row r="2567" spans="3:17" s="700" customFormat="1" ht="70.5" hidden="1" customHeight="1">
      <c r="C2567" s="701"/>
      <c r="D2567" s="811"/>
      <c r="E2567" s="1276">
        <f>[11]building!Y2898</f>
        <v>0</v>
      </c>
      <c r="F2567" s="748">
        <f t="shared" si="279"/>
        <v>0</v>
      </c>
      <c r="G2567" s="1205"/>
      <c r="H2567" s="1055"/>
      <c r="I2567" s="1055"/>
      <c r="J2567" s="1055"/>
      <c r="K2567" s="1205"/>
      <c r="L2567" s="1055"/>
      <c r="M2567" s="1205"/>
      <c r="N2567" s="1054"/>
      <c r="O2567" s="1207"/>
      <c r="Q2567" s="1207"/>
    </row>
    <row r="2568" spans="3:17" s="700" customFormat="1" ht="70.5" hidden="1" customHeight="1">
      <c r="C2568" s="701"/>
      <c r="D2568" s="811"/>
      <c r="E2568" s="1276">
        <f>[11]building!Y2899</f>
        <v>0</v>
      </c>
      <c r="F2568" s="748">
        <f t="shared" si="279"/>
        <v>0</v>
      </c>
      <c r="G2568" s="1205"/>
      <c r="H2568" s="1055"/>
      <c r="I2568" s="1055"/>
      <c r="J2568" s="1055"/>
      <c r="K2568" s="1205"/>
      <c r="L2568" s="1055"/>
      <c r="M2568" s="1205"/>
      <c r="N2568" s="1054"/>
      <c r="O2568" s="1207"/>
      <c r="Q2568" s="1207"/>
    </row>
    <row r="2569" spans="3:17" s="700" customFormat="1" ht="70.5" hidden="1" customHeight="1">
      <c r="C2569" s="701"/>
      <c r="D2569" s="811"/>
      <c r="E2569" s="1276">
        <f>[11]building!Y2900</f>
        <v>0</v>
      </c>
      <c r="F2569" s="748">
        <f t="shared" si="279"/>
        <v>0</v>
      </c>
      <c r="G2569" s="1205"/>
      <c r="H2569" s="1055"/>
      <c r="I2569" s="1055"/>
      <c r="J2569" s="1055"/>
      <c r="K2569" s="1205"/>
      <c r="L2569" s="1055"/>
      <c r="M2569" s="1205"/>
      <c r="N2569" s="1054"/>
      <c r="O2569" s="1207"/>
      <c r="Q2569" s="1207"/>
    </row>
    <row r="2570" spans="3:17" s="700" customFormat="1" ht="70.5" hidden="1" customHeight="1">
      <c r="C2570" s="701"/>
      <c r="D2570" s="811"/>
      <c r="E2570" s="1276">
        <f>[11]building!Y2901</f>
        <v>0</v>
      </c>
      <c r="F2570" s="748">
        <f t="shared" si="279"/>
        <v>0</v>
      </c>
      <c r="G2570" s="1205"/>
      <c r="H2570" s="1055"/>
      <c r="I2570" s="1055"/>
      <c r="J2570" s="1055"/>
      <c r="K2570" s="1205"/>
      <c r="L2570" s="1055"/>
      <c r="M2570" s="1205"/>
      <c r="N2570" s="1054"/>
      <c r="O2570" s="1207"/>
      <c r="Q2570" s="1207"/>
    </row>
    <row r="2571" spans="3:17" s="700" customFormat="1" ht="70.5" hidden="1" customHeight="1">
      <c r="C2571" s="701"/>
      <c r="D2571" s="811"/>
      <c r="E2571" s="1276">
        <f>[11]building!Y2902</f>
        <v>0</v>
      </c>
      <c r="F2571" s="748">
        <f t="shared" si="279"/>
        <v>0</v>
      </c>
      <c r="G2571" s="1205"/>
      <c r="H2571" s="1055"/>
      <c r="I2571" s="1055"/>
      <c r="J2571" s="1055"/>
      <c r="K2571" s="1205"/>
      <c r="L2571" s="1055"/>
      <c r="M2571" s="1205"/>
      <c r="N2571" s="1054"/>
      <c r="O2571" s="1207"/>
      <c r="Q2571" s="1207"/>
    </row>
    <row r="2572" spans="3:17" s="700" customFormat="1" ht="70.5" hidden="1" customHeight="1">
      <c r="C2572" s="701"/>
      <c r="D2572" s="811"/>
      <c r="E2572" s="1276">
        <f>[11]building!Y2903</f>
        <v>0</v>
      </c>
      <c r="F2572" s="748">
        <f t="shared" si="279"/>
        <v>0</v>
      </c>
      <c r="G2572" s="1205"/>
      <c r="H2572" s="1055"/>
      <c r="I2572" s="1055"/>
      <c r="J2572" s="1055"/>
      <c r="K2572" s="1205"/>
      <c r="L2572" s="1055"/>
      <c r="M2572" s="1205"/>
      <c r="N2572" s="1054"/>
      <c r="O2572" s="1207"/>
      <c r="Q2572" s="1207"/>
    </row>
    <row r="2573" spans="3:17" s="700" customFormat="1" ht="70.5" hidden="1" customHeight="1">
      <c r="C2573" s="701"/>
      <c r="D2573" s="811"/>
      <c r="E2573" s="1276">
        <f>[11]building!Y2904</f>
        <v>0</v>
      </c>
      <c r="F2573" s="748">
        <f t="shared" si="279"/>
        <v>0</v>
      </c>
      <c r="G2573" s="1205"/>
      <c r="H2573" s="1055"/>
      <c r="I2573" s="1055"/>
      <c r="J2573" s="1055"/>
      <c r="K2573" s="1205"/>
      <c r="L2573" s="1055"/>
      <c r="M2573" s="1205"/>
      <c r="N2573" s="1054"/>
      <c r="O2573" s="1207"/>
      <c r="Q2573" s="1207"/>
    </row>
    <row r="2574" spans="3:17" s="700" customFormat="1" ht="70.5" hidden="1" customHeight="1">
      <c r="C2574" s="701"/>
      <c r="D2574" s="811"/>
      <c r="E2574" s="1276">
        <f>[11]building!Y2905</f>
        <v>0</v>
      </c>
      <c r="F2574" s="748">
        <f t="shared" si="279"/>
        <v>0</v>
      </c>
      <c r="G2574" s="1205"/>
      <c r="H2574" s="1055"/>
      <c r="I2574" s="1055"/>
      <c r="J2574" s="1055"/>
      <c r="K2574" s="1205"/>
      <c r="L2574" s="1055"/>
      <c r="M2574" s="1205"/>
      <c r="N2574" s="1054"/>
      <c r="O2574" s="1207"/>
      <c r="Q2574" s="1207"/>
    </row>
    <row r="2575" spans="3:17" s="700" customFormat="1" ht="70.5" hidden="1" customHeight="1">
      <c r="C2575" s="701"/>
      <c r="D2575" s="811"/>
      <c r="E2575" s="1276">
        <f>[11]building!Y2906</f>
        <v>0</v>
      </c>
      <c r="F2575" s="748">
        <f t="shared" si="279"/>
        <v>0</v>
      </c>
      <c r="G2575" s="1205"/>
      <c r="H2575" s="1055"/>
      <c r="I2575" s="1055"/>
      <c r="J2575" s="1055"/>
      <c r="K2575" s="1205"/>
      <c r="L2575" s="1055"/>
      <c r="M2575" s="1205"/>
      <c r="N2575" s="1054"/>
      <c r="O2575" s="1207"/>
      <c r="Q2575" s="1207"/>
    </row>
    <row r="2576" spans="3:17" s="700" customFormat="1" ht="70.5" hidden="1" customHeight="1">
      <c r="C2576" s="701"/>
      <c r="D2576" s="811"/>
      <c r="E2576" s="1276">
        <f>[11]building!Y2907</f>
        <v>0</v>
      </c>
      <c r="F2576" s="748">
        <f t="shared" si="279"/>
        <v>0</v>
      </c>
      <c r="G2576" s="1205"/>
      <c r="H2576" s="1055"/>
      <c r="I2576" s="1055"/>
      <c r="J2576" s="1055"/>
      <c r="K2576" s="1205"/>
      <c r="L2576" s="1055"/>
      <c r="M2576" s="1205"/>
      <c r="N2576" s="1054"/>
      <c r="O2576" s="1207"/>
      <c r="Q2576" s="1207"/>
    </row>
    <row r="2577" spans="3:17" s="700" customFormat="1" ht="70.5" hidden="1" customHeight="1">
      <c r="C2577" s="701"/>
      <c r="D2577" s="811"/>
      <c r="E2577" s="1276">
        <f>[11]building!Y2908</f>
        <v>0</v>
      </c>
      <c r="F2577" s="748">
        <f t="shared" si="279"/>
        <v>0</v>
      </c>
      <c r="G2577" s="1205"/>
      <c r="H2577" s="1055"/>
      <c r="I2577" s="1055"/>
      <c r="J2577" s="1055"/>
      <c r="K2577" s="1205"/>
      <c r="L2577" s="1055"/>
      <c r="M2577" s="1205"/>
      <c r="N2577" s="1054"/>
      <c r="O2577" s="1207"/>
      <c r="Q2577" s="1207"/>
    </row>
    <row r="2578" spans="3:17" s="700" customFormat="1" ht="70.5" hidden="1" customHeight="1">
      <c r="C2578" s="701"/>
      <c r="D2578" s="811"/>
      <c r="E2578" s="1276">
        <f>[11]building!Y2909</f>
        <v>0</v>
      </c>
      <c r="F2578" s="748">
        <f t="shared" si="279"/>
        <v>0</v>
      </c>
      <c r="G2578" s="1205"/>
      <c r="H2578" s="1055"/>
      <c r="I2578" s="1055"/>
      <c r="J2578" s="1055"/>
      <c r="K2578" s="1205"/>
      <c r="L2578" s="1055"/>
      <c r="M2578" s="1205"/>
      <c r="N2578" s="1054"/>
      <c r="O2578" s="1207"/>
      <c r="Q2578" s="1207"/>
    </row>
    <row r="2579" spans="3:17" s="700" customFormat="1" ht="70.5" hidden="1" customHeight="1">
      <c r="C2579" s="701"/>
      <c r="D2579" s="811"/>
      <c r="E2579" s="1276">
        <f>[11]building!Y2910</f>
        <v>0</v>
      </c>
      <c r="F2579" s="748">
        <f t="shared" si="279"/>
        <v>0</v>
      </c>
      <c r="G2579" s="1205"/>
      <c r="H2579" s="1055"/>
      <c r="I2579" s="1055"/>
      <c r="J2579" s="1055"/>
      <c r="K2579" s="1205"/>
      <c r="L2579" s="1055"/>
      <c r="M2579" s="1205"/>
      <c r="N2579" s="1054"/>
      <c r="O2579" s="1207"/>
      <c r="Q2579" s="1207"/>
    </row>
    <row r="2580" spans="3:17" s="700" customFormat="1" ht="70.5" hidden="1" customHeight="1">
      <c r="C2580" s="701"/>
      <c r="D2580" s="811"/>
      <c r="E2580" s="1276">
        <f>[11]building!Y2911</f>
        <v>0</v>
      </c>
      <c r="F2580" s="748">
        <f t="shared" si="279"/>
        <v>0</v>
      </c>
      <c r="G2580" s="1205"/>
      <c r="H2580" s="1055"/>
      <c r="I2580" s="1055"/>
      <c r="J2580" s="1055"/>
      <c r="K2580" s="1205"/>
      <c r="L2580" s="1055"/>
      <c r="M2580" s="1205"/>
      <c r="N2580" s="1054"/>
      <c r="O2580" s="1207"/>
      <c r="Q2580" s="1207"/>
    </row>
    <row r="2581" spans="3:17" s="700" customFormat="1" ht="70.5" hidden="1" customHeight="1">
      <c r="C2581" s="701"/>
      <c r="D2581" s="811"/>
      <c r="E2581" s="1276">
        <f>[11]building!Y2912</f>
        <v>0</v>
      </c>
      <c r="F2581" s="748">
        <f t="shared" si="279"/>
        <v>0</v>
      </c>
      <c r="G2581" s="1205"/>
      <c r="H2581" s="1055"/>
      <c r="I2581" s="1055"/>
      <c r="J2581" s="1055"/>
      <c r="K2581" s="1205"/>
      <c r="L2581" s="1055"/>
      <c r="M2581" s="1205"/>
      <c r="N2581" s="1054"/>
      <c r="O2581" s="1207"/>
      <c r="Q2581" s="1207"/>
    </row>
    <row r="2582" spans="3:17" s="700" customFormat="1" ht="70.5" hidden="1" customHeight="1">
      <c r="C2582" s="701"/>
      <c r="D2582" s="811"/>
      <c r="E2582" s="1276">
        <f>[11]building!Y2913</f>
        <v>0</v>
      </c>
      <c r="F2582" s="748">
        <f t="shared" si="279"/>
        <v>0</v>
      </c>
      <c r="G2582" s="1205"/>
      <c r="H2582" s="1055"/>
      <c r="I2582" s="1055"/>
      <c r="J2582" s="1055"/>
      <c r="K2582" s="1205"/>
      <c r="L2582" s="1055"/>
      <c r="M2582" s="1205"/>
      <c r="N2582" s="1054"/>
      <c r="O2582" s="1207"/>
      <c r="Q2582" s="1207"/>
    </row>
    <row r="2583" spans="3:17" s="700" customFormat="1" ht="70.5" hidden="1" customHeight="1">
      <c r="C2583" s="701"/>
      <c r="D2583" s="811"/>
      <c r="E2583" s="1276">
        <f>[11]building!Y2914</f>
        <v>0</v>
      </c>
      <c r="F2583" s="748">
        <f t="shared" si="279"/>
        <v>0</v>
      </c>
      <c r="G2583" s="1205"/>
      <c r="H2583" s="1055"/>
      <c r="I2583" s="1055"/>
      <c r="J2583" s="1055"/>
      <c r="K2583" s="1205"/>
      <c r="L2583" s="1055"/>
      <c r="M2583" s="1205"/>
      <c r="N2583" s="1054"/>
      <c r="O2583" s="1207"/>
      <c r="Q2583" s="1207"/>
    </row>
    <row r="2584" spans="3:17" s="700" customFormat="1" ht="70.5" hidden="1" customHeight="1">
      <c r="C2584" s="701"/>
      <c r="D2584" s="811"/>
      <c r="E2584" s="1276">
        <f>[11]building!Y2915</f>
        <v>0</v>
      </c>
      <c r="F2584" s="748">
        <f t="shared" si="279"/>
        <v>0</v>
      </c>
      <c r="G2584" s="1205"/>
      <c r="H2584" s="1055"/>
      <c r="I2584" s="1055"/>
      <c r="J2584" s="1055"/>
      <c r="K2584" s="1205"/>
      <c r="L2584" s="1055"/>
      <c r="M2584" s="1205"/>
      <c r="N2584" s="1054"/>
      <c r="O2584" s="1207"/>
      <c r="Q2584" s="1207"/>
    </row>
    <row r="2585" spans="3:17" s="700" customFormat="1" ht="70.5" hidden="1" customHeight="1">
      <c r="C2585" s="701"/>
      <c r="D2585" s="811"/>
      <c r="E2585" s="1276">
        <f>[11]building!Y2916</f>
        <v>0</v>
      </c>
      <c r="F2585" s="748">
        <f t="shared" si="279"/>
        <v>0</v>
      </c>
      <c r="G2585" s="1205"/>
      <c r="H2585" s="1055"/>
      <c r="I2585" s="1055"/>
      <c r="J2585" s="1055"/>
      <c r="K2585" s="1205"/>
      <c r="L2585" s="1055"/>
      <c r="M2585" s="1205"/>
      <c r="N2585" s="1054"/>
      <c r="O2585" s="1207"/>
      <c r="Q2585" s="1207"/>
    </row>
    <row r="2586" spans="3:17" s="700" customFormat="1" ht="70.5" hidden="1" customHeight="1">
      <c r="C2586" s="701"/>
      <c r="D2586" s="811"/>
      <c r="E2586" s="1276">
        <f>[11]building!Y2917</f>
        <v>0</v>
      </c>
      <c r="F2586" s="748">
        <f t="shared" si="279"/>
        <v>0</v>
      </c>
      <c r="G2586" s="1205"/>
      <c r="H2586" s="1055"/>
      <c r="I2586" s="1055"/>
      <c r="J2586" s="1055"/>
      <c r="K2586" s="1205"/>
      <c r="L2586" s="1055"/>
      <c r="M2586" s="1205"/>
      <c r="N2586" s="1054"/>
      <c r="O2586" s="1207"/>
      <c r="Q2586" s="1207"/>
    </row>
    <row r="2587" spans="3:17" s="700" customFormat="1" ht="70.5" hidden="1" customHeight="1">
      <c r="C2587" s="701"/>
      <c r="D2587" s="811"/>
      <c r="E2587" s="1276">
        <f>[11]building!Y2918</f>
        <v>0</v>
      </c>
      <c r="F2587" s="748">
        <f t="shared" si="279"/>
        <v>0</v>
      </c>
      <c r="G2587" s="1205"/>
      <c r="H2587" s="1055"/>
      <c r="I2587" s="1055"/>
      <c r="J2587" s="1055"/>
      <c r="K2587" s="1205"/>
      <c r="L2587" s="1055"/>
      <c r="M2587" s="1205"/>
      <c r="N2587" s="1054"/>
      <c r="O2587" s="1207"/>
      <c r="Q2587" s="1207"/>
    </row>
    <row r="2588" spans="3:17" s="700" customFormat="1" ht="70.5" hidden="1" customHeight="1">
      <c r="C2588" s="701"/>
      <c r="D2588" s="811"/>
      <c r="E2588" s="1276">
        <f>[11]building!Y2919</f>
        <v>0</v>
      </c>
      <c r="F2588" s="748">
        <f t="shared" si="279"/>
        <v>0</v>
      </c>
      <c r="G2588" s="1205"/>
      <c r="H2588" s="1055"/>
      <c r="I2588" s="1055"/>
      <c r="J2588" s="1055"/>
      <c r="K2588" s="1205"/>
      <c r="L2588" s="1055"/>
      <c r="M2588" s="1205"/>
      <c r="N2588" s="1054"/>
      <c r="O2588" s="1207"/>
      <c r="Q2588" s="1207"/>
    </row>
    <row r="2589" spans="3:17" s="700" customFormat="1" ht="70.5" hidden="1" customHeight="1">
      <c r="C2589" s="701"/>
      <c r="D2589" s="811"/>
      <c r="E2589" s="1276">
        <f>[11]building!Y2920</f>
        <v>0</v>
      </c>
      <c r="F2589" s="748">
        <f t="shared" si="279"/>
        <v>0</v>
      </c>
      <c r="G2589" s="1205"/>
      <c r="H2589" s="1055"/>
      <c r="I2589" s="1055"/>
      <c r="J2589" s="1055"/>
      <c r="K2589" s="1205"/>
      <c r="L2589" s="1055"/>
      <c r="M2589" s="1205"/>
      <c r="N2589" s="1054"/>
      <c r="O2589" s="1207"/>
      <c r="Q2589" s="1207"/>
    </row>
    <row r="2590" spans="3:17" s="700" customFormat="1" ht="70.5" hidden="1" customHeight="1">
      <c r="C2590" s="701"/>
      <c r="D2590" s="811"/>
      <c r="E2590" s="1276">
        <f>[11]building!Y2921</f>
        <v>0</v>
      </c>
      <c r="F2590" s="748">
        <f t="shared" si="279"/>
        <v>0</v>
      </c>
      <c r="G2590" s="1205"/>
      <c r="H2590" s="1055"/>
      <c r="I2590" s="1055"/>
      <c r="J2590" s="1055"/>
      <c r="K2590" s="1205"/>
      <c r="L2590" s="1055"/>
      <c r="M2590" s="1205"/>
      <c r="N2590" s="1054"/>
      <c r="O2590" s="1207"/>
      <c r="Q2590" s="1207"/>
    </row>
    <row r="2591" spans="3:17" s="700" customFormat="1" ht="70.5" hidden="1" customHeight="1">
      <c r="C2591" s="701"/>
      <c r="D2591" s="811"/>
      <c r="E2591" s="1276">
        <f>[11]building!Y2922</f>
        <v>0</v>
      </c>
      <c r="F2591" s="748">
        <f t="shared" si="279"/>
        <v>0</v>
      </c>
      <c r="G2591" s="1205"/>
      <c r="H2591" s="1055"/>
      <c r="I2591" s="1055"/>
      <c r="J2591" s="1055"/>
      <c r="K2591" s="1205"/>
      <c r="L2591" s="1055"/>
      <c r="M2591" s="1205"/>
      <c r="N2591" s="1054"/>
      <c r="O2591" s="1207"/>
      <c r="Q2591" s="1207"/>
    </row>
    <row r="2592" spans="3:17" s="700" customFormat="1" ht="70.5" hidden="1" customHeight="1">
      <c r="C2592" s="701"/>
      <c r="D2592" s="811"/>
      <c r="E2592" s="1276">
        <f>[11]building!Y2923</f>
        <v>0</v>
      </c>
      <c r="F2592" s="748">
        <f t="shared" si="279"/>
        <v>0</v>
      </c>
      <c r="G2592" s="1205"/>
      <c r="H2592" s="1055"/>
      <c r="I2592" s="1055"/>
      <c r="J2592" s="1055"/>
      <c r="K2592" s="1205"/>
      <c r="L2592" s="1055"/>
      <c r="M2592" s="1205"/>
      <c r="N2592" s="1054"/>
      <c r="O2592" s="1207"/>
      <c r="Q2592" s="1207"/>
    </row>
    <row r="2593" spans="3:17" s="700" customFormat="1" ht="70.5" hidden="1" customHeight="1">
      <c r="C2593" s="701"/>
      <c r="D2593" s="811"/>
      <c r="E2593" s="1276">
        <f>[11]building!Y2924</f>
        <v>0</v>
      </c>
      <c r="F2593" s="748">
        <f t="shared" si="279"/>
        <v>0</v>
      </c>
      <c r="G2593" s="1205"/>
      <c r="H2593" s="1055"/>
      <c r="I2593" s="1055"/>
      <c r="J2593" s="1055"/>
      <c r="K2593" s="1205"/>
      <c r="L2593" s="1055"/>
      <c r="M2593" s="1205"/>
      <c r="N2593" s="1054"/>
      <c r="O2593" s="1207"/>
      <c r="Q2593" s="1207"/>
    </row>
    <row r="2594" spans="3:17" s="700" customFormat="1" ht="70.5" hidden="1" customHeight="1">
      <c r="C2594" s="701"/>
      <c r="D2594" s="811"/>
      <c r="E2594" s="1276">
        <f>[11]building!Y2925</f>
        <v>0</v>
      </c>
      <c r="F2594" s="748">
        <f t="shared" si="279"/>
        <v>0</v>
      </c>
      <c r="G2594" s="1205"/>
      <c r="H2594" s="1055"/>
      <c r="I2594" s="1055"/>
      <c r="J2594" s="1055"/>
      <c r="K2594" s="1205"/>
      <c r="L2594" s="1055"/>
      <c r="M2594" s="1205"/>
      <c r="N2594" s="1054"/>
      <c r="O2594" s="1207"/>
      <c r="Q2594" s="1207"/>
    </row>
    <row r="2595" spans="3:17" s="700" customFormat="1" ht="70.5" hidden="1" customHeight="1">
      <c r="C2595" s="701"/>
      <c r="D2595" s="811"/>
      <c r="E2595" s="1276">
        <f>[11]building!Y2926</f>
        <v>0</v>
      </c>
      <c r="F2595" s="748">
        <f t="shared" si="279"/>
        <v>0</v>
      </c>
      <c r="G2595" s="1205"/>
      <c r="H2595" s="1055"/>
      <c r="I2595" s="1055"/>
      <c r="J2595" s="1055"/>
      <c r="K2595" s="1205"/>
      <c r="L2595" s="1055"/>
      <c r="M2595" s="1205"/>
      <c r="N2595" s="1054"/>
      <c r="O2595" s="1207"/>
      <c r="Q2595" s="1207"/>
    </row>
    <row r="2596" spans="3:17" s="700" customFormat="1" ht="70.5" hidden="1" customHeight="1">
      <c r="C2596" s="701"/>
      <c r="D2596" s="811"/>
      <c r="E2596" s="1276">
        <f>[11]building!Y2927</f>
        <v>0</v>
      </c>
      <c r="F2596" s="748">
        <f t="shared" si="279"/>
        <v>0</v>
      </c>
      <c r="G2596" s="1205"/>
      <c r="H2596" s="1055"/>
      <c r="I2596" s="1055"/>
      <c r="J2596" s="1055"/>
      <c r="K2596" s="1205"/>
      <c r="L2596" s="1055"/>
      <c r="M2596" s="1205"/>
      <c r="N2596" s="1054"/>
      <c r="O2596" s="1207"/>
      <c r="Q2596" s="1207"/>
    </row>
    <row r="2597" spans="3:17" s="700" customFormat="1" ht="70.5" hidden="1" customHeight="1">
      <c r="C2597" s="701"/>
      <c r="D2597" s="811"/>
      <c r="E2597" s="1276">
        <f>[11]building!Y2928</f>
        <v>0</v>
      </c>
      <c r="F2597" s="748">
        <f t="shared" si="279"/>
        <v>0</v>
      </c>
      <c r="G2597" s="1205"/>
      <c r="H2597" s="1055"/>
      <c r="I2597" s="1055"/>
      <c r="J2597" s="1055"/>
      <c r="K2597" s="1205"/>
      <c r="L2597" s="1055"/>
      <c r="M2597" s="1205"/>
      <c r="N2597" s="1054"/>
      <c r="O2597" s="1207"/>
      <c r="Q2597" s="1207"/>
    </row>
    <row r="2598" spans="3:17" s="700" customFormat="1" ht="70.5" hidden="1" customHeight="1">
      <c r="C2598" s="701"/>
      <c r="D2598" s="811"/>
      <c r="E2598" s="1276">
        <f>[11]building!Y2929</f>
        <v>0</v>
      </c>
      <c r="F2598" s="748">
        <f t="shared" si="279"/>
        <v>0</v>
      </c>
      <c r="G2598" s="1205"/>
      <c r="H2598" s="1055"/>
      <c r="I2598" s="1055"/>
      <c r="J2598" s="1055"/>
      <c r="K2598" s="1205"/>
      <c r="L2598" s="1055"/>
      <c r="M2598" s="1205"/>
      <c r="N2598" s="1054"/>
      <c r="O2598" s="1207"/>
      <c r="Q2598" s="1207"/>
    </row>
    <row r="2599" spans="3:17" s="700" customFormat="1" ht="70.5" hidden="1" customHeight="1">
      <c r="C2599" s="701"/>
      <c r="D2599" s="811"/>
      <c r="E2599" s="1276">
        <f>[11]building!Y2930</f>
        <v>0</v>
      </c>
      <c r="F2599" s="748">
        <f t="shared" si="279"/>
        <v>0</v>
      </c>
      <c r="G2599" s="1205"/>
      <c r="H2599" s="1055"/>
      <c r="I2599" s="1055"/>
      <c r="J2599" s="1055"/>
      <c r="K2599" s="1205"/>
      <c r="L2599" s="1055"/>
      <c r="M2599" s="1205"/>
      <c r="N2599" s="1054"/>
      <c r="O2599" s="1207"/>
      <c r="Q2599" s="1207"/>
    </row>
    <row r="2600" spans="3:17" s="700" customFormat="1" ht="70.5" hidden="1" customHeight="1">
      <c r="C2600" s="701"/>
      <c r="D2600" s="811"/>
      <c r="E2600" s="1276">
        <f>[11]building!Y2931</f>
        <v>0</v>
      </c>
      <c r="F2600" s="748">
        <f t="shared" si="279"/>
        <v>0</v>
      </c>
      <c r="G2600" s="1205"/>
      <c r="H2600" s="1055"/>
      <c r="I2600" s="1055"/>
      <c r="J2600" s="1055"/>
      <c r="K2600" s="1205"/>
      <c r="L2600" s="1055"/>
      <c r="M2600" s="1205"/>
      <c r="N2600" s="1054"/>
      <c r="O2600" s="1207"/>
      <c r="Q2600" s="1207"/>
    </row>
    <row r="2601" spans="3:17" s="700" customFormat="1" ht="70.5" hidden="1" customHeight="1">
      <c r="C2601" s="701"/>
      <c r="D2601" s="811"/>
      <c r="E2601" s="1276">
        <f>[11]building!Y2932</f>
        <v>0</v>
      </c>
      <c r="F2601" s="748">
        <f t="shared" si="279"/>
        <v>0</v>
      </c>
      <c r="G2601" s="1205"/>
      <c r="H2601" s="1055"/>
      <c r="I2601" s="1055"/>
      <c r="J2601" s="1055"/>
      <c r="K2601" s="1205"/>
      <c r="L2601" s="1055"/>
      <c r="M2601" s="1205"/>
      <c r="N2601" s="1054"/>
      <c r="O2601" s="1207"/>
      <c r="Q2601" s="1207"/>
    </row>
    <row r="2602" spans="3:17" s="700" customFormat="1" ht="70.5" hidden="1" customHeight="1">
      <c r="C2602" s="701"/>
      <c r="D2602" s="811"/>
      <c r="E2602" s="1276">
        <f>[11]building!Y2933</f>
        <v>0</v>
      </c>
      <c r="F2602" s="748">
        <f t="shared" si="279"/>
        <v>0</v>
      </c>
      <c r="G2602" s="1205"/>
      <c r="H2602" s="1055"/>
      <c r="I2602" s="1055"/>
      <c r="J2602" s="1055"/>
      <c r="K2602" s="1205"/>
      <c r="L2602" s="1055"/>
      <c r="M2602" s="1205"/>
      <c r="N2602" s="1054"/>
      <c r="O2602" s="1207"/>
      <c r="Q2602" s="1207"/>
    </row>
    <row r="2603" spans="3:17" s="700" customFormat="1" ht="70.5" hidden="1" customHeight="1">
      <c r="C2603" s="701"/>
      <c r="D2603" s="811"/>
      <c r="E2603" s="1276">
        <f>[11]building!Y2934</f>
        <v>0</v>
      </c>
      <c r="F2603" s="748">
        <f t="shared" si="279"/>
        <v>0</v>
      </c>
      <c r="G2603" s="1205"/>
      <c r="H2603" s="1055"/>
      <c r="I2603" s="1055"/>
      <c r="J2603" s="1055"/>
      <c r="K2603" s="1205"/>
      <c r="L2603" s="1055"/>
      <c r="M2603" s="1205"/>
      <c r="N2603" s="1054"/>
      <c r="O2603" s="1207"/>
      <c r="Q2603" s="1207"/>
    </row>
    <row r="2604" spans="3:17" s="700" customFormat="1" ht="70.5" hidden="1" customHeight="1">
      <c r="C2604" s="701"/>
      <c r="D2604" s="811"/>
      <c r="E2604" s="1276">
        <f>[11]building!Y2935</f>
        <v>0</v>
      </c>
      <c r="F2604" s="748">
        <f t="shared" si="279"/>
        <v>0</v>
      </c>
      <c r="G2604" s="1205"/>
      <c r="H2604" s="1055"/>
      <c r="I2604" s="1055"/>
      <c r="J2604" s="1055"/>
      <c r="K2604" s="1205"/>
      <c r="L2604" s="1055"/>
      <c r="M2604" s="1205"/>
      <c r="N2604" s="1054"/>
      <c r="O2604" s="1207"/>
      <c r="Q2604" s="1207"/>
    </row>
    <row r="2605" spans="3:17" s="700" customFormat="1" ht="70.5" hidden="1" customHeight="1">
      <c r="C2605" s="701"/>
      <c r="D2605" s="811"/>
      <c r="E2605" s="1276">
        <f>[11]building!Y2936</f>
        <v>0</v>
      </c>
      <c r="F2605" s="748">
        <f t="shared" si="279"/>
        <v>0</v>
      </c>
      <c r="G2605" s="1205"/>
      <c r="H2605" s="1055"/>
      <c r="I2605" s="1055"/>
      <c r="J2605" s="1055"/>
      <c r="K2605" s="1205"/>
      <c r="L2605" s="1055"/>
      <c r="M2605" s="1205"/>
      <c r="N2605" s="1054"/>
      <c r="O2605" s="1207"/>
      <c r="Q2605" s="1207"/>
    </row>
    <row r="2606" spans="3:17" s="700" customFormat="1" ht="70.5" hidden="1" customHeight="1">
      <c r="C2606" s="701"/>
      <c r="D2606" s="811"/>
      <c r="E2606" s="1276">
        <f>[11]building!Y2937</f>
        <v>0</v>
      </c>
      <c r="F2606" s="748">
        <f t="shared" si="279"/>
        <v>0</v>
      </c>
      <c r="G2606" s="1205"/>
      <c r="H2606" s="1055"/>
      <c r="I2606" s="1055"/>
      <c r="J2606" s="1055"/>
      <c r="K2606" s="1205"/>
      <c r="L2606" s="1055"/>
      <c r="M2606" s="1205"/>
      <c r="N2606" s="1054"/>
      <c r="O2606" s="1207"/>
      <c r="Q2606" s="1207"/>
    </row>
    <row r="2607" spans="3:17" s="700" customFormat="1" ht="70.5" hidden="1" customHeight="1">
      <c r="C2607" s="701"/>
      <c r="D2607" s="811"/>
      <c r="E2607" s="1276">
        <f>[11]building!Y2938</f>
        <v>0</v>
      </c>
      <c r="F2607" s="748">
        <f t="shared" si="279"/>
        <v>0</v>
      </c>
      <c r="G2607" s="1205"/>
      <c r="H2607" s="1055"/>
      <c r="I2607" s="1055"/>
      <c r="J2607" s="1055"/>
      <c r="K2607" s="1205"/>
      <c r="L2607" s="1055"/>
      <c r="M2607" s="1205"/>
      <c r="N2607" s="1054"/>
      <c r="O2607" s="1207"/>
      <c r="Q2607" s="1207"/>
    </row>
    <row r="2608" spans="3:17" s="700" customFormat="1" ht="70.5" hidden="1" customHeight="1">
      <c r="C2608" s="701"/>
      <c r="D2608" s="811"/>
      <c r="E2608" s="1276">
        <f>[11]building!Y2939</f>
        <v>0</v>
      </c>
      <c r="F2608" s="748">
        <f t="shared" si="279"/>
        <v>0</v>
      </c>
      <c r="G2608" s="1205"/>
      <c r="H2608" s="1055"/>
      <c r="I2608" s="1055"/>
      <c r="J2608" s="1055"/>
      <c r="K2608" s="1205"/>
      <c r="L2608" s="1055"/>
      <c r="M2608" s="1205"/>
      <c r="N2608" s="1054"/>
      <c r="O2608" s="1207"/>
      <c r="Q2608" s="1207"/>
    </row>
    <row r="2609" spans="3:17" s="700" customFormat="1" ht="70.5" hidden="1" customHeight="1">
      <c r="C2609" s="701"/>
      <c r="D2609" s="811"/>
      <c r="E2609" s="1276">
        <f>[11]building!Y2940</f>
        <v>0</v>
      </c>
      <c r="F2609" s="748">
        <f t="shared" si="279"/>
        <v>0</v>
      </c>
      <c r="G2609" s="1205"/>
      <c r="H2609" s="1055"/>
      <c r="I2609" s="1055"/>
      <c r="J2609" s="1055"/>
      <c r="K2609" s="1205"/>
      <c r="L2609" s="1055"/>
      <c r="M2609" s="1205"/>
      <c r="N2609" s="1054"/>
      <c r="O2609" s="1207"/>
      <c r="Q2609" s="1207"/>
    </row>
    <row r="2610" spans="3:17" s="700" customFormat="1" ht="70.5" hidden="1" customHeight="1">
      <c r="C2610" s="701"/>
      <c r="D2610" s="811"/>
      <c r="E2610" s="1276">
        <f>[11]building!Y2941</f>
        <v>0</v>
      </c>
      <c r="F2610" s="748">
        <f t="shared" si="279"/>
        <v>0</v>
      </c>
      <c r="G2610" s="1205"/>
      <c r="H2610" s="1055"/>
      <c r="I2610" s="1055"/>
      <c r="J2610" s="1055"/>
      <c r="K2610" s="1205"/>
      <c r="L2610" s="1055"/>
      <c r="M2610" s="1205"/>
      <c r="N2610" s="1054"/>
      <c r="O2610" s="1207"/>
      <c r="Q2610" s="1207"/>
    </row>
    <row r="2611" spans="3:17" s="700" customFormat="1" ht="70.5" hidden="1" customHeight="1">
      <c r="C2611" s="701"/>
      <c r="D2611" s="811"/>
      <c r="E2611" s="1276">
        <f>[11]building!Y2942</f>
        <v>0</v>
      </c>
      <c r="F2611" s="748">
        <f t="shared" si="279"/>
        <v>0</v>
      </c>
      <c r="G2611" s="1205"/>
      <c r="H2611" s="1055"/>
      <c r="I2611" s="1055"/>
      <c r="J2611" s="1055"/>
      <c r="K2611" s="1205"/>
      <c r="L2611" s="1055"/>
      <c r="M2611" s="1205"/>
      <c r="N2611" s="1054"/>
      <c r="O2611" s="1207"/>
      <c r="Q2611" s="1207"/>
    </row>
    <row r="2612" spans="3:17" s="700" customFormat="1" ht="70.5" hidden="1" customHeight="1">
      <c r="C2612" s="701"/>
      <c r="D2612" s="811"/>
      <c r="E2612" s="1276">
        <f>[11]building!Y2943</f>
        <v>0</v>
      </c>
      <c r="F2612" s="748">
        <f t="shared" si="279"/>
        <v>0</v>
      </c>
      <c r="G2612" s="1205"/>
      <c r="H2612" s="1055"/>
      <c r="I2612" s="1055"/>
      <c r="J2612" s="1055"/>
      <c r="K2612" s="1205"/>
      <c r="L2612" s="1055"/>
      <c r="M2612" s="1205"/>
      <c r="N2612" s="1054"/>
      <c r="O2612" s="1207"/>
      <c r="Q2612" s="1207"/>
    </row>
    <row r="2613" spans="3:17" s="700" customFormat="1" ht="70.5" hidden="1" customHeight="1">
      <c r="C2613" s="701"/>
      <c r="D2613" s="811"/>
      <c r="E2613" s="1276">
        <f>[11]building!Y2944</f>
        <v>0</v>
      </c>
      <c r="F2613" s="748">
        <f t="shared" si="279"/>
        <v>0</v>
      </c>
      <c r="G2613" s="1205"/>
      <c r="H2613" s="1055"/>
      <c r="I2613" s="1055"/>
      <c r="J2613" s="1055"/>
      <c r="K2613" s="1205"/>
      <c r="L2613" s="1055"/>
      <c r="M2613" s="1205"/>
      <c r="N2613" s="1054"/>
      <c r="O2613" s="1207"/>
      <c r="Q2613" s="1207"/>
    </row>
    <row r="2614" spans="3:17" s="700" customFormat="1" ht="70.5" hidden="1" customHeight="1">
      <c r="C2614" s="701"/>
      <c r="D2614" s="811"/>
      <c r="E2614" s="1276">
        <f>[11]building!Y2945</f>
        <v>0</v>
      </c>
      <c r="F2614" s="748">
        <f t="shared" si="279"/>
        <v>0</v>
      </c>
      <c r="G2614" s="1205"/>
      <c r="H2614" s="1055"/>
      <c r="I2614" s="1055"/>
      <c r="J2614" s="1055"/>
      <c r="K2614" s="1205"/>
      <c r="L2614" s="1055"/>
      <c r="M2614" s="1205"/>
      <c r="N2614" s="1054"/>
      <c r="O2614" s="1207"/>
      <c r="Q2614" s="1207"/>
    </row>
    <row r="2615" spans="3:17" s="700" customFormat="1" ht="70.5" hidden="1" customHeight="1">
      <c r="C2615" s="701"/>
      <c r="D2615" s="811"/>
      <c r="E2615" s="1276">
        <f>[11]building!Y2946</f>
        <v>0</v>
      </c>
      <c r="F2615" s="748">
        <f t="shared" si="279"/>
        <v>0</v>
      </c>
      <c r="G2615" s="1205"/>
      <c r="H2615" s="1055"/>
      <c r="I2615" s="1055"/>
      <c r="J2615" s="1055"/>
      <c r="K2615" s="1205"/>
      <c r="L2615" s="1055"/>
      <c r="M2615" s="1205"/>
      <c r="N2615" s="1054"/>
      <c r="O2615" s="1207"/>
      <c r="Q2615" s="1207"/>
    </row>
    <row r="2616" spans="3:17" s="700" customFormat="1" ht="70.5" hidden="1" customHeight="1">
      <c r="C2616" s="701"/>
      <c r="D2616" s="811"/>
      <c r="E2616" s="1276">
        <f>[11]building!Y2947</f>
        <v>0</v>
      </c>
      <c r="F2616" s="748">
        <f t="shared" si="279"/>
        <v>0</v>
      </c>
      <c r="G2616" s="1205"/>
      <c r="H2616" s="1055"/>
      <c r="I2616" s="1055"/>
      <c r="J2616" s="1055"/>
      <c r="K2616" s="1205"/>
      <c r="L2616" s="1055"/>
      <c r="M2616" s="1205"/>
      <c r="N2616" s="1054"/>
      <c r="O2616" s="1207"/>
      <c r="Q2616" s="1207"/>
    </row>
    <row r="2617" spans="3:17" s="700" customFormat="1" ht="70.5" hidden="1" customHeight="1">
      <c r="C2617" s="701"/>
      <c r="D2617" s="811"/>
      <c r="E2617" s="1276">
        <f>[11]building!Y2948</f>
        <v>0</v>
      </c>
      <c r="F2617" s="748">
        <f t="shared" si="279"/>
        <v>0</v>
      </c>
      <c r="G2617" s="1205"/>
      <c r="H2617" s="1055"/>
      <c r="I2617" s="1055"/>
      <c r="J2617" s="1055"/>
      <c r="K2617" s="1205"/>
      <c r="L2617" s="1055"/>
      <c r="M2617" s="1205"/>
      <c r="N2617" s="1054"/>
      <c r="O2617" s="1207"/>
      <c r="Q2617" s="1207"/>
    </row>
    <row r="2618" spans="3:17" s="700" customFormat="1" ht="70.5" hidden="1" customHeight="1">
      <c r="C2618" s="701"/>
      <c r="D2618" s="811"/>
      <c r="E2618" s="1276">
        <f>[11]building!Y2949</f>
        <v>0</v>
      </c>
      <c r="F2618" s="748">
        <f t="shared" si="279"/>
        <v>0</v>
      </c>
      <c r="G2618" s="1205"/>
      <c r="H2618" s="1055"/>
      <c r="I2618" s="1055"/>
      <c r="J2618" s="1055"/>
      <c r="K2618" s="1205"/>
      <c r="L2618" s="1055"/>
      <c r="M2618" s="1205"/>
      <c r="N2618" s="1054"/>
      <c r="O2618" s="1207"/>
      <c r="Q2618" s="1207"/>
    </row>
    <row r="2619" spans="3:17" s="700" customFormat="1" ht="70.5" hidden="1" customHeight="1">
      <c r="C2619" s="701"/>
      <c r="D2619" s="811"/>
      <c r="E2619" s="1276">
        <f>[11]building!Y2950</f>
        <v>0</v>
      </c>
      <c r="F2619" s="748">
        <f t="shared" si="279"/>
        <v>0</v>
      </c>
      <c r="G2619" s="1205"/>
      <c r="H2619" s="1055"/>
      <c r="I2619" s="1055"/>
      <c r="J2619" s="1055"/>
      <c r="K2619" s="1205"/>
      <c r="L2619" s="1055"/>
      <c r="M2619" s="1205"/>
      <c r="N2619" s="1054"/>
      <c r="O2619" s="1207"/>
      <c r="Q2619" s="1207"/>
    </row>
    <row r="2620" spans="3:17" s="700" customFormat="1" ht="70.5" hidden="1" customHeight="1">
      <c r="C2620" s="701"/>
      <c r="D2620" s="811"/>
      <c r="E2620" s="1276">
        <f>[11]building!Y2951</f>
        <v>0</v>
      </c>
      <c r="F2620" s="748">
        <f t="shared" si="279"/>
        <v>0</v>
      </c>
      <c r="G2620" s="1205"/>
      <c r="H2620" s="1055"/>
      <c r="I2620" s="1055"/>
      <c r="J2620" s="1055"/>
      <c r="K2620" s="1205"/>
      <c r="L2620" s="1055"/>
      <c r="M2620" s="1205"/>
      <c r="N2620" s="1054"/>
      <c r="O2620" s="1207"/>
      <c r="Q2620" s="1207"/>
    </row>
    <row r="2621" spans="3:17" s="700" customFormat="1" ht="70.5" hidden="1" customHeight="1">
      <c r="C2621" s="701"/>
      <c r="D2621" s="811"/>
      <c r="E2621" s="1276">
        <f>[11]building!Y2952</f>
        <v>0</v>
      </c>
      <c r="F2621" s="748">
        <f t="shared" si="279"/>
        <v>0</v>
      </c>
      <c r="G2621" s="1205"/>
      <c r="H2621" s="1055"/>
      <c r="I2621" s="1055"/>
      <c r="J2621" s="1055"/>
      <c r="K2621" s="1205"/>
      <c r="L2621" s="1055"/>
      <c r="M2621" s="1205"/>
      <c r="N2621" s="1054"/>
      <c r="O2621" s="1207"/>
      <c r="Q2621" s="1207"/>
    </row>
    <row r="2622" spans="3:17" s="700" customFormat="1" ht="70.5" hidden="1" customHeight="1">
      <c r="C2622" s="701"/>
      <c r="D2622" s="811"/>
      <c r="E2622" s="1276">
        <f>[11]building!Y2953</f>
        <v>0</v>
      </c>
      <c r="F2622" s="748">
        <f t="shared" si="279"/>
        <v>0</v>
      </c>
      <c r="G2622" s="1205"/>
      <c r="H2622" s="1055"/>
      <c r="I2622" s="1055"/>
      <c r="J2622" s="1055"/>
      <c r="K2622" s="1205"/>
      <c r="L2622" s="1055"/>
      <c r="M2622" s="1205"/>
      <c r="N2622" s="1054"/>
      <c r="O2622" s="1207"/>
      <c r="Q2622" s="1207"/>
    </row>
    <row r="2623" spans="3:17" s="700" customFormat="1" ht="70.5" hidden="1" customHeight="1">
      <c r="C2623" s="701"/>
      <c r="D2623" s="811"/>
      <c r="E2623" s="1276">
        <f>[11]building!Y2954</f>
        <v>0</v>
      </c>
      <c r="F2623" s="748">
        <f t="shared" si="279"/>
        <v>0</v>
      </c>
      <c r="G2623" s="1205"/>
      <c r="H2623" s="1055"/>
      <c r="I2623" s="1055"/>
      <c r="J2623" s="1055"/>
      <c r="K2623" s="1205"/>
      <c r="L2623" s="1055"/>
      <c r="M2623" s="1205"/>
      <c r="N2623" s="1054"/>
      <c r="O2623" s="1207"/>
      <c r="Q2623" s="1207"/>
    </row>
    <row r="2624" spans="3:17" s="700" customFormat="1" ht="70.5" hidden="1" customHeight="1">
      <c r="C2624" s="701"/>
      <c r="D2624" s="811"/>
      <c r="E2624" s="1276">
        <f>[11]building!Y2955</f>
        <v>0</v>
      </c>
      <c r="F2624" s="748">
        <f t="shared" ref="F2624:F2687" si="280">E2624*C2624</f>
        <v>0</v>
      </c>
      <c r="G2624" s="1205"/>
      <c r="H2624" s="1055"/>
      <c r="I2624" s="1055"/>
      <c r="J2624" s="1055"/>
      <c r="K2624" s="1205"/>
      <c r="L2624" s="1055"/>
      <c r="M2624" s="1205"/>
      <c r="N2624" s="1054"/>
      <c r="O2624" s="1207"/>
      <c r="Q2624" s="1207"/>
    </row>
    <row r="2625" spans="3:17" s="700" customFormat="1" ht="70.5" hidden="1" customHeight="1">
      <c r="C2625" s="701"/>
      <c r="D2625" s="811"/>
      <c r="E2625" s="1276">
        <f>[11]building!Y2956</f>
        <v>0</v>
      </c>
      <c r="F2625" s="748">
        <f t="shared" si="280"/>
        <v>0</v>
      </c>
      <c r="G2625" s="1205"/>
      <c r="H2625" s="1055"/>
      <c r="I2625" s="1055"/>
      <c r="J2625" s="1055"/>
      <c r="K2625" s="1205"/>
      <c r="L2625" s="1055"/>
      <c r="M2625" s="1205"/>
      <c r="N2625" s="1054"/>
      <c r="O2625" s="1207"/>
      <c r="Q2625" s="1207"/>
    </row>
    <row r="2626" spans="3:17" s="700" customFormat="1" ht="70.5" hidden="1" customHeight="1">
      <c r="C2626" s="701"/>
      <c r="D2626" s="811"/>
      <c r="E2626" s="1276">
        <f>[11]building!Y2957</f>
        <v>0</v>
      </c>
      <c r="F2626" s="748">
        <f t="shared" si="280"/>
        <v>0</v>
      </c>
      <c r="G2626" s="1205"/>
      <c r="H2626" s="1055"/>
      <c r="I2626" s="1055"/>
      <c r="J2626" s="1055"/>
      <c r="K2626" s="1205"/>
      <c r="L2626" s="1055"/>
      <c r="M2626" s="1205"/>
      <c r="N2626" s="1054"/>
      <c r="O2626" s="1207"/>
      <c r="Q2626" s="1207"/>
    </row>
    <row r="2627" spans="3:17" s="700" customFormat="1" ht="70.5" hidden="1" customHeight="1">
      <c r="C2627" s="701"/>
      <c r="D2627" s="811"/>
      <c r="E2627" s="1276">
        <f>[11]building!Y2958</f>
        <v>0</v>
      </c>
      <c r="F2627" s="748">
        <f t="shared" si="280"/>
        <v>0</v>
      </c>
      <c r="G2627" s="1205"/>
      <c r="H2627" s="1055"/>
      <c r="I2627" s="1055"/>
      <c r="J2627" s="1055"/>
      <c r="K2627" s="1205"/>
      <c r="L2627" s="1055"/>
      <c r="M2627" s="1205"/>
      <c r="N2627" s="1054"/>
      <c r="O2627" s="1207"/>
      <c r="Q2627" s="1207"/>
    </row>
    <row r="2628" spans="3:17" s="700" customFormat="1" ht="70.5" hidden="1" customHeight="1">
      <c r="C2628" s="701"/>
      <c r="D2628" s="811"/>
      <c r="E2628" s="1276">
        <f>[11]building!Y2959</f>
        <v>0</v>
      </c>
      <c r="F2628" s="748">
        <f t="shared" si="280"/>
        <v>0</v>
      </c>
      <c r="G2628" s="1205"/>
      <c r="H2628" s="1055"/>
      <c r="I2628" s="1055"/>
      <c r="J2628" s="1055"/>
      <c r="K2628" s="1205"/>
      <c r="L2628" s="1055"/>
      <c r="M2628" s="1205"/>
      <c r="N2628" s="1054"/>
      <c r="O2628" s="1207"/>
      <c r="Q2628" s="1207"/>
    </row>
    <row r="2629" spans="3:17" s="700" customFormat="1" ht="70.5" hidden="1" customHeight="1">
      <c r="C2629" s="701"/>
      <c r="D2629" s="811"/>
      <c r="E2629" s="1276">
        <f>[11]building!Y2960</f>
        <v>0</v>
      </c>
      <c r="F2629" s="748">
        <f t="shared" si="280"/>
        <v>0</v>
      </c>
      <c r="G2629" s="1205"/>
      <c r="H2629" s="1055"/>
      <c r="I2629" s="1055"/>
      <c r="J2629" s="1055"/>
      <c r="K2629" s="1205"/>
      <c r="L2629" s="1055"/>
      <c r="M2629" s="1205"/>
      <c r="N2629" s="1054"/>
      <c r="O2629" s="1207"/>
      <c r="Q2629" s="1207"/>
    </row>
    <row r="2630" spans="3:17" s="700" customFormat="1" ht="70.5" hidden="1" customHeight="1">
      <c r="C2630" s="701"/>
      <c r="D2630" s="811"/>
      <c r="E2630" s="1276">
        <f>[11]building!Y2961</f>
        <v>0</v>
      </c>
      <c r="F2630" s="748">
        <f t="shared" si="280"/>
        <v>0</v>
      </c>
      <c r="G2630" s="1205"/>
      <c r="H2630" s="1055"/>
      <c r="I2630" s="1055"/>
      <c r="J2630" s="1055"/>
      <c r="K2630" s="1205"/>
      <c r="L2630" s="1055"/>
      <c r="M2630" s="1205"/>
      <c r="N2630" s="1054"/>
      <c r="O2630" s="1207"/>
      <c r="Q2630" s="1207"/>
    </row>
    <row r="2631" spans="3:17" s="700" customFormat="1" ht="70.5" hidden="1" customHeight="1">
      <c r="C2631" s="701"/>
      <c r="D2631" s="811"/>
      <c r="E2631" s="1276">
        <f>[11]building!Y2962</f>
        <v>0</v>
      </c>
      <c r="F2631" s="748">
        <f t="shared" si="280"/>
        <v>0</v>
      </c>
      <c r="G2631" s="1205"/>
      <c r="H2631" s="1055"/>
      <c r="I2631" s="1055"/>
      <c r="J2631" s="1055"/>
      <c r="K2631" s="1205"/>
      <c r="L2631" s="1055"/>
      <c r="M2631" s="1205"/>
      <c r="N2631" s="1054"/>
      <c r="O2631" s="1207"/>
      <c r="Q2631" s="1207"/>
    </row>
    <row r="2632" spans="3:17" s="700" customFormat="1" ht="70.5" hidden="1" customHeight="1">
      <c r="C2632" s="701"/>
      <c r="D2632" s="811"/>
      <c r="E2632" s="1276">
        <f>[11]building!Y2963</f>
        <v>0</v>
      </c>
      <c r="F2632" s="748">
        <f t="shared" si="280"/>
        <v>0</v>
      </c>
      <c r="G2632" s="1205"/>
      <c r="H2632" s="1055"/>
      <c r="I2632" s="1055"/>
      <c r="J2632" s="1055"/>
      <c r="K2632" s="1205"/>
      <c r="L2632" s="1055"/>
      <c r="M2632" s="1205"/>
      <c r="N2632" s="1054"/>
      <c r="O2632" s="1207"/>
      <c r="Q2632" s="1207"/>
    </row>
    <row r="2633" spans="3:17" s="700" customFormat="1" ht="70.5" hidden="1" customHeight="1">
      <c r="C2633" s="701"/>
      <c r="D2633" s="811"/>
      <c r="E2633" s="1276">
        <f>[11]building!Y2964</f>
        <v>0</v>
      </c>
      <c r="F2633" s="748">
        <f t="shared" si="280"/>
        <v>0</v>
      </c>
      <c r="G2633" s="1205"/>
      <c r="H2633" s="1055"/>
      <c r="I2633" s="1055"/>
      <c r="J2633" s="1055"/>
      <c r="K2633" s="1205"/>
      <c r="L2633" s="1055"/>
      <c r="M2633" s="1205"/>
      <c r="N2633" s="1054"/>
      <c r="O2633" s="1207"/>
      <c r="Q2633" s="1207"/>
    </row>
    <row r="2634" spans="3:17" s="700" customFormat="1" ht="70.5" hidden="1" customHeight="1">
      <c r="C2634" s="701"/>
      <c r="D2634" s="811"/>
      <c r="E2634" s="1276">
        <f>[11]building!Y2965</f>
        <v>0</v>
      </c>
      <c r="F2634" s="748">
        <f t="shared" si="280"/>
        <v>0</v>
      </c>
      <c r="G2634" s="1205"/>
      <c r="H2634" s="1055"/>
      <c r="I2634" s="1055"/>
      <c r="J2634" s="1055"/>
      <c r="K2634" s="1205"/>
      <c r="L2634" s="1055"/>
      <c r="M2634" s="1205"/>
      <c r="N2634" s="1054"/>
      <c r="O2634" s="1207"/>
      <c r="Q2634" s="1207"/>
    </row>
    <row r="2635" spans="3:17" s="700" customFormat="1" ht="70.5" hidden="1" customHeight="1">
      <c r="C2635" s="701"/>
      <c r="D2635" s="811"/>
      <c r="E2635" s="1276">
        <f>[11]building!Y2966</f>
        <v>0</v>
      </c>
      <c r="F2635" s="748">
        <f t="shared" si="280"/>
        <v>0</v>
      </c>
      <c r="G2635" s="1205"/>
      <c r="H2635" s="1055"/>
      <c r="I2635" s="1055"/>
      <c r="J2635" s="1055"/>
      <c r="K2635" s="1205"/>
      <c r="L2635" s="1055"/>
      <c r="M2635" s="1205"/>
      <c r="N2635" s="1054"/>
      <c r="O2635" s="1207"/>
      <c r="Q2635" s="1207"/>
    </row>
    <row r="2636" spans="3:17" s="700" customFormat="1" ht="70.5" hidden="1" customHeight="1">
      <c r="C2636" s="701"/>
      <c r="D2636" s="811"/>
      <c r="E2636" s="1276">
        <f>[11]building!Y2967</f>
        <v>0</v>
      </c>
      <c r="F2636" s="748">
        <f t="shared" si="280"/>
        <v>0</v>
      </c>
      <c r="G2636" s="1205"/>
      <c r="H2636" s="1055"/>
      <c r="I2636" s="1055"/>
      <c r="J2636" s="1055"/>
      <c r="K2636" s="1205"/>
      <c r="L2636" s="1055"/>
      <c r="M2636" s="1205"/>
      <c r="N2636" s="1054"/>
      <c r="O2636" s="1207"/>
      <c r="Q2636" s="1207"/>
    </row>
    <row r="2637" spans="3:17" s="700" customFormat="1" ht="70.5" hidden="1" customHeight="1">
      <c r="C2637" s="701"/>
      <c r="D2637" s="811"/>
      <c r="E2637" s="1276">
        <f>[11]building!Y2968</f>
        <v>0</v>
      </c>
      <c r="F2637" s="748">
        <f t="shared" si="280"/>
        <v>0</v>
      </c>
      <c r="G2637" s="1205"/>
      <c r="H2637" s="1055"/>
      <c r="I2637" s="1055"/>
      <c r="J2637" s="1055"/>
      <c r="K2637" s="1205"/>
      <c r="L2637" s="1055"/>
      <c r="M2637" s="1205"/>
      <c r="N2637" s="1054"/>
      <c r="O2637" s="1207"/>
      <c r="Q2637" s="1207"/>
    </row>
    <row r="2638" spans="3:17" s="700" customFormat="1" ht="70.5" hidden="1" customHeight="1">
      <c r="C2638" s="701"/>
      <c r="D2638" s="811"/>
      <c r="E2638" s="1276">
        <f>[11]building!Y2969</f>
        <v>0</v>
      </c>
      <c r="F2638" s="748">
        <f t="shared" si="280"/>
        <v>0</v>
      </c>
      <c r="G2638" s="1205"/>
      <c r="H2638" s="1055"/>
      <c r="I2638" s="1055"/>
      <c r="J2638" s="1055"/>
      <c r="K2638" s="1205"/>
      <c r="L2638" s="1055"/>
      <c r="M2638" s="1205"/>
      <c r="N2638" s="1054"/>
      <c r="O2638" s="1207"/>
      <c r="Q2638" s="1207"/>
    </row>
    <row r="2639" spans="3:17" s="700" customFormat="1" ht="70.5" hidden="1" customHeight="1">
      <c r="C2639" s="701"/>
      <c r="D2639" s="811"/>
      <c r="E2639" s="1276">
        <f>[11]building!Y2970</f>
        <v>0</v>
      </c>
      <c r="F2639" s="748">
        <f t="shared" si="280"/>
        <v>0</v>
      </c>
      <c r="G2639" s="1205"/>
      <c r="H2639" s="1055"/>
      <c r="I2639" s="1055"/>
      <c r="J2639" s="1055"/>
      <c r="K2639" s="1205"/>
      <c r="L2639" s="1055"/>
      <c r="M2639" s="1205"/>
      <c r="N2639" s="1054"/>
      <c r="O2639" s="1207"/>
      <c r="Q2639" s="1207"/>
    </row>
    <row r="2640" spans="3:17" s="700" customFormat="1" ht="70.5" hidden="1" customHeight="1">
      <c r="C2640" s="701"/>
      <c r="D2640" s="811"/>
      <c r="E2640" s="1276">
        <f>[11]building!Y2971</f>
        <v>0</v>
      </c>
      <c r="F2640" s="748">
        <f t="shared" si="280"/>
        <v>0</v>
      </c>
      <c r="G2640" s="1205"/>
      <c r="H2640" s="1055"/>
      <c r="I2640" s="1055"/>
      <c r="J2640" s="1055"/>
      <c r="K2640" s="1205"/>
      <c r="L2640" s="1055"/>
      <c r="M2640" s="1205"/>
      <c r="N2640" s="1054"/>
      <c r="O2640" s="1207"/>
      <c r="Q2640" s="1207"/>
    </row>
    <row r="2641" spans="3:17" s="700" customFormat="1" ht="70.5" hidden="1" customHeight="1">
      <c r="C2641" s="701"/>
      <c r="D2641" s="811"/>
      <c r="E2641" s="1276">
        <f>[11]building!Y2972</f>
        <v>0</v>
      </c>
      <c r="F2641" s="748">
        <f t="shared" si="280"/>
        <v>0</v>
      </c>
      <c r="G2641" s="1205"/>
      <c r="H2641" s="1055"/>
      <c r="I2641" s="1055"/>
      <c r="J2641" s="1055"/>
      <c r="K2641" s="1205"/>
      <c r="L2641" s="1055"/>
      <c r="M2641" s="1205"/>
      <c r="N2641" s="1054"/>
      <c r="O2641" s="1207"/>
      <c r="Q2641" s="1207"/>
    </row>
    <row r="2642" spans="3:17" s="700" customFormat="1" ht="70.5" hidden="1" customHeight="1">
      <c r="C2642" s="701"/>
      <c r="D2642" s="811"/>
      <c r="E2642" s="1276">
        <f>[11]building!Y2973</f>
        <v>0</v>
      </c>
      <c r="F2642" s="748">
        <f t="shared" si="280"/>
        <v>0</v>
      </c>
      <c r="G2642" s="1205"/>
      <c r="H2642" s="1055"/>
      <c r="I2642" s="1055"/>
      <c r="J2642" s="1055"/>
      <c r="K2642" s="1205"/>
      <c r="L2642" s="1055"/>
      <c r="M2642" s="1205"/>
      <c r="N2642" s="1054"/>
      <c r="O2642" s="1207"/>
      <c r="Q2642" s="1207"/>
    </row>
    <row r="2643" spans="3:17" s="700" customFormat="1" ht="70.5" hidden="1" customHeight="1">
      <c r="C2643" s="701"/>
      <c r="D2643" s="811"/>
      <c r="E2643" s="1276">
        <f>[11]building!Y2974</f>
        <v>0</v>
      </c>
      <c r="F2643" s="748">
        <f t="shared" si="280"/>
        <v>0</v>
      </c>
      <c r="G2643" s="1205"/>
      <c r="H2643" s="1055"/>
      <c r="I2643" s="1055"/>
      <c r="J2643" s="1055"/>
      <c r="K2643" s="1205"/>
      <c r="L2643" s="1055"/>
      <c r="M2643" s="1205"/>
      <c r="N2643" s="1054"/>
      <c r="O2643" s="1207"/>
      <c r="Q2643" s="1207"/>
    </row>
    <row r="2644" spans="3:17" s="700" customFormat="1" ht="70.5" hidden="1" customHeight="1">
      <c r="C2644" s="701"/>
      <c r="D2644" s="811"/>
      <c r="E2644" s="1276">
        <f>[11]building!Y2975</f>
        <v>0</v>
      </c>
      <c r="F2644" s="748">
        <f t="shared" si="280"/>
        <v>0</v>
      </c>
      <c r="G2644" s="1205"/>
      <c r="H2644" s="1055"/>
      <c r="I2644" s="1055"/>
      <c r="J2644" s="1055"/>
      <c r="K2644" s="1205"/>
      <c r="L2644" s="1055"/>
      <c r="M2644" s="1205"/>
      <c r="N2644" s="1054"/>
      <c r="O2644" s="1207"/>
      <c r="Q2644" s="1207"/>
    </row>
    <row r="2645" spans="3:17" s="700" customFormat="1" ht="70.5" hidden="1" customHeight="1">
      <c r="C2645" s="701"/>
      <c r="D2645" s="811"/>
      <c r="E2645" s="1276">
        <f>[11]building!Y2976</f>
        <v>0</v>
      </c>
      <c r="F2645" s="748">
        <f t="shared" si="280"/>
        <v>0</v>
      </c>
      <c r="G2645" s="1205"/>
      <c r="H2645" s="1055"/>
      <c r="I2645" s="1055"/>
      <c r="J2645" s="1055"/>
      <c r="K2645" s="1205"/>
      <c r="L2645" s="1055"/>
      <c r="M2645" s="1205"/>
      <c r="N2645" s="1054"/>
      <c r="O2645" s="1207"/>
      <c r="Q2645" s="1207"/>
    </row>
    <row r="2646" spans="3:17" s="700" customFormat="1" ht="70.5" hidden="1" customHeight="1">
      <c r="C2646" s="701"/>
      <c r="D2646" s="811"/>
      <c r="E2646" s="1276">
        <f>[11]building!Y2977</f>
        <v>0</v>
      </c>
      <c r="F2646" s="748">
        <f t="shared" si="280"/>
        <v>0</v>
      </c>
      <c r="G2646" s="1205"/>
      <c r="H2646" s="1055"/>
      <c r="I2646" s="1055"/>
      <c r="J2646" s="1055"/>
      <c r="K2646" s="1205"/>
      <c r="L2646" s="1055"/>
      <c r="M2646" s="1205"/>
      <c r="N2646" s="1054"/>
      <c r="O2646" s="1207"/>
      <c r="Q2646" s="1207"/>
    </row>
    <row r="2647" spans="3:17" s="700" customFormat="1" ht="70.5" hidden="1" customHeight="1">
      <c r="C2647" s="701"/>
      <c r="D2647" s="811"/>
      <c r="E2647" s="1276">
        <f>[11]building!Y2978</f>
        <v>0</v>
      </c>
      <c r="F2647" s="748">
        <f t="shared" si="280"/>
        <v>0</v>
      </c>
      <c r="G2647" s="1205"/>
      <c r="H2647" s="1055"/>
      <c r="I2647" s="1055"/>
      <c r="J2647" s="1055"/>
      <c r="K2647" s="1205"/>
      <c r="L2647" s="1055"/>
      <c r="M2647" s="1205"/>
      <c r="N2647" s="1054"/>
      <c r="O2647" s="1207"/>
      <c r="Q2647" s="1207"/>
    </row>
    <row r="2648" spans="3:17" s="700" customFormat="1" ht="70.5" hidden="1" customHeight="1">
      <c r="C2648" s="701"/>
      <c r="D2648" s="811"/>
      <c r="E2648" s="1276">
        <f>[11]building!Y2979</f>
        <v>0</v>
      </c>
      <c r="F2648" s="748">
        <f t="shared" si="280"/>
        <v>0</v>
      </c>
      <c r="G2648" s="1205"/>
      <c r="H2648" s="1055"/>
      <c r="I2648" s="1055"/>
      <c r="J2648" s="1055"/>
      <c r="K2648" s="1205"/>
      <c r="L2648" s="1055"/>
      <c r="M2648" s="1205"/>
      <c r="N2648" s="1054"/>
      <c r="O2648" s="1207"/>
      <c r="Q2648" s="1207"/>
    </row>
    <row r="2649" spans="3:17" s="700" customFormat="1" ht="70.5" hidden="1" customHeight="1">
      <c r="C2649" s="701"/>
      <c r="D2649" s="811"/>
      <c r="E2649" s="1276">
        <f>[11]building!Y2980</f>
        <v>0</v>
      </c>
      <c r="F2649" s="748">
        <f t="shared" si="280"/>
        <v>0</v>
      </c>
      <c r="G2649" s="1205"/>
      <c r="H2649" s="1055"/>
      <c r="I2649" s="1055"/>
      <c r="J2649" s="1055"/>
      <c r="K2649" s="1205"/>
      <c r="L2649" s="1055"/>
      <c r="M2649" s="1205"/>
      <c r="N2649" s="1054"/>
      <c r="O2649" s="1207"/>
      <c r="Q2649" s="1207"/>
    </row>
    <row r="2650" spans="3:17" s="700" customFormat="1" ht="70.5" hidden="1" customHeight="1">
      <c r="C2650" s="701"/>
      <c r="D2650" s="811"/>
      <c r="E2650" s="1276">
        <f>[11]building!Y2981</f>
        <v>0</v>
      </c>
      <c r="F2650" s="748">
        <f t="shared" si="280"/>
        <v>0</v>
      </c>
      <c r="G2650" s="1205"/>
      <c r="H2650" s="1055"/>
      <c r="I2650" s="1055"/>
      <c r="J2650" s="1055"/>
      <c r="K2650" s="1205"/>
      <c r="L2650" s="1055"/>
      <c r="M2650" s="1205"/>
      <c r="N2650" s="1054"/>
      <c r="O2650" s="1207"/>
      <c r="Q2650" s="1207"/>
    </row>
    <row r="2651" spans="3:17" s="700" customFormat="1" ht="70.5" hidden="1" customHeight="1">
      <c r="C2651" s="701"/>
      <c r="D2651" s="811"/>
      <c r="E2651" s="1276">
        <f>[11]building!Y2982</f>
        <v>0</v>
      </c>
      <c r="F2651" s="748">
        <f t="shared" si="280"/>
        <v>0</v>
      </c>
      <c r="G2651" s="1205"/>
      <c r="H2651" s="1055"/>
      <c r="I2651" s="1055"/>
      <c r="J2651" s="1055"/>
      <c r="K2651" s="1205"/>
      <c r="L2651" s="1055"/>
      <c r="M2651" s="1205"/>
      <c r="N2651" s="1054"/>
      <c r="O2651" s="1207"/>
      <c r="Q2651" s="1207"/>
    </row>
    <row r="2652" spans="3:17" s="700" customFormat="1" ht="70.5" hidden="1" customHeight="1">
      <c r="C2652" s="701"/>
      <c r="D2652" s="811"/>
      <c r="E2652" s="1276">
        <f>[11]building!Y2983</f>
        <v>0</v>
      </c>
      <c r="F2652" s="748">
        <f t="shared" si="280"/>
        <v>0</v>
      </c>
      <c r="G2652" s="1205"/>
      <c r="H2652" s="1055"/>
      <c r="I2652" s="1055"/>
      <c r="J2652" s="1055"/>
      <c r="K2652" s="1205"/>
      <c r="L2652" s="1055"/>
      <c r="M2652" s="1205"/>
      <c r="N2652" s="1054"/>
      <c r="O2652" s="1207"/>
      <c r="Q2652" s="1207"/>
    </row>
    <row r="2653" spans="3:17" s="700" customFormat="1" ht="70.5" hidden="1" customHeight="1">
      <c r="C2653" s="701"/>
      <c r="D2653" s="811"/>
      <c r="E2653" s="1276">
        <f>[11]building!Y2984</f>
        <v>0</v>
      </c>
      <c r="F2653" s="748">
        <f t="shared" si="280"/>
        <v>0</v>
      </c>
      <c r="G2653" s="1205"/>
      <c r="H2653" s="1055"/>
      <c r="I2653" s="1055"/>
      <c r="J2653" s="1055"/>
      <c r="K2653" s="1205"/>
      <c r="L2653" s="1055"/>
      <c r="M2653" s="1205"/>
      <c r="N2653" s="1054"/>
      <c r="O2653" s="1207"/>
      <c r="Q2653" s="1207"/>
    </row>
    <row r="2654" spans="3:17" s="700" customFormat="1" ht="70.5" hidden="1" customHeight="1">
      <c r="C2654" s="701"/>
      <c r="D2654" s="811"/>
      <c r="E2654" s="1276">
        <f>[11]building!Y2985</f>
        <v>0</v>
      </c>
      <c r="F2654" s="748">
        <f t="shared" si="280"/>
        <v>0</v>
      </c>
      <c r="G2654" s="1205"/>
      <c r="H2654" s="1055"/>
      <c r="I2654" s="1055"/>
      <c r="J2654" s="1055"/>
      <c r="K2654" s="1205"/>
      <c r="L2654" s="1055"/>
      <c r="M2654" s="1205"/>
      <c r="N2654" s="1054"/>
      <c r="O2654" s="1207"/>
      <c r="Q2654" s="1207"/>
    </row>
    <row r="2655" spans="3:17" s="700" customFormat="1" ht="70.5" hidden="1" customHeight="1">
      <c r="C2655" s="701"/>
      <c r="D2655" s="811"/>
      <c r="E2655" s="1276">
        <f>[11]building!Y2986</f>
        <v>0</v>
      </c>
      <c r="F2655" s="748">
        <f t="shared" si="280"/>
        <v>0</v>
      </c>
      <c r="G2655" s="1205"/>
      <c r="H2655" s="1055"/>
      <c r="I2655" s="1055"/>
      <c r="J2655" s="1055"/>
      <c r="K2655" s="1205"/>
      <c r="L2655" s="1055"/>
      <c r="M2655" s="1205"/>
      <c r="N2655" s="1054"/>
      <c r="O2655" s="1207"/>
      <c r="Q2655" s="1207"/>
    </row>
    <row r="2656" spans="3:17" s="700" customFormat="1" ht="70.5" hidden="1" customHeight="1">
      <c r="C2656" s="701"/>
      <c r="D2656" s="811"/>
      <c r="E2656" s="1276">
        <f>[11]building!Y2987</f>
        <v>0</v>
      </c>
      <c r="F2656" s="748">
        <f t="shared" si="280"/>
        <v>0</v>
      </c>
      <c r="G2656" s="1205"/>
      <c r="H2656" s="1055"/>
      <c r="I2656" s="1055"/>
      <c r="J2656" s="1055"/>
      <c r="K2656" s="1205"/>
      <c r="L2656" s="1055"/>
      <c r="M2656" s="1205"/>
      <c r="N2656" s="1054"/>
      <c r="O2656" s="1207"/>
      <c r="Q2656" s="1207"/>
    </row>
    <row r="2657" spans="3:17" s="700" customFormat="1" ht="70.5" hidden="1" customHeight="1">
      <c r="C2657" s="701"/>
      <c r="D2657" s="811"/>
      <c r="E2657" s="1276">
        <f>[11]building!Y2988</f>
        <v>0</v>
      </c>
      <c r="F2657" s="748">
        <f t="shared" si="280"/>
        <v>0</v>
      </c>
      <c r="G2657" s="1205"/>
      <c r="H2657" s="1055"/>
      <c r="I2657" s="1055"/>
      <c r="J2657" s="1055"/>
      <c r="K2657" s="1205"/>
      <c r="L2657" s="1055"/>
      <c r="M2657" s="1205"/>
      <c r="N2657" s="1054"/>
      <c r="O2657" s="1207"/>
      <c r="Q2657" s="1207"/>
    </row>
    <row r="2658" spans="3:17" s="700" customFormat="1" ht="70.5" hidden="1" customHeight="1">
      <c r="C2658" s="701"/>
      <c r="D2658" s="811"/>
      <c r="E2658" s="1276">
        <f>[11]building!Y2989</f>
        <v>0</v>
      </c>
      <c r="F2658" s="748">
        <f t="shared" si="280"/>
        <v>0</v>
      </c>
      <c r="G2658" s="1205"/>
      <c r="H2658" s="1055"/>
      <c r="I2658" s="1055"/>
      <c r="J2658" s="1055"/>
      <c r="K2658" s="1205"/>
      <c r="L2658" s="1055"/>
      <c r="M2658" s="1205"/>
      <c r="N2658" s="1054"/>
      <c r="O2658" s="1207"/>
      <c r="Q2658" s="1207"/>
    </row>
    <row r="2659" spans="3:17" s="700" customFormat="1" ht="70.5" hidden="1" customHeight="1">
      <c r="C2659" s="701"/>
      <c r="D2659" s="811"/>
      <c r="E2659" s="1276">
        <f>[11]building!Y2990</f>
        <v>0</v>
      </c>
      <c r="F2659" s="748">
        <f t="shared" si="280"/>
        <v>0</v>
      </c>
      <c r="G2659" s="1205"/>
      <c r="H2659" s="1055"/>
      <c r="I2659" s="1055"/>
      <c r="J2659" s="1055"/>
      <c r="K2659" s="1205"/>
      <c r="L2659" s="1055"/>
      <c r="M2659" s="1205"/>
      <c r="N2659" s="1054"/>
      <c r="O2659" s="1207"/>
      <c r="Q2659" s="1207"/>
    </row>
    <row r="2660" spans="3:17" s="700" customFormat="1" ht="70.5" hidden="1" customHeight="1">
      <c r="C2660" s="701"/>
      <c r="D2660" s="811"/>
      <c r="E2660" s="1276">
        <f>[11]building!Y2991</f>
        <v>0</v>
      </c>
      <c r="F2660" s="748">
        <f t="shared" si="280"/>
        <v>0</v>
      </c>
      <c r="G2660" s="1205"/>
      <c r="H2660" s="1055"/>
      <c r="I2660" s="1055"/>
      <c r="J2660" s="1055"/>
      <c r="K2660" s="1205"/>
      <c r="L2660" s="1055"/>
      <c r="M2660" s="1205"/>
      <c r="N2660" s="1054"/>
      <c r="O2660" s="1207"/>
      <c r="Q2660" s="1207"/>
    </row>
    <row r="2661" spans="3:17" s="700" customFormat="1" ht="70.5" hidden="1" customHeight="1">
      <c r="C2661" s="701"/>
      <c r="D2661" s="811"/>
      <c r="E2661" s="1276">
        <f>[11]building!Y2992</f>
        <v>0</v>
      </c>
      <c r="F2661" s="748">
        <f t="shared" si="280"/>
        <v>0</v>
      </c>
      <c r="G2661" s="1205"/>
      <c r="H2661" s="1055"/>
      <c r="I2661" s="1055"/>
      <c r="J2661" s="1055"/>
      <c r="K2661" s="1205"/>
      <c r="L2661" s="1055"/>
      <c r="M2661" s="1205"/>
      <c r="N2661" s="1054"/>
      <c r="O2661" s="1207"/>
      <c r="Q2661" s="1207"/>
    </row>
    <row r="2662" spans="3:17" s="700" customFormat="1" ht="70.5" hidden="1" customHeight="1">
      <c r="C2662" s="701"/>
      <c r="D2662" s="811"/>
      <c r="E2662" s="1276">
        <f>[11]building!Y2993</f>
        <v>0</v>
      </c>
      <c r="F2662" s="748">
        <f t="shared" si="280"/>
        <v>0</v>
      </c>
      <c r="G2662" s="1205"/>
      <c r="H2662" s="1055"/>
      <c r="I2662" s="1055"/>
      <c r="J2662" s="1055"/>
      <c r="K2662" s="1205"/>
      <c r="L2662" s="1055"/>
      <c r="M2662" s="1205"/>
      <c r="N2662" s="1054"/>
      <c r="O2662" s="1207"/>
      <c r="Q2662" s="1207"/>
    </row>
    <row r="2663" spans="3:17" s="700" customFormat="1" ht="70.5" hidden="1" customHeight="1">
      <c r="C2663" s="701"/>
      <c r="D2663" s="811"/>
      <c r="E2663" s="1276">
        <f>[11]building!Y2994</f>
        <v>0</v>
      </c>
      <c r="F2663" s="748">
        <f t="shared" si="280"/>
        <v>0</v>
      </c>
      <c r="G2663" s="1205"/>
      <c r="H2663" s="1055"/>
      <c r="I2663" s="1055"/>
      <c r="J2663" s="1055"/>
      <c r="K2663" s="1205"/>
      <c r="L2663" s="1055"/>
      <c r="M2663" s="1205"/>
      <c r="N2663" s="1054"/>
      <c r="O2663" s="1207"/>
      <c r="Q2663" s="1207"/>
    </row>
    <row r="2664" spans="3:17" s="700" customFormat="1" ht="70.5" hidden="1" customHeight="1">
      <c r="C2664" s="701"/>
      <c r="D2664" s="811"/>
      <c r="E2664" s="1276">
        <f>[11]building!Y2995</f>
        <v>0</v>
      </c>
      <c r="F2664" s="748">
        <f t="shared" si="280"/>
        <v>0</v>
      </c>
      <c r="G2664" s="1205"/>
      <c r="H2664" s="1055"/>
      <c r="I2664" s="1055"/>
      <c r="J2664" s="1055"/>
      <c r="K2664" s="1205"/>
      <c r="L2664" s="1055"/>
      <c r="M2664" s="1205"/>
      <c r="N2664" s="1054"/>
      <c r="O2664" s="1207"/>
      <c r="Q2664" s="1207"/>
    </row>
    <row r="2665" spans="3:17" s="700" customFormat="1" ht="70.5" hidden="1" customHeight="1">
      <c r="C2665" s="701"/>
      <c r="D2665" s="811"/>
      <c r="E2665" s="1276">
        <f>[11]building!Y2996</f>
        <v>0</v>
      </c>
      <c r="F2665" s="748">
        <f t="shared" si="280"/>
        <v>0</v>
      </c>
      <c r="G2665" s="1205"/>
      <c r="H2665" s="1055"/>
      <c r="I2665" s="1055"/>
      <c r="J2665" s="1055"/>
      <c r="K2665" s="1205"/>
      <c r="L2665" s="1055"/>
      <c r="M2665" s="1205"/>
      <c r="N2665" s="1054"/>
      <c r="O2665" s="1207"/>
      <c r="Q2665" s="1207"/>
    </row>
    <row r="2666" spans="3:17" s="700" customFormat="1" ht="70.5" hidden="1" customHeight="1">
      <c r="C2666" s="701"/>
      <c r="D2666" s="811"/>
      <c r="E2666" s="1276">
        <f>[11]building!Y2997</f>
        <v>0</v>
      </c>
      <c r="F2666" s="748">
        <f t="shared" si="280"/>
        <v>0</v>
      </c>
      <c r="G2666" s="1205"/>
      <c r="H2666" s="1055"/>
      <c r="I2666" s="1055"/>
      <c r="J2666" s="1055"/>
      <c r="K2666" s="1205"/>
      <c r="L2666" s="1055"/>
      <c r="M2666" s="1205"/>
      <c r="N2666" s="1054"/>
      <c r="O2666" s="1207"/>
      <c r="Q2666" s="1207"/>
    </row>
    <row r="2667" spans="3:17" s="700" customFormat="1" ht="70.5" hidden="1" customHeight="1">
      <c r="C2667" s="701"/>
      <c r="D2667" s="811"/>
      <c r="E2667" s="1276">
        <f>[11]building!Y2998</f>
        <v>0</v>
      </c>
      <c r="F2667" s="748">
        <f t="shared" si="280"/>
        <v>0</v>
      </c>
      <c r="G2667" s="1205"/>
      <c r="H2667" s="1055"/>
      <c r="I2667" s="1055"/>
      <c r="J2667" s="1055"/>
      <c r="K2667" s="1205"/>
      <c r="L2667" s="1055"/>
      <c r="M2667" s="1205"/>
      <c r="N2667" s="1054"/>
      <c r="O2667" s="1207"/>
      <c r="Q2667" s="1207"/>
    </row>
    <row r="2668" spans="3:17" s="700" customFormat="1" ht="70.5" hidden="1" customHeight="1">
      <c r="C2668" s="701"/>
      <c r="D2668" s="811"/>
      <c r="E2668" s="1276">
        <f>[11]building!Y2999</f>
        <v>0</v>
      </c>
      <c r="F2668" s="748">
        <f t="shared" si="280"/>
        <v>0</v>
      </c>
      <c r="G2668" s="1205"/>
      <c r="H2668" s="1055"/>
      <c r="I2668" s="1055"/>
      <c r="J2668" s="1055"/>
      <c r="K2668" s="1205"/>
      <c r="L2668" s="1055"/>
      <c r="M2668" s="1205"/>
      <c r="N2668" s="1054"/>
      <c r="O2668" s="1207"/>
      <c r="Q2668" s="1207"/>
    </row>
    <row r="2669" spans="3:17" s="700" customFormat="1" ht="70.5" hidden="1" customHeight="1">
      <c r="C2669" s="701"/>
      <c r="D2669" s="811"/>
      <c r="E2669" s="1276">
        <f>[11]building!Y3000</f>
        <v>0</v>
      </c>
      <c r="F2669" s="748">
        <f t="shared" si="280"/>
        <v>0</v>
      </c>
      <c r="G2669" s="1205"/>
      <c r="H2669" s="1055"/>
      <c r="I2669" s="1055"/>
      <c r="J2669" s="1055"/>
      <c r="K2669" s="1205"/>
      <c r="L2669" s="1055"/>
      <c r="M2669" s="1205"/>
      <c r="N2669" s="1054"/>
      <c r="O2669" s="1207"/>
      <c r="Q2669" s="1207"/>
    </row>
    <row r="2670" spans="3:17" s="700" customFormat="1" ht="70.5" hidden="1" customHeight="1">
      <c r="C2670" s="701"/>
      <c r="D2670" s="811"/>
      <c r="E2670" s="1276">
        <f>[11]building!Y3001</f>
        <v>0</v>
      </c>
      <c r="F2670" s="748">
        <f t="shared" si="280"/>
        <v>0</v>
      </c>
      <c r="G2670" s="1205"/>
      <c r="H2670" s="1055"/>
      <c r="I2670" s="1055"/>
      <c r="J2670" s="1055"/>
      <c r="K2670" s="1205"/>
      <c r="L2670" s="1055"/>
      <c r="M2670" s="1205"/>
      <c r="N2670" s="1054"/>
      <c r="O2670" s="1207"/>
      <c r="Q2670" s="1207"/>
    </row>
    <row r="2671" spans="3:17" s="700" customFormat="1" ht="70.5" hidden="1" customHeight="1">
      <c r="C2671" s="701"/>
      <c r="D2671" s="811"/>
      <c r="E2671" s="1276">
        <f>[11]building!Y3002</f>
        <v>0</v>
      </c>
      <c r="F2671" s="748">
        <f t="shared" si="280"/>
        <v>0</v>
      </c>
      <c r="G2671" s="1205"/>
      <c r="H2671" s="1055"/>
      <c r="I2671" s="1055"/>
      <c r="J2671" s="1055"/>
      <c r="K2671" s="1205"/>
      <c r="L2671" s="1055"/>
      <c r="M2671" s="1205"/>
      <c r="N2671" s="1054"/>
      <c r="O2671" s="1207"/>
      <c r="Q2671" s="1207"/>
    </row>
    <row r="2672" spans="3:17" s="700" customFormat="1" ht="70.5" hidden="1" customHeight="1">
      <c r="C2672" s="701"/>
      <c r="D2672" s="811"/>
      <c r="E2672" s="1276">
        <f>[11]building!Y3003</f>
        <v>0</v>
      </c>
      <c r="F2672" s="748">
        <f t="shared" si="280"/>
        <v>0</v>
      </c>
      <c r="G2672" s="1205"/>
      <c r="H2672" s="1055"/>
      <c r="I2672" s="1055"/>
      <c r="J2672" s="1055"/>
      <c r="K2672" s="1205"/>
      <c r="L2672" s="1055"/>
      <c r="M2672" s="1205"/>
      <c r="N2672" s="1054"/>
      <c r="O2672" s="1207"/>
      <c r="Q2672" s="1207"/>
    </row>
    <row r="2673" spans="3:17" s="700" customFormat="1" ht="70.5" hidden="1" customHeight="1">
      <c r="C2673" s="701"/>
      <c r="D2673" s="811"/>
      <c r="E2673" s="1276">
        <f>[11]building!Y3004</f>
        <v>0</v>
      </c>
      <c r="F2673" s="748">
        <f t="shared" si="280"/>
        <v>0</v>
      </c>
      <c r="G2673" s="1205"/>
      <c r="H2673" s="1055"/>
      <c r="I2673" s="1055"/>
      <c r="J2673" s="1055"/>
      <c r="K2673" s="1205"/>
      <c r="L2673" s="1055"/>
      <c r="M2673" s="1205"/>
      <c r="N2673" s="1054"/>
      <c r="O2673" s="1207"/>
      <c r="Q2673" s="1207"/>
    </row>
    <row r="2674" spans="3:17" s="700" customFormat="1" ht="70.5" hidden="1" customHeight="1">
      <c r="C2674" s="701"/>
      <c r="D2674" s="811"/>
      <c r="E2674" s="1276">
        <f>[11]building!Y3005</f>
        <v>0</v>
      </c>
      <c r="F2674" s="748">
        <f t="shared" si="280"/>
        <v>0</v>
      </c>
      <c r="G2674" s="1205"/>
      <c r="H2674" s="1055"/>
      <c r="I2674" s="1055"/>
      <c r="J2674" s="1055"/>
      <c r="K2674" s="1205"/>
      <c r="L2674" s="1055"/>
      <c r="M2674" s="1205"/>
      <c r="N2674" s="1054"/>
      <c r="O2674" s="1207"/>
      <c r="Q2674" s="1207"/>
    </row>
    <row r="2675" spans="3:17" s="700" customFormat="1" ht="70.5" hidden="1" customHeight="1">
      <c r="C2675" s="701"/>
      <c r="D2675" s="811"/>
      <c r="E2675" s="1276">
        <f>[11]building!Y3006</f>
        <v>0</v>
      </c>
      <c r="F2675" s="748">
        <f t="shared" si="280"/>
        <v>0</v>
      </c>
      <c r="G2675" s="1205"/>
      <c r="H2675" s="1055"/>
      <c r="I2675" s="1055"/>
      <c r="J2675" s="1055"/>
      <c r="K2675" s="1205"/>
      <c r="L2675" s="1055"/>
      <c r="M2675" s="1205"/>
      <c r="N2675" s="1054"/>
      <c r="O2675" s="1207"/>
      <c r="Q2675" s="1207"/>
    </row>
    <row r="2676" spans="3:17" s="700" customFormat="1" ht="70.5" hidden="1" customHeight="1">
      <c r="C2676" s="701"/>
      <c r="D2676" s="811"/>
      <c r="E2676" s="1276">
        <f>[11]building!Y3007</f>
        <v>0</v>
      </c>
      <c r="F2676" s="748">
        <f t="shared" si="280"/>
        <v>0</v>
      </c>
      <c r="G2676" s="1205"/>
      <c r="H2676" s="1055"/>
      <c r="I2676" s="1055"/>
      <c r="J2676" s="1055"/>
      <c r="K2676" s="1205"/>
      <c r="L2676" s="1055"/>
      <c r="M2676" s="1205"/>
      <c r="N2676" s="1054"/>
      <c r="O2676" s="1207"/>
      <c r="Q2676" s="1207"/>
    </row>
    <row r="2677" spans="3:17" s="700" customFormat="1" ht="70.5" hidden="1" customHeight="1">
      <c r="C2677" s="701"/>
      <c r="D2677" s="811"/>
      <c r="E2677" s="1276">
        <f>[11]building!Y3008</f>
        <v>0</v>
      </c>
      <c r="F2677" s="748">
        <f t="shared" si="280"/>
        <v>0</v>
      </c>
      <c r="G2677" s="1205"/>
      <c r="H2677" s="1055"/>
      <c r="I2677" s="1055"/>
      <c r="J2677" s="1055"/>
      <c r="K2677" s="1205"/>
      <c r="L2677" s="1055"/>
      <c r="M2677" s="1205"/>
      <c r="N2677" s="1054"/>
      <c r="O2677" s="1207"/>
      <c r="Q2677" s="1207"/>
    </row>
    <row r="2678" spans="3:17" s="700" customFormat="1" ht="70.5" hidden="1" customHeight="1">
      <c r="C2678" s="701"/>
      <c r="D2678" s="811"/>
      <c r="E2678" s="1276">
        <f>[11]building!Y3009</f>
        <v>0</v>
      </c>
      <c r="F2678" s="748">
        <f t="shared" si="280"/>
        <v>0</v>
      </c>
      <c r="G2678" s="1205"/>
      <c r="H2678" s="1055"/>
      <c r="I2678" s="1055"/>
      <c r="J2678" s="1055"/>
      <c r="K2678" s="1205"/>
      <c r="L2678" s="1055"/>
      <c r="M2678" s="1205"/>
      <c r="N2678" s="1054"/>
      <c r="O2678" s="1207"/>
      <c r="Q2678" s="1207"/>
    </row>
    <row r="2679" spans="3:17" s="700" customFormat="1" ht="70.5" hidden="1" customHeight="1">
      <c r="C2679" s="701"/>
      <c r="D2679" s="811"/>
      <c r="E2679" s="1276">
        <f>[11]building!Y3010</f>
        <v>0</v>
      </c>
      <c r="F2679" s="748">
        <f t="shared" si="280"/>
        <v>0</v>
      </c>
      <c r="G2679" s="1205"/>
      <c r="H2679" s="1055"/>
      <c r="I2679" s="1055"/>
      <c r="J2679" s="1055"/>
      <c r="K2679" s="1205"/>
      <c r="L2679" s="1055"/>
      <c r="M2679" s="1205"/>
      <c r="N2679" s="1054"/>
      <c r="O2679" s="1207"/>
      <c r="Q2679" s="1207"/>
    </row>
    <row r="2680" spans="3:17" s="700" customFormat="1" ht="70.5" hidden="1" customHeight="1">
      <c r="C2680" s="701"/>
      <c r="D2680" s="811"/>
      <c r="E2680" s="1276">
        <f>[11]building!Y3011</f>
        <v>0</v>
      </c>
      <c r="F2680" s="748">
        <f t="shared" si="280"/>
        <v>0</v>
      </c>
      <c r="G2680" s="1205"/>
      <c r="H2680" s="1055"/>
      <c r="I2680" s="1055"/>
      <c r="J2680" s="1055"/>
      <c r="K2680" s="1205"/>
      <c r="L2680" s="1055"/>
      <c r="M2680" s="1205"/>
      <c r="N2680" s="1054"/>
      <c r="O2680" s="1207"/>
      <c r="Q2680" s="1207"/>
    </row>
    <row r="2681" spans="3:17" s="700" customFormat="1" ht="70.5" hidden="1" customHeight="1">
      <c r="C2681" s="701"/>
      <c r="D2681" s="811"/>
      <c r="E2681" s="1276">
        <f>[11]building!Y3012</f>
        <v>0</v>
      </c>
      <c r="F2681" s="748">
        <f t="shared" si="280"/>
        <v>0</v>
      </c>
      <c r="G2681" s="1205"/>
      <c r="H2681" s="1055"/>
      <c r="I2681" s="1055"/>
      <c r="J2681" s="1055"/>
      <c r="K2681" s="1205"/>
      <c r="L2681" s="1055"/>
      <c r="M2681" s="1205"/>
      <c r="N2681" s="1054"/>
      <c r="O2681" s="1207"/>
      <c r="Q2681" s="1207"/>
    </row>
    <row r="2682" spans="3:17" s="700" customFormat="1" ht="70.5" hidden="1" customHeight="1">
      <c r="C2682" s="701"/>
      <c r="D2682" s="811"/>
      <c r="E2682" s="1276">
        <f>[11]building!Y3013</f>
        <v>0</v>
      </c>
      <c r="F2682" s="748">
        <f t="shared" si="280"/>
        <v>0</v>
      </c>
      <c r="G2682" s="1205"/>
      <c r="H2682" s="1055"/>
      <c r="I2682" s="1055"/>
      <c r="J2682" s="1055"/>
      <c r="K2682" s="1205"/>
      <c r="L2682" s="1055"/>
      <c r="M2682" s="1205"/>
      <c r="N2682" s="1054"/>
      <c r="O2682" s="1207"/>
      <c r="Q2682" s="1207"/>
    </row>
    <row r="2683" spans="3:17" s="700" customFormat="1" ht="70.5" hidden="1" customHeight="1">
      <c r="C2683" s="701"/>
      <c r="D2683" s="811"/>
      <c r="E2683" s="1276">
        <f>[11]building!Y3014</f>
        <v>0</v>
      </c>
      <c r="F2683" s="748">
        <f t="shared" si="280"/>
        <v>0</v>
      </c>
      <c r="G2683" s="1205"/>
      <c r="H2683" s="1055"/>
      <c r="I2683" s="1055"/>
      <c r="J2683" s="1055"/>
      <c r="K2683" s="1205"/>
      <c r="L2683" s="1055"/>
      <c r="M2683" s="1205"/>
      <c r="N2683" s="1054"/>
      <c r="O2683" s="1207"/>
      <c r="Q2683" s="1207"/>
    </row>
    <row r="2684" spans="3:17" s="700" customFormat="1" ht="70.5" hidden="1" customHeight="1">
      <c r="C2684" s="701"/>
      <c r="D2684" s="811"/>
      <c r="E2684" s="1276">
        <f>[11]building!Y3015</f>
        <v>0</v>
      </c>
      <c r="F2684" s="748">
        <f t="shared" si="280"/>
        <v>0</v>
      </c>
      <c r="G2684" s="1205"/>
      <c r="H2684" s="1055"/>
      <c r="I2684" s="1055"/>
      <c r="J2684" s="1055"/>
      <c r="K2684" s="1205"/>
      <c r="L2684" s="1055"/>
      <c r="M2684" s="1205"/>
      <c r="N2684" s="1054"/>
      <c r="O2684" s="1207"/>
      <c r="Q2684" s="1207"/>
    </row>
    <row r="2685" spans="3:17" s="700" customFormat="1" ht="70.5" hidden="1" customHeight="1">
      <c r="C2685" s="701"/>
      <c r="D2685" s="811"/>
      <c r="E2685" s="1276">
        <f>[11]building!Y3016</f>
        <v>0</v>
      </c>
      <c r="F2685" s="748">
        <f t="shared" si="280"/>
        <v>0</v>
      </c>
      <c r="G2685" s="1205"/>
      <c r="H2685" s="1055"/>
      <c r="I2685" s="1055"/>
      <c r="J2685" s="1055"/>
      <c r="K2685" s="1205"/>
      <c r="L2685" s="1055"/>
      <c r="M2685" s="1205"/>
      <c r="N2685" s="1054"/>
      <c r="O2685" s="1207"/>
      <c r="Q2685" s="1207"/>
    </row>
    <row r="2686" spans="3:17" s="700" customFormat="1" ht="70.5" hidden="1" customHeight="1">
      <c r="C2686" s="701"/>
      <c r="D2686" s="811"/>
      <c r="E2686" s="1276">
        <f>[11]building!Y3017</f>
        <v>0</v>
      </c>
      <c r="F2686" s="748">
        <f t="shared" si="280"/>
        <v>0</v>
      </c>
      <c r="G2686" s="1205"/>
      <c r="H2686" s="1055"/>
      <c r="I2686" s="1055"/>
      <c r="J2686" s="1055"/>
      <c r="K2686" s="1205"/>
      <c r="L2686" s="1055"/>
      <c r="M2686" s="1205"/>
      <c r="N2686" s="1054"/>
      <c r="O2686" s="1207"/>
      <c r="Q2686" s="1207"/>
    </row>
    <row r="2687" spans="3:17" s="700" customFormat="1" ht="70.5" hidden="1" customHeight="1">
      <c r="C2687" s="701"/>
      <c r="D2687" s="811"/>
      <c r="E2687" s="1276">
        <f>[11]building!Y3018</f>
        <v>0</v>
      </c>
      <c r="F2687" s="748">
        <f t="shared" si="280"/>
        <v>0</v>
      </c>
      <c r="G2687" s="1205"/>
      <c r="H2687" s="1055"/>
      <c r="I2687" s="1055"/>
      <c r="J2687" s="1055"/>
      <c r="K2687" s="1205"/>
      <c r="L2687" s="1055"/>
      <c r="M2687" s="1205"/>
      <c r="N2687" s="1054"/>
      <c r="O2687" s="1207"/>
      <c r="Q2687" s="1207"/>
    </row>
    <row r="2688" spans="3:17" s="700" customFormat="1" ht="70.5" hidden="1" customHeight="1">
      <c r="C2688" s="701"/>
      <c r="D2688" s="811"/>
      <c r="E2688" s="1276">
        <f>[11]building!Y3019</f>
        <v>0</v>
      </c>
      <c r="F2688" s="748">
        <f t="shared" ref="F2688:F2751" si="281">E2688*C2688</f>
        <v>0</v>
      </c>
      <c r="G2688" s="1205"/>
      <c r="H2688" s="1055"/>
      <c r="I2688" s="1055"/>
      <c r="J2688" s="1055"/>
      <c r="K2688" s="1205"/>
      <c r="L2688" s="1055"/>
      <c r="M2688" s="1205"/>
      <c r="N2688" s="1054"/>
      <c r="O2688" s="1207"/>
      <c r="Q2688" s="1207"/>
    </row>
    <row r="2689" spans="3:17" s="700" customFormat="1" ht="70.5" hidden="1" customHeight="1">
      <c r="C2689" s="701"/>
      <c r="D2689" s="811"/>
      <c r="E2689" s="1276">
        <f>[11]building!Y3020</f>
        <v>0</v>
      </c>
      <c r="F2689" s="748">
        <f t="shared" si="281"/>
        <v>0</v>
      </c>
      <c r="G2689" s="1205"/>
      <c r="H2689" s="1055"/>
      <c r="I2689" s="1055"/>
      <c r="J2689" s="1055"/>
      <c r="K2689" s="1205"/>
      <c r="L2689" s="1055"/>
      <c r="M2689" s="1205"/>
      <c r="N2689" s="1054"/>
      <c r="O2689" s="1207"/>
      <c r="Q2689" s="1207"/>
    </row>
    <row r="2690" spans="3:17" s="700" customFormat="1" ht="70.5" hidden="1" customHeight="1">
      <c r="C2690" s="701"/>
      <c r="D2690" s="811"/>
      <c r="E2690" s="1276">
        <f>[11]building!Y3021</f>
        <v>0</v>
      </c>
      <c r="F2690" s="748">
        <f t="shared" si="281"/>
        <v>0</v>
      </c>
      <c r="G2690" s="1205"/>
      <c r="H2690" s="1055"/>
      <c r="I2690" s="1055"/>
      <c r="J2690" s="1055"/>
      <c r="K2690" s="1205"/>
      <c r="L2690" s="1055"/>
      <c r="M2690" s="1205"/>
      <c r="N2690" s="1054"/>
      <c r="O2690" s="1207"/>
      <c r="Q2690" s="1207"/>
    </row>
    <row r="2691" spans="3:17" s="700" customFormat="1" ht="70.5" hidden="1" customHeight="1">
      <c r="C2691" s="701"/>
      <c r="D2691" s="811"/>
      <c r="E2691" s="1276">
        <f>[11]building!Y3022</f>
        <v>0</v>
      </c>
      <c r="F2691" s="748">
        <f t="shared" si="281"/>
        <v>0</v>
      </c>
      <c r="G2691" s="1205"/>
      <c r="H2691" s="1055"/>
      <c r="I2691" s="1055"/>
      <c r="J2691" s="1055"/>
      <c r="K2691" s="1205"/>
      <c r="L2691" s="1055"/>
      <c r="M2691" s="1205"/>
      <c r="N2691" s="1054"/>
      <c r="O2691" s="1207"/>
      <c r="Q2691" s="1207"/>
    </row>
    <row r="2692" spans="3:17" s="700" customFormat="1" ht="70.5" hidden="1" customHeight="1">
      <c r="C2692" s="701"/>
      <c r="D2692" s="811"/>
      <c r="E2692" s="1276">
        <f>[11]building!Y3023</f>
        <v>0</v>
      </c>
      <c r="F2692" s="748">
        <f t="shared" si="281"/>
        <v>0</v>
      </c>
      <c r="G2692" s="1205"/>
      <c r="H2692" s="1055"/>
      <c r="I2692" s="1055"/>
      <c r="J2692" s="1055"/>
      <c r="K2692" s="1205"/>
      <c r="L2692" s="1055"/>
      <c r="M2692" s="1205"/>
      <c r="N2692" s="1054"/>
      <c r="O2692" s="1207"/>
      <c r="Q2692" s="1207"/>
    </row>
    <row r="2693" spans="3:17" s="700" customFormat="1" ht="70.5" hidden="1" customHeight="1">
      <c r="C2693" s="701"/>
      <c r="D2693" s="811"/>
      <c r="E2693" s="1276">
        <f>[11]building!Y3024</f>
        <v>0</v>
      </c>
      <c r="F2693" s="748">
        <f t="shared" si="281"/>
        <v>0</v>
      </c>
      <c r="G2693" s="1205"/>
      <c r="H2693" s="1055"/>
      <c r="I2693" s="1055"/>
      <c r="J2693" s="1055"/>
      <c r="K2693" s="1205"/>
      <c r="L2693" s="1055"/>
      <c r="M2693" s="1205"/>
      <c r="N2693" s="1054"/>
      <c r="O2693" s="1207"/>
      <c r="Q2693" s="1207"/>
    </row>
    <row r="2694" spans="3:17" s="700" customFormat="1" ht="70.5" hidden="1" customHeight="1">
      <c r="C2694" s="701"/>
      <c r="D2694" s="811"/>
      <c r="E2694" s="1276">
        <f>[11]building!Y3025</f>
        <v>0</v>
      </c>
      <c r="F2694" s="748">
        <f t="shared" si="281"/>
        <v>0</v>
      </c>
      <c r="G2694" s="1205"/>
      <c r="H2694" s="1055"/>
      <c r="I2694" s="1055"/>
      <c r="J2694" s="1055"/>
      <c r="K2694" s="1205"/>
      <c r="L2694" s="1055"/>
      <c r="M2694" s="1205"/>
      <c r="N2694" s="1054"/>
      <c r="O2694" s="1207"/>
      <c r="Q2694" s="1207"/>
    </row>
    <row r="2695" spans="3:17" s="700" customFormat="1" ht="70.5" hidden="1" customHeight="1">
      <c r="C2695" s="701"/>
      <c r="D2695" s="811"/>
      <c r="E2695" s="1276">
        <f>[11]building!Y3026</f>
        <v>0</v>
      </c>
      <c r="F2695" s="748">
        <f t="shared" si="281"/>
        <v>0</v>
      </c>
      <c r="G2695" s="1205"/>
      <c r="H2695" s="1055"/>
      <c r="I2695" s="1055"/>
      <c r="J2695" s="1055"/>
      <c r="K2695" s="1205"/>
      <c r="L2695" s="1055"/>
      <c r="M2695" s="1205"/>
      <c r="N2695" s="1054"/>
      <c r="O2695" s="1207"/>
      <c r="Q2695" s="1207"/>
    </row>
    <row r="2696" spans="3:17" s="700" customFormat="1" ht="70.5" hidden="1" customHeight="1">
      <c r="C2696" s="701"/>
      <c r="D2696" s="811"/>
      <c r="E2696" s="1276">
        <f>[11]building!Y3027</f>
        <v>0</v>
      </c>
      <c r="F2696" s="748">
        <f t="shared" si="281"/>
        <v>0</v>
      </c>
      <c r="G2696" s="1205"/>
      <c r="H2696" s="1055"/>
      <c r="I2696" s="1055"/>
      <c r="J2696" s="1055"/>
      <c r="K2696" s="1205"/>
      <c r="L2696" s="1055"/>
      <c r="M2696" s="1205"/>
      <c r="N2696" s="1054"/>
      <c r="O2696" s="1207"/>
      <c r="Q2696" s="1207"/>
    </row>
    <row r="2697" spans="3:17" s="700" customFormat="1" ht="70.5" hidden="1" customHeight="1">
      <c r="C2697" s="701"/>
      <c r="D2697" s="811"/>
      <c r="E2697" s="1276">
        <f>[11]building!Y3028</f>
        <v>0</v>
      </c>
      <c r="F2697" s="748">
        <f t="shared" si="281"/>
        <v>0</v>
      </c>
      <c r="G2697" s="1205"/>
      <c r="H2697" s="1055"/>
      <c r="I2697" s="1055"/>
      <c r="J2697" s="1055"/>
      <c r="K2697" s="1205"/>
      <c r="L2697" s="1055"/>
      <c r="M2697" s="1205"/>
      <c r="N2697" s="1054"/>
      <c r="O2697" s="1207"/>
      <c r="Q2697" s="1207"/>
    </row>
    <row r="2698" spans="3:17" s="700" customFormat="1" ht="70.5" hidden="1" customHeight="1">
      <c r="C2698" s="701"/>
      <c r="D2698" s="811"/>
      <c r="E2698" s="1276">
        <f>[11]building!Y3029</f>
        <v>0</v>
      </c>
      <c r="F2698" s="748">
        <f t="shared" si="281"/>
        <v>0</v>
      </c>
      <c r="G2698" s="1205"/>
      <c r="H2698" s="1055"/>
      <c r="I2698" s="1055"/>
      <c r="J2698" s="1055"/>
      <c r="K2698" s="1205"/>
      <c r="L2698" s="1055"/>
      <c r="M2698" s="1205"/>
      <c r="N2698" s="1054"/>
      <c r="O2698" s="1207"/>
      <c r="Q2698" s="1207"/>
    </row>
    <row r="2699" spans="3:17" s="700" customFormat="1" ht="70.5" hidden="1" customHeight="1">
      <c r="C2699" s="701"/>
      <c r="D2699" s="811"/>
      <c r="E2699" s="1276">
        <f>[11]building!Y3030</f>
        <v>0</v>
      </c>
      <c r="F2699" s="748">
        <f t="shared" si="281"/>
        <v>0</v>
      </c>
      <c r="G2699" s="1205"/>
      <c r="H2699" s="1055"/>
      <c r="I2699" s="1055"/>
      <c r="J2699" s="1055"/>
      <c r="K2699" s="1205"/>
      <c r="L2699" s="1055"/>
      <c r="M2699" s="1205"/>
      <c r="N2699" s="1054"/>
      <c r="O2699" s="1207"/>
      <c r="Q2699" s="1207"/>
    </row>
    <row r="2700" spans="3:17" s="700" customFormat="1" ht="70.5" hidden="1" customHeight="1">
      <c r="C2700" s="701"/>
      <c r="D2700" s="811"/>
      <c r="E2700" s="1276">
        <f>[11]building!Y3031</f>
        <v>0</v>
      </c>
      <c r="F2700" s="748">
        <f t="shared" si="281"/>
        <v>0</v>
      </c>
      <c r="G2700" s="1205"/>
      <c r="H2700" s="1055"/>
      <c r="I2700" s="1055"/>
      <c r="J2700" s="1055"/>
      <c r="K2700" s="1205"/>
      <c r="L2700" s="1055"/>
      <c r="M2700" s="1205"/>
      <c r="N2700" s="1054"/>
      <c r="O2700" s="1207"/>
      <c r="Q2700" s="1207"/>
    </row>
    <row r="2701" spans="3:17" s="700" customFormat="1" ht="70.5" hidden="1" customHeight="1">
      <c r="C2701" s="701"/>
      <c r="D2701" s="811"/>
      <c r="E2701" s="1276">
        <f>[11]building!Y3032</f>
        <v>0</v>
      </c>
      <c r="F2701" s="748">
        <f t="shared" si="281"/>
        <v>0</v>
      </c>
      <c r="G2701" s="1205"/>
      <c r="H2701" s="1055"/>
      <c r="I2701" s="1055"/>
      <c r="J2701" s="1055"/>
      <c r="K2701" s="1205"/>
      <c r="L2701" s="1055"/>
      <c r="M2701" s="1205"/>
      <c r="N2701" s="1054"/>
      <c r="O2701" s="1207"/>
      <c r="Q2701" s="1207"/>
    </row>
    <row r="2702" spans="3:17" s="700" customFormat="1" ht="70.5" hidden="1" customHeight="1">
      <c r="C2702" s="701"/>
      <c r="D2702" s="811"/>
      <c r="E2702" s="1276">
        <f>[11]building!Y3033</f>
        <v>0</v>
      </c>
      <c r="F2702" s="748">
        <f t="shared" si="281"/>
        <v>0</v>
      </c>
      <c r="G2702" s="1205"/>
      <c r="H2702" s="1055"/>
      <c r="I2702" s="1055"/>
      <c r="J2702" s="1055"/>
      <c r="K2702" s="1205"/>
      <c r="L2702" s="1055"/>
      <c r="M2702" s="1205"/>
      <c r="N2702" s="1054"/>
      <c r="O2702" s="1207"/>
      <c r="Q2702" s="1207"/>
    </row>
    <row r="2703" spans="3:17" s="700" customFormat="1" ht="70.5" hidden="1" customHeight="1">
      <c r="C2703" s="701"/>
      <c r="D2703" s="811"/>
      <c r="E2703" s="1276">
        <f>[11]building!Y3034</f>
        <v>0</v>
      </c>
      <c r="F2703" s="748">
        <f t="shared" si="281"/>
        <v>0</v>
      </c>
      <c r="G2703" s="1205"/>
      <c r="H2703" s="1055"/>
      <c r="I2703" s="1055"/>
      <c r="J2703" s="1055"/>
      <c r="K2703" s="1205"/>
      <c r="L2703" s="1055"/>
      <c r="M2703" s="1205"/>
      <c r="N2703" s="1054"/>
      <c r="O2703" s="1207"/>
      <c r="Q2703" s="1207"/>
    </row>
    <row r="2704" spans="3:17" s="700" customFormat="1" ht="70.5" hidden="1" customHeight="1">
      <c r="C2704" s="701"/>
      <c r="D2704" s="811"/>
      <c r="E2704" s="1276">
        <f>[11]building!Y3035</f>
        <v>0</v>
      </c>
      <c r="F2704" s="748">
        <f t="shared" si="281"/>
        <v>0</v>
      </c>
      <c r="G2704" s="1205"/>
      <c r="H2704" s="1055"/>
      <c r="I2704" s="1055"/>
      <c r="J2704" s="1055"/>
      <c r="K2704" s="1205"/>
      <c r="L2704" s="1055"/>
      <c r="M2704" s="1205"/>
      <c r="N2704" s="1054"/>
      <c r="O2704" s="1207"/>
      <c r="Q2704" s="1207"/>
    </row>
    <row r="2705" spans="3:17" s="700" customFormat="1" ht="70.5" hidden="1" customHeight="1">
      <c r="C2705" s="701"/>
      <c r="D2705" s="811"/>
      <c r="E2705" s="1276">
        <f>[11]building!Y3036</f>
        <v>0</v>
      </c>
      <c r="F2705" s="748">
        <f t="shared" si="281"/>
        <v>0</v>
      </c>
      <c r="G2705" s="1205"/>
      <c r="H2705" s="1055"/>
      <c r="I2705" s="1055"/>
      <c r="J2705" s="1055"/>
      <c r="K2705" s="1205"/>
      <c r="L2705" s="1055"/>
      <c r="M2705" s="1205"/>
      <c r="N2705" s="1054"/>
      <c r="O2705" s="1207"/>
      <c r="Q2705" s="1207"/>
    </row>
    <row r="2706" spans="3:17" s="700" customFormat="1" ht="70.5" hidden="1" customHeight="1">
      <c r="C2706" s="701"/>
      <c r="D2706" s="811"/>
      <c r="E2706" s="1276">
        <f>[11]building!Y3037</f>
        <v>0</v>
      </c>
      <c r="F2706" s="748">
        <f t="shared" si="281"/>
        <v>0</v>
      </c>
      <c r="G2706" s="1205"/>
      <c r="H2706" s="1055"/>
      <c r="I2706" s="1055"/>
      <c r="J2706" s="1055"/>
      <c r="K2706" s="1205"/>
      <c r="L2706" s="1055"/>
      <c r="M2706" s="1205"/>
      <c r="N2706" s="1054"/>
      <c r="O2706" s="1207"/>
      <c r="Q2706" s="1207"/>
    </row>
    <row r="2707" spans="3:17" s="700" customFormat="1" ht="70.5" hidden="1" customHeight="1">
      <c r="C2707" s="701"/>
      <c r="D2707" s="811"/>
      <c r="E2707" s="1276">
        <f>[11]building!Y3038</f>
        <v>0</v>
      </c>
      <c r="F2707" s="748">
        <f t="shared" si="281"/>
        <v>0</v>
      </c>
      <c r="G2707" s="1205"/>
      <c r="H2707" s="1055"/>
      <c r="I2707" s="1055"/>
      <c r="J2707" s="1055"/>
      <c r="K2707" s="1205"/>
      <c r="L2707" s="1055"/>
      <c r="M2707" s="1205"/>
      <c r="N2707" s="1054"/>
      <c r="O2707" s="1207"/>
      <c r="Q2707" s="1207"/>
    </row>
    <row r="2708" spans="3:17" s="700" customFormat="1" ht="70.5" hidden="1" customHeight="1">
      <c r="C2708" s="701"/>
      <c r="D2708" s="811"/>
      <c r="E2708" s="1276">
        <f>[11]building!Y3039</f>
        <v>0</v>
      </c>
      <c r="F2708" s="748">
        <f t="shared" si="281"/>
        <v>0</v>
      </c>
      <c r="G2708" s="1205"/>
      <c r="H2708" s="1055"/>
      <c r="I2708" s="1055"/>
      <c r="J2708" s="1055"/>
      <c r="K2708" s="1205"/>
      <c r="L2708" s="1055"/>
      <c r="M2708" s="1205"/>
      <c r="N2708" s="1054"/>
      <c r="O2708" s="1207"/>
      <c r="Q2708" s="1207"/>
    </row>
    <row r="2709" spans="3:17" s="700" customFormat="1" ht="70.5" hidden="1" customHeight="1">
      <c r="C2709" s="701"/>
      <c r="D2709" s="811"/>
      <c r="E2709" s="1276">
        <f>[11]building!Y3040</f>
        <v>0</v>
      </c>
      <c r="F2709" s="748">
        <f t="shared" si="281"/>
        <v>0</v>
      </c>
      <c r="G2709" s="1205"/>
      <c r="H2709" s="1055"/>
      <c r="I2709" s="1055"/>
      <c r="J2709" s="1055"/>
      <c r="K2709" s="1205"/>
      <c r="L2709" s="1055"/>
      <c r="M2709" s="1205"/>
      <c r="N2709" s="1054"/>
      <c r="O2709" s="1207"/>
      <c r="Q2709" s="1207"/>
    </row>
    <row r="2710" spans="3:17" s="700" customFormat="1" ht="70.5" hidden="1" customHeight="1">
      <c r="C2710" s="701"/>
      <c r="D2710" s="811"/>
      <c r="E2710" s="1276">
        <f>[11]building!Y3041</f>
        <v>0</v>
      </c>
      <c r="F2710" s="748">
        <f t="shared" si="281"/>
        <v>0</v>
      </c>
      <c r="G2710" s="1205"/>
      <c r="H2710" s="1055"/>
      <c r="I2710" s="1055"/>
      <c r="J2710" s="1055"/>
      <c r="K2710" s="1205"/>
      <c r="L2710" s="1055"/>
      <c r="M2710" s="1205"/>
      <c r="N2710" s="1054"/>
      <c r="O2710" s="1207"/>
      <c r="Q2710" s="1207"/>
    </row>
    <row r="2711" spans="3:17" s="700" customFormat="1" ht="70.5" hidden="1" customHeight="1">
      <c r="C2711" s="701"/>
      <c r="D2711" s="811"/>
      <c r="E2711" s="1276">
        <f>[11]building!Y3042</f>
        <v>0</v>
      </c>
      <c r="F2711" s="748">
        <f t="shared" si="281"/>
        <v>0</v>
      </c>
      <c r="G2711" s="1205"/>
      <c r="H2711" s="1055"/>
      <c r="I2711" s="1055"/>
      <c r="J2711" s="1055"/>
      <c r="K2711" s="1205"/>
      <c r="L2711" s="1055"/>
      <c r="M2711" s="1205"/>
      <c r="N2711" s="1054"/>
      <c r="O2711" s="1207"/>
      <c r="Q2711" s="1207"/>
    </row>
    <row r="2712" spans="3:17" s="700" customFormat="1" ht="70.5" hidden="1" customHeight="1">
      <c r="C2712" s="701"/>
      <c r="D2712" s="811"/>
      <c r="E2712" s="1276">
        <f>[11]building!Y3043</f>
        <v>0</v>
      </c>
      <c r="F2712" s="748">
        <f t="shared" si="281"/>
        <v>0</v>
      </c>
      <c r="G2712" s="1205"/>
      <c r="H2712" s="1055"/>
      <c r="I2712" s="1055"/>
      <c r="J2712" s="1055"/>
      <c r="K2712" s="1205"/>
      <c r="L2712" s="1055"/>
      <c r="M2712" s="1205"/>
      <c r="N2712" s="1054"/>
      <c r="O2712" s="1207"/>
      <c r="Q2712" s="1207"/>
    </row>
    <row r="2713" spans="3:17" s="700" customFormat="1" ht="70.5" hidden="1" customHeight="1">
      <c r="C2713" s="701"/>
      <c r="D2713" s="811"/>
      <c r="E2713" s="1276">
        <f>[11]building!Y3044</f>
        <v>0</v>
      </c>
      <c r="F2713" s="748">
        <f t="shared" si="281"/>
        <v>0</v>
      </c>
      <c r="G2713" s="1205"/>
      <c r="H2713" s="1055"/>
      <c r="I2713" s="1055"/>
      <c r="J2713" s="1055"/>
      <c r="K2713" s="1205"/>
      <c r="L2713" s="1055"/>
      <c r="M2713" s="1205"/>
      <c r="N2713" s="1054"/>
      <c r="O2713" s="1207"/>
      <c r="Q2713" s="1207"/>
    </row>
    <row r="2714" spans="3:17" s="700" customFormat="1" ht="70.5" hidden="1" customHeight="1">
      <c r="C2714" s="701"/>
      <c r="D2714" s="811"/>
      <c r="E2714" s="1276">
        <f>[11]building!Y3045</f>
        <v>0</v>
      </c>
      <c r="F2714" s="748">
        <f t="shared" si="281"/>
        <v>0</v>
      </c>
      <c r="G2714" s="1205"/>
      <c r="H2714" s="1055"/>
      <c r="I2714" s="1055"/>
      <c r="J2714" s="1055"/>
      <c r="K2714" s="1205"/>
      <c r="L2714" s="1055"/>
      <c r="M2714" s="1205"/>
      <c r="N2714" s="1054"/>
      <c r="O2714" s="1207"/>
      <c r="Q2714" s="1207"/>
    </row>
    <row r="2715" spans="3:17" s="700" customFormat="1" ht="70.5" hidden="1" customHeight="1">
      <c r="C2715" s="701"/>
      <c r="D2715" s="811"/>
      <c r="E2715" s="1276">
        <f>[11]building!Y3046</f>
        <v>0</v>
      </c>
      <c r="F2715" s="748">
        <f t="shared" si="281"/>
        <v>0</v>
      </c>
      <c r="G2715" s="1205"/>
      <c r="H2715" s="1055"/>
      <c r="I2715" s="1055"/>
      <c r="J2715" s="1055"/>
      <c r="K2715" s="1205"/>
      <c r="L2715" s="1055"/>
      <c r="M2715" s="1205"/>
      <c r="N2715" s="1054"/>
      <c r="O2715" s="1207"/>
      <c r="Q2715" s="1207"/>
    </row>
    <row r="2716" spans="3:17" s="700" customFormat="1" ht="70.5" hidden="1" customHeight="1">
      <c r="C2716" s="701"/>
      <c r="D2716" s="811"/>
      <c r="E2716" s="1276">
        <f>[11]building!Y3047</f>
        <v>0</v>
      </c>
      <c r="F2716" s="748">
        <f t="shared" si="281"/>
        <v>0</v>
      </c>
      <c r="G2716" s="1205"/>
      <c r="H2716" s="1055"/>
      <c r="I2716" s="1055"/>
      <c r="J2716" s="1055"/>
      <c r="K2716" s="1205"/>
      <c r="L2716" s="1055"/>
      <c r="M2716" s="1205"/>
      <c r="N2716" s="1054"/>
      <c r="O2716" s="1207"/>
      <c r="Q2716" s="1207"/>
    </row>
    <row r="2717" spans="3:17" s="700" customFormat="1" ht="70.5" hidden="1" customHeight="1">
      <c r="C2717" s="701"/>
      <c r="D2717" s="811"/>
      <c r="E2717" s="1276">
        <f>[11]building!Y3048</f>
        <v>0</v>
      </c>
      <c r="F2717" s="748">
        <f t="shared" si="281"/>
        <v>0</v>
      </c>
      <c r="G2717" s="1205"/>
      <c r="H2717" s="1055"/>
      <c r="I2717" s="1055"/>
      <c r="J2717" s="1055"/>
      <c r="K2717" s="1205"/>
      <c r="L2717" s="1055"/>
      <c r="M2717" s="1205"/>
      <c r="N2717" s="1054"/>
      <c r="O2717" s="1207"/>
      <c r="Q2717" s="1207"/>
    </row>
    <row r="2718" spans="3:17" s="700" customFormat="1" ht="70.5" hidden="1" customHeight="1">
      <c r="C2718" s="701"/>
      <c r="D2718" s="811"/>
      <c r="E2718" s="1276">
        <f>[11]building!Y3049</f>
        <v>0</v>
      </c>
      <c r="F2718" s="748">
        <f t="shared" si="281"/>
        <v>0</v>
      </c>
      <c r="G2718" s="1205"/>
      <c r="H2718" s="1055"/>
      <c r="I2718" s="1055"/>
      <c r="J2718" s="1055"/>
      <c r="K2718" s="1205"/>
      <c r="L2718" s="1055"/>
      <c r="M2718" s="1205"/>
      <c r="N2718" s="1054"/>
      <c r="O2718" s="1207"/>
      <c r="Q2718" s="1207"/>
    </row>
    <row r="2719" spans="3:17" s="700" customFormat="1" ht="70.5" hidden="1" customHeight="1">
      <c r="C2719" s="701"/>
      <c r="D2719" s="811"/>
      <c r="E2719" s="1276">
        <f>[11]building!Y3050</f>
        <v>0</v>
      </c>
      <c r="F2719" s="748">
        <f t="shared" si="281"/>
        <v>0</v>
      </c>
      <c r="G2719" s="1205"/>
      <c r="H2719" s="1055"/>
      <c r="I2719" s="1055"/>
      <c r="J2719" s="1055"/>
      <c r="K2719" s="1205"/>
      <c r="L2719" s="1055"/>
      <c r="M2719" s="1205"/>
      <c r="N2719" s="1054"/>
      <c r="O2719" s="1207"/>
      <c r="Q2719" s="1207"/>
    </row>
    <row r="2720" spans="3:17" s="700" customFormat="1" ht="70.5" hidden="1" customHeight="1">
      <c r="C2720" s="701"/>
      <c r="D2720" s="811"/>
      <c r="E2720" s="1276">
        <f>[11]building!Y3051</f>
        <v>0</v>
      </c>
      <c r="F2720" s="748">
        <f t="shared" si="281"/>
        <v>0</v>
      </c>
      <c r="G2720" s="1205"/>
      <c r="H2720" s="1055"/>
      <c r="I2720" s="1055"/>
      <c r="J2720" s="1055"/>
      <c r="K2720" s="1205"/>
      <c r="L2720" s="1055"/>
      <c r="M2720" s="1205"/>
      <c r="N2720" s="1054"/>
      <c r="O2720" s="1207"/>
      <c r="Q2720" s="1207"/>
    </row>
    <row r="2721" spans="3:17" s="700" customFormat="1" ht="70.5" hidden="1" customHeight="1">
      <c r="C2721" s="701"/>
      <c r="D2721" s="811"/>
      <c r="E2721" s="1276">
        <f>[11]building!Y3052</f>
        <v>0</v>
      </c>
      <c r="F2721" s="748">
        <f t="shared" si="281"/>
        <v>0</v>
      </c>
      <c r="G2721" s="1205"/>
      <c r="H2721" s="1055"/>
      <c r="I2721" s="1055"/>
      <c r="J2721" s="1055"/>
      <c r="K2721" s="1205"/>
      <c r="L2721" s="1055"/>
      <c r="M2721" s="1205"/>
      <c r="N2721" s="1054"/>
      <c r="O2721" s="1207"/>
      <c r="Q2721" s="1207"/>
    </row>
    <row r="2722" spans="3:17" s="700" customFormat="1" ht="70.5" hidden="1" customHeight="1">
      <c r="C2722" s="701"/>
      <c r="D2722" s="811"/>
      <c r="E2722" s="1276">
        <f>[11]building!Y3053</f>
        <v>0</v>
      </c>
      <c r="F2722" s="748">
        <f t="shared" si="281"/>
        <v>0</v>
      </c>
      <c r="G2722" s="1205"/>
      <c r="H2722" s="1055"/>
      <c r="I2722" s="1055"/>
      <c r="J2722" s="1055"/>
      <c r="K2722" s="1205"/>
      <c r="L2722" s="1055"/>
      <c r="M2722" s="1205"/>
      <c r="N2722" s="1054"/>
      <c r="O2722" s="1207"/>
      <c r="Q2722" s="1207"/>
    </row>
    <row r="2723" spans="3:17" s="700" customFormat="1" ht="70.5" hidden="1" customHeight="1">
      <c r="C2723" s="701"/>
      <c r="D2723" s="811"/>
      <c r="E2723" s="1276">
        <f>[11]building!Y3054</f>
        <v>0</v>
      </c>
      <c r="F2723" s="748">
        <f t="shared" si="281"/>
        <v>0</v>
      </c>
      <c r="G2723" s="1205"/>
      <c r="H2723" s="1055"/>
      <c r="I2723" s="1055"/>
      <c r="J2723" s="1055"/>
      <c r="K2723" s="1205"/>
      <c r="L2723" s="1055"/>
      <c r="M2723" s="1205"/>
      <c r="N2723" s="1054"/>
      <c r="O2723" s="1207"/>
      <c r="Q2723" s="1207"/>
    </row>
    <row r="2724" spans="3:17" s="700" customFormat="1" ht="70.5" hidden="1" customHeight="1">
      <c r="C2724" s="701"/>
      <c r="D2724" s="811"/>
      <c r="E2724" s="1276">
        <f>[11]building!Y3055</f>
        <v>0</v>
      </c>
      <c r="F2724" s="748">
        <f t="shared" si="281"/>
        <v>0</v>
      </c>
      <c r="G2724" s="1205"/>
      <c r="H2724" s="1055"/>
      <c r="I2724" s="1055"/>
      <c r="J2724" s="1055"/>
      <c r="K2724" s="1205"/>
      <c r="L2724" s="1055"/>
      <c r="M2724" s="1205"/>
      <c r="N2724" s="1054"/>
      <c r="O2724" s="1207"/>
      <c r="Q2724" s="1207"/>
    </row>
    <row r="2725" spans="3:17" s="700" customFormat="1" ht="70.5" hidden="1" customHeight="1">
      <c r="C2725" s="701"/>
      <c r="D2725" s="811"/>
      <c r="E2725" s="1276">
        <f>[11]building!Y3056</f>
        <v>0</v>
      </c>
      <c r="F2725" s="748">
        <f t="shared" si="281"/>
        <v>0</v>
      </c>
      <c r="G2725" s="1205"/>
      <c r="H2725" s="1055"/>
      <c r="I2725" s="1055"/>
      <c r="J2725" s="1055"/>
      <c r="K2725" s="1205"/>
      <c r="L2725" s="1055"/>
      <c r="M2725" s="1205"/>
      <c r="N2725" s="1054"/>
      <c r="O2725" s="1207"/>
      <c r="Q2725" s="1207"/>
    </row>
    <row r="2726" spans="3:17" s="700" customFormat="1" ht="70.5" hidden="1" customHeight="1">
      <c r="C2726" s="701"/>
      <c r="D2726" s="811"/>
      <c r="E2726" s="1276">
        <f>[11]building!Y3057</f>
        <v>0</v>
      </c>
      <c r="F2726" s="748">
        <f t="shared" si="281"/>
        <v>0</v>
      </c>
      <c r="G2726" s="1205"/>
      <c r="H2726" s="1055"/>
      <c r="I2726" s="1055"/>
      <c r="J2726" s="1055"/>
      <c r="K2726" s="1205"/>
      <c r="L2726" s="1055"/>
      <c r="M2726" s="1205"/>
      <c r="N2726" s="1054"/>
      <c r="O2726" s="1207"/>
      <c r="Q2726" s="1207"/>
    </row>
    <row r="2727" spans="3:17" s="700" customFormat="1" ht="70.5" hidden="1" customHeight="1">
      <c r="C2727" s="701"/>
      <c r="D2727" s="811"/>
      <c r="E2727" s="1276">
        <f>[11]building!Y3058</f>
        <v>0</v>
      </c>
      <c r="F2727" s="748">
        <f t="shared" si="281"/>
        <v>0</v>
      </c>
      <c r="G2727" s="1205"/>
      <c r="H2727" s="1055"/>
      <c r="I2727" s="1055"/>
      <c r="J2727" s="1055"/>
      <c r="K2727" s="1205"/>
      <c r="L2727" s="1055"/>
      <c r="M2727" s="1205"/>
      <c r="N2727" s="1054"/>
      <c r="O2727" s="1207"/>
      <c r="Q2727" s="1207"/>
    </row>
    <row r="2728" spans="3:17" s="700" customFormat="1" ht="70.5" hidden="1" customHeight="1">
      <c r="C2728" s="701"/>
      <c r="D2728" s="811"/>
      <c r="E2728" s="1276">
        <f>[11]building!Y3059</f>
        <v>0</v>
      </c>
      <c r="F2728" s="748">
        <f t="shared" si="281"/>
        <v>0</v>
      </c>
      <c r="G2728" s="1205"/>
      <c r="H2728" s="1055"/>
      <c r="I2728" s="1055"/>
      <c r="J2728" s="1055"/>
      <c r="K2728" s="1205"/>
      <c r="L2728" s="1055"/>
      <c r="M2728" s="1205"/>
      <c r="N2728" s="1054"/>
      <c r="O2728" s="1207"/>
      <c r="Q2728" s="1207"/>
    </row>
    <row r="2729" spans="3:17" s="700" customFormat="1" ht="70.5" hidden="1" customHeight="1">
      <c r="C2729" s="701"/>
      <c r="D2729" s="811"/>
      <c r="E2729" s="1276">
        <f>[11]building!Y3060</f>
        <v>0</v>
      </c>
      <c r="F2729" s="748">
        <f t="shared" si="281"/>
        <v>0</v>
      </c>
      <c r="G2729" s="1205"/>
      <c r="H2729" s="1055"/>
      <c r="I2729" s="1055"/>
      <c r="J2729" s="1055"/>
      <c r="K2729" s="1205"/>
      <c r="L2729" s="1055"/>
      <c r="M2729" s="1205"/>
      <c r="N2729" s="1054"/>
      <c r="O2729" s="1207"/>
      <c r="Q2729" s="1207"/>
    </row>
    <row r="2730" spans="3:17" s="700" customFormat="1" ht="70.5" hidden="1" customHeight="1">
      <c r="C2730" s="701"/>
      <c r="D2730" s="811"/>
      <c r="E2730" s="1276">
        <f>[11]building!Y3061</f>
        <v>0</v>
      </c>
      <c r="F2730" s="748">
        <f t="shared" si="281"/>
        <v>0</v>
      </c>
      <c r="G2730" s="1205"/>
      <c r="H2730" s="1055"/>
      <c r="I2730" s="1055"/>
      <c r="J2730" s="1055"/>
      <c r="K2730" s="1205"/>
      <c r="L2730" s="1055"/>
      <c r="M2730" s="1205"/>
      <c r="N2730" s="1054"/>
      <c r="O2730" s="1207"/>
      <c r="Q2730" s="1207"/>
    </row>
    <row r="2731" spans="3:17" s="700" customFormat="1" ht="70.5" hidden="1" customHeight="1">
      <c r="C2731" s="701"/>
      <c r="D2731" s="811"/>
      <c r="E2731" s="1276">
        <f>[11]building!Y3062</f>
        <v>0</v>
      </c>
      <c r="F2731" s="748">
        <f t="shared" si="281"/>
        <v>0</v>
      </c>
      <c r="G2731" s="1205"/>
      <c r="H2731" s="1055"/>
      <c r="I2731" s="1055"/>
      <c r="J2731" s="1055"/>
      <c r="K2731" s="1205"/>
      <c r="L2731" s="1055"/>
      <c r="M2731" s="1205"/>
      <c r="N2731" s="1054"/>
      <c r="O2731" s="1207"/>
      <c r="Q2731" s="1207"/>
    </row>
    <row r="2732" spans="3:17" s="700" customFormat="1" ht="70.5" hidden="1" customHeight="1">
      <c r="C2732" s="701"/>
      <c r="D2732" s="811"/>
      <c r="E2732" s="1276">
        <f>[11]building!Y3063</f>
        <v>0</v>
      </c>
      <c r="F2732" s="748">
        <f t="shared" si="281"/>
        <v>0</v>
      </c>
      <c r="G2732" s="1205"/>
      <c r="H2732" s="1055"/>
      <c r="I2732" s="1055"/>
      <c r="J2732" s="1055"/>
      <c r="K2732" s="1205"/>
      <c r="L2732" s="1055"/>
      <c r="M2732" s="1205"/>
      <c r="N2732" s="1054"/>
      <c r="O2732" s="1207"/>
      <c r="Q2732" s="1207"/>
    </row>
    <row r="2733" spans="3:17" s="700" customFormat="1" ht="70.5" hidden="1" customHeight="1">
      <c r="C2733" s="701"/>
      <c r="D2733" s="811"/>
      <c r="E2733" s="1276">
        <f>[11]building!Y3064</f>
        <v>0</v>
      </c>
      <c r="F2733" s="748">
        <f t="shared" si="281"/>
        <v>0</v>
      </c>
      <c r="G2733" s="1205"/>
      <c r="H2733" s="1055"/>
      <c r="I2733" s="1055"/>
      <c r="J2733" s="1055"/>
      <c r="K2733" s="1205"/>
      <c r="L2733" s="1055"/>
      <c r="M2733" s="1205"/>
      <c r="N2733" s="1054"/>
      <c r="O2733" s="1207"/>
      <c r="Q2733" s="1207"/>
    </row>
    <row r="2734" spans="3:17" s="700" customFormat="1" ht="70.5" hidden="1" customHeight="1">
      <c r="C2734" s="701"/>
      <c r="D2734" s="811"/>
      <c r="E2734" s="1276">
        <f>[11]building!Y3065</f>
        <v>0</v>
      </c>
      <c r="F2734" s="748">
        <f t="shared" si="281"/>
        <v>0</v>
      </c>
      <c r="G2734" s="1205"/>
      <c r="H2734" s="1055"/>
      <c r="I2734" s="1055"/>
      <c r="J2734" s="1055"/>
      <c r="K2734" s="1205"/>
      <c r="L2734" s="1055"/>
      <c r="M2734" s="1205"/>
      <c r="N2734" s="1054"/>
      <c r="O2734" s="1207"/>
      <c r="Q2734" s="1207"/>
    </row>
    <row r="2735" spans="3:17" s="700" customFormat="1" ht="70.5" hidden="1" customHeight="1">
      <c r="C2735" s="701"/>
      <c r="D2735" s="811"/>
      <c r="E2735" s="1276">
        <f>[11]building!Y3066</f>
        <v>0</v>
      </c>
      <c r="F2735" s="748">
        <f t="shared" si="281"/>
        <v>0</v>
      </c>
      <c r="G2735" s="1205"/>
      <c r="H2735" s="1055"/>
      <c r="I2735" s="1055"/>
      <c r="J2735" s="1055"/>
      <c r="K2735" s="1205"/>
      <c r="L2735" s="1055"/>
      <c r="M2735" s="1205"/>
      <c r="N2735" s="1054"/>
      <c r="O2735" s="1207"/>
      <c r="Q2735" s="1207"/>
    </row>
    <row r="2736" spans="3:17" s="700" customFormat="1" ht="70.5" hidden="1" customHeight="1">
      <c r="C2736" s="701"/>
      <c r="D2736" s="811"/>
      <c r="E2736" s="1276">
        <f>[11]building!Y3067</f>
        <v>0</v>
      </c>
      <c r="F2736" s="748">
        <f t="shared" si="281"/>
        <v>0</v>
      </c>
      <c r="G2736" s="1205"/>
      <c r="H2736" s="1055"/>
      <c r="I2736" s="1055"/>
      <c r="J2736" s="1055"/>
      <c r="K2736" s="1205"/>
      <c r="L2736" s="1055"/>
      <c r="M2736" s="1205"/>
      <c r="N2736" s="1054"/>
      <c r="O2736" s="1207"/>
      <c r="Q2736" s="1207"/>
    </row>
    <row r="2737" spans="3:17" s="700" customFormat="1" ht="70.5" hidden="1" customHeight="1">
      <c r="C2737" s="701"/>
      <c r="D2737" s="811"/>
      <c r="E2737" s="1276">
        <f>[11]building!Y3068</f>
        <v>0</v>
      </c>
      <c r="F2737" s="748">
        <f t="shared" si="281"/>
        <v>0</v>
      </c>
      <c r="G2737" s="1205"/>
      <c r="H2737" s="1055"/>
      <c r="I2737" s="1055"/>
      <c r="J2737" s="1055"/>
      <c r="K2737" s="1205"/>
      <c r="L2737" s="1055"/>
      <c r="M2737" s="1205"/>
      <c r="N2737" s="1054"/>
      <c r="O2737" s="1207"/>
      <c r="Q2737" s="1207"/>
    </row>
    <row r="2738" spans="3:17" s="700" customFormat="1" ht="70.5" hidden="1" customHeight="1">
      <c r="C2738" s="701"/>
      <c r="D2738" s="811"/>
      <c r="E2738" s="1276">
        <f>[11]building!Y3069</f>
        <v>0</v>
      </c>
      <c r="F2738" s="748">
        <f t="shared" si="281"/>
        <v>0</v>
      </c>
      <c r="G2738" s="1205"/>
      <c r="H2738" s="1055"/>
      <c r="I2738" s="1055"/>
      <c r="J2738" s="1055"/>
      <c r="K2738" s="1205"/>
      <c r="L2738" s="1055"/>
      <c r="M2738" s="1205"/>
      <c r="N2738" s="1054"/>
      <c r="O2738" s="1207"/>
      <c r="Q2738" s="1207"/>
    </row>
    <row r="2739" spans="3:17" s="700" customFormat="1" ht="70.5" hidden="1" customHeight="1">
      <c r="C2739" s="701"/>
      <c r="D2739" s="811"/>
      <c r="E2739" s="1276">
        <f>[11]building!Y3070</f>
        <v>0</v>
      </c>
      <c r="F2739" s="748">
        <f t="shared" si="281"/>
        <v>0</v>
      </c>
      <c r="G2739" s="1205"/>
      <c r="H2739" s="1055"/>
      <c r="I2739" s="1055"/>
      <c r="J2739" s="1055"/>
      <c r="K2739" s="1205"/>
      <c r="L2739" s="1055"/>
      <c r="M2739" s="1205"/>
      <c r="N2739" s="1054"/>
      <c r="O2739" s="1207"/>
      <c r="Q2739" s="1207"/>
    </row>
    <row r="2740" spans="3:17" s="700" customFormat="1" ht="70.5" hidden="1" customHeight="1">
      <c r="C2740" s="701"/>
      <c r="D2740" s="811"/>
      <c r="E2740" s="1276">
        <f>[11]building!Y3071</f>
        <v>0</v>
      </c>
      <c r="F2740" s="748">
        <f t="shared" si="281"/>
        <v>0</v>
      </c>
      <c r="G2740" s="1205"/>
      <c r="H2740" s="1055"/>
      <c r="I2740" s="1055"/>
      <c r="J2740" s="1055"/>
      <c r="K2740" s="1205"/>
      <c r="L2740" s="1055"/>
      <c r="M2740" s="1205"/>
      <c r="N2740" s="1054"/>
      <c r="O2740" s="1207"/>
      <c r="Q2740" s="1207"/>
    </row>
    <row r="2741" spans="3:17" s="700" customFormat="1" ht="70.5" hidden="1" customHeight="1">
      <c r="C2741" s="701"/>
      <c r="D2741" s="811"/>
      <c r="E2741" s="1276">
        <f>[11]building!Y3072</f>
        <v>0</v>
      </c>
      <c r="F2741" s="748">
        <f t="shared" si="281"/>
        <v>0</v>
      </c>
      <c r="G2741" s="1205"/>
      <c r="H2741" s="1055"/>
      <c r="I2741" s="1055"/>
      <c r="J2741" s="1055"/>
      <c r="K2741" s="1205"/>
      <c r="L2741" s="1055"/>
      <c r="M2741" s="1205"/>
      <c r="N2741" s="1054"/>
      <c r="O2741" s="1207"/>
      <c r="Q2741" s="1207"/>
    </row>
    <row r="2742" spans="3:17" s="700" customFormat="1" ht="70.5" hidden="1" customHeight="1">
      <c r="C2742" s="701"/>
      <c r="D2742" s="811"/>
      <c r="E2742" s="1276">
        <f>[11]building!Y3073</f>
        <v>0</v>
      </c>
      <c r="F2742" s="748">
        <f t="shared" si="281"/>
        <v>0</v>
      </c>
      <c r="G2742" s="1205"/>
      <c r="H2742" s="1055"/>
      <c r="I2742" s="1055"/>
      <c r="J2742" s="1055"/>
      <c r="K2742" s="1205"/>
      <c r="L2742" s="1055"/>
      <c r="M2742" s="1205"/>
      <c r="N2742" s="1054"/>
      <c r="O2742" s="1207"/>
      <c r="Q2742" s="1207"/>
    </row>
    <row r="2743" spans="3:17" s="700" customFormat="1" ht="70.5" hidden="1" customHeight="1">
      <c r="C2743" s="701"/>
      <c r="D2743" s="811"/>
      <c r="E2743" s="1276">
        <f>[11]building!Y3074</f>
        <v>0</v>
      </c>
      <c r="F2743" s="748">
        <f t="shared" si="281"/>
        <v>0</v>
      </c>
      <c r="G2743" s="1205"/>
      <c r="H2743" s="1055"/>
      <c r="I2743" s="1055"/>
      <c r="J2743" s="1055"/>
      <c r="K2743" s="1205"/>
      <c r="L2743" s="1055"/>
      <c r="M2743" s="1205"/>
      <c r="N2743" s="1054"/>
      <c r="O2743" s="1207"/>
      <c r="Q2743" s="1207"/>
    </row>
    <row r="2744" spans="3:17" s="700" customFormat="1" ht="70.5" hidden="1" customHeight="1">
      <c r="C2744" s="701"/>
      <c r="D2744" s="811"/>
      <c r="E2744" s="1276">
        <f>[11]building!Y3075</f>
        <v>0</v>
      </c>
      <c r="F2744" s="748">
        <f t="shared" si="281"/>
        <v>0</v>
      </c>
      <c r="G2744" s="1205"/>
      <c r="H2744" s="1055"/>
      <c r="I2744" s="1055"/>
      <c r="J2744" s="1055"/>
      <c r="K2744" s="1205"/>
      <c r="L2744" s="1055"/>
      <c r="M2744" s="1205"/>
      <c r="N2744" s="1054"/>
      <c r="O2744" s="1207"/>
      <c r="Q2744" s="1207"/>
    </row>
    <row r="2745" spans="3:17" s="700" customFormat="1" ht="70.5" hidden="1" customHeight="1">
      <c r="C2745" s="701"/>
      <c r="D2745" s="811"/>
      <c r="E2745" s="1276">
        <f>[11]building!Y3076</f>
        <v>0</v>
      </c>
      <c r="F2745" s="748">
        <f t="shared" si="281"/>
        <v>0</v>
      </c>
      <c r="G2745" s="1205"/>
      <c r="H2745" s="1055"/>
      <c r="I2745" s="1055"/>
      <c r="J2745" s="1055"/>
      <c r="K2745" s="1205"/>
      <c r="L2745" s="1055"/>
      <c r="M2745" s="1205"/>
      <c r="N2745" s="1054"/>
      <c r="O2745" s="1207"/>
      <c r="Q2745" s="1207"/>
    </row>
    <row r="2746" spans="3:17" s="700" customFormat="1" ht="70.5" hidden="1" customHeight="1">
      <c r="C2746" s="701"/>
      <c r="D2746" s="811"/>
      <c r="E2746" s="1276">
        <f>[11]building!Y3077</f>
        <v>0</v>
      </c>
      <c r="F2746" s="748">
        <f t="shared" si="281"/>
        <v>0</v>
      </c>
      <c r="G2746" s="1205"/>
      <c r="H2746" s="1055"/>
      <c r="I2746" s="1055"/>
      <c r="J2746" s="1055"/>
      <c r="K2746" s="1205"/>
      <c r="L2746" s="1055"/>
      <c r="M2746" s="1205"/>
      <c r="N2746" s="1054"/>
      <c r="O2746" s="1207"/>
      <c r="Q2746" s="1207"/>
    </row>
    <row r="2747" spans="3:17" s="700" customFormat="1" ht="70.5" hidden="1" customHeight="1">
      <c r="C2747" s="701"/>
      <c r="D2747" s="811"/>
      <c r="E2747" s="1276">
        <f>[11]building!Y3078</f>
        <v>0</v>
      </c>
      <c r="F2747" s="748">
        <f t="shared" si="281"/>
        <v>0</v>
      </c>
      <c r="G2747" s="1205"/>
      <c r="H2747" s="1055"/>
      <c r="I2747" s="1055"/>
      <c r="J2747" s="1055"/>
      <c r="K2747" s="1205"/>
      <c r="L2747" s="1055"/>
      <c r="M2747" s="1205"/>
      <c r="N2747" s="1054"/>
      <c r="O2747" s="1207"/>
      <c r="Q2747" s="1207"/>
    </row>
    <row r="2748" spans="3:17" s="700" customFormat="1" ht="70.5" hidden="1" customHeight="1">
      <c r="C2748" s="701"/>
      <c r="D2748" s="811"/>
      <c r="E2748" s="1276">
        <f>[11]building!Y3079</f>
        <v>0</v>
      </c>
      <c r="F2748" s="748">
        <f t="shared" si="281"/>
        <v>0</v>
      </c>
      <c r="G2748" s="1205"/>
      <c r="H2748" s="1055"/>
      <c r="I2748" s="1055"/>
      <c r="J2748" s="1055"/>
      <c r="K2748" s="1205"/>
      <c r="L2748" s="1055"/>
      <c r="M2748" s="1205"/>
      <c r="N2748" s="1054"/>
      <c r="O2748" s="1207"/>
      <c r="Q2748" s="1207"/>
    </row>
    <row r="2749" spans="3:17" s="700" customFormat="1" ht="70.5" hidden="1" customHeight="1">
      <c r="C2749" s="701"/>
      <c r="D2749" s="811"/>
      <c r="E2749" s="1276">
        <f>[11]building!Y3080</f>
        <v>0</v>
      </c>
      <c r="F2749" s="748">
        <f t="shared" si="281"/>
        <v>0</v>
      </c>
      <c r="G2749" s="1205"/>
      <c r="H2749" s="1055"/>
      <c r="I2749" s="1055"/>
      <c r="J2749" s="1055"/>
      <c r="K2749" s="1205"/>
      <c r="L2749" s="1055"/>
      <c r="M2749" s="1205"/>
      <c r="N2749" s="1054"/>
      <c r="O2749" s="1207"/>
      <c r="Q2749" s="1207"/>
    </row>
    <row r="2750" spans="3:17" s="700" customFormat="1" ht="70.5" hidden="1" customHeight="1">
      <c r="C2750" s="701"/>
      <c r="D2750" s="811"/>
      <c r="E2750" s="1276">
        <f>[11]building!Y3081</f>
        <v>0</v>
      </c>
      <c r="F2750" s="748">
        <f t="shared" si="281"/>
        <v>0</v>
      </c>
      <c r="G2750" s="1205"/>
      <c r="H2750" s="1055"/>
      <c r="I2750" s="1055"/>
      <c r="J2750" s="1055"/>
      <c r="K2750" s="1205"/>
      <c r="L2750" s="1055"/>
      <c r="M2750" s="1205"/>
      <c r="N2750" s="1054"/>
      <c r="O2750" s="1207"/>
      <c r="Q2750" s="1207"/>
    </row>
    <row r="2751" spans="3:17" s="700" customFormat="1" ht="70.5" hidden="1" customHeight="1">
      <c r="C2751" s="701"/>
      <c r="D2751" s="811"/>
      <c r="E2751" s="1276">
        <f>[11]building!Y3082</f>
        <v>0</v>
      </c>
      <c r="F2751" s="748">
        <f t="shared" si="281"/>
        <v>0</v>
      </c>
      <c r="G2751" s="1205"/>
      <c r="H2751" s="1055"/>
      <c r="I2751" s="1055"/>
      <c r="J2751" s="1055"/>
      <c r="K2751" s="1205"/>
      <c r="L2751" s="1055"/>
      <c r="M2751" s="1205"/>
      <c r="N2751" s="1054"/>
      <c r="O2751" s="1207"/>
      <c r="Q2751" s="1207"/>
    </row>
    <row r="2752" spans="3:17" s="700" customFormat="1" ht="70.5" hidden="1" customHeight="1">
      <c r="C2752" s="701"/>
      <c r="D2752" s="811"/>
      <c r="E2752" s="1276">
        <f>[11]building!Y3083</f>
        <v>0</v>
      </c>
      <c r="F2752" s="748">
        <f t="shared" ref="F2752:F2815" si="282">E2752*C2752</f>
        <v>0</v>
      </c>
      <c r="G2752" s="1205"/>
      <c r="H2752" s="1055"/>
      <c r="I2752" s="1055"/>
      <c r="J2752" s="1055"/>
      <c r="K2752" s="1205"/>
      <c r="L2752" s="1055"/>
      <c r="M2752" s="1205"/>
      <c r="N2752" s="1054"/>
      <c r="O2752" s="1207"/>
      <c r="Q2752" s="1207"/>
    </row>
    <row r="2753" spans="3:17" s="700" customFormat="1" ht="70.5" hidden="1" customHeight="1">
      <c r="C2753" s="701"/>
      <c r="D2753" s="811"/>
      <c r="E2753" s="1276">
        <f>[11]building!Y3084</f>
        <v>0</v>
      </c>
      <c r="F2753" s="748">
        <f t="shared" si="282"/>
        <v>0</v>
      </c>
      <c r="G2753" s="1205"/>
      <c r="H2753" s="1055"/>
      <c r="I2753" s="1055"/>
      <c r="J2753" s="1055"/>
      <c r="K2753" s="1205"/>
      <c r="L2753" s="1055"/>
      <c r="M2753" s="1205"/>
      <c r="N2753" s="1054"/>
      <c r="O2753" s="1207"/>
      <c r="Q2753" s="1207"/>
    </row>
    <row r="2754" spans="3:17" s="700" customFormat="1" ht="70.5" hidden="1" customHeight="1">
      <c r="C2754" s="701"/>
      <c r="D2754" s="811"/>
      <c r="E2754" s="1276">
        <f>[11]building!Y3085</f>
        <v>0</v>
      </c>
      <c r="F2754" s="748">
        <f t="shared" si="282"/>
        <v>0</v>
      </c>
      <c r="G2754" s="1205"/>
      <c r="H2754" s="1055"/>
      <c r="I2754" s="1055"/>
      <c r="J2754" s="1055"/>
      <c r="K2754" s="1205"/>
      <c r="L2754" s="1055"/>
      <c r="M2754" s="1205"/>
      <c r="N2754" s="1054"/>
      <c r="O2754" s="1207"/>
      <c r="Q2754" s="1207"/>
    </row>
    <row r="2755" spans="3:17" s="700" customFormat="1" ht="70.5" hidden="1" customHeight="1">
      <c r="C2755" s="701"/>
      <c r="D2755" s="811"/>
      <c r="E2755" s="1276">
        <f>[11]building!Y3086</f>
        <v>0</v>
      </c>
      <c r="F2755" s="748">
        <f t="shared" si="282"/>
        <v>0</v>
      </c>
      <c r="G2755" s="1205"/>
      <c r="H2755" s="1055"/>
      <c r="I2755" s="1055"/>
      <c r="J2755" s="1055"/>
      <c r="K2755" s="1205"/>
      <c r="L2755" s="1055"/>
      <c r="M2755" s="1205"/>
      <c r="N2755" s="1054"/>
      <c r="O2755" s="1207"/>
      <c r="Q2755" s="1207"/>
    </row>
    <row r="2756" spans="3:17" s="700" customFormat="1" ht="70.5" hidden="1" customHeight="1">
      <c r="C2756" s="701"/>
      <c r="D2756" s="811"/>
      <c r="E2756" s="1276">
        <f>[11]building!Y3087</f>
        <v>0</v>
      </c>
      <c r="F2756" s="748">
        <f t="shared" si="282"/>
        <v>0</v>
      </c>
      <c r="G2756" s="1205"/>
      <c r="H2756" s="1055"/>
      <c r="I2756" s="1055"/>
      <c r="J2756" s="1055"/>
      <c r="K2756" s="1205"/>
      <c r="L2756" s="1055"/>
      <c r="M2756" s="1205"/>
      <c r="N2756" s="1054"/>
      <c r="O2756" s="1207"/>
      <c r="Q2756" s="1207"/>
    </row>
    <row r="2757" spans="3:17" s="700" customFormat="1" ht="70.5" hidden="1" customHeight="1">
      <c r="C2757" s="701"/>
      <c r="D2757" s="811"/>
      <c r="E2757" s="1276">
        <f>[11]building!Y3088</f>
        <v>0</v>
      </c>
      <c r="F2757" s="748">
        <f t="shared" si="282"/>
        <v>0</v>
      </c>
      <c r="G2757" s="1205"/>
      <c r="H2757" s="1055"/>
      <c r="I2757" s="1055"/>
      <c r="J2757" s="1055"/>
      <c r="K2757" s="1205"/>
      <c r="L2757" s="1055"/>
      <c r="M2757" s="1205"/>
      <c r="N2757" s="1054"/>
      <c r="O2757" s="1207"/>
      <c r="Q2757" s="1207"/>
    </row>
    <row r="2758" spans="3:17" s="700" customFormat="1" ht="70.5" hidden="1" customHeight="1">
      <c r="C2758" s="701"/>
      <c r="D2758" s="811"/>
      <c r="E2758" s="1276">
        <f>[11]building!Y3089</f>
        <v>0</v>
      </c>
      <c r="F2758" s="748">
        <f t="shared" si="282"/>
        <v>0</v>
      </c>
      <c r="G2758" s="1205"/>
      <c r="H2758" s="1055"/>
      <c r="I2758" s="1055"/>
      <c r="J2758" s="1055"/>
      <c r="K2758" s="1205"/>
      <c r="L2758" s="1055"/>
      <c r="M2758" s="1205"/>
      <c r="N2758" s="1054"/>
      <c r="O2758" s="1207"/>
      <c r="Q2758" s="1207"/>
    </row>
    <row r="2759" spans="3:17" s="700" customFormat="1" ht="70.5" hidden="1" customHeight="1">
      <c r="C2759" s="701"/>
      <c r="D2759" s="811"/>
      <c r="E2759" s="1276">
        <f>[11]building!Y3090</f>
        <v>0</v>
      </c>
      <c r="F2759" s="748">
        <f t="shared" si="282"/>
        <v>0</v>
      </c>
      <c r="G2759" s="1205"/>
      <c r="H2759" s="1055"/>
      <c r="I2759" s="1055"/>
      <c r="J2759" s="1055"/>
      <c r="K2759" s="1205"/>
      <c r="L2759" s="1055"/>
      <c r="M2759" s="1205"/>
      <c r="N2759" s="1054"/>
      <c r="O2759" s="1207"/>
      <c r="Q2759" s="1207"/>
    </row>
    <row r="2760" spans="3:17" s="700" customFormat="1" ht="70.5" hidden="1" customHeight="1">
      <c r="C2760" s="701"/>
      <c r="D2760" s="811"/>
      <c r="E2760" s="1276">
        <f>[11]building!Y3091</f>
        <v>0</v>
      </c>
      <c r="F2760" s="748">
        <f t="shared" si="282"/>
        <v>0</v>
      </c>
      <c r="G2760" s="1205"/>
      <c r="H2760" s="1055"/>
      <c r="I2760" s="1055"/>
      <c r="J2760" s="1055"/>
      <c r="K2760" s="1205"/>
      <c r="L2760" s="1055"/>
      <c r="M2760" s="1205"/>
      <c r="N2760" s="1054"/>
      <c r="O2760" s="1207"/>
      <c r="Q2760" s="1207"/>
    </row>
    <row r="2761" spans="3:17" s="700" customFormat="1" ht="70.5" hidden="1" customHeight="1">
      <c r="C2761" s="701"/>
      <c r="D2761" s="811"/>
      <c r="E2761" s="1276">
        <f>[11]building!Y3092</f>
        <v>0</v>
      </c>
      <c r="F2761" s="748">
        <f t="shared" si="282"/>
        <v>0</v>
      </c>
      <c r="G2761" s="1205"/>
      <c r="H2761" s="1055"/>
      <c r="I2761" s="1055"/>
      <c r="J2761" s="1055"/>
      <c r="K2761" s="1205"/>
      <c r="L2761" s="1055"/>
      <c r="M2761" s="1205"/>
      <c r="N2761" s="1054"/>
      <c r="O2761" s="1207"/>
      <c r="Q2761" s="1207"/>
    </row>
    <row r="2762" spans="3:17" s="700" customFormat="1" ht="70.5" hidden="1" customHeight="1">
      <c r="C2762" s="701"/>
      <c r="D2762" s="811"/>
      <c r="E2762" s="1276">
        <f>[11]building!Y3093</f>
        <v>0</v>
      </c>
      <c r="F2762" s="748">
        <f t="shared" si="282"/>
        <v>0</v>
      </c>
      <c r="G2762" s="1205"/>
      <c r="H2762" s="1055"/>
      <c r="I2762" s="1055"/>
      <c r="J2762" s="1055"/>
      <c r="K2762" s="1205"/>
      <c r="L2762" s="1055"/>
      <c r="M2762" s="1205"/>
      <c r="N2762" s="1054"/>
      <c r="O2762" s="1207"/>
      <c r="Q2762" s="1207"/>
    </row>
    <row r="2763" spans="3:17" s="700" customFormat="1" ht="70.5" hidden="1" customHeight="1">
      <c r="C2763" s="701"/>
      <c r="D2763" s="811"/>
      <c r="E2763" s="1276">
        <f>[11]building!Y3094</f>
        <v>0</v>
      </c>
      <c r="F2763" s="748">
        <f t="shared" si="282"/>
        <v>0</v>
      </c>
      <c r="G2763" s="1205"/>
      <c r="H2763" s="1055"/>
      <c r="I2763" s="1055"/>
      <c r="J2763" s="1055"/>
      <c r="K2763" s="1205"/>
      <c r="L2763" s="1055"/>
      <c r="M2763" s="1205"/>
      <c r="N2763" s="1054"/>
      <c r="O2763" s="1207"/>
      <c r="Q2763" s="1207"/>
    </row>
    <row r="2764" spans="3:17" s="700" customFormat="1" ht="70.5" hidden="1" customHeight="1">
      <c r="C2764" s="701"/>
      <c r="D2764" s="811"/>
      <c r="E2764" s="1276">
        <f>[11]building!Y3095</f>
        <v>0</v>
      </c>
      <c r="F2764" s="748">
        <f t="shared" si="282"/>
        <v>0</v>
      </c>
      <c r="G2764" s="1205"/>
      <c r="H2764" s="1055"/>
      <c r="I2764" s="1055"/>
      <c r="J2764" s="1055"/>
      <c r="K2764" s="1205"/>
      <c r="L2764" s="1055"/>
      <c r="M2764" s="1205"/>
      <c r="N2764" s="1054"/>
      <c r="O2764" s="1207"/>
      <c r="Q2764" s="1207"/>
    </row>
    <row r="2765" spans="3:17" s="700" customFormat="1" ht="70.5" hidden="1" customHeight="1">
      <c r="C2765" s="701"/>
      <c r="D2765" s="811"/>
      <c r="E2765" s="1276">
        <f>[11]building!Y3096</f>
        <v>0</v>
      </c>
      <c r="F2765" s="748">
        <f t="shared" si="282"/>
        <v>0</v>
      </c>
      <c r="G2765" s="1205"/>
      <c r="H2765" s="1055"/>
      <c r="I2765" s="1055"/>
      <c r="J2765" s="1055"/>
      <c r="K2765" s="1205"/>
      <c r="L2765" s="1055"/>
      <c r="M2765" s="1205"/>
      <c r="N2765" s="1054"/>
      <c r="O2765" s="1207"/>
      <c r="Q2765" s="1207"/>
    </row>
    <row r="2766" spans="3:17" s="700" customFormat="1" ht="70.5" hidden="1" customHeight="1">
      <c r="C2766" s="701"/>
      <c r="D2766" s="811"/>
      <c r="E2766" s="1276">
        <f>[11]building!Y3097</f>
        <v>0</v>
      </c>
      <c r="F2766" s="748">
        <f t="shared" si="282"/>
        <v>0</v>
      </c>
      <c r="G2766" s="1205"/>
      <c r="H2766" s="1055"/>
      <c r="I2766" s="1055"/>
      <c r="J2766" s="1055"/>
      <c r="K2766" s="1205"/>
      <c r="L2766" s="1055"/>
      <c r="M2766" s="1205"/>
      <c r="N2766" s="1054"/>
      <c r="O2766" s="1207"/>
      <c r="Q2766" s="1207"/>
    </row>
    <row r="2767" spans="3:17" s="700" customFormat="1" ht="70.5" hidden="1" customHeight="1">
      <c r="C2767" s="701"/>
      <c r="D2767" s="811"/>
      <c r="E2767" s="1276">
        <f>[11]building!Y3098</f>
        <v>0</v>
      </c>
      <c r="F2767" s="748">
        <f t="shared" si="282"/>
        <v>0</v>
      </c>
      <c r="G2767" s="1205"/>
      <c r="H2767" s="1055"/>
      <c r="I2767" s="1055"/>
      <c r="J2767" s="1055"/>
      <c r="K2767" s="1205"/>
      <c r="L2767" s="1055"/>
      <c r="M2767" s="1205"/>
      <c r="N2767" s="1054"/>
      <c r="O2767" s="1207"/>
      <c r="Q2767" s="1207"/>
    </row>
    <row r="2768" spans="3:17" s="700" customFormat="1" ht="70.5" hidden="1" customHeight="1">
      <c r="C2768" s="701"/>
      <c r="D2768" s="811"/>
      <c r="E2768" s="1276">
        <f>[11]building!Y3099</f>
        <v>0</v>
      </c>
      <c r="F2768" s="748">
        <f t="shared" si="282"/>
        <v>0</v>
      </c>
      <c r="G2768" s="1205"/>
      <c r="H2768" s="1055"/>
      <c r="I2768" s="1055"/>
      <c r="J2768" s="1055"/>
      <c r="K2768" s="1205"/>
      <c r="L2768" s="1055"/>
      <c r="M2768" s="1205"/>
      <c r="N2768" s="1054"/>
      <c r="O2768" s="1207"/>
      <c r="Q2768" s="1207"/>
    </row>
    <row r="2769" spans="3:17" s="700" customFormat="1" ht="70.5" hidden="1" customHeight="1">
      <c r="C2769" s="701"/>
      <c r="D2769" s="811"/>
      <c r="E2769" s="1276">
        <f>[11]building!Y3100</f>
        <v>0</v>
      </c>
      <c r="F2769" s="748">
        <f t="shared" si="282"/>
        <v>0</v>
      </c>
      <c r="G2769" s="1205"/>
      <c r="H2769" s="1055"/>
      <c r="I2769" s="1055"/>
      <c r="J2769" s="1055"/>
      <c r="K2769" s="1205"/>
      <c r="L2769" s="1055"/>
      <c r="M2769" s="1205"/>
      <c r="N2769" s="1054"/>
      <c r="O2769" s="1207"/>
      <c r="Q2769" s="1207"/>
    </row>
    <row r="2770" spans="3:17" s="700" customFormat="1" ht="70.5" hidden="1" customHeight="1">
      <c r="C2770" s="701"/>
      <c r="D2770" s="811"/>
      <c r="E2770" s="1276">
        <f>[11]building!Y3101</f>
        <v>0</v>
      </c>
      <c r="F2770" s="748">
        <f t="shared" si="282"/>
        <v>0</v>
      </c>
      <c r="G2770" s="1205"/>
      <c r="H2770" s="1055"/>
      <c r="I2770" s="1055"/>
      <c r="J2770" s="1055"/>
      <c r="K2770" s="1205"/>
      <c r="L2770" s="1055"/>
      <c r="M2770" s="1205"/>
      <c r="N2770" s="1054"/>
      <c r="O2770" s="1207"/>
      <c r="Q2770" s="1207"/>
    </row>
    <row r="2771" spans="3:17" s="700" customFormat="1" ht="70.5" hidden="1" customHeight="1">
      <c r="C2771" s="701"/>
      <c r="D2771" s="811"/>
      <c r="E2771" s="1276">
        <f>[11]building!Y3102</f>
        <v>0</v>
      </c>
      <c r="F2771" s="748">
        <f t="shared" si="282"/>
        <v>0</v>
      </c>
      <c r="G2771" s="1205"/>
      <c r="H2771" s="1055"/>
      <c r="I2771" s="1055"/>
      <c r="J2771" s="1055"/>
      <c r="K2771" s="1205"/>
      <c r="L2771" s="1055"/>
      <c r="M2771" s="1205"/>
      <c r="N2771" s="1054"/>
      <c r="O2771" s="1207"/>
      <c r="Q2771" s="1207"/>
    </row>
    <row r="2772" spans="3:17" s="700" customFormat="1" ht="70.5" hidden="1" customHeight="1">
      <c r="C2772" s="701"/>
      <c r="D2772" s="811"/>
      <c r="E2772" s="1276">
        <f>[11]building!Y3103</f>
        <v>0</v>
      </c>
      <c r="F2772" s="748">
        <f t="shared" si="282"/>
        <v>0</v>
      </c>
      <c r="G2772" s="1205"/>
      <c r="H2772" s="1055"/>
      <c r="I2772" s="1055"/>
      <c r="J2772" s="1055"/>
      <c r="K2772" s="1205"/>
      <c r="L2772" s="1055"/>
      <c r="M2772" s="1205"/>
      <c r="N2772" s="1054"/>
      <c r="O2772" s="1207"/>
      <c r="Q2772" s="1207"/>
    </row>
    <row r="2773" spans="3:17" s="700" customFormat="1" ht="70.5" hidden="1" customHeight="1">
      <c r="C2773" s="701"/>
      <c r="D2773" s="811"/>
      <c r="E2773" s="1276">
        <f>[11]building!Y3104</f>
        <v>0</v>
      </c>
      <c r="F2773" s="748">
        <f t="shared" si="282"/>
        <v>0</v>
      </c>
      <c r="G2773" s="1205"/>
      <c r="H2773" s="1055"/>
      <c r="I2773" s="1055"/>
      <c r="J2773" s="1055"/>
      <c r="K2773" s="1205"/>
      <c r="L2773" s="1055"/>
      <c r="M2773" s="1205"/>
      <c r="N2773" s="1054"/>
      <c r="O2773" s="1207"/>
      <c r="Q2773" s="1207"/>
    </row>
    <row r="2774" spans="3:17" s="700" customFormat="1" ht="70.5" hidden="1" customHeight="1">
      <c r="C2774" s="701"/>
      <c r="D2774" s="811"/>
      <c r="E2774" s="1276">
        <f>[11]building!Y3105</f>
        <v>0</v>
      </c>
      <c r="F2774" s="748">
        <f t="shared" si="282"/>
        <v>0</v>
      </c>
      <c r="G2774" s="1205"/>
      <c r="H2774" s="1055"/>
      <c r="I2774" s="1055"/>
      <c r="J2774" s="1055"/>
      <c r="K2774" s="1205"/>
      <c r="L2774" s="1055"/>
      <c r="M2774" s="1205"/>
      <c r="N2774" s="1054"/>
      <c r="O2774" s="1207"/>
      <c r="Q2774" s="1207"/>
    </row>
    <row r="2775" spans="3:17" s="700" customFormat="1" ht="70.5" hidden="1" customHeight="1">
      <c r="C2775" s="701"/>
      <c r="D2775" s="811"/>
      <c r="E2775" s="1276">
        <f>[11]building!Y3106</f>
        <v>0</v>
      </c>
      <c r="F2775" s="748">
        <f t="shared" si="282"/>
        <v>0</v>
      </c>
      <c r="G2775" s="1205"/>
      <c r="H2775" s="1055"/>
      <c r="I2775" s="1055"/>
      <c r="J2775" s="1055"/>
      <c r="K2775" s="1205"/>
      <c r="L2775" s="1055"/>
      <c r="M2775" s="1205"/>
      <c r="N2775" s="1054"/>
      <c r="O2775" s="1207"/>
      <c r="Q2775" s="1207"/>
    </row>
    <row r="2776" spans="3:17" s="700" customFormat="1" ht="70.5" hidden="1" customHeight="1">
      <c r="C2776" s="701"/>
      <c r="D2776" s="811"/>
      <c r="E2776" s="1276">
        <f>[11]building!Y3107</f>
        <v>0</v>
      </c>
      <c r="F2776" s="748">
        <f t="shared" si="282"/>
        <v>0</v>
      </c>
      <c r="G2776" s="1205"/>
      <c r="H2776" s="1055"/>
      <c r="I2776" s="1055"/>
      <c r="J2776" s="1055"/>
      <c r="K2776" s="1205"/>
      <c r="L2776" s="1055"/>
      <c r="M2776" s="1205"/>
      <c r="N2776" s="1054"/>
      <c r="O2776" s="1207"/>
      <c r="Q2776" s="1207"/>
    </row>
    <row r="2777" spans="3:17" s="700" customFormat="1" ht="70.5" hidden="1" customHeight="1">
      <c r="C2777" s="701"/>
      <c r="D2777" s="811"/>
      <c r="E2777" s="1276">
        <f>[11]building!Y3108</f>
        <v>0</v>
      </c>
      <c r="F2777" s="748">
        <f t="shared" si="282"/>
        <v>0</v>
      </c>
      <c r="G2777" s="1205"/>
      <c r="H2777" s="1055"/>
      <c r="I2777" s="1055"/>
      <c r="J2777" s="1055"/>
      <c r="K2777" s="1205"/>
      <c r="L2777" s="1055"/>
      <c r="M2777" s="1205"/>
      <c r="N2777" s="1054"/>
      <c r="O2777" s="1207"/>
      <c r="Q2777" s="1207"/>
    </row>
    <row r="2778" spans="3:17" s="700" customFormat="1" ht="70.5" hidden="1" customHeight="1">
      <c r="C2778" s="701"/>
      <c r="D2778" s="811"/>
      <c r="E2778" s="1276">
        <f>[11]building!Y3109</f>
        <v>0</v>
      </c>
      <c r="F2778" s="748">
        <f t="shared" si="282"/>
        <v>0</v>
      </c>
      <c r="G2778" s="1205"/>
      <c r="H2778" s="1055"/>
      <c r="I2778" s="1055"/>
      <c r="J2778" s="1055"/>
      <c r="K2778" s="1205"/>
      <c r="L2778" s="1055"/>
      <c r="M2778" s="1205"/>
      <c r="N2778" s="1054"/>
      <c r="O2778" s="1207"/>
      <c r="Q2778" s="1207"/>
    </row>
    <row r="2779" spans="3:17" s="700" customFormat="1" ht="70.5" hidden="1" customHeight="1">
      <c r="C2779" s="701"/>
      <c r="D2779" s="811"/>
      <c r="E2779" s="1276">
        <f>[11]building!Y3110</f>
        <v>0</v>
      </c>
      <c r="F2779" s="748">
        <f t="shared" si="282"/>
        <v>0</v>
      </c>
      <c r="G2779" s="1205"/>
      <c r="H2779" s="1055"/>
      <c r="I2779" s="1055"/>
      <c r="J2779" s="1055"/>
      <c r="K2779" s="1205"/>
      <c r="L2779" s="1055"/>
      <c r="M2779" s="1205"/>
      <c r="N2779" s="1054"/>
      <c r="O2779" s="1207"/>
      <c r="Q2779" s="1207"/>
    </row>
    <row r="2780" spans="3:17" s="700" customFormat="1" ht="70.5" hidden="1" customHeight="1">
      <c r="C2780" s="701"/>
      <c r="D2780" s="811"/>
      <c r="E2780" s="1276">
        <f>[11]building!Y3111</f>
        <v>0</v>
      </c>
      <c r="F2780" s="748">
        <f t="shared" si="282"/>
        <v>0</v>
      </c>
      <c r="G2780" s="1205"/>
      <c r="H2780" s="1055"/>
      <c r="I2780" s="1055"/>
      <c r="J2780" s="1055"/>
      <c r="K2780" s="1205"/>
      <c r="L2780" s="1055"/>
      <c r="M2780" s="1205"/>
      <c r="N2780" s="1054"/>
      <c r="O2780" s="1207"/>
      <c r="Q2780" s="1207"/>
    </row>
    <row r="2781" spans="3:17" s="700" customFormat="1" ht="70.5" hidden="1" customHeight="1">
      <c r="C2781" s="701"/>
      <c r="D2781" s="811"/>
      <c r="E2781" s="1276">
        <f>[11]building!Y3112</f>
        <v>0</v>
      </c>
      <c r="F2781" s="748">
        <f t="shared" si="282"/>
        <v>0</v>
      </c>
      <c r="G2781" s="1205"/>
      <c r="H2781" s="1055"/>
      <c r="I2781" s="1055"/>
      <c r="J2781" s="1055"/>
      <c r="K2781" s="1205"/>
      <c r="L2781" s="1055"/>
      <c r="M2781" s="1205"/>
      <c r="N2781" s="1054"/>
      <c r="O2781" s="1207"/>
      <c r="Q2781" s="1207"/>
    </row>
    <row r="2782" spans="3:17" s="700" customFormat="1" ht="70.5" hidden="1" customHeight="1">
      <c r="C2782" s="701"/>
      <c r="D2782" s="811"/>
      <c r="E2782" s="1276">
        <f>[11]building!Y3113</f>
        <v>0</v>
      </c>
      <c r="F2782" s="748">
        <f t="shared" si="282"/>
        <v>0</v>
      </c>
      <c r="G2782" s="1205"/>
      <c r="H2782" s="1055"/>
      <c r="I2782" s="1055"/>
      <c r="J2782" s="1055"/>
      <c r="K2782" s="1205"/>
      <c r="L2782" s="1055"/>
      <c r="M2782" s="1205"/>
      <c r="N2782" s="1054"/>
      <c r="O2782" s="1207"/>
      <c r="Q2782" s="1207"/>
    </row>
    <row r="2783" spans="3:17" s="700" customFormat="1" ht="70.5" hidden="1" customHeight="1">
      <c r="C2783" s="701"/>
      <c r="D2783" s="811"/>
      <c r="E2783" s="1276">
        <f>[11]building!Y3114</f>
        <v>0</v>
      </c>
      <c r="F2783" s="748">
        <f t="shared" si="282"/>
        <v>0</v>
      </c>
      <c r="G2783" s="1205"/>
      <c r="H2783" s="1055"/>
      <c r="I2783" s="1055"/>
      <c r="J2783" s="1055"/>
      <c r="K2783" s="1205"/>
      <c r="L2783" s="1055"/>
      <c r="M2783" s="1205"/>
      <c r="N2783" s="1054"/>
      <c r="O2783" s="1207"/>
      <c r="Q2783" s="1207"/>
    </row>
    <row r="2784" spans="3:17" s="700" customFormat="1" ht="70.5" hidden="1" customHeight="1">
      <c r="C2784" s="701"/>
      <c r="D2784" s="811"/>
      <c r="E2784" s="1276">
        <f>[11]building!Y3115</f>
        <v>0</v>
      </c>
      <c r="F2784" s="748">
        <f t="shared" si="282"/>
        <v>0</v>
      </c>
      <c r="G2784" s="1205"/>
      <c r="H2784" s="1055"/>
      <c r="I2784" s="1055"/>
      <c r="J2784" s="1055"/>
      <c r="K2784" s="1205"/>
      <c r="L2784" s="1055"/>
      <c r="M2784" s="1205"/>
      <c r="N2784" s="1054"/>
      <c r="O2784" s="1207"/>
      <c r="Q2784" s="1207"/>
    </row>
    <row r="2785" spans="3:17" s="700" customFormat="1" ht="70.5" hidden="1" customHeight="1">
      <c r="C2785" s="701"/>
      <c r="D2785" s="811"/>
      <c r="E2785" s="1276">
        <f>[11]building!Y3116</f>
        <v>0</v>
      </c>
      <c r="F2785" s="748">
        <f t="shared" si="282"/>
        <v>0</v>
      </c>
      <c r="G2785" s="1205"/>
      <c r="H2785" s="1055"/>
      <c r="I2785" s="1055"/>
      <c r="J2785" s="1055"/>
      <c r="K2785" s="1205"/>
      <c r="L2785" s="1055"/>
      <c r="M2785" s="1205"/>
      <c r="N2785" s="1054"/>
      <c r="O2785" s="1207"/>
      <c r="Q2785" s="1207"/>
    </row>
    <row r="2786" spans="3:17" s="700" customFormat="1" ht="70.5" hidden="1" customHeight="1">
      <c r="C2786" s="701"/>
      <c r="D2786" s="811"/>
      <c r="E2786" s="1276">
        <f>[11]building!Y3117</f>
        <v>0</v>
      </c>
      <c r="F2786" s="748">
        <f t="shared" si="282"/>
        <v>0</v>
      </c>
      <c r="G2786" s="1205"/>
      <c r="H2786" s="1055"/>
      <c r="I2786" s="1055"/>
      <c r="J2786" s="1055"/>
      <c r="K2786" s="1205"/>
      <c r="L2786" s="1055"/>
      <c r="M2786" s="1205"/>
      <c r="N2786" s="1054"/>
      <c r="O2786" s="1207"/>
      <c r="Q2786" s="1207"/>
    </row>
    <row r="2787" spans="3:17" s="700" customFormat="1" ht="70.5" hidden="1" customHeight="1">
      <c r="C2787" s="701"/>
      <c r="D2787" s="811"/>
      <c r="E2787" s="1276">
        <f>[11]building!Y3118</f>
        <v>0</v>
      </c>
      <c r="F2787" s="748">
        <f t="shared" si="282"/>
        <v>0</v>
      </c>
      <c r="G2787" s="1205"/>
      <c r="H2787" s="1055"/>
      <c r="I2787" s="1055"/>
      <c r="J2787" s="1055"/>
      <c r="K2787" s="1205"/>
      <c r="L2787" s="1055"/>
      <c r="M2787" s="1205"/>
      <c r="N2787" s="1054"/>
      <c r="O2787" s="1207"/>
      <c r="Q2787" s="1207"/>
    </row>
    <row r="2788" spans="3:17" s="700" customFormat="1" ht="70.5" hidden="1" customHeight="1">
      <c r="C2788" s="701"/>
      <c r="D2788" s="811"/>
      <c r="E2788" s="1276">
        <f>[11]building!Y3119</f>
        <v>0</v>
      </c>
      <c r="F2788" s="748">
        <f t="shared" si="282"/>
        <v>0</v>
      </c>
      <c r="G2788" s="1205"/>
      <c r="H2788" s="1055"/>
      <c r="I2788" s="1055"/>
      <c r="J2788" s="1055"/>
      <c r="K2788" s="1205"/>
      <c r="L2788" s="1055"/>
      <c r="M2788" s="1205"/>
      <c r="N2788" s="1054"/>
      <c r="O2788" s="1207"/>
      <c r="Q2788" s="1207"/>
    </row>
    <row r="2789" spans="3:17" s="700" customFormat="1" ht="70.5" hidden="1" customHeight="1">
      <c r="C2789" s="701"/>
      <c r="D2789" s="811"/>
      <c r="E2789" s="1276">
        <f>[11]building!Y3120</f>
        <v>0</v>
      </c>
      <c r="F2789" s="748">
        <f t="shared" si="282"/>
        <v>0</v>
      </c>
      <c r="G2789" s="1205"/>
      <c r="H2789" s="1055"/>
      <c r="I2789" s="1055"/>
      <c r="J2789" s="1055"/>
      <c r="K2789" s="1205"/>
      <c r="L2789" s="1055"/>
      <c r="M2789" s="1205"/>
      <c r="N2789" s="1054"/>
      <c r="O2789" s="1207"/>
      <c r="Q2789" s="1207"/>
    </row>
    <row r="2790" spans="3:17" s="700" customFormat="1" ht="70.5" hidden="1" customHeight="1">
      <c r="C2790" s="701"/>
      <c r="D2790" s="811"/>
      <c r="E2790" s="1276">
        <f>[11]building!Y3121</f>
        <v>0</v>
      </c>
      <c r="F2790" s="748">
        <f t="shared" si="282"/>
        <v>0</v>
      </c>
      <c r="G2790" s="1205"/>
      <c r="H2790" s="1055"/>
      <c r="I2790" s="1055"/>
      <c r="J2790" s="1055"/>
      <c r="K2790" s="1205"/>
      <c r="L2790" s="1055"/>
      <c r="M2790" s="1205"/>
      <c r="N2790" s="1054"/>
      <c r="O2790" s="1207"/>
      <c r="Q2790" s="1207"/>
    </row>
    <row r="2791" spans="3:17" s="700" customFormat="1" ht="70.5" hidden="1" customHeight="1">
      <c r="C2791" s="701"/>
      <c r="D2791" s="811"/>
      <c r="E2791" s="1276">
        <f>[11]building!Y3122</f>
        <v>0</v>
      </c>
      <c r="F2791" s="748">
        <f t="shared" si="282"/>
        <v>0</v>
      </c>
      <c r="G2791" s="1205"/>
      <c r="H2791" s="1055"/>
      <c r="I2791" s="1055"/>
      <c r="J2791" s="1055"/>
      <c r="K2791" s="1205"/>
      <c r="L2791" s="1055"/>
      <c r="M2791" s="1205"/>
      <c r="N2791" s="1054"/>
      <c r="O2791" s="1207"/>
      <c r="Q2791" s="1207"/>
    </row>
    <row r="2792" spans="3:17" s="700" customFormat="1" ht="70.5" hidden="1" customHeight="1">
      <c r="C2792" s="701"/>
      <c r="D2792" s="811"/>
      <c r="E2792" s="1276">
        <f>[11]building!Y3123</f>
        <v>0</v>
      </c>
      <c r="F2792" s="748">
        <f t="shared" si="282"/>
        <v>0</v>
      </c>
      <c r="G2792" s="1205"/>
      <c r="H2792" s="1055"/>
      <c r="I2792" s="1055"/>
      <c r="J2792" s="1055"/>
      <c r="K2792" s="1205"/>
      <c r="L2792" s="1055"/>
      <c r="M2792" s="1205"/>
      <c r="N2792" s="1054"/>
      <c r="O2792" s="1207"/>
      <c r="Q2792" s="1207"/>
    </row>
    <row r="2793" spans="3:17" s="700" customFormat="1" ht="70.5" hidden="1" customHeight="1">
      <c r="C2793" s="701"/>
      <c r="D2793" s="811"/>
      <c r="E2793" s="1276">
        <f>[11]building!Y3124</f>
        <v>0</v>
      </c>
      <c r="F2793" s="748">
        <f t="shared" si="282"/>
        <v>0</v>
      </c>
      <c r="G2793" s="1205"/>
      <c r="H2793" s="1055"/>
      <c r="I2793" s="1055"/>
      <c r="J2793" s="1055"/>
      <c r="K2793" s="1205"/>
      <c r="L2793" s="1055"/>
      <c r="M2793" s="1205"/>
      <c r="N2793" s="1054"/>
      <c r="O2793" s="1207"/>
      <c r="Q2793" s="1207"/>
    </row>
    <row r="2794" spans="3:17" s="700" customFormat="1" ht="70.5" hidden="1" customHeight="1">
      <c r="C2794" s="701"/>
      <c r="D2794" s="811"/>
      <c r="E2794" s="1276">
        <f>[11]building!Y3125</f>
        <v>0</v>
      </c>
      <c r="F2794" s="748">
        <f t="shared" si="282"/>
        <v>0</v>
      </c>
      <c r="G2794" s="1205"/>
      <c r="H2794" s="1055"/>
      <c r="I2794" s="1055"/>
      <c r="J2794" s="1055"/>
      <c r="K2794" s="1205"/>
      <c r="L2794" s="1055"/>
      <c r="M2794" s="1205"/>
      <c r="N2794" s="1054"/>
      <c r="O2794" s="1207"/>
      <c r="Q2794" s="1207"/>
    </row>
    <row r="2795" spans="3:17" s="700" customFormat="1" ht="70.5" hidden="1" customHeight="1">
      <c r="C2795" s="701"/>
      <c r="D2795" s="811"/>
      <c r="E2795" s="1276">
        <f>[11]building!Y3126</f>
        <v>0</v>
      </c>
      <c r="F2795" s="748">
        <f t="shared" si="282"/>
        <v>0</v>
      </c>
      <c r="G2795" s="1205"/>
      <c r="H2795" s="1055"/>
      <c r="I2795" s="1055"/>
      <c r="J2795" s="1055"/>
      <c r="K2795" s="1205"/>
      <c r="L2795" s="1055"/>
      <c r="M2795" s="1205"/>
      <c r="N2795" s="1054"/>
      <c r="O2795" s="1207"/>
      <c r="Q2795" s="1207"/>
    </row>
    <row r="2796" spans="3:17" s="700" customFormat="1" ht="70.5" hidden="1" customHeight="1">
      <c r="C2796" s="701"/>
      <c r="D2796" s="811"/>
      <c r="E2796" s="1276">
        <f>[11]building!Y3127</f>
        <v>0</v>
      </c>
      <c r="F2796" s="748">
        <f t="shared" si="282"/>
        <v>0</v>
      </c>
      <c r="G2796" s="1205"/>
      <c r="H2796" s="1055"/>
      <c r="I2796" s="1055"/>
      <c r="J2796" s="1055"/>
      <c r="K2796" s="1205"/>
      <c r="L2796" s="1055"/>
      <c r="M2796" s="1205"/>
      <c r="N2796" s="1054"/>
      <c r="O2796" s="1207"/>
      <c r="Q2796" s="1207"/>
    </row>
    <row r="2797" spans="3:17" s="700" customFormat="1" ht="70.5" hidden="1" customHeight="1">
      <c r="C2797" s="701"/>
      <c r="D2797" s="811"/>
      <c r="E2797" s="1276">
        <f>[11]building!Y3128</f>
        <v>0</v>
      </c>
      <c r="F2797" s="748">
        <f t="shared" si="282"/>
        <v>0</v>
      </c>
      <c r="G2797" s="1205"/>
      <c r="H2797" s="1055"/>
      <c r="I2797" s="1055"/>
      <c r="J2797" s="1055"/>
      <c r="K2797" s="1205"/>
      <c r="L2797" s="1055"/>
      <c r="M2797" s="1205"/>
      <c r="N2797" s="1054"/>
      <c r="O2797" s="1207"/>
      <c r="Q2797" s="1207"/>
    </row>
    <row r="2798" spans="3:17" s="700" customFormat="1" ht="70.5" hidden="1" customHeight="1">
      <c r="C2798" s="701"/>
      <c r="D2798" s="811"/>
      <c r="E2798" s="1276">
        <f>[11]building!Y3129</f>
        <v>0</v>
      </c>
      <c r="F2798" s="748">
        <f t="shared" si="282"/>
        <v>0</v>
      </c>
      <c r="G2798" s="1205"/>
      <c r="H2798" s="1055"/>
      <c r="I2798" s="1055"/>
      <c r="J2798" s="1055"/>
      <c r="K2798" s="1205"/>
      <c r="L2798" s="1055"/>
      <c r="M2798" s="1205"/>
      <c r="N2798" s="1054"/>
      <c r="O2798" s="1207"/>
      <c r="Q2798" s="1207"/>
    </row>
    <row r="2799" spans="3:17" s="700" customFormat="1" ht="70.5" hidden="1" customHeight="1">
      <c r="C2799" s="701"/>
      <c r="D2799" s="811"/>
      <c r="E2799" s="1276">
        <f>[11]building!Y3130</f>
        <v>0</v>
      </c>
      <c r="F2799" s="748">
        <f t="shared" si="282"/>
        <v>0</v>
      </c>
      <c r="G2799" s="1205"/>
      <c r="H2799" s="1055"/>
      <c r="I2799" s="1055"/>
      <c r="J2799" s="1055"/>
      <c r="K2799" s="1205"/>
      <c r="L2799" s="1055"/>
      <c r="M2799" s="1205"/>
      <c r="N2799" s="1054"/>
      <c r="O2799" s="1207"/>
      <c r="Q2799" s="1207"/>
    </row>
    <row r="2800" spans="3:17" s="700" customFormat="1" ht="70.5" hidden="1" customHeight="1">
      <c r="C2800" s="701"/>
      <c r="D2800" s="811"/>
      <c r="E2800" s="1276">
        <f>[11]building!Y3131</f>
        <v>0</v>
      </c>
      <c r="F2800" s="748">
        <f t="shared" si="282"/>
        <v>0</v>
      </c>
      <c r="G2800" s="1205"/>
      <c r="H2800" s="1055"/>
      <c r="I2800" s="1055"/>
      <c r="J2800" s="1055"/>
      <c r="K2800" s="1205"/>
      <c r="L2800" s="1055"/>
      <c r="M2800" s="1205"/>
      <c r="N2800" s="1054"/>
      <c r="O2800" s="1207"/>
      <c r="Q2800" s="1207"/>
    </row>
    <row r="2801" spans="3:17" s="700" customFormat="1" ht="70.5" hidden="1" customHeight="1">
      <c r="C2801" s="701"/>
      <c r="D2801" s="811"/>
      <c r="E2801" s="1276">
        <f>[11]building!Y3132</f>
        <v>0</v>
      </c>
      <c r="F2801" s="748">
        <f t="shared" si="282"/>
        <v>0</v>
      </c>
      <c r="G2801" s="1205"/>
      <c r="H2801" s="1055"/>
      <c r="I2801" s="1055"/>
      <c r="J2801" s="1055"/>
      <c r="K2801" s="1205"/>
      <c r="L2801" s="1055"/>
      <c r="M2801" s="1205"/>
      <c r="N2801" s="1054"/>
      <c r="O2801" s="1207"/>
      <c r="Q2801" s="1207"/>
    </row>
    <row r="2802" spans="3:17" s="700" customFormat="1" ht="70.5" hidden="1" customHeight="1">
      <c r="C2802" s="701"/>
      <c r="D2802" s="811"/>
      <c r="E2802" s="1276">
        <f>[11]building!Y3133</f>
        <v>0</v>
      </c>
      <c r="F2802" s="748">
        <f t="shared" si="282"/>
        <v>0</v>
      </c>
      <c r="G2802" s="1205"/>
      <c r="H2802" s="1055"/>
      <c r="I2802" s="1055"/>
      <c r="J2802" s="1055"/>
      <c r="K2802" s="1205"/>
      <c r="L2802" s="1055"/>
      <c r="M2802" s="1205"/>
      <c r="N2802" s="1054"/>
      <c r="O2802" s="1207"/>
      <c r="Q2802" s="1207"/>
    </row>
    <row r="2803" spans="3:17" s="700" customFormat="1" ht="70.5" hidden="1" customHeight="1">
      <c r="C2803" s="701"/>
      <c r="D2803" s="811"/>
      <c r="E2803" s="1276">
        <f>[11]building!Y3134</f>
        <v>0</v>
      </c>
      <c r="F2803" s="748">
        <f t="shared" si="282"/>
        <v>0</v>
      </c>
      <c r="G2803" s="1205"/>
      <c r="H2803" s="1055"/>
      <c r="I2803" s="1055"/>
      <c r="J2803" s="1055"/>
      <c r="K2803" s="1205"/>
      <c r="L2803" s="1055"/>
      <c r="M2803" s="1205"/>
      <c r="N2803" s="1054"/>
      <c r="O2803" s="1207"/>
      <c r="Q2803" s="1207"/>
    </row>
    <row r="2804" spans="3:17" s="700" customFormat="1" ht="70.5" hidden="1" customHeight="1">
      <c r="C2804" s="701"/>
      <c r="D2804" s="811"/>
      <c r="E2804" s="1276">
        <f>[11]building!Y3135</f>
        <v>0</v>
      </c>
      <c r="F2804" s="748">
        <f t="shared" si="282"/>
        <v>0</v>
      </c>
      <c r="G2804" s="1205"/>
      <c r="H2804" s="1055"/>
      <c r="I2804" s="1055"/>
      <c r="J2804" s="1055"/>
      <c r="K2804" s="1205"/>
      <c r="L2804" s="1055"/>
      <c r="M2804" s="1205"/>
      <c r="N2804" s="1054"/>
      <c r="O2804" s="1207"/>
      <c r="Q2804" s="1207"/>
    </row>
    <row r="2805" spans="3:17" s="700" customFormat="1" ht="70.5" hidden="1" customHeight="1">
      <c r="C2805" s="701"/>
      <c r="D2805" s="811"/>
      <c r="E2805" s="1276">
        <f>[11]building!Y3136</f>
        <v>0</v>
      </c>
      <c r="F2805" s="748">
        <f t="shared" si="282"/>
        <v>0</v>
      </c>
      <c r="G2805" s="1205"/>
      <c r="H2805" s="1055"/>
      <c r="I2805" s="1055"/>
      <c r="J2805" s="1055"/>
      <c r="K2805" s="1205"/>
      <c r="L2805" s="1055"/>
      <c r="M2805" s="1205"/>
      <c r="N2805" s="1054"/>
      <c r="O2805" s="1207"/>
      <c r="Q2805" s="1207"/>
    </row>
    <row r="2806" spans="3:17" s="700" customFormat="1" ht="70.5" hidden="1" customHeight="1">
      <c r="C2806" s="701"/>
      <c r="D2806" s="811"/>
      <c r="E2806" s="1276">
        <f>[11]building!Y3137</f>
        <v>0</v>
      </c>
      <c r="F2806" s="748">
        <f t="shared" si="282"/>
        <v>0</v>
      </c>
      <c r="G2806" s="1205"/>
      <c r="H2806" s="1055"/>
      <c r="I2806" s="1055"/>
      <c r="J2806" s="1055"/>
      <c r="K2806" s="1205"/>
      <c r="L2806" s="1055"/>
      <c r="M2806" s="1205"/>
      <c r="N2806" s="1054"/>
      <c r="O2806" s="1207"/>
      <c r="Q2806" s="1207"/>
    </row>
    <row r="2807" spans="3:17" s="700" customFormat="1" ht="70.5" hidden="1" customHeight="1">
      <c r="C2807" s="701"/>
      <c r="D2807" s="811"/>
      <c r="E2807" s="1276">
        <f>[11]building!Y3138</f>
        <v>0</v>
      </c>
      <c r="F2807" s="748">
        <f t="shared" si="282"/>
        <v>0</v>
      </c>
      <c r="G2807" s="1205"/>
      <c r="H2807" s="1055"/>
      <c r="I2807" s="1055"/>
      <c r="J2807" s="1055"/>
      <c r="K2807" s="1205"/>
      <c r="L2807" s="1055"/>
      <c r="M2807" s="1205"/>
      <c r="N2807" s="1054"/>
      <c r="O2807" s="1207"/>
      <c r="Q2807" s="1207"/>
    </row>
    <row r="2808" spans="3:17" s="700" customFormat="1" ht="70.5" hidden="1" customHeight="1">
      <c r="C2808" s="701"/>
      <c r="D2808" s="811"/>
      <c r="E2808" s="1276">
        <f>[11]building!Y3139</f>
        <v>0</v>
      </c>
      <c r="F2808" s="748">
        <f t="shared" si="282"/>
        <v>0</v>
      </c>
      <c r="G2808" s="1205"/>
      <c r="H2808" s="1055"/>
      <c r="I2808" s="1055"/>
      <c r="J2808" s="1055"/>
      <c r="K2808" s="1205"/>
      <c r="L2808" s="1055"/>
      <c r="M2808" s="1205"/>
      <c r="N2808" s="1054"/>
      <c r="O2808" s="1207"/>
      <c r="Q2808" s="1207"/>
    </row>
    <row r="2809" spans="3:17" s="700" customFormat="1" ht="70.5" hidden="1" customHeight="1">
      <c r="C2809" s="701"/>
      <c r="D2809" s="811"/>
      <c r="E2809" s="1276">
        <f>[11]building!Y3140</f>
        <v>0</v>
      </c>
      <c r="F2809" s="748">
        <f t="shared" si="282"/>
        <v>0</v>
      </c>
      <c r="G2809" s="1205"/>
      <c r="H2809" s="1055"/>
      <c r="I2809" s="1055"/>
      <c r="J2809" s="1055"/>
      <c r="K2809" s="1205"/>
      <c r="L2809" s="1055"/>
      <c r="M2809" s="1205"/>
      <c r="N2809" s="1054"/>
      <c r="O2809" s="1207"/>
      <c r="Q2809" s="1207"/>
    </row>
    <row r="2810" spans="3:17" s="700" customFormat="1" ht="70.5" hidden="1" customHeight="1">
      <c r="C2810" s="701"/>
      <c r="D2810" s="811"/>
      <c r="E2810" s="1276">
        <f>[11]building!Y3141</f>
        <v>0</v>
      </c>
      <c r="F2810" s="748">
        <f t="shared" si="282"/>
        <v>0</v>
      </c>
      <c r="G2810" s="1205"/>
      <c r="H2810" s="1055"/>
      <c r="I2810" s="1055"/>
      <c r="J2810" s="1055"/>
      <c r="K2810" s="1205"/>
      <c r="L2810" s="1055"/>
      <c r="M2810" s="1205"/>
      <c r="N2810" s="1054"/>
      <c r="O2810" s="1207"/>
      <c r="Q2810" s="1207"/>
    </row>
    <row r="2811" spans="3:17" s="700" customFormat="1" ht="70.5" hidden="1" customHeight="1">
      <c r="C2811" s="701"/>
      <c r="D2811" s="811"/>
      <c r="E2811" s="1276">
        <f>[11]building!Y3142</f>
        <v>0</v>
      </c>
      <c r="F2811" s="748">
        <f t="shared" si="282"/>
        <v>0</v>
      </c>
      <c r="G2811" s="1205"/>
      <c r="H2811" s="1055"/>
      <c r="I2811" s="1055"/>
      <c r="J2811" s="1055"/>
      <c r="K2811" s="1205"/>
      <c r="L2811" s="1055"/>
      <c r="M2811" s="1205"/>
      <c r="N2811" s="1054"/>
      <c r="O2811" s="1207"/>
      <c r="Q2811" s="1207"/>
    </row>
    <row r="2812" spans="3:17" s="700" customFormat="1" ht="70.5" hidden="1" customHeight="1">
      <c r="C2812" s="701"/>
      <c r="D2812" s="811"/>
      <c r="E2812" s="1276">
        <f>[11]building!Y3143</f>
        <v>0</v>
      </c>
      <c r="F2812" s="748">
        <f t="shared" si="282"/>
        <v>0</v>
      </c>
      <c r="G2812" s="1205"/>
      <c r="H2812" s="1055"/>
      <c r="I2812" s="1055"/>
      <c r="J2812" s="1055"/>
      <c r="K2812" s="1205"/>
      <c r="L2812" s="1055"/>
      <c r="M2812" s="1205"/>
      <c r="N2812" s="1054"/>
      <c r="O2812" s="1207"/>
      <c r="Q2812" s="1207"/>
    </row>
    <row r="2813" spans="3:17" s="700" customFormat="1" ht="70.5" hidden="1" customHeight="1">
      <c r="C2813" s="701"/>
      <c r="D2813" s="811"/>
      <c r="E2813" s="1276">
        <f>[11]building!Y3144</f>
        <v>0</v>
      </c>
      <c r="F2813" s="748">
        <f t="shared" si="282"/>
        <v>0</v>
      </c>
      <c r="G2813" s="1205"/>
      <c r="H2813" s="1055"/>
      <c r="I2813" s="1055"/>
      <c r="J2813" s="1055"/>
      <c r="K2813" s="1205"/>
      <c r="L2813" s="1055"/>
      <c r="M2813" s="1205"/>
      <c r="N2813" s="1054"/>
      <c r="O2813" s="1207"/>
      <c r="Q2813" s="1207"/>
    </row>
    <row r="2814" spans="3:17" s="700" customFormat="1" ht="70.5" hidden="1" customHeight="1">
      <c r="C2814" s="701"/>
      <c r="D2814" s="811"/>
      <c r="E2814" s="1276">
        <f>[11]building!Y3145</f>
        <v>0</v>
      </c>
      <c r="F2814" s="748">
        <f t="shared" si="282"/>
        <v>0</v>
      </c>
      <c r="G2814" s="1205"/>
      <c r="H2814" s="1055"/>
      <c r="I2814" s="1055"/>
      <c r="J2814" s="1055"/>
      <c r="K2814" s="1205"/>
      <c r="L2814" s="1055"/>
      <c r="M2814" s="1205"/>
      <c r="N2814" s="1054"/>
      <c r="O2814" s="1207"/>
      <c r="Q2814" s="1207"/>
    </row>
    <row r="2815" spans="3:17" s="700" customFormat="1" ht="70.5" hidden="1" customHeight="1">
      <c r="C2815" s="701"/>
      <c r="D2815" s="811"/>
      <c r="E2815" s="1276">
        <f>[11]building!Y3146</f>
        <v>0</v>
      </c>
      <c r="F2815" s="748">
        <f t="shared" si="282"/>
        <v>0</v>
      </c>
      <c r="G2815" s="1205"/>
      <c r="H2815" s="1055"/>
      <c r="I2815" s="1055"/>
      <c r="J2815" s="1055"/>
      <c r="K2815" s="1205"/>
      <c r="L2815" s="1055"/>
      <c r="M2815" s="1205"/>
      <c r="N2815" s="1054"/>
      <c r="O2815" s="1207"/>
      <c r="Q2815" s="1207"/>
    </row>
    <row r="2816" spans="3:17" s="700" customFormat="1" ht="70.5" hidden="1" customHeight="1">
      <c r="C2816" s="701"/>
      <c r="D2816" s="811"/>
      <c r="E2816" s="1276">
        <f>[11]building!Y3147</f>
        <v>0</v>
      </c>
      <c r="F2816" s="748">
        <f t="shared" ref="F2816:F2879" si="283">E2816*C2816</f>
        <v>0</v>
      </c>
      <c r="G2816" s="1205"/>
      <c r="H2816" s="1055"/>
      <c r="I2816" s="1055"/>
      <c r="J2816" s="1055"/>
      <c r="K2816" s="1205"/>
      <c r="L2816" s="1055"/>
      <c r="M2816" s="1205"/>
      <c r="N2816" s="1054"/>
      <c r="O2816" s="1207"/>
      <c r="Q2816" s="1207"/>
    </row>
    <row r="2817" spans="3:17" s="700" customFormat="1" ht="70.5" hidden="1" customHeight="1">
      <c r="C2817" s="701"/>
      <c r="D2817" s="811"/>
      <c r="E2817" s="1276">
        <f>[11]building!Y3148</f>
        <v>0</v>
      </c>
      <c r="F2817" s="748">
        <f t="shared" si="283"/>
        <v>0</v>
      </c>
      <c r="G2817" s="1205"/>
      <c r="H2817" s="1055"/>
      <c r="I2817" s="1055"/>
      <c r="J2817" s="1055"/>
      <c r="K2817" s="1205"/>
      <c r="L2817" s="1055"/>
      <c r="M2817" s="1205"/>
      <c r="N2817" s="1054"/>
      <c r="O2817" s="1207"/>
      <c r="Q2817" s="1207"/>
    </row>
    <row r="2818" spans="3:17" s="700" customFormat="1" ht="70.5" hidden="1" customHeight="1">
      <c r="C2818" s="701"/>
      <c r="D2818" s="811"/>
      <c r="E2818" s="1276">
        <f>[11]building!Y3149</f>
        <v>0</v>
      </c>
      <c r="F2818" s="748">
        <f t="shared" si="283"/>
        <v>0</v>
      </c>
      <c r="G2818" s="1205"/>
      <c r="H2818" s="1055"/>
      <c r="I2818" s="1055"/>
      <c r="J2818" s="1055"/>
      <c r="K2818" s="1205"/>
      <c r="L2818" s="1055"/>
      <c r="M2818" s="1205"/>
      <c r="N2818" s="1054"/>
      <c r="O2818" s="1207"/>
      <c r="Q2818" s="1207"/>
    </row>
    <row r="2819" spans="3:17" s="700" customFormat="1" ht="70.5" hidden="1" customHeight="1">
      <c r="C2819" s="701"/>
      <c r="D2819" s="811"/>
      <c r="E2819" s="1276">
        <f>[11]building!Y3150</f>
        <v>0</v>
      </c>
      <c r="F2819" s="748">
        <f t="shared" si="283"/>
        <v>0</v>
      </c>
      <c r="G2819" s="1205"/>
      <c r="H2819" s="1055"/>
      <c r="I2819" s="1055"/>
      <c r="J2819" s="1055"/>
      <c r="K2819" s="1205"/>
      <c r="L2819" s="1055"/>
      <c r="M2819" s="1205"/>
      <c r="N2819" s="1054"/>
      <c r="O2819" s="1207"/>
      <c r="Q2819" s="1207"/>
    </row>
    <row r="2820" spans="3:17" s="700" customFormat="1" ht="70.5" hidden="1" customHeight="1">
      <c r="C2820" s="701"/>
      <c r="D2820" s="811"/>
      <c r="E2820" s="1276">
        <f>[11]building!Y3151</f>
        <v>0</v>
      </c>
      <c r="F2820" s="748">
        <f t="shared" si="283"/>
        <v>0</v>
      </c>
      <c r="G2820" s="1205"/>
      <c r="H2820" s="1055"/>
      <c r="I2820" s="1055"/>
      <c r="J2820" s="1055"/>
      <c r="K2820" s="1205"/>
      <c r="L2820" s="1055"/>
      <c r="M2820" s="1205"/>
      <c r="N2820" s="1054"/>
      <c r="O2820" s="1207"/>
      <c r="Q2820" s="1207"/>
    </row>
    <row r="2821" spans="3:17" s="700" customFormat="1" ht="70.5" hidden="1" customHeight="1">
      <c r="C2821" s="701"/>
      <c r="D2821" s="811"/>
      <c r="E2821" s="1276">
        <f>[11]building!Y3152</f>
        <v>0</v>
      </c>
      <c r="F2821" s="748">
        <f t="shared" si="283"/>
        <v>0</v>
      </c>
      <c r="G2821" s="1205"/>
      <c r="H2821" s="1055"/>
      <c r="I2821" s="1055"/>
      <c r="J2821" s="1055"/>
      <c r="K2821" s="1205"/>
      <c r="L2821" s="1055"/>
      <c r="M2821" s="1205"/>
      <c r="N2821" s="1054"/>
      <c r="O2821" s="1207"/>
      <c r="Q2821" s="1207"/>
    </row>
    <row r="2822" spans="3:17" s="700" customFormat="1" ht="70.5" hidden="1" customHeight="1">
      <c r="C2822" s="701"/>
      <c r="D2822" s="811"/>
      <c r="E2822" s="1276">
        <f>[11]building!Y3153</f>
        <v>0</v>
      </c>
      <c r="F2822" s="748">
        <f t="shared" si="283"/>
        <v>0</v>
      </c>
      <c r="G2822" s="1205"/>
      <c r="H2822" s="1055"/>
      <c r="I2822" s="1055"/>
      <c r="J2822" s="1055"/>
      <c r="K2822" s="1205"/>
      <c r="L2822" s="1055"/>
      <c r="M2822" s="1205"/>
      <c r="N2822" s="1054"/>
      <c r="O2822" s="1207"/>
      <c r="Q2822" s="1207"/>
    </row>
    <row r="2823" spans="3:17" s="700" customFormat="1" ht="70.5" hidden="1" customHeight="1">
      <c r="C2823" s="701"/>
      <c r="D2823" s="811"/>
      <c r="E2823" s="1276">
        <f>[11]building!Y3154</f>
        <v>0</v>
      </c>
      <c r="F2823" s="748">
        <f t="shared" si="283"/>
        <v>0</v>
      </c>
      <c r="G2823" s="1205"/>
      <c r="H2823" s="1055"/>
      <c r="I2823" s="1055"/>
      <c r="J2823" s="1055"/>
      <c r="K2823" s="1205"/>
      <c r="L2823" s="1055"/>
      <c r="M2823" s="1205"/>
      <c r="N2823" s="1054"/>
      <c r="O2823" s="1207"/>
      <c r="Q2823" s="1207"/>
    </row>
    <row r="2824" spans="3:17" s="700" customFormat="1" ht="70.5" hidden="1" customHeight="1">
      <c r="C2824" s="701"/>
      <c r="D2824" s="811"/>
      <c r="E2824" s="1276">
        <f>[11]building!Y3155</f>
        <v>0</v>
      </c>
      <c r="F2824" s="748">
        <f t="shared" si="283"/>
        <v>0</v>
      </c>
      <c r="G2824" s="1205"/>
      <c r="H2824" s="1055"/>
      <c r="I2824" s="1055"/>
      <c r="J2824" s="1055"/>
      <c r="K2824" s="1205"/>
      <c r="L2824" s="1055"/>
      <c r="M2824" s="1205"/>
      <c r="N2824" s="1054"/>
      <c r="O2824" s="1207"/>
      <c r="Q2824" s="1207"/>
    </row>
    <row r="2825" spans="3:17" s="700" customFormat="1" ht="70.5" hidden="1" customHeight="1">
      <c r="C2825" s="701"/>
      <c r="D2825" s="811"/>
      <c r="E2825" s="1276">
        <f>[11]building!Y3156</f>
        <v>0</v>
      </c>
      <c r="F2825" s="748">
        <f t="shared" si="283"/>
        <v>0</v>
      </c>
      <c r="G2825" s="1205"/>
      <c r="H2825" s="1055"/>
      <c r="I2825" s="1055"/>
      <c r="J2825" s="1055"/>
      <c r="K2825" s="1205"/>
      <c r="L2825" s="1055"/>
      <c r="M2825" s="1205"/>
      <c r="N2825" s="1054"/>
      <c r="O2825" s="1207"/>
      <c r="Q2825" s="1207"/>
    </row>
    <row r="2826" spans="3:17" s="700" customFormat="1" ht="70.5" hidden="1" customHeight="1">
      <c r="C2826" s="701"/>
      <c r="D2826" s="811"/>
      <c r="E2826" s="1276">
        <f>[11]building!Y3157</f>
        <v>0</v>
      </c>
      <c r="F2826" s="748">
        <f t="shared" si="283"/>
        <v>0</v>
      </c>
      <c r="G2826" s="1205"/>
      <c r="H2826" s="1055"/>
      <c r="I2826" s="1055"/>
      <c r="J2826" s="1055"/>
      <c r="K2826" s="1205"/>
      <c r="L2826" s="1055"/>
      <c r="M2826" s="1205"/>
      <c r="N2826" s="1054"/>
      <c r="O2826" s="1207"/>
      <c r="Q2826" s="1207"/>
    </row>
    <row r="2827" spans="3:17" s="700" customFormat="1" ht="70.5" hidden="1" customHeight="1">
      <c r="C2827" s="701"/>
      <c r="D2827" s="811"/>
      <c r="E2827" s="1276">
        <f>[11]building!Y3158</f>
        <v>0</v>
      </c>
      <c r="F2827" s="748">
        <f t="shared" si="283"/>
        <v>0</v>
      </c>
      <c r="G2827" s="1205"/>
      <c r="H2827" s="1055"/>
      <c r="I2827" s="1055"/>
      <c r="J2827" s="1055"/>
      <c r="K2827" s="1205"/>
      <c r="L2827" s="1055"/>
      <c r="M2827" s="1205"/>
      <c r="N2827" s="1054"/>
      <c r="O2827" s="1207"/>
      <c r="Q2827" s="1207"/>
    </row>
    <row r="2828" spans="3:17" s="700" customFormat="1" ht="70.5" hidden="1" customHeight="1">
      <c r="C2828" s="701"/>
      <c r="D2828" s="811"/>
      <c r="E2828" s="1276">
        <f>[11]building!Y3159</f>
        <v>0</v>
      </c>
      <c r="F2828" s="748">
        <f t="shared" si="283"/>
        <v>0</v>
      </c>
      <c r="G2828" s="1205"/>
      <c r="H2828" s="1055"/>
      <c r="I2828" s="1055"/>
      <c r="J2828" s="1055"/>
      <c r="K2828" s="1205"/>
      <c r="L2828" s="1055"/>
      <c r="M2828" s="1205"/>
      <c r="N2828" s="1054"/>
      <c r="O2828" s="1207"/>
      <c r="Q2828" s="1207"/>
    </row>
    <row r="2829" spans="3:17" s="700" customFormat="1" ht="70.5" hidden="1" customHeight="1">
      <c r="C2829" s="701"/>
      <c r="D2829" s="811"/>
      <c r="E2829" s="1276">
        <f>[11]building!Y3160</f>
        <v>0</v>
      </c>
      <c r="F2829" s="748">
        <f t="shared" si="283"/>
        <v>0</v>
      </c>
      <c r="G2829" s="1205"/>
      <c r="H2829" s="1055"/>
      <c r="I2829" s="1055"/>
      <c r="J2829" s="1055"/>
      <c r="K2829" s="1205"/>
      <c r="L2829" s="1055"/>
      <c r="M2829" s="1205"/>
      <c r="N2829" s="1054"/>
      <c r="O2829" s="1207"/>
      <c r="Q2829" s="1207"/>
    </row>
    <row r="2830" spans="3:17" s="700" customFormat="1" ht="70.5" hidden="1" customHeight="1">
      <c r="C2830" s="701"/>
      <c r="D2830" s="811"/>
      <c r="E2830" s="1276">
        <f>[11]building!Y3161</f>
        <v>0</v>
      </c>
      <c r="F2830" s="748">
        <f t="shared" si="283"/>
        <v>0</v>
      </c>
      <c r="G2830" s="1205"/>
      <c r="H2830" s="1055"/>
      <c r="I2830" s="1055"/>
      <c r="J2830" s="1055"/>
      <c r="K2830" s="1205"/>
      <c r="L2830" s="1055"/>
      <c r="M2830" s="1205"/>
      <c r="N2830" s="1054"/>
      <c r="O2830" s="1207"/>
      <c r="Q2830" s="1207"/>
    </row>
    <row r="2831" spans="3:17" s="700" customFormat="1" ht="70.5" hidden="1" customHeight="1">
      <c r="C2831" s="701"/>
      <c r="D2831" s="811"/>
      <c r="E2831" s="1276">
        <f>[11]building!Y3162</f>
        <v>0</v>
      </c>
      <c r="F2831" s="748">
        <f t="shared" si="283"/>
        <v>0</v>
      </c>
      <c r="G2831" s="1205"/>
      <c r="H2831" s="1055"/>
      <c r="I2831" s="1055"/>
      <c r="J2831" s="1055"/>
      <c r="K2831" s="1205"/>
      <c r="L2831" s="1055"/>
      <c r="M2831" s="1205"/>
      <c r="N2831" s="1054"/>
      <c r="O2831" s="1207"/>
      <c r="Q2831" s="1207"/>
    </row>
    <row r="2832" spans="3:17" s="700" customFormat="1" ht="70.5" hidden="1" customHeight="1">
      <c r="C2832" s="701"/>
      <c r="D2832" s="811"/>
      <c r="E2832" s="1276">
        <f>[11]building!Y3163</f>
        <v>0</v>
      </c>
      <c r="F2832" s="748">
        <f t="shared" si="283"/>
        <v>0</v>
      </c>
      <c r="G2832" s="1205"/>
      <c r="H2832" s="1055"/>
      <c r="I2832" s="1055"/>
      <c r="J2832" s="1055"/>
      <c r="K2832" s="1205"/>
      <c r="L2832" s="1055"/>
      <c r="M2832" s="1205"/>
      <c r="N2832" s="1054"/>
      <c r="O2832" s="1207"/>
      <c r="Q2832" s="1207"/>
    </row>
    <row r="2833" spans="3:17" s="700" customFormat="1" ht="70.5" hidden="1" customHeight="1">
      <c r="C2833" s="701"/>
      <c r="D2833" s="811"/>
      <c r="E2833" s="1276">
        <f>[11]building!Y3164</f>
        <v>0</v>
      </c>
      <c r="F2833" s="748">
        <f t="shared" si="283"/>
        <v>0</v>
      </c>
      <c r="G2833" s="1205"/>
      <c r="H2833" s="1055"/>
      <c r="I2833" s="1055"/>
      <c r="J2833" s="1055"/>
      <c r="K2833" s="1205"/>
      <c r="L2833" s="1055"/>
      <c r="M2833" s="1205"/>
      <c r="N2833" s="1054"/>
      <c r="O2833" s="1207"/>
      <c r="Q2833" s="1207"/>
    </row>
    <row r="2834" spans="3:17" s="700" customFormat="1" ht="70.5" hidden="1" customHeight="1">
      <c r="C2834" s="701"/>
      <c r="D2834" s="811"/>
      <c r="E2834" s="1276">
        <f>[11]building!Y3165</f>
        <v>0</v>
      </c>
      <c r="F2834" s="748">
        <f t="shared" si="283"/>
        <v>0</v>
      </c>
      <c r="G2834" s="1205"/>
      <c r="H2834" s="1055"/>
      <c r="I2834" s="1055"/>
      <c r="J2834" s="1055"/>
      <c r="K2834" s="1205"/>
      <c r="L2834" s="1055"/>
      <c r="M2834" s="1205"/>
      <c r="N2834" s="1054"/>
      <c r="O2834" s="1207"/>
      <c r="Q2834" s="1207"/>
    </row>
    <row r="2835" spans="3:17" s="700" customFormat="1" ht="70.5" hidden="1" customHeight="1">
      <c r="C2835" s="701"/>
      <c r="D2835" s="811"/>
      <c r="E2835" s="1276">
        <f>[11]building!Y3166</f>
        <v>0</v>
      </c>
      <c r="F2835" s="748">
        <f t="shared" si="283"/>
        <v>0</v>
      </c>
      <c r="G2835" s="1205"/>
      <c r="H2835" s="1055"/>
      <c r="I2835" s="1055"/>
      <c r="J2835" s="1055"/>
      <c r="K2835" s="1205"/>
      <c r="L2835" s="1055"/>
      <c r="M2835" s="1205"/>
      <c r="N2835" s="1054"/>
      <c r="O2835" s="1207"/>
      <c r="Q2835" s="1207"/>
    </row>
    <row r="2836" spans="3:17" s="700" customFormat="1" ht="70.5" hidden="1" customHeight="1">
      <c r="C2836" s="701"/>
      <c r="D2836" s="811"/>
      <c r="E2836" s="1276">
        <f>[11]building!Y3167</f>
        <v>0</v>
      </c>
      <c r="F2836" s="748">
        <f t="shared" si="283"/>
        <v>0</v>
      </c>
      <c r="G2836" s="1205"/>
      <c r="H2836" s="1055"/>
      <c r="I2836" s="1055"/>
      <c r="J2836" s="1055"/>
      <c r="K2836" s="1205"/>
      <c r="L2836" s="1055"/>
      <c r="M2836" s="1205"/>
      <c r="N2836" s="1054"/>
      <c r="O2836" s="1207"/>
      <c r="Q2836" s="1207"/>
    </row>
    <row r="2837" spans="3:17" s="700" customFormat="1" ht="70.5" hidden="1" customHeight="1">
      <c r="C2837" s="701"/>
      <c r="D2837" s="811"/>
      <c r="E2837" s="1276">
        <f>[11]building!Y3168</f>
        <v>0</v>
      </c>
      <c r="F2837" s="748">
        <f t="shared" si="283"/>
        <v>0</v>
      </c>
      <c r="G2837" s="1205"/>
      <c r="H2837" s="1055"/>
      <c r="I2837" s="1055"/>
      <c r="J2837" s="1055"/>
      <c r="K2837" s="1205"/>
      <c r="L2837" s="1055"/>
      <c r="M2837" s="1205"/>
      <c r="N2837" s="1054"/>
      <c r="O2837" s="1207"/>
      <c r="Q2837" s="1207"/>
    </row>
    <row r="2838" spans="3:17" s="700" customFormat="1" ht="70.5" hidden="1" customHeight="1">
      <c r="C2838" s="701"/>
      <c r="D2838" s="811"/>
      <c r="E2838" s="1276">
        <f>[11]building!Y3169</f>
        <v>0</v>
      </c>
      <c r="F2838" s="748">
        <f t="shared" si="283"/>
        <v>0</v>
      </c>
      <c r="G2838" s="1205"/>
      <c r="H2838" s="1055"/>
      <c r="I2838" s="1055"/>
      <c r="J2838" s="1055"/>
      <c r="K2838" s="1205"/>
      <c r="L2838" s="1055"/>
      <c r="M2838" s="1205"/>
      <c r="N2838" s="1054"/>
      <c r="O2838" s="1207"/>
      <c r="Q2838" s="1207"/>
    </row>
    <row r="2839" spans="3:17" s="700" customFormat="1" ht="70.5" hidden="1" customHeight="1">
      <c r="C2839" s="701"/>
      <c r="D2839" s="811"/>
      <c r="E2839" s="1276">
        <f>[11]building!Y3170</f>
        <v>0</v>
      </c>
      <c r="F2839" s="748">
        <f t="shared" si="283"/>
        <v>0</v>
      </c>
      <c r="G2839" s="1205"/>
      <c r="H2839" s="1055"/>
      <c r="I2839" s="1055"/>
      <c r="J2839" s="1055"/>
      <c r="K2839" s="1205"/>
      <c r="L2839" s="1055"/>
      <c r="M2839" s="1205"/>
      <c r="N2839" s="1054"/>
      <c r="O2839" s="1207"/>
      <c r="Q2839" s="1207"/>
    </row>
    <row r="2840" spans="3:17" s="700" customFormat="1" ht="70.5" hidden="1" customHeight="1">
      <c r="C2840" s="701"/>
      <c r="D2840" s="811"/>
      <c r="E2840" s="1276">
        <f>[11]building!Y3171</f>
        <v>0</v>
      </c>
      <c r="F2840" s="748">
        <f t="shared" si="283"/>
        <v>0</v>
      </c>
      <c r="G2840" s="1205"/>
      <c r="H2840" s="1055"/>
      <c r="I2840" s="1055"/>
      <c r="J2840" s="1055"/>
      <c r="K2840" s="1205"/>
      <c r="L2840" s="1055"/>
      <c r="M2840" s="1205"/>
      <c r="N2840" s="1054"/>
      <c r="O2840" s="1207"/>
      <c r="Q2840" s="1207"/>
    </row>
    <row r="2841" spans="3:17" s="700" customFormat="1" ht="70.5" hidden="1" customHeight="1">
      <c r="C2841" s="701"/>
      <c r="D2841" s="811"/>
      <c r="E2841" s="1276">
        <f>[11]building!Y3172</f>
        <v>0</v>
      </c>
      <c r="F2841" s="748">
        <f t="shared" si="283"/>
        <v>0</v>
      </c>
      <c r="G2841" s="1205"/>
      <c r="H2841" s="1055"/>
      <c r="I2841" s="1055"/>
      <c r="J2841" s="1055"/>
      <c r="K2841" s="1205"/>
      <c r="L2841" s="1055"/>
      <c r="M2841" s="1205"/>
      <c r="N2841" s="1054"/>
      <c r="O2841" s="1207"/>
      <c r="Q2841" s="1207"/>
    </row>
    <row r="2842" spans="3:17" s="700" customFormat="1" ht="70.5" hidden="1" customHeight="1">
      <c r="C2842" s="701"/>
      <c r="D2842" s="811"/>
      <c r="E2842" s="1276">
        <f>[11]building!Y3173</f>
        <v>0</v>
      </c>
      <c r="F2842" s="748">
        <f t="shared" si="283"/>
        <v>0</v>
      </c>
      <c r="G2842" s="1205"/>
      <c r="H2842" s="1055"/>
      <c r="I2842" s="1055"/>
      <c r="J2842" s="1055"/>
      <c r="K2842" s="1205"/>
      <c r="L2842" s="1055"/>
      <c r="M2842" s="1205"/>
      <c r="N2842" s="1054"/>
      <c r="O2842" s="1207"/>
      <c r="Q2842" s="1207"/>
    </row>
    <row r="2843" spans="3:17" s="700" customFormat="1" ht="70.5" hidden="1" customHeight="1">
      <c r="C2843" s="701"/>
      <c r="D2843" s="811"/>
      <c r="E2843" s="1276">
        <f>[11]building!Y3174</f>
        <v>0</v>
      </c>
      <c r="F2843" s="748">
        <f t="shared" si="283"/>
        <v>0</v>
      </c>
      <c r="G2843" s="1205"/>
      <c r="H2843" s="1055"/>
      <c r="I2843" s="1055"/>
      <c r="J2843" s="1055"/>
      <c r="K2843" s="1205"/>
      <c r="L2843" s="1055"/>
      <c r="M2843" s="1205"/>
      <c r="N2843" s="1054"/>
      <c r="O2843" s="1207"/>
      <c r="Q2843" s="1207"/>
    </row>
    <row r="2844" spans="3:17" s="700" customFormat="1" ht="70.5" hidden="1" customHeight="1">
      <c r="C2844" s="701"/>
      <c r="D2844" s="811"/>
      <c r="E2844" s="1276">
        <f>[11]building!Y3175</f>
        <v>0</v>
      </c>
      <c r="F2844" s="748">
        <f t="shared" si="283"/>
        <v>0</v>
      </c>
      <c r="G2844" s="1205"/>
      <c r="H2844" s="1055"/>
      <c r="I2844" s="1055"/>
      <c r="J2844" s="1055"/>
      <c r="K2844" s="1205"/>
      <c r="L2844" s="1055"/>
      <c r="M2844" s="1205"/>
      <c r="N2844" s="1054"/>
      <c r="O2844" s="1207"/>
      <c r="Q2844" s="1207"/>
    </row>
    <row r="2845" spans="3:17" s="700" customFormat="1" ht="70.5" hidden="1" customHeight="1">
      <c r="C2845" s="701"/>
      <c r="D2845" s="811"/>
      <c r="E2845" s="1276">
        <f>[11]building!Y3176</f>
        <v>0</v>
      </c>
      <c r="F2845" s="748">
        <f t="shared" si="283"/>
        <v>0</v>
      </c>
      <c r="G2845" s="1205"/>
      <c r="H2845" s="1055"/>
      <c r="I2845" s="1055"/>
      <c r="J2845" s="1055"/>
      <c r="K2845" s="1205"/>
      <c r="L2845" s="1055"/>
      <c r="M2845" s="1205"/>
      <c r="N2845" s="1054"/>
      <c r="O2845" s="1207"/>
      <c r="Q2845" s="1207"/>
    </row>
    <row r="2846" spans="3:17" s="700" customFormat="1" ht="70.5" hidden="1" customHeight="1">
      <c r="C2846" s="701"/>
      <c r="D2846" s="811"/>
      <c r="E2846" s="1276">
        <f>[11]building!Y3177</f>
        <v>0</v>
      </c>
      <c r="F2846" s="748">
        <f t="shared" si="283"/>
        <v>0</v>
      </c>
      <c r="G2846" s="1205"/>
      <c r="H2846" s="1055"/>
      <c r="I2846" s="1055"/>
      <c r="J2846" s="1055"/>
      <c r="K2846" s="1205"/>
      <c r="L2846" s="1055"/>
      <c r="M2846" s="1205"/>
      <c r="N2846" s="1054"/>
      <c r="O2846" s="1207"/>
      <c r="Q2846" s="1207"/>
    </row>
    <row r="2847" spans="3:17" s="700" customFormat="1" ht="70.5" hidden="1" customHeight="1">
      <c r="C2847" s="701"/>
      <c r="D2847" s="811"/>
      <c r="E2847" s="1276">
        <f>[11]building!Y3178</f>
        <v>0</v>
      </c>
      <c r="F2847" s="748">
        <f t="shared" si="283"/>
        <v>0</v>
      </c>
      <c r="G2847" s="1205"/>
      <c r="H2847" s="1055"/>
      <c r="I2847" s="1055"/>
      <c r="J2847" s="1055"/>
      <c r="K2847" s="1205"/>
      <c r="L2847" s="1055"/>
      <c r="M2847" s="1205"/>
      <c r="N2847" s="1054"/>
      <c r="O2847" s="1207"/>
      <c r="Q2847" s="1207"/>
    </row>
    <row r="2848" spans="3:17" s="700" customFormat="1" ht="70.5" hidden="1" customHeight="1">
      <c r="C2848" s="701"/>
      <c r="D2848" s="811"/>
      <c r="E2848" s="1276">
        <f>[11]building!Y3179</f>
        <v>0</v>
      </c>
      <c r="F2848" s="748">
        <f t="shared" si="283"/>
        <v>0</v>
      </c>
      <c r="G2848" s="1205"/>
      <c r="H2848" s="1055"/>
      <c r="I2848" s="1055"/>
      <c r="J2848" s="1055"/>
      <c r="K2848" s="1205"/>
      <c r="L2848" s="1055"/>
      <c r="M2848" s="1205"/>
      <c r="N2848" s="1054"/>
      <c r="O2848" s="1207"/>
      <c r="Q2848" s="1207"/>
    </row>
    <row r="2849" spans="3:17" s="700" customFormat="1" ht="70.5" hidden="1" customHeight="1">
      <c r="C2849" s="701"/>
      <c r="D2849" s="811"/>
      <c r="E2849" s="1276">
        <f>[11]building!Y3180</f>
        <v>0</v>
      </c>
      <c r="F2849" s="748">
        <f t="shared" si="283"/>
        <v>0</v>
      </c>
      <c r="G2849" s="1205"/>
      <c r="H2849" s="1055"/>
      <c r="I2849" s="1055"/>
      <c r="J2849" s="1055"/>
      <c r="K2849" s="1205"/>
      <c r="L2849" s="1055"/>
      <c r="M2849" s="1205"/>
      <c r="N2849" s="1054"/>
      <c r="O2849" s="1207"/>
      <c r="Q2849" s="1207"/>
    </row>
    <row r="2850" spans="3:17" s="700" customFormat="1" ht="70.5" hidden="1" customHeight="1">
      <c r="C2850" s="701"/>
      <c r="D2850" s="811"/>
      <c r="E2850" s="1276">
        <f>[11]building!Y3181</f>
        <v>0</v>
      </c>
      <c r="F2850" s="748">
        <f t="shared" si="283"/>
        <v>0</v>
      </c>
      <c r="G2850" s="1205"/>
      <c r="H2850" s="1055"/>
      <c r="I2850" s="1055"/>
      <c r="J2850" s="1055"/>
      <c r="K2850" s="1205"/>
      <c r="L2850" s="1055"/>
      <c r="M2850" s="1205"/>
      <c r="N2850" s="1054"/>
      <c r="O2850" s="1207"/>
      <c r="Q2850" s="1207"/>
    </row>
    <row r="2851" spans="3:17" s="700" customFormat="1" ht="70.5" hidden="1" customHeight="1">
      <c r="C2851" s="701"/>
      <c r="D2851" s="811"/>
      <c r="E2851" s="1276">
        <f>[11]building!Y3182</f>
        <v>0</v>
      </c>
      <c r="F2851" s="748">
        <f t="shared" si="283"/>
        <v>0</v>
      </c>
      <c r="G2851" s="1205"/>
      <c r="H2851" s="1055"/>
      <c r="I2851" s="1055"/>
      <c r="J2851" s="1055"/>
      <c r="K2851" s="1205"/>
      <c r="L2851" s="1055"/>
      <c r="M2851" s="1205"/>
      <c r="N2851" s="1054"/>
      <c r="O2851" s="1207"/>
      <c r="Q2851" s="1207"/>
    </row>
    <row r="2852" spans="3:17" s="700" customFormat="1" ht="70.5" hidden="1" customHeight="1">
      <c r="C2852" s="701"/>
      <c r="D2852" s="811"/>
      <c r="E2852" s="1276">
        <f>[11]building!Y3183</f>
        <v>0</v>
      </c>
      <c r="F2852" s="748">
        <f t="shared" si="283"/>
        <v>0</v>
      </c>
      <c r="G2852" s="1205"/>
      <c r="H2852" s="1055"/>
      <c r="I2852" s="1055"/>
      <c r="J2852" s="1055"/>
      <c r="K2852" s="1205"/>
      <c r="L2852" s="1055"/>
      <c r="M2852" s="1205"/>
      <c r="N2852" s="1054"/>
      <c r="O2852" s="1207"/>
      <c r="Q2852" s="1207"/>
    </row>
    <row r="2853" spans="3:17" s="700" customFormat="1" ht="70.5" hidden="1" customHeight="1">
      <c r="C2853" s="701"/>
      <c r="D2853" s="811"/>
      <c r="E2853" s="1276">
        <f>[11]building!Y3184</f>
        <v>0</v>
      </c>
      <c r="F2853" s="748">
        <f t="shared" si="283"/>
        <v>0</v>
      </c>
      <c r="G2853" s="1205"/>
      <c r="H2853" s="1055"/>
      <c r="I2853" s="1055"/>
      <c r="J2853" s="1055"/>
      <c r="K2853" s="1205"/>
      <c r="L2853" s="1055"/>
      <c r="M2853" s="1205"/>
      <c r="N2853" s="1054"/>
      <c r="O2853" s="1207"/>
      <c r="Q2853" s="1207"/>
    </row>
    <row r="2854" spans="3:17" s="700" customFormat="1" ht="70.5" hidden="1" customHeight="1">
      <c r="C2854" s="701"/>
      <c r="D2854" s="811"/>
      <c r="E2854" s="1276">
        <f>[11]building!Y3185</f>
        <v>0</v>
      </c>
      <c r="F2854" s="748">
        <f t="shared" si="283"/>
        <v>0</v>
      </c>
      <c r="G2854" s="1205"/>
      <c r="H2854" s="1055"/>
      <c r="I2854" s="1055"/>
      <c r="J2854" s="1055"/>
      <c r="K2854" s="1205"/>
      <c r="L2854" s="1055"/>
      <c r="M2854" s="1205"/>
      <c r="N2854" s="1054"/>
      <c r="O2854" s="1207"/>
      <c r="Q2854" s="1207"/>
    </row>
    <row r="2855" spans="3:17" s="700" customFormat="1" ht="70.5" hidden="1" customHeight="1">
      <c r="C2855" s="701"/>
      <c r="D2855" s="811"/>
      <c r="E2855" s="1276">
        <f>[11]building!Y3186</f>
        <v>0</v>
      </c>
      <c r="F2855" s="748">
        <f t="shared" si="283"/>
        <v>0</v>
      </c>
      <c r="G2855" s="1205"/>
      <c r="H2855" s="1055"/>
      <c r="I2855" s="1055"/>
      <c r="J2855" s="1055"/>
      <c r="K2855" s="1205"/>
      <c r="L2855" s="1055"/>
      <c r="M2855" s="1205"/>
      <c r="N2855" s="1054"/>
      <c r="O2855" s="1207"/>
      <c r="Q2855" s="1207"/>
    </row>
    <row r="2856" spans="3:17" s="700" customFormat="1" ht="70.5" hidden="1" customHeight="1">
      <c r="C2856" s="701"/>
      <c r="D2856" s="811"/>
      <c r="E2856" s="1276">
        <f>[11]building!Y3187</f>
        <v>0</v>
      </c>
      <c r="F2856" s="748">
        <f t="shared" si="283"/>
        <v>0</v>
      </c>
      <c r="G2856" s="1205"/>
      <c r="H2856" s="1055"/>
      <c r="I2856" s="1055"/>
      <c r="J2856" s="1055"/>
      <c r="K2856" s="1205"/>
      <c r="L2856" s="1055"/>
      <c r="M2856" s="1205"/>
      <c r="N2856" s="1054"/>
      <c r="O2856" s="1207"/>
      <c r="Q2856" s="1207"/>
    </row>
    <row r="2857" spans="3:17" s="700" customFormat="1" ht="70.5" hidden="1" customHeight="1">
      <c r="C2857" s="701"/>
      <c r="D2857" s="811"/>
      <c r="E2857" s="1276">
        <f>[11]building!Y3188</f>
        <v>0</v>
      </c>
      <c r="F2857" s="748">
        <f t="shared" si="283"/>
        <v>0</v>
      </c>
      <c r="G2857" s="1205"/>
      <c r="H2857" s="1055"/>
      <c r="I2857" s="1055"/>
      <c r="J2857" s="1055"/>
      <c r="K2857" s="1205"/>
      <c r="L2857" s="1055"/>
      <c r="M2857" s="1205"/>
      <c r="N2857" s="1054"/>
      <c r="O2857" s="1207"/>
      <c r="Q2857" s="1207"/>
    </row>
    <row r="2858" spans="3:17" s="700" customFormat="1" ht="70.5" hidden="1" customHeight="1">
      <c r="C2858" s="701"/>
      <c r="D2858" s="811"/>
      <c r="E2858" s="1276">
        <f>[11]building!Y3189</f>
        <v>0</v>
      </c>
      <c r="F2858" s="748">
        <f t="shared" si="283"/>
        <v>0</v>
      </c>
      <c r="G2858" s="1205"/>
      <c r="H2858" s="1055"/>
      <c r="I2858" s="1055"/>
      <c r="J2858" s="1055"/>
      <c r="K2858" s="1205"/>
      <c r="L2858" s="1055"/>
      <c r="M2858" s="1205"/>
      <c r="N2858" s="1054"/>
      <c r="O2858" s="1207"/>
      <c r="Q2858" s="1207"/>
    </row>
    <row r="2859" spans="3:17" s="700" customFormat="1" ht="70.5" hidden="1" customHeight="1">
      <c r="C2859" s="701"/>
      <c r="D2859" s="811"/>
      <c r="E2859" s="1276">
        <f>[11]building!Y3190</f>
        <v>0</v>
      </c>
      <c r="F2859" s="748">
        <f t="shared" si="283"/>
        <v>0</v>
      </c>
      <c r="G2859" s="1205"/>
      <c r="H2859" s="1055"/>
      <c r="I2859" s="1055"/>
      <c r="J2859" s="1055"/>
      <c r="K2859" s="1205"/>
      <c r="L2859" s="1055"/>
      <c r="M2859" s="1205"/>
      <c r="N2859" s="1054"/>
      <c r="O2859" s="1207"/>
      <c r="Q2859" s="1207"/>
    </row>
    <row r="2860" spans="3:17" s="700" customFormat="1" ht="70.5" hidden="1" customHeight="1">
      <c r="C2860" s="701"/>
      <c r="D2860" s="811"/>
      <c r="E2860" s="1276">
        <f>[11]building!Y3191</f>
        <v>0</v>
      </c>
      <c r="F2860" s="748">
        <f t="shared" si="283"/>
        <v>0</v>
      </c>
      <c r="G2860" s="1205"/>
      <c r="H2860" s="1055"/>
      <c r="I2860" s="1055"/>
      <c r="J2860" s="1055"/>
      <c r="K2860" s="1205"/>
      <c r="L2860" s="1055"/>
      <c r="M2860" s="1205"/>
      <c r="N2860" s="1054"/>
      <c r="O2860" s="1207"/>
      <c r="Q2860" s="1207"/>
    </row>
    <row r="2861" spans="3:17" s="700" customFormat="1" ht="70.5" hidden="1" customHeight="1">
      <c r="C2861" s="701"/>
      <c r="D2861" s="811"/>
      <c r="E2861" s="1276">
        <f>[11]building!Y3192</f>
        <v>0</v>
      </c>
      <c r="F2861" s="748">
        <f t="shared" si="283"/>
        <v>0</v>
      </c>
      <c r="G2861" s="1205"/>
      <c r="H2861" s="1055"/>
      <c r="I2861" s="1055"/>
      <c r="J2861" s="1055"/>
      <c r="K2861" s="1205"/>
      <c r="L2861" s="1055"/>
      <c r="M2861" s="1205"/>
      <c r="N2861" s="1054"/>
      <c r="O2861" s="1207"/>
      <c r="Q2861" s="1207"/>
    </row>
    <row r="2862" spans="3:17" s="700" customFormat="1" ht="70.5" hidden="1" customHeight="1">
      <c r="C2862" s="701"/>
      <c r="D2862" s="811"/>
      <c r="E2862" s="1276">
        <f>[11]building!Y3193</f>
        <v>0</v>
      </c>
      <c r="F2862" s="748">
        <f t="shared" si="283"/>
        <v>0</v>
      </c>
      <c r="G2862" s="1205"/>
      <c r="H2862" s="1055"/>
      <c r="I2862" s="1055"/>
      <c r="J2862" s="1055"/>
      <c r="K2862" s="1205"/>
      <c r="L2862" s="1055"/>
      <c r="M2862" s="1205"/>
      <c r="N2862" s="1054"/>
      <c r="O2862" s="1207"/>
      <c r="Q2862" s="1207"/>
    </row>
    <row r="2863" spans="3:17" s="700" customFormat="1" ht="70.5" hidden="1" customHeight="1">
      <c r="C2863" s="701"/>
      <c r="D2863" s="811"/>
      <c r="E2863" s="1276">
        <f>[11]building!Y3194</f>
        <v>0</v>
      </c>
      <c r="F2863" s="748">
        <f t="shared" si="283"/>
        <v>0</v>
      </c>
      <c r="G2863" s="1205"/>
      <c r="H2863" s="1055"/>
      <c r="I2863" s="1055"/>
      <c r="J2863" s="1055"/>
      <c r="K2863" s="1205"/>
      <c r="L2863" s="1055"/>
      <c r="M2863" s="1205"/>
      <c r="N2863" s="1054"/>
      <c r="O2863" s="1207"/>
      <c r="Q2863" s="1207"/>
    </row>
    <row r="2864" spans="3:17" s="700" customFormat="1" ht="70.5" hidden="1" customHeight="1">
      <c r="C2864" s="701"/>
      <c r="D2864" s="811"/>
      <c r="E2864" s="1276">
        <f>[11]building!Y3195</f>
        <v>0</v>
      </c>
      <c r="F2864" s="748">
        <f t="shared" si="283"/>
        <v>0</v>
      </c>
      <c r="G2864" s="1205"/>
      <c r="H2864" s="1055"/>
      <c r="I2864" s="1055"/>
      <c r="J2864" s="1055"/>
      <c r="K2864" s="1205"/>
      <c r="L2864" s="1055"/>
      <c r="M2864" s="1205"/>
      <c r="N2864" s="1054"/>
      <c r="O2864" s="1207"/>
      <c r="Q2864" s="1207"/>
    </row>
    <row r="2865" spans="3:17" s="700" customFormat="1" ht="70.5" hidden="1" customHeight="1">
      <c r="C2865" s="701"/>
      <c r="D2865" s="811"/>
      <c r="E2865" s="1276">
        <f>[11]building!Y3196</f>
        <v>0</v>
      </c>
      <c r="F2865" s="748">
        <f t="shared" si="283"/>
        <v>0</v>
      </c>
      <c r="G2865" s="1205"/>
      <c r="H2865" s="1055"/>
      <c r="I2865" s="1055"/>
      <c r="J2865" s="1055"/>
      <c r="K2865" s="1205"/>
      <c r="L2865" s="1055"/>
      <c r="M2865" s="1205"/>
      <c r="N2865" s="1054"/>
      <c r="O2865" s="1207"/>
      <c r="Q2865" s="1207"/>
    </row>
    <row r="2866" spans="3:17" s="700" customFormat="1" ht="70.5" hidden="1" customHeight="1">
      <c r="C2866" s="701"/>
      <c r="D2866" s="811"/>
      <c r="E2866" s="1276">
        <f>[11]building!Y3197</f>
        <v>0</v>
      </c>
      <c r="F2866" s="748">
        <f t="shared" si="283"/>
        <v>0</v>
      </c>
      <c r="G2866" s="1205"/>
      <c r="H2866" s="1055"/>
      <c r="I2866" s="1055"/>
      <c r="J2866" s="1055"/>
      <c r="K2866" s="1205"/>
      <c r="L2866" s="1055"/>
      <c r="M2866" s="1205"/>
      <c r="N2866" s="1054"/>
      <c r="O2866" s="1207"/>
      <c r="Q2866" s="1207"/>
    </row>
    <row r="2867" spans="3:17" s="700" customFormat="1" ht="70.5" hidden="1" customHeight="1">
      <c r="C2867" s="701"/>
      <c r="D2867" s="811"/>
      <c r="E2867" s="1276">
        <f>[11]building!Y3198</f>
        <v>0</v>
      </c>
      <c r="F2867" s="748">
        <f t="shared" si="283"/>
        <v>0</v>
      </c>
      <c r="G2867" s="1205"/>
      <c r="H2867" s="1055"/>
      <c r="I2867" s="1055"/>
      <c r="J2867" s="1055"/>
      <c r="K2867" s="1205"/>
      <c r="L2867" s="1055"/>
      <c r="M2867" s="1205"/>
      <c r="N2867" s="1054"/>
      <c r="O2867" s="1207"/>
      <c r="Q2867" s="1207"/>
    </row>
    <row r="2868" spans="3:17" s="700" customFormat="1" ht="70.5" hidden="1" customHeight="1">
      <c r="C2868" s="701"/>
      <c r="D2868" s="811"/>
      <c r="E2868" s="1276">
        <f>[11]building!Y3199</f>
        <v>0</v>
      </c>
      <c r="F2868" s="748">
        <f t="shared" si="283"/>
        <v>0</v>
      </c>
      <c r="G2868" s="1205"/>
      <c r="H2868" s="1055"/>
      <c r="I2868" s="1055"/>
      <c r="J2868" s="1055"/>
      <c r="K2868" s="1205"/>
      <c r="L2868" s="1055"/>
      <c r="M2868" s="1205"/>
      <c r="N2868" s="1054"/>
      <c r="O2868" s="1207"/>
      <c r="Q2868" s="1207"/>
    </row>
    <row r="2869" spans="3:17" s="700" customFormat="1" ht="70.5" hidden="1" customHeight="1">
      <c r="C2869" s="701"/>
      <c r="D2869" s="811"/>
      <c r="E2869" s="1276">
        <f>[11]building!Y3200</f>
        <v>0</v>
      </c>
      <c r="F2869" s="748">
        <f t="shared" si="283"/>
        <v>0</v>
      </c>
      <c r="G2869" s="1205"/>
      <c r="H2869" s="1055"/>
      <c r="I2869" s="1055"/>
      <c r="J2869" s="1055"/>
      <c r="K2869" s="1205"/>
      <c r="L2869" s="1055"/>
      <c r="M2869" s="1205"/>
      <c r="N2869" s="1054"/>
      <c r="O2869" s="1207"/>
      <c r="Q2869" s="1207"/>
    </row>
    <row r="2870" spans="3:17" s="700" customFormat="1" ht="70.5" hidden="1" customHeight="1">
      <c r="C2870" s="701"/>
      <c r="D2870" s="811"/>
      <c r="E2870" s="1276">
        <f>[11]building!Y3201</f>
        <v>0</v>
      </c>
      <c r="F2870" s="748">
        <f t="shared" si="283"/>
        <v>0</v>
      </c>
      <c r="G2870" s="1205"/>
      <c r="H2870" s="1055"/>
      <c r="I2870" s="1055"/>
      <c r="J2870" s="1055"/>
      <c r="K2870" s="1205"/>
      <c r="L2870" s="1055"/>
      <c r="M2870" s="1205"/>
      <c r="N2870" s="1054"/>
      <c r="O2870" s="1207"/>
      <c r="Q2870" s="1207"/>
    </row>
    <row r="2871" spans="3:17" s="700" customFormat="1" ht="70.5" hidden="1" customHeight="1">
      <c r="C2871" s="701"/>
      <c r="D2871" s="811"/>
      <c r="E2871" s="1276">
        <f>[11]building!Y3202</f>
        <v>0</v>
      </c>
      <c r="F2871" s="748">
        <f t="shared" si="283"/>
        <v>0</v>
      </c>
      <c r="G2871" s="1205"/>
      <c r="H2871" s="1055"/>
      <c r="I2871" s="1055"/>
      <c r="J2871" s="1055"/>
      <c r="K2871" s="1205"/>
      <c r="L2871" s="1055"/>
      <c r="M2871" s="1205"/>
      <c r="N2871" s="1054"/>
      <c r="O2871" s="1207"/>
      <c r="Q2871" s="1207"/>
    </row>
    <row r="2872" spans="3:17" s="700" customFormat="1" ht="70.5" hidden="1" customHeight="1">
      <c r="C2872" s="701"/>
      <c r="D2872" s="811"/>
      <c r="E2872" s="1276">
        <f>[11]building!Y3203</f>
        <v>0</v>
      </c>
      <c r="F2872" s="748">
        <f t="shared" si="283"/>
        <v>0</v>
      </c>
      <c r="G2872" s="1205"/>
      <c r="H2872" s="1055"/>
      <c r="I2872" s="1055"/>
      <c r="J2872" s="1055"/>
      <c r="K2872" s="1205"/>
      <c r="L2872" s="1055"/>
      <c r="M2872" s="1205"/>
      <c r="N2872" s="1054"/>
      <c r="O2872" s="1207"/>
      <c r="Q2872" s="1207"/>
    </row>
    <row r="2873" spans="3:17" s="700" customFormat="1" ht="70.5" hidden="1" customHeight="1">
      <c r="C2873" s="701"/>
      <c r="D2873" s="811"/>
      <c r="E2873" s="1276">
        <f>[11]building!Y3204</f>
        <v>0</v>
      </c>
      <c r="F2873" s="748">
        <f t="shared" si="283"/>
        <v>0</v>
      </c>
      <c r="G2873" s="1205"/>
      <c r="H2873" s="1055"/>
      <c r="I2873" s="1055"/>
      <c r="J2873" s="1055"/>
      <c r="K2873" s="1205"/>
      <c r="L2873" s="1055"/>
      <c r="M2873" s="1205"/>
      <c r="N2873" s="1054"/>
      <c r="O2873" s="1207"/>
      <c r="Q2873" s="1207"/>
    </row>
    <row r="2874" spans="3:17" s="700" customFormat="1" ht="70.5" hidden="1" customHeight="1">
      <c r="C2874" s="701"/>
      <c r="D2874" s="811"/>
      <c r="E2874" s="1276">
        <f>[11]building!Y3205</f>
        <v>0</v>
      </c>
      <c r="F2874" s="748">
        <f t="shared" si="283"/>
        <v>0</v>
      </c>
      <c r="G2874" s="1205"/>
      <c r="H2874" s="1055"/>
      <c r="I2874" s="1055"/>
      <c r="J2874" s="1055"/>
      <c r="K2874" s="1205"/>
      <c r="L2874" s="1055"/>
      <c r="M2874" s="1205"/>
      <c r="N2874" s="1054"/>
      <c r="O2874" s="1207"/>
      <c r="Q2874" s="1207"/>
    </row>
    <row r="2875" spans="3:17" s="700" customFormat="1" ht="70.5" hidden="1" customHeight="1">
      <c r="C2875" s="701"/>
      <c r="D2875" s="811"/>
      <c r="E2875" s="1276">
        <f>[11]building!Y3206</f>
        <v>0</v>
      </c>
      <c r="F2875" s="748">
        <f t="shared" si="283"/>
        <v>0</v>
      </c>
      <c r="G2875" s="1205"/>
      <c r="H2875" s="1055"/>
      <c r="I2875" s="1055"/>
      <c r="J2875" s="1055"/>
      <c r="K2875" s="1205"/>
      <c r="L2875" s="1055"/>
      <c r="M2875" s="1205"/>
      <c r="N2875" s="1054"/>
      <c r="O2875" s="1207"/>
      <c r="Q2875" s="1207"/>
    </row>
    <row r="2876" spans="3:17" s="700" customFormat="1" ht="70.5" hidden="1" customHeight="1">
      <c r="C2876" s="701"/>
      <c r="D2876" s="811"/>
      <c r="E2876" s="1276">
        <f>[11]building!Y3207</f>
        <v>0</v>
      </c>
      <c r="F2876" s="748">
        <f t="shared" si="283"/>
        <v>0</v>
      </c>
      <c r="G2876" s="1205"/>
      <c r="H2876" s="1055"/>
      <c r="I2876" s="1055"/>
      <c r="J2876" s="1055"/>
      <c r="K2876" s="1205"/>
      <c r="L2876" s="1055"/>
      <c r="M2876" s="1205"/>
      <c r="N2876" s="1054"/>
      <c r="O2876" s="1207"/>
      <c r="Q2876" s="1207"/>
    </row>
    <row r="2877" spans="3:17" s="700" customFormat="1" ht="70.5" hidden="1" customHeight="1">
      <c r="C2877" s="701"/>
      <c r="D2877" s="811"/>
      <c r="E2877" s="1276">
        <f>[11]building!Y3208</f>
        <v>0</v>
      </c>
      <c r="F2877" s="748">
        <f t="shared" si="283"/>
        <v>0</v>
      </c>
      <c r="G2877" s="1205"/>
      <c r="H2877" s="1055"/>
      <c r="I2877" s="1055"/>
      <c r="J2877" s="1055"/>
      <c r="K2877" s="1205"/>
      <c r="L2877" s="1055"/>
      <c r="M2877" s="1205"/>
      <c r="N2877" s="1054"/>
      <c r="O2877" s="1207"/>
      <c r="Q2877" s="1207"/>
    </row>
    <row r="2878" spans="3:17" s="700" customFormat="1" ht="70.5" hidden="1" customHeight="1">
      <c r="C2878" s="701"/>
      <c r="D2878" s="811"/>
      <c r="E2878" s="1276">
        <f>[11]building!Y3209</f>
        <v>0</v>
      </c>
      <c r="F2878" s="748">
        <f t="shared" si="283"/>
        <v>0</v>
      </c>
      <c r="G2878" s="1205"/>
      <c r="H2878" s="1055"/>
      <c r="I2878" s="1055"/>
      <c r="J2878" s="1055"/>
      <c r="K2878" s="1205"/>
      <c r="L2878" s="1055"/>
      <c r="M2878" s="1205"/>
      <c r="N2878" s="1054"/>
      <c r="O2878" s="1207"/>
      <c r="Q2878" s="1207"/>
    </row>
    <row r="2879" spans="3:17" s="700" customFormat="1" ht="70.5" hidden="1" customHeight="1">
      <c r="C2879" s="701"/>
      <c r="D2879" s="811"/>
      <c r="E2879" s="1276">
        <f>[11]building!Y3210</f>
        <v>0</v>
      </c>
      <c r="F2879" s="748">
        <f t="shared" si="283"/>
        <v>0</v>
      </c>
      <c r="G2879" s="1205"/>
      <c r="H2879" s="1055"/>
      <c r="I2879" s="1055"/>
      <c r="J2879" s="1055"/>
      <c r="K2879" s="1205"/>
      <c r="L2879" s="1055"/>
      <c r="M2879" s="1205"/>
      <c r="N2879" s="1054"/>
      <c r="O2879" s="1207"/>
      <c r="Q2879" s="1207"/>
    </row>
    <row r="2880" spans="3:17" s="700" customFormat="1" ht="70.5" hidden="1" customHeight="1">
      <c r="C2880" s="701"/>
      <c r="D2880" s="811"/>
      <c r="E2880" s="1276">
        <f>[11]building!Y3211</f>
        <v>0</v>
      </c>
      <c r="F2880" s="748">
        <f t="shared" ref="F2880:F2943" si="284">E2880*C2880</f>
        <v>0</v>
      </c>
      <c r="G2880" s="1205"/>
      <c r="H2880" s="1055"/>
      <c r="I2880" s="1055"/>
      <c r="J2880" s="1055"/>
      <c r="K2880" s="1205"/>
      <c r="L2880" s="1055"/>
      <c r="M2880" s="1205"/>
      <c r="N2880" s="1054"/>
      <c r="O2880" s="1207"/>
      <c r="Q2880" s="1207"/>
    </row>
    <row r="2881" spans="3:17" s="700" customFormat="1" ht="70.5" hidden="1" customHeight="1">
      <c r="C2881" s="701"/>
      <c r="D2881" s="811"/>
      <c r="E2881" s="1276">
        <f>[11]building!Y3212</f>
        <v>0</v>
      </c>
      <c r="F2881" s="748">
        <f t="shared" si="284"/>
        <v>0</v>
      </c>
      <c r="G2881" s="1205"/>
      <c r="H2881" s="1055"/>
      <c r="I2881" s="1055"/>
      <c r="J2881" s="1055"/>
      <c r="K2881" s="1205"/>
      <c r="L2881" s="1055"/>
      <c r="M2881" s="1205"/>
      <c r="N2881" s="1054"/>
      <c r="O2881" s="1207"/>
      <c r="Q2881" s="1207"/>
    </row>
    <row r="2882" spans="3:17" s="700" customFormat="1" ht="70.5" hidden="1" customHeight="1">
      <c r="C2882" s="701"/>
      <c r="D2882" s="811"/>
      <c r="E2882" s="1276">
        <f>[11]building!Y3213</f>
        <v>0</v>
      </c>
      <c r="F2882" s="748">
        <f t="shared" si="284"/>
        <v>0</v>
      </c>
      <c r="G2882" s="1205"/>
      <c r="H2882" s="1055"/>
      <c r="I2882" s="1055"/>
      <c r="J2882" s="1055"/>
      <c r="K2882" s="1205"/>
      <c r="L2882" s="1055"/>
      <c r="M2882" s="1205"/>
      <c r="N2882" s="1054"/>
      <c r="O2882" s="1207"/>
      <c r="Q2882" s="1207"/>
    </row>
    <row r="2883" spans="3:17" s="700" customFormat="1" ht="70.5" hidden="1" customHeight="1">
      <c r="C2883" s="701"/>
      <c r="D2883" s="811"/>
      <c r="E2883" s="1276">
        <f>[11]building!Y3214</f>
        <v>0</v>
      </c>
      <c r="F2883" s="748">
        <f t="shared" si="284"/>
        <v>0</v>
      </c>
      <c r="G2883" s="1205"/>
      <c r="H2883" s="1055"/>
      <c r="I2883" s="1055"/>
      <c r="J2883" s="1055"/>
      <c r="K2883" s="1205"/>
      <c r="L2883" s="1055"/>
      <c r="M2883" s="1205"/>
      <c r="N2883" s="1054"/>
      <c r="O2883" s="1207"/>
      <c r="Q2883" s="1207"/>
    </row>
    <row r="2884" spans="3:17" s="700" customFormat="1" ht="70.5" hidden="1" customHeight="1">
      <c r="C2884" s="701"/>
      <c r="D2884" s="811"/>
      <c r="E2884" s="1276">
        <f>[11]building!Y3215</f>
        <v>0</v>
      </c>
      <c r="F2884" s="748">
        <f t="shared" si="284"/>
        <v>0</v>
      </c>
      <c r="G2884" s="1205"/>
      <c r="H2884" s="1055"/>
      <c r="I2884" s="1055"/>
      <c r="J2884" s="1055"/>
      <c r="K2884" s="1205"/>
      <c r="L2884" s="1055"/>
      <c r="M2884" s="1205"/>
      <c r="N2884" s="1054"/>
      <c r="O2884" s="1207"/>
      <c r="Q2884" s="1207"/>
    </row>
    <row r="2885" spans="3:17" s="700" customFormat="1" ht="70.5" hidden="1" customHeight="1">
      <c r="C2885" s="701"/>
      <c r="D2885" s="811"/>
      <c r="E2885" s="1276">
        <f>[11]building!Y3216</f>
        <v>0</v>
      </c>
      <c r="F2885" s="748">
        <f t="shared" si="284"/>
        <v>0</v>
      </c>
      <c r="G2885" s="1205"/>
      <c r="H2885" s="1055"/>
      <c r="I2885" s="1055"/>
      <c r="J2885" s="1055"/>
      <c r="K2885" s="1205"/>
      <c r="L2885" s="1055"/>
      <c r="M2885" s="1205"/>
      <c r="N2885" s="1054"/>
      <c r="O2885" s="1207"/>
      <c r="Q2885" s="1207"/>
    </row>
    <row r="2886" spans="3:17" s="700" customFormat="1" ht="70.5" hidden="1" customHeight="1">
      <c r="C2886" s="701"/>
      <c r="D2886" s="811"/>
      <c r="E2886" s="1276">
        <f>[11]building!Y3217</f>
        <v>0</v>
      </c>
      <c r="F2886" s="748">
        <f t="shared" si="284"/>
        <v>0</v>
      </c>
      <c r="G2886" s="1205"/>
      <c r="H2886" s="1055"/>
      <c r="I2886" s="1055"/>
      <c r="J2886" s="1055"/>
      <c r="K2886" s="1205"/>
      <c r="L2886" s="1055"/>
      <c r="M2886" s="1205"/>
      <c r="N2886" s="1054"/>
      <c r="O2886" s="1207"/>
      <c r="Q2886" s="1207"/>
    </row>
    <row r="2887" spans="3:17" s="700" customFormat="1" ht="70.5" hidden="1" customHeight="1">
      <c r="C2887" s="701"/>
      <c r="D2887" s="811"/>
      <c r="E2887" s="1276">
        <f>[11]building!Y3218</f>
        <v>0</v>
      </c>
      <c r="F2887" s="748">
        <f t="shared" si="284"/>
        <v>0</v>
      </c>
      <c r="G2887" s="1205"/>
      <c r="H2887" s="1055"/>
      <c r="I2887" s="1055"/>
      <c r="J2887" s="1055"/>
      <c r="K2887" s="1205"/>
      <c r="L2887" s="1055"/>
      <c r="M2887" s="1205"/>
      <c r="N2887" s="1054"/>
      <c r="O2887" s="1207"/>
      <c r="Q2887" s="1207"/>
    </row>
    <row r="2888" spans="3:17" s="700" customFormat="1" ht="70.5" hidden="1" customHeight="1">
      <c r="C2888" s="701"/>
      <c r="D2888" s="811"/>
      <c r="E2888" s="1276">
        <f>[11]building!Y3219</f>
        <v>0</v>
      </c>
      <c r="F2888" s="748">
        <f t="shared" si="284"/>
        <v>0</v>
      </c>
      <c r="G2888" s="1205"/>
      <c r="H2888" s="1055"/>
      <c r="I2888" s="1055"/>
      <c r="J2888" s="1055"/>
      <c r="K2888" s="1205"/>
      <c r="L2888" s="1055"/>
      <c r="M2888" s="1205"/>
      <c r="N2888" s="1054"/>
      <c r="O2888" s="1207"/>
      <c r="Q2888" s="1207"/>
    </row>
    <row r="2889" spans="3:17" s="700" customFormat="1" ht="70.5" hidden="1" customHeight="1">
      <c r="C2889" s="701"/>
      <c r="D2889" s="811"/>
      <c r="E2889" s="1276">
        <f>[11]building!Y3220</f>
        <v>0</v>
      </c>
      <c r="F2889" s="748">
        <f t="shared" si="284"/>
        <v>0</v>
      </c>
      <c r="G2889" s="1205"/>
      <c r="H2889" s="1055"/>
      <c r="I2889" s="1055"/>
      <c r="J2889" s="1055"/>
      <c r="K2889" s="1205"/>
      <c r="L2889" s="1055"/>
      <c r="M2889" s="1205"/>
      <c r="N2889" s="1054"/>
      <c r="O2889" s="1207"/>
      <c r="Q2889" s="1207"/>
    </row>
    <row r="2890" spans="3:17" s="700" customFormat="1" ht="70.5" hidden="1" customHeight="1">
      <c r="C2890" s="701"/>
      <c r="D2890" s="811"/>
      <c r="E2890" s="1276">
        <f>[11]building!Y3221</f>
        <v>0</v>
      </c>
      <c r="F2890" s="748">
        <f t="shared" si="284"/>
        <v>0</v>
      </c>
      <c r="G2890" s="1205"/>
      <c r="H2890" s="1055"/>
      <c r="I2890" s="1055"/>
      <c r="J2890" s="1055"/>
      <c r="K2890" s="1205"/>
      <c r="L2890" s="1055"/>
      <c r="M2890" s="1205"/>
      <c r="N2890" s="1054"/>
      <c r="O2890" s="1207"/>
      <c r="Q2890" s="1207"/>
    </row>
    <row r="2891" spans="3:17" s="700" customFormat="1" ht="70.5" hidden="1" customHeight="1">
      <c r="C2891" s="701"/>
      <c r="D2891" s="811"/>
      <c r="E2891" s="1276">
        <f>[11]building!Y3222</f>
        <v>0</v>
      </c>
      <c r="F2891" s="748">
        <f t="shared" si="284"/>
        <v>0</v>
      </c>
      <c r="G2891" s="1205"/>
      <c r="H2891" s="1055"/>
      <c r="I2891" s="1055"/>
      <c r="J2891" s="1055"/>
      <c r="K2891" s="1205"/>
      <c r="L2891" s="1055"/>
      <c r="M2891" s="1205"/>
      <c r="N2891" s="1054"/>
      <c r="O2891" s="1207"/>
      <c r="Q2891" s="1207"/>
    </row>
    <row r="2892" spans="3:17" s="700" customFormat="1" ht="70.5" hidden="1" customHeight="1">
      <c r="C2892" s="701"/>
      <c r="D2892" s="811"/>
      <c r="E2892" s="1276">
        <f>[11]building!Y3223</f>
        <v>0</v>
      </c>
      <c r="F2892" s="748">
        <f t="shared" si="284"/>
        <v>0</v>
      </c>
      <c r="G2892" s="1205"/>
      <c r="H2892" s="1055"/>
      <c r="I2892" s="1055"/>
      <c r="J2892" s="1055"/>
      <c r="K2892" s="1205"/>
      <c r="L2892" s="1055"/>
      <c r="M2892" s="1205"/>
      <c r="N2892" s="1054"/>
      <c r="O2892" s="1207"/>
      <c r="Q2892" s="1207"/>
    </row>
    <row r="2893" spans="3:17" s="700" customFormat="1" ht="70.5" hidden="1" customHeight="1">
      <c r="C2893" s="701"/>
      <c r="D2893" s="811"/>
      <c r="E2893" s="1276">
        <f>[11]building!Y3224</f>
        <v>0</v>
      </c>
      <c r="F2893" s="748">
        <f t="shared" si="284"/>
        <v>0</v>
      </c>
      <c r="G2893" s="1205"/>
      <c r="H2893" s="1055"/>
      <c r="I2893" s="1055"/>
      <c r="J2893" s="1055"/>
      <c r="K2893" s="1205"/>
      <c r="L2893" s="1055"/>
      <c r="M2893" s="1205"/>
      <c r="N2893" s="1054"/>
      <c r="O2893" s="1207"/>
      <c r="Q2893" s="1207"/>
    </row>
    <row r="2894" spans="3:17" s="700" customFormat="1" ht="70.5" hidden="1" customHeight="1">
      <c r="C2894" s="701"/>
      <c r="D2894" s="811"/>
      <c r="E2894" s="1276">
        <f>[11]building!Y3225</f>
        <v>0</v>
      </c>
      <c r="F2894" s="748">
        <f t="shared" si="284"/>
        <v>0</v>
      </c>
      <c r="G2894" s="1205"/>
      <c r="H2894" s="1055"/>
      <c r="I2894" s="1055"/>
      <c r="J2894" s="1055"/>
      <c r="K2894" s="1205"/>
      <c r="L2894" s="1055"/>
      <c r="M2894" s="1205"/>
      <c r="N2894" s="1054"/>
      <c r="O2894" s="1207"/>
      <c r="Q2894" s="1207"/>
    </row>
    <row r="2895" spans="3:17" s="700" customFormat="1" ht="70.5" hidden="1" customHeight="1">
      <c r="C2895" s="701"/>
      <c r="D2895" s="811"/>
      <c r="E2895" s="1276">
        <f>[11]building!Y3226</f>
        <v>0</v>
      </c>
      <c r="F2895" s="748">
        <f t="shared" si="284"/>
        <v>0</v>
      </c>
      <c r="G2895" s="1205"/>
      <c r="H2895" s="1055"/>
      <c r="I2895" s="1055"/>
      <c r="J2895" s="1055"/>
      <c r="K2895" s="1205"/>
      <c r="L2895" s="1055"/>
      <c r="M2895" s="1205"/>
      <c r="N2895" s="1054"/>
      <c r="O2895" s="1207"/>
      <c r="Q2895" s="1207"/>
    </row>
    <row r="2896" spans="3:17" s="700" customFormat="1" ht="70.5" hidden="1" customHeight="1">
      <c r="C2896" s="701"/>
      <c r="D2896" s="811"/>
      <c r="E2896" s="1276">
        <f>[11]building!Y3227</f>
        <v>0</v>
      </c>
      <c r="F2896" s="748">
        <f t="shared" si="284"/>
        <v>0</v>
      </c>
      <c r="G2896" s="1205"/>
      <c r="H2896" s="1055"/>
      <c r="I2896" s="1055"/>
      <c r="J2896" s="1055"/>
      <c r="K2896" s="1205"/>
      <c r="L2896" s="1055"/>
      <c r="M2896" s="1205"/>
      <c r="N2896" s="1054"/>
      <c r="O2896" s="1207"/>
      <c r="Q2896" s="1207"/>
    </row>
    <row r="2897" spans="3:17" s="700" customFormat="1" ht="70.5" hidden="1" customHeight="1">
      <c r="C2897" s="701"/>
      <c r="D2897" s="811"/>
      <c r="E2897" s="1276">
        <f>[11]building!Y3228</f>
        <v>0</v>
      </c>
      <c r="F2897" s="748">
        <f t="shared" si="284"/>
        <v>0</v>
      </c>
      <c r="G2897" s="1205"/>
      <c r="H2897" s="1055"/>
      <c r="I2897" s="1055"/>
      <c r="J2897" s="1055"/>
      <c r="K2897" s="1205"/>
      <c r="L2897" s="1055"/>
      <c r="M2897" s="1205"/>
      <c r="N2897" s="1054"/>
      <c r="O2897" s="1207"/>
      <c r="Q2897" s="1207"/>
    </row>
    <row r="2898" spans="3:17" s="700" customFormat="1" ht="70.5" hidden="1" customHeight="1">
      <c r="C2898" s="701"/>
      <c r="D2898" s="811"/>
      <c r="E2898" s="1276">
        <f>[11]building!Y3229</f>
        <v>0</v>
      </c>
      <c r="F2898" s="748">
        <f t="shared" si="284"/>
        <v>0</v>
      </c>
      <c r="G2898" s="1205"/>
      <c r="H2898" s="1055"/>
      <c r="I2898" s="1055"/>
      <c r="J2898" s="1055"/>
      <c r="K2898" s="1205"/>
      <c r="L2898" s="1055"/>
      <c r="M2898" s="1205"/>
      <c r="N2898" s="1054"/>
      <c r="O2898" s="1207"/>
      <c r="Q2898" s="1207"/>
    </row>
    <row r="2899" spans="3:17" s="700" customFormat="1" ht="70.5" hidden="1" customHeight="1">
      <c r="C2899" s="701"/>
      <c r="D2899" s="811"/>
      <c r="E2899" s="1276">
        <f>[11]building!Y3230</f>
        <v>0</v>
      </c>
      <c r="F2899" s="748">
        <f t="shared" si="284"/>
        <v>0</v>
      </c>
      <c r="G2899" s="1205"/>
      <c r="H2899" s="1055"/>
      <c r="I2899" s="1055"/>
      <c r="J2899" s="1055"/>
      <c r="K2899" s="1205"/>
      <c r="L2899" s="1055"/>
      <c r="M2899" s="1205"/>
      <c r="N2899" s="1054"/>
      <c r="O2899" s="1207"/>
      <c r="Q2899" s="1207"/>
    </row>
    <row r="2900" spans="3:17" s="700" customFormat="1" ht="70.5" hidden="1" customHeight="1">
      <c r="C2900" s="701"/>
      <c r="D2900" s="811"/>
      <c r="E2900" s="1276">
        <f>[11]building!Y3231</f>
        <v>0</v>
      </c>
      <c r="F2900" s="748">
        <f t="shared" si="284"/>
        <v>0</v>
      </c>
      <c r="G2900" s="1205"/>
      <c r="H2900" s="1055"/>
      <c r="I2900" s="1055"/>
      <c r="J2900" s="1055"/>
      <c r="K2900" s="1205"/>
      <c r="L2900" s="1055"/>
      <c r="M2900" s="1205"/>
      <c r="N2900" s="1054"/>
      <c r="O2900" s="1207"/>
      <c r="Q2900" s="1207"/>
    </row>
    <row r="2901" spans="3:17" s="700" customFormat="1" ht="70.5" hidden="1" customHeight="1">
      <c r="C2901" s="701"/>
      <c r="D2901" s="811"/>
      <c r="E2901" s="1276">
        <f>[11]building!Y3232</f>
        <v>0</v>
      </c>
      <c r="F2901" s="748">
        <f t="shared" si="284"/>
        <v>0</v>
      </c>
      <c r="G2901" s="1205"/>
      <c r="H2901" s="1055"/>
      <c r="I2901" s="1055"/>
      <c r="J2901" s="1055"/>
      <c r="K2901" s="1205"/>
      <c r="L2901" s="1055"/>
      <c r="M2901" s="1205"/>
      <c r="N2901" s="1054"/>
      <c r="O2901" s="1207"/>
      <c r="Q2901" s="1207"/>
    </row>
    <row r="2902" spans="3:17" s="700" customFormat="1" ht="70.5" hidden="1" customHeight="1">
      <c r="C2902" s="701"/>
      <c r="D2902" s="811"/>
      <c r="E2902" s="1276">
        <f>[11]building!Y3233</f>
        <v>0</v>
      </c>
      <c r="F2902" s="748">
        <f t="shared" si="284"/>
        <v>0</v>
      </c>
      <c r="G2902" s="1205"/>
      <c r="H2902" s="1055"/>
      <c r="I2902" s="1055"/>
      <c r="J2902" s="1055"/>
      <c r="K2902" s="1205"/>
      <c r="L2902" s="1055"/>
      <c r="M2902" s="1205"/>
      <c r="N2902" s="1054"/>
      <c r="O2902" s="1207"/>
      <c r="Q2902" s="1207"/>
    </row>
    <row r="2903" spans="3:17" s="700" customFormat="1" ht="70.5" hidden="1" customHeight="1">
      <c r="C2903" s="701"/>
      <c r="D2903" s="811"/>
      <c r="E2903" s="1276">
        <f>[11]building!Y3234</f>
        <v>0</v>
      </c>
      <c r="F2903" s="748">
        <f t="shared" si="284"/>
        <v>0</v>
      </c>
      <c r="G2903" s="1205"/>
      <c r="H2903" s="1055"/>
      <c r="I2903" s="1055"/>
      <c r="J2903" s="1055"/>
      <c r="K2903" s="1205"/>
      <c r="L2903" s="1055"/>
      <c r="M2903" s="1205"/>
      <c r="N2903" s="1054"/>
      <c r="O2903" s="1207"/>
      <c r="Q2903" s="1207"/>
    </row>
    <row r="2904" spans="3:17" s="700" customFormat="1" ht="70.5" hidden="1" customHeight="1">
      <c r="C2904" s="701"/>
      <c r="D2904" s="811"/>
      <c r="E2904" s="1276">
        <f>[11]building!Y3235</f>
        <v>0</v>
      </c>
      <c r="F2904" s="748">
        <f t="shared" si="284"/>
        <v>0</v>
      </c>
      <c r="G2904" s="1205"/>
      <c r="H2904" s="1055"/>
      <c r="I2904" s="1055"/>
      <c r="J2904" s="1055"/>
      <c r="K2904" s="1205"/>
      <c r="L2904" s="1055"/>
      <c r="M2904" s="1205"/>
      <c r="N2904" s="1054"/>
      <c r="O2904" s="1207"/>
      <c r="Q2904" s="1207"/>
    </row>
    <row r="2905" spans="3:17" s="700" customFormat="1" ht="70.5" hidden="1" customHeight="1">
      <c r="C2905" s="701"/>
      <c r="D2905" s="811"/>
      <c r="E2905" s="1276">
        <f>[11]building!Y3236</f>
        <v>0</v>
      </c>
      <c r="F2905" s="748">
        <f t="shared" si="284"/>
        <v>0</v>
      </c>
      <c r="G2905" s="1205"/>
      <c r="H2905" s="1055"/>
      <c r="I2905" s="1055"/>
      <c r="J2905" s="1055"/>
      <c r="K2905" s="1205"/>
      <c r="L2905" s="1055"/>
      <c r="M2905" s="1205"/>
      <c r="N2905" s="1054"/>
      <c r="O2905" s="1207"/>
      <c r="Q2905" s="1207"/>
    </row>
    <row r="2906" spans="3:17" s="700" customFormat="1" ht="70.5" hidden="1" customHeight="1">
      <c r="C2906" s="701"/>
      <c r="D2906" s="811"/>
      <c r="E2906" s="1276">
        <f>[11]building!Y3237</f>
        <v>0</v>
      </c>
      <c r="F2906" s="748">
        <f t="shared" si="284"/>
        <v>0</v>
      </c>
      <c r="G2906" s="1205"/>
      <c r="H2906" s="1055"/>
      <c r="I2906" s="1055"/>
      <c r="J2906" s="1055"/>
      <c r="K2906" s="1205"/>
      <c r="L2906" s="1055"/>
      <c r="M2906" s="1205"/>
      <c r="N2906" s="1054"/>
      <c r="O2906" s="1207"/>
      <c r="Q2906" s="1207"/>
    </row>
    <row r="2907" spans="3:17" s="700" customFormat="1" ht="70.5" hidden="1" customHeight="1">
      <c r="C2907" s="701"/>
      <c r="D2907" s="811"/>
      <c r="E2907" s="1276">
        <f>[11]building!Y3238</f>
        <v>0</v>
      </c>
      <c r="F2907" s="748">
        <f t="shared" si="284"/>
        <v>0</v>
      </c>
      <c r="G2907" s="1205"/>
      <c r="H2907" s="1055"/>
      <c r="I2907" s="1055"/>
      <c r="J2907" s="1055"/>
      <c r="K2907" s="1205"/>
      <c r="L2907" s="1055"/>
      <c r="M2907" s="1205"/>
      <c r="N2907" s="1054"/>
      <c r="O2907" s="1207"/>
      <c r="Q2907" s="1207"/>
    </row>
    <row r="2908" spans="3:17" s="700" customFormat="1" ht="70.5" hidden="1" customHeight="1">
      <c r="C2908" s="701"/>
      <c r="D2908" s="811"/>
      <c r="E2908" s="1276">
        <f>[11]building!Y3239</f>
        <v>0</v>
      </c>
      <c r="F2908" s="748">
        <f t="shared" si="284"/>
        <v>0</v>
      </c>
      <c r="G2908" s="1205"/>
      <c r="H2908" s="1055"/>
      <c r="I2908" s="1055"/>
      <c r="J2908" s="1055"/>
      <c r="K2908" s="1205"/>
      <c r="L2908" s="1055"/>
      <c r="M2908" s="1205"/>
      <c r="N2908" s="1054"/>
      <c r="O2908" s="1207"/>
      <c r="Q2908" s="1207"/>
    </row>
    <row r="2909" spans="3:17" s="700" customFormat="1" ht="70.5" hidden="1" customHeight="1">
      <c r="C2909" s="701"/>
      <c r="D2909" s="811"/>
      <c r="E2909" s="1276">
        <f>[11]building!Y3240</f>
        <v>0</v>
      </c>
      <c r="F2909" s="748">
        <f t="shared" si="284"/>
        <v>0</v>
      </c>
      <c r="G2909" s="1205"/>
      <c r="H2909" s="1055"/>
      <c r="I2909" s="1055"/>
      <c r="J2909" s="1055"/>
      <c r="K2909" s="1205"/>
      <c r="L2909" s="1055"/>
      <c r="M2909" s="1205"/>
      <c r="N2909" s="1054"/>
      <c r="O2909" s="1207"/>
      <c r="Q2909" s="1207"/>
    </row>
    <row r="2910" spans="3:17" s="700" customFormat="1" ht="70.5" hidden="1" customHeight="1">
      <c r="C2910" s="701"/>
      <c r="D2910" s="811"/>
      <c r="E2910" s="1276">
        <f>[11]building!Y3241</f>
        <v>0</v>
      </c>
      <c r="F2910" s="748">
        <f t="shared" si="284"/>
        <v>0</v>
      </c>
      <c r="G2910" s="1205"/>
      <c r="H2910" s="1055"/>
      <c r="I2910" s="1055"/>
      <c r="J2910" s="1055"/>
      <c r="K2910" s="1205"/>
      <c r="L2910" s="1055"/>
      <c r="M2910" s="1205"/>
      <c r="N2910" s="1054"/>
      <c r="O2910" s="1207"/>
      <c r="Q2910" s="1207"/>
    </row>
    <row r="2911" spans="3:17" s="700" customFormat="1" ht="70.5" hidden="1" customHeight="1">
      <c r="C2911" s="701"/>
      <c r="D2911" s="811"/>
      <c r="E2911" s="1276">
        <f>[11]building!Y3242</f>
        <v>0</v>
      </c>
      <c r="F2911" s="748">
        <f t="shared" si="284"/>
        <v>0</v>
      </c>
      <c r="G2911" s="1205"/>
      <c r="H2911" s="1055"/>
      <c r="I2911" s="1055"/>
      <c r="J2911" s="1055"/>
      <c r="K2911" s="1205"/>
      <c r="L2911" s="1055"/>
      <c r="M2911" s="1205"/>
      <c r="N2911" s="1054"/>
      <c r="O2911" s="1207"/>
      <c r="Q2911" s="1207"/>
    </row>
    <row r="2912" spans="3:17" s="700" customFormat="1" ht="70.5" hidden="1" customHeight="1">
      <c r="C2912" s="701"/>
      <c r="D2912" s="811"/>
      <c r="E2912" s="1276">
        <f>[11]building!Y3243</f>
        <v>0</v>
      </c>
      <c r="F2912" s="748">
        <f t="shared" si="284"/>
        <v>0</v>
      </c>
      <c r="G2912" s="1205"/>
      <c r="H2912" s="1055"/>
      <c r="I2912" s="1055"/>
      <c r="J2912" s="1055"/>
      <c r="K2912" s="1205"/>
      <c r="L2912" s="1055"/>
      <c r="M2912" s="1205"/>
      <c r="N2912" s="1054"/>
      <c r="O2912" s="1207"/>
      <c r="Q2912" s="1207"/>
    </row>
    <row r="2913" spans="3:17" s="700" customFormat="1" ht="70.5" hidden="1" customHeight="1">
      <c r="C2913" s="701"/>
      <c r="D2913" s="811"/>
      <c r="E2913" s="1276">
        <f>[11]building!Y3244</f>
        <v>0</v>
      </c>
      <c r="F2913" s="748">
        <f t="shared" si="284"/>
        <v>0</v>
      </c>
      <c r="G2913" s="1205"/>
      <c r="H2913" s="1055"/>
      <c r="I2913" s="1055"/>
      <c r="J2913" s="1055"/>
      <c r="K2913" s="1205"/>
      <c r="L2913" s="1055"/>
      <c r="M2913" s="1205"/>
      <c r="N2913" s="1054"/>
      <c r="O2913" s="1207"/>
      <c r="Q2913" s="1207"/>
    </row>
    <row r="2914" spans="3:17" s="700" customFormat="1" ht="70.5" hidden="1" customHeight="1">
      <c r="C2914" s="701"/>
      <c r="D2914" s="811"/>
      <c r="E2914" s="1276">
        <f>[11]building!Y3245</f>
        <v>0</v>
      </c>
      <c r="F2914" s="748">
        <f t="shared" si="284"/>
        <v>0</v>
      </c>
      <c r="G2914" s="1205"/>
      <c r="H2914" s="1055"/>
      <c r="I2914" s="1055"/>
      <c r="J2914" s="1055"/>
      <c r="K2914" s="1205"/>
      <c r="L2914" s="1055"/>
      <c r="M2914" s="1205"/>
      <c r="N2914" s="1054"/>
      <c r="O2914" s="1207"/>
      <c r="Q2914" s="1207"/>
    </row>
    <row r="2915" spans="3:17" s="700" customFormat="1" ht="70.5" hidden="1" customHeight="1">
      <c r="C2915" s="701"/>
      <c r="D2915" s="811"/>
      <c r="E2915" s="1276">
        <f>[11]building!Y3246</f>
        <v>0</v>
      </c>
      <c r="F2915" s="748">
        <f t="shared" si="284"/>
        <v>0</v>
      </c>
      <c r="G2915" s="1205"/>
      <c r="H2915" s="1055"/>
      <c r="I2915" s="1055"/>
      <c r="J2915" s="1055"/>
      <c r="K2915" s="1205"/>
      <c r="L2915" s="1055"/>
      <c r="M2915" s="1205"/>
      <c r="N2915" s="1054"/>
      <c r="O2915" s="1207"/>
      <c r="Q2915" s="1207"/>
    </row>
    <row r="2916" spans="3:17" s="700" customFormat="1" ht="70.5" hidden="1" customHeight="1">
      <c r="C2916" s="701"/>
      <c r="D2916" s="811"/>
      <c r="E2916" s="1276">
        <f>[11]building!Y3247</f>
        <v>0</v>
      </c>
      <c r="F2916" s="748">
        <f t="shared" si="284"/>
        <v>0</v>
      </c>
      <c r="G2916" s="1205"/>
      <c r="H2916" s="1055"/>
      <c r="I2916" s="1055"/>
      <c r="J2916" s="1055"/>
      <c r="K2916" s="1205"/>
      <c r="L2916" s="1055"/>
      <c r="M2916" s="1205"/>
      <c r="N2916" s="1054"/>
      <c r="O2916" s="1207"/>
      <c r="Q2916" s="1207"/>
    </row>
    <row r="2917" spans="3:17" s="700" customFormat="1" ht="70.5" hidden="1" customHeight="1">
      <c r="C2917" s="701"/>
      <c r="D2917" s="811"/>
      <c r="E2917" s="1276">
        <f>[11]building!Y3248</f>
        <v>0</v>
      </c>
      <c r="F2917" s="748">
        <f t="shared" si="284"/>
        <v>0</v>
      </c>
      <c r="G2917" s="1205"/>
      <c r="H2917" s="1055"/>
      <c r="I2917" s="1055"/>
      <c r="J2917" s="1055"/>
      <c r="K2917" s="1205"/>
      <c r="L2917" s="1055"/>
      <c r="M2917" s="1205"/>
      <c r="N2917" s="1054"/>
      <c r="O2917" s="1207"/>
      <c r="Q2917" s="1207"/>
    </row>
    <row r="2918" spans="3:17" s="700" customFormat="1" ht="70.5" hidden="1" customHeight="1">
      <c r="C2918" s="701"/>
      <c r="D2918" s="811"/>
      <c r="E2918" s="1276">
        <f>[11]building!Y3249</f>
        <v>0</v>
      </c>
      <c r="F2918" s="748">
        <f t="shared" si="284"/>
        <v>0</v>
      </c>
      <c r="G2918" s="1205"/>
      <c r="H2918" s="1055"/>
      <c r="I2918" s="1055"/>
      <c r="J2918" s="1055"/>
      <c r="K2918" s="1205"/>
      <c r="L2918" s="1055"/>
      <c r="M2918" s="1205"/>
      <c r="N2918" s="1054"/>
      <c r="O2918" s="1207"/>
      <c r="Q2918" s="1207"/>
    </row>
    <row r="2919" spans="3:17" s="700" customFormat="1" ht="70.5" hidden="1" customHeight="1">
      <c r="C2919" s="701"/>
      <c r="D2919" s="811"/>
      <c r="E2919" s="1276">
        <f>[11]building!Y3250</f>
        <v>0</v>
      </c>
      <c r="F2919" s="748">
        <f t="shared" si="284"/>
        <v>0</v>
      </c>
      <c r="G2919" s="1205"/>
      <c r="H2919" s="1055"/>
      <c r="I2919" s="1055"/>
      <c r="J2919" s="1055"/>
      <c r="K2919" s="1205"/>
      <c r="L2919" s="1055"/>
      <c r="M2919" s="1205"/>
      <c r="N2919" s="1054"/>
      <c r="O2919" s="1207"/>
      <c r="Q2919" s="1207"/>
    </row>
    <row r="2920" spans="3:17" s="700" customFormat="1" ht="70.5" hidden="1" customHeight="1">
      <c r="C2920" s="701"/>
      <c r="D2920" s="811"/>
      <c r="E2920" s="1276">
        <f>[11]building!Y3251</f>
        <v>0</v>
      </c>
      <c r="F2920" s="748">
        <f t="shared" si="284"/>
        <v>0</v>
      </c>
      <c r="G2920" s="1205"/>
      <c r="H2920" s="1055"/>
      <c r="I2920" s="1055"/>
      <c r="J2920" s="1055"/>
      <c r="K2920" s="1205"/>
      <c r="L2920" s="1055"/>
      <c r="M2920" s="1205"/>
      <c r="N2920" s="1054"/>
      <c r="O2920" s="1207"/>
      <c r="Q2920" s="1207"/>
    </row>
    <row r="2921" spans="3:17" s="700" customFormat="1" ht="70.5" hidden="1" customHeight="1">
      <c r="C2921" s="701"/>
      <c r="D2921" s="811"/>
      <c r="E2921" s="1276">
        <f>[11]building!Y3252</f>
        <v>0</v>
      </c>
      <c r="F2921" s="748">
        <f t="shared" si="284"/>
        <v>0</v>
      </c>
      <c r="G2921" s="1205"/>
      <c r="H2921" s="1055"/>
      <c r="I2921" s="1055"/>
      <c r="J2921" s="1055"/>
      <c r="K2921" s="1205"/>
      <c r="L2921" s="1055"/>
      <c r="M2921" s="1205"/>
      <c r="N2921" s="1054"/>
      <c r="O2921" s="1207"/>
      <c r="Q2921" s="1207"/>
    </row>
    <row r="2922" spans="3:17" s="700" customFormat="1" ht="70.5" hidden="1" customHeight="1">
      <c r="C2922" s="701"/>
      <c r="D2922" s="811"/>
      <c r="E2922" s="1276">
        <f>[11]building!Y3253</f>
        <v>0</v>
      </c>
      <c r="F2922" s="748">
        <f t="shared" si="284"/>
        <v>0</v>
      </c>
      <c r="G2922" s="1205"/>
      <c r="H2922" s="1055"/>
      <c r="I2922" s="1055"/>
      <c r="J2922" s="1055"/>
      <c r="K2922" s="1205"/>
      <c r="L2922" s="1055"/>
      <c r="M2922" s="1205"/>
      <c r="N2922" s="1054"/>
      <c r="O2922" s="1207"/>
      <c r="Q2922" s="1207"/>
    </row>
    <row r="2923" spans="3:17" s="700" customFormat="1" ht="70.5" hidden="1" customHeight="1">
      <c r="C2923" s="701"/>
      <c r="D2923" s="811"/>
      <c r="E2923" s="1276">
        <f>[11]building!Y3254</f>
        <v>0</v>
      </c>
      <c r="F2923" s="748">
        <f t="shared" si="284"/>
        <v>0</v>
      </c>
      <c r="G2923" s="1205"/>
      <c r="H2923" s="1055"/>
      <c r="I2923" s="1055"/>
      <c r="J2923" s="1055"/>
      <c r="K2923" s="1205"/>
      <c r="L2923" s="1055"/>
      <c r="M2923" s="1205"/>
      <c r="N2923" s="1054"/>
      <c r="O2923" s="1207"/>
      <c r="Q2923" s="1207"/>
    </row>
    <row r="2924" spans="3:17" s="700" customFormat="1" ht="70.5" hidden="1" customHeight="1">
      <c r="C2924" s="701"/>
      <c r="D2924" s="811"/>
      <c r="E2924" s="1276">
        <f>[11]building!Y3255</f>
        <v>0</v>
      </c>
      <c r="F2924" s="748">
        <f t="shared" si="284"/>
        <v>0</v>
      </c>
      <c r="G2924" s="1205"/>
      <c r="H2924" s="1055"/>
      <c r="I2924" s="1055"/>
      <c r="J2924" s="1055"/>
      <c r="K2924" s="1205"/>
      <c r="L2924" s="1055"/>
      <c r="M2924" s="1205"/>
      <c r="N2924" s="1054"/>
      <c r="O2924" s="1207"/>
      <c r="Q2924" s="1207"/>
    </row>
    <row r="2925" spans="3:17" s="700" customFormat="1" ht="70.5" hidden="1" customHeight="1">
      <c r="C2925" s="701"/>
      <c r="D2925" s="811"/>
      <c r="E2925" s="1276">
        <f>[11]building!Y3256</f>
        <v>0</v>
      </c>
      <c r="F2925" s="748">
        <f t="shared" si="284"/>
        <v>0</v>
      </c>
      <c r="G2925" s="1205"/>
      <c r="H2925" s="1055"/>
      <c r="I2925" s="1055"/>
      <c r="J2925" s="1055"/>
      <c r="K2925" s="1205"/>
      <c r="L2925" s="1055"/>
      <c r="M2925" s="1205"/>
      <c r="N2925" s="1054"/>
      <c r="O2925" s="1207"/>
      <c r="Q2925" s="1207"/>
    </row>
    <row r="2926" spans="3:17" s="700" customFormat="1" ht="70.5" hidden="1" customHeight="1">
      <c r="C2926" s="701"/>
      <c r="D2926" s="811"/>
      <c r="E2926" s="1276">
        <f>[11]building!Y3257</f>
        <v>0</v>
      </c>
      <c r="F2926" s="748">
        <f t="shared" si="284"/>
        <v>0</v>
      </c>
      <c r="G2926" s="1205"/>
      <c r="H2926" s="1055"/>
      <c r="I2926" s="1055"/>
      <c r="J2926" s="1055"/>
      <c r="K2926" s="1205"/>
      <c r="L2926" s="1055"/>
      <c r="M2926" s="1205"/>
      <c r="N2926" s="1054"/>
      <c r="O2926" s="1207"/>
      <c r="Q2926" s="1207"/>
    </row>
    <row r="2927" spans="3:17" s="700" customFormat="1" ht="70.5" hidden="1" customHeight="1">
      <c r="C2927" s="701"/>
      <c r="D2927" s="811"/>
      <c r="E2927" s="1276">
        <f>[11]building!Y3258</f>
        <v>0</v>
      </c>
      <c r="F2927" s="748">
        <f t="shared" si="284"/>
        <v>0</v>
      </c>
      <c r="G2927" s="1205"/>
      <c r="H2927" s="1055"/>
      <c r="I2927" s="1055"/>
      <c r="J2927" s="1055"/>
      <c r="K2927" s="1205"/>
      <c r="L2927" s="1055"/>
      <c r="M2927" s="1205"/>
      <c r="N2927" s="1054"/>
      <c r="O2927" s="1207"/>
      <c r="Q2927" s="1207"/>
    </row>
    <row r="2928" spans="3:17" s="700" customFormat="1" ht="70.5" hidden="1" customHeight="1">
      <c r="C2928" s="701"/>
      <c r="D2928" s="811"/>
      <c r="E2928" s="1276">
        <f>[11]building!Y3259</f>
        <v>0</v>
      </c>
      <c r="F2928" s="748">
        <f t="shared" si="284"/>
        <v>0</v>
      </c>
      <c r="G2928" s="1205"/>
      <c r="H2928" s="1055"/>
      <c r="I2928" s="1055"/>
      <c r="J2928" s="1055"/>
      <c r="K2928" s="1205"/>
      <c r="L2928" s="1055"/>
      <c r="M2928" s="1205"/>
      <c r="N2928" s="1054"/>
      <c r="O2928" s="1207"/>
      <c r="Q2928" s="1207"/>
    </row>
    <row r="2929" spans="3:17" s="700" customFormat="1" ht="70.5" hidden="1" customHeight="1">
      <c r="C2929" s="701"/>
      <c r="D2929" s="811"/>
      <c r="E2929" s="1276">
        <f>[11]building!Y3260</f>
        <v>0</v>
      </c>
      <c r="F2929" s="748">
        <f t="shared" si="284"/>
        <v>0</v>
      </c>
      <c r="G2929" s="1205"/>
      <c r="H2929" s="1055"/>
      <c r="I2929" s="1055"/>
      <c r="J2929" s="1055"/>
      <c r="K2929" s="1205"/>
      <c r="L2929" s="1055"/>
      <c r="M2929" s="1205"/>
      <c r="N2929" s="1054"/>
      <c r="O2929" s="1207"/>
      <c r="Q2929" s="1207"/>
    </row>
    <row r="2930" spans="3:17" s="700" customFormat="1" ht="70.5" hidden="1" customHeight="1">
      <c r="C2930" s="701"/>
      <c r="D2930" s="811"/>
      <c r="E2930" s="1276">
        <f>[11]building!Y3261</f>
        <v>0</v>
      </c>
      <c r="F2930" s="748">
        <f t="shared" si="284"/>
        <v>0</v>
      </c>
      <c r="G2930" s="1205"/>
      <c r="H2930" s="1055"/>
      <c r="I2930" s="1055"/>
      <c r="J2930" s="1055"/>
      <c r="K2930" s="1205"/>
      <c r="L2930" s="1055"/>
      <c r="M2930" s="1205"/>
      <c r="N2930" s="1054"/>
      <c r="O2930" s="1207"/>
      <c r="Q2930" s="1207"/>
    </row>
    <row r="2931" spans="3:17" s="700" customFormat="1" ht="70.5" hidden="1" customHeight="1">
      <c r="C2931" s="701"/>
      <c r="D2931" s="811"/>
      <c r="E2931" s="1276">
        <f>[11]building!Y3262</f>
        <v>0</v>
      </c>
      <c r="F2931" s="748">
        <f t="shared" si="284"/>
        <v>0</v>
      </c>
      <c r="G2931" s="1205"/>
      <c r="H2931" s="1055"/>
      <c r="I2931" s="1055"/>
      <c r="J2931" s="1055"/>
      <c r="K2931" s="1205"/>
      <c r="L2931" s="1055"/>
      <c r="M2931" s="1205"/>
      <c r="N2931" s="1054"/>
      <c r="O2931" s="1207"/>
      <c r="Q2931" s="1207"/>
    </row>
    <row r="2932" spans="3:17" s="700" customFormat="1" ht="70.5" hidden="1" customHeight="1">
      <c r="C2932" s="701"/>
      <c r="D2932" s="811"/>
      <c r="E2932" s="1276">
        <f>[11]building!Y3263</f>
        <v>0</v>
      </c>
      <c r="F2932" s="748">
        <f t="shared" si="284"/>
        <v>0</v>
      </c>
      <c r="G2932" s="1205"/>
      <c r="H2932" s="1055"/>
      <c r="I2932" s="1055"/>
      <c r="J2932" s="1055"/>
      <c r="K2932" s="1205"/>
      <c r="L2932" s="1055"/>
      <c r="M2932" s="1205"/>
      <c r="N2932" s="1054"/>
      <c r="O2932" s="1207"/>
      <c r="Q2932" s="1207"/>
    </row>
    <row r="2933" spans="3:17" s="700" customFormat="1" ht="70.5" hidden="1" customHeight="1">
      <c r="C2933" s="701"/>
      <c r="D2933" s="811"/>
      <c r="E2933" s="1276">
        <f>[11]building!Y3264</f>
        <v>0</v>
      </c>
      <c r="F2933" s="748">
        <f t="shared" si="284"/>
        <v>0</v>
      </c>
      <c r="G2933" s="1205"/>
      <c r="H2933" s="1055"/>
      <c r="I2933" s="1055"/>
      <c r="J2933" s="1055"/>
      <c r="K2933" s="1205"/>
      <c r="L2933" s="1055"/>
      <c r="M2933" s="1205"/>
      <c r="N2933" s="1054"/>
      <c r="O2933" s="1207"/>
      <c r="Q2933" s="1207"/>
    </row>
    <row r="2934" spans="3:17" s="700" customFormat="1" ht="70.5" hidden="1" customHeight="1">
      <c r="C2934" s="701"/>
      <c r="D2934" s="811"/>
      <c r="E2934" s="1276">
        <f>[11]building!Y3265</f>
        <v>0</v>
      </c>
      <c r="F2934" s="748">
        <f t="shared" si="284"/>
        <v>0</v>
      </c>
      <c r="G2934" s="1205"/>
      <c r="H2934" s="1055"/>
      <c r="I2934" s="1055"/>
      <c r="J2934" s="1055"/>
      <c r="K2934" s="1205"/>
      <c r="L2934" s="1055"/>
      <c r="M2934" s="1205"/>
      <c r="N2934" s="1054"/>
      <c r="O2934" s="1207"/>
      <c r="Q2934" s="1207"/>
    </row>
    <row r="2935" spans="3:17" s="700" customFormat="1" ht="70.5" hidden="1" customHeight="1">
      <c r="C2935" s="701"/>
      <c r="D2935" s="811"/>
      <c r="E2935" s="1276">
        <f>[11]building!Y3266</f>
        <v>0</v>
      </c>
      <c r="F2935" s="748">
        <f t="shared" si="284"/>
        <v>0</v>
      </c>
      <c r="G2935" s="1205"/>
      <c r="H2935" s="1055"/>
      <c r="I2935" s="1055"/>
      <c r="J2935" s="1055"/>
      <c r="K2935" s="1205"/>
      <c r="L2935" s="1055"/>
      <c r="M2935" s="1205"/>
      <c r="N2935" s="1054"/>
      <c r="O2935" s="1207"/>
      <c r="Q2935" s="1207"/>
    </row>
    <row r="2936" spans="3:17" s="700" customFormat="1" ht="70.5" hidden="1" customHeight="1">
      <c r="C2936" s="701"/>
      <c r="D2936" s="811"/>
      <c r="E2936" s="1276">
        <f>[11]building!Y3267</f>
        <v>0</v>
      </c>
      <c r="F2936" s="748">
        <f t="shared" si="284"/>
        <v>0</v>
      </c>
      <c r="G2936" s="1205"/>
      <c r="H2936" s="1055"/>
      <c r="I2936" s="1055"/>
      <c r="J2936" s="1055"/>
      <c r="K2936" s="1205"/>
      <c r="L2936" s="1055"/>
      <c r="M2936" s="1205"/>
      <c r="N2936" s="1054"/>
      <c r="O2936" s="1207"/>
      <c r="Q2936" s="1207"/>
    </row>
    <row r="2937" spans="3:17" s="700" customFormat="1" ht="70.5" hidden="1" customHeight="1">
      <c r="C2937" s="701"/>
      <c r="D2937" s="811"/>
      <c r="E2937" s="1276">
        <f>[11]building!Y3268</f>
        <v>0</v>
      </c>
      <c r="F2937" s="748">
        <f t="shared" si="284"/>
        <v>0</v>
      </c>
      <c r="G2937" s="1205"/>
      <c r="H2937" s="1055"/>
      <c r="I2937" s="1055"/>
      <c r="J2937" s="1055"/>
      <c r="K2937" s="1205"/>
      <c r="L2937" s="1055"/>
      <c r="M2937" s="1205"/>
      <c r="N2937" s="1054"/>
      <c r="O2937" s="1207"/>
      <c r="Q2937" s="1207"/>
    </row>
    <row r="2938" spans="3:17" s="700" customFormat="1" ht="70.5" hidden="1" customHeight="1">
      <c r="C2938" s="701"/>
      <c r="D2938" s="811"/>
      <c r="E2938" s="1276">
        <f>[11]building!Y3269</f>
        <v>0</v>
      </c>
      <c r="F2938" s="748">
        <f t="shared" si="284"/>
        <v>0</v>
      </c>
      <c r="G2938" s="1205"/>
      <c r="H2938" s="1055"/>
      <c r="I2938" s="1055"/>
      <c r="J2938" s="1055"/>
      <c r="K2938" s="1205"/>
      <c r="L2938" s="1055"/>
      <c r="M2938" s="1205"/>
      <c r="N2938" s="1054"/>
      <c r="O2938" s="1207"/>
      <c r="Q2938" s="1207"/>
    </row>
    <row r="2939" spans="3:17" s="700" customFormat="1" ht="70.5" hidden="1" customHeight="1">
      <c r="C2939" s="701"/>
      <c r="D2939" s="811"/>
      <c r="E2939" s="1276">
        <f>[11]building!Y3270</f>
        <v>0</v>
      </c>
      <c r="F2939" s="748">
        <f t="shared" si="284"/>
        <v>0</v>
      </c>
      <c r="G2939" s="1205"/>
      <c r="H2939" s="1055"/>
      <c r="I2939" s="1055"/>
      <c r="J2939" s="1055"/>
      <c r="K2939" s="1205"/>
      <c r="L2939" s="1055"/>
      <c r="M2939" s="1205"/>
      <c r="N2939" s="1054"/>
      <c r="O2939" s="1207"/>
      <c r="Q2939" s="1207"/>
    </row>
    <row r="2940" spans="3:17" s="700" customFormat="1" ht="70.5" hidden="1" customHeight="1">
      <c r="C2940" s="701"/>
      <c r="D2940" s="811"/>
      <c r="E2940" s="1276">
        <f>[11]building!Y3271</f>
        <v>0</v>
      </c>
      <c r="F2940" s="748">
        <f t="shared" si="284"/>
        <v>0</v>
      </c>
      <c r="G2940" s="1205"/>
      <c r="H2940" s="1055"/>
      <c r="I2940" s="1055"/>
      <c r="J2940" s="1055"/>
      <c r="K2940" s="1205"/>
      <c r="L2940" s="1055"/>
      <c r="M2940" s="1205"/>
      <c r="N2940" s="1054"/>
      <c r="O2940" s="1207"/>
      <c r="Q2940" s="1207"/>
    </row>
    <row r="2941" spans="3:17" s="700" customFormat="1" ht="70.5" hidden="1" customHeight="1">
      <c r="C2941" s="701"/>
      <c r="D2941" s="811"/>
      <c r="E2941" s="1276">
        <f>[11]building!Y3272</f>
        <v>0</v>
      </c>
      <c r="F2941" s="748">
        <f t="shared" si="284"/>
        <v>0</v>
      </c>
      <c r="G2941" s="1205"/>
      <c r="H2941" s="1055"/>
      <c r="I2941" s="1055"/>
      <c r="J2941" s="1055"/>
      <c r="K2941" s="1205"/>
      <c r="L2941" s="1055"/>
      <c r="M2941" s="1205"/>
      <c r="N2941" s="1054"/>
      <c r="O2941" s="1207"/>
      <c r="Q2941" s="1207"/>
    </row>
    <row r="2942" spans="3:17" s="700" customFormat="1" ht="70.5" hidden="1" customHeight="1">
      <c r="C2942" s="701"/>
      <c r="D2942" s="811"/>
      <c r="E2942" s="1276">
        <f>[11]building!Y3273</f>
        <v>0</v>
      </c>
      <c r="F2942" s="748">
        <f t="shared" si="284"/>
        <v>0</v>
      </c>
      <c r="G2942" s="1205"/>
      <c r="H2942" s="1055"/>
      <c r="I2942" s="1055"/>
      <c r="J2942" s="1055"/>
      <c r="K2942" s="1205"/>
      <c r="L2942" s="1055"/>
      <c r="M2942" s="1205"/>
      <c r="N2942" s="1054"/>
      <c r="O2942" s="1207"/>
      <c r="Q2942" s="1207"/>
    </row>
    <row r="2943" spans="3:17" s="700" customFormat="1" ht="70.5" hidden="1" customHeight="1">
      <c r="C2943" s="701"/>
      <c r="D2943" s="811"/>
      <c r="E2943" s="1276">
        <f>[11]building!Y3274</f>
        <v>0</v>
      </c>
      <c r="F2943" s="748">
        <f t="shared" si="284"/>
        <v>0</v>
      </c>
      <c r="G2943" s="1205"/>
      <c r="H2943" s="1055"/>
      <c r="I2943" s="1055"/>
      <c r="J2943" s="1055"/>
      <c r="K2943" s="1205"/>
      <c r="L2943" s="1055"/>
      <c r="M2943" s="1205"/>
      <c r="N2943" s="1054"/>
      <c r="O2943" s="1207"/>
      <c r="Q2943" s="1207"/>
    </row>
    <row r="2944" spans="3:17" s="700" customFormat="1" ht="70.5" hidden="1" customHeight="1">
      <c r="C2944" s="701"/>
      <c r="D2944" s="811"/>
      <c r="E2944" s="1276">
        <f>[11]building!Y3275</f>
        <v>0</v>
      </c>
      <c r="F2944" s="748">
        <f t="shared" ref="F2944:F3007" si="285">E2944*C2944</f>
        <v>0</v>
      </c>
      <c r="G2944" s="1205"/>
      <c r="H2944" s="1055"/>
      <c r="I2944" s="1055"/>
      <c r="J2944" s="1055"/>
      <c r="K2944" s="1205"/>
      <c r="L2944" s="1055"/>
      <c r="M2944" s="1205"/>
      <c r="N2944" s="1054"/>
      <c r="O2944" s="1207"/>
      <c r="Q2944" s="1207"/>
    </row>
    <row r="2945" spans="3:17" s="700" customFormat="1" ht="70.5" hidden="1" customHeight="1">
      <c r="C2945" s="701"/>
      <c r="D2945" s="811"/>
      <c r="E2945" s="1276">
        <f>[11]building!Y3276</f>
        <v>0</v>
      </c>
      <c r="F2945" s="748">
        <f t="shared" si="285"/>
        <v>0</v>
      </c>
      <c r="G2945" s="1205"/>
      <c r="H2945" s="1055"/>
      <c r="I2945" s="1055"/>
      <c r="J2945" s="1055"/>
      <c r="K2945" s="1205"/>
      <c r="L2945" s="1055"/>
      <c r="M2945" s="1205"/>
      <c r="N2945" s="1054"/>
      <c r="O2945" s="1207"/>
      <c r="Q2945" s="1207"/>
    </row>
    <row r="2946" spans="3:17" s="700" customFormat="1" ht="70.5" hidden="1" customHeight="1">
      <c r="C2946" s="701"/>
      <c r="D2946" s="811"/>
      <c r="E2946" s="1276">
        <f>[11]building!Y3277</f>
        <v>0</v>
      </c>
      <c r="F2946" s="748">
        <f t="shared" si="285"/>
        <v>0</v>
      </c>
      <c r="G2946" s="1205"/>
      <c r="H2946" s="1055"/>
      <c r="I2946" s="1055"/>
      <c r="J2946" s="1055"/>
      <c r="K2946" s="1205"/>
      <c r="L2946" s="1055"/>
      <c r="M2946" s="1205"/>
      <c r="N2946" s="1054"/>
      <c r="O2946" s="1207"/>
      <c r="Q2946" s="1207"/>
    </row>
    <row r="2947" spans="3:17" s="700" customFormat="1" ht="70.5" hidden="1" customHeight="1">
      <c r="C2947" s="701"/>
      <c r="D2947" s="811"/>
      <c r="E2947" s="1276">
        <f>[11]building!Y3278</f>
        <v>0</v>
      </c>
      <c r="F2947" s="748">
        <f t="shared" si="285"/>
        <v>0</v>
      </c>
      <c r="G2947" s="1205"/>
      <c r="H2947" s="1055"/>
      <c r="I2947" s="1055"/>
      <c r="J2947" s="1055"/>
      <c r="K2947" s="1205"/>
      <c r="L2947" s="1055"/>
      <c r="M2947" s="1205"/>
      <c r="N2947" s="1054"/>
      <c r="O2947" s="1207"/>
      <c r="Q2947" s="1207"/>
    </row>
    <row r="2948" spans="3:17" s="700" customFormat="1" ht="70.5" hidden="1" customHeight="1">
      <c r="C2948" s="701"/>
      <c r="D2948" s="811"/>
      <c r="E2948" s="1276">
        <f>[11]building!Y3279</f>
        <v>0</v>
      </c>
      <c r="F2948" s="748">
        <f t="shared" si="285"/>
        <v>0</v>
      </c>
      <c r="G2948" s="1205"/>
      <c r="H2948" s="1055"/>
      <c r="I2948" s="1055"/>
      <c r="J2948" s="1055"/>
      <c r="K2948" s="1205"/>
      <c r="L2948" s="1055"/>
      <c r="M2948" s="1205"/>
      <c r="N2948" s="1054"/>
      <c r="O2948" s="1207"/>
      <c r="Q2948" s="1207"/>
    </row>
    <row r="2949" spans="3:17" s="700" customFormat="1" ht="70.5" hidden="1" customHeight="1">
      <c r="C2949" s="701"/>
      <c r="D2949" s="811"/>
      <c r="E2949" s="1276">
        <f>[11]building!Y3280</f>
        <v>0</v>
      </c>
      <c r="F2949" s="748">
        <f t="shared" si="285"/>
        <v>0</v>
      </c>
      <c r="G2949" s="1205"/>
      <c r="H2949" s="1055"/>
      <c r="I2949" s="1055"/>
      <c r="J2949" s="1055"/>
      <c r="K2949" s="1205"/>
      <c r="L2949" s="1055"/>
      <c r="M2949" s="1205"/>
      <c r="N2949" s="1054"/>
      <c r="O2949" s="1207"/>
      <c r="Q2949" s="1207"/>
    </row>
    <row r="2950" spans="3:17" s="700" customFormat="1" ht="70.5" hidden="1" customHeight="1">
      <c r="C2950" s="701"/>
      <c r="D2950" s="811"/>
      <c r="E2950" s="1276">
        <f>[11]building!Y3281</f>
        <v>0</v>
      </c>
      <c r="F2950" s="748">
        <f t="shared" si="285"/>
        <v>0</v>
      </c>
      <c r="G2950" s="1205"/>
      <c r="H2950" s="1055"/>
      <c r="I2950" s="1055"/>
      <c r="J2950" s="1055"/>
      <c r="K2950" s="1205"/>
      <c r="L2950" s="1055"/>
      <c r="M2950" s="1205"/>
      <c r="N2950" s="1054"/>
      <c r="O2950" s="1207"/>
      <c r="Q2950" s="1207"/>
    </row>
    <row r="2951" spans="3:17" s="700" customFormat="1" ht="70.5" hidden="1" customHeight="1">
      <c r="C2951" s="701"/>
      <c r="D2951" s="811"/>
      <c r="E2951" s="1276">
        <f>[11]building!Y3282</f>
        <v>0</v>
      </c>
      <c r="F2951" s="748">
        <f t="shared" si="285"/>
        <v>0</v>
      </c>
      <c r="G2951" s="1205"/>
      <c r="H2951" s="1055"/>
      <c r="I2951" s="1055"/>
      <c r="J2951" s="1055"/>
      <c r="K2951" s="1205"/>
      <c r="L2951" s="1055"/>
      <c r="M2951" s="1205"/>
      <c r="N2951" s="1054"/>
      <c r="O2951" s="1207"/>
      <c r="Q2951" s="1207"/>
    </row>
    <row r="2952" spans="3:17" s="700" customFormat="1" ht="70.5" hidden="1" customHeight="1">
      <c r="C2952" s="701"/>
      <c r="D2952" s="811"/>
      <c r="E2952" s="1276">
        <f>[11]building!Y3283</f>
        <v>0</v>
      </c>
      <c r="F2952" s="748">
        <f t="shared" si="285"/>
        <v>0</v>
      </c>
      <c r="G2952" s="1205"/>
      <c r="H2952" s="1055"/>
      <c r="I2952" s="1055"/>
      <c r="J2952" s="1055"/>
      <c r="K2952" s="1205"/>
      <c r="L2952" s="1055"/>
      <c r="M2952" s="1205"/>
      <c r="N2952" s="1054"/>
      <c r="O2952" s="1207"/>
      <c r="Q2952" s="1207"/>
    </row>
    <row r="2953" spans="3:17" s="700" customFormat="1" ht="70.5" hidden="1" customHeight="1">
      <c r="C2953" s="701"/>
      <c r="D2953" s="811"/>
      <c r="E2953" s="1276">
        <f>[11]building!Y3284</f>
        <v>0</v>
      </c>
      <c r="F2953" s="748">
        <f t="shared" si="285"/>
        <v>0</v>
      </c>
      <c r="G2953" s="1205"/>
      <c r="H2953" s="1055"/>
      <c r="I2953" s="1055"/>
      <c r="J2953" s="1055"/>
      <c r="K2953" s="1205"/>
      <c r="L2953" s="1055"/>
      <c r="M2953" s="1205"/>
      <c r="N2953" s="1054"/>
      <c r="O2953" s="1207"/>
      <c r="Q2953" s="1207"/>
    </row>
    <row r="2954" spans="3:17" s="700" customFormat="1" ht="70.5" hidden="1" customHeight="1">
      <c r="C2954" s="701"/>
      <c r="D2954" s="811"/>
      <c r="E2954" s="1276">
        <f>[11]building!Y3285</f>
        <v>0</v>
      </c>
      <c r="F2954" s="748">
        <f t="shared" si="285"/>
        <v>0</v>
      </c>
      <c r="G2954" s="1205"/>
      <c r="H2954" s="1055"/>
      <c r="I2954" s="1055"/>
      <c r="J2954" s="1055"/>
      <c r="K2954" s="1205"/>
      <c r="L2954" s="1055"/>
      <c r="M2954" s="1205"/>
      <c r="N2954" s="1054"/>
      <c r="O2954" s="1207"/>
      <c r="Q2954" s="1207"/>
    </row>
    <row r="2955" spans="3:17" s="700" customFormat="1" ht="70.5" hidden="1" customHeight="1">
      <c r="C2955" s="701"/>
      <c r="D2955" s="811"/>
      <c r="E2955" s="1276">
        <f>[11]building!Y3286</f>
        <v>0</v>
      </c>
      <c r="F2955" s="748">
        <f t="shared" si="285"/>
        <v>0</v>
      </c>
      <c r="G2955" s="1205"/>
      <c r="H2955" s="1055"/>
      <c r="I2955" s="1055"/>
      <c r="J2955" s="1055"/>
      <c r="K2955" s="1205"/>
      <c r="L2955" s="1055"/>
      <c r="M2955" s="1205"/>
      <c r="N2955" s="1054"/>
      <c r="O2955" s="1207"/>
      <c r="Q2955" s="1207"/>
    </row>
    <row r="2956" spans="3:17" s="700" customFormat="1" ht="70.5" hidden="1" customHeight="1">
      <c r="C2956" s="701"/>
      <c r="D2956" s="811"/>
      <c r="E2956" s="1276">
        <f>[11]building!Y3287</f>
        <v>0</v>
      </c>
      <c r="F2956" s="748">
        <f t="shared" si="285"/>
        <v>0</v>
      </c>
      <c r="G2956" s="1205"/>
      <c r="H2956" s="1055"/>
      <c r="I2956" s="1055"/>
      <c r="J2956" s="1055"/>
      <c r="K2956" s="1205"/>
      <c r="L2956" s="1055"/>
      <c r="M2956" s="1205"/>
      <c r="N2956" s="1054"/>
      <c r="O2956" s="1207"/>
      <c r="Q2956" s="1207"/>
    </row>
    <row r="2957" spans="3:17" s="700" customFormat="1" ht="70.5" hidden="1" customHeight="1">
      <c r="C2957" s="701"/>
      <c r="D2957" s="811"/>
      <c r="E2957" s="1276">
        <f>[11]building!Y3288</f>
        <v>0</v>
      </c>
      <c r="F2957" s="748">
        <f t="shared" si="285"/>
        <v>0</v>
      </c>
      <c r="G2957" s="1205"/>
      <c r="H2957" s="1055"/>
      <c r="I2957" s="1055"/>
      <c r="J2957" s="1055"/>
      <c r="K2957" s="1205"/>
      <c r="L2957" s="1055"/>
      <c r="M2957" s="1205"/>
      <c r="N2957" s="1054"/>
      <c r="O2957" s="1207"/>
      <c r="Q2957" s="1207"/>
    </row>
    <row r="2958" spans="3:17" s="700" customFormat="1" ht="70.5" hidden="1" customHeight="1">
      <c r="C2958" s="701"/>
      <c r="D2958" s="811"/>
      <c r="E2958" s="1276">
        <f>[11]building!Y3289</f>
        <v>0</v>
      </c>
      <c r="F2958" s="748">
        <f t="shared" si="285"/>
        <v>0</v>
      </c>
      <c r="G2958" s="1205"/>
      <c r="H2958" s="1055"/>
      <c r="I2958" s="1055"/>
      <c r="J2958" s="1055"/>
      <c r="K2958" s="1205"/>
      <c r="L2958" s="1055"/>
      <c r="M2958" s="1205"/>
      <c r="N2958" s="1054"/>
      <c r="O2958" s="1207"/>
      <c r="Q2958" s="1207"/>
    </row>
    <row r="2959" spans="3:17" s="700" customFormat="1" ht="70.5" hidden="1" customHeight="1">
      <c r="C2959" s="701"/>
      <c r="D2959" s="811"/>
      <c r="E2959" s="1276">
        <f>[11]building!Y3290</f>
        <v>0</v>
      </c>
      <c r="F2959" s="748">
        <f t="shared" si="285"/>
        <v>0</v>
      </c>
      <c r="G2959" s="1205"/>
      <c r="H2959" s="1055"/>
      <c r="I2959" s="1055"/>
      <c r="J2959" s="1055"/>
      <c r="K2959" s="1205"/>
      <c r="L2959" s="1055"/>
      <c r="M2959" s="1205"/>
      <c r="N2959" s="1054"/>
      <c r="O2959" s="1207"/>
      <c r="Q2959" s="1207"/>
    </row>
    <row r="2960" spans="3:17" s="700" customFormat="1" ht="70.5" hidden="1" customHeight="1">
      <c r="C2960" s="701"/>
      <c r="D2960" s="811"/>
      <c r="E2960" s="1276">
        <f>[11]building!Y3291</f>
        <v>0</v>
      </c>
      <c r="F2960" s="748">
        <f t="shared" si="285"/>
        <v>0</v>
      </c>
      <c r="G2960" s="1205"/>
      <c r="H2960" s="1055"/>
      <c r="I2960" s="1055"/>
      <c r="J2960" s="1055"/>
      <c r="K2960" s="1205"/>
      <c r="L2960" s="1055"/>
      <c r="M2960" s="1205"/>
      <c r="N2960" s="1054"/>
      <c r="O2960" s="1207"/>
      <c r="Q2960" s="1207"/>
    </row>
    <row r="2961" spans="3:17" s="700" customFormat="1" ht="70.5" hidden="1" customHeight="1">
      <c r="C2961" s="701"/>
      <c r="D2961" s="811"/>
      <c r="E2961" s="1276">
        <f>[11]building!Y3292</f>
        <v>0</v>
      </c>
      <c r="F2961" s="748">
        <f t="shared" si="285"/>
        <v>0</v>
      </c>
      <c r="G2961" s="1205"/>
      <c r="H2961" s="1055"/>
      <c r="I2961" s="1055"/>
      <c r="J2961" s="1055"/>
      <c r="K2961" s="1205"/>
      <c r="L2961" s="1055"/>
      <c r="M2961" s="1205"/>
      <c r="N2961" s="1054"/>
      <c r="O2961" s="1207"/>
      <c r="Q2961" s="1207"/>
    </row>
    <row r="2962" spans="3:17" s="700" customFormat="1" ht="70.5" hidden="1" customHeight="1">
      <c r="C2962" s="701"/>
      <c r="D2962" s="811"/>
      <c r="E2962" s="1276">
        <f>[11]building!Y3293</f>
        <v>0</v>
      </c>
      <c r="F2962" s="748">
        <f t="shared" si="285"/>
        <v>0</v>
      </c>
      <c r="G2962" s="1205"/>
      <c r="H2962" s="1055"/>
      <c r="I2962" s="1055"/>
      <c r="J2962" s="1055"/>
      <c r="K2962" s="1205"/>
      <c r="L2962" s="1055"/>
      <c r="M2962" s="1205"/>
      <c r="N2962" s="1054"/>
      <c r="O2962" s="1207"/>
      <c r="Q2962" s="1207"/>
    </row>
    <row r="2963" spans="3:17" s="700" customFormat="1" ht="70.5" hidden="1" customHeight="1">
      <c r="C2963" s="701"/>
      <c r="D2963" s="811"/>
      <c r="E2963" s="1276">
        <f>[11]building!Y3294</f>
        <v>0</v>
      </c>
      <c r="F2963" s="748">
        <f t="shared" si="285"/>
        <v>0</v>
      </c>
      <c r="G2963" s="1205"/>
      <c r="H2963" s="1055"/>
      <c r="I2963" s="1055"/>
      <c r="J2963" s="1055"/>
      <c r="K2963" s="1205"/>
      <c r="L2963" s="1055"/>
      <c r="M2963" s="1205"/>
      <c r="N2963" s="1054"/>
      <c r="O2963" s="1207"/>
      <c r="Q2963" s="1207"/>
    </row>
    <row r="2964" spans="3:17" s="700" customFormat="1" ht="70.5" hidden="1" customHeight="1">
      <c r="C2964" s="701"/>
      <c r="D2964" s="811"/>
      <c r="E2964" s="1276">
        <f>[11]building!Y3295</f>
        <v>0</v>
      </c>
      <c r="F2964" s="748">
        <f t="shared" si="285"/>
        <v>0</v>
      </c>
      <c r="G2964" s="1205"/>
      <c r="H2964" s="1055"/>
      <c r="I2964" s="1055"/>
      <c r="J2964" s="1055"/>
      <c r="K2964" s="1205"/>
      <c r="L2964" s="1055"/>
      <c r="M2964" s="1205"/>
      <c r="N2964" s="1054"/>
      <c r="O2964" s="1207"/>
      <c r="Q2964" s="1207"/>
    </row>
    <row r="2965" spans="3:17" s="700" customFormat="1" ht="70.5" hidden="1" customHeight="1">
      <c r="C2965" s="701"/>
      <c r="D2965" s="811"/>
      <c r="E2965" s="1276">
        <f>[11]building!Y3296</f>
        <v>0</v>
      </c>
      <c r="F2965" s="748">
        <f t="shared" si="285"/>
        <v>0</v>
      </c>
      <c r="G2965" s="1205"/>
      <c r="H2965" s="1055"/>
      <c r="I2965" s="1055"/>
      <c r="J2965" s="1055"/>
      <c r="K2965" s="1205"/>
      <c r="L2965" s="1055"/>
      <c r="M2965" s="1205"/>
      <c r="N2965" s="1054"/>
      <c r="O2965" s="1207"/>
      <c r="Q2965" s="1207"/>
    </row>
    <row r="2966" spans="3:17" s="700" customFormat="1" ht="70.5" hidden="1" customHeight="1">
      <c r="C2966" s="701"/>
      <c r="D2966" s="811"/>
      <c r="E2966" s="1276">
        <f>[11]building!Y3297</f>
        <v>0</v>
      </c>
      <c r="F2966" s="748">
        <f t="shared" si="285"/>
        <v>0</v>
      </c>
      <c r="G2966" s="1205"/>
      <c r="H2966" s="1055"/>
      <c r="I2966" s="1055"/>
      <c r="J2966" s="1055"/>
      <c r="K2966" s="1205"/>
      <c r="L2966" s="1055"/>
      <c r="M2966" s="1205"/>
      <c r="N2966" s="1054"/>
      <c r="O2966" s="1207"/>
      <c r="Q2966" s="1207"/>
    </row>
    <row r="2967" spans="3:17" s="700" customFormat="1" ht="70.5" hidden="1" customHeight="1">
      <c r="C2967" s="701"/>
      <c r="D2967" s="811"/>
      <c r="E2967" s="1276">
        <f>[11]building!Y3298</f>
        <v>0</v>
      </c>
      <c r="F2967" s="748">
        <f t="shared" si="285"/>
        <v>0</v>
      </c>
      <c r="G2967" s="1205"/>
      <c r="H2967" s="1055"/>
      <c r="I2967" s="1055"/>
      <c r="J2967" s="1055"/>
      <c r="K2967" s="1205"/>
      <c r="L2967" s="1055"/>
      <c r="M2967" s="1205"/>
      <c r="N2967" s="1054"/>
      <c r="O2967" s="1207"/>
      <c r="Q2967" s="1207"/>
    </row>
    <row r="2968" spans="3:17" s="700" customFormat="1" ht="70.5" hidden="1" customHeight="1">
      <c r="C2968" s="701"/>
      <c r="D2968" s="811"/>
      <c r="E2968" s="1276">
        <f>[11]building!Y3299</f>
        <v>0</v>
      </c>
      <c r="F2968" s="748">
        <f t="shared" si="285"/>
        <v>0</v>
      </c>
      <c r="G2968" s="1205"/>
      <c r="H2968" s="1055"/>
      <c r="I2968" s="1055"/>
      <c r="J2968" s="1055"/>
      <c r="K2968" s="1205"/>
      <c r="L2968" s="1055"/>
      <c r="M2968" s="1205"/>
      <c r="N2968" s="1054"/>
      <c r="O2968" s="1207"/>
      <c r="Q2968" s="1207"/>
    </row>
    <row r="2969" spans="3:17" s="700" customFormat="1" ht="70.5" hidden="1" customHeight="1">
      <c r="C2969" s="701"/>
      <c r="D2969" s="811"/>
      <c r="E2969" s="1276">
        <f>[11]building!Y3300</f>
        <v>0</v>
      </c>
      <c r="F2969" s="748">
        <f t="shared" si="285"/>
        <v>0</v>
      </c>
      <c r="G2969" s="1205"/>
      <c r="H2969" s="1055"/>
      <c r="I2969" s="1055"/>
      <c r="J2969" s="1055"/>
      <c r="K2969" s="1205"/>
      <c r="L2969" s="1055"/>
      <c r="M2969" s="1205"/>
      <c r="N2969" s="1054"/>
      <c r="O2969" s="1207"/>
      <c r="Q2969" s="1207"/>
    </row>
    <row r="2970" spans="3:17" s="700" customFormat="1" ht="70.5" hidden="1" customHeight="1">
      <c r="C2970" s="701"/>
      <c r="D2970" s="811"/>
      <c r="E2970" s="1276">
        <f>[11]building!Y3301</f>
        <v>0</v>
      </c>
      <c r="F2970" s="748">
        <f t="shared" si="285"/>
        <v>0</v>
      </c>
      <c r="G2970" s="1205"/>
      <c r="H2970" s="1055"/>
      <c r="I2970" s="1055"/>
      <c r="J2970" s="1055"/>
      <c r="K2970" s="1205"/>
      <c r="L2970" s="1055"/>
      <c r="M2970" s="1205"/>
      <c r="N2970" s="1054"/>
      <c r="O2970" s="1207"/>
      <c r="Q2970" s="1207"/>
    </row>
    <row r="2971" spans="3:17" s="700" customFormat="1" ht="70.5" hidden="1" customHeight="1">
      <c r="C2971" s="701"/>
      <c r="D2971" s="811"/>
      <c r="E2971" s="1276">
        <f>[11]building!Y3302</f>
        <v>0</v>
      </c>
      <c r="F2971" s="748">
        <f t="shared" si="285"/>
        <v>0</v>
      </c>
      <c r="G2971" s="1205"/>
      <c r="H2971" s="1055"/>
      <c r="I2971" s="1055"/>
      <c r="J2971" s="1055"/>
      <c r="K2971" s="1205"/>
      <c r="L2971" s="1055"/>
      <c r="M2971" s="1205"/>
      <c r="N2971" s="1054"/>
      <c r="O2971" s="1207"/>
      <c r="Q2971" s="1207"/>
    </row>
    <row r="2972" spans="3:17" s="700" customFormat="1" ht="70.5" hidden="1" customHeight="1">
      <c r="C2972" s="701"/>
      <c r="D2972" s="811"/>
      <c r="E2972" s="1276">
        <f>[11]building!Y3303</f>
        <v>0</v>
      </c>
      <c r="F2972" s="748">
        <f t="shared" si="285"/>
        <v>0</v>
      </c>
      <c r="G2972" s="1205"/>
      <c r="H2972" s="1055"/>
      <c r="I2972" s="1055"/>
      <c r="J2972" s="1055"/>
      <c r="K2972" s="1205"/>
      <c r="L2972" s="1055"/>
      <c r="M2972" s="1205"/>
      <c r="N2972" s="1054"/>
      <c r="O2972" s="1207"/>
      <c r="Q2972" s="1207"/>
    </row>
    <row r="2973" spans="3:17" s="700" customFormat="1" ht="70.5" hidden="1" customHeight="1">
      <c r="C2973" s="701"/>
      <c r="D2973" s="811"/>
      <c r="E2973" s="1276">
        <f>[11]building!Y3304</f>
        <v>0</v>
      </c>
      <c r="F2973" s="748">
        <f t="shared" si="285"/>
        <v>0</v>
      </c>
      <c r="G2973" s="1205"/>
      <c r="H2973" s="1055"/>
      <c r="I2973" s="1055"/>
      <c r="J2973" s="1055"/>
      <c r="K2973" s="1205"/>
      <c r="L2973" s="1055"/>
      <c r="M2973" s="1205"/>
      <c r="N2973" s="1054"/>
      <c r="O2973" s="1207"/>
      <c r="Q2973" s="1207"/>
    </row>
    <row r="2974" spans="3:17" s="700" customFormat="1" ht="70.5" hidden="1" customHeight="1">
      <c r="C2974" s="701"/>
      <c r="D2974" s="811"/>
      <c r="E2974" s="1276">
        <f>[11]building!Y3305</f>
        <v>0</v>
      </c>
      <c r="F2974" s="748">
        <f t="shared" si="285"/>
        <v>0</v>
      </c>
      <c r="G2974" s="1205"/>
      <c r="H2974" s="1055"/>
      <c r="I2974" s="1055"/>
      <c r="J2974" s="1055"/>
      <c r="K2974" s="1205"/>
      <c r="L2974" s="1055"/>
      <c r="M2974" s="1205"/>
      <c r="N2974" s="1054"/>
      <c r="O2974" s="1207"/>
      <c r="Q2974" s="1207"/>
    </row>
    <row r="2975" spans="3:17" s="700" customFormat="1" ht="70.5" hidden="1" customHeight="1">
      <c r="C2975" s="701"/>
      <c r="D2975" s="811"/>
      <c r="E2975" s="1276">
        <f>[11]building!Y3306</f>
        <v>0</v>
      </c>
      <c r="F2975" s="748">
        <f t="shared" si="285"/>
        <v>0</v>
      </c>
      <c r="G2975" s="1205"/>
      <c r="H2975" s="1055"/>
      <c r="I2975" s="1055"/>
      <c r="J2975" s="1055"/>
      <c r="K2975" s="1205"/>
      <c r="L2975" s="1055"/>
      <c r="M2975" s="1205"/>
      <c r="N2975" s="1054"/>
      <c r="O2975" s="1207"/>
      <c r="Q2975" s="1207"/>
    </row>
    <row r="2976" spans="3:17" s="700" customFormat="1" ht="70.5" hidden="1" customHeight="1">
      <c r="C2976" s="701"/>
      <c r="D2976" s="811"/>
      <c r="E2976" s="1276">
        <f>[11]building!Y3307</f>
        <v>0</v>
      </c>
      <c r="F2976" s="748">
        <f t="shared" si="285"/>
        <v>0</v>
      </c>
      <c r="G2976" s="1205"/>
      <c r="H2976" s="1055"/>
      <c r="I2976" s="1055"/>
      <c r="J2976" s="1055"/>
      <c r="K2976" s="1205"/>
      <c r="L2976" s="1055"/>
      <c r="M2976" s="1205"/>
      <c r="N2976" s="1054"/>
      <c r="O2976" s="1207"/>
      <c r="Q2976" s="1207"/>
    </row>
    <row r="2977" spans="3:17" s="700" customFormat="1" ht="70.5" hidden="1" customHeight="1">
      <c r="C2977" s="701"/>
      <c r="D2977" s="811"/>
      <c r="E2977" s="1276">
        <f>[11]building!Y3308</f>
        <v>0</v>
      </c>
      <c r="F2977" s="748">
        <f t="shared" si="285"/>
        <v>0</v>
      </c>
      <c r="G2977" s="1205"/>
      <c r="H2977" s="1055"/>
      <c r="I2977" s="1055"/>
      <c r="J2977" s="1055"/>
      <c r="K2977" s="1205"/>
      <c r="L2977" s="1055"/>
      <c r="M2977" s="1205"/>
      <c r="N2977" s="1054"/>
      <c r="O2977" s="1207"/>
      <c r="Q2977" s="1207"/>
    </row>
    <row r="2978" spans="3:17" s="700" customFormat="1" ht="70.5" hidden="1" customHeight="1">
      <c r="C2978" s="701"/>
      <c r="D2978" s="811"/>
      <c r="E2978" s="1276">
        <f>[11]building!Y3309</f>
        <v>0</v>
      </c>
      <c r="F2978" s="748">
        <f t="shared" si="285"/>
        <v>0</v>
      </c>
      <c r="G2978" s="1205"/>
      <c r="H2978" s="1055"/>
      <c r="I2978" s="1055"/>
      <c r="J2978" s="1055"/>
      <c r="K2978" s="1205"/>
      <c r="L2978" s="1055"/>
      <c r="M2978" s="1205"/>
      <c r="N2978" s="1054"/>
      <c r="O2978" s="1207"/>
      <c r="Q2978" s="1207"/>
    </row>
    <row r="2979" spans="3:17" s="700" customFormat="1" ht="70.5" hidden="1" customHeight="1">
      <c r="C2979" s="701"/>
      <c r="D2979" s="811"/>
      <c r="E2979" s="1276">
        <f>[11]building!Y3310</f>
        <v>0</v>
      </c>
      <c r="F2979" s="748">
        <f t="shared" si="285"/>
        <v>0</v>
      </c>
      <c r="G2979" s="1205"/>
      <c r="H2979" s="1055"/>
      <c r="I2979" s="1055"/>
      <c r="J2979" s="1055"/>
      <c r="K2979" s="1205"/>
      <c r="L2979" s="1055"/>
      <c r="M2979" s="1205"/>
      <c r="N2979" s="1054"/>
      <c r="O2979" s="1207"/>
      <c r="Q2979" s="1207"/>
    </row>
    <row r="2980" spans="3:17" s="700" customFormat="1" ht="70.5" hidden="1" customHeight="1">
      <c r="C2980" s="701"/>
      <c r="D2980" s="811"/>
      <c r="E2980" s="1276">
        <f>[11]building!Y3311</f>
        <v>0</v>
      </c>
      <c r="F2980" s="748">
        <f t="shared" si="285"/>
        <v>0</v>
      </c>
      <c r="G2980" s="1205"/>
      <c r="H2980" s="1055"/>
      <c r="I2980" s="1055"/>
      <c r="J2980" s="1055"/>
      <c r="K2980" s="1205"/>
      <c r="L2980" s="1055"/>
      <c r="M2980" s="1205"/>
      <c r="N2980" s="1054"/>
      <c r="O2980" s="1207"/>
      <c r="Q2980" s="1207"/>
    </row>
    <row r="2981" spans="3:17" s="700" customFormat="1" ht="70.5" hidden="1" customHeight="1">
      <c r="C2981" s="701"/>
      <c r="D2981" s="811"/>
      <c r="E2981" s="1276">
        <f>[11]building!Y3312</f>
        <v>0</v>
      </c>
      <c r="F2981" s="748">
        <f t="shared" si="285"/>
        <v>0</v>
      </c>
      <c r="G2981" s="1205"/>
      <c r="H2981" s="1055"/>
      <c r="I2981" s="1055"/>
      <c r="J2981" s="1055"/>
      <c r="K2981" s="1205"/>
      <c r="L2981" s="1055"/>
      <c r="M2981" s="1205"/>
      <c r="N2981" s="1054"/>
      <c r="O2981" s="1207"/>
      <c r="Q2981" s="1207"/>
    </row>
    <row r="2982" spans="3:17" s="700" customFormat="1" ht="70.5" hidden="1" customHeight="1">
      <c r="C2982" s="701"/>
      <c r="D2982" s="811"/>
      <c r="E2982" s="1276">
        <f>[11]building!Y3313</f>
        <v>0</v>
      </c>
      <c r="F2982" s="748">
        <f t="shared" si="285"/>
        <v>0</v>
      </c>
      <c r="G2982" s="1205"/>
      <c r="H2982" s="1055"/>
      <c r="I2982" s="1055"/>
      <c r="J2982" s="1055"/>
      <c r="K2982" s="1205"/>
      <c r="L2982" s="1055"/>
      <c r="M2982" s="1205"/>
      <c r="N2982" s="1054"/>
      <c r="O2982" s="1207"/>
      <c r="Q2982" s="1207"/>
    </row>
    <row r="2983" spans="3:17" s="700" customFormat="1" ht="70.5" hidden="1" customHeight="1">
      <c r="C2983" s="701"/>
      <c r="D2983" s="811"/>
      <c r="E2983" s="1276">
        <f>[11]building!Y3314</f>
        <v>0</v>
      </c>
      <c r="F2983" s="748">
        <f t="shared" si="285"/>
        <v>0</v>
      </c>
      <c r="G2983" s="1205"/>
      <c r="H2983" s="1055"/>
      <c r="I2983" s="1055"/>
      <c r="J2983" s="1055"/>
      <c r="K2983" s="1205"/>
      <c r="L2983" s="1055"/>
      <c r="M2983" s="1205"/>
      <c r="N2983" s="1054"/>
      <c r="O2983" s="1207"/>
      <c r="Q2983" s="1207"/>
    </row>
    <row r="2984" spans="3:17" s="700" customFormat="1" ht="70.5" hidden="1" customHeight="1">
      <c r="C2984" s="701"/>
      <c r="D2984" s="811"/>
      <c r="E2984" s="1276">
        <f>[11]building!Y3315</f>
        <v>0</v>
      </c>
      <c r="F2984" s="748">
        <f t="shared" si="285"/>
        <v>0</v>
      </c>
      <c r="G2984" s="1205"/>
      <c r="H2984" s="1055"/>
      <c r="I2984" s="1055"/>
      <c r="J2984" s="1055"/>
      <c r="K2984" s="1205"/>
      <c r="L2984" s="1055"/>
      <c r="M2984" s="1205"/>
      <c r="N2984" s="1054"/>
      <c r="O2984" s="1207"/>
      <c r="Q2984" s="1207"/>
    </row>
    <row r="2985" spans="3:17" s="700" customFormat="1" ht="70.5" hidden="1" customHeight="1">
      <c r="C2985" s="701"/>
      <c r="D2985" s="811"/>
      <c r="E2985" s="1276">
        <f>[11]building!Y3316</f>
        <v>0</v>
      </c>
      <c r="F2985" s="748">
        <f t="shared" si="285"/>
        <v>0</v>
      </c>
      <c r="G2985" s="1205"/>
      <c r="H2985" s="1055"/>
      <c r="I2985" s="1055"/>
      <c r="J2985" s="1055"/>
      <c r="K2985" s="1205"/>
      <c r="L2985" s="1055"/>
      <c r="M2985" s="1205"/>
      <c r="N2985" s="1054"/>
      <c r="O2985" s="1207"/>
      <c r="Q2985" s="1207"/>
    </row>
    <row r="2986" spans="3:17" s="700" customFormat="1" ht="70.5" hidden="1" customHeight="1">
      <c r="C2986" s="701"/>
      <c r="D2986" s="811"/>
      <c r="E2986" s="1276">
        <f>[11]building!Y3317</f>
        <v>0</v>
      </c>
      <c r="F2986" s="748">
        <f t="shared" si="285"/>
        <v>0</v>
      </c>
      <c r="G2986" s="1205"/>
      <c r="H2986" s="1055"/>
      <c r="I2986" s="1055"/>
      <c r="J2986" s="1055"/>
      <c r="K2986" s="1205"/>
      <c r="L2986" s="1055"/>
      <c r="M2986" s="1205"/>
      <c r="N2986" s="1054"/>
      <c r="O2986" s="1207"/>
      <c r="Q2986" s="1207"/>
    </row>
    <row r="2987" spans="3:17" s="700" customFormat="1" ht="70.5" hidden="1" customHeight="1">
      <c r="C2987" s="701"/>
      <c r="D2987" s="811"/>
      <c r="E2987" s="1276">
        <f>[11]building!Y3318</f>
        <v>0</v>
      </c>
      <c r="F2987" s="748">
        <f t="shared" si="285"/>
        <v>0</v>
      </c>
      <c r="G2987" s="1205"/>
      <c r="H2987" s="1055"/>
      <c r="I2987" s="1055"/>
      <c r="J2987" s="1055"/>
      <c r="K2987" s="1205"/>
      <c r="L2987" s="1055"/>
      <c r="M2987" s="1205"/>
      <c r="N2987" s="1054"/>
      <c r="O2987" s="1207"/>
      <c r="Q2987" s="1207"/>
    </row>
    <row r="2988" spans="3:17" s="700" customFormat="1" ht="70.5" hidden="1" customHeight="1">
      <c r="C2988" s="701"/>
      <c r="D2988" s="811"/>
      <c r="E2988" s="1276">
        <f>[11]building!Y3319</f>
        <v>0</v>
      </c>
      <c r="F2988" s="748">
        <f t="shared" si="285"/>
        <v>0</v>
      </c>
      <c r="G2988" s="1205"/>
      <c r="H2988" s="1055"/>
      <c r="I2988" s="1055"/>
      <c r="J2988" s="1055"/>
      <c r="K2988" s="1205"/>
      <c r="L2988" s="1055"/>
      <c r="M2988" s="1205"/>
      <c r="N2988" s="1054"/>
      <c r="O2988" s="1207"/>
      <c r="Q2988" s="1207"/>
    </row>
    <row r="2989" spans="3:17" s="700" customFormat="1" ht="70.5" hidden="1" customHeight="1">
      <c r="C2989" s="701"/>
      <c r="D2989" s="811"/>
      <c r="E2989" s="1276">
        <f>[11]building!Y3320</f>
        <v>0</v>
      </c>
      <c r="F2989" s="748">
        <f t="shared" si="285"/>
        <v>0</v>
      </c>
      <c r="G2989" s="1205"/>
      <c r="H2989" s="1055"/>
      <c r="I2989" s="1055"/>
      <c r="J2989" s="1055"/>
      <c r="K2989" s="1205"/>
      <c r="L2989" s="1055"/>
      <c r="M2989" s="1205"/>
      <c r="N2989" s="1054"/>
      <c r="O2989" s="1207"/>
      <c r="Q2989" s="1207"/>
    </row>
    <row r="2990" spans="3:17" s="700" customFormat="1" ht="70.5" hidden="1" customHeight="1">
      <c r="C2990" s="701"/>
      <c r="D2990" s="811"/>
      <c r="E2990" s="1276">
        <f>[11]building!Y3321</f>
        <v>0</v>
      </c>
      <c r="F2990" s="748">
        <f t="shared" si="285"/>
        <v>0</v>
      </c>
      <c r="G2990" s="1205"/>
      <c r="H2990" s="1055"/>
      <c r="I2990" s="1055"/>
      <c r="J2990" s="1055"/>
      <c r="K2990" s="1205"/>
      <c r="L2990" s="1055"/>
      <c r="M2990" s="1205"/>
      <c r="N2990" s="1054"/>
      <c r="O2990" s="1207"/>
      <c r="Q2990" s="1207"/>
    </row>
    <row r="2991" spans="3:17" s="700" customFormat="1" ht="70.5" hidden="1" customHeight="1">
      <c r="C2991" s="701"/>
      <c r="D2991" s="811"/>
      <c r="E2991" s="1276">
        <f>[11]building!Y3322</f>
        <v>0</v>
      </c>
      <c r="F2991" s="748">
        <f t="shared" si="285"/>
        <v>0</v>
      </c>
      <c r="G2991" s="1205"/>
      <c r="H2991" s="1055"/>
      <c r="I2991" s="1055"/>
      <c r="J2991" s="1055"/>
      <c r="K2991" s="1205"/>
      <c r="L2991" s="1055"/>
      <c r="M2991" s="1205"/>
      <c r="N2991" s="1054"/>
      <c r="O2991" s="1207"/>
      <c r="Q2991" s="1207"/>
    </row>
    <row r="2992" spans="3:17" s="700" customFormat="1" ht="70.5" hidden="1" customHeight="1">
      <c r="C2992" s="701"/>
      <c r="D2992" s="811"/>
      <c r="E2992" s="1276">
        <f>[11]building!Y3323</f>
        <v>0</v>
      </c>
      <c r="F2992" s="748">
        <f t="shared" si="285"/>
        <v>0</v>
      </c>
      <c r="G2992" s="1205"/>
      <c r="H2992" s="1055"/>
      <c r="I2992" s="1055"/>
      <c r="J2992" s="1055"/>
      <c r="K2992" s="1205"/>
      <c r="L2992" s="1055"/>
      <c r="M2992" s="1205"/>
      <c r="N2992" s="1054"/>
      <c r="O2992" s="1207"/>
      <c r="Q2992" s="1207"/>
    </row>
    <row r="2993" spans="3:17" s="700" customFormat="1" ht="70.5" hidden="1" customHeight="1">
      <c r="C2993" s="701"/>
      <c r="D2993" s="811"/>
      <c r="E2993" s="1276">
        <f>[11]building!Y3324</f>
        <v>0</v>
      </c>
      <c r="F2993" s="748">
        <f t="shared" si="285"/>
        <v>0</v>
      </c>
      <c r="G2993" s="1205"/>
      <c r="H2993" s="1055"/>
      <c r="I2993" s="1055"/>
      <c r="J2993" s="1055"/>
      <c r="K2993" s="1205"/>
      <c r="L2993" s="1055"/>
      <c r="M2993" s="1205"/>
      <c r="N2993" s="1054"/>
      <c r="O2993" s="1207"/>
      <c r="Q2993" s="1207"/>
    </row>
    <row r="2994" spans="3:17" s="700" customFormat="1" ht="70.5" hidden="1" customHeight="1">
      <c r="C2994" s="701"/>
      <c r="D2994" s="811"/>
      <c r="E2994" s="1276">
        <f>[11]building!Y3325</f>
        <v>0</v>
      </c>
      <c r="F2994" s="748">
        <f t="shared" si="285"/>
        <v>0</v>
      </c>
      <c r="G2994" s="1205"/>
      <c r="H2994" s="1055"/>
      <c r="I2994" s="1055"/>
      <c r="J2994" s="1055"/>
      <c r="K2994" s="1205"/>
      <c r="L2994" s="1055"/>
      <c r="M2994" s="1205"/>
      <c r="N2994" s="1054"/>
      <c r="O2994" s="1207"/>
      <c r="Q2994" s="1207"/>
    </row>
    <row r="2995" spans="3:17" s="700" customFormat="1" ht="70.5" hidden="1" customHeight="1">
      <c r="C2995" s="701"/>
      <c r="D2995" s="811"/>
      <c r="E2995" s="1276">
        <f>[11]building!Y3326</f>
        <v>0</v>
      </c>
      <c r="F2995" s="748">
        <f t="shared" si="285"/>
        <v>0</v>
      </c>
      <c r="G2995" s="1205"/>
      <c r="H2995" s="1055"/>
      <c r="I2995" s="1055"/>
      <c r="J2995" s="1055"/>
      <c r="K2995" s="1205"/>
      <c r="L2995" s="1055"/>
      <c r="M2995" s="1205"/>
      <c r="N2995" s="1054"/>
      <c r="O2995" s="1207"/>
      <c r="Q2995" s="1207"/>
    </row>
    <row r="2996" spans="3:17" s="700" customFormat="1" ht="70.5" hidden="1" customHeight="1">
      <c r="C2996" s="701"/>
      <c r="D2996" s="811"/>
      <c r="E2996" s="1276">
        <f>[11]building!Y3327</f>
        <v>0</v>
      </c>
      <c r="F2996" s="748">
        <f t="shared" si="285"/>
        <v>0</v>
      </c>
      <c r="G2996" s="1205"/>
      <c r="H2996" s="1055"/>
      <c r="I2996" s="1055"/>
      <c r="J2996" s="1055"/>
      <c r="K2996" s="1205"/>
      <c r="L2996" s="1055"/>
      <c r="M2996" s="1205"/>
      <c r="N2996" s="1054"/>
      <c r="O2996" s="1207"/>
      <c r="Q2996" s="1207"/>
    </row>
    <row r="2997" spans="3:17" s="700" customFormat="1" ht="70.5" hidden="1" customHeight="1">
      <c r="C2997" s="701"/>
      <c r="D2997" s="811"/>
      <c r="E2997" s="1276">
        <f>[11]building!Y3328</f>
        <v>0</v>
      </c>
      <c r="F2997" s="748">
        <f t="shared" si="285"/>
        <v>0</v>
      </c>
      <c r="G2997" s="1205"/>
      <c r="H2997" s="1055"/>
      <c r="I2997" s="1055"/>
      <c r="J2997" s="1055"/>
      <c r="K2997" s="1205"/>
      <c r="L2997" s="1055"/>
      <c r="M2997" s="1205"/>
      <c r="N2997" s="1054"/>
      <c r="O2997" s="1207"/>
      <c r="Q2997" s="1207"/>
    </row>
    <row r="2998" spans="3:17" s="700" customFormat="1" ht="70.5" hidden="1" customHeight="1">
      <c r="C2998" s="701"/>
      <c r="D2998" s="811"/>
      <c r="E2998" s="1276">
        <f>[11]building!Y3329</f>
        <v>0</v>
      </c>
      <c r="F2998" s="748">
        <f t="shared" si="285"/>
        <v>0</v>
      </c>
      <c r="G2998" s="1205"/>
      <c r="H2998" s="1055"/>
      <c r="I2998" s="1055"/>
      <c r="J2998" s="1055"/>
      <c r="K2998" s="1205"/>
      <c r="L2998" s="1055"/>
      <c r="M2998" s="1205"/>
      <c r="N2998" s="1054"/>
      <c r="O2998" s="1207"/>
      <c r="Q2998" s="1207"/>
    </row>
    <row r="2999" spans="3:17" s="700" customFormat="1" ht="70.5" hidden="1" customHeight="1">
      <c r="C2999" s="701"/>
      <c r="D2999" s="811"/>
      <c r="E2999" s="1276">
        <f>[11]building!Y3330</f>
        <v>0</v>
      </c>
      <c r="F2999" s="748">
        <f t="shared" si="285"/>
        <v>0</v>
      </c>
      <c r="G2999" s="1205"/>
      <c r="H2999" s="1055"/>
      <c r="I2999" s="1055"/>
      <c r="J2999" s="1055"/>
      <c r="K2999" s="1205"/>
      <c r="L2999" s="1055"/>
      <c r="M2999" s="1205"/>
      <c r="N2999" s="1054"/>
      <c r="O2999" s="1207"/>
      <c r="Q2999" s="1207"/>
    </row>
    <row r="3000" spans="3:17" s="700" customFormat="1" ht="70.5" hidden="1" customHeight="1">
      <c r="C3000" s="701"/>
      <c r="D3000" s="811"/>
      <c r="E3000" s="1276">
        <f>[11]building!Y3331</f>
        <v>0</v>
      </c>
      <c r="F3000" s="748">
        <f t="shared" si="285"/>
        <v>0</v>
      </c>
      <c r="G3000" s="1205"/>
      <c r="H3000" s="1055"/>
      <c r="I3000" s="1055"/>
      <c r="J3000" s="1055"/>
      <c r="K3000" s="1205"/>
      <c r="L3000" s="1055"/>
      <c r="M3000" s="1205"/>
      <c r="N3000" s="1054"/>
      <c r="O3000" s="1207"/>
      <c r="Q3000" s="1207"/>
    </row>
    <row r="3001" spans="3:17" s="700" customFormat="1" ht="70.5" hidden="1" customHeight="1">
      <c r="C3001" s="701"/>
      <c r="D3001" s="811"/>
      <c r="E3001" s="1276">
        <f>[11]building!Y3332</f>
        <v>0</v>
      </c>
      <c r="F3001" s="748">
        <f t="shared" si="285"/>
        <v>0</v>
      </c>
      <c r="G3001" s="1205"/>
      <c r="H3001" s="1055"/>
      <c r="I3001" s="1055"/>
      <c r="J3001" s="1055"/>
      <c r="K3001" s="1205"/>
      <c r="L3001" s="1055"/>
      <c r="M3001" s="1205"/>
      <c r="N3001" s="1054"/>
      <c r="O3001" s="1207"/>
      <c r="Q3001" s="1207"/>
    </row>
    <row r="3002" spans="3:17" s="700" customFormat="1" ht="70.5" hidden="1" customHeight="1">
      <c r="C3002" s="701"/>
      <c r="D3002" s="811"/>
      <c r="E3002" s="1276">
        <f>[11]building!Y3333</f>
        <v>0</v>
      </c>
      <c r="F3002" s="748">
        <f t="shared" si="285"/>
        <v>0</v>
      </c>
      <c r="G3002" s="1205"/>
      <c r="H3002" s="1055"/>
      <c r="I3002" s="1055"/>
      <c r="J3002" s="1055"/>
      <c r="K3002" s="1205"/>
      <c r="L3002" s="1055"/>
      <c r="M3002" s="1205"/>
      <c r="N3002" s="1054"/>
      <c r="O3002" s="1207"/>
      <c r="Q3002" s="1207"/>
    </row>
    <row r="3003" spans="3:17" s="700" customFormat="1" ht="70.5" hidden="1" customHeight="1">
      <c r="C3003" s="701"/>
      <c r="D3003" s="811"/>
      <c r="E3003" s="1276">
        <f>[11]building!Y3334</f>
        <v>0</v>
      </c>
      <c r="F3003" s="748">
        <f t="shared" si="285"/>
        <v>0</v>
      </c>
      <c r="G3003" s="1205"/>
      <c r="H3003" s="1055"/>
      <c r="I3003" s="1055"/>
      <c r="J3003" s="1055"/>
      <c r="K3003" s="1205"/>
      <c r="L3003" s="1055"/>
      <c r="M3003" s="1205"/>
      <c r="N3003" s="1054"/>
      <c r="O3003" s="1207"/>
      <c r="Q3003" s="1207"/>
    </row>
    <row r="3004" spans="3:17" s="700" customFormat="1" ht="70.5" hidden="1" customHeight="1">
      <c r="C3004" s="701"/>
      <c r="D3004" s="811"/>
      <c r="E3004" s="1276">
        <f>[11]building!Y3335</f>
        <v>0</v>
      </c>
      <c r="F3004" s="748">
        <f t="shared" si="285"/>
        <v>0</v>
      </c>
      <c r="G3004" s="1205"/>
      <c r="H3004" s="1055"/>
      <c r="I3004" s="1055"/>
      <c r="J3004" s="1055"/>
      <c r="K3004" s="1205"/>
      <c r="L3004" s="1055"/>
      <c r="M3004" s="1205"/>
      <c r="N3004" s="1054"/>
      <c r="O3004" s="1207"/>
      <c r="Q3004" s="1207"/>
    </row>
    <row r="3005" spans="3:17" s="700" customFormat="1" ht="70.5" hidden="1" customHeight="1">
      <c r="C3005" s="701"/>
      <c r="D3005" s="811"/>
      <c r="E3005" s="1276">
        <f>[11]building!Y3336</f>
        <v>0</v>
      </c>
      <c r="F3005" s="748">
        <f t="shared" si="285"/>
        <v>0</v>
      </c>
      <c r="G3005" s="1205"/>
      <c r="H3005" s="1055"/>
      <c r="I3005" s="1055"/>
      <c r="J3005" s="1055"/>
      <c r="K3005" s="1205"/>
      <c r="L3005" s="1055"/>
      <c r="M3005" s="1205"/>
      <c r="N3005" s="1054"/>
      <c r="O3005" s="1207"/>
      <c r="Q3005" s="1207"/>
    </row>
    <row r="3006" spans="3:17" s="700" customFormat="1" ht="70.5" hidden="1" customHeight="1">
      <c r="C3006" s="701"/>
      <c r="D3006" s="811"/>
      <c r="E3006" s="1276">
        <f>[11]building!Y3337</f>
        <v>0</v>
      </c>
      <c r="F3006" s="748">
        <f t="shared" si="285"/>
        <v>0</v>
      </c>
      <c r="G3006" s="1205"/>
      <c r="H3006" s="1055"/>
      <c r="I3006" s="1055"/>
      <c r="J3006" s="1055"/>
      <c r="K3006" s="1205"/>
      <c r="L3006" s="1055"/>
      <c r="M3006" s="1205"/>
      <c r="N3006" s="1054"/>
      <c r="O3006" s="1207"/>
      <c r="Q3006" s="1207"/>
    </row>
    <row r="3007" spans="3:17" s="700" customFormat="1" ht="70.5" hidden="1" customHeight="1">
      <c r="C3007" s="701"/>
      <c r="D3007" s="811"/>
      <c r="E3007" s="1276">
        <f>[11]building!Y3338</f>
        <v>0</v>
      </c>
      <c r="F3007" s="748">
        <f t="shared" si="285"/>
        <v>0</v>
      </c>
      <c r="G3007" s="1205"/>
      <c r="H3007" s="1055"/>
      <c r="I3007" s="1055"/>
      <c r="J3007" s="1055"/>
      <c r="K3007" s="1205"/>
      <c r="L3007" s="1055"/>
      <c r="M3007" s="1205"/>
      <c r="N3007" s="1054"/>
      <c r="O3007" s="1207"/>
      <c r="Q3007" s="1207"/>
    </row>
    <row r="3008" spans="3:17" s="700" customFormat="1" ht="70.5" hidden="1" customHeight="1">
      <c r="C3008" s="701"/>
      <c r="D3008" s="811"/>
      <c r="E3008" s="1276">
        <f>[11]building!Y3339</f>
        <v>0</v>
      </c>
      <c r="F3008" s="748">
        <f t="shared" ref="F3008:F3071" si="286">E3008*C3008</f>
        <v>0</v>
      </c>
      <c r="G3008" s="1205"/>
      <c r="H3008" s="1055"/>
      <c r="I3008" s="1055"/>
      <c r="J3008" s="1055"/>
      <c r="K3008" s="1205"/>
      <c r="L3008" s="1055"/>
      <c r="M3008" s="1205"/>
      <c r="N3008" s="1054"/>
      <c r="O3008" s="1207"/>
      <c r="Q3008" s="1207"/>
    </row>
    <row r="3009" spans="3:17" s="700" customFormat="1" ht="70.5" hidden="1" customHeight="1">
      <c r="C3009" s="701"/>
      <c r="D3009" s="811"/>
      <c r="E3009" s="1276">
        <f>[11]building!Y3340</f>
        <v>0</v>
      </c>
      <c r="F3009" s="748">
        <f t="shared" si="286"/>
        <v>0</v>
      </c>
      <c r="G3009" s="1205"/>
      <c r="H3009" s="1055"/>
      <c r="I3009" s="1055"/>
      <c r="J3009" s="1055"/>
      <c r="K3009" s="1205"/>
      <c r="L3009" s="1055"/>
      <c r="M3009" s="1205"/>
      <c r="N3009" s="1054"/>
      <c r="O3009" s="1207"/>
      <c r="Q3009" s="1207"/>
    </row>
    <row r="3010" spans="3:17" s="700" customFormat="1" ht="70.5" hidden="1" customHeight="1">
      <c r="C3010" s="701"/>
      <c r="D3010" s="811"/>
      <c r="E3010" s="1276">
        <f>[11]building!Y3341</f>
        <v>0</v>
      </c>
      <c r="F3010" s="748">
        <f t="shared" si="286"/>
        <v>0</v>
      </c>
      <c r="G3010" s="1205"/>
      <c r="H3010" s="1055"/>
      <c r="I3010" s="1055"/>
      <c r="J3010" s="1055"/>
      <c r="K3010" s="1205"/>
      <c r="L3010" s="1055"/>
      <c r="M3010" s="1205"/>
      <c r="N3010" s="1054"/>
      <c r="O3010" s="1207"/>
      <c r="Q3010" s="1207"/>
    </row>
    <row r="3011" spans="3:17" s="700" customFormat="1" ht="70.5" hidden="1" customHeight="1">
      <c r="C3011" s="701"/>
      <c r="D3011" s="811"/>
      <c r="E3011" s="1276">
        <f>[11]building!Y3342</f>
        <v>0</v>
      </c>
      <c r="F3011" s="748">
        <f t="shared" si="286"/>
        <v>0</v>
      </c>
      <c r="G3011" s="1205"/>
      <c r="H3011" s="1055"/>
      <c r="I3011" s="1055"/>
      <c r="J3011" s="1055"/>
      <c r="K3011" s="1205"/>
      <c r="L3011" s="1055"/>
      <c r="M3011" s="1205"/>
      <c r="N3011" s="1054"/>
      <c r="O3011" s="1207"/>
      <c r="Q3011" s="1207"/>
    </row>
    <row r="3012" spans="3:17" s="700" customFormat="1" ht="70.5" hidden="1" customHeight="1">
      <c r="C3012" s="701"/>
      <c r="D3012" s="811"/>
      <c r="E3012" s="1276">
        <f>[11]building!Y3343</f>
        <v>0</v>
      </c>
      <c r="F3012" s="748">
        <f t="shared" si="286"/>
        <v>0</v>
      </c>
      <c r="G3012" s="1205"/>
      <c r="H3012" s="1055"/>
      <c r="I3012" s="1055"/>
      <c r="J3012" s="1055"/>
      <c r="K3012" s="1205"/>
      <c r="L3012" s="1055"/>
      <c r="M3012" s="1205"/>
      <c r="N3012" s="1054"/>
      <c r="O3012" s="1207"/>
      <c r="Q3012" s="1207"/>
    </row>
    <row r="3013" spans="3:17" s="700" customFormat="1" ht="70.5" hidden="1" customHeight="1">
      <c r="C3013" s="701"/>
      <c r="D3013" s="811"/>
      <c r="E3013" s="1276">
        <f>[11]building!Y3344</f>
        <v>0</v>
      </c>
      <c r="F3013" s="748">
        <f t="shared" si="286"/>
        <v>0</v>
      </c>
      <c r="G3013" s="1205"/>
      <c r="H3013" s="1055"/>
      <c r="I3013" s="1055"/>
      <c r="J3013" s="1055"/>
      <c r="K3013" s="1205"/>
      <c r="L3013" s="1055"/>
      <c r="M3013" s="1205"/>
      <c r="N3013" s="1054"/>
      <c r="O3013" s="1207"/>
      <c r="Q3013" s="1207"/>
    </row>
    <row r="3014" spans="3:17" s="700" customFormat="1" ht="70.5" hidden="1" customHeight="1">
      <c r="C3014" s="701"/>
      <c r="D3014" s="811"/>
      <c r="E3014" s="1276">
        <f>[11]building!Y3345</f>
        <v>0</v>
      </c>
      <c r="F3014" s="748">
        <f t="shared" si="286"/>
        <v>0</v>
      </c>
      <c r="G3014" s="1205"/>
      <c r="H3014" s="1055"/>
      <c r="I3014" s="1055"/>
      <c r="J3014" s="1055"/>
      <c r="K3014" s="1205"/>
      <c r="L3014" s="1055"/>
      <c r="M3014" s="1205"/>
      <c r="N3014" s="1054"/>
      <c r="O3014" s="1207"/>
      <c r="Q3014" s="1207"/>
    </row>
    <row r="3015" spans="3:17" s="700" customFormat="1" ht="70.5" hidden="1" customHeight="1">
      <c r="C3015" s="701"/>
      <c r="D3015" s="811"/>
      <c r="E3015" s="1276">
        <f>[11]building!Y3346</f>
        <v>0</v>
      </c>
      <c r="F3015" s="748">
        <f t="shared" si="286"/>
        <v>0</v>
      </c>
      <c r="G3015" s="1205"/>
      <c r="H3015" s="1055"/>
      <c r="I3015" s="1055"/>
      <c r="J3015" s="1055"/>
      <c r="K3015" s="1205"/>
      <c r="L3015" s="1055"/>
      <c r="M3015" s="1205"/>
      <c r="N3015" s="1054"/>
      <c r="O3015" s="1207"/>
      <c r="Q3015" s="1207"/>
    </row>
    <row r="3016" spans="3:17" s="700" customFormat="1" ht="70.5" hidden="1" customHeight="1">
      <c r="C3016" s="701"/>
      <c r="D3016" s="811"/>
      <c r="E3016" s="1276">
        <f>[11]building!Y3347</f>
        <v>0</v>
      </c>
      <c r="F3016" s="748">
        <f t="shared" si="286"/>
        <v>0</v>
      </c>
      <c r="G3016" s="1205"/>
      <c r="H3016" s="1055"/>
      <c r="I3016" s="1055"/>
      <c r="J3016" s="1055"/>
      <c r="K3016" s="1205"/>
      <c r="L3016" s="1055"/>
      <c r="M3016" s="1205"/>
      <c r="N3016" s="1054"/>
      <c r="O3016" s="1207"/>
      <c r="Q3016" s="1207"/>
    </row>
    <row r="3017" spans="3:17" s="700" customFormat="1" ht="70.5" hidden="1" customHeight="1">
      <c r="C3017" s="701"/>
      <c r="D3017" s="811"/>
      <c r="E3017" s="1276">
        <f>[11]building!Y3348</f>
        <v>0</v>
      </c>
      <c r="F3017" s="748">
        <f t="shared" si="286"/>
        <v>0</v>
      </c>
      <c r="G3017" s="1205"/>
      <c r="H3017" s="1055"/>
      <c r="I3017" s="1055"/>
      <c r="J3017" s="1055"/>
      <c r="K3017" s="1205"/>
      <c r="L3017" s="1055"/>
      <c r="M3017" s="1205"/>
      <c r="N3017" s="1054"/>
      <c r="O3017" s="1207"/>
      <c r="Q3017" s="1207"/>
    </row>
    <row r="3018" spans="3:17" s="700" customFormat="1" ht="70.5" hidden="1" customHeight="1">
      <c r="C3018" s="701"/>
      <c r="D3018" s="811"/>
      <c r="E3018" s="1276">
        <f>[11]building!Y3349</f>
        <v>0</v>
      </c>
      <c r="F3018" s="748">
        <f t="shared" si="286"/>
        <v>0</v>
      </c>
      <c r="G3018" s="1205"/>
      <c r="H3018" s="1055"/>
      <c r="I3018" s="1055"/>
      <c r="J3018" s="1055"/>
      <c r="K3018" s="1205"/>
      <c r="L3018" s="1055"/>
      <c r="M3018" s="1205"/>
      <c r="N3018" s="1054"/>
      <c r="O3018" s="1207"/>
      <c r="Q3018" s="1207"/>
    </row>
    <row r="3019" spans="3:17" s="700" customFormat="1" ht="70.5" hidden="1" customHeight="1">
      <c r="C3019" s="701"/>
      <c r="D3019" s="811"/>
      <c r="E3019" s="1276">
        <f>[11]building!Y3350</f>
        <v>0</v>
      </c>
      <c r="F3019" s="748">
        <f t="shared" si="286"/>
        <v>0</v>
      </c>
      <c r="G3019" s="1205"/>
      <c r="H3019" s="1055"/>
      <c r="I3019" s="1055"/>
      <c r="J3019" s="1055"/>
      <c r="K3019" s="1205"/>
      <c r="L3019" s="1055"/>
      <c r="M3019" s="1205"/>
      <c r="N3019" s="1054"/>
      <c r="O3019" s="1207"/>
      <c r="Q3019" s="1207"/>
    </row>
    <row r="3020" spans="3:17" s="700" customFormat="1" ht="70.5" hidden="1" customHeight="1">
      <c r="C3020" s="701"/>
      <c r="D3020" s="811"/>
      <c r="E3020" s="1276">
        <f>[11]building!Y3351</f>
        <v>0</v>
      </c>
      <c r="F3020" s="748">
        <f t="shared" si="286"/>
        <v>0</v>
      </c>
      <c r="G3020" s="1205"/>
      <c r="H3020" s="1055"/>
      <c r="I3020" s="1055"/>
      <c r="J3020" s="1055"/>
      <c r="K3020" s="1205"/>
      <c r="L3020" s="1055"/>
      <c r="M3020" s="1205"/>
      <c r="N3020" s="1054"/>
      <c r="O3020" s="1207"/>
      <c r="Q3020" s="1207"/>
    </row>
    <row r="3021" spans="3:17" s="700" customFormat="1" ht="70.5" hidden="1" customHeight="1">
      <c r="C3021" s="701"/>
      <c r="D3021" s="811"/>
      <c r="E3021" s="1276">
        <f>[11]building!Y3352</f>
        <v>0</v>
      </c>
      <c r="F3021" s="748">
        <f t="shared" si="286"/>
        <v>0</v>
      </c>
      <c r="G3021" s="1205"/>
      <c r="H3021" s="1055"/>
      <c r="I3021" s="1055"/>
      <c r="J3021" s="1055"/>
      <c r="K3021" s="1205"/>
      <c r="L3021" s="1055"/>
      <c r="M3021" s="1205"/>
      <c r="N3021" s="1054"/>
      <c r="O3021" s="1207"/>
      <c r="Q3021" s="1207"/>
    </row>
    <row r="3022" spans="3:17" s="700" customFormat="1" ht="70.5" hidden="1" customHeight="1">
      <c r="C3022" s="701"/>
      <c r="D3022" s="811"/>
      <c r="E3022" s="1276">
        <f>[11]building!Y3353</f>
        <v>0</v>
      </c>
      <c r="F3022" s="748">
        <f t="shared" si="286"/>
        <v>0</v>
      </c>
      <c r="G3022" s="1205"/>
      <c r="H3022" s="1055"/>
      <c r="I3022" s="1055"/>
      <c r="J3022" s="1055"/>
      <c r="K3022" s="1205"/>
      <c r="L3022" s="1055"/>
      <c r="M3022" s="1205"/>
      <c r="N3022" s="1054"/>
      <c r="O3022" s="1207"/>
      <c r="Q3022" s="1207"/>
    </row>
    <row r="3023" spans="3:17" s="700" customFormat="1" ht="70.5" hidden="1" customHeight="1">
      <c r="C3023" s="701"/>
      <c r="D3023" s="811"/>
      <c r="E3023" s="1276">
        <f>[11]building!Y3354</f>
        <v>0</v>
      </c>
      <c r="F3023" s="748">
        <f t="shared" si="286"/>
        <v>0</v>
      </c>
      <c r="G3023" s="1205"/>
      <c r="H3023" s="1055"/>
      <c r="I3023" s="1055"/>
      <c r="J3023" s="1055"/>
      <c r="K3023" s="1205"/>
      <c r="L3023" s="1055"/>
      <c r="M3023" s="1205"/>
      <c r="N3023" s="1054"/>
      <c r="O3023" s="1207"/>
      <c r="Q3023" s="1207"/>
    </row>
    <row r="3024" spans="3:17" s="700" customFormat="1" ht="70.5" hidden="1" customHeight="1">
      <c r="C3024" s="701"/>
      <c r="D3024" s="811"/>
      <c r="E3024" s="1276">
        <f>[11]building!Y3355</f>
        <v>0</v>
      </c>
      <c r="F3024" s="748">
        <f t="shared" si="286"/>
        <v>0</v>
      </c>
      <c r="G3024" s="1205"/>
      <c r="H3024" s="1055"/>
      <c r="I3024" s="1055"/>
      <c r="J3024" s="1055"/>
      <c r="K3024" s="1205"/>
      <c r="L3024" s="1055"/>
      <c r="M3024" s="1205"/>
      <c r="N3024" s="1054"/>
      <c r="O3024" s="1207"/>
      <c r="Q3024" s="1207"/>
    </row>
    <row r="3025" spans="3:17" s="700" customFormat="1" ht="70.5" hidden="1" customHeight="1">
      <c r="C3025" s="701"/>
      <c r="D3025" s="811"/>
      <c r="E3025" s="1276">
        <f>[11]building!Y3356</f>
        <v>0</v>
      </c>
      <c r="F3025" s="748">
        <f t="shared" si="286"/>
        <v>0</v>
      </c>
      <c r="G3025" s="1205"/>
      <c r="H3025" s="1055"/>
      <c r="I3025" s="1055"/>
      <c r="J3025" s="1055"/>
      <c r="K3025" s="1205"/>
      <c r="L3025" s="1055"/>
      <c r="M3025" s="1205"/>
      <c r="N3025" s="1054"/>
      <c r="O3025" s="1207"/>
      <c r="Q3025" s="1207"/>
    </row>
    <row r="3026" spans="3:17" s="700" customFormat="1" ht="70.5" hidden="1" customHeight="1">
      <c r="C3026" s="701"/>
      <c r="D3026" s="811"/>
      <c r="E3026" s="1276">
        <f>[11]building!Y3357</f>
        <v>0</v>
      </c>
      <c r="F3026" s="748">
        <f t="shared" si="286"/>
        <v>0</v>
      </c>
      <c r="G3026" s="1205"/>
      <c r="H3026" s="1055"/>
      <c r="I3026" s="1055"/>
      <c r="J3026" s="1055"/>
      <c r="K3026" s="1205"/>
      <c r="L3026" s="1055"/>
      <c r="M3026" s="1205"/>
      <c r="N3026" s="1054"/>
      <c r="O3026" s="1207"/>
      <c r="Q3026" s="1207"/>
    </row>
    <row r="3027" spans="3:17" s="700" customFormat="1" ht="70.5" hidden="1" customHeight="1">
      <c r="C3027" s="701"/>
      <c r="D3027" s="811"/>
      <c r="E3027" s="1276">
        <f>[11]building!Y3358</f>
        <v>0</v>
      </c>
      <c r="F3027" s="748">
        <f t="shared" si="286"/>
        <v>0</v>
      </c>
      <c r="G3027" s="1205"/>
      <c r="H3027" s="1055"/>
      <c r="I3027" s="1055"/>
      <c r="J3027" s="1055"/>
      <c r="K3027" s="1205"/>
      <c r="L3027" s="1055"/>
      <c r="M3027" s="1205"/>
      <c r="N3027" s="1054"/>
      <c r="O3027" s="1207"/>
      <c r="Q3027" s="1207"/>
    </row>
    <row r="3028" spans="3:17" s="700" customFormat="1" ht="70.5" hidden="1" customHeight="1">
      <c r="C3028" s="701"/>
      <c r="D3028" s="811"/>
      <c r="E3028" s="1276">
        <f>[11]building!Y3359</f>
        <v>0</v>
      </c>
      <c r="F3028" s="748">
        <f t="shared" si="286"/>
        <v>0</v>
      </c>
      <c r="G3028" s="1205"/>
      <c r="H3028" s="1055"/>
      <c r="I3028" s="1055"/>
      <c r="J3028" s="1055"/>
      <c r="K3028" s="1205"/>
      <c r="L3028" s="1055"/>
      <c r="M3028" s="1205"/>
      <c r="N3028" s="1054"/>
      <c r="O3028" s="1207"/>
      <c r="Q3028" s="1207"/>
    </row>
    <row r="3029" spans="3:17" s="700" customFormat="1" ht="70.5" hidden="1" customHeight="1">
      <c r="C3029" s="701"/>
      <c r="D3029" s="811"/>
      <c r="E3029" s="1276">
        <f>[11]building!Y3360</f>
        <v>0</v>
      </c>
      <c r="F3029" s="748">
        <f t="shared" si="286"/>
        <v>0</v>
      </c>
      <c r="G3029" s="1205"/>
      <c r="H3029" s="1055"/>
      <c r="I3029" s="1055"/>
      <c r="J3029" s="1055"/>
      <c r="K3029" s="1205"/>
      <c r="L3029" s="1055"/>
      <c r="M3029" s="1205"/>
      <c r="N3029" s="1054"/>
      <c r="O3029" s="1207"/>
      <c r="Q3029" s="1207"/>
    </row>
    <row r="3030" spans="3:17" s="700" customFormat="1" ht="70.5" hidden="1" customHeight="1">
      <c r="C3030" s="701"/>
      <c r="D3030" s="811"/>
      <c r="E3030" s="1276">
        <f>[11]building!Y3361</f>
        <v>0</v>
      </c>
      <c r="F3030" s="748">
        <f t="shared" si="286"/>
        <v>0</v>
      </c>
      <c r="G3030" s="1205"/>
      <c r="H3030" s="1055"/>
      <c r="I3030" s="1055"/>
      <c r="J3030" s="1055"/>
      <c r="K3030" s="1205"/>
      <c r="L3030" s="1055"/>
      <c r="M3030" s="1205"/>
      <c r="N3030" s="1054"/>
      <c r="O3030" s="1207"/>
      <c r="Q3030" s="1207"/>
    </row>
    <row r="3031" spans="3:17" s="700" customFormat="1" ht="70.5" hidden="1" customHeight="1">
      <c r="C3031" s="701"/>
      <c r="D3031" s="811"/>
      <c r="E3031" s="1276">
        <f>[11]building!Y3362</f>
        <v>0</v>
      </c>
      <c r="F3031" s="748">
        <f t="shared" si="286"/>
        <v>0</v>
      </c>
      <c r="G3031" s="1205"/>
      <c r="H3031" s="1055"/>
      <c r="I3031" s="1055"/>
      <c r="J3031" s="1055"/>
      <c r="K3031" s="1205"/>
      <c r="L3031" s="1055"/>
      <c r="M3031" s="1205"/>
      <c r="N3031" s="1054"/>
      <c r="O3031" s="1207"/>
      <c r="Q3031" s="1207"/>
    </row>
    <row r="3032" spans="3:17" s="700" customFormat="1" ht="70.5" hidden="1" customHeight="1">
      <c r="C3032" s="701"/>
      <c r="D3032" s="811"/>
      <c r="E3032" s="1276">
        <f>[11]building!Y3363</f>
        <v>0</v>
      </c>
      <c r="F3032" s="748">
        <f t="shared" si="286"/>
        <v>0</v>
      </c>
      <c r="G3032" s="1205"/>
      <c r="H3032" s="1055"/>
      <c r="I3032" s="1055"/>
      <c r="J3032" s="1055"/>
      <c r="K3032" s="1205"/>
      <c r="L3032" s="1055"/>
      <c r="M3032" s="1205"/>
      <c r="N3032" s="1054"/>
      <c r="O3032" s="1207"/>
      <c r="Q3032" s="1207"/>
    </row>
    <row r="3033" spans="3:17" s="700" customFormat="1" ht="70.5" hidden="1" customHeight="1">
      <c r="C3033" s="701"/>
      <c r="D3033" s="811"/>
      <c r="E3033" s="1276">
        <f>[11]building!Y3364</f>
        <v>0</v>
      </c>
      <c r="F3033" s="748">
        <f t="shared" si="286"/>
        <v>0</v>
      </c>
      <c r="G3033" s="1205"/>
      <c r="H3033" s="1055"/>
      <c r="I3033" s="1055"/>
      <c r="J3033" s="1055"/>
      <c r="K3033" s="1205"/>
      <c r="L3033" s="1055"/>
      <c r="M3033" s="1205"/>
      <c r="N3033" s="1054"/>
      <c r="O3033" s="1207"/>
      <c r="Q3033" s="1207"/>
    </row>
    <row r="3034" spans="3:17" s="700" customFormat="1" ht="70.5" hidden="1" customHeight="1">
      <c r="C3034" s="701"/>
      <c r="D3034" s="811"/>
      <c r="E3034" s="1276">
        <f>[11]building!Y3365</f>
        <v>0</v>
      </c>
      <c r="F3034" s="748">
        <f t="shared" si="286"/>
        <v>0</v>
      </c>
      <c r="G3034" s="1205"/>
      <c r="H3034" s="1055"/>
      <c r="I3034" s="1055"/>
      <c r="J3034" s="1055"/>
      <c r="K3034" s="1205"/>
      <c r="L3034" s="1055"/>
      <c r="M3034" s="1205"/>
      <c r="N3034" s="1054"/>
      <c r="O3034" s="1207"/>
      <c r="Q3034" s="1207"/>
    </row>
    <row r="3035" spans="3:17" s="700" customFormat="1" ht="70.5" hidden="1" customHeight="1">
      <c r="C3035" s="701"/>
      <c r="D3035" s="811"/>
      <c r="E3035" s="1276">
        <f>[11]building!Y3366</f>
        <v>0</v>
      </c>
      <c r="F3035" s="748">
        <f t="shared" si="286"/>
        <v>0</v>
      </c>
      <c r="G3035" s="1205"/>
      <c r="H3035" s="1055"/>
      <c r="I3035" s="1055"/>
      <c r="J3035" s="1055"/>
      <c r="K3035" s="1205"/>
      <c r="L3035" s="1055"/>
      <c r="M3035" s="1205"/>
      <c r="N3035" s="1054"/>
      <c r="O3035" s="1207"/>
      <c r="Q3035" s="1207"/>
    </row>
    <row r="3036" spans="3:17" s="700" customFormat="1" ht="70.5" hidden="1" customHeight="1">
      <c r="C3036" s="701"/>
      <c r="D3036" s="811"/>
      <c r="E3036" s="1276">
        <f>[11]building!Y3367</f>
        <v>0</v>
      </c>
      <c r="F3036" s="748">
        <f t="shared" si="286"/>
        <v>0</v>
      </c>
      <c r="G3036" s="1205"/>
      <c r="H3036" s="1055"/>
      <c r="I3036" s="1055"/>
      <c r="J3036" s="1055"/>
      <c r="K3036" s="1205"/>
      <c r="L3036" s="1055"/>
      <c r="M3036" s="1205"/>
      <c r="N3036" s="1054"/>
      <c r="O3036" s="1207"/>
      <c r="Q3036" s="1207"/>
    </row>
    <row r="3037" spans="3:17" s="700" customFormat="1" ht="70.5" hidden="1" customHeight="1">
      <c r="C3037" s="701"/>
      <c r="D3037" s="811"/>
      <c r="E3037" s="1276">
        <f>[11]building!Y3368</f>
        <v>0</v>
      </c>
      <c r="F3037" s="748">
        <f t="shared" si="286"/>
        <v>0</v>
      </c>
      <c r="G3037" s="1205"/>
      <c r="H3037" s="1055"/>
      <c r="I3037" s="1055"/>
      <c r="J3037" s="1055"/>
      <c r="K3037" s="1205"/>
      <c r="L3037" s="1055"/>
      <c r="M3037" s="1205"/>
      <c r="N3037" s="1054"/>
      <c r="O3037" s="1207"/>
      <c r="Q3037" s="1207"/>
    </row>
    <row r="3038" spans="3:17" s="700" customFormat="1" ht="70.5" hidden="1" customHeight="1">
      <c r="C3038" s="701"/>
      <c r="D3038" s="811"/>
      <c r="E3038" s="1276">
        <f>[11]building!Y3369</f>
        <v>0</v>
      </c>
      <c r="F3038" s="748">
        <f t="shared" si="286"/>
        <v>0</v>
      </c>
      <c r="G3038" s="1205"/>
      <c r="H3038" s="1055"/>
      <c r="I3038" s="1055"/>
      <c r="J3038" s="1055"/>
      <c r="K3038" s="1205"/>
      <c r="L3038" s="1055"/>
      <c r="M3038" s="1205"/>
      <c r="N3038" s="1054"/>
      <c r="O3038" s="1207"/>
      <c r="Q3038" s="1207"/>
    </row>
    <row r="3039" spans="3:17" s="700" customFormat="1" ht="70.5" hidden="1" customHeight="1">
      <c r="C3039" s="701"/>
      <c r="D3039" s="811"/>
      <c r="E3039" s="1276">
        <f>[11]building!Y3370</f>
        <v>0</v>
      </c>
      <c r="F3039" s="748">
        <f t="shared" si="286"/>
        <v>0</v>
      </c>
      <c r="G3039" s="1205"/>
      <c r="H3039" s="1055"/>
      <c r="I3039" s="1055"/>
      <c r="J3039" s="1055"/>
      <c r="K3039" s="1205"/>
      <c r="L3039" s="1055"/>
      <c r="M3039" s="1205"/>
      <c r="N3039" s="1054"/>
      <c r="O3039" s="1207"/>
      <c r="Q3039" s="1207"/>
    </row>
    <row r="3040" spans="3:17" s="700" customFormat="1" ht="70.5" hidden="1" customHeight="1">
      <c r="C3040" s="701"/>
      <c r="D3040" s="811"/>
      <c r="E3040" s="1276">
        <f>[11]building!Y3371</f>
        <v>0</v>
      </c>
      <c r="F3040" s="748">
        <f t="shared" si="286"/>
        <v>0</v>
      </c>
      <c r="G3040" s="1205"/>
      <c r="H3040" s="1055"/>
      <c r="I3040" s="1055"/>
      <c r="J3040" s="1055"/>
      <c r="K3040" s="1205"/>
      <c r="L3040" s="1055"/>
      <c r="M3040" s="1205"/>
      <c r="N3040" s="1054"/>
      <c r="O3040" s="1207"/>
      <c r="Q3040" s="1207"/>
    </row>
    <row r="3041" spans="3:17" s="700" customFormat="1" ht="70.5" hidden="1" customHeight="1">
      <c r="C3041" s="701"/>
      <c r="D3041" s="811"/>
      <c r="E3041" s="1276">
        <f>[11]building!Y3372</f>
        <v>0</v>
      </c>
      <c r="F3041" s="748">
        <f t="shared" si="286"/>
        <v>0</v>
      </c>
      <c r="G3041" s="1205"/>
      <c r="H3041" s="1055"/>
      <c r="I3041" s="1055"/>
      <c r="J3041" s="1055"/>
      <c r="K3041" s="1205"/>
      <c r="L3041" s="1055"/>
      <c r="M3041" s="1205"/>
      <c r="N3041" s="1054"/>
      <c r="O3041" s="1207"/>
      <c r="Q3041" s="1207"/>
    </row>
    <row r="3042" spans="3:17" s="700" customFormat="1" ht="70.5" hidden="1" customHeight="1">
      <c r="C3042" s="701"/>
      <c r="D3042" s="811"/>
      <c r="E3042" s="1276">
        <f>[11]building!Y3373</f>
        <v>0</v>
      </c>
      <c r="F3042" s="748">
        <f t="shared" si="286"/>
        <v>0</v>
      </c>
      <c r="G3042" s="1205"/>
      <c r="H3042" s="1055"/>
      <c r="I3042" s="1055"/>
      <c r="J3042" s="1055"/>
      <c r="K3042" s="1205"/>
      <c r="L3042" s="1055"/>
      <c r="M3042" s="1205"/>
      <c r="N3042" s="1054"/>
      <c r="O3042" s="1207"/>
      <c r="Q3042" s="1207"/>
    </row>
    <row r="3043" spans="3:17" s="700" customFormat="1" ht="70.5" hidden="1" customHeight="1">
      <c r="C3043" s="701"/>
      <c r="D3043" s="811"/>
      <c r="E3043" s="1276">
        <f>[11]building!Y3374</f>
        <v>0</v>
      </c>
      <c r="F3043" s="748">
        <f t="shared" si="286"/>
        <v>0</v>
      </c>
      <c r="G3043" s="1205"/>
      <c r="H3043" s="1055"/>
      <c r="I3043" s="1055"/>
      <c r="J3043" s="1055"/>
      <c r="K3043" s="1205"/>
      <c r="L3043" s="1055"/>
      <c r="M3043" s="1205"/>
      <c r="N3043" s="1054"/>
      <c r="O3043" s="1207"/>
      <c r="Q3043" s="1207"/>
    </row>
    <row r="3044" spans="3:17" s="700" customFormat="1" ht="70.5" hidden="1" customHeight="1">
      <c r="C3044" s="701"/>
      <c r="D3044" s="811"/>
      <c r="E3044" s="1276">
        <f>[11]building!Y3375</f>
        <v>0</v>
      </c>
      <c r="F3044" s="748">
        <f t="shared" si="286"/>
        <v>0</v>
      </c>
      <c r="G3044" s="1205"/>
      <c r="H3044" s="1055"/>
      <c r="I3044" s="1055"/>
      <c r="J3044" s="1055"/>
      <c r="K3044" s="1205"/>
      <c r="L3044" s="1055"/>
      <c r="M3044" s="1205"/>
      <c r="N3044" s="1054"/>
      <c r="O3044" s="1207"/>
      <c r="Q3044" s="1207"/>
    </row>
    <row r="3045" spans="3:17" s="700" customFormat="1" ht="70.5" hidden="1" customHeight="1">
      <c r="C3045" s="701"/>
      <c r="D3045" s="811"/>
      <c r="E3045" s="1276">
        <f>[11]building!Y3376</f>
        <v>0</v>
      </c>
      <c r="F3045" s="748">
        <f t="shared" si="286"/>
        <v>0</v>
      </c>
      <c r="G3045" s="1205"/>
      <c r="H3045" s="1055"/>
      <c r="I3045" s="1055"/>
      <c r="J3045" s="1055"/>
      <c r="K3045" s="1205"/>
      <c r="L3045" s="1055"/>
      <c r="M3045" s="1205"/>
      <c r="N3045" s="1054"/>
      <c r="O3045" s="1207"/>
      <c r="Q3045" s="1207"/>
    </row>
    <row r="3046" spans="3:17" s="700" customFormat="1" ht="70.5" hidden="1" customHeight="1">
      <c r="C3046" s="701"/>
      <c r="D3046" s="811"/>
      <c r="E3046" s="1276">
        <f>[11]building!Y3377</f>
        <v>0</v>
      </c>
      <c r="F3046" s="748">
        <f t="shared" si="286"/>
        <v>0</v>
      </c>
      <c r="G3046" s="1205"/>
      <c r="H3046" s="1055"/>
      <c r="I3046" s="1055"/>
      <c r="J3046" s="1055"/>
      <c r="K3046" s="1205"/>
      <c r="L3046" s="1055"/>
      <c r="M3046" s="1205"/>
      <c r="N3046" s="1054"/>
      <c r="O3046" s="1207"/>
      <c r="Q3046" s="1207"/>
    </row>
    <row r="3047" spans="3:17" s="700" customFormat="1" ht="70.5" hidden="1" customHeight="1">
      <c r="C3047" s="701"/>
      <c r="D3047" s="811"/>
      <c r="E3047" s="1276">
        <f>[11]building!Y3378</f>
        <v>0</v>
      </c>
      <c r="F3047" s="748">
        <f t="shared" si="286"/>
        <v>0</v>
      </c>
      <c r="G3047" s="1205"/>
      <c r="H3047" s="1055"/>
      <c r="I3047" s="1055"/>
      <c r="J3047" s="1055"/>
      <c r="K3047" s="1205"/>
      <c r="L3047" s="1055"/>
      <c r="M3047" s="1205"/>
      <c r="N3047" s="1054"/>
      <c r="O3047" s="1207"/>
      <c r="Q3047" s="1207"/>
    </row>
    <row r="3048" spans="3:17" s="700" customFormat="1" ht="70.5" hidden="1" customHeight="1">
      <c r="C3048" s="701"/>
      <c r="D3048" s="811"/>
      <c r="E3048" s="1276">
        <f>[11]building!Y3379</f>
        <v>0</v>
      </c>
      <c r="F3048" s="748">
        <f t="shared" si="286"/>
        <v>0</v>
      </c>
      <c r="G3048" s="1205"/>
      <c r="H3048" s="1055"/>
      <c r="I3048" s="1055"/>
      <c r="J3048" s="1055"/>
      <c r="K3048" s="1205"/>
      <c r="L3048" s="1055"/>
      <c r="M3048" s="1205"/>
      <c r="N3048" s="1054"/>
      <c r="O3048" s="1207"/>
      <c r="Q3048" s="1207"/>
    </row>
    <row r="3049" spans="3:17" s="700" customFormat="1" ht="70.5" hidden="1" customHeight="1">
      <c r="C3049" s="701"/>
      <c r="D3049" s="811"/>
      <c r="E3049" s="1276">
        <f>[11]building!Y3380</f>
        <v>0</v>
      </c>
      <c r="F3049" s="748">
        <f t="shared" si="286"/>
        <v>0</v>
      </c>
      <c r="G3049" s="1205"/>
      <c r="H3049" s="1055"/>
      <c r="I3049" s="1055"/>
      <c r="J3049" s="1055"/>
      <c r="K3049" s="1205"/>
      <c r="L3049" s="1055"/>
      <c r="M3049" s="1205"/>
      <c r="N3049" s="1054"/>
      <c r="O3049" s="1207"/>
      <c r="Q3049" s="1207"/>
    </row>
    <row r="3050" spans="3:17" s="700" customFormat="1" ht="70.5" hidden="1" customHeight="1">
      <c r="C3050" s="701"/>
      <c r="D3050" s="811"/>
      <c r="E3050" s="1276">
        <f>[11]building!Y3381</f>
        <v>0</v>
      </c>
      <c r="F3050" s="748">
        <f t="shared" si="286"/>
        <v>0</v>
      </c>
      <c r="G3050" s="1205"/>
      <c r="H3050" s="1055"/>
      <c r="I3050" s="1055"/>
      <c r="J3050" s="1055"/>
      <c r="K3050" s="1205"/>
      <c r="L3050" s="1055"/>
      <c r="M3050" s="1205"/>
      <c r="N3050" s="1054"/>
      <c r="O3050" s="1207"/>
      <c r="Q3050" s="1207"/>
    </row>
    <row r="3051" spans="3:17" s="700" customFormat="1" ht="70.5" hidden="1" customHeight="1">
      <c r="C3051" s="701"/>
      <c r="D3051" s="811"/>
      <c r="E3051" s="1276">
        <f>[11]building!Y3382</f>
        <v>0</v>
      </c>
      <c r="F3051" s="748">
        <f t="shared" si="286"/>
        <v>0</v>
      </c>
      <c r="G3051" s="1205"/>
      <c r="H3051" s="1055"/>
      <c r="I3051" s="1055"/>
      <c r="J3051" s="1055"/>
      <c r="K3051" s="1205"/>
      <c r="L3051" s="1055"/>
      <c r="M3051" s="1205"/>
      <c r="N3051" s="1054"/>
      <c r="O3051" s="1207"/>
      <c r="Q3051" s="1207"/>
    </row>
    <row r="3052" spans="3:17" s="700" customFormat="1" ht="70.5" hidden="1" customHeight="1">
      <c r="C3052" s="701"/>
      <c r="D3052" s="811"/>
      <c r="E3052" s="1276">
        <f>[11]building!Y3383</f>
        <v>0</v>
      </c>
      <c r="F3052" s="748">
        <f t="shared" si="286"/>
        <v>0</v>
      </c>
      <c r="G3052" s="1205"/>
      <c r="H3052" s="1055"/>
      <c r="I3052" s="1055"/>
      <c r="J3052" s="1055"/>
      <c r="K3052" s="1205"/>
      <c r="L3052" s="1055"/>
      <c r="M3052" s="1205"/>
      <c r="N3052" s="1054"/>
      <c r="O3052" s="1207"/>
      <c r="Q3052" s="1207"/>
    </row>
    <row r="3053" spans="3:17" s="700" customFormat="1" ht="70.5" hidden="1" customHeight="1">
      <c r="C3053" s="701"/>
      <c r="D3053" s="811"/>
      <c r="E3053" s="1276">
        <f>[11]building!Y3384</f>
        <v>0</v>
      </c>
      <c r="F3053" s="748">
        <f t="shared" si="286"/>
        <v>0</v>
      </c>
      <c r="G3053" s="1205"/>
      <c r="H3053" s="1055"/>
      <c r="I3053" s="1055"/>
      <c r="J3053" s="1055"/>
      <c r="K3053" s="1205"/>
      <c r="L3053" s="1055"/>
      <c r="M3053" s="1205"/>
      <c r="N3053" s="1054"/>
      <c r="O3053" s="1207"/>
      <c r="Q3053" s="1207"/>
    </row>
    <row r="3054" spans="3:17" s="700" customFormat="1" ht="70.5" hidden="1" customHeight="1">
      <c r="C3054" s="701"/>
      <c r="D3054" s="811"/>
      <c r="E3054" s="1276">
        <f>[11]building!Y3385</f>
        <v>0</v>
      </c>
      <c r="F3054" s="748">
        <f t="shared" si="286"/>
        <v>0</v>
      </c>
      <c r="G3054" s="1205"/>
      <c r="H3054" s="1055"/>
      <c r="I3054" s="1055"/>
      <c r="J3054" s="1055"/>
      <c r="K3054" s="1205"/>
      <c r="L3054" s="1055"/>
      <c r="M3054" s="1205"/>
      <c r="N3054" s="1054"/>
      <c r="O3054" s="1207"/>
      <c r="Q3054" s="1207"/>
    </row>
    <row r="3055" spans="3:17" s="700" customFormat="1" ht="70.5" hidden="1" customHeight="1">
      <c r="C3055" s="701"/>
      <c r="D3055" s="811"/>
      <c r="E3055" s="1276">
        <f>[11]building!Y3386</f>
        <v>0</v>
      </c>
      <c r="F3055" s="748">
        <f t="shared" si="286"/>
        <v>0</v>
      </c>
      <c r="G3055" s="1205"/>
      <c r="H3055" s="1055"/>
      <c r="I3055" s="1055"/>
      <c r="J3055" s="1055"/>
      <c r="K3055" s="1205"/>
      <c r="L3055" s="1055"/>
      <c r="M3055" s="1205"/>
      <c r="N3055" s="1054"/>
      <c r="O3055" s="1207"/>
      <c r="Q3055" s="1207"/>
    </row>
    <row r="3056" spans="3:17" s="700" customFormat="1" ht="70.5" hidden="1" customHeight="1">
      <c r="C3056" s="701"/>
      <c r="D3056" s="811"/>
      <c r="E3056" s="1276">
        <f>[11]building!Y3387</f>
        <v>0</v>
      </c>
      <c r="F3056" s="748">
        <f t="shared" si="286"/>
        <v>0</v>
      </c>
      <c r="G3056" s="1205"/>
      <c r="H3056" s="1055"/>
      <c r="I3056" s="1055"/>
      <c r="J3056" s="1055"/>
      <c r="K3056" s="1205"/>
      <c r="L3056" s="1055"/>
      <c r="M3056" s="1205"/>
      <c r="N3056" s="1054"/>
      <c r="O3056" s="1207"/>
      <c r="Q3056" s="1207"/>
    </row>
    <row r="3057" spans="3:17" s="700" customFormat="1" ht="70.5" hidden="1" customHeight="1">
      <c r="C3057" s="701"/>
      <c r="D3057" s="811"/>
      <c r="E3057" s="1276">
        <f>[11]building!Y3388</f>
        <v>0</v>
      </c>
      <c r="F3057" s="748">
        <f t="shared" si="286"/>
        <v>0</v>
      </c>
      <c r="G3057" s="1205"/>
      <c r="H3057" s="1055"/>
      <c r="I3057" s="1055"/>
      <c r="J3057" s="1055"/>
      <c r="K3057" s="1205"/>
      <c r="L3057" s="1055"/>
      <c r="M3057" s="1205"/>
      <c r="N3057" s="1054"/>
      <c r="O3057" s="1207"/>
      <c r="Q3057" s="1207"/>
    </row>
    <row r="3058" spans="3:17" s="700" customFormat="1" ht="70.5" hidden="1" customHeight="1">
      <c r="C3058" s="701"/>
      <c r="D3058" s="811"/>
      <c r="E3058" s="1276">
        <f>[11]building!Y3389</f>
        <v>0</v>
      </c>
      <c r="F3058" s="748">
        <f t="shared" si="286"/>
        <v>0</v>
      </c>
      <c r="G3058" s="1205"/>
      <c r="H3058" s="1055"/>
      <c r="I3058" s="1055"/>
      <c r="J3058" s="1055"/>
      <c r="K3058" s="1205"/>
      <c r="L3058" s="1055"/>
      <c r="M3058" s="1205"/>
      <c r="N3058" s="1054"/>
      <c r="O3058" s="1207"/>
      <c r="Q3058" s="1207"/>
    </row>
    <row r="3059" spans="3:17" s="700" customFormat="1" ht="70.5" hidden="1" customHeight="1">
      <c r="C3059" s="701"/>
      <c r="D3059" s="811"/>
      <c r="E3059" s="1276">
        <f>[11]building!Y3390</f>
        <v>0</v>
      </c>
      <c r="F3059" s="748">
        <f t="shared" si="286"/>
        <v>0</v>
      </c>
      <c r="G3059" s="1205"/>
      <c r="H3059" s="1055"/>
      <c r="I3059" s="1055"/>
      <c r="J3059" s="1055"/>
      <c r="K3059" s="1205"/>
      <c r="L3059" s="1055"/>
      <c r="M3059" s="1205"/>
      <c r="N3059" s="1054"/>
      <c r="O3059" s="1207"/>
      <c r="Q3059" s="1207"/>
    </row>
    <row r="3060" spans="3:17" s="700" customFormat="1" ht="70.5" hidden="1" customHeight="1">
      <c r="C3060" s="701"/>
      <c r="D3060" s="811"/>
      <c r="E3060" s="1276">
        <f>[11]building!Y3391</f>
        <v>0</v>
      </c>
      <c r="F3060" s="748">
        <f t="shared" si="286"/>
        <v>0</v>
      </c>
      <c r="G3060" s="1205"/>
      <c r="H3060" s="1055"/>
      <c r="I3060" s="1055"/>
      <c r="J3060" s="1055"/>
      <c r="K3060" s="1205"/>
      <c r="L3060" s="1055"/>
      <c r="M3060" s="1205"/>
      <c r="N3060" s="1054"/>
      <c r="O3060" s="1207"/>
      <c r="Q3060" s="1207"/>
    </row>
    <row r="3061" spans="3:17" s="700" customFormat="1" ht="70.5" hidden="1" customHeight="1">
      <c r="C3061" s="701"/>
      <c r="D3061" s="811"/>
      <c r="E3061" s="1276">
        <f>[11]building!Y3392</f>
        <v>0</v>
      </c>
      <c r="F3061" s="748">
        <f t="shared" si="286"/>
        <v>0</v>
      </c>
      <c r="G3061" s="1205"/>
      <c r="H3061" s="1055"/>
      <c r="I3061" s="1055"/>
      <c r="J3061" s="1055"/>
      <c r="K3061" s="1205"/>
      <c r="L3061" s="1055"/>
      <c r="M3061" s="1205"/>
      <c r="N3061" s="1054"/>
      <c r="O3061" s="1207"/>
      <c r="Q3061" s="1207"/>
    </row>
    <row r="3062" spans="3:17" s="700" customFormat="1" ht="70.5" hidden="1" customHeight="1">
      <c r="C3062" s="701"/>
      <c r="D3062" s="811"/>
      <c r="E3062" s="1276">
        <f>[11]building!Y3393</f>
        <v>0</v>
      </c>
      <c r="F3062" s="748">
        <f t="shared" si="286"/>
        <v>0</v>
      </c>
      <c r="G3062" s="1205"/>
      <c r="H3062" s="1055"/>
      <c r="I3062" s="1055"/>
      <c r="J3062" s="1055"/>
      <c r="K3062" s="1205"/>
      <c r="L3062" s="1055"/>
      <c r="M3062" s="1205"/>
      <c r="N3062" s="1054"/>
      <c r="O3062" s="1207"/>
      <c r="Q3062" s="1207"/>
    </row>
    <row r="3063" spans="3:17" s="700" customFormat="1" ht="70.5" hidden="1" customHeight="1">
      <c r="C3063" s="701"/>
      <c r="D3063" s="811"/>
      <c r="E3063" s="1276">
        <f>[11]building!Y3394</f>
        <v>0</v>
      </c>
      <c r="F3063" s="748">
        <f t="shared" si="286"/>
        <v>0</v>
      </c>
      <c r="G3063" s="1205"/>
      <c r="H3063" s="1055"/>
      <c r="I3063" s="1055"/>
      <c r="J3063" s="1055"/>
      <c r="K3063" s="1205"/>
      <c r="L3063" s="1055"/>
      <c r="M3063" s="1205"/>
      <c r="N3063" s="1054"/>
      <c r="O3063" s="1207"/>
      <c r="Q3063" s="1207"/>
    </row>
    <row r="3064" spans="3:17" s="700" customFormat="1" ht="70.5" hidden="1" customHeight="1">
      <c r="C3064" s="701"/>
      <c r="D3064" s="811"/>
      <c r="E3064" s="1276">
        <f>[11]building!Y3395</f>
        <v>0</v>
      </c>
      <c r="F3064" s="748">
        <f t="shared" si="286"/>
        <v>0</v>
      </c>
      <c r="G3064" s="1205"/>
      <c r="H3064" s="1055"/>
      <c r="I3064" s="1055"/>
      <c r="J3064" s="1055"/>
      <c r="K3064" s="1205"/>
      <c r="L3064" s="1055"/>
      <c r="M3064" s="1205"/>
      <c r="N3064" s="1054"/>
      <c r="O3064" s="1207"/>
      <c r="Q3064" s="1207"/>
    </row>
    <row r="3065" spans="3:17" s="700" customFormat="1" ht="70.5" hidden="1" customHeight="1">
      <c r="C3065" s="701"/>
      <c r="D3065" s="811"/>
      <c r="E3065" s="1276">
        <f>[11]building!Y3396</f>
        <v>0</v>
      </c>
      <c r="F3065" s="748">
        <f t="shared" si="286"/>
        <v>0</v>
      </c>
      <c r="G3065" s="1205"/>
      <c r="H3065" s="1055"/>
      <c r="I3065" s="1055"/>
      <c r="J3065" s="1055"/>
      <c r="K3065" s="1205"/>
      <c r="L3065" s="1055"/>
      <c r="M3065" s="1205"/>
      <c r="N3065" s="1054"/>
      <c r="O3065" s="1207"/>
      <c r="Q3065" s="1207"/>
    </row>
    <row r="3066" spans="3:17" s="700" customFormat="1" ht="70.5" hidden="1" customHeight="1">
      <c r="C3066" s="701"/>
      <c r="D3066" s="811"/>
      <c r="E3066" s="1276">
        <f>[11]building!Y3397</f>
        <v>0</v>
      </c>
      <c r="F3066" s="748">
        <f t="shared" si="286"/>
        <v>0</v>
      </c>
      <c r="G3066" s="1205"/>
      <c r="H3066" s="1055"/>
      <c r="I3066" s="1055"/>
      <c r="J3066" s="1055"/>
      <c r="K3066" s="1205"/>
      <c r="L3066" s="1055"/>
      <c r="M3066" s="1205"/>
      <c r="N3066" s="1054"/>
      <c r="O3066" s="1207"/>
      <c r="Q3066" s="1207"/>
    </row>
    <row r="3067" spans="3:17" s="700" customFormat="1" ht="70.5" hidden="1" customHeight="1">
      <c r="C3067" s="701"/>
      <c r="D3067" s="811"/>
      <c r="E3067" s="1276">
        <f>[11]building!Y3398</f>
        <v>0</v>
      </c>
      <c r="F3067" s="748">
        <f t="shared" si="286"/>
        <v>0</v>
      </c>
      <c r="G3067" s="1205"/>
      <c r="H3067" s="1055"/>
      <c r="I3067" s="1055"/>
      <c r="J3067" s="1055"/>
      <c r="K3067" s="1205"/>
      <c r="L3067" s="1055"/>
      <c r="M3067" s="1205"/>
      <c r="N3067" s="1054"/>
      <c r="O3067" s="1207"/>
      <c r="Q3067" s="1207"/>
    </row>
    <row r="3068" spans="3:17" s="700" customFormat="1" ht="70.5" hidden="1" customHeight="1">
      <c r="C3068" s="701"/>
      <c r="D3068" s="811"/>
      <c r="E3068" s="1276">
        <f>[11]building!Y3399</f>
        <v>0</v>
      </c>
      <c r="F3068" s="748">
        <f t="shared" si="286"/>
        <v>0</v>
      </c>
      <c r="G3068" s="1205"/>
      <c r="H3068" s="1055"/>
      <c r="I3068" s="1055"/>
      <c r="J3068" s="1055"/>
      <c r="K3068" s="1205"/>
      <c r="L3068" s="1055"/>
      <c r="M3068" s="1205"/>
      <c r="N3068" s="1054"/>
      <c r="O3068" s="1207"/>
      <c r="Q3068" s="1207"/>
    </row>
    <row r="3069" spans="3:17" s="700" customFormat="1" ht="70.5" hidden="1" customHeight="1">
      <c r="C3069" s="701"/>
      <c r="D3069" s="811"/>
      <c r="E3069" s="1276">
        <f>[11]building!Y3400</f>
        <v>0</v>
      </c>
      <c r="F3069" s="748">
        <f t="shared" si="286"/>
        <v>0</v>
      </c>
      <c r="G3069" s="1205"/>
      <c r="H3069" s="1055"/>
      <c r="I3069" s="1055"/>
      <c r="J3069" s="1055"/>
      <c r="K3069" s="1205"/>
      <c r="L3069" s="1055"/>
      <c r="M3069" s="1205"/>
      <c r="N3069" s="1054"/>
      <c r="O3069" s="1207"/>
      <c r="Q3069" s="1207"/>
    </row>
    <row r="3070" spans="3:17" s="700" customFormat="1" ht="70.5" hidden="1" customHeight="1">
      <c r="C3070" s="701"/>
      <c r="D3070" s="811"/>
      <c r="E3070" s="1276">
        <f>[11]building!Y3401</f>
        <v>0</v>
      </c>
      <c r="F3070" s="748">
        <f t="shared" si="286"/>
        <v>0</v>
      </c>
      <c r="G3070" s="1205"/>
      <c r="H3070" s="1055"/>
      <c r="I3070" s="1055"/>
      <c r="J3070" s="1055"/>
      <c r="K3070" s="1205"/>
      <c r="L3070" s="1055"/>
      <c r="M3070" s="1205"/>
      <c r="N3070" s="1054"/>
      <c r="O3070" s="1207"/>
      <c r="Q3070" s="1207"/>
    </row>
    <row r="3071" spans="3:17" s="700" customFormat="1" ht="70.5" hidden="1" customHeight="1">
      <c r="C3071" s="701"/>
      <c r="D3071" s="811"/>
      <c r="E3071" s="1276">
        <f>[11]building!Y3402</f>
        <v>0</v>
      </c>
      <c r="F3071" s="748">
        <f t="shared" si="286"/>
        <v>0</v>
      </c>
      <c r="G3071" s="1205"/>
      <c r="H3071" s="1055"/>
      <c r="I3071" s="1055"/>
      <c r="J3071" s="1055"/>
      <c r="K3071" s="1205"/>
      <c r="L3071" s="1055"/>
      <c r="M3071" s="1205"/>
      <c r="N3071" s="1054"/>
      <c r="O3071" s="1207"/>
      <c r="Q3071" s="1207"/>
    </row>
    <row r="3072" spans="3:17" s="700" customFormat="1" ht="70.5" hidden="1" customHeight="1">
      <c r="C3072" s="701"/>
      <c r="D3072" s="811"/>
      <c r="E3072" s="1276">
        <f>[11]building!Y3403</f>
        <v>0</v>
      </c>
      <c r="F3072" s="748">
        <f t="shared" ref="F3072:F3135" si="287">E3072*C3072</f>
        <v>0</v>
      </c>
      <c r="G3072" s="1205"/>
      <c r="H3072" s="1055"/>
      <c r="I3072" s="1055"/>
      <c r="J3072" s="1055"/>
      <c r="K3072" s="1205"/>
      <c r="L3072" s="1055"/>
      <c r="M3072" s="1205"/>
      <c r="N3072" s="1054"/>
      <c r="O3072" s="1207"/>
      <c r="Q3072" s="1207"/>
    </row>
    <row r="3073" spans="3:17" s="700" customFormat="1" ht="70.5" hidden="1" customHeight="1">
      <c r="C3073" s="701"/>
      <c r="D3073" s="811"/>
      <c r="E3073" s="1276">
        <f>[11]building!Y3404</f>
        <v>0</v>
      </c>
      <c r="F3073" s="748">
        <f t="shared" si="287"/>
        <v>0</v>
      </c>
      <c r="G3073" s="1205"/>
      <c r="H3073" s="1055"/>
      <c r="I3073" s="1055"/>
      <c r="J3073" s="1055"/>
      <c r="K3073" s="1205"/>
      <c r="L3073" s="1055"/>
      <c r="M3073" s="1205"/>
      <c r="N3073" s="1054"/>
      <c r="O3073" s="1207"/>
      <c r="Q3073" s="1207"/>
    </row>
    <row r="3074" spans="3:17" s="700" customFormat="1" ht="70.5" hidden="1" customHeight="1">
      <c r="C3074" s="701"/>
      <c r="D3074" s="811"/>
      <c r="E3074" s="1276">
        <f>[11]building!Y3405</f>
        <v>0</v>
      </c>
      <c r="F3074" s="748">
        <f t="shared" si="287"/>
        <v>0</v>
      </c>
      <c r="G3074" s="1205"/>
      <c r="H3074" s="1055"/>
      <c r="I3074" s="1055"/>
      <c r="J3074" s="1055"/>
      <c r="K3074" s="1205"/>
      <c r="L3074" s="1055"/>
      <c r="M3074" s="1205"/>
      <c r="N3074" s="1054"/>
      <c r="O3074" s="1207"/>
      <c r="Q3074" s="1207"/>
    </row>
    <row r="3075" spans="3:17" s="700" customFormat="1" ht="70.5" hidden="1" customHeight="1">
      <c r="C3075" s="701"/>
      <c r="D3075" s="811"/>
      <c r="E3075" s="1276">
        <f>[11]building!Y3406</f>
        <v>0</v>
      </c>
      <c r="F3075" s="748">
        <f t="shared" si="287"/>
        <v>0</v>
      </c>
      <c r="G3075" s="1205"/>
      <c r="H3075" s="1055"/>
      <c r="I3075" s="1055"/>
      <c r="J3075" s="1055"/>
      <c r="K3075" s="1205"/>
      <c r="L3075" s="1055"/>
      <c r="M3075" s="1205"/>
      <c r="N3075" s="1054"/>
      <c r="O3075" s="1207"/>
      <c r="Q3075" s="1207"/>
    </row>
    <row r="3076" spans="3:17" s="700" customFormat="1" ht="70.5" hidden="1" customHeight="1">
      <c r="C3076" s="701"/>
      <c r="D3076" s="811"/>
      <c r="E3076" s="1276">
        <f>[11]building!Y3407</f>
        <v>0</v>
      </c>
      <c r="F3076" s="748">
        <f t="shared" si="287"/>
        <v>0</v>
      </c>
      <c r="G3076" s="1205"/>
      <c r="H3076" s="1055"/>
      <c r="I3076" s="1055"/>
      <c r="J3076" s="1055"/>
      <c r="K3076" s="1205"/>
      <c r="L3076" s="1055"/>
      <c r="M3076" s="1205"/>
      <c r="N3076" s="1054"/>
      <c r="O3076" s="1207"/>
      <c r="Q3076" s="1207"/>
    </row>
    <row r="3077" spans="3:17" s="700" customFormat="1" ht="70.5" hidden="1" customHeight="1">
      <c r="C3077" s="701"/>
      <c r="D3077" s="811"/>
      <c r="E3077" s="1276">
        <f>[11]building!Y3408</f>
        <v>0</v>
      </c>
      <c r="F3077" s="748">
        <f t="shared" si="287"/>
        <v>0</v>
      </c>
      <c r="G3077" s="1205"/>
      <c r="H3077" s="1055"/>
      <c r="I3077" s="1055"/>
      <c r="J3077" s="1055"/>
      <c r="K3077" s="1205"/>
      <c r="L3077" s="1055"/>
      <c r="M3077" s="1205"/>
      <c r="N3077" s="1054"/>
      <c r="O3077" s="1207"/>
      <c r="Q3077" s="1207"/>
    </row>
    <row r="3078" spans="3:17" s="700" customFormat="1" ht="70.5" hidden="1" customHeight="1">
      <c r="C3078" s="701"/>
      <c r="D3078" s="811"/>
      <c r="E3078" s="1276">
        <f>[11]building!Y3409</f>
        <v>0</v>
      </c>
      <c r="F3078" s="748">
        <f t="shared" si="287"/>
        <v>0</v>
      </c>
      <c r="G3078" s="1205"/>
      <c r="H3078" s="1055"/>
      <c r="I3078" s="1055"/>
      <c r="J3078" s="1055"/>
      <c r="K3078" s="1205"/>
      <c r="L3078" s="1055"/>
      <c r="M3078" s="1205"/>
      <c r="N3078" s="1054"/>
      <c r="O3078" s="1207"/>
      <c r="Q3078" s="1207"/>
    </row>
    <row r="3079" spans="3:17" s="700" customFormat="1" ht="70.5" hidden="1" customHeight="1">
      <c r="C3079" s="701"/>
      <c r="D3079" s="811"/>
      <c r="E3079" s="1276">
        <f>[11]building!Y3410</f>
        <v>0</v>
      </c>
      <c r="F3079" s="748">
        <f t="shared" si="287"/>
        <v>0</v>
      </c>
      <c r="G3079" s="1205"/>
      <c r="H3079" s="1055"/>
      <c r="I3079" s="1055"/>
      <c r="J3079" s="1055"/>
      <c r="K3079" s="1205"/>
      <c r="L3079" s="1055"/>
      <c r="M3079" s="1205"/>
      <c r="N3079" s="1054"/>
      <c r="O3079" s="1207"/>
      <c r="Q3079" s="1207"/>
    </row>
    <row r="3080" spans="3:17" s="700" customFormat="1" ht="70.5" hidden="1" customHeight="1">
      <c r="C3080" s="701"/>
      <c r="D3080" s="811"/>
      <c r="E3080" s="1276">
        <f>[11]building!Y3411</f>
        <v>0</v>
      </c>
      <c r="F3080" s="748">
        <f t="shared" si="287"/>
        <v>0</v>
      </c>
      <c r="G3080" s="1205"/>
      <c r="H3080" s="1055"/>
      <c r="I3080" s="1055"/>
      <c r="J3080" s="1055"/>
      <c r="K3080" s="1205"/>
      <c r="L3080" s="1055"/>
      <c r="M3080" s="1205"/>
      <c r="N3080" s="1054"/>
      <c r="O3080" s="1207"/>
      <c r="Q3080" s="1207"/>
    </row>
    <row r="3081" spans="3:17" s="700" customFormat="1" ht="70.5" hidden="1" customHeight="1">
      <c r="C3081" s="701"/>
      <c r="D3081" s="811"/>
      <c r="E3081" s="1276">
        <f>[11]building!Y3412</f>
        <v>0</v>
      </c>
      <c r="F3081" s="748">
        <f t="shared" si="287"/>
        <v>0</v>
      </c>
      <c r="G3081" s="1205"/>
      <c r="H3081" s="1055"/>
      <c r="I3081" s="1055"/>
      <c r="J3081" s="1055"/>
      <c r="K3081" s="1205"/>
      <c r="L3081" s="1055"/>
      <c r="M3081" s="1205"/>
      <c r="N3081" s="1054"/>
      <c r="O3081" s="1207"/>
      <c r="Q3081" s="1207"/>
    </row>
    <row r="3082" spans="3:17" s="700" customFormat="1" ht="70.5" hidden="1" customHeight="1">
      <c r="C3082" s="701"/>
      <c r="D3082" s="811"/>
      <c r="E3082" s="1276">
        <f>[11]building!Y3413</f>
        <v>0</v>
      </c>
      <c r="F3082" s="748">
        <f t="shared" si="287"/>
        <v>0</v>
      </c>
      <c r="G3082" s="1205"/>
      <c r="H3082" s="1055"/>
      <c r="I3082" s="1055"/>
      <c r="J3082" s="1055"/>
      <c r="K3082" s="1205"/>
      <c r="L3082" s="1055"/>
      <c r="M3082" s="1205"/>
      <c r="N3082" s="1054"/>
      <c r="O3082" s="1207"/>
      <c r="Q3082" s="1207"/>
    </row>
    <row r="3083" spans="3:17" s="700" customFormat="1" ht="70.5" hidden="1" customHeight="1">
      <c r="C3083" s="701"/>
      <c r="D3083" s="811"/>
      <c r="E3083" s="1276">
        <f>[11]building!Y3414</f>
        <v>0</v>
      </c>
      <c r="F3083" s="748">
        <f t="shared" si="287"/>
        <v>0</v>
      </c>
      <c r="G3083" s="1205"/>
      <c r="H3083" s="1055"/>
      <c r="I3083" s="1055"/>
      <c r="J3083" s="1055"/>
      <c r="K3083" s="1205"/>
      <c r="L3083" s="1055"/>
      <c r="M3083" s="1205"/>
      <c r="N3083" s="1054"/>
      <c r="O3083" s="1207"/>
      <c r="Q3083" s="1207"/>
    </row>
    <row r="3084" spans="3:17" s="700" customFormat="1" ht="70.5" hidden="1" customHeight="1">
      <c r="C3084" s="701"/>
      <c r="D3084" s="811"/>
      <c r="E3084" s="1276">
        <f>[11]building!Y3415</f>
        <v>0</v>
      </c>
      <c r="F3084" s="748">
        <f t="shared" si="287"/>
        <v>0</v>
      </c>
      <c r="G3084" s="1205"/>
      <c r="H3084" s="1055"/>
      <c r="I3084" s="1055"/>
      <c r="J3084" s="1055"/>
      <c r="K3084" s="1205"/>
      <c r="L3084" s="1055"/>
      <c r="M3084" s="1205"/>
      <c r="N3084" s="1054"/>
      <c r="O3084" s="1207"/>
      <c r="Q3084" s="1207"/>
    </row>
    <row r="3085" spans="3:17" s="700" customFormat="1" ht="70.5" hidden="1" customHeight="1">
      <c r="C3085" s="701"/>
      <c r="D3085" s="811"/>
      <c r="E3085" s="1276">
        <f>[11]building!Y3416</f>
        <v>0</v>
      </c>
      <c r="F3085" s="748">
        <f t="shared" si="287"/>
        <v>0</v>
      </c>
      <c r="G3085" s="1205"/>
      <c r="H3085" s="1055"/>
      <c r="I3085" s="1055"/>
      <c r="J3085" s="1055"/>
      <c r="K3085" s="1205"/>
      <c r="L3085" s="1055"/>
      <c r="M3085" s="1205"/>
      <c r="N3085" s="1054"/>
      <c r="O3085" s="1207"/>
      <c r="Q3085" s="1207"/>
    </row>
    <row r="3086" spans="3:17" s="700" customFormat="1" ht="70.5" hidden="1" customHeight="1">
      <c r="C3086" s="701"/>
      <c r="D3086" s="811"/>
      <c r="E3086" s="1276">
        <f>[11]building!Y3417</f>
        <v>0</v>
      </c>
      <c r="F3086" s="748">
        <f t="shared" si="287"/>
        <v>0</v>
      </c>
      <c r="G3086" s="1205"/>
      <c r="H3086" s="1055"/>
      <c r="I3086" s="1055"/>
      <c r="J3086" s="1055"/>
      <c r="K3086" s="1205"/>
      <c r="L3086" s="1055"/>
      <c r="M3086" s="1205"/>
      <c r="N3086" s="1054"/>
      <c r="O3086" s="1207"/>
      <c r="Q3086" s="1207"/>
    </row>
    <row r="3087" spans="3:17" s="700" customFormat="1" ht="70.5" hidden="1" customHeight="1">
      <c r="C3087" s="701"/>
      <c r="D3087" s="811"/>
      <c r="E3087" s="1276">
        <f>[11]building!Y3418</f>
        <v>0</v>
      </c>
      <c r="F3087" s="748">
        <f t="shared" si="287"/>
        <v>0</v>
      </c>
      <c r="G3087" s="1205"/>
      <c r="H3087" s="1055"/>
      <c r="I3087" s="1055"/>
      <c r="J3087" s="1055"/>
      <c r="K3087" s="1205"/>
      <c r="L3087" s="1055"/>
      <c r="M3087" s="1205"/>
      <c r="N3087" s="1054"/>
      <c r="O3087" s="1207"/>
      <c r="Q3087" s="1207"/>
    </row>
    <row r="3088" spans="3:17" s="700" customFormat="1" ht="70.5" hidden="1" customHeight="1">
      <c r="C3088" s="701"/>
      <c r="D3088" s="811"/>
      <c r="E3088" s="1276">
        <f>[11]building!Y3419</f>
        <v>0</v>
      </c>
      <c r="F3088" s="748">
        <f t="shared" si="287"/>
        <v>0</v>
      </c>
      <c r="G3088" s="1205"/>
      <c r="H3088" s="1055"/>
      <c r="I3088" s="1055"/>
      <c r="J3088" s="1055"/>
      <c r="K3088" s="1205"/>
      <c r="L3088" s="1055"/>
      <c r="M3088" s="1205"/>
      <c r="N3088" s="1054"/>
      <c r="O3088" s="1207"/>
      <c r="Q3088" s="1207"/>
    </row>
    <row r="3089" spans="3:17" s="700" customFormat="1" ht="70.5" hidden="1" customHeight="1">
      <c r="C3089" s="701"/>
      <c r="D3089" s="811"/>
      <c r="E3089" s="1276">
        <f>[11]building!Y3420</f>
        <v>0</v>
      </c>
      <c r="F3089" s="748">
        <f t="shared" si="287"/>
        <v>0</v>
      </c>
      <c r="G3089" s="1205"/>
      <c r="H3089" s="1055"/>
      <c r="I3089" s="1055"/>
      <c r="J3089" s="1055"/>
      <c r="K3089" s="1205"/>
      <c r="L3089" s="1055"/>
      <c r="M3089" s="1205"/>
      <c r="N3089" s="1054"/>
      <c r="O3089" s="1207"/>
      <c r="Q3089" s="1207"/>
    </row>
    <row r="3090" spans="3:17" s="700" customFormat="1" ht="70.5" hidden="1" customHeight="1">
      <c r="C3090" s="701"/>
      <c r="D3090" s="811"/>
      <c r="E3090" s="1276">
        <f>[11]building!Y3421</f>
        <v>0</v>
      </c>
      <c r="F3090" s="748">
        <f t="shared" si="287"/>
        <v>0</v>
      </c>
      <c r="G3090" s="1205"/>
      <c r="H3090" s="1055"/>
      <c r="I3090" s="1055"/>
      <c r="J3090" s="1055"/>
      <c r="K3090" s="1205"/>
      <c r="L3090" s="1055"/>
      <c r="M3090" s="1205"/>
      <c r="N3090" s="1054"/>
      <c r="O3090" s="1207"/>
      <c r="Q3090" s="1207"/>
    </row>
    <row r="3091" spans="3:17" s="700" customFormat="1" ht="70.5" hidden="1" customHeight="1">
      <c r="C3091" s="701"/>
      <c r="D3091" s="811"/>
      <c r="E3091" s="1276">
        <f>[11]building!Y3422</f>
        <v>0</v>
      </c>
      <c r="F3091" s="748">
        <f t="shared" si="287"/>
        <v>0</v>
      </c>
      <c r="G3091" s="1205"/>
      <c r="H3091" s="1055"/>
      <c r="I3091" s="1055"/>
      <c r="J3091" s="1055"/>
      <c r="K3091" s="1205"/>
      <c r="L3091" s="1055"/>
      <c r="M3091" s="1205"/>
      <c r="N3091" s="1054"/>
      <c r="O3091" s="1207"/>
      <c r="Q3091" s="1207"/>
    </row>
    <row r="3092" spans="3:17" s="700" customFormat="1" ht="70.5" hidden="1" customHeight="1">
      <c r="C3092" s="701"/>
      <c r="D3092" s="811"/>
      <c r="E3092" s="1276">
        <f>[11]building!Y3423</f>
        <v>0</v>
      </c>
      <c r="F3092" s="748">
        <f t="shared" si="287"/>
        <v>0</v>
      </c>
      <c r="G3092" s="1205"/>
      <c r="H3092" s="1055"/>
      <c r="I3092" s="1055"/>
      <c r="J3092" s="1055"/>
      <c r="K3092" s="1205"/>
      <c r="L3092" s="1055"/>
      <c r="M3092" s="1205"/>
      <c r="N3092" s="1054"/>
      <c r="O3092" s="1207"/>
      <c r="Q3092" s="1207"/>
    </row>
    <row r="3093" spans="3:17" s="700" customFormat="1" ht="70.5" hidden="1" customHeight="1">
      <c r="C3093" s="701"/>
      <c r="D3093" s="811"/>
      <c r="E3093" s="1276">
        <f>[11]building!Y3424</f>
        <v>0</v>
      </c>
      <c r="F3093" s="748">
        <f t="shared" si="287"/>
        <v>0</v>
      </c>
      <c r="G3093" s="1205"/>
      <c r="H3093" s="1055"/>
      <c r="I3093" s="1055"/>
      <c r="J3093" s="1055"/>
      <c r="K3093" s="1205"/>
      <c r="L3093" s="1055"/>
      <c r="M3093" s="1205"/>
      <c r="N3093" s="1054"/>
      <c r="O3093" s="1207"/>
      <c r="Q3093" s="1207"/>
    </row>
    <row r="3094" spans="3:17" s="700" customFormat="1" ht="70.5" hidden="1" customHeight="1">
      <c r="C3094" s="701"/>
      <c r="D3094" s="811"/>
      <c r="E3094" s="1276">
        <f>[11]building!Y3425</f>
        <v>0</v>
      </c>
      <c r="F3094" s="748">
        <f t="shared" si="287"/>
        <v>0</v>
      </c>
      <c r="G3094" s="1205"/>
      <c r="H3094" s="1055"/>
      <c r="I3094" s="1055"/>
      <c r="J3094" s="1055"/>
      <c r="K3094" s="1205"/>
      <c r="L3094" s="1055"/>
      <c r="M3094" s="1205"/>
      <c r="N3094" s="1054"/>
      <c r="O3094" s="1207"/>
      <c r="Q3094" s="1207"/>
    </row>
    <row r="3095" spans="3:17" s="700" customFormat="1" ht="70.5" hidden="1" customHeight="1">
      <c r="C3095" s="701"/>
      <c r="D3095" s="811"/>
      <c r="E3095" s="1276">
        <f>[11]building!Y3426</f>
        <v>0</v>
      </c>
      <c r="F3095" s="748">
        <f t="shared" si="287"/>
        <v>0</v>
      </c>
      <c r="G3095" s="1205"/>
      <c r="H3095" s="1055"/>
      <c r="I3095" s="1055"/>
      <c r="J3095" s="1055"/>
      <c r="K3095" s="1205"/>
      <c r="L3095" s="1055"/>
      <c r="M3095" s="1205"/>
      <c r="N3095" s="1054"/>
      <c r="O3095" s="1207"/>
      <c r="Q3095" s="1207"/>
    </row>
    <row r="3096" spans="3:17" s="700" customFormat="1" ht="70.5" hidden="1" customHeight="1">
      <c r="C3096" s="701"/>
      <c r="D3096" s="811"/>
      <c r="E3096" s="1276">
        <f>[11]building!Y3427</f>
        <v>0</v>
      </c>
      <c r="F3096" s="748">
        <f t="shared" si="287"/>
        <v>0</v>
      </c>
      <c r="G3096" s="1205"/>
      <c r="H3096" s="1055"/>
      <c r="I3096" s="1055"/>
      <c r="J3096" s="1055"/>
      <c r="K3096" s="1205"/>
      <c r="L3096" s="1055"/>
      <c r="M3096" s="1205"/>
      <c r="N3096" s="1054"/>
      <c r="O3096" s="1207"/>
      <c r="Q3096" s="1207"/>
    </row>
    <row r="3097" spans="3:17" s="700" customFormat="1" ht="70.5" hidden="1" customHeight="1">
      <c r="C3097" s="701"/>
      <c r="D3097" s="811"/>
      <c r="E3097" s="1276">
        <f>[11]building!Y3428</f>
        <v>0</v>
      </c>
      <c r="F3097" s="748">
        <f t="shared" si="287"/>
        <v>0</v>
      </c>
      <c r="G3097" s="1205"/>
      <c r="H3097" s="1055"/>
      <c r="I3097" s="1055"/>
      <c r="J3097" s="1055"/>
      <c r="K3097" s="1205"/>
      <c r="L3097" s="1055"/>
      <c r="M3097" s="1205"/>
      <c r="N3097" s="1054"/>
      <c r="O3097" s="1207"/>
      <c r="Q3097" s="1207"/>
    </row>
    <row r="3098" spans="3:17" s="700" customFormat="1" ht="70.5" hidden="1" customHeight="1">
      <c r="C3098" s="701"/>
      <c r="D3098" s="811"/>
      <c r="E3098" s="1276">
        <f>[11]building!Y3429</f>
        <v>0</v>
      </c>
      <c r="F3098" s="748">
        <f t="shared" si="287"/>
        <v>0</v>
      </c>
      <c r="G3098" s="1205"/>
      <c r="H3098" s="1055"/>
      <c r="I3098" s="1055"/>
      <c r="J3098" s="1055"/>
      <c r="K3098" s="1205"/>
      <c r="L3098" s="1055"/>
      <c r="M3098" s="1205"/>
      <c r="N3098" s="1054"/>
      <c r="O3098" s="1207"/>
      <c r="Q3098" s="1207"/>
    </row>
    <row r="3099" spans="3:17" s="700" customFormat="1" ht="70.5" hidden="1" customHeight="1">
      <c r="C3099" s="701"/>
      <c r="D3099" s="811"/>
      <c r="E3099" s="1276">
        <f>[11]building!Y3430</f>
        <v>0</v>
      </c>
      <c r="F3099" s="748">
        <f t="shared" si="287"/>
        <v>0</v>
      </c>
      <c r="G3099" s="1205"/>
      <c r="H3099" s="1055"/>
      <c r="I3099" s="1055"/>
      <c r="J3099" s="1055"/>
      <c r="K3099" s="1205"/>
      <c r="L3099" s="1055"/>
      <c r="M3099" s="1205"/>
      <c r="N3099" s="1054"/>
      <c r="O3099" s="1207"/>
      <c r="Q3099" s="1207"/>
    </row>
    <row r="3100" spans="3:17" s="700" customFormat="1" ht="70.5" hidden="1" customHeight="1">
      <c r="C3100" s="701"/>
      <c r="D3100" s="811"/>
      <c r="E3100" s="1276">
        <f>[11]building!Y3431</f>
        <v>0</v>
      </c>
      <c r="F3100" s="748">
        <f t="shared" si="287"/>
        <v>0</v>
      </c>
      <c r="G3100" s="1205"/>
      <c r="H3100" s="1055"/>
      <c r="I3100" s="1055"/>
      <c r="J3100" s="1055"/>
      <c r="K3100" s="1205"/>
      <c r="L3100" s="1055"/>
      <c r="M3100" s="1205"/>
      <c r="N3100" s="1054"/>
      <c r="O3100" s="1207"/>
      <c r="Q3100" s="1207"/>
    </row>
    <row r="3101" spans="3:17" s="700" customFormat="1" ht="70.5" hidden="1" customHeight="1">
      <c r="C3101" s="701"/>
      <c r="D3101" s="811"/>
      <c r="E3101" s="1276">
        <f>[11]building!Y3432</f>
        <v>0</v>
      </c>
      <c r="F3101" s="748">
        <f t="shared" si="287"/>
        <v>0</v>
      </c>
      <c r="G3101" s="1205"/>
      <c r="H3101" s="1055"/>
      <c r="I3101" s="1055"/>
      <c r="J3101" s="1055"/>
      <c r="K3101" s="1205"/>
      <c r="L3101" s="1055"/>
      <c r="M3101" s="1205"/>
      <c r="N3101" s="1054"/>
      <c r="O3101" s="1207"/>
      <c r="Q3101" s="1207"/>
    </row>
    <row r="3102" spans="3:17" s="700" customFormat="1" ht="70.5" hidden="1" customHeight="1">
      <c r="C3102" s="701"/>
      <c r="D3102" s="811"/>
      <c r="E3102" s="1276">
        <f>[11]building!Y3433</f>
        <v>0</v>
      </c>
      <c r="F3102" s="748">
        <f t="shared" si="287"/>
        <v>0</v>
      </c>
      <c r="G3102" s="1205"/>
      <c r="H3102" s="1055"/>
      <c r="I3102" s="1055"/>
      <c r="J3102" s="1055"/>
      <c r="K3102" s="1205"/>
      <c r="L3102" s="1055"/>
      <c r="M3102" s="1205"/>
      <c r="N3102" s="1054"/>
      <c r="O3102" s="1207"/>
      <c r="Q3102" s="1207"/>
    </row>
    <row r="3103" spans="3:17" s="700" customFormat="1" ht="70.5" hidden="1" customHeight="1">
      <c r="C3103" s="701"/>
      <c r="D3103" s="811"/>
      <c r="E3103" s="1276">
        <f>[11]building!Y3434</f>
        <v>0</v>
      </c>
      <c r="F3103" s="748">
        <f t="shared" si="287"/>
        <v>0</v>
      </c>
      <c r="G3103" s="1205"/>
      <c r="H3103" s="1055"/>
      <c r="I3103" s="1055"/>
      <c r="J3103" s="1055"/>
      <c r="K3103" s="1205"/>
      <c r="L3103" s="1055"/>
      <c r="M3103" s="1205"/>
      <c r="N3103" s="1054"/>
      <c r="O3103" s="1207"/>
      <c r="Q3103" s="1207"/>
    </row>
    <row r="3104" spans="3:17" s="700" customFormat="1" ht="70.5" hidden="1" customHeight="1">
      <c r="C3104" s="701"/>
      <c r="D3104" s="811"/>
      <c r="E3104" s="1276">
        <f>[11]building!Y3435</f>
        <v>0</v>
      </c>
      <c r="F3104" s="748">
        <f t="shared" si="287"/>
        <v>0</v>
      </c>
      <c r="G3104" s="1205"/>
      <c r="H3104" s="1055"/>
      <c r="I3104" s="1055"/>
      <c r="J3104" s="1055"/>
      <c r="K3104" s="1205"/>
      <c r="L3104" s="1055"/>
      <c r="M3104" s="1205"/>
      <c r="N3104" s="1054"/>
      <c r="O3104" s="1207"/>
      <c r="Q3104" s="1207"/>
    </row>
    <row r="3105" spans="3:17" s="700" customFormat="1" ht="70.5" hidden="1" customHeight="1">
      <c r="C3105" s="701"/>
      <c r="D3105" s="811"/>
      <c r="E3105" s="1276">
        <f>[11]building!Y3436</f>
        <v>0</v>
      </c>
      <c r="F3105" s="748">
        <f t="shared" si="287"/>
        <v>0</v>
      </c>
      <c r="G3105" s="1205"/>
      <c r="H3105" s="1055"/>
      <c r="I3105" s="1055"/>
      <c r="J3105" s="1055"/>
      <c r="K3105" s="1205"/>
      <c r="L3105" s="1055"/>
      <c r="M3105" s="1205"/>
      <c r="N3105" s="1054"/>
      <c r="O3105" s="1207"/>
      <c r="Q3105" s="1207"/>
    </row>
    <row r="3106" spans="3:17" s="700" customFormat="1" ht="70.5" hidden="1" customHeight="1">
      <c r="C3106" s="701"/>
      <c r="D3106" s="811"/>
      <c r="E3106" s="1276">
        <f>[11]building!Y3437</f>
        <v>0</v>
      </c>
      <c r="F3106" s="748">
        <f t="shared" si="287"/>
        <v>0</v>
      </c>
      <c r="G3106" s="1205"/>
      <c r="H3106" s="1055"/>
      <c r="I3106" s="1055"/>
      <c r="J3106" s="1055"/>
      <c r="K3106" s="1205"/>
      <c r="L3106" s="1055"/>
      <c r="M3106" s="1205"/>
      <c r="N3106" s="1054"/>
      <c r="O3106" s="1207"/>
      <c r="Q3106" s="1207"/>
    </row>
    <row r="3107" spans="3:17" s="700" customFormat="1" ht="70.5" hidden="1" customHeight="1">
      <c r="C3107" s="701"/>
      <c r="D3107" s="811"/>
      <c r="E3107" s="1276">
        <f>[11]building!Y3438</f>
        <v>0</v>
      </c>
      <c r="F3107" s="748">
        <f t="shared" si="287"/>
        <v>0</v>
      </c>
      <c r="G3107" s="1205"/>
      <c r="H3107" s="1055"/>
      <c r="I3107" s="1055"/>
      <c r="J3107" s="1055"/>
      <c r="K3107" s="1205"/>
      <c r="L3107" s="1055"/>
      <c r="M3107" s="1205"/>
      <c r="N3107" s="1054"/>
      <c r="O3107" s="1207"/>
      <c r="Q3107" s="1207"/>
    </row>
    <row r="3108" spans="3:17" s="700" customFormat="1" ht="70.5" hidden="1" customHeight="1">
      <c r="C3108" s="701"/>
      <c r="D3108" s="811"/>
      <c r="E3108" s="1276">
        <f>[11]building!Y3439</f>
        <v>0</v>
      </c>
      <c r="F3108" s="748">
        <f t="shared" si="287"/>
        <v>0</v>
      </c>
      <c r="G3108" s="1205"/>
      <c r="H3108" s="1055"/>
      <c r="I3108" s="1055"/>
      <c r="J3108" s="1055"/>
      <c r="K3108" s="1205"/>
      <c r="L3108" s="1055"/>
      <c r="M3108" s="1205"/>
      <c r="N3108" s="1054"/>
      <c r="O3108" s="1207"/>
      <c r="Q3108" s="1207"/>
    </row>
    <row r="3109" spans="3:17" s="700" customFormat="1" ht="70.5" hidden="1" customHeight="1">
      <c r="C3109" s="701"/>
      <c r="D3109" s="811"/>
      <c r="E3109" s="1276">
        <f>[11]building!Y3440</f>
        <v>0</v>
      </c>
      <c r="F3109" s="748">
        <f t="shared" si="287"/>
        <v>0</v>
      </c>
      <c r="G3109" s="1205"/>
      <c r="H3109" s="1055"/>
      <c r="I3109" s="1055"/>
      <c r="J3109" s="1055"/>
      <c r="K3109" s="1205"/>
      <c r="L3109" s="1055"/>
      <c r="M3109" s="1205"/>
      <c r="N3109" s="1054"/>
      <c r="O3109" s="1207"/>
      <c r="Q3109" s="1207"/>
    </row>
    <row r="3110" spans="3:17" s="700" customFormat="1" ht="70.5" hidden="1" customHeight="1">
      <c r="C3110" s="701"/>
      <c r="D3110" s="811"/>
      <c r="E3110" s="1276">
        <f>[11]building!Y3441</f>
        <v>0</v>
      </c>
      <c r="F3110" s="748">
        <f t="shared" si="287"/>
        <v>0</v>
      </c>
      <c r="G3110" s="1205"/>
      <c r="H3110" s="1055"/>
      <c r="I3110" s="1055"/>
      <c r="J3110" s="1055"/>
      <c r="K3110" s="1205"/>
      <c r="L3110" s="1055"/>
      <c r="M3110" s="1205"/>
      <c r="N3110" s="1054"/>
      <c r="O3110" s="1207"/>
      <c r="Q3110" s="1207"/>
    </row>
    <row r="3111" spans="3:17" s="700" customFormat="1" ht="70.5" hidden="1" customHeight="1">
      <c r="C3111" s="701"/>
      <c r="D3111" s="811"/>
      <c r="E3111" s="1276">
        <f>[11]building!Y3442</f>
        <v>0</v>
      </c>
      <c r="F3111" s="748">
        <f t="shared" si="287"/>
        <v>0</v>
      </c>
      <c r="G3111" s="1205"/>
      <c r="H3111" s="1055"/>
      <c r="I3111" s="1055"/>
      <c r="J3111" s="1055"/>
      <c r="K3111" s="1205"/>
      <c r="L3111" s="1055"/>
      <c r="M3111" s="1205"/>
      <c r="N3111" s="1054"/>
      <c r="O3111" s="1207"/>
      <c r="Q3111" s="1207"/>
    </row>
    <row r="3112" spans="3:17" s="700" customFormat="1" ht="70.5" hidden="1" customHeight="1">
      <c r="C3112" s="701"/>
      <c r="D3112" s="811"/>
      <c r="E3112" s="1276">
        <f>[11]building!Y3443</f>
        <v>0</v>
      </c>
      <c r="F3112" s="748">
        <f t="shared" si="287"/>
        <v>0</v>
      </c>
      <c r="G3112" s="1205"/>
      <c r="H3112" s="1055"/>
      <c r="I3112" s="1055"/>
      <c r="J3112" s="1055"/>
      <c r="K3112" s="1205"/>
      <c r="L3112" s="1055"/>
      <c r="M3112" s="1205"/>
      <c r="N3112" s="1054"/>
      <c r="O3112" s="1207"/>
      <c r="Q3112" s="1207"/>
    </row>
    <row r="3113" spans="3:17" s="700" customFormat="1" ht="70.5" hidden="1" customHeight="1">
      <c r="C3113" s="701"/>
      <c r="D3113" s="811"/>
      <c r="E3113" s="1276">
        <f>[11]building!Y3444</f>
        <v>0</v>
      </c>
      <c r="F3113" s="748">
        <f t="shared" si="287"/>
        <v>0</v>
      </c>
      <c r="G3113" s="1205"/>
      <c r="H3113" s="1055"/>
      <c r="I3113" s="1055"/>
      <c r="J3113" s="1055"/>
      <c r="K3113" s="1205"/>
      <c r="L3113" s="1055"/>
      <c r="M3113" s="1205"/>
      <c r="N3113" s="1054"/>
      <c r="O3113" s="1207"/>
      <c r="Q3113" s="1207"/>
    </row>
    <row r="3114" spans="3:17" s="700" customFormat="1" ht="70.5" hidden="1" customHeight="1">
      <c r="C3114" s="701"/>
      <c r="D3114" s="811"/>
      <c r="E3114" s="1276">
        <f>[11]building!Y3445</f>
        <v>0</v>
      </c>
      <c r="F3114" s="748">
        <f t="shared" si="287"/>
        <v>0</v>
      </c>
      <c r="G3114" s="1205"/>
      <c r="H3114" s="1055"/>
      <c r="I3114" s="1055"/>
      <c r="J3114" s="1055"/>
      <c r="K3114" s="1205"/>
      <c r="L3114" s="1055"/>
      <c r="M3114" s="1205"/>
      <c r="N3114" s="1054"/>
      <c r="O3114" s="1207"/>
      <c r="Q3114" s="1207"/>
    </row>
    <row r="3115" spans="3:17" s="700" customFormat="1" ht="70.5" hidden="1" customHeight="1">
      <c r="C3115" s="701"/>
      <c r="D3115" s="811"/>
      <c r="E3115" s="1276">
        <f>[11]building!Y3446</f>
        <v>0</v>
      </c>
      <c r="F3115" s="748">
        <f t="shared" si="287"/>
        <v>0</v>
      </c>
      <c r="G3115" s="1205"/>
      <c r="H3115" s="1055"/>
      <c r="I3115" s="1055"/>
      <c r="J3115" s="1055"/>
      <c r="K3115" s="1205"/>
      <c r="L3115" s="1055"/>
      <c r="M3115" s="1205"/>
      <c r="N3115" s="1054"/>
      <c r="O3115" s="1207"/>
      <c r="Q3115" s="1207"/>
    </row>
    <row r="3116" spans="3:17" s="700" customFormat="1" ht="70.5" hidden="1" customHeight="1">
      <c r="C3116" s="701"/>
      <c r="D3116" s="811"/>
      <c r="E3116" s="1276">
        <f>[11]building!Y3447</f>
        <v>0</v>
      </c>
      <c r="F3116" s="748">
        <f t="shared" si="287"/>
        <v>0</v>
      </c>
      <c r="G3116" s="1205"/>
      <c r="H3116" s="1055"/>
      <c r="I3116" s="1055"/>
      <c r="J3116" s="1055"/>
      <c r="K3116" s="1205"/>
      <c r="L3116" s="1055"/>
      <c r="M3116" s="1205"/>
      <c r="N3116" s="1054"/>
      <c r="O3116" s="1207"/>
      <c r="Q3116" s="1207"/>
    </row>
    <row r="3117" spans="3:17" s="700" customFormat="1" ht="70.5" hidden="1" customHeight="1">
      <c r="C3117" s="701"/>
      <c r="D3117" s="811"/>
      <c r="E3117" s="1276">
        <f>[11]building!Y3448</f>
        <v>0</v>
      </c>
      <c r="F3117" s="748">
        <f t="shared" si="287"/>
        <v>0</v>
      </c>
      <c r="G3117" s="1205"/>
      <c r="H3117" s="1055"/>
      <c r="I3117" s="1055"/>
      <c r="J3117" s="1055"/>
      <c r="K3117" s="1205"/>
      <c r="L3117" s="1055"/>
      <c r="M3117" s="1205"/>
      <c r="N3117" s="1054"/>
      <c r="O3117" s="1207"/>
      <c r="Q3117" s="1207"/>
    </row>
    <row r="3118" spans="3:17" s="700" customFormat="1" ht="70.5" hidden="1" customHeight="1">
      <c r="C3118" s="701"/>
      <c r="D3118" s="811"/>
      <c r="E3118" s="1276">
        <f>[11]building!Y3449</f>
        <v>0</v>
      </c>
      <c r="F3118" s="748">
        <f t="shared" si="287"/>
        <v>0</v>
      </c>
      <c r="G3118" s="1205"/>
      <c r="H3118" s="1055"/>
      <c r="I3118" s="1055"/>
      <c r="J3118" s="1055"/>
      <c r="K3118" s="1205"/>
      <c r="L3118" s="1055"/>
      <c r="M3118" s="1205"/>
      <c r="N3118" s="1054"/>
      <c r="O3118" s="1207"/>
      <c r="Q3118" s="1207"/>
    </row>
    <row r="3119" spans="3:17" s="700" customFormat="1" ht="70.5" hidden="1" customHeight="1">
      <c r="C3119" s="701"/>
      <c r="D3119" s="811"/>
      <c r="E3119" s="1276">
        <f>[11]building!Y3450</f>
        <v>0</v>
      </c>
      <c r="F3119" s="748">
        <f t="shared" si="287"/>
        <v>0</v>
      </c>
      <c r="G3119" s="1205"/>
      <c r="H3119" s="1055"/>
      <c r="I3119" s="1055"/>
      <c r="J3119" s="1055"/>
      <c r="K3119" s="1205"/>
      <c r="L3119" s="1055"/>
      <c r="M3119" s="1205"/>
      <c r="N3119" s="1054"/>
      <c r="O3119" s="1207"/>
      <c r="Q3119" s="1207"/>
    </row>
    <row r="3120" spans="3:17" s="700" customFormat="1" ht="70.5" hidden="1" customHeight="1">
      <c r="C3120" s="701"/>
      <c r="D3120" s="811"/>
      <c r="E3120" s="1276">
        <f>[11]building!Y3451</f>
        <v>0</v>
      </c>
      <c r="F3120" s="748">
        <f t="shared" si="287"/>
        <v>0</v>
      </c>
      <c r="G3120" s="1205"/>
      <c r="H3120" s="1055"/>
      <c r="I3120" s="1055"/>
      <c r="J3120" s="1055"/>
      <c r="K3120" s="1205"/>
      <c r="L3120" s="1055"/>
      <c r="M3120" s="1205"/>
      <c r="N3120" s="1054"/>
      <c r="O3120" s="1207"/>
      <c r="Q3120" s="1207"/>
    </row>
    <row r="3121" spans="3:17" s="700" customFormat="1" ht="70.5" hidden="1" customHeight="1">
      <c r="C3121" s="701"/>
      <c r="D3121" s="811"/>
      <c r="E3121" s="1276">
        <f>[11]building!Y3452</f>
        <v>0</v>
      </c>
      <c r="F3121" s="748">
        <f t="shared" si="287"/>
        <v>0</v>
      </c>
      <c r="G3121" s="1205"/>
      <c r="H3121" s="1055"/>
      <c r="I3121" s="1055"/>
      <c r="J3121" s="1055"/>
      <c r="K3121" s="1205"/>
      <c r="L3121" s="1055"/>
      <c r="M3121" s="1205"/>
      <c r="N3121" s="1054"/>
      <c r="O3121" s="1207"/>
      <c r="Q3121" s="1207"/>
    </row>
    <row r="3122" spans="3:17" s="700" customFormat="1" ht="70.5" hidden="1" customHeight="1">
      <c r="C3122" s="701"/>
      <c r="D3122" s="811"/>
      <c r="E3122" s="1276">
        <f>[11]building!Y3453</f>
        <v>0</v>
      </c>
      <c r="F3122" s="748">
        <f t="shared" si="287"/>
        <v>0</v>
      </c>
      <c r="G3122" s="1205"/>
      <c r="H3122" s="1055"/>
      <c r="I3122" s="1055"/>
      <c r="J3122" s="1055"/>
      <c r="K3122" s="1205"/>
      <c r="L3122" s="1055"/>
      <c r="M3122" s="1205"/>
      <c r="N3122" s="1054"/>
      <c r="O3122" s="1207"/>
      <c r="Q3122" s="1207"/>
    </row>
    <row r="3123" spans="3:17" s="700" customFormat="1" ht="70.5" hidden="1" customHeight="1">
      <c r="C3123" s="701"/>
      <c r="D3123" s="811"/>
      <c r="E3123" s="1276">
        <f>[11]building!Y3454</f>
        <v>0</v>
      </c>
      <c r="F3123" s="748">
        <f t="shared" si="287"/>
        <v>0</v>
      </c>
      <c r="G3123" s="1205"/>
      <c r="H3123" s="1055"/>
      <c r="I3123" s="1055"/>
      <c r="J3123" s="1055"/>
      <c r="K3123" s="1205"/>
      <c r="L3123" s="1055"/>
      <c r="M3123" s="1205"/>
      <c r="N3123" s="1054"/>
      <c r="O3123" s="1207"/>
      <c r="Q3123" s="1207"/>
    </row>
    <row r="3124" spans="3:17" s="700" customFormat="1" ht="70.5" hidden="1" customHeight="1">
      <c r="C3124" s="701"/>
      <c r="D3124" s="811"/>
      <c r="E3124" s="1276">
        <f>[11]building!Y3455</f>
        <v>0</v>
      </c>
      <c r="F3124" s="748">
        <f t="shared" si="287"/>
        <v>0</v>
      </c>
      <c r="G3124" s="1205"/>
      <c r="H3124" s="1055"/>
      <c r="I3124" s="1055"/>
      <c r="J3124" s="1055"/>
      <c r="K3124" s="1205"/>
      <c r="L3124" s="1055"/>
      <c r="M3124" s="1205"/>
      <c r="N3124" s="1054"/>
      <c r="O3124" s="1207"/>
      <c r="Q3124" s="1207"/>
    </row>
    <row r="3125" spans="3:17" s="700" customFormat="1" ht="70.5" hidden="1" customHeight="1">
      <c r="C3125" s="701"/>
      <c r="D3125" s="811"/>
      <c r="E3125" s="1276">
        <f>[11]building!Y3456</f>
        <v>0</v>
      </c>
      <c r="F3125" s="748">
        <f t="shared" si="287"/>
        <v>0</v>
      </c>
      <c r="G3125" s="1205"/>
      <c r="H3125" s="1055"/>
      <c r="I3125" s="1055"/>
      <c r="J3125" s="1055"/>
      <c r="K3125" s="1205"/>
      <c r="L3125" s="1055"/>
      <c r="M3125" s="1205"/>
      <c r="N3125" s="1054"/>
      <c r="O3125" s="1207"/>
      <c r="Q3125" s="1207"/>
    </row>
    <row r="3126" spans="3:17" s="700" customFormat="1" ht="70.5" hidden="1" customHeight="1">
      <c r="C3126" s="701"/>
      <c r="D3126" s="811"/>
      <c r="E3126" s="1276">
        <f>[11]building!Y3457</f>
        <v>0</v>
      </c>
      <c r="F3126" s="748">
        <f t="shared" si="287"/>
        <v>0</v>
      </c>
      <c r="G3126" s="1205"/>
      <c r="H3126" s="1055"/>
      <c r="I3126" s="1055"/>
      <c r="J3126" s="1055"/>
      <c r="K3126" s="1205"/>
      <c r="L3126" s="1055"/>
      <c r="M3126" s="1205"/>
      <c r="N3126" s="1054"/>
      <c r="O3126" s="1207"/>
      <c r="Q3126" s="1207"/>
    </row>
    <row r="3127" spans="3:17" s="700" customFormat="1" ht="70.5" hidden="1" customHeight="1">
      <c r="C3127" s="701"/>
      <c r="D3127" s="811"/>
      <c r="E3127" s="1276">
        <f>[11]building!Y3458</f>
        <v>0</v>
      </c>
      <c r="F3127" s="748">
        <f t="shared" si="287"/>
        <v>0</v>
      </c>
      <c r="G3127" s="1205"/>
      <c r="H3127" s="1055"/>
      <c r="I3127" s="1055"/>
      <c r="J3127" s="1055"/>
      <c r="K3127" s="1205"/>
      <c r="L3127" s="1055"/>
      <c r="M3127" s="1205"/>
      <c r="N3127" s="1054"/>
      <c r="O3127" s="1207"/>
      <c r="Q3127" s="1207"/>
    </row>
    <row r="3128" spans="3:17" s="700" customFormat="1" ht="70.5" hidden="1" customHeight="1">
      <c r="C3128" s="701"/>
      <c r="D3128" s="811"/>
      <c r="E3128" s="1276">
        <f>[11]building!Y3459</f>
        <v>0</v>
      </c>
      <c r="F3128" s="748">
        <f t="shared" si="287"/>
        <v>0</v>
      </c>
      <c r="G3128" s="1205"/>
      <c r="H3128" s="1055"/>
      <c r="I3128" s="1055"/>
      <c r="J3128" s="1055"/>
      <c r="K3128" s="1205"/>
      <c r="L3128" s="1055"/>
      <c r="M3128" s="1205"/>
      <c r="N3128" s="1054"/>
      <c r="O3128" s="1207"/>
      <c r="Q3128" s="1207"/>
    </row>
    <row r="3129" spans="3:17" s="700" customFormat="1" ht="70.5" hidden="1" customHeight="1">
      <c r="C3129" s="701"/>
      <c r="D3129" s="811"/>
      <c r="E3129" s="1276">
        <f>[11]building!Y3460</f>
        <v>0</v>
      </c>
      <c r="F3129" s="748">
        <f t="shared" si="287"/>
        <v>0</v>
      </c>
      <c r="G3129" s="1205"/>
      <c r="H3129" s="1055"/>
      <c r="I3129" s="1055"/>
      <c r="J3129" s="1055"/>
      <c r="K3129" s="1205"/>
      <c r="L3129" s="1055"/>
      <c r="M3129" s="1205"/>
      <c r="N3129" s="1054"/>
      <c r="O3129" s="1207"/>
      <c r="Q3129" s="1207"/>
    </row>
    <row r="3130" spans="3:17" s="700" customFormat="1" ht="70.5" hidden="1" customHeight="1">
      <c r="C3130" s="701"/>
      <c r="D3130" s="811"/>
      <c r="E3130" s="1276">
        <f>[11]building!Y3461</f>
        <v>0</v>
      </c>
      <c r="F3130" s="748">
        <f t="shared" si="287"/>
        <v>0</v>
      </c>
      <c r="G3130" s="1205"/>
      <c r="H3130" s="1055"/>
      <c r="I3130" s="1055"/>
      <c r="J3130" s="1055"/>
      <c r="K3130" s="1205"/>
      <c r="L3130" s="1055"/>
      <c r="M3130" s="1205"/>
      <c r="N3130" s="1054"/>
      <c r="O3130" s="1207"/>
      <c r="Q3130" s="1207"/>
    </row>
    <row r="3131" spans="3:17" s="700" customFormat="1" ht="70.5" hidden="1" customHeight="1">
      <c r="C3131" s="701"/>
      <c r="D3131" s="811"/>
      <c r="E3131" s="1276">
        <f>[11]building!Y3462</f>
        <v>0</v>
      </c>
      <c r="F3131" s="748">
        <f t="shared" si="287"/>
        <v>0</v>
      </c>
      <c r="G3131" s="1205"/>
      <c r="H3131" s="1055"/>
      <c r="I3131" s="1055"/>
      <c r="J3131" s="1055"/>
      <c r="K3131" s="1205"/>
      <c r="L3131" s="1055"/>
      <c r="M3131" s="1205"/>
      <c r="N3131" s="1054"/>
      <c r="O3131" s="1207"/>
      <c r="Q3131" s="1207"/>
    </row>
    <row r="3132" spans="3:17" s="700" customFormat="1" ht="70.5" hidden="1" customHeight="1">
      <c r="C3132" s="701"/>
      <c r="D3132" s="811"/>
      <c r="E3132" s="1276">
        <f>[11]building!Y3463</f>
        <v>0</v>
      </c>
      <c r="F3132" s="748">
        <f t="shared" si="287"/>
        <v>0</v>
      </c>
      <c r="G3132" s="1205"/>
      <c r="H3132" s="1055"/>
      <c r="I3132" s="1055"/>
      <c r="J3132" s="1055"/>
      <c r="K3132" s="1205"/>
      <c r="L3132" s="1055"/>
      <c r="M3132" s="1205"/>
      <c r="N3132" s="1054"/>
      <c r="O3132" s="1207"/>
      <c r="Q3132" s="1207"/>
    </row>
    <row r="3133" spans="3:17" s="700" customFormat="1" ht="70.5" hidden="1" customHeight="1">
      <c r="C3133" s="701"/>
      <c r="D3133" s="811"/>
      <c r="E3133" s="1276">
        <f>[11]building!Y3464</f>
        <v>0</v>
      </c>
      <c r="F3133" s="748">
        <f t="shared" si="287"/>
        <v>0</v>
      </c>
      <c r="G3133" s="1205"/>
      <c r="H3133" s="1055"/>
      <c r="I3133" s="1055"/>
      <c r="J3133" s="1055"/>
      <c r="K3133" s="1205"/>
      <c r="L3133" s="1055"/>
      <c r="M3133" s="1205"/>
      <c r="N3133" s="1054"/>
      <c r="O3133" s="1207"/>
      <c r="Q3133" s="1207"/>
    </row>
    <row r="3134" spans="3:17" s="700" customFormat="1" ht="70.5" hidden="1" customHeight="1">
      <c r="C3134" s="701"/>
      <c r="D3134" s="811"/>
      <c r="E3134" s="1276">
        <f>[11]building!Y3465</f>
        <v>0</v>
      </c>
      <c r="F3134" s="748">
        <f t="shared" si="287"/>
        <v>0</v>
      </c>
      <c r="G3134" s="1205"/>
      <c r="H3134" s="1055"/>
      <c r="I3134" s="1055"/>
      <c r="J3134" s="1055"/>
      <c r="K3134" s="1205"/>
      <c r="L3134" s="1055"/>
      <c r="M3134" s="1205"/>
      <c r="N3134" s="1054"/>
      <c r="O3134" s="1207"/>
      <c r="Q3134" s="1207"/>
    </row>
    <row r="3135" spans="3:17" s="700" customFormat="1" ht="70.5" hidden="1" customHeight="1">
      <c r="C3135" s="701"/>
      <c r="D3135" s="811"/>
      <c r="E3135" s="1276">
        <f>[11]building!Y3466</f>
        <v>0</v>
      </c>
      <c r="F3135" s="748">
        <f t="shared" si="287"/>
        <v>0</v>
      </c>
      <c r="G3135" s="1205"/>
      <c r="H3135" s="1055"/>
      <c r="I3135" s="1055"/>
      <c r="J3135" s="1055"/>
      <c r="K3135" s="1205"/>
      <c r="L3135" s="1055"/>
      <c r="M3135" s="1205"/>
      <c r="N3135" s="1054"/>
      <c r="O3135" s="1207"/>
      <c r="Q3135" s="1207"/>
    </row>
    <row r="3136" spans="3:17" s="700" customFormat="1" ht="70.5" hidden="1" customHeight="1">
      <c r="C3136" s="701"/>
      <c r="D3136" s="811"/>
      <c r="E3136" s="1276">
        <f>[11]building!Y3467</f>
        <v>0</v>
      </c>
      <c r="F3136" s="748">
        <f t="shared" ref="F3136:F3199" si="288">E3136*C3136</f>
        <v>0</v>
      </c>
      <c r="G3136" s="1205"/>
      <c r="H3136" s="1055"/>
      <c r="I3136" s="1055"/>
      <c r="J3136" s="1055"/>
      <c r="K3136" s="1205"/>
      <c r="L3136" s="1055"/>
      <c r="M3136" s="1205"/>
      <c r="N3136" s="1054"/>
      <c r="O3136" s="1207"/>
      <c r="Q3136" s="1207"/>
    </row>
    <row r="3137" spans="3:17" s="700" customFormat="1" ht="70.5" hidden="1" customHeight="1">
      <c r="C3137" s="701"/>
      <c r="D3137" s="811"/>
      <c r="E3137" s="1276">
        <f>[11]building!Y3468</f>
        <v>0</v>
      </c>
      <c r="F3137" s="748">
        <f t="shared" si="288"/>
        <v>0</v>
      </c>
      <c r="G3137" s="1205"/>
      <c r="H3137" s="1055"/>
      <c r="I3137" s="1055"/>
      <c r="J3137" s="1055"/>
      <c r="K3137" s="1205"/>
      <c r="L3137" s="1055"/>
      <c r="M3137" s="1205"/>
      <c r="N3137" s="1054"/>
      <c r="O3137" s="1207"/>
      <c r="Q3137" s="1207"/>
    </row>
    <row r="3138" spans="3:17" s="700" customFormat="1" ht="70.5" hidden="1" customHeight="1">
      <c r="C3138" s="701"/>
      <c r="D3138" s="811"/>
      <c r="E3138" s="1276">
        <f>[11]building!Y3469</f>
        <v>0</v>
      </c>
      <c r="F3138" s="748">
        <f t="shared" si="288"/>
        <v>0</v>
      </c>
      <c r="G3138" s="1205"/>
      <c r="H3138" s="1055"/>
      <c r="I3138" s="1055"/>
      <c r="J3138" s="1055"/>
      <c r="K3138" s="1205"/>
      <c r="L3138" s="1055"/>
      <c r="M3138" s="1205"/>
      <c r="N3138" s="1054"/>
      <c r="O3138" s="1207"/>
      <c r="Q3138" s="1207"/>
    </row>
    <row r="3139" spans="3:17" s="700" customFormat="1" ht="70.5" hidden="1" customHeight="1">
      <c r="C3139" s="701"/>
      <c r="D3139" s="811"/>
      <c r="E3139" s="1276">
        <f>[11]building!Y3470</f>
        <v>0</v>
      </c>
      <c r="F3139" s="748">
        <f t="shared" si="288"/>
        <v>0</v>
      </c>
      <c r="G3139" s="1205"/>
      <c r="H3139" s="1055"/>
      <c r="I3139" s="1055"/>
      <c r="J3139" s="1055"/>
      <c r="K3139" s="1205"/>
      <c r="L3139" s="1055"/>
      <c r="M3139" s="1205"/>
      <c r="N3139" s="1054"/>
      <c r="O3139" s="1207"/>
      <c r="Q3139" s="1207"/>
    </row>
    <row r="3140" spans="3:17" s="700" customFormat="1" ht="70.5" hidden="1" customHeight="1">
      <c r="C3140" s="701"/>
      <c r="D3140" s="811"/>
      <c r="E3140" s="1276">
        <f>[11]building!Y3471</f>
        <v>0</v>
      </c>
      <c r="F3140" s="748">
        <f t="shared" si="288"/>
        <v>0</v>
      </c>
      <c r="G3140" s="1205"/>
      <c r="H3140" s="1055"/>
      <c r="I3140" s="1055"/>
      <c r="J3140" s="1055"/>
      <c r="K3140" s="1205"/>
      <c r="L3140" s="1055"/>
      <c r="M3140" s="1205"/>
      <c r="N3140" s="1054"/>
      <c r="O3140" s="1207"/>
      <c r="Q3140" s="1207"/>
    </row>
    <row r="3141" spans="3:17" s="700" customFormat="1" ht="70.5" hidden="1" customHeight="1">
      <c r="C3141" s="701"/>
      <c r="D3141" s="811"/>
      <c r="E3141" s="1276">
        <f>[11]building!Y3472</f>
        <v>0</v>
      </c>
      <c r="F3141" s="748">
        <f t="shared" si="288"/>
        <v>0</v>
      </c>
      <c r="G3141" s="1205"/>
      <c r="H3141" s="1055"/>
      <c r="I3141" s="1055"/>
      <c r="J3141" s="1055"/>
      <c r="K3141" s="1205"/>
      <c r="L3141" s="1055"/>
      <c r="M3141" s="1205"/>
      <c r="N3141" s="1054"/>
      <c r="O3141" s="1207"/>
      <c r="Q3141" s="1207"/>
    </row>
    <row r="3142" spans="3:17" s="700" customFormat="1" ht="70.5" hidden="1" customHeight="1">
      <c r="C3142" s="701"/>
      <c r="D3142" s="811"/>
      <c r="E3142" s="1276">
        <f>[11]building!Y3473</f>
        <v>0</v>
      </c>
      <c r="F3142" s="748">
        <f t="shared" si="288"/>
        <v>0</v>
      </c>
      <c r="G3142" s="1205"/>
      <c r="H3142" s="1055"/>
      <c r="I3142" s="1055"/>
      <c r="J3142" s="1055"/>
      <c r="K3142" s="1205"/>
      <c r="L3142" s="1055"/>
      <c r="M3142" s="1205"/>
      <c r="N3142" s="1054"/>
      <c r="O3142" s="1207"/>
      <c r="Q3142" s="1207"/>
    </row>
    <row r="3143" spans="3:17" s="700" customFormat="1" ht="70.5" hidden="1" customHeight="1">
      <c r="C3143" s="701"/>
      <c r="D3143" s="811"/>
      <c r="E3143" s="1276">
        <f>[11]building!Y3474</f>
        <v>0</v>
      </c>
      <c r="F3143" s="748">
        <f t="shared" si="288"/>
        <v>0</v>
      </c>
      <c r="G3143" s="1205"/>
      <c r="H3143" s="1055"/>
      <c r="I3143" s="1055"/>
      <c r="J3143" s="1055"/>
      <c r="K3143" s="1205"/>
      <c r="L3143" s="1055"/>
      <c r="M3143" s="1205"/>
      <c r="N3143" s="1054"/>
      <c r="O3143" s="1207"/>
      <c r="Q3143" s="1207"/>
    </row>
    <row r="3144" spans="3:17" s="700" customFormat="1" ht="70.5" hidden="1" customHeight="1">
      <c r="C3144" s="701"/>
      <c r="D3144" s="811"/>
      <c r="E3144" s="1276">
        <f>[11]building!Y3475</f>
        <v>0</v>
      </c>
      <c r="F3144" s="748">
        <f t="shared" si="288"/>
        <v>0</v>
      </c>
      <c r="G3144" s="1205"/>
      <c r="H3144" s="1055"/>
      <c r="I3144" s="1055"/>
      <c r="J3144" s="1055"/>
      <c r="K3144" s="1205"/>
      <c r="L3144" s="1055"/>
      <c r="M3144" s="1205"/>
      <c r="N3144" s="1054"/>
      <c r="O3144" s="1207"/>
      <c r="Q3144" s="1207"/>
    </row>
    <row r="3145" spans="3:17" s="700" customFormat="1" ht="70.5" hidden="1" customHeight="1">
      <c r="C3145" s="701"/>
      <c r="D3145" s="811"/>
      <c r="E3145" s="1276">
        <f>[11]building!Y3476</f>
        <v>0</v>
      </c>
      <c r="F3145" s="748">
        <f t="shared" si="288"/>
        <v>0</v>
      </c>
      <c r="G3145" s="1205"/>
      <c r="H3145" s="1055"/>
      <c r="I3145" s="1055"/>
      <c r="J3145" s="1055"/>
      <c r="K3145" s="1205"/>
      <c r="L3145" s="1055"/>
      <c r="M3145" s="1205"/>
      <c r="N3145" s="1054"/>
      <c r="O3145" s="1207"/>
      <c r="Q3145" s="1207"/>
    </row>
    <row r="3146" spans="3:17" s="700" customFormat="1" ht="70.5" hidden="1" customHeight="1">
      <c r="C3146" s="701"/>
      <c r="D3146" s="811"/>
      <c r="E3146" s="1276">
        <f>[11]building!Y3477</f>
        <v>0</v>
      </c>
      <c r="F3146" s="748">
        <f t="shared" si="288"/>
        <v>0</v>
      </c>
      <c r="G3146" s="1205"/>
      <c r="H3146" s="1055"/>
      <c r="I3146" s="1055"/>
      <c r="J3146" s="1055"/>
      <c r="K3146" s="1205"/>
      <c r="L3146" s="1055"/>
      <c r="M3146" s="1205"/>
      <c r="N3146" s="1054"/>
      <c r="O3146" s="1207"/>
      <c r="Q3146" s="1207"/>
    </row>
    <row r="3147" spans="3:17" s="700" customFormat="1" ht="70.5" hidden="1" customHeight="1">
      <c r="C3147" s="701"/>
      <c r="D3147" s="811"/>
      <c r="E3147" s="1276">
        <f>[11]building!Y3478</f>
        <v>0</v>
      </c>
      <c r="F3147" s="748">
        <f t="shared" si="288"/>
        <v>0</v>
      </c>
      <c r="G3147" s="1205"/>
      <c r="H3147" s="1055"/>
      <c r="I3147" s="1055"/>
      <c r="J3147" s="1055"/>
      <c r="K3147" s="1205"/>
      <c r="L3147" s="1055"/>
      <c r="M3147" s="1205"/>
      <c r="N3147" s="1054"/>
      <c r="O3147" s="1207"/>
      <c r="Q3147" s="1207"/>
    </row>
    <row r="3148" spans="3:17" s="700" customFormat="1" ht="70.5" hidden="1" customHeight="1">
      <c r="C3148" s="701"/>
      <c r="D3148" s="811"/>
      <c r="E3148" s="1276">
        <f>[11]building!Y3479</f>
        <v>0</v>
      </c>
      <c r="F3148" s="748">
        <f t="shared" si="288"/>
        <v>0</v>
      </c>
      <c r="G3148" s="1205"/>
      <c r="H3148" s="1055"/>
      <c r="I3148" s="1055"/>
      <c r="J3148" s="1055"/>
      <c r="K3148" s="1205"/>
      <c r="L3148" s="1055"/>
      <c r="M3148" s="1205"/>
      <c r="N3148" s="1054"/>
      <c r="O3148" s="1207"/>
      <c r="Q3148" s="1207"/>
    </row>
    <row r="3149" spans="3:17" s="700" customFormat="1" ht="70.5" hidden="1" customHeight="1">
      <c r="C3149" s="701"/>
      <c r="D3149" s="811"/>
      <c r="E3149" s="1276">
        <f>[11]building!Y3480</f>
        <v>0</v>
      </c>
      <c r="F3149" s="748">
        <f t="shared" si="288"/>
        <v>0</v>
      </c>
      <c r="G3149" s="1205"/>
      <c r="H3149" s="1055"/>
      <c r="I3149" s="1055"/>
      <c r="J3149" s="1055"/>
      <c r="K3149" s="1205"/>
      <c r="L3149" s="1055"/>
      <c r="M3149" s="1205"/>
      <c r="N3149" s="1054"/>
      <c r="O3149" s="1207"/>
      <c r="Q3149" s="1207"/>
    </row>
    <row r="3150" spans="3:17" s="700" customFormat="1" ht="70.5" hidden="1" customHeight="1">
      <c r="C3150" s="701"/>
      <c r="D3150" s="811"/>
      <c r="E3150" s="1276">
        <f>[11]building!Y3481</f>
        <v>0</v>
      </c>
      <c r="F3150" s="748">
        <f t="shared" si="288"/>
        <v>0</v>
      </c>
      <c r="G3150" s="1205"/>
      <c r="H3150" s="1055"/>
      <c r="I3150" s="1055"/>
      <c r="J3150" s="1055"/>
      <c r="K3150" s="1205"/>
      <c r="L3150" s="1055"/>
      <c r="M3150" s="1205"/>
      <c r="N3150" s="1054"/>
      <c r="O3150" s="1207"/>
      <c r="Q3150" s="1207"/>
    </row>
    <row r="3151" spans="3:17" s="700" customFormat="1" ht="70.5" hidden="1" customHeight="1">
      <c r="C3151" s="701"/>
      <c r="D3151" s="811"/>
      <c r="E3151" s="1276">
        <f>[11]building!Y3482</f>
        <v>0</v>
      </c>
      <c r="F3151" s="748">
        <f t="shared" si="288"/>
        <v>0</v>
      </c>
      <c r="G3151" s="1205"/>
      <c r="H3151" s="1055"/>
      <c r="I3151" s="1055"/>
      <c r="J3151" s="1055"/>
      <c r="K3151" s="1205"/>
      <c r="L3151" s="1055"/>
      <c r="M3151" s="1205"/>
      <c r="N3151" s="1054"/>
      <c r="O3151" s="1207"/>
      <c r="Q3151" s="1207"/>
    </row>
    <row r="3152" spans="3:17" s="700" customFormat="1" ht="70.5" hidden="1" customHeight="1">
      <c r="C3152" s="701"/>
      <c r="D3152" s="811"/>
      <c r="E3152" s="1276">
        <f>[11]building!Y3483</f>
        <v>0</v>
      </c>
      <c r="F3152" s="748">
        <f t="shared" si="288"/>
        <v>0</v>
      </c>
      <c r="G3152" s="1205"/>
      <c r="H3152" s="1055"/>
      <c r="I3152" s="1055"/>
      <c r="J3152" s="1055"/>
      <c r="K3152" s="1205"/>
      <c r="L3152" s="1055"/>
      <c r="M3152" s="1205"/>
      <c r="N3152" s="1054"/>
      <c r="O3152" s="1207"/>
      <c r="Q3152" s="1207"/>
    </row>
    <row r="3153" spans="3:17" s="700" customFormat="1" ht="70.5" hidden="1" customHeight="1">
      <c r="C3153" s="701"/>
      <c r="D3153" s="811"/>
      <c r="E3153" s="1276">
        <f>[11]building!Y3484</f>
        <v>0</v>
      </c>
      <c r="F3153" s="748">
        <f t="shared" si="288"/>
        <v>0</v>
      </c>
      <c r="G3153" s="1205"/>
      <c r="H3153" s="1055"/>
      <c r="I3153" s="1055"/>
      <c r="J3153" s="1055"/>
      <c r="K3153" s="1205"/>
      <c r="L3153" s="1055"/>
      <c r="M3153" s="1205"/>
      <c r="N3153" s="1054"/>
      <c r="O3153" s="1207"/>
      <c r="Q3153" s="1207"/>
    </row>
    <row r="3154" spans="3:17" s="700" customFormat="1" ht="70.5" hidden="1" customHeight="1">
      <c r="C3154" s="701"/>
      <c r="D3154" s="811"/>
      <c r="E3154" s="1276">
        <f>[11]building!Y3485</f>
        <v>0</v>
      </c>
      <c r="F3154" s="748">
        <f t="shared" si="288"/>
        <v>0</v>
      </c>
      <c r="G3154" s="1205"/>
      <c r="H3154" s="1055"/>
      <c r="I3154" s="1055"/>
      <c r="J3154" s="1055"/>
      <c r="K3154" s="1205"/>
      <c r="L3154" s="1055"/>
      <c r="M3154" s="1205"/>
      <c r="N3154" s="1054"/>
      <c r="O3154" s="1207"/>
      <c r="Q3154" s="1207"/>
    </row>
    <row r="3155" spans="3:17" s="700" customFormat="1" ht="70.5" hidden="1" customHeight="1">
      <c r="C3155" s="701"/>
      <c r="D3155" s="811"/>
      <c r="E3155" s="1276">
        <f>[11]building!Y3486</f>
        <v>0</v>
      </c>
      <c r="F3155" s="748">
        <f t="shared" si="288"/>
        <v>0</v>
      </c>
      <c r="G3155" s="1205"/>
      <c r="H3155" s="1055"/>
      <c r="I3155" s="1055"/>
      <c r="J3155" s="1055"/>
      <c r="K3155" s="1205"/>
      <c r="L3155" s="1055"/>
      <c r="M3155" s="1205"/>
      <c r="N3155" s="1054"/>
      <c r="O3155" s="1207"/>
      <c r="Q3155" s="1207"/>
    </row>
    <row r="3156" spans="3:17" s="700" customFormat="1" ht="70.5" hidden="1" customHeight="1">
      <c r="C3156" s="701"/>
      <c r="D3156" s="811"/>
      <c r="E3156" s="1276">
        <f>[11]building!Y3487</f>
        <v>0</v>
      </c>
      <c r="F3156" s="748">
        <f t="shared" si="288"/>
        <v>0</v>
      </c>
      <c r="G3156" s="1205"/>
      <c r="H3156" s="1055"/>
      <c r="I3156" s="1055"/>
      <c r="J3156" s="1055"/>
      <c r="K3156" s="1205"/>
      <c r="L3156" s="1055"/>
      <c r="M3156" s="1205"/>
      <c r="N3156" s="1054"/>
      <c r="O3156" s="1207"/>
      <c r="Q3156" s="1207"/>
    </row>
    <row r="3157" spans="3:17" s="700" customFormat="1" ht="70.5" hidden="1" customHeight="1">
      <c r="C3157" s="701"/>
      <c r="D3157" s="811"/>
      <c r="E3157" s="1276">
        <f>[11]building!Y3488</f>
        <v>0</v>
      </c>
      <c r="F3157" s="748">
        <f t="shared" si="288"/>
        <v>0</v>
      </c>
      <c r="G3157" s="1205"/>
      <c r="H3157" s="1055"/>
      <c r="I3157" s="1055"/>
      <c r="J3157" s="1055"/>
      <c r="K3157" s="1205"/>
      <c r="L3157" s="1055"/>
      <c r="M3157" s="1205"/>
      <c r="N3157" s="1054"/>
      <c r="O3157" s="1207"/>
      <c r="Q3157" s="1207"/>
    </row>
    <row r="3158" spans="3:17" s="700" customFormat="1" ht="70.5" hidden="1" customHeight="1">
      <c r="C3158" s="701"/>
      <c r="D3158" s="811"/>
      <c r="E3158" s="1276">
        <f>[11]building!Y3489</f>
        <v>0</v>
      </c>
      <c r="F3158" s="748">
        <f t="shared" si="288"/>
        <v>0</v>
      </c>
      <c r="G3158" s="1205"/>
      <c r="H3158" s="1055"/>
      <c r="I3158" s="1055"/>
      <c r="J3158" s="1055"/>
      <c r="K3158" s="1205"/>
      <c r="L3158" s="1055"/>
      <c r="M3158" s="1205"/>
      <c r="N3158" s="1054"/>
      <c r="O3158" s="1207"/>
      <c r="Q3158" s="1207"/>
    </row>
    <row r="3159" spans="3:17" s="700" customFormat="1" ht="70.5" hidden="1" customHeight="1">
      <c r="C3159" s="701"/>
      <c r="D3159" s="811"/>
      <c r="E3159" s="1276">
        <f>[11]building!Y3490</f>
        <v>0</v>
      </c>
      <c r="F3159" s="748">
        <f t="shared" si="288"/>
        <v>0</v>
      </c>
      <c r="G3159" s="1205"/>
      <c r="H3159" s="1055"/>
      <c r="I3159" s="1055"/>
      <c r="J3159" s="1055"/>
      <c r="K3159" s="1205"/>
      <c r="L3159" s="1055"/>
      <c r="M3159" s="1205"/>
      <c r="N3159" s="1054"/>
      <c r="O3159" s="1207"/>
      <c r="Q3159" s="1207"/>
    </row>
    <row r="3160" spans="3:17" s="700" customFormat="1" ht="70.5" hidden="1" customHeight="1">
      <c r="C3160" s="701"/>
      <c r="D3160" s="811"/>
      <c r="E3160" s="1276">
        <f>[11]building!Y3491</f>
        <v>0</v>
      </c>
      <c r="F3160" s="748">
        <f t="shared" si="288"/>
        <v>0</v>
      </c>
      <c r="G3160" s="1205"/>
      <c r="H3160" s="1055"/>
      <c r="I3160" s="1055"/>
      <c r="J3160" s="1055"/>
      <c r="K3160" s="1205"/>
      <c r="L3160" s="1055"/>
      <c r="M3160" s="1205"/>
      <c r="N3160" s="1054"/>
      <c r="O3160" s="1207"/>
      <c r="Q3160" s="1207"/>
    </row>
    <row r="3161" spans="3:17" s="700" customFormat="1" ht="70.5" hidden="1" customHeight="1">
      <c r="C3161" s="701"/>
      <c r="D3161" s="811"/>
      <c r="E3161" s="1276">
        <f>[11]building!Y3492</f>
        <v>0</v>
      </c>
      <c r="F3161" s="748">
        <f t="shared" si="288"/>
        <v>0</v>
      </c>
      <c r="G3161" s="1205"/>
      <c r="H3161" s="1055"/>
      <c r="I3161" s="1055"/>
      <c r="J3161" s="1055"/>
      <c r="K3161" s="1205"/>
      <c r="L3161" s="1055"/>
      <c r="M3161" s="1205"/>
      <c r="N3161" s="1054"/>
      <c r="O3161" s="1207"/>
      <c r="Q3161" s="1207"/>
    </row>
    <row r="3162" spans="3:17" s="700" customFormat="1" ht="70.5" hidden="1" customHeight="1">
      <c r="C3162" s="701"/>
      <c r="D3162" s="811"/>
      <c r="E3162" s="1276">
        <f>[11]building!Y3493</f>
        <v>0</v>
      </c>
      <c r="F3162" s="748">
        <f t="shared" si="288"/>
        <v>0</v>
      </c>
      <c r="G3162" s="1205"/>
      <c r="H3162" s="1055"/>
      <c r="I3162" s="1055"/>
      <c r="J3162" s="1055"/>
      <c r="K3162" s="1205"/>
      <c r="L3162" s="1055"/>
      <c r="M3162" s="1205"/>
      <c r="N3162" s="1054"/>
      <c r="O3162" s="1207"/>
      <c r="Q3162" s="1207"/>
    </row>
    <row r="3163" spans="3:17" s="700" customFormat="1" ht="70.5" hidden="1" customHeight="1">
      <c r="C3163" s="701"/>
      <c r="D3163" s="811"/>
      <c r="E3163" s="1276">
        <f>[11]building!Y3494</f>
        <v>0</v>
      </c>
      <c r="F3163" s="748">
        <f t="shared" si="288"/>
        <v>0</v>
      </c>
      <c r="G3163" s="1205"/>
      <c r="H3163" s="1055"/>
      <c r="I3163" s="1055"/>
      <c r="J3163" s="1055"/>
      <c r="K3163" s="1205"/>
      <c r="L3163" s="1055"/>
      <c r="M3163" s="1205"/>
      <c r="N3163" s="1054"/>
      <c r="O3163" s="1207"/>
      <c r="Q3163" s="1207"/>
    </row>
    <row r="3164" spans="3:17" s="700" customFormat="1" ht="70.5" hidden="1" customHeight="1">
      <c r="C3164" s="701"/>
      <c r="D3164" s="811"/>
      <c r="E3164" s="1276">
        <f>[11]building!Y3495</f>
        <v>0</v>
      </c>
      <c r="F3164" s="748">
        <f t="shared" si="288"/>
        <v>0</v>
      </c>
      <c r="G3164" s="1205"/>
      <c r="H3164" s="1055"/>
      <c r="I3164" s="1055"/>
      <c r="J3164" s="1055"/>
      <c r="K3164" s="1205"/>
      <c r="L3164" s="1055"/>
      <c r="M3164" s="1205"/>
      <c r="N3164" s="1054"/>
      <c r="O3164" s="1207"/>
      <c r="Q3164" s="1207"/>
    </row>
    <row r="3165" spans="3:17" s="700" customFormat="1" ht="70.5" hidden="1" customHeight="1">
      <c r="C3165" s="701"/>
      <c r="D3165" s="811"/>
      <c r="E3165" s="1276">
        <f>[11]building!Y3496</f>
        <v>0</v>
      </c>
      <c r="F3165" s="748">
        <f t="shared" si="288"/>
        <v>0</v>
      </c>
      <c r="G3165" s="1205"/>
      <c r="H3165" s="1055"/>
      <c r="I3165" s="1055"/>
      <c r="J3165" s="1055"/>
      <c r="K3165" s="1205"/>
      <c r="L3165" s="1055"/>
      <c r="M3165" s="1205"/>
      <c r="N3165" s="1054"/>
      <c r="O3165" s="1207"/>
      <c r="Q3165" s="1207"/>
    </row>
    <row r="3166" spans="3:17" s="700" customFormat="1" ht="70.5" hidden="1" customHeight="1">
      <c r="C3166" s="701"/>
      <c r="D3166" s="811"/>
      <c r="E3166" s="1276">
        <f>[11]building!Y3497</f>
        <v>0</v>
      </c>
      <c r="F3166" s="748">
        <f t="shared" si="288"/>
        <v>0</v>
      </c>
      <c r="G3166" s="1205"/>
      <c r="H3166" s="1055"/>
      <c r="I3166" s="1055"/>
      <c r="J3166" s="1055"/>
      <c r="K3166" s="1205"/>
      <c r="L3166" s="1055"/>
      <c r="M3166" s="1205"/>
      <c r="N3166" s="1054"/>
      <c r="O3166" s="1207"/>
      <c r="Q3166" s="1207"/>
    </row>
    <row r="3167" spans="3:17" s="700" customFormat="1" ht="70.5" hidden="1" customHeight="1">
      <c r="C3167" s="701"/>
      <c r="D3167" s="811"/>
      <c r="E3167" s="1276">
        <f>[11]building!Y3498</f>
        <v>0</v>
      </c>
      <c r="F3167" s="748">
        <f t="shared" si="288"/>
        <v>0</v>
      </c>
      <c r="G3167" s="1205"/>
      <c r="H3167" s="1055"/>
      <c r="I3167" s="1055"/>
      <c r="J3167" s="1055"/>
      <c r="K3167" s="1205"/>
      <c r="L3167" s="1055"/>
      <c r="M3167" s="1205"/>
      <c r="N3167" s="1054"/>
      <c r="O3167" s="1207"/>
      <c r="Q3167" s="1207"/>
    </row>
    <row r="3168" spans="3:17" s="700" customFormat="1" ht="70.5" hidden="1" customHeight="1">
      <c r="C3168" s="701"/>
      <c r="D3168" s="811"/>
      <c r="E3168" s="1276">
        <f>[11]building!Y3499</f>
        <v>0</v>
      </c>
      <c r="F3168" s="748">
        <f t="shared" si="288"/>
        <v>0</v>
      </c>
      <c r="G3168" s="1205"/>
      <c r="H3168" s="1055"/>
      <c r="I3168" s="1055"/>
      <c r="J3168" s="1055"/>
      <c r="K3168" s="1205"/>
      <c r="L3168" s="1055"/>
      <c r="M3168" s="1205"/>
      <c r="N3168" s="1054"/>
      <c r="O3168" s="1207"/>
      <c r="Q3168" s="1207"/>
    </row>
    <row r="3169" spans="3:17" s="700" customFormat="1" ht="70.5" hidden="1" customHeight="1">
      <c r="C3169" s="701"/>
      <c r="D3169" s="811"/>
      <c r="E3169" s="1276">
        <f>[11]building!Y3500</f>
        <v>0</v>
      </c>
      <c r="F3169" s="748">
        <f t="shared" si="288"/>
        <v>0</v>
      </c>
      <c r="G3169" s="1205"/>
      <c r="H3169" s="1055"/>
      <c r="I3169" s="1055"/>
      <c r="J3169" s="1055"/>
      <c r="K3169" s="1205"/>
      <c r="L3169" s="1055"/>
      <c r="M3169" s="1205"/>
      <c r="N3169" s="1054"/>
      <c r="O3169" s="1207"/>
      <c r="Q3169" s="1207"/>
    </row>
    <row r="3170" spans="3:17" s="700" customFormat="1" ht="70.5" hidden="1" customHeight="1">
      <c r="C3170" s="701"/>
      <c r="D3170" s="811"/>
      <c r="E3170" s="1276">
        <f>[11]building!Y3501</f>
        <v>0</v>
      </c>
      <c r="F3170" s="748">
        <f t="shared" si="288"/>
        <v>0</v>
      </c>
      <c r="G3170" s="1205"/>
      <c r="H3170" s="1055"/>
      <c r="I3170" s="1055"/>
      <c r="J3170" s="1055"/>
      <c r="K3170" s="1205"/>
      <c r="L3170" s="1055"/>
      <c r="M3170" s="1205"/>
      <c r="N3170" s="1054"/>
      <c r="O3170" s="1207"/>
      <c r="Q3170" s="1207"/>
    </row>
    <row r="3171" spans="3:17" s="700" customFormat="1" ht="70.5" hidden="1" customHeight="1">
      <c r="C3171" s="701"/>
      <c r="D3171" s="811"/>
      <c r="E3171" s="1276">
        <f>[11]building!Y3502</f>
        <v>0</v>
      </c>
      <c r="F3171" s="748">
        <f t="shared" si="288"/>
        <v>0</v>
      </c>
      <c r="G3171" s="1205"/>
      <c r="H3171" s="1055"/>
      <c r="I3171" s="1055"/>
      <c r="J3171" s="1055"/>
      <c r="K3171" s="1205"/>
      <c r="L3171" s="1055"/>
      <c r="M3171" s="1205"/>
      <c r="N3171" s="1054"/>
      <c r="O3171" s="1207"/>
      <c r="Q3171" s="1207"/>
    </row>
    <row r="3172" spans="3:17" s="700" customFormat="1" ht="70.5" hidden="1" customHeight="1">
      <c r="C3172" s="701"/>
      <c r="D3172" s="811"/>
      <c r="E3172" s="1276">
        <f>[11]building!Y3503</f>
        <v>0</v>
      </c>
      <c r="F3172" s="748">
        <f t="shared" si="288"/>
        <v>0</v>
      </c>
      <c r="G3172" s="1205"/>
      <c r="H3172" s="1055"/>
      <c r="I3172" s="1055"/>
      <c r="J3172" s="1055"/>
      <c r="K3172" s="1205"/>
      <c r="L3172" s="1055"/>
      <c r="M3172" s="1205"/>
      <c r="N3172" s="1054"/>
      <c r="O3172" s="1207"/>
      <c r="Q3172" s="1207"/>
    </row>
    <row r="3173" spans="3:17" s="700" customFormat="1" ht="70.5" hidden="1" customHeight="1">
      <c r="C3173" s="701"/>
      <c r="D3173" s="811"/>
      <c r="E3173" s="1276">
        <f>[11]building!Y3504</f>
        <v>0</v>
      </c>
      <c r="F3173" s="748">
        <f t="shared" si="288"/>
        <v>0</v>
      </c>
      <c r="G3173" s="1205"/>
      <c r="H3173" s="1055"/>
      <c r="I3173" s="1055"/>
      <c r="J3173" s="1055"/>
      <c r="K3173" s="1205"/>
      <c r="L3173" s="1055"/>
      <c r="M3173" s="1205"/>
      <c r="N3173" s="1054"/>
      <c r="O3173" s="1207"/>
      <c r="Q3173" s="1207"/>
    </row>
    <row r="3174" spans="3:17" s="700" customFormat="1" ht="70.5" hidden="1" customHeight="1">
      <c r="C3174" s="701"/>
      <c r="D3174" s="811"/>
      <c r="E3174" s="1276">
        <f>[11]building!Y3505</f>
        <v>0</v>
      </c>
      <c r="F3174" s="748">
        <f t="shared" si="288"/>
        <v>0</v>
      </c>
      <c r="G3174" s="1205"/>
      <c r="H3174" s="1055"/>
      <c r="I3174" s="1055"/>
      <c r="J3174" s="1055"/>
      <c r="K3174" s="1205"/>
      <c r="L3174" s="1055"/>
      <c r="M3174" s="1205"/>
      <c r="N3174" s="1054"/>
      <c r="O3174" s="1207"/>
      <c r="Q3174" s="1207"/>
    </row>
    <row r="3175" spans="3:17" s="700" customFormat="1" ht="70.5" hidden="1" customHeight="1">
      <c r="C3175" s="701"/>
      <c r="D3175" s="811"/>
      <c r="E3175" s="1276">
        <f>[11]building!Y3506</f>
        <v>0</v>
      </c>
      <c r="F3175" s="748">
        <f t="shared" si="288"/>
        <v>0</v>
      </c>
      <c r="G3175" s="1205"/>
      <c r="H3175" s="1055"/>
      <c r="I3175" s="1055"/>
      <c r="J3175" s="1055"/>
      <c r="K3175" s="1205"/>
      <c r="L3175" s="1055"/>
      <c r="M3175" s="1205"/>
      <c r="N3175" s="1054"/>
      <c r="O3175" s="1207"/>
      <c r="Q3175" s="1207"/>
    </row>
    <row r="3176" spans="3:17" s="700" customFormat="1" ht="70.5" hidden="1" customHeight="1">
      <c r="C3176" s="701"/>
      <c r="D3176" s="811"/>
      <c r="E3176" s="1276">
        <f>[11]building!Y3507</f>
        <v>0</v>
      </c>
      <c r="F3176" s="748">
        <f t="shared" si="288"/>
        <v>0</v>
      </c>
      <c r="G3176" s="1205"/>
      <c r="H3176" s="1055"/>
      <c r="I3176" s="1055"/>
      <c r="J3176" s="1055"/>
      <c r="K3176" s="1205"/>
      <c r="L3176" s="1055"/>
      <c r="M3176" s="1205"/>
      <c r="N3176" s="1054"/>
      <c r="O3176" s="1207"/>
      <c r="Q3176" s="1207"/>
    </row>
    <row r="3177" spans="3:17" s="700" customFormat="1" ht="70.5" hidden="1" customHeight="1">
      <c r="C3177" s="701"/>
      <c r="D3177" s="811"/>
      <c r="E3177" s="1276">
        <f>[11]building!Y3508</f>
        <v>0</v>
      </c>
      <c r="F3177" s="748">
        <f t="shared" si="288"/>
        <v>0</v>
      </c>
      <c r="G3177" s="1205"/>
      <c r="H3177" s="1055"/>
      <c r="I3177" s="1055"/>
      <c r="J3177" s="1055"/>
      <c r="K3177" s="1205"/>
      <c r="L3177" s="1055"/>
      <c r="M3177" s="1205"/>
      <c r="N3177" s="1054"/>
      <c r="O3177" s="1207"/>
      <c r="Q3177" s="1207"/>
    </row>
    <row r="3178" spans="3:17" s="700" customFormat="1" ht="70.5" hidden="1" customHeight="1">
      <c r="C3178" s="701"/>
      <c r="D3178" s="811"/>
      <c r="E3178" s="1276">
        <f>[11]building!Y3509</f>
        <v>0</v>
      </c>
      <c r="F3178" s="748">
        <f t="shared" si="288"/>
        <v>0</v>
      </c>
      <c r="G3178" s="1205"/>
      <c r="H3178" s="1055"/>
      <c r="I3178" s="1055"/>
      <c r="J3178" s="1055"/>
      <c r="K3178" s="1205"/>
      <c r="L3178" s="1055"/>
      <c r="M3178" s="1205"/>
      <c r="N3178" s="1054"/>
      <c r="O3178" s="1207"/>
      <c r="Q3178" s="1207"/>
    </row>
    <row r="3179" spans="3:17" s="700" customFormat="1" ht="70.5" hidden="1" customHeight="1">
      <c r="C3179" s="701"/>
      <c r="D3179" s="811"/>
      <c r="E3179" s="1276">
        <f>[11]building!Y3510</f>
        <v>0</v>
      </c>
      <c r="F3179" s="748">
        <f t="shared" si="288"/>
        <v>0</v>
      </c>
      <c r="G3179" s="1205"/>
      <c r="H3179" s="1055"/>
      <c r="I3179" s="1055"/>
      <c r="J3179" s="1055"/>
      <c r="K3179" s="1205"/>
      <c r="L3179" s="1055"/>
      <c r="M3179" s="1205"/>
      <c r="N3179" s="1054"/>
      <c r="O3179" s="1207"/>
      <c r="Q3179" s="1207"/>
    </row>
    <row r="3180" spans="3:17" s="700" customFormat="1" ht="70.5" hidden="1" customHeight="1">
      <c r="C3180" s="701"/>
      <c r="D3180" s="811"/>
      <c r="E3180" s="1276">
        <f>[11]building!Y3511</f>
        <v>0</v>
      </c>
      <c r="F3180" s="748">
        <f t="shared" si="288"/>
        <v>0</v>
      </c>
      <c r="G3180" s="1205"/>
      <c r="H3180" s="1055"/>
      <c r="I3180" s="1055"/>
      <c r="J3180" s="1055"/>
      <c r="K3180" s="1205"/>
      <c r="L3180" s="1055"/>
      <c r="M3180" s="1205"/>
      <c r="N3180" s="1054"/>
      <c r="O3180" s="1207"/>
      <c r="Q3180" s="1207"/>
    </row>
    <row r="3181" spans="3:17" s="700" customFormat="1" ht="70.5" hidden="1" customHeight="1">
      <c r="C3181" s="701"/>
      <c r="D3181" s="811"/>
      <c r="E3181" s="1276">
        <f>[11]building!Y3512</f>
        <v>0</v>
      </c>
      <c r="F3181" s="748">
        <f t="shared" si="288"/>
        <v>0</v>
      </c>
      <c r="G3181" s="1205"/>
      <c r="H3181" s="1055"/>
      <c r="I3181" s="1055"/>
      <c r="J3181" s="1055"/>
      <c r="K3181" s="1205"/>
      <c r="L3181" s="1055"/>
      <c r="M3181" s="1205"/>
      <c r="N3181" s="1054"/>
      <c r="O3181" s="1207"/>
      <c r="Q3181" s="1207"/>
    </row>
    <row r="3182" spans="3:17" s="700" customFormat="1" ht="70.5" hidden="1" customHeight="1">
      <c r="C3182" s="701"/>
      <c r="D3182" s="811"/>
      <c r="E3182" s="1276">
        <f>[11]building!Y3513</f>
        <v>0</v>
      </c>
      <c r="F3182" s="748">
        <f t="shared" si="288"/>
        <v>0</v>
      </c>
      <c r="G3182" s="1205"/>
      <c r="H3182" s="1055"/>
      <c r="I3182" s="1055"/>
      <c r="J3182" s="1055"/>
      <c r="K3182" s="1205"/>
      <c r="L3182" s="1055"/>
      <c r="M3182" s="1205"/>
      <c r="N3182" s="1054"/>
      <c r="O3182" s="1207"/>
      <c r="Q3182" s="1207"/>
    </row>
    <row r="3183" spans="3:17" s="700" customFormat="1" ht="70.5" hidden="1" customHeight="1">
      <c r="C3183" s="701"/>
      <c r="D3183" s="811"/>
      <c r="E3183" s="1276">
        <f>[11]building!Y3514</f>
        <v>0</v>
      </c>
      <c r="F3183" s="748">
        <f t="shared" si="288"/>
        <v>0</v>
      </c>
      <c r="G3183" s="1205"/>
      <c r="H3183" s="1055"/>
      <c r="I3183" s="1055"/>
      <c r="J3183" s="1055"/>
      <c r="K3183" s="1205"/>
      <c r="L3183" s="1055"/>
      <c r="M3183" s="1205"/>
      <c r="N3183" s="1054"/>
      <c r="O3183" s="1207"/>
      <c r="Q3183" s="1207"/>
    </row>
    <row r="3184" spans="3:17" s="700" customFormat="1" ht="70.5" hidden="1" customHeight="1">
      <c r="C3184" s="701"/>
      <c r="D3184" s="811"/>
      <c r="E3184" s="1276">
        <f>[11]building!Y3515</f>
        <v>0</v>
      </c>
      <c r="F3184" s="748">
        <f t="shared" si="288"/>
        <v>0</v>
      </c>
      <c r="G3184" s="1205"/>
      <c r="H3184" s="1055"/>
      <c r="I3184" s="1055"/>
      <c r="J3184" s="1055"/>
      <c r="K3184" s="1205"/>
      <c r="L3184" s="1055"/>
      <c r="M3184" s="1205"/>
      <c r="N3184" s="1054"/>
      <c r="O3184" s="1207"/>
      <c r="Q3184" s="1207"/>
    </row>
    <row r="3185" spans="3:17" s="700" customFormat="1" ht="70.5" hidden="1" customHeight="1">
      <c r="C3185" s="701"/>
      <c r="D3185" s="811"/>
      <c r="E3185" s="1276">
        <f>[11]building!Y3516</f>
        <v>0</v>
      </c>
      <c r="F3185" s="748">
        <f t="shared" si="288"/>
        <v>0</v>
      </c>
      <c r="G3185" s="1205"/>
      <c r="H3185" s="1055"/>
      <c r="I3185" s="1055"/>
      <c r="J3185" s="1055"/>
      <c r="K3185" s="1205"/>
      <c r="L3185" s="1055"/>
      <c r="M3185" s="1205"/>
      <c r="N3185" s="1054"/>
      <c r="O3185" s="1207"/>
      <c r="Q3185" s="1207"/>
    </row>
    <row r="3186" spans="3:17" s="700" customFormat="1" ht="70.5" hidden="1" customHeight="1">
      <c r="C3186" s="701"/>
      <c r="D3186" s="811"/>
      <c r="E3186" s="1276">
        <f>[11]building!Y3517</f>
        <v>0</v>
      </c>
      <c r="F3186" s="748">
        <f t="shared" si="288"/>
        <v>0</v>
      </c>
      <c r="G3186" s="1205"/>
      <c r="H3186" s="1055"/>
      <c r="I3186" s="1055"/>
      <c r="J3186" s="1055"/>
      <c r="K3186" s="1205"/>
      <c r="L3186" s="1055"/>
      <c r="M3186" s="1205"/>
      <c r="N3186" s="1054"/>
      <c r="O3186" s="1207"/>
      <c r="Q3186" s="1207"/>
    </row>
    <row r="3187" spans="3:17" s="700" customFormat="1" ht="70.5" hidden="1" customHeight="1">
      <c r="C3187" s="701"/>
      <c r="D3187" s="811"/>
      <c r="E3187" s="1276">
        <f>[11]building!Y3518</f>
        <v>0</v>
      </c>
      <c r="F3187" s="748">
        <f t="shared" si="288"/>
        <v>0</v>
      </c>
      <c r="G3187" s="1205"/>
      <c r="H3187" s="1055"/>
      <c r="I3187" s="1055"/>
      <c r="J3187" s="1055"/>
      <c r="K3187" s="1205"/>
      <c r="L3187" s="1055"/>
      <c r="M3187" s="1205"/>
      <c r="N3187" s="1054"/>
      <c r="O3187" s="1207"/>
      <c r="Q3187" s="1207"/>
    </row>
    <row r="3188" spans="3:17" s="700" customFormat="1" ht="70.5" hidden="1" customHeight="1">
      <c r="C3188" s="701"/>
      <c r="D3188" s="811"/>
      <c r="E3188" s="1276">
        <f>[11]building!Y3519</f>
        <v>0</v>
      </c>
      <c r="F3188" s="748">
        <f t="shared" si="288"/>
        <v>0</v>
      </c>
      <c r="G3188" s="1205"/>
      <c r="H3188" s="1055"/>
      <c r="I3188" s="1055"/>
      <c r="J3188" s="1055"/>
      <c r="K3188" s="1205"/>
      <c r="L3188" s="1055"/>
      <c r="M3188" s="1205"/>
      <c r="N3188" s="1054"/>
      <c r="O3188" s="1207"/>
      <c r="Q3188" s="1207"/>
    </row>
    <row r="3189" spans="3:17" s="700" customFormat="1" ht="70.5" hidden="1" customHeight="1">
      <c r="C3189" s="701"/>
      <c r="D3189" s="811"/>
      <c r="E3189" s="1276">
        <f>[11]building!Y3520</f>
        <v>0</v>
      </c>
      <c r="F3189" s="748">
        <f t="shared" si="288"/>
        <v>0</v>
      </c>
      <c r="G3189" s="1205"/>
      <c r="H3189" s="1055"/>
      <c r="I3189" s="1055"/>
      <c r="J3189" s="1055"/>
      <c r="K3189" s="1205"/>
      <c r="L3189" s="1055"/>
      <c r="M3189" s="1205"/>
      <c r="N3189" s="1054"/>
      <c r="O3189" s="1207"/>
      <c r="Q3189" s="1207"/>
    </row>
    <row r="3190" spans="3:17" s="700" customFormat="1" ht="70.5" hidden="1" customHeight="1">
      <c r="C3190" s="701"/>
      <c r="D3190" s="811"/>
      <c r="E3190" s="1276">
        <f>[11]building!Y3521</f>
        <v>0</v>
      </c>
      <c r="F3190" s="748">
        <f t="shared" si="288"/>
        <v>0</v>
      </c>
      <c r="G3190" s="1205"/>
      <c r="H3190" s="1055"/>
      <c r="I3190" s="1055"/>
      <c r="J3190" s="1055"/>
      <c r="K3190" s="1205"/>
      <c r="L3190" s="1055"/>
      <c r="M3190" s="1205"/>
      <c r="N3190" s="1054"/>
      <c r="O3190" s="1207"/>
      <c r="Q3190" s="1207"/>
    </row>
    <row r="3191" spans="3:17" s="700" customFormat="1" ht="70.5" hidden="1" customHeight="1">
      <c r="C3191" s="701"/>
      <c r="D3191" s="811"/>
      <c r="E3191" s="1276">
        <f>[11]building!Y3522</f>
        <v>0</v>
      </c>
      <c r="F3191" s="748">
        <f t="shared" si="288"/>
        <v>0</v>
      </c>
      <c r="G3191" s="1205"/>
      <c r="H3191" s="1055"/>
      <c r="I3191" s="1055"/>
      <c r="J3191" s="1055"/>
      <c r="K3191" s="1205"/>
      <c r="L3191" s="1055"/>
      <c r="M3191" s="1205"/>
      <c r="N3191" s="1054"/>
      <c r="O3191" s="1207"/>
      <c r="Q3191" s="1207"/>
    </row>
    <row r="3192" spans="3:17" s="700" customFormat="1" ht="70.5" hidden="1" customHeight="1">
      <c r="C3192" s="701"/>
      <c r="D3192" s="811"/>
      <c r="E3192" s="1276">
        <f>[11]building!Y3523</f>
        <v>0</v>
      </c>
      <c r="F3192" s="748">
        <f t="shared" si="288"/>
        <v>0</v>
      </c>
      <c r="G3192" s="1205"/>
      <c r="H3192" s="1055"/>
      <c r="I3192" s="1055"/>
      <c r="J3192" s="1055"/>
      <c r="K3192" s="1205"/>
      <c r="L3192" s="1055"/>
      <c r="M3192" s="1205"/>
      <c r="N3192" s="1054"/>
      <c r="O3192" s="1207"/>
      <c r="Q3192" s="1207"/>
    </row>
    <row r="3193" spans="3:17" s="700" customFormat="1" ht="70.5" hidden="1" customHeight="1">
      <c r="C3193" s="701"/>
      <c r="D3193" s="811"/>
      <c r="E3193" s="1276">
        <f>[11]building!Y3524</f>
        <v>0</v>
      </c>
      <c r="F3193" s="748">
        <f t="shared" si="288"/>
        <v>0</v>
      </c>
      <c r="G3193" s="1205"/>
      <c r="H3193" s="1055"/>
      <c r="I3193" s="1055"/>
      <c r="J3193" s="1055"/>
      <c r="K3193" s="1205"/>
      <c r="L3193" s="1055"/>
      <c r="M3193" s="1205"/>
      <c r="N3193" s="1054"/>
      <c r="O3193" s="1207"/>
      <c r="Q3193" s="1207"/>
    </row>
    <row r="3194" spans="3:17" s="700" customFormat="1" ht="70.5" hidden="1" customHeight="1">
      <c r="C3194" s="701"/>
      <c r="D3194" s="811"/>
      <c r="E3194" s="1276">
        <f>[11]building!Y3525</f>
        <v>0</v>
      </c>
      <c r="F3194" s="748">
        <f t="shared" si="288"/>
        <v>0</v>
      </c>
      <c r="G3194" s="1205"/>
      <c r="H3194" s="1055"/>
      <c r="I3194" s="1055"/>
      <c r="J3194" s="1055"/>
      <c r="K3194" s="1205"/>
      <c r="L3194" s="1055"/>
      <c r="M3194" s="1205"/>
      <c r="N3194" s="1054"/>
      <c r="O3194" s="1207"/>
      <c r="Q3194" s="1207"/>
    </row>
    <row r="3195" spans="3:17" s="700" customFormat="1" ht="70.5" hidden="1" customHeight="1">
      <c r="C3195" s="701"/>
      <c r="D3195" s="811"/>
      <c r="E3195" s="1276">
        <f>[11]building!Y3526</f>
        <v>0</v>
      </c>
      <c r="F3195" s="748">
        <f t="shared" si="288"/>
        <v>0</v>
      </c>
      <c r="G3195" s="1205"/>
      <c r="H3195" s="1055"/>
      <c r="I3195" s="1055"/>
      <c r="J3195" s="1055"/>
      <c r="K3195" s="1205"/>
      <c r="L3195" s="1055"/>
      <c r="M3195" s="1205"/>
      <c r="N3195" s="1054"/>
      <c r="O3195" s="1207"/>
      <c r="Q3195" s="1207"/>
    </row>
    <row r="3196" spans="3:17" s="700" customFormat="1" ht="70.5" hidden="1" customHeight="1">
      <c r="C3196" s="701"/>
      <c r="D3196" s="811"/>
      <c r="E3196" s="1276">
        <f>[11]building!Y3527</f>
        <v>0</v>
      </c>
      <c r="F3196" s="748">
        <f t="shared" si="288"/>
        <v>0</v>
      </c>
      <c r="G3196" s="1205"/>
      <c r="H3196" s="1055"/>
      <c r="I3196" s="1055"/>
      <c r="J3196" s="1055"/>
      <c r="K3196" s="1205"/>
      <c r="L3196" s="1055"/>
      <c r="M3196" s="1205"/>
      <c r="N3196" s="1054"/>
      <c r="O3196" s="1207"/>
      <c r="Q3196" s="1207"/>
    </row>
    <row r="3197" spans="3:17" s="700" customFormat="1" ht="70.5" hidden="1" customHeight="1">
      <c r="C3197" s="701"/>
      <c r="D3197" s="811"/>
      <c r="E3197" s="1276">
        <f>[11]building!Y3528</f>
        <v>0</v>
      </c>
      <c r="F3197" s="748">
        <f t="shared" si="288"/>
        <v>0</v>
      </c>
      <c r="G3197" s="1205"/>
      <c r="H3197" s="1055"/>
      <c r="I3197" s="1055"/>
      <c r="J3197" s="1055"/>
      <c r="K3197" s="1205"/>
      <c r="L3197" s="1055"/>
      <c r="M3197" s="1205"/>
      <c r="N3197" s="1054"/>
      <c r="O3197" s="1207"/>
      <c r="Q3197" s="1207"/>
    </row>
    <row r="3198" spans="3:17" s="700" customFormat="1" ht="70.5" hidden="1" customHeight="1">
      <c r="C3198" s="701"/>
      <c r="D3198" s="811"/>
      <c r="E3198" s="1276">
        <f>[11]building!Y3529</f>
        <v>0</v>
      </c>
      <c r="F3198" s="748">
        <f t="shared" si="288"/>
        <v>0</v>
      </c>
      <c r="G3198" s="1205"/>
      <c r="H3198" s="1055"/>
      <c r="I3198" s="1055"/>
      <c r="J3198" s="1055"/>
      <c r="K3198" s="1205"/>
      <c r="L3198" s="1055"/>
      <c r="M3198" s="1205"/>
      <c r="N3198" s="1054"/>
      <c r="O3198" s="1207"/>
      <c r="Q3198" s="1207"/>
    </row>
    <row r="3199" spans="3:17" s="700" customFormat="1" ht="70.5" hidden="1" customHeight="1">
      <c r="C3199" s="701"/>
      <c r="D3199" s="811"/>
      <c r="E3199" s="1276">
        <f>[11]building!Y3530</f>
        <v>0</v>
      </c>
      <c r="F3199" s="748">
        <f t="shared" si="288"/>
        <v>0</v>
      </c>
      <c r="G3199" s="1205"/>
      <c r="H3199" s="1055"/>
      <c r="I3199" s="1055"/>
      <c r="J3199" s="1055"/>
      <c r="K3199" s="1205"/>
      <c r="L3199" s="1055"/>
      <c r="M3199" s="1205"/>
      <c r="N3199" s="1054"/>
      <c r="O3199" s="1207"/>
      <c r="Q3199" s="1207"/>
    </row>
    <row r="3200" spans="3:17" s="700" customFormat="1" ht="70.5" hidden="1" customHeight="1">
      <c r="C3200" s="701"/>
      <c r="D3200" s="811"/>
      <c r="E3200" s="1276">
        <f>[11]building!Y3531</f>
        <v>0</v>
      </c>
      <c r="F3200" s="748">
        <f t="shared" ref="F3200:F3263" si="289">E3200*C3200</f>
        <v>0</v>
      </c>
      <c r="G3200" s="1205"/>
      <c r="H3200" s="1055"/>
      <c r="I3200" s="1055"/>
      <c r="J3200" s="1055"/>
      <c r="K3200" s="1205"/>
      <c r="L3200" s="1055"/>
      <c r="M3200" s="1205"/>
      <c r="N3200" s="1054"/>
      <c r="O3200" s="1207"/>
      <c r="Q3200" s="1207"/>
    </row>
    <row r="3201" spans="3:17" s="700" customFormat="1" ht="70.5" hidden="1" customHeight="1">
      <c r="C3201" s="701"/>
      <c r="D3201" s="811"/>
      <c r="E3201" s="1276">
        <f>[11]building!Y3532</f>
        <v>0</v>
      </c>
      <c r="F3201" s="748">
        <f t="shared" si="289"/>
        <v>0</v>
      </c>
      <c r="G3201" s="1205"/>
      <c r="H3201" s="1055"/>
      <c r="I3201" s="1055"/>
      <c r="J3201" s="1055"/>
      <c r="K3201" s="1205"/>
      <c r="L3201" s="1055"/>
      <c r="M3201" s="1205"/>
      <c r="N3201" s="1054"/>
      <c r="O3201" s="1207"/>
      <c r="Q3201" s="1207"/>
    </row>
    <row r="3202" spans="3:17" s="700" customFormat="1" ht="70.5" hidden="1" customHeight="1">
      <c r="C3202" s="701"/>
      <c r="D3202" s="811"/>
      <c r="E3202" s="1276">
        <f>[11]building!Y3533</f>
        <v>0</v>
      </c>
      <c r="F3202" s="748">
        <f t="shared" si="289"/>
        <v>0</v>
      </c>
      <c r="G3202" s="1205"/>
      <c r="H3202" s="1055"/>
      <c r="I3202" s="1055"/>
      <c r="J3202" s="1055"/>
      <c r="K3202" s="1205"/>
      <c r="L3202" s="1055"/>
      <c r="M3202" s="1205"/>
      <c r="N3202" s="1054"/>
      <c r="O3202" s="1207"/>
      <c r="Q3202" s="1207"/>
    </row>
    <row r="3203" spans="3:17" s="700" customFormat="1" ht="70.5" hidden="1" customHeight="1">
      <c r="C3203" s="701"/>
      <c r="D3203" s="811"/>
      <c r="E3203" s="1276">
        <f>[11]building!Y3534</f>
        <v>0</v>
      </c>
      <c r="F3203" s="748">
        <f t="shared" si="289"/>
        <v>0</v>
      </c>
      <c r="G3203" s="1205"/>
      <c r="H3203" s="1055"/>
      <c r="I3203" s="1055"/>
      <c r="J3203" s="1055"/>
      <c r="K3203" s="1205"/>
      <c r="L3203" s="1055"/>
      <c r="M3203" s="1205"/>
      <c r="N3203" s="1054"/>
      <c r="O3203" s="1207"/>
      <c r="Q3203" s="1207"/>
    </row>
    <row r="3204" spans="3:17" s="700" customFormat="1" ht="70.5" hidden="1" customHeight="1">
      <c r="C3204" s="701"/>
      <c r="D3204" s="811"/>
      <c r="E3204" s="1276">
        <f>[11]building!Y3535</f>
        <v>0</v>
      </c>
      <c r="F3204" s="748">
        <f t="shared" si="289"/>
        <v>0</v>
      </c>
      <c r="G3204" s="1205"/>
      <c r="H3204" s="1055"/>
      <c r="I3204" s="1055"/>
      <c r="J3204" s="1055"/>
      <c r="K3204" s="1205"/>
      <c r="L3204" s="1055"/>
      <c r="M3204" s="1205"/>
      <c r="N3204" s="1054"/>
      <c r="O3204" s="1207"/>
      <c r="Q3204" s="1207"/>
    </row>
    <row r="3205" spans="3:17" s="700" customFormat="1" ht="70.5" hidden="1" customHeight="1">
      <c r="C3205" s="701"/>
      <c r="D3205" s="811"/>
      <c r="E3205" s="1276">
        <f>[11]building!Y3536</f>
        <v>0</v>
      </c>
      <c r="F3205" s="748">
        <f t="shared" si="289"/>
        <v>0</v>
      </c>
      <c r="G3205" s="1205"/>
      <c r="H3205" s="1055"/>
      <c r="I3205" s="1055"/>
      <c r="J3205" s="1055"/>
      <c r="K3205" s="1205"/>
      <c r="L3205" s="1055"/>
      <c r="M3205" s="1205"/>
      <c r="N3205" s="1054"/>
      <c r="O3205" s="1207"/>
      <c r="Q3205" s="1207"/>
    </row>
    <row r="3206" spans="3:17" s="700" customFormat="1" ht="70.5" hidden="1" customHeight="1">
      <c r="C3206" s="701"/>
      <c r="D3206" s="811"/>
      <c r="E3206" s="1276">
        <f>[11]building!Y3537</f>
        <v>0</v>
      </c>
      <c r="F3206" s="748">
        <f t="shared" si="289"/>
        <v>0</v>
      </c>
      <c r="G3206" s="1205"/>
      <c r="H3206" s="1055"/>
      <c r="I3206" s="1055"/>
      <c r="J3206" s="1055"/>
      <c r="K3206" s="1205"/>
      <c r="L3206" s="1055"/>
      <c r="M3206" s="1205"/>
      <c r="N3206" s="1054"/>
      <c r="O3206" s="1207"/>
      <c r="Q3206" s="1207"/>
    </row>
    <row r="3207" spans="3:17" s="700" customFormat="1" ht="70.5" hidden="1" customHeight="1">
      <c r="C3207" s="701"/>
      <c r="D3207" s="811"/>
      <c r="E3207" s="1276">
        <f>[11]building!Y3538</f>
        <v>0</v>
      </c>
      <c r="F3207" s="748">
        <f t="shared" si="289"/>
        <v>0</v>
      </c>
      <c r="G3207" s="1205"/>
      <c r="H3207" s="1055"/>
      <c r="I3207" s="1055"/>
      <c r="J3207" s="1055"/>
      <c r="K3207" s="1205"/>
      <c r="L3207" s="1055"/>
      <c r="M3207" s="1205"/>
      <c r="N3207" s="1054"/>
      <c r="O3207" s="1207"/>
      <c r="Q3207" s="1207"/>
    </row>
    <row r="3208" spans="3:17" s="700" customFormat="1" ht="70.5" hidden="1" customHeight="1">
      <c r="C3208" s="701"/>
      <c r="D3208" s="811"/>
      <c r="E3208" s="1276">
        <f>[11]building!Y3539</f>
        <v>0</v>
      </c>
      <c r="F3208" s="748">
        <f t="shared" si="289"/>
        <v>0</v>
      </c>
      <c r="G3208" s="1205"/>
      <c r="H3208" s="1055"/>
      <c r="I3208" s="1055"/>
      <c r="J3208" s="1055"/>
      <c r="K3208" s="1205"/>
      <c r="L3208" s="1055"/>
      <c r="M3208" s="1205"/>
      <c r="N3208" s="1054"/>
      <c r="O3208" s="1207"/>
      <c r="Q3208" s="1207"/>
    </row>
    <row r="3209" spans="3:17" s="700" customFormat="1" ht="70.5" hidden="1" customHeight="1">
      <c r="C3209" s="701"/>
      <c r="D3209" s="811"/>
      <c r="E3209" s="1276">
        <f>[11]building!Y3540</f>
        <v>0</v>
      </c>
      <c r="F3209" s="748">
        <f t="shared" si="289"/>
        <v>0</v>
      </c>
      <c r="G3209" s="1205"/>
      <c r="H3209" s="1055"/>
      <c r="I3209" s="1055"/>
      <c r="J3209" s="1055"/>
      <c r="K3209" s="1205"/>
      <c r="L3209" s="1055"/>
      <c r="M3209" s="1205"/>
      <c r="N3209" s="1054"/>
      <c r="O3209" s="1207"/>
      <c r="Q3209" s="1207"/>
    </row>
    <row r="3210" spans="3:17" s="700" customFormat="1" ht="70.5" hidden="1" customHeight="1">
      <c r="C3210" s="701"/>
      <c r="D3210" s="811"/>
      <c r="E3210" s="1276">
        <f>[11]building!Y3541</f>
        <v>0</v>
      </c>
      <c r="F3210" s="748">
        <f t="shared" si="289"/>
        <v>0</v>
      </c>
      <c r="G3210" s="1205"/>
      <c r="H3210" s="1055"/>
      <c r="I3210" s="1055"/>
      <c r="J3210" s="1055"/>
      <c r="K3210" s="1205"/>
      <c r="L3210" s="1055"/>
      <c r="M3210" s="1205"/>
      <c r="N3210" s="1054"/>
      <c r="O3210" s="1207"/>
      <c r="Q3210" s="1207"/>
    </row>
    <row r="3211" spans="3:17" s="700" customFormat="1" ht="70.5" hidden="1" customHeight="1">
      <c r="C3211" s="701"/>
      <c r="D3211" s="811"/>
      <c r="E3211" s="1276">
        <f>[11]building!Y3542</f>
        <v>0</v>
      </c>
      <c r="F3211" s="748">
        <f t="shared" si="289"/>
        <v>0</v>
      </c>
      <c r="G3211" s="1205"/>
      <c r="H3211" s="1055"/>
      <c r="I3211" s="1055"/>
      <c r="J3211" s="1055"/>
      <c r="K3211" s="1205"/>
      <c r="L3211" s="1055"/>
      <c r="M3211" s="1205"/>
      <c r="N3211" s="1054"/>
      <c r="O3211" s="1207"/>
      <c r="Q3211" s="1207"/>
    </row>
    <row r="3212" spans="3:17" s="700" customFormat="1" ht="70.5" hidden="1" customHeight="1">
      <c r="C3212" s="701"/>
      <c r="D3212" s="811"/>
      <c r="E3212" s="1276">
        <f>[11]building!Y3543</f>
        <v>0</v>
      </c>
      <c r="F3212" s="748">
        <f t="shared" si="289"/>
        <v>0</v>
      </c>
      <c r="G3212" s="1205"/>
      <c r="H3212" s="1055"/>
      <c r="I3212" s="1055"/>
      <c r="J3212" s="1055"/>
      <c r="K3212" s="1205"/>
      <c r="L3212" s="1055"/>
      <c r="M3212" s="1205"/>
      <c r="N3212" s="1054"/>
      <c r="O3212" s="1207"/>
      <c r="Q3212" s="1207"/>
    </row>
    <row r="3213" spans="3:17" s="700" customFormat="1" ht="70.5" hidden="1" customHeight="1">
      <c r="C3213" s="701"/>
      <c r="D3213" s="811"/>
      <c r="E3213" s="1276">
        <f>[11]building!Y3544</f>
        <v>0</v>
      </c>
      <c r="F3213" s="748">
        <f t="shared" si="289"/>
        <v>0</v>
      </c>
      <c r="G3213" s="1205"/>
      <c r="H3213" s="1055"/>
      <c r="I3213" s="1055"/>
      <c r="J3213" s="1055"/>
      <c r="K3213" s="1205"/>
      <c r="L3213" s="1055"/>
      <c r="M3213" s="1205"/>
      <c r="N3213" s="1054"/>
      <c r="O3213" s="1207"/>
      <c r="Q3213" s="1207"/>
    </row>
    <row r="3214" spans="3:17" s="700" customFormat="1" ht="70.5" hidden="1" customHeight="1">
      <c r="C3214" s="701"/>
      <c r="D3214" s="811"/>
      <c r="E3214" s="1276">
        <f>[11]building!Y3545</f>
        <v>0</v>
      </c>
      <c r="F3214" s="748">
        <f t="shared" si="289"/>
        <v>0</v>
      </c>
      <c r="G3214" s="1205"/>
      <c r="H3214" s="1055"/>
      <c r="I3214" s="1055"/>
      <c r="J3214" s="1055"/>
      <c r="K3214" s="1205"/>
      <c r="L3214" s="1055"/>
      <c r="M3214" s="1205"/>
      <c r="N3214" s="1054"/>
      <c r="O3214" s="1207"/>
      <c r="Q3214" s="1207"/>
    </row>
    <row r="3215" spans="3:17" s="700" customFormat="1" ht="70.5" hidden="1" customHeight="1">
      <c r="C3215" s="701"/>
      <c r="D3215" s="811"/>
      <c r="E3215" s="1276">
        <f>[11]building!Y3546</f>
        <v>0</v>
      </c>
      <c r="F3215" s="748">
        <f t="shared" si="289"/>
        <v>0</v>
      </c>
      <c r="G3215" s="1205"/>
      <c r="H3215" s="1055"/>
      <c r="I3215" s="1055"/>
      <c r="J3215" s="1055"/>
      <c r="K3215" s="1205"/>
      <c r="L3215" s="1055"/>
      <c r="M3215" s="1205"/>
      <c r="N3215" s="1054"/>
      <c r="O3215" s="1207"/>
      <c r="Q3215" s="1207"/>
    </row>
    <row r="3216" spans="3:17" s="700" customFormat="1" ht="70.5" hidden="1" customHeight="1">
      <c r="C3216" s="701"/>
      <c r="D3216" s="811"/>
      <c r="E3216" s="1276">
        <f>[11]building!Y3547</f>
        <v>0</v>
      </c>
      <c r="F3216" s="748">
        <f t="shared" si="289"/>
        <v>0</v>
      </c>
      <c r="G3216" s="1205"/>
      <c r="H3216" s="1055"/>
      <c r="I3216" s="1055"/>
      <c r="J3216" s="1055"/>
      <c r="K3216" s="1205"/>
      <c r="L3216" s="1055"/>
      <c r="M3216" s="1205"/>
      <c r="N3216" s="1054"/>
      <c r="O3216" s="1207"/>
      <c r="Q3216" s="1207"/>
    </row>
    <row r="3217" spans="3:17" s="700" customFormat="1" ht="70.5" hidden="1" customHeight="1">
      <c r="C3217" s="701"/>
      <c r="D3217" s="811"/>
      <c r="E3217" s="1276">
        <f>[11]building!Y3548</f>
        <v>0</v>
      </c>
      <c r="F3217" s="748">
        <f t="shared" si="289"/>
        <v>0</v>
      </c>
      <c r="G3217" s="1205"/>
      <c r="H3217" s="1055"/>
      <c r="I3217" s="1055"/>
      <c r="J3217" s="1055"/>
      <c r="K3217" s="1205"/>
      <c r="L3217" s="1055"/>
      <c r="M3217" s="1205"/>
      <c r="N3217" s="1054"/>
      <c r="O3217" s="1207"/>
      <c r="Q3217" s="1207"/>
    </row>
    <row r="3218" spans="3:17" s="700" customFormat="1" ht="70.5" hidden="1" customHeight="1">
      <c r="C3218" s="701"/>
      <c r="D3218" s="811"/>
      <c r="E3218" s="1276">
        <f>[11]building!Y3549</f>
        <v>0</v>
      </c>
      <c r="F3218" s="748">
        <f t="shared" si="289"/>
        <v>0</v>
      </c>
      <c r="G3218" s="1205"/>
      <c r="H3218" s="1055"/>
      <c r="I3218" s="1055"/>
      <c r="J3218" s="1055"/>
      <c r="K3218" s="1205"/>
      <c r="L3218" s="1055"/>
      <c r="M3218" s="1205"/>
      <c r="N3218" s="1054"/>
      <c r="O3218" s="1207"/>
      <c r="Q3218" s="1207"/>
    </row>
    <row r="3219" spans="3:17" s="700" customFormat="1" ht="70.5" hidden="1" customHeight="1">
      <c r="C3219" s="701"/>
      <c r="D3219" s="811"/>
      <c r="E3219" s="1276">
        <f>[11]building!Y3550</f>
        <v>0</v>
      </c>
      <c r="F3219" s="748">
        <f t="shared" si="289"/>
        <v>0</v>
      </c>
      <c r="G3219" s="1205"/>
      <c r="H3219" s="1055"/>
      <c r="I3219" s="1055"/>
      <c r="J3219" s="1055"/>
      <c r="K3219" s="1205"/>
      <c r="L3219" s="1055"/>
      <c r="M3219" s="1205"/>
      <c r="N3219" s="1054"/>
      <c r="O3219" s="1207"/>
      <c r="Q3219" s="1207"/>
    </row>
    <row r="3220" spans="3:17" s="700" customFormat="1" ht="70.5" hidden="1" customHeight="1">
      <c r="C3220" s="701"/>
      <c r="D3220" s="811"/>
      <c r="E3220" s="1276">
        <f>[11]building!Y3551</f>
        <v>0</v>
      </c>
      <c r="F3220" s="748">
        <f t="shared" si="289"/>
        <v>0</v>
      </c>
      <c r="G3220" s="1205"/>
      <c r="H3220" s="1055"/>
      <c r="I3220" s="1055"/>
      <c r="J3220" s="1055"/>
      <c r="K3220" s="1205"/>
      <c r="L3220" s="1055"/>
      <c r="M3220" s="1205"/>
      <c r="N3220" s="1054"/>
      <c r="O3220" s="1207"/>
      <c r="Q3220" s="1207"/>
    </row>
    <row r="3221" spans="3:17" s="700" customFormat="1" ht="70.5" hidden="1" customHeight="1">
      <c r="C3221" s="701"/>
      <c r="D3221" s="811"/>
      <c r="E3221" s="1276">
        <f>[11]building!Y3552</f>
        <v>0</v>
      </c>
      <c r="F3221" s="748">
        <f t="shared" si="289"/>
        <v>0</v>
      </c>
      <c r="G3221" s="1205"/>
      <c r="H3221" s="1055"/>
      <c r="I3221" s="1055"/>
      <c r="J3221" s="1055"/>
      <c r="K3221" s="1205"/>
      <c r="L3221" s="1055"/>
      <c r="M3221" s="1205"/>
      <c r="N3221" s="1054"/>
      <c r="O3221" s="1207"/>
      <c r="Q3221" s="1207"/>
    </row>
    <row r="3222" spans="3:17" s="700" customFormat="1" ht="70.5" hidden="1" customHeight="1">
      <c r="C3222" s="701"/>
      <c r="D3222" s="811"/>
      <c r="E3222" s="1276">
        <f>[11]building!Y3553</f>
        <v>0</v>
      </c>
      <c r="F3222" s="748">
        <f t="shared" si="289"/>
        <v>0</v>
      </c>
      <c r="G3222" s="1205"/>
      <c r="H3222" s="1055"/>
      <c r="I3222" s="1055"/>
      <c r="J3222" s="1055"/>
      <c r="K3222" s="1205"/>
      <c r="L3222" s="1055"/>
      <c r="M3222" s="1205"/>
      <c r="N3222" s="1054"/>
      <c r="O3222" s="1207"/>
      <c r="Q3222" s="1207"/>
    </row>
    <row r="3223" spans="3:17" s="700" customFormat="1" ht="70.5" hidden="1" customHeight="1">
      <c r="C3223" s="701"/>
      <c r="D3223" s="811"/>
      <c r="E3223" s="1276">
        <f>[11]building!Y3554</f>
        <v>0</v>
      </c>
      <c r="F3223" s="748">
        <f t="shared" si="289"/>
        <v>0</v>
      </c>
      <c r="G3223" s="1205"/>
      <c r="H3223" s="1055"/>
      <c r="I3223" s="1055"/>
      <c r="J3223" s="1055"/>
      <c r="K3223" s="1205"/>
      <c r="L3223" s="1055"/>
      <c r="M3223" s="1205"/>
      <c r="N3223" s="1054"/>
      <c r="O3223" s="1207"/>
      <c r="Q3223" s="1207"/>
    </row>
    <row r="3224" spans="3:17" s="700" customFormat="1" ht="70.5" hidden="1" customHeight="1">
      <c r="C3224" s="701"/>
      <c r="D3224" s="811"/>
      <c r="E3224" s="1276">
        <f>[11]building!Y3555</f>
        <v>0</v>
      </c>
      <c r="F3224" s="748">
        <f t="shared" si="289"/>
        <v>0</v>
      </c>
      <c r="G3224" s="1205"/>
      <c r="H3224" s="1055"/>
      <c r="I3224" s="1055"/>
      <c r="J3224" s="1055"/>
      <c r="K3224" s="1205"/>
      <c r="L3224" s="1055"/>
      <c r="M3224" s="1205"/>
      <c r="N3224" s="1054"/>
      <c r="O3224" s="1207"/>
      <c r="Q3224" s="1207"/>
    </row>
    <row r="3225" spans="3:17" s="700" customFormat="1" ht="70.5" hidden="1" customHeight="1">
      <c r="C3225" s="701"/>
      <c r="D3225" s="811"/>
      <c r="E3225" s="1276">
        <f>[11]building!Y3556</f>
        <v>0</v>
      </c>
      <c r="F3225" s="748">
        <f t="shared" si="289"/>
        <v>0</v>
      </c>
      <c r="G3225" s="1205"/>
      <c r="H3225" s="1055"/>
      <c r="I3225" s="1055"/>
      <c r="J3225" s="1055"/>
      <c r="K3225" s="1205"/>
      <c r="L3225" s="1055"/>
      <c r="M3225" s="1205"/>
      <c r="N3225" s="1054"/>
      <c r="O3225" s="1207"/>
      <c r="Q3225" s="1207"/>
    </row>
    <row r="3226" spans="3:17" s="700" customFormat="1" ht="70.5" hidden="1" customHeight="1">
      <c r="C3226" s="701"/>
      <c r="D3226" s="811"/>
      <c r="E3226" s="1276">
        <f>[11]building!Y3557</f>
        <v>0</v>
      </c>
      <c r="F3226" s="748">
        <f t="shared" si="289"/>
        <v>0</v>
      </c>
      <c r="G3226" s="1205"/>
      <c r="H3226" s="1055"/>
      <c r="I3226" s="1055"/>
      <c r="J3226" s="1055"/>
      <c r="K3226" s="1205"/>
      <c r="L3226" s="1055"/>
      <c r="M3226" s="1205"/>
      <c r="N3226" s="1054"/>
      <c r="O3226" s="1207"/>
      <c r="Q3226" s="1207"/>
    </row>
    <row r="3227" spans="3:17" s="700" customFormat="1" ht="70.5" hidden="1" customHeight="1">
      <c r="C3227" s="701"/>
      <c r="D3227" s="811"/>
      <c r="E3227" s="1276">
        <f>[11]building!Y3558</f>
        <v>0</v>
      </c>
      <c r="F3227" s="748">
        <f t="shared" si="289"/>
        <v>0</v>
      </c>
      <c r="G3227" s="1205"/>
      <c r="H3227" s="1055"/>
      <c r="I3227" s="1055"/>
      <c r="J3227" s="1055"/>
      <c r="K3227" s="1205"/>
      <c r="L3227" s="1055"/>
      <c r="M3227" s="1205"/>
      <c r="N3227" s="1054"/>
      <c r="O3227" s="1207"/>
      <c r="Q3227" s="1207"/>
    </row>
    <row r="3228" spans="3:17" s="700" customFormat="1" ht="70.5" hidden="1" customHeight="1">
      <c r="C3228" s="701"/>
      <c r="D3228" s="811"/>
      <c r="E3228" s="1276">
        <f>[11]building!Y3559</f>
        <v>0</v>
      </c>
      <c r="F3228" s="748">
        <f t="shared" si="289"/>
        <v>0</v>
      </c>
      <c r="G3228" s="1205"/>
      <c r="H3228" s="1055"/>
      <c r="I3228" s="1055"/>
      <c r="J3228" s="1055"/>
      <c r="K3228" s="1205"/>
      <c r="L3228" s="1055"/>
      <c r="M3228" s="1205"/>
      <c r="N3228" s="1054"/>
      <c r="O3228" s="1207"/>
      <c r="Q3228" s="1207"/>
    </row>
    <row r="3229" spans="3:17" s="700" customFormat="1" ht="70.5" hidden="1" customHeight="1">
      <c r="C3229" s="701"/>
      <c r="D3229" s="811"/>
      <c r="E3229" s="1276">
        <f>[11]building!Y3560</f>
        <v>0</v>
      </c>
      <c r="F3229" s="748">
        <f t="shared" si="289"/>
        <v>0</v>
      </c>
      <c r="G3229" s="1205"/>
      <c r="H3229" s="1055"/>
      <c r="I3229" s="1055"/>
      <c r="J3229" s="1055"/>
      <c r="K3229" s="1205"/>
      <c r="L3229" s="1055"/>
      <c r="M3229" s="1205"/>
      <c r="N3229" s="1054"/>
      <c r="O3229" s="1207"/>
      <c r="Q3229" s="1207"/>
    </row>
    <row r="3230" spans="3:17" s="700" customFormat="1" ht="70.5" hidden="1" customHeight="1">
      <c r="C3230" s="701"/>
      <c r="D3230" s="811"/>
      <c r="E3230" s="1276">
        <f>[11]building!Y3561</f>
        <v>0</v>
      </c>
      <c r="F3230" s="748">
        <f t="shared" si="289"/>
        <v>0</v>
      </c>
      <c r="G3230" s="1205"/>
      <c r="H3230" s="1055"/>
      <c r="I3230" s="1055"/>
      <c r="J3230" s="1055"/>
      <c r="K3230" s="1205"/>
      <c r="L3230" s="1055"/>
      <c r="M3230" s="1205"/>
      <c r="N3230" s="1054"/>
      <c r="O3230" s="1207"/>
      <c r="Q3230" s="1207"/>
    </row>
    <row r="3231" spans="3:17" s="700" customFormat="1" ht="70.5" hidden="1" customHeight="1">
      <c r="C3231" s="701"/>
      <c r="D3231" s="811"/>
      <c r="E3231" s="1276">
        <f>[11]building!Y3562</f>
        <v>0</v>
      </c>
      <c r="F3231" s="748">
        <f t="shared" si="289"/>
        <v>0</v>
      </c>
      <c r="G3231" s="1205"/>
      <c r="H3231" s="1055"/>
      <c r="I3231" s="1055"/>
      <c r="J3231" s="1055"/>
      <c r="K3231" s="1205"/>
      <c r="L3231" s="1055"/>
      <c r="M3231" s="1205"/>
      <c r="N3231" s="1054"/>
      <c r="O3231" s="1207"/>
      <c r="Q3231" s="1207"/>
    </row>
    <row r="3232" spans="3:17" s="700" customFormat="1" ht="70.5" hidden="1" customHeight="1">
      <c r="C3232" s="701"/>
      <c r="D3232" s="811"/>
      <c r="E3232" s="1276">
        <f>[11]building!Y3563</f>
        <v>0</v>
      </c>
      <c r="F3232" s="748">
        <f t="shared" si="289"/>
        <v>0</v>
      </c>
      <c r="G3232" s="1205"/>
      <c r="H3232" s="1055"/>
      <c r="I3232" s="1055"/>
      <c r="J3232" s="1055"/>
      <c r="K3232" s="1205"/>
      <c r="L3232" s="1055"/>
      <c r="M3232" s="1205"/>
      <c r="N3232" s="1054"/>
      <c r="O3232" s="1207"/>
      <c r="Q3232" s="1207"/>
    </row>
    <row r="3233" spans="3:17" s="700" customFormat="1" ht="70.5" hidden="1" customHeight="1">
      <c r="C3233" s="701"/>
      <c r="D3233" s="811"/>
      <c r="E3233" s="1276">
        <f>[11]building!Y3564</f>
        <v>0</v>
      </c>
      <c r="F3233" s="748">
        <f t="shared" si="289"/>
        <v>0</v>
      </c>
      <c r="G3233" s="1205"/>
      <c r="H3233" s="1055"/>
      <c r="I3233" s="1055"/>
      <c r="J3233" s="1055"/>
      <c r="K3233" s="1205"/>
      <c r="L3233" s="1055"/>
      <c r="M3233" s="1205"/>
      <c r="N3233" s="1054"/>
      <c r="O3233" s="1207"/>
      <c r="Q3233" s="1207"/>
    </row>
    <row r="3234" spans="3:17" s="700" customFormat="1" ht="70.5" hidden="1" customHeight="1">
      <c r="C3234" s="701"/>
      <c r="D3234" s="811"/>
      <c r="E3234" s="1276">
        <f>[11]building!Y3565</f>
        <v>0</v>
      </c>
      <c r="F3234" s="748">
        <f t="shared" si="289"/>
        <v>0</v>
      </c>
      <c r="G3234" s="1205"/>
      <c r="H3234" s="1055"/>
      <c r="I3234" s="1055"/>
      <c r="J3234" s="1055"/>
      <c r="K3234" s="1205"/>
      <c r="L3234" s="1055"/>
      <c r="M3234" s="1205"/>
      <c r="N3234" s="1054"/>
      <c r="O3234" s="1207"/>
      <c r="Q3234" s="1207"/>
    </row>
    <row r="3235" spans="3:17" s="700" customFormat="1" ht="70.5" hidden="1" customHeight="1">
      <c r="C3235" s="701"/>
      <c r="D3235" s="811"/>
      <c r="E3235" s="1276">
        <f>[11]building!Y3566</f>
        <v>0</v>
      </c>
      <c r="F3235" s="748">
        <f t="shared" si="289"/>
        <v>0</v>
      </c>
      <c r="G3235" s="1205"/>
      <c r="H3235" s="1055"/>
      <c r="I3235" s="1055"/>
      <c r="J3235" s="1055"/>
      <c r="K3235" s="1205"/>
      <c r="L3235" s="1055"/>
      <c r="M3235" s="1205"/>
      <c r="N3235" s="1054"/>
      <c r="O3235" s="1207"/>
      <c r="Q3235" s="1207"/>
    </row>
    <row r="3236" spans="3:17" s="700" customFormat="1" ht="70.5" hidden="1" customHeight="1">
      <c r="C3236" s="701"/>
      <c r="D3236" s="811"/>
      <c r="E3236" s="1276">
        <f>[11]building!Y3567</f>
        <v>0</v>
      </c>
      <c r="F3236" s="748">
        <f t="shared" si="289"/>
        <v>0</v>
      </c>
      <c r="G3236" s="1205"/>
      <c r="H3236" s="1055"/>
      <c r="I3236" s="1055"/>
      <c r="J3236" s="1055"/>
      <c r="K3236" s="1205"/>
      <c r="L3236" s="1055"/>
      <c r="M3236" s="1205"/>
      <c r="N3236" s="1054"/>
      <c r="O3236" s="1207"/>
      <c r="Q3236" s="1207"/>
    </row>
    <row r="3237" spans="3:17" s="700" customFormat="1" ht="70.5" hidden="1" customHeight="1">
      <c r="C3237" s="701"/>
      <c r="D3237" s="811"/>
      <c r="E3237" s="1276">
        <f>[11]building!Y3568</f>
        <v>0</v>
      </c>
      <c r="F3237" s="748">
        <f t="shared" si="289"/>
        <v>0</v>
      </c>
      <c r="G3237" s="1205"/>
      <c r="H3237" s="1055"/>
      <c r="I3237" s="1055"/>
      <c r="J3237" s="1055"/>
      <c r="K3237" s="1205"/>
      <c r="L3237" s="1055"/>
      <c r="M3237" s="1205"/>
      <c r="N3237" s="1054"/>
      <c r="O3237" s="1207"/>
      <c r="Q3237" s="1207"/>
    </row>
    <row r="3238" spans="3:17" s="700" customFormat="1" ht="70.5" hidden="1" customHeight="1">
      <c r="C3238" s="701"/>
      <c r="D3238" s="811"/>
      <c r="E3238" s="1276">
        <f>[11]building!Y3569</f>
        <v>0</v>
      </c>
      <c r="F3238" s="748">
        <f t="shared" si="289"/>
        <v>0</v>
      </c>
      <c r="G3238" s="1205"/>
      <c r="H3238" s="1055"/>
      <c r="I3238" s="1055"/>
      <c r="J3238" s="1055"/>
      <c r="K3238" s="1205"/>
      <c r="L3238" s="1055"/>
      <c r="M3238" s="1205"/>
      <c r="N3238" s="1054"/>
      <c r="O3238" s="1207"/>
      <c r="Q3238" s="1207"/>
    </row>
    <row r="3239" spans="3:17" s="700" customFormat="1" ht="70.5" hidden="1" customHeight="1">
      <c r="C3239" s="701"/>
      <c r="D3239" s="811"/>
      <c r="E3239" s="1276">
        <f>[11]building!Y3570</f>
        <v>0</v>
      </c>
      <c r="F3239" s="748">
        <f t="shared" si="289"/>
        <v>0</v>
      </c>
      <c r="G3239" s="1205"/>
      <c r="H3239" s="1055"/>
      <c r="I3239" s="1055"/>
      <c r="J3239" s="1055"/>
      <c r="K3239" s="1205"/>
      <c r="L3239" s="1055"/>
      <c r="M3239" s="1205"/>
      <c r="N3239" s="1054"/>
      <c r="O3239" s="1207"/>
      <c r="Q3239" s="1207"/>
    </row>
    <row r="3240" spans="3:17" s="700" customFormat="1" ht="70.5" hidden="1" customHeight="1">
      <c r="C3240" s="701"/>
      <c r="D3240" s="811"/>
      <c r="E3240" s="1276">
        <f>[11]building!Y3571</f>
        <v>0</v>
      </c>
      <c r="F3240" s="748">
        <f t="shared" si="289"/>
        <v>0</v>
      </c>
      <c r="G3240" s="1205"/>
      <c r="H3240" s="1055"/>
      <c r="I3240" s="1055"/>
      <c r="J3240" s="1055"/>
      <c r="K3240" s="1205"/>
      <c r="L3240" s="1055"/>
      <c r="M3240" s="1205"/>
      <c r="N3240" s="1054"/>
      <c r="O3240" s="1207"/>
      <c r="Q3240" s="1207"/>
    </row>
    <row r="3241" spans="3:17" s="700" customFormat="1" ht="70.5" hidden="1" customHeight="1">
      <c r="C3241" s="701"/>
      <c r="D3241" s="811"/>
      <c r="E3241" s="1276">
        <f>[11]building!Y3572</f>
        <v>0</v>
      </c>
      <c r="F3241" s="748">
        <f t="shared" si="289"/>
        <v>0</v>
      </c>
      <c r="G3241" s="1205"/>
      <c r="H3241" s="1055"/>
      <c r="I3241" s="1055"/>
      <c r="J3241" s="1055"/>
      <c r="K3241" s="1205"/>
      <c r="L3241" s="1055"/>
      <c r="M3241" s="1205"/>
      <c r="N3241" s="1054"/>
      <c r="O3241" s="1207"/>
      <c r="Q3241" s="1207"/>
    </row>
    <row r="3242" spans="3:17" s="700" customFormat="1" ht="70.5" hidden="1" customHeight="1">
      <c r="C3242" s="701"/>
      <c r="D3242" s="811"/>
      <c r="E3242" s="1276">
        <f>[11]building!Y3573</f>
        <v>0</v>
      </c>
      <c r="F3242" s="748">
        <f t="shared" si="289"/>
        <v>0</v>
      </c>
      <c r="G3242" s="1205"/>
      <c r="H3242" s="1055"/>
      <c r="I3242" s="1055"/>
      <c r="J3242" s="1055"/>
      <c r="K3242" s="1205"/>
      <c r="L3242" s="1055"/>
      <c r="M3242" s="1205"/>
      <c r="N3242" s="1054"/>
      <c r="O3242" s="1207"/>
      <c r="Q3242" s="1207"/>
    </row>
    <row r="3243" spans="3:17" s="700" customFormat="1" ht="70.5" hidden="1" customHeight="1">
      <c r="C3243" s="701"/>
      <c r="D3243" s="811"/>
      <c r="E3243" s="1276">
        <f>[11]building!Y3574</f>
        <v>0</v>
      </c>
      <c r="F3243" s="748">
        <f t="shared" si="289"/>
        <v>0</v>
      </c>
      <c r="G3243" s="1205"/>
      <c r="H3243" s="1055"/>
      <c r="I3243" s="1055"/>
      <c r="J3243" s="1055"/>
      <c r="K3243" s="1205"/>
      <c r="L3243" s="1055"/>
      <c r="M3243" s="1205"/>
      <c r="N3243" s="1054"/>
      <c r="O3243" s="1207"/>
      <c r="Q3243" s="1207"/>
    </row>
    <row r="3244" spans="3:17" s="700" customFormat="1" ht="70.5" hidden="1" customHeight="1">
      <c r="C3244" s="701"/>
      <c r="D3244" s="811"/>
      <c r="E3244" s="1276">
        <f>[11]building!Y3575</f>
        <v>0</v>
      </c>
      <c r="F3244" s="748">
        <f t="shared" si="289"/>
        <v>0</v>
      </c>
      <c r="G3244" s="1205"/>
      <c r="H3244" s="1055"/>
      <c r="I3244" s="1055"/>
      <c r="J3244" s="1055"/>
      <c r="K3244" s="1205"/>
      <c r="L3244" s="1055"/>
      <c r="M3244" s="1205"/>
      <c r="N3244" s="1054"/>
      <c r="O3244" s="1207"/>
      <c r="Q3244" s="1207"/>
    </row>
    <row r="3245" spans="3:17" s="700" customFormat="1" ht="70.5" hidden="1" customHeight="1">
      <c r="C3245" s="701"/>
      <c r="D3245" s="811"/>
      <c r="E3245" s="1276">
        <f>[11]building!Y3576</f>
        <v>0</v>
      </c>
      <c r="F3245" s="748">
        <f t="shared" si="289"/>
        <v>0</v>
      </c>
      <c r="G3245" s="1205"/>
      <c r="H3245" s="1055"/>
      <c r="I3245" s="1055"/>
      <c r="J3245" s="1055"/>
      <c r="K3245" s="1205"/>
      <c r="L3245" s="1055"/>
      <c r="M3245" s="1205"/>
      <c r="N3245" s="1054"/>
      <c r="O3245" s="1207"/>
      <c r="Q3245" s="1207"/>
    </row>
    <row r="3246" spans="3:17" s="700" customFormat="1" ht="70.5" hidden="1" customHeight="1">
      <c r="C3246" s="701"/>
      <c r="D3246" s="811"/>
      <c r="E3246" s="1276">
        <f>[11]building!Y3577</f>
        <v>0</v>
      </c>
      <c r="F3246" s="748">
        <f t="shared" si="289"/>
        <v>0</v>
      </c>
      <c r="G3246" s="1205"/>
      <c r="H3246" s="1055"/>
      <c r="I3246" s="1055"/>
      <c r="J3246" s="1055"/>
      <c r="K3246" s="1205"/>
      <c r="L3246" s="1055"/>
      <c r="M3246" s="1205"/>
      <c r="N3246" s="1054"/>
      <c r="O3246" s="1207"/>
      <c r="Q3246" s="1207"/>
    </row>
    <row r="3247" spans="3:17" s="700" customFormat="1" ht="70.5" hidden="1" customHeight="1">
      <c r="C3247" s="701"/>
      <c r="D3247" s="811"/>
      <c r="E3247" s="1276">
        <f>[11]building!Y3578</f>
        <v>0</v>
      </c>
      <c r="F3247" s="748">
        <f t="shared" si="289"/>
        <v>0</v>
      </c>
      <c r="G3247" s="1205"/>
      <c r="H3247" s="1055"/>
      <c r="I3247" s="1055"/>
      <c r="J3247" s="1055"/>
      <c r="K3247" s="1205"/>
      <c r="L3247" s="1055"/>
      <c r="M3247" s="1205"/>
      <c r="N3247" s="1054"/>
      <c r="O3247" s="1207"/>
      <c r="Q3247" s="1207"/>
    </row>
    <row r="3248" spans="3:17" s="700" customFormat="1" ht="70.5" hidden="1" customHeight="1">
      <c r="C3248" s="701"/>
      <c r="D3248" s="811"/>
      <c r="E3248" s="1276">
        <f>[11]building!Y3579</f>
        <v>0</v>
      </c>
      <c r="F3248" s="748">
        <f t="shared" si="289"/>
        <v>0</v>
      </c>
      <c r="G3248" s="1205"/>
      <c r="H3248" s="1055"/>
      <c r="I3248" s="1055"/>
      <c r="J3248" s="1055"/>
      <c r="K3248" s="1205"/>
      <c r="L3248" s="1055"/>
      <c r="M3248" s="1205"/>
      <c r="N3248" s="1054"/>
      <c r="O3248" s="1207"/>
      <c r="Q3248" s="1207"/>
    </row>
    <row r="3249" spans="3:17" s="700" customFormat="1" ht="70.5" hidden="1" customHeight="1">
      <c r="C3249" s="701"/>
      <c r="D3249" s="811"/>
      <c r="E3249" s="1276">
        <f>[11]building!Y3580</f>
        <v>0</v>
      </c>
      <c r="F3249" s="748">
        <f t="shared" si="289"/>
        <v>0</v>
      </c>
      <c r="G3249" s="1205"/>
      <c r="H3249" s="1055"/>
      <c r="I3249" s="1055"/>
      <c r="J3249" s="1055"/>
      <c r="K3249" s="1205"/>
      <c r="L3249" s="1055"/>
      <c r="M3249" s="1205"/>
      <c r="N3249" s="1054"/>
      <c r="O3249" s="1207"/>
      <c r="Q3249" s="1207"/>
    </row>
    <row r="3250" spans="3:17" s="700" customFormat="1" ht="70.5" hidden="1" customHeight="1">
      <c r="C3250" s="701"/>
      <c r="D3250" s="811"/>
      <c r="E3250" s="1276">
        <f>[11]building!Y3581</f>
        <v>0</v>
      </c>
      <c r="F3250" s="748">
        <f t="shared" si="289"/>
        <v>0</v>
      </c>
      <c r="G3250" s="1205"/>
      <c r="H3250" s="1055"/>
      <c r="I3250" s="1055"/>
      <c r="J3250" s="1055"/>
      <c r="K3250" s="1205"/>
      <c r="L3250" s="1055"/>
      <c r="M3250" s="1205"/>
      <c r="N3250" s="1054"/>
      <c r="O3250" s="1207"/>
      <c r="Q3250" s="1207"/>
    </row>
    <row r="3251" spans="3:17" s="700" customFormat="1" ht="70.5" hidden="1" customHeight="1">
      <c r="C3251" s="701"/>
      <c r="D3251" s="811"/>
      <c r="E3251" s="1276">
        <f>[11]building!Y3582</f>
        <v>0</v>
      </c>
      <c r="F3251" s="748">
        <f t="shared" si="289"/>
        <v>0</v>
      </c>
      <c r="G3251" s="1205"/>
      <c r="H3251" s="1055"/>
      <c r="I3251" s="1055"/>
      <c r="J3251" s="1055"/>
      <c r="K3251" s="1205"/>
      <c r="L3251" s="1055"/>
      <c r="M3251" s="1205"/>
      <c r="N3251" s="1054"/>
      <c r="O3251" s="1207"/>
      <c r="Q3251" s="1207"/>
    </row>
    <row r="3252" spans="3:17" s="700" customFormat="1" ht="70.5" hidden="1" customHeight="1">
      <c r="C3252" s="701"/>
      <c r="D3252" s="811"/>
      <c r="E3252" s="1276">
        <f>[11]building!Y3583</f>
        <v>0</v>
      </c>
      <c r="F3252" s="748">
        <f t="shared" si="289"/>
        <v>0</v>
      </c>
      <c r="G3252" s="1205"/>
      <c r="H3252" s="1055"/>
      <c r="I3252" s="1055"/>
      <c r="J3252" s="1055"/>
      <c r="K3252" s="1205"/>
      <c r="L3252" s="1055"/>
      <c r="M3252" s="1205"/>
      <c r="N3252" s="1054"/>
      <c r="O3252" s="1207"/>
      <c r="Q3252" s="1207"/>
    </row>
    <row r="3253" spans="3:17" s="700" customFormat="1" ht="70.5" hidden="1" customHeight="1">
      <c r="C3253" s="701"/>
      <c r="D3253" s="811"/>
      <c r="E3253" s="1276">
        <f>[11]building!Y3584</f>
        <v>0</v>
      </c>
      <c r="F3253" s="748">
        <f t="shared" si="289"/>
        <v>0</v>
      </c>
      <c r="G3253" s="1205"/>
      <c r="H3253" s="1055"/>
      <c r="I3253" s="1055"/>
      <c r="J3253" s="1055"/>
      <c r="K3253" s="1205"/>
      <c r="L3253" s="1055"/>
      <c r="M3253" s="1205"/>
      <c r="N3253" s="1054"/>
      <c r="O3253" s="1207"/>
      <c r="Q3253" s="1207"/>
    </row>
    <row r="3254" spans="3:17" s="700" customFormat="1" ht="70.5" hidden="1" customHeight="1">
      <c r="C3254" s="701"/>
      <c r="D3254" s="811"/>
      <c r="E3254" s="1276">
        <f>[11]building!Y3585</f>
        <v>0</v>
      </c>
      <c r="F3254" s="748">
        <f t="shared" si="289"/>
        <v>0</v>
      </c>
      <c r="G3254" s="1205"/>
      <c r="H3254" s="1055"/>
      <c r="I3254" s="1055"/>
      <c r="J3254" s="1055"/>
      <c r="K3254" s="1205"/>
      <c r="L3254" s="1055"/>
      <c r="M3254" s="1205"/>
      <c r="N3254" s="1054"/>
      <c r="O3254" s="1207"/>
      <c r="Q3254" s="1207"/>
    </row>
    <row r="3255" spans="3:17" s="700" customFormat="1" ht="70.5" hidden="1" customHeight="1">
      <c r="C3255" s="701"/>
      <c r="D3255" s="811"/>
      <c r="E3255" s="1276">
        <f>[11]building!Y3586</f>
        <v>0</v>
      </c>
      <c r="F3255" s="748">
        <f t="shared" si="289"/>
        <v>0</v>
      </c>
      <c r="G3255" s="1205"/>
      <c r="H3255" s="1055"/>
      <c r="I3255" s="1055"/>
      <c r="J3255" s="1055"/>
      <c r="K3255" s="1205"/>
      <c r="L3255" s="1055"/>
      <c r="M3255" s="1205"/>
      <c r="N3255" s="1054"/>
      <c r="O3255" s="1207"/>
      <c r="Q3255" s="1207"/>
    </row>
    <row r="3256" spans="3:17" s="700" customFormat="1" ht="70.5" hidden="1" customHeight="1">
      <c r="C3256" s="701"/>
      <c r="D3256" s="811"/>
      <c r="E3256" s="1276">
        <f>[11]building!Y3587</f>
        <v>0</v>
      </c>
      <c r="F3256" s="748">
        <f t="shared" si="289"/>
        <v>0</v>
      </c>
      <c r="G3256" s="1205"/>
      <c r="H3256" s="1055"/>
      <c r="I3256" s="1055"/>
      <c r="J3256" s="1055"/>
      <c r="K3256" s="1205"/>
      <c r="L3256" s="1055"/>
      <c r="M3256" s="1205"/>
      <c r="N3256" s="1054"/>
      <c r="O3256" s="1207"/>
      <c r="Q3256" s="1207"/>
    </row>
    <row r="3257" spans="3:17" s="700" customFormat="1" ht="70.5" hidden="1" customHeight="1">
      <c r="C3257" s="701"/>
      <c r="D3257" s="811"/>
      <c r="E3257" s="1276">
        <f>[11]building!Y3588</f>
        <v>0</v>
      </c>
      <c r="F3257" s="748">
        <f t="shared" si="289"/>
        <v>0</v>
      </c>
      <c r="G3257" s="1205"/>
      <c r="H3257" s="1055"/>
      <c r="I3257" s="1055"/>
      <c r="J3257" s="1055"/>
      <c r="K3257" s="1205"/>
      <c r="L3257" s="1055"/>
      <c r="M3257" s="1205"/>
      <c r="N3257" s="1054"/>
      <c r="O3257" s="1207"/>
      <c r="Q3257" s="1207"/>
    </row>
    <row r="3258" spans="3:17" s="700" customFormat="1" ht="70.5" hidden="1" customHeight="1">
      <c r="C3258" s="701"/>
      <c r="D3258" s="811"/>
      <c r="E3258" s="1276">
        <f>[11]building!Y3589</f>
        <v>0</v>
      </c>
      <c r="F3258" s="748">
        <f t="shared" si="289"/>
        <v>0</v>
      </c>
      <c r="G3258" s="1205"/>
      <c r="H3258" s="1055"/>
      <c r="I3258" s="1055"/>
      <c r="J3258" s="1055"/>
      <c r="K3258" s="1205"/>
      <c r="L3258" s="1055"/>
      <c r="M3258" s="1205"/>
      <c r="N3258" s="1054"/>
      <c r="O3258" s="1207"/>
      <c r="Q3258" s="1207"/>
    </row>
    <row r="3259" spans="3:17" s="700" customFormat="1" ht="70.5" hidden="1" customHeight="1">
      <c r="C3259" s="701"/>
      <c r="D3259" s="811"/>
      <c r="E3259" s="1276">
        <f>[11]building!Y3590</f>
        <v>0</v>
      </c>
      <c r="F3259" s="748">
        <f t="shared" si="289"/>
        <v>0</v>
      </c>
      <c r="G3259" s="1205"/>
      <c r="H3259" s="1055"/>
      <c r="I3259" s="1055"/>
      <c r="J3259" s="1055"/>
      <c r="K3259" s="1205"/>
      <c r="L3259" s="1055"/>
      <c r="M3259" s="1205"/>
      <c r="N3259" s="1054"/>
      <c r="O3259" s="1207"/>
      <c r="Q3259" s="1207"/>
    </row>
    <row r="3260" spans="3:17" s="700" customFormat="1" ht="70.5" hidden="1" customHeight="1">
      <c r="C3260" s="701"/>
      <c r="D3260" s="811"/>
      <c r="E3260" s="1276">
        <f>[11]building!Y3591</f>
        <v>0</v>
      </c>
      <c r="F3260" s="748">
        <f t="shared" si="289"/>
        <v>0</v>
      </c>
      <c r="G3260" s="1205"/>
      <c r="H3260" s="1055"/>
      <c r="I3260" s="1055"/>
      <c r="J3260" s="1055"/>
      <c r="K3260" s="1205"/>
      <c r="L3260" s="1055"/>
      <c r="M3260" s="1205"/>
      <c r="N3260" s="1054"/>
      <c r="O3260" s="1207"/>
      <c r="Q3260" s="1207"/>
    </row>
    <row r="3261" spans="3:17" s="700" customFormat="1" ht="70.5" hidden="1" customHeight="1">
      <c r="C3261" s="701"/>
      <c r="D3261" s="811"/>
      <c r="E3261" s="1276">
        <f>[11]building!Y3592</f>
        <v>0</v>
      </c>
      <c r="F3261" s="748">
        <f t="shared" si="289"/>
        <v>0</v>
      </c>
      <c r="G3261" s="1205"/>
      <c r="H3261" s="1055"/>
      <c r="I3261" s="1055"/>
      <c r="J3261" s="1055"/>
      <c r="K3261" s="1205"/>
      <c r="L3261" s="1055"/>
      <c r="M3261" s="1205"/>
      <c r="N3261" s="1054"/>
      <c r="O3261" s="1207"/>
      <c r="Q3261" s="1207"/>
    </row>
    <row r="3262" spans="3:17" s="700" customFormat="1" ht="70.5" hidden="1" customHeight="1">
      <c r="C3262" s="701"/>
      <c r="D3262" s="811"/>
      <c r="E3262" s="1276">
        <f>[11]building!Y3593</f>
        <v>0</v>
      </c>
      <c r="F3262" s="748">
        <f t="shared" si="289"/>
        <v>0</v>
      </c>
      <c r="G3262" s="1205"/>
      <c r="H3262" s="1055"/>
      <c r="I3262" s="1055"/>
      <c r="J3262" s="1055"/>
      <c r="K3262" s="1205"/>
      <c r="L3262" s="1055"/>
      <c r="M3262" s="1205"/>
      <c r="N3262" s="1054"/>
      <c r="O3262" s="1207"/>
      <c r="Q3262" s="1207"/>
    </row>
    <row r="3263" spans="3:17" s="700" customFormat="1" ht="70.5" hidden="1" customHeight="1">
      <c r="C3263" s="701"/>
      <c r="D3263" s="811"/>
      <c r="E3263" s="1276">
        <f>[11]building!Y3594</f>
        <v>0</v>
      </c>
      <c r="F3263" s="748">
        <f t="shared" si="289"/>
        <v>0</v>
      </c>
      <c r="G3263" s="1205"/>
      <c r="H3263" s="1055"/>
      <c r="I3263" s="1055"/>
      <c r="J3263" s="1055"/>
      <c r="K3263" s="1205"/>
      <c r="L3263" s="1055"/>
      <c r="M3263" s="1205"/>
      <c r="N3263" s="1054"/>
      <c r="O3263" s="1207"/>
      <c r="Q3263" s="1207"/>
    </row>
    <row r="3264" spans="3:17" s="700" customFormat="1" ht="70.5" hidden="1" customHeight="1">
      <c r="C3264" s="701"/>
      <c r="D3264" s="811"/>
      <c r="E3264" s="1276">
        <f>[11]building!Y3595</f>
        <v>0</v>
      </c>
      <c r="F3264" s="748">
        <f t="shared" ref="F3264:F3327" si="290">E3264*C3264</f>
        <v>0</v>
      </c>
      <c r="G3264" s="1205"/>
      <c r="H3264" s="1055"/>
      <c r="I3264" s="1055"/>
      <c r="J3264" s="1055"/>
      <c r="K3264" s="1205"/>
      <c r="L3264" s="1055"/>
      <c r="M3264" s="1205"/>
      <c r="N3264" s="1054"/>
      <c r="O3264" s="1207"/>
      <c r="Q3264" s="1207"/>
    </row>
    <row r="3265" spans="3:17" s="700" customFormat="1" ht="70.5" hidden="1" customHeight="1">
      <c r="C3265" s="701"/>
      <c r="D3265" s="811"/>
      <c r="E3265" s="1276">
        <f>[11]building!Y3596</f>
        <v>0</v>
      </c>
      <c r="F3265" s="748">
        <f t="shared" si="290"/>
        <v>0</v>
      </c>
      <c r="G3265" s="1205"/>
      <c r="H3265" s="1055"/>
      <c r="I3265" s="1055"/>
      <c r="J3265" s="1055"/>
      <c r="K3265" s="1205"/>
      <c r="L3265" s="1055"/>
      <c r="M3265" s="1205"/>
      <c r="N3265" s="1054"/>
      <c r="O3265" s="1207"/>
      <c r="Q3265" s="1207"/>
    </row>
    <row r="3266" spans="3:17" s="700" customFormat="1" ht="70.5" hidden="1" customHeight="1">
      <c r="C3266" s="701"/>
      <c r="D3266" s="811"/>
      <c r="E3266" s="1276">
        <f>[11]building!Y3597</f>
        <v>0</v>
      </c>
      <c r="F3266" s="748">
        <f t="shared" si="290"/>
        <v>0</v>
      </c>
      <c r="G3266" s="1205"/>
      <c r="H3266" s="1055"/>
      <c r="I3266" s="1055"/>
      <c r="J3266" s="1055"/>
      <c r="K3266" s="1205"/>
      <c r="L3266" s="1055"/>
      <c r="M3266" s="1205"/>
      <c r="N3266" s="1054"/>
      <c r="O3266" s="1207"/>
      <c r="Q3266" s="1207"/>
    </row>
    <row r="3267" spans="3:17" s="700" customFormat="1" ht="70.5" hidden="1" customHeight="1">
      <c r="C3267" s="701"/>
      <c r="D3267" s="811"/>
      <c r="E3267" s="1276">
        <f>[11]building!Y3598</f>
        <v>0</v>
      </c>
      <c r="F3267" s="748">
        <f t="shared" si="290"/>
        <v>0</v>
      </c>
      <c r="G3267" s="1205"/>
      <c r="H3267" s="1055"/>
      <c r="I3267" s="1055"/>
      <c r="J3267" s="1055"/>
      <c r="K3267" s="1205"/>
      <c r="L3267" s="1055"/>
      <c r="M3267" s="1205"/>
      <c r="N3267" s="1054"/>
      <c r="O3267" s="1207"/>
      <c r="Q3267" s="1207"/>
    </row>
    <row r="3268" spans="3:17" s="700" customFormat="1" ht="70.5" hidden="1" customHeight="1">
      <c r="C3268" s="701"/>
      <c r="D3268" s="811"/>
      <c r="E3268" s="1276">
        <f>[11]building!Y3599</f>
        <v>0</v>
      </c>
      <c r="F3268" s="748">
        <f t="shared" si="290"/>
        <v>0</v>
      </c>
      <c r="G3268" s="1205"/>
      <c r="H3268" s="1055"/>
      <c r="I3268" s="1055"/>
      <c r="J3268" s="1055"/>
      <c r="K3268" s="1205"/>
      <c r="L3268" s="1055"/>
      <c r="M3268" s="1205"/>
      <c r="N3268" s="1054"/>
      <c r="O3268" s="1207"/>
      <c r="Q3268" s="1207"/>
    </row>
    <row r="3269" spans="3:17" s="700" customFormat="1" ht="70.5" hidden="1" customHeight="1">
      <c r="C3269" s="701"/>
      <c r="D3269" s="811"/>
      <c r="E3269" s="1276">
        <f>[11]building!Y3600</f>
        <v>0</v>
      </c>
      <c r="F3269" s="748">
        <f t="shared" si="290"/>
        <v>0</v>
      </c>
      <c r="G3269" s="1205"/>
      <c r="H3269" s="1055"/>
      <c r="I3269" s="1055"/>
      <c r="J3269" s="1055"/>
      <c r="K3269" s="1205"/>
      <c r="L3269" s="1055"/>
      <c r="M3269" s="1205"/>
      <c r="N3269" s="1054"/>
      <c r="O3269" s="1207"/>
      <c r="Q3269" s="1207"/>
    </row>
    <row r="3270" spans="3:17" s="700" customFormat="1" ht="70.5" hidden="1" customHeight="1">
      <c r="C3270" s="701"/>
      <c r="D3270" s="811"/>
      <c r="E3270" s="1276">
        <f>[11]building!Y3601</f>
        <v>0</v>
      </c>
      <c r="F3270" s="748">
        <f t="shared" si="290"/>
        <v>0</v>
      </c>
      <c r="G3270" s="1205"/>
      <c r="H3270" s="1055"/>
      <c r="I3270" s="1055"/>
      <c r="J3270" s="1055"/>
      <c r="K3270" s="1205"/>
      <c r="L3270" s="1055"/>
      <c r="M3270" s="1205"/>
      <c r="N3270" s="1054"/>
      <c r="O3270" s="1207"/>
      <c r="Q3270" s="1207"/>
    </row>
    <row r="3271" spans="3:17" s="700" customFormat="1" ht="70.5" hidden="1" customHeight="1">
      <c r="C3271" s="701"/>
      <c r="D3271" s="811"/>
      <c r="E3271" s="1276">
        <f>[11]building!Y3602</f>
        <v>0</v>
      </c>
      <c r="F3271" s="748">
        <f t="shared" si="290"/>
        <v>0</v>
      </c>
      <c r="G3271" s="1205"/>
      <c r="H3271" s="1055"/>
      <c r="I3271" s="1055"/>
      <c r="J3271" s="1055"/>
      <c r="K3271" s="1205"/>
      <c r="L3271" s="1055"/>
      <c r="M3271" s="1205"/>
      <c r="N3271" s="1054"/>
      <c r="O3271" s="1207"/>
      <c r="Q3271" s="1207"/>
    </row>
    <row r="3272" spans="3:17" s="700" customFormat="1" ht="70.5" hidden="1" customHeight="1">
      <c r="C3272" s="701"/>
      <c r="D3272" s="811"/>
      <c r="E3272" s="1276">
        <f>[11]building!Y3603</f>
        <v>0</v>
      </c>
      <c r="F3272" s="748">
        <f t="shared" si="290"/>
        <v>0</v>
      </c>
      <c r="G3272" s="1205"/>
      <c r="H3272" s="1055"/>
      <c r="I3272" s="1055"/>
      <c r="J3272" s="1055"/>
      <c r="K3272" s="1205"/>
      <c r="L3272" s="1055"/>
      <c r="M3272" s="1205"/>
      <c r="N3272" s="1054"/>
      <c r="O3272" s="1207"/>
      <c r="Q3272" s="1207"/>
    </row>
    <row r="3273" spans="3:17" s="700" customFormat="1" ht="70.5" hidden="1" customHeight="1">
      <c r="C3273" s="701"/>
      <c r="D3273" s="811"/>
      <c r="E3273" s="1276">
        <f>[11]building!Y3604</f>
        <v>0</v>
      </c>
      <c r="F3273" s="748">
        <f t="shared" si="290"/>
        <v>0</v>
      </c>
      <c r="G3273" s="1205"/>
      <c r="H3273" s="1055"/>
      <c r="I3273" s="1055"/>
      <c r="J3273" s="1055"/>
      <c r="K3273" s="1205"/>
      <c r="L3273" s="1055"/>
      <c r="M3273" s="1205"/>
      <c r="N3273" s="1054"/>
      <c r="O3273" s="1207"/>
      <c r="Q3273" s="1207"/>
    </row>
    <row r="3274" spans="3:17" s="700" customFormat="1" ht="70.5" hidden="1" customHeight="1">
      <c r="C3274" s="701"/>
      <c r="D3274" s="811"/>
      <c r="E3274" s="1276">
        <f>[11]building!Y3605</f>
        <v>0</v>
      </c>
      <c r="F3274" s="748">
        <f t="shared" si="290"/>
        <v>0</v>
      </c>
      <c r="G3274" s="1205"/>
      <c r="H3274" s="1055"/>
      <c r="I3274" s="1055"/>
      <c r="J3274" s="1055"/>
      <c r="K3274" s="1205"/>
      <c r="L3274" s="1055"/>
      <c r="M3274" s="1205"/>
      <c r="N3274" s="1054"/>
      <c r="O3274" s="1207"/>
      <c r="Q3274" s="1207"/>
    </row>
    <row r="3275" spans="3:17" s="700" customFormat="1" ht="70.5" hidden="1" customHeight="1">
      <c r="C3275" s="701"/>
      <c r="D3275" s="811"/>
      <c r="E3275" s="1276">
        <f>[11]building!Y3606</f>
        <v>0</v>
      </c>
      <c r="F3275" s="748">
        <f t="shared" si="290"/>
        <v>0</v>
      </c>
      <c r="G3275" s="1205"/>
      <c r="H3275" s="1055"/>
      <c r="I3275" s="1055"/>
      <c r="J3275" s="1055"/>
      <c r="K3275" s="1205"/>
      <c r="L3275" s="1055"/>
      <c r="M3275" s="1205"/>
      <c r="N3275" s="1054"/>
      <c r="O3275" s="1207"/>
      <c r="Q3275" s="1207"/>
    </row>
    <row r="3276" spans="3:17" s="700" customFormat="1" ht="70.5" hidden="1" customHeight="1">
      <c r="C3276" s="701"/>
      <c r="D3276" s="811"/>
      <c r="E3276" s="1276">
        <f>[11]building!Y3607</f>
        <v>0</v>
      </c>
      <c r="F3276" s="748">
        <f t="shared" si="290"/>
        <v>0</v>
      </c>
      <c r="G3276" s="1205"/>
      <c r="H3276" s="1055"/>
      <c r="I3276" s="1055"/>
      <c r="J3276" s="1055"/>
      <c r="K3276" s="1205"/>
      <c r="L3276" s="1055"/>
      <c r="M3276" s="1205"/>
      <c r="N3276" s="1054"/>
      <c r="O3276" s="1207"/>
      <c r="Q3276" s="1207"/>
    </row>
    <row r="3277" spans="3:17" s="700" customFormat="1" ht="70.5" hidden="1" customHeight="1">
      <c r="C3277" s="701"/>
      <c r="D3277" s="811"/>
      <c r="E3277" s="1276">
        <f>[11]building!Y3608</f>
        <v>0</v>
      </c>
      <c r="F3277" s="748">
        <f t="shared" si="290"/>
        <v>0</v>
      </c>
      <c r="G3277" s="1205"/>
      <c r="H3277" s="1055"/>
      <c r="I3277" s="1055"/>
      <c r="J3277" s="1055"/>
      <c r="K3277" s="1205"/>
      <c r="L3277" s="1055"/>
      <c r="M3277" s="1205"/>
      <c r="N3277" s="1054"/>
      <c r="O3277" s="1207"/>
      <c r="Q3277" s="1207"/>
    </row>
    <row r="3278" spans="3:17" s="700" customFormat="1" ht="70.5" hidden="1" customHeight="1">
      <c r="C3278" s="701"/>
      <c r="D3278" s="811"/>
      <c r="E3278" s="1276">
        <f>[11]building!Y3609</f>
        <v>0</v>
      </c>
      <c r="F3278" s="748">
        <f t="shared" si="290"/>
        <v>0</v>
      </c>
      <c r="G3278" s="1205"/>
      <c r="H3278" s="1055"/>
      <c r="I3278" s="1055"/>
      <c r="J3278" s="1055"/>
      <c r="K3278" s="1205"/>
      <c r="L3278" s="1055"/>
      <c r="M3278" s="1205"/>
      <c r="N3278" s="1054"/>
      <c r="O3278" s="1207"/>
      <c r="Q3278" s="1207"/>
    </row>
    <row r="3279" spans="3:17" s="700" customFormat="1" ht="70.5" hidden="1" customHeight="1">
      <c r="C3279" s="701"/>
      <c r="D3279" s="811"/>
      <c r="E3279" s="1276">
        <f>[11]building!Y3610</f>
        <v>0</v>
      </c>
      <c r="F3279" s="748">
        <f t="shared" si="290"/>
        <v>0</v>
      </c>
      <c r="G3279" s="1205"/>
      <c r="H3279" s="1055"/>
      <c r="I3279" s="1055"/>
      <c r="J3279" s="1055"/>
      <c r="K3279" s="1205"/>
      <c r="L3279" s="1055"/>
      <c r="M3279" s="1205"/>
      <c r="N3279" s="1054"/>
      <c r="O3279" s="1207"/>
      <c r="Q3279" s="1207"/>
    </row>
    <row r="3280" spans="3:17" s="700" customFormat="1" ht="70.5" hidden="1" customHeight="1">
      <c r="C3280" s="701"/>
      <c r="D3280" s="811"/>
      <c r="E3280" s="1276">
        <f>[11]building!Y3611</f>
        <v>0</v>
      </c>
      <c r="F3280" s="748">
        <f t="shared" si="290"/>
        <v>0</v>
      </c>
      <c r="G3280" s="1205"/>
      <c r="H3280" s="1055"/>
      <c r="I3280" s="1055"/>
      <c r="J3280" s="1055"/>
      <c r="K3280" s="1205"/>
      <c r="L3280" s="1055"/>
      <c r="M3280" s="1205"/>
      <c r="N3280" s="1054"/>
      <c r="O3280" s="1207"/>
      <c r="Q3280" s="1207"/>
    </row>
    <row r="3281" spans="3:17" s="700" customFormat="1" ht="70.5" hidden="1" customHeight="1">
      <c r="C3281" s="701"/>
      <c r="D3281" s="811"/>
      <c r="E3281" s="1276">
        <f>[11]building!Y3612</f>
        <v>0</v>
      </c>
      <c r="F3281" s="748">
        <f t="shared" si="290"/>
        <v>0</v>
      </c>
      <c r="G3281" s="1205"/>
      <c r="H3281" s="1055"/>
      <c r="I3281" s="1055"/>
      <c r="J3281" s="1055"/>
      <c r="K3281" s="1205"/>
      <c r="L3281" s="1055"/>
      <c r="M3281" s="1205"/>
      <c r="N3281" s="1054"/>
      <c r="O3281" s="1207"/>
      <c r="Q3281" s="1207"/>
    </row>
    <row r="3282" spans="3:17" s="700" customFormat="1" ht="70.5" hidden="1" customHeight="1">
      <c r="C3282" s="701"/>
      <c r="D3282" s="811"/>
      <c r="E3282" s="1276">
        <f>[11]building!Y3613</f>
        <v>0</v>
      </c>
      <c r="F3282" s="748">
        <f t="shared" si="290"/>
        <v>0</v>
      </c>
      <c r="G3282" s="1205"/>
      <c r="H3282" s="1055"/>
      <c r="I3282" s="1055"/>
      <c r="J3282" s="1055"/>
      <c r="K3282" s="1205"/>
      <c r="L3282" s="1055"/>
      <c r="M3282" s="1205"/>
      <c r="N3282" s="1054"/>
      <c r="O3282" s="1207"/>
      <c r="Q3282" s="1207"/>
    </row>
    <row r="3283" spans="3:17" s="700" customFormat="1" ht="70.5" hidden="1" customHeight="1">
      <c r="C3283" s="701"/>
      <c r="D3283" s="811"/>
      <c r="E3283" s="1276">
        <f>[11]building!Y3614</f>
        <v>0</v>
      </c>
      <c r="F3283" s="748">
        <f t="shared" si="290"/>
        <v>0</v>
      </c>
      <c r="G3283" s="1205"/>
      <c r="H3283" s="1055"/>
      <c r="I3283" s="1055"/>
      <c r="J3283" s="1055"/>
      <c r="K3283" s="1205"/>
      <c r="L3283" s="1055"/>
      <c r="M3283" s="1205"/>
      <c r="N3283" s="1054"/>
      <c r="O3283" s="1207"/>
      <c r="Q3283" s="1207"/>
    </row>
    <row r="3284" spans="3:17" s="700" customFormat="1" ht="70.5" hidden="1" customHeight="1">
      <c r="C3284" s="701"/>
      <c r="D3284" s="811"/>
      <c r="E3284" s="1276">
        <f>[11]building!Y3615</f>
        <v>0</v>
      </c>
      <c r="F3284" s="748">
        <f t="shared" si="290"/>
        <v>0</v>
      </c>
      <c r="G3284" s="1205"/>
      <c r="H3284" s="1055"/>
      <c r="I3284" s="1055"/>
      <c r="J3284" s="1055"/>
      <c r="K3284" s="1205"/>
      <c r="L3284" s="1055"/>
      <c r="M3284" s="1205"/>
      <c r="N3284" s="1054"/>
      <c r="O3284" s="1207"/>
      <c r="Q3284" s="1207"/>
    </row>
    <row r="3285" spans="3:17" s="700" customFormat="1" ht="70.5" hidden="1" customHeight="1">
      <c r="C3285" s="701"/>
      <c r="D3285" s="811"/>
      <c r="E3285" s="1276">
        <f>[11]building!Y3616</f>
        <v>0</v>
      </c>
      <c r="F3285" s="748">
        <f t="shared" si="290"/>
        <v>0</v>
      </c>
      <c r="G3285" s="1205"/>
      <c r="H3285" s="1055"/>
      <c r="I3285" s="1055"/>
      <c r="J3285" s="1055"/>
      <c r="K3285" s="1205"/>
      <c r="L3285" s="1055"/>
      <c r="M3285" s="1205"/>
      <c r="N3285" s="1054"/>
      <c r="O3285" s="1207"/>
      <c r="Q3285" s="1207"/>
    </row>
    <row r="3286" spans="3:17" s="700" customFormat="1" ht="70.5" hidden="1" customHeight="1">
      <c r="C3286" s="701"/>
      <c r="D3286" s="811"/>
      <c r="E3286" s="1276">
        <f>[11]building!Y3617</f>
        <v>0</v>
      </c>
      <c r="F3286" s="748">
        <f t="shared" si="290"/>
        <v>0</v>
      </c>
      <c r="G3286" s="1205"/>
      <c r="H3286" s="1055"/>
      <c r="I3286" s="1055"/>
      <c r="J3286" s="1055"/>
      <c r="K3286" s="1205"/>
      <c r="L3286" s="1055"/>
      <c r="M3286" s="1205"/>
      <c r="N3286" s="1054"/>
      <c r="O3286" s="1207"/>
      <c r="Q3286" s="1207"/>
    </row>
    <row r="3287" spans="3:17" s="700" customFormat="1" ht="70.5" hidden="1" customHeight="1">
      <c r="C3287" s="701"/>
      <c r="D3287" s="811"/>
      <c r="E3287" s="1276">
        <f>[11]building!Y3618</f>
        <v>0</v>
      </c>
      <c r="F3287" s="748">
        <f t="shared" si="290"/>
        <v>0</v>
      </c>
      <c r="G3287" s="1205"/>
      <c r="H3287" s="1055"/>
      <c r="I3287" s="1055"/>
      <c r="J3287" s="1055"/>
      <c r="K3287" s="1205"/>
      <c r="L3287" s="1055"/>
      <c r="M3287" s="1205"/>
      <c r="N3287" s="1054"/>
      <c r="O3287" s="1207"/>
      <c r="Q3287" s="1207"/>
    </row>
    <row r="3288" spans="3:17" s="700" customFormat="1" ht="70.5" hidden="1" customHeight="1">
      <c r="C3288" s="701"/>
      <c r="D3288" s="811"/>
      <c r="E3288" s="1276">
        <f>[11]building!Y3619</f>
        <v>0</v>
      </c>
      <c r="F3288" s="748">
        <f t="shared" si="290"/>
        <v>0</v>
      </c>
      <c r="G3288" s="1205"/>
      <c r="H3288" s="1055"/>
      <c r="I3288" s="1055"/>
      <c r="J3288" s="1055"/>
      <c r="K3288" s="1205"/>
      <c r="L3288" s="1055"/>
      <c r="M3288" s="1205"/>
      <c r="N3288" s="1054"/>
      <c r="O3288" s="1207"/>
      <c r="Q3288" s="1207"/>
    </row>
    <row r="3289" spans="3:17" s="700" customFormat="1" ht="70.5" hidden="1" customHeight="1">
      <c r="C3289" s="701"/>
      <c r="D3289" s="811"/>
      <c r="E3289" s="1276">
        <f>[11]building!Y3620</f>
        <v>0</v>
      </c>
      <c r="F3289" s="748">
        <f t="shared" si="290"/>
        <v>0</v>
      </c>
      <c r="G3289" s="1205"/>
      <c r="H3289" s="1055"/>
      <c r="I3289" s="1055"/>
      <c r="J3289" s="1055"/>
      <c r="K3289" s="1205"/>
      <c r="L3289" s="1055"/>
      <c r="M3289" s="1205"/>
      <c r="N3289" s="1054"/>
      <c r="O3289" s="1207"/>
      <c r="Q3289" s="1207"/>
    </row>
    <row r="3290" spans="3:17" s="700" customFormat="1" ht="70.5" hidden="1" customHeight="1">
      <c r="C3290" s="701"/>
      <c r="D3290" s="811"/>
      <c r="E3290" s="1276">
        <f>[11]building!Y3621</f>
        <v>0</v>
      </c>
      <c r="F3290" s="748">
        <f t="shared" si="290"/>
        <v>0</v>
      </c>
      <c r="G3290" s="1205"/>
      <c r="H3290" s="1055"/>
      <c r="I3290" s="1055"/>
      <c r="J3290" s="1055"/>
      <c r="K3290" s="1205"/>
      <c r="L3290" s="1055"/>
      <c r="M3290" s="1205"/>
      <c r="N3290" s="1054"/>
      <c r="O3290" s="1207"/>
      <c r="Q3290" s="1207"/>
    </row>
    <row r="3291" spans="3:17" s="700" customFormat="1" ht="70.5" hidden="1" customHeight="1">
      <c r="C3291" s="701"/>
      <c r="D3291" s="811"/>
      <c r="E3291" s="1276">
        <f>[11]building!Y3622</f>
        <v>0</v>
      </c>
      <c r="F3291" s="748">
        <f t="shared" si="290"/>
        <v>0</v>
      </c>
      <c r="G3291" s="1205"/>
      <c r="H3291" s="1055"/>
      <c r="I3291" s="1055"/>
      <c r="J3291" s="1055"/>
      <c r="K3291" s="1205"/>
      <c r="L3291" s="1055"/>
      <c r="M3291" s="1205"/>
      <c r="N3291" s="1054"/>
      <c r="O3291" s="1207"/>
      <c r="Q3291" s="1207"/>
    </row>
    <row r="3292" spans="3:17" s="700" customFormat="1" ht="70.5" hidden="1" customHeight="1">
      <c r="C3292" s="701"/>
      <c r="D3292" s="811"/>
      <c r="E3292" s="1276">
        <f>[11]building!Y3623</f>
        <v>0</v>
      </c>
      <c r="F3292" s="748">
        <f t="shared" si="290"/>
        <v>0</v>
      </c>
      <c r="G3292" s="1205"/>
      <c r="H3292" s="1055"/>
      <c r="I3292" s="1055"/>
      <c r="J3292" s="1055"/>
      <c r="K3292" s="1205"/>
      <c r="L3292" s="1055"/>
      <c r="M3292" s="1205"/>
      <c r="N3292" s="1054"/>
      <c r="O3292" s="1207"/>
      <c r="Q3292" s="1207"/>
    </row>
    <row r="3293" spans="3:17" s="700" customFormat="1" ht="70.5" hidden="1" customHeight="1">
      <c r="C3293" s="701"/>
      <c r="D3293" s="811"/>
      <c r="E3293" s="1276">
        <f>[11]building!Y3624</f>
        <v>0</v>
      </c>
      <c r="F3293" s="748">
        <f t="shared" si="290"/>
        <v>0</v>
      </c>
      <c r="G3293" s="1205"/>
      <c r="H3293" s="1055"/>
      <c r="I3293" s="1055"/>
      <c r="J3293" s="1055"/>
      <c r="K3293" s="1205"/>
      <c r="L3293" s="1055"/>
      <c r="M3293" s="1205"/>
      <c r="N3293" s="1054"/>
      <c r="O3293" s="1207"/>
      <c r="Q3293" s="1207"/>
    </row>
    <row r="3294" spans="3:17" s="700" customFormat="1" ht="70.5" hidden="1" customHeight="1">
      <c r="C3294" s="701"/>
      <c r="D3294" s="811"/>
      <c r="E3294" s="1276">
        <f>[11]building!Y3625</f>
        <v>0</v>
      </c>
      <c r="F3294" s="748">
        <f t="shared" si="290"/>
        <v>0</v>
      </c>
      <c r="G3294" s="1205"/>
      <c r="H3294" s="1055"/>
      <c r="I3294" s="1055"/>
      <c r="J3294" s="1055"/>
      <c r="K3294" s="1205"/>
      <c r="L3294" s="1055"/>
      <c r="M3294" s="1205"/>
      <c r="N3294" s="1054"/>
      <c r="O3294" s="1207"/>
      <c r="Q3294" s="1207"/>
    </row>
    <row r="3295" spans="3:17" s="700" customFormat="1" ht="70.5" hidden="1" customHeight="1">
      <c r="C3295" s="701"/>
      <c r="D3295" s="811"/>
      <c r="E3295" s="1276">
        <f>[11]building!Y3626</f>
        <v>0</v>
      </c>
      <c r="F3295" s="748">
        <f t="shared" si="290"/>
        <v>0</v>
      </c>
      <c r="G3295" s="1205"/>
      <c r="H3295" s="1055"/>
      <c r="I3295" s="1055"/>
      <c r="J3295" s="1055"/>
      <c r="K3295" s="1205"/>
      <c r="L3295" s="1055"/>
      <c r="M3295" s="1205"/>
      <c r="N3295" s="1054"/>
      <c r="O3295" s="1207"/>
      <c r="Q3295" s="1207"/>
    </row>
    <row r="3296" spans="3:17" s="700" customFormat="1" ht="70.5" hidden="1" customHeight="1">
      <c r="C3296" s="701"/>
      <c r="D3296" s="811"/>
      <c r="E3296" s="1276">
        <f>[11]building!Y3627</f>
        <v>0</v>
      </c>
      <c r="F3296" s="748">
        <f t="shared" si="290"/>
        <v>0</v>
      </c>
      <c r="G3296" s="1205"/>
      <c r="H3296" s="1055"/>
      <c r="I3296" s="1055"/>
      <c r="J3296" s="1055"/>
      <c r="K3296" s="1205"/>
      <c r="L3296" s="1055"/>
      <c r="M3296" s="1205"/>
      <c r="N3296" s="1054"/>
      <c r="O3296" s="1207"/>
      <c r="Q3296" s="1207"/>
    </row>
    <row r="3297" spans="3:17" s="700" customFormat="1" ht="70.5" hidden="1" customHeight="1">
      <c r="C3297" s="701"/>
      <c r="D3297" s="811"/>
      <c r="E3297" s="1276">
        <f>[11]building!Y3628</f>
        <v>0</v>
      </c>
      <c r="F3297" s="748">
        <f t="shared" si="290"/>
        <v>0</v>
      </c>
      <c r="G3297" s="1205"/>
      <c r="H3297" s="1055"/>
      <c r="I3297" s="1055"/>
      <c r="J3297" s="1055"/>
      <c r="K3297" s="1205"/>
      <c r="L3297" s="1055"/>
      <c r="M3297" s="1205"/>
      <c r="N3297" s="1054"/>
      <c r="O3297" s="1207"/>
      <c r="Q3297" s="1207"/>
    </row>
    <row r="3298" spans="3:17" s="700" customFormat="1" ht="70.5" hidden="1" customHeight="1">
      <c r="C3298" s="701"/>
      <c r="D3298" s="811"/>
      <c r="E3298" s="1276">
        <f>[11]building!Y3629</f>
        <v>0</v>
      </c>
      <c r="F3298" s="748">
        <f t="shared" si="290"/>
        <v>0</v>
      </c>
      <c r="G3298" s="1205"/>
      <c r="H3298" s="1055"/>
      <c r="I3298" s="1055"/>
      <c r="J3298" s="1055"/>
      <c r="K3298" s="1205"/>
      <c r="L3298" s="1055"/>
      <c r="M3298" s="1205"/>
      <c r="N3298" s="1054"/>
      <c r="O3298" s="1207"/>
      <c r="Q3298" s="1207"/>
    </row>
    <row r="3299" spans="3:17" s="700" customFormat="1" ht="70.5" hidden="1" customHeight="1">
      <c r="C3299" s="701"/>
      <c r="D3299" s="811"/>
      <c r="E3299" s="1276">
        <f>[11]building!Y3630</f>
        <v>0</v>
      </c>
      <c r="F3299" s="748">
        <f t="shared" si="290"/>
        <v>0</v>
      </c>
      <c r="G3299" s="1205"/>
      <c r="H3299" s="1055"/>
      <c r="I3299" s="1055"/>
      <c r="J3299" s="1055"/>
      <c r="K3299" s="1205"/>
      <c r="L3299" s="1055"/>
      <c r="M3299" s="1205"/>
      <c r="N3299" s="1054"/>
      <c r="O3299" s="1207"/>
      <c r="Q3299" s="1207"/>
    </row>
    <row r="3300" spans="3:17" s="700" customFormat="1" ht="70.5" hidden="1" customHeight="1">
      <c r="C3300" s="701"/>
      <c r="D3300" s="811"/>
      <c r="E3300" s="1276">
        <f>[11]building!Y3631</f>
        <v>0</v>
      </c>
      <c r="F3300" s="748">
        <f t="shared" si="290"/>
        <v>0</v>
      </c>
      <c r="G3300" s="1205"/>
      <c r="H3300" s="1055"/>
      <c r="I3300" s="1055"/>
      <c r="J3300" s="1055"/>
      <c r="K3300" s="1205"/>
      <c r="L3300" s="1055"/>
      <c r="M3300" s="1205"/>
      <c r="N3300" s="1054"/>
      <c r="O3300" s="1207"/>
      <c r="Q3300" s="1207"/>
    </row>
    <row r="3301" spans="3:17" s="700" customFormat="1" ht="70.5" hidden="1" customHeight="1">
      <c r="C3301" s="701"/>
      <c r="D3301" s="811"/>
      <c r="E3301" s="1276">
        <f>[11]building!Y3632</f>
        <v>0</v>
      </c>
      <c r="F3301" s="748">
        <f t="shared" si="290"/>
        <v>0</v>
      </c>
      <c r="G3301" s="1205"/>
      <c r="H3301" s="1055"/>
      <c r="I3301" s="1055"/>
      <c r="J3301" s="1055"/>
      <c r="K3301" s="1205"/>
      <c r="L3301" s="1055"/>
      <c r="M3301" s="1205"/>
      <c r="N3301" s="1054"/>
      <c r="O3301" s="1207"/>
      <c r="Q3301" s="1207"/>
    </row>
    <row r="3302" spans="3:17" s="700" customFormat="1" ht="70.5" hidden="1" customHeight="1">
      <c r="C3302" s="701"/>
      <c r="D3302" s="811"/>
      <c r="E3302" s="1276">
        <f>[11]building!Y3633</f>
        <v>0</v>
      </c>
      <c r="F3302" s="748">
        <f t="shared" si="290"/>
        <v>0</v>
      </c>
      <c r="G3302" s="1205"/>
      <c r="H3302" s="1055"/>
      <c r="I3302" s="1055"/>
      <c r="J3302" s="1055"/>
      <c r="K3302" s="1205"/>
      <c r="L3302" s="1055"/>
      <c r="M3302" s="1205"/>
      <c r="N3302" s="1054"/>
      <c r="O3302" s="1207"/>
      <c r="Q3302" s="1207"/>
    </row>
    <row r="3303" spans="3:17" s="700" customFormat="1" ht="70.5" hidden="1" customHeight="1">
      <c r="C3303" s="701"/>
      <c r="D3303" s="811"/>
      <c r="E3303" s="1276">
        <f>[11]building!Y3634</f>
        <v>0</v>
      </c>
      <c r="F3303" s="748">
        <f t="shared" si="290"/>
        <v>0</v>
      </c>
      <c r="G3303" s="1205"/>
      <c r="H3303" s="1055"/>
      <c r="I3303" s="1055"/>
      <c r="J3303" s="1055"/>
      <c r="K3303" s="1205"/>
      <c r="L3303" s="1055"/>
      <c r="M3303" s="1205"/>
      <c r="N3303" s="1054"/>
      <c r="O3303" s="1207"/>
      <c r="Q3303" s="1207"/>
    </row>
    <row r="3304" spans="3:17" s="700" customFormat="1" ht="70.5" hidden="1" customHeight="1">
      <c r="C3304" s="701"/>
      <c r="D3304" s="811"/>
      <c r="E3304" s="1276">
        <f>[11]building!Y3635</f>
        <v>0</v>
      </c>
      <c r="F3304" s="748">
        <f t="shared" si="290"/>
        <v>0</v>
      </c>
      <c r="G3304" s="1205"/>
      <c r="H3304" s="1055"/>
      <c r="I3304" s="1055"/>
      <c r="J3304" s="1055"/>
      <c r="K3304" s="1205"/>
      <c r="L3304" s="1055"/>
      <c r="M3304" s="1205"/>
      <c r="N3304" s="1054"/>
      <c r="O3304" s="1207"/>
      <c r="Q3304" s="1207"/>
    </row>
    <row r="3305" spans="3:17" s="700" customFormat="1" ht="70.5" hidden="1" customHeight="1">
      <c r="C3305" s="701"/>
      <c r="D3305" s="811"/>
      <c r="E3305" s="1276">
        <f>[11]building!Y3636</f>
        <v>0</v>
      </c>
      <c r="F3305" s="748">
        <f t="shared" si="290"/>
        <v>0</v>
      </c>
      <c r="G3305" s="1205"/>
      <c r="H3305" s="1055"/>
      <c r="I3305" s="1055"/>
      <c r="J3305" s="1055"/>
      <c r="K3305" s="1205"/>
      <c r="L3305" s="1055"/>
      <c r="M3305" s="1205"/>
      <c r="N3305" s="1054"/>
      <c r="O3305" s="1207"/>
      <c r="Q3305" s="1207"/>
    </row>
    <row r="3306" spans="3:17" s="700" customFormat="1" ht="70.5" hidden="1" customHeight="1">
      <c r="C3306" s="701"/>
      <c r="D3306" s="811"/>
      <c r="E3306" s="1276">
        <f>[11]building!Y3637</f>
        <v>0</v>
      </c>
      <c r="F3306" s="748">
        <f t="shared" si="290"/>
        <v>0</v>
      </c>
      <c r="G3306" s="1205"/>
      <c r="H3306" s="1055"/>
      <c r="I3306" s="1055"/>
      <c r="J3306" s="1055"/>
      <c r="K3306" s="1205"/>
      <c r="L3306" s="1055"/>
      <c r="M3306" s="1205"/>
      <c r="N3306" s="1054"/>
      <c r="O3306" s="1207"/>
      <c r="Q3306" s="1207"/>
    </row>
    <row r="3307" spans="3:17" s="700" customFormat="1" ht="70.5" hidden="1" customHeight="1">
      <c r="C3307" s="701"/>
      <c r="D3307" s="811"/>
      <c r="E3307" s="1276">
        <f>[11]building!Y3638</f>
        <v>0</v>
      </c>
      <c r="F3307" s="748">
        <f t="shared" si="290"/>
        <v>0</v>
      </c>
      <c r="G3307" s="1205"/>
      <c r="H3307" s="1055"/>
      <c r="I3307" s="1055"/>
      <c r="J3307" s="1055"/>
      <c r="K3307" s="1205"/>
      <c r="L3307" s="1055"/>
      <c r="M3307" s="1205"/>
      <c r="N3307" s="1054"/>
      <c r="O3307" s="1207"/>
      <c r="Q3307" s="1207"/>
    </row>
    <row r="3308" spans="3:17" s="700" customFormat="1" ht="70.5" hidden="1" customHeight="1">
      <c r="C3308" s="701"/>
      <c r="D3308" s="811"/>
      <c r="E3308" s="1276">
        <f>[11]building!Y3639</f>
        <v>0</v>
      </c>
      <c r="F3308" s="748">
        <f t="shared" si="290"/>
        <v>0</v>
      </c>
      <c r="G3308" s="1205"/>
      <c r="H3308" s="1055"/>
      <c r="I3308" s="1055"/>
      <c r="J3308" s="1055"/>
      <c r="K3308" s="1205"/>
      <c r="L3308" s="1055"/>
      <c r="M3308" s="1205"/>
      <c r="N3308" s="1054"/>
      <c r="O3308" s="1207"/>
      <c r="Q3308" s="1207"/>
    </row>
    <row r="3309" spans="3:17" s="700" customFormat="1" ht="70.5" hidden="1" customHeight="1">
      <c r="C3309" s="701"/>
      <c r="D3309" s="811"/>
      <c r="E3309" s="1276">
        <f>[11]building!Y3640</f>
        <v>0</v>
      </c>
      <c r="F3309" s="748">
        <f t="shared" si="290"/>
        <v>0</v>
      </c>
      <c r="G3309" s="1205"/>
      <c r="H3309" s="1055"/>
      <c r="I3309" s="1055"/>
      <c r="J3309" s="1055"/>
      <c r="K3309" s="1205"/>
      <c r="L3309" s="1055"/>
      <c r="M3309" s="1205"/>
      <c r="N3309" s="1054"/>
      <c r="O3309" s="1207"/>
      <c r="Q3309" s="1207"/>
    </row>
    <row r="3310" spans="3:17" s="700" customFormat="1" ht="70.5" hidden="1" customHeight="1">
      <c r="C3310" s="701"/>
      <c r="D3310" s="811"/>
      <c r="E3310" s="1276">
        <f>[11]building!Y3641</f>
        <v>0</v>
      </c>
      <c r="F3310" s="748">
        <f t="shared" si="290"/>
        <v>0</v>
      </c>
      <c r="G3310" s="1205"/>
      <c r="H3310" s="1055"/>
      <c r="I3310" s="1055"/>
      <c r="J3310" s="1055"/>
      <c r="K3310" s="1205"/>
      <c r="L3310" s="1055"/>
      <c r="M3310" s="1205"/>
      <c r="N3310" s="1054"/>
      <c r="O3310" s="1207"/>
      <c r="Q3310" s="1207"/>
    </row>
    <row r="3311" spans="3:17" s="700" customFormat="1" ht="70.5" hidden="1" customHeight="1">
      <c r="C3311" s="701"/>
      <c r="D3311" s="811"/>
      <c r="E3311" s="1276">
        <f>[11]building!Y3642</f>
        <v>0</v>
      </c>
      <c r="F3311" s="748">
        <f t="shared" si="290"/>
        <v>0</v>
      </c>
      <c r="G3311" s="1205"/>
      <c r="H3311" s="1055"/>
      <c r="I3311" s="1055"/>
      <c r="J3311" s="1055"/>
      <c r="K3311" s="1205"/>
      <c r="L3311" s="1055"/>
      <c r="M3311" s="1205"/>
      <c r="N3311" s="1054"/>
      <c r="O3311" s="1207"/>
      <c r="Q3311" s="1207"/>
    </row>
    <row r="3312" spans="3:17" s="700" customFormat="1" ht="70.5" hidden="1" customHeight="1">
      <c r="C3312" s="701"/>
      <c r="D3312" s="811"/>
      <c r="E3312" s="1276">
        <f>[11]building!Y3643</f>
        <v>0</v>
      </c>
      <c r="F3312" s="748">
        <f t="shared" si="290"/>
        <v>0</v>
      </c>
      <c r="G3312" s="1205"/>
      <c r="H3312" s="1055"/>
      <c r="I3312" s="1055"/>
      <c r="J3312" s="1055"/>
      <c r="K3312" s="1205"/>
      <c r="L3312" s="1055"/>
      <c r="M3312" s="1205"/>
      <c r="N3312" s="1054"/>
      <c r="O3312" s="1207"/>
      <c r="Q3312" s="1207"/>
    </row>
    <row r="3313" spans="3:17" s="700" customFormat="1" ht="70.5" hidden="1" customHeight="1">
      <c r="C3313" s="701"/>
      <c r="D3313" s="811"/>
      <c r="E3313" s="1276">
        <f>[11]building!Y3644</f>
        <v>0</v>
      </c>
      <c r="F3313" s="748">
        <f t="shared" si="290"/>
        <v>0</v>
      </c>
      <c r="G3313" s="1205"/>
      <c r="H3313" s="1055"/>
      <c r="I3313" s="1055"/>
      <c r="J3313" s="1055"/>
      <c r="K3313" s="1205"/>
      <c r="L3313" s="1055"/>
      <c r="M3313" s="1205"/>
      <c r="N3313" s="1054"/>
      <c r="O3313" s="1207"/>
      <c r="Q3313" s="1207"/>
    </row>
    <row r="3314" spans="3:17" s="700" customFormat="1" ht="70.5" hidden="1" customHeight="1">
      <c r="C3314" s="701"/>
      <c r="D3314" s="811"/>
      <c r="E3314" s="1276">
        <f>[11]building!Y3645</f>
        <v>0</v>
      </c>
      <c r="F3314" s="748">
        <f t="shared" si="290"/>
        <v>0</v>
      </c>
      <c r="G3314" s="1205"/>
      <c r="H3314" s="1055"/>
      <c r="I3314" s="1055"/>
      <c r="J3314" s="1055"/>
      <c r="K3314" s="1205"/>
      <c r="L3314" s="1055"/>
      <c r="M3314" s="1205"/>
      <c r="N3314" s="1054"/>
      <c r="O3314" s="1207"/>
      <c r="Q3314" s="1207"/>
    </row>
    <row r="3315" spans="3:17" s="700" customFormat="1" ht="70.5" hidden="1" customHeight="1">
      <c r="C3315" s="701"/>
      <c r="D3315" s="811"/>
      <c r="E3315" s="1276">
        <f>[11]building!Y3646</f>
        <v>0</v>
      </c>
      <c r="F3315" s="748">
        <f t="shared" si="290"/>
        <v>0</v>
      </c>
      <c r="G3315" s="1205"/>
      <c r="H3315" s="1055"/>
      <c r="I3315" s="1055"/>
      <c r="J3315" s="1055"/>
      <c r="K3315" s="1205"/>
      <c r="L3315" s="1055"/>
      <c r="M3315" s="1205"/>
      <c r="N3315" s="1054"/>
      <c r="O3315" s="1207"/>
      <c r="Q3315" s="1207"/>
    </row>
    <row r="3316" spans="3:17" s="700" customFormat="1" ht="70.5" hidden="1" customHeight="1">
      <c r="C3316" s="701"/>
      <c r="D3316" s="811"/>
      <c r="E3316" s="1276">
        <f>[11]building!Y3647</f>
        <v>0</v>
      </c>
      <c r="F3316" s="748">
        <f t="shared" si="290"/>
        <v>0</v>
      </c>
      <c r="G3316" s="1205"/>
      <c r="H3316" s="1055"/>
      <c r="I3316" s="1055"/>
      <c r="J3316" s="1055"/>
      <c r="K3316" s="1205"/>
      <c r="L3316" s="1055"/>
      <c r="M3316" s="1205"/>
      <c r="N3316" s="1054"/>
      <c r="O3316" s="1207"/>
      <c r="Q3316" s="1207"/>
    </row>
    <row r="3317" spans="3:17" s="700" customFormat="1" ht="70.5" hidden="1" customHeight="1">
      <c r="C3317" s="701"/>
      <c r="D3317" s="811"/>
      <c r="E3317" s="1276">
        <f>[11]building!Y3648</f>
        <v>0</v>
      </c>
      <c r="F3317" s="748">
        <f t="shared" si="290"/>
        <v>0</v>
      </c>
      <c r="G3317" s="1205"/>
      <c r="H3317" s="1055"/>
      <c r="I3317" s="1055"/>
      <c r="J3317" s="1055"/>
      <c r="K3317" s="1205"/>
      <c r="L3317" s="1055"/>
      <c r="M3317" s="1205"/>
      <c r="N3317" s="1054"/>
      <c r="O3317" s="1207"/>
      <c r="Q3317" s="1207"/>
    </row>
    <row r="3318" spans="3:17" s="700" customFormat="1" ht="70.5" hidden="1" customHeight="1">
      <c r="C3318" s="701"/>
      <c r="D3318" s="811"/>
      <c r="E3318" s="1276">
        <f>[11]building!Y3649</f>
        <v>0</v>
      </c>
      <c r="F3318" s="748">
        <f t="shared" si="290"/>
        <v>0</v>
      </c>
      <c r="G3318" s="1205"/>
      <c r="H3318" s="1055"/>
      <c r="I3318" s="1055"/>
      <c r="J3318" s="1055"/>
      <c r="K3318" s="1205"/>
      <c r="L3318" s="1055"/>
      <c r="M3318" s="1205"/>
      <c r="N3318" s="1054"/>
      <c r="O3318" s="1207"/>
      <c r="Q3318" s="1207"/>
    </row>
    <row r="3319" spans="3:17" s="700" customFormat="1" ht="70.5" hidden="1" customHeight="1">
      <c r="C3319" s="701"/>
      <c r="D3319" s="811"/>
      <c r="E3319" s="1276">
        <f>[11]building!Y3650</f>
        <v>0</v>
      </c>
      <c r="F3319" s="748">
        <f t="shared" si="290"/>
        <v>0</v>
      </c>
      <c r="G3319" s="1205"/>
      <c r="H3319" s="1055"/>
      <c r="I3319" s="1055"/>
      <c r="J3319" s="1055"/>
      <c r="K3319" s="1205"/>
      <c r="L3319" s="1055"/>
      <c r="M3319" s="1205"/>
      <c r="N3319" s="1054"/>
      <c r="O3319" s="1207"/>
      <c r="Q3319" s="1207"/>
    </row>
    <row r="3320" spans="3:17" s="700" customFormat="1" ht="70.5" hidden="1" customHeight="1">
      <c r="C3320" s="701"/>
      <c r="D3320" s="811"/>
      <c r="E3320" s="1276">
        <f>[11]building!Y3651</f>
        <v>0</v>
      </c>
      <c r="F3320" s="748">
        <f t="shared" si="290"/>
        <v>0</v>
      </c>
      <c r="G3320" s="1205"/>
      <c r="H3320" s="1055"/>
      <c r="I3320" s="1055"/>
      <c r="J3320" s="1055"/>
      <c r="K3320" s="1205"/>
      <c r="L3320" s="1055"/>
      <c r="M3320" s="1205"/>
      <c r="N3320" s="1054"/>
      <c r="O3320" s="1207"/>
      <c r="Q3320" s="1207"/>
    </row>
    <row r="3321" spans="3:17" s="700" customFormat="1" ht="70.5" hidden="1" customHeight="1">
      <c r="C3321" s="701"/>
      <c r="D3321" s="811"/>
      <c r="E3321" s="1276">
        <f>[11]building!Y3652</f>
        <v>0</v>
      </c>
      <c r="F3321" s="748">
        <f t="shared" si="290"/>
        <v>0</v>
      </c>
      <c r="G3321" s="1205"/>
      <c r="H3321" s="1055"/>
      <c r="I3321" s="1055"/>
      <c r="J3321" s="1055"/>
      <c r="K3321" s="1205"/>
      <c r="L3321" s="1055"/>
      <c r="M3321" s="1205"/>
      <c r="N3321" s="1054"/>
      <c r="O3321" s="1207"/>
      <c r="Q3321" s="1207"/>
    </row>
    <row r="3322" spans="3:17" s="700" customFormat="1" ht="70.5" hidden="1" customHeight="1">
      <c r="C3322" s="701"/>
      <c r="D3322" s="811"/>
      <c r="E3322" s="1276">
        <f>[11]building!Y3653</f>
        <v>0</v>
      </c>
      <c r="F3322" s="748">
        <f t="shared" si="290"/>
        <v>0</v>
      </c>
      <c r="G3322" s="1205"/>
      <c r="H3322" s="1055"/>
      <c r="I3322" s="1055"/>
      <c r="J3322" s="1055"/>
      <c r="K3322" s="1205"/>
      <c r="L3322" s="1055"/>
      <c r="M3322" s="1205"/>
      <c r="N3322" s="1054"/>
      <c r="O3322" s="1207"/>
      <c r="Q3322" s="1207"/>
    </row>
    <row r="3323" spans="3:17" s="700" customFormat="1" ht="70.5" hidden="1" customHeight="1">
      <c r="C3323" s="701"/>
      <c r="D3323" s="811"/>
      <c r="E3323" s="1276">
        <f>[11]building!Y3654</f>
        <v>0</v>
      </c>
      <c r="F3323" s="748">
        <f t="shared" si="290"/>
        <v>0</v>
      </c>
      <c r="G3323" s="1205"/>
      <c r="H3323" s="1055"/>
      <c r="I3323" s="1055"/>
      <c r="J3323" s="1055"/>
      <c r="K3323" s="1205"/>
      <c r="L3323" s="1055"/>
      <c r="M3323" s="1205"/>
      <c r="N3323" s="1054"/>
      <c r="O3323" s="1207"/>
      <c r="Q3323" s="1207"/>
    </row>
    <row r="3324" spans="3:17" s="700" customFormat="1" ht="70.5" hidden="1" customHeight="1">
      <c r="C3324" s="701"/>
      <c r="D3324" s="811"/>
      <c r="E3324" s="1276">
        <f>[11]building!Y3655</f>
        <v>0</v>
      </c>
      <c r="F3324" s="748">
        <f t="shared" si="290"/>
        <v>0</v>
      </c>
      <c r="G3324" s="1205"/>
      <c r="H3324" s="1055"/>
      <c r="I3324" s="1055"/>
      <c r="J3324" s="1055"/>
      <c r="K3324" s="1205"/>
      <c r="L3324" s="1055"/>
      <c r="M3324" s="1205"/>
      <c r="N3324" s="1054"/>
      <c r="O3324" s="1207"/>
      <c r="Q3324" s="1207"/>
    </row>
    <row r="3325" spans="3:17" s="700" customFormat="1" ht="70.5" hidden="1" customHeight="1">
      <c r="C3325" s="701"/>
      <c r="D3325" s="811"/>
      <c r="E3325" s="1276">
        <f>[11]building!Y3656</f>
        <v>0</v>
      </c>
      <c r="F3325" s="748">
        <f t="shared" si="290"/>
        <v>0</v>
      </c>
      <c r="G3325" s="1205"/>
      <c r="H3325" s="1055"/>
      <c r="I3325" s="1055"/>
      <c r="J3325" s="1055"/>
      <c r="K3325" s="1205"/>
      <c r="L3325" s="1055"/>
      <c r="M3325" s="1205"/>
      <c r="N3325" s="1054"/>
      <c r="O3325" s="1207"/>
      <c r="Q3325" s="1207"/>
    </row>
    <row r="3326" spans="3:17" s="700" customFormat="1" ht="70.5" hidden="1" customHeight="1">
      <c r="C3326" s="701"/>
      <c r="D3326" s="811"/>
      <c r="E3326" s="1276">
        <f>[11]building!Y3657</f>
        <v>0</v>
      </c>
      <c r="F3326" s="748">
        <f t="shared" si="290"/>
        <v>0</v>
      </c>
      <c r="G3326" s="1205"/>
      <c r="H3326" s="1055"/>
      <c r="I3326" s="1055"/>
      <c r="J3326" s="1055"/>
      <c r="K3326" s="1205"/>
      <c r="L3326" s="1055"/>
      <c r="M3326" s="1205"/>
      <c r="N3326" s="1054"/>
      <c r="O3326" s="1207"/>
      <c r="Q3326" s="1207"/>
    </row>
    <row r="3327" spans="3:17" s="700" customFormat="1" ht="70.5" hidden="1" customHeight="1">
      <c r="C3327" s="701"/>
      <c r="D3327" s="811"/>
      <c r="E3327" s="1276">
        <f>[11]building!Y3658</f>
        <v>0</v>
      </c>
      <c r="F3327" s="748">
        <f t="shared" si="290"/>
        <v>0</v>
      </c>
      <c r="G3327" s="1205"/>
      <c r="H3327" s="1055"/>
      <c r="I3327" s="1055"/>
      <c r="J3327" s="1055"/>
      <c r="K3327" s="1205"/>
      <c r="L3327" s="1055"/>
      <c r="M3327" s="1205"/>
      <c r="N3327" s="1054"/>
      <c r="O3327" s="1207"/>
      <c r="Q3327" s="1207"/>
    </row>
    <row r="3328" spans="3:17" s="700" customFormat="1" ht="70.5" hidden="1" customHeight="1">
      <c r="C3328" s="701"/>
      <c r="D3328" s="811"/>
      <c r="E3328" s="1276">
        <f>[11]building!Y3659</f>
        <v>0</v>
      </c>
      <c r="F3328" s="748">
        <f t="shared" ref="F3328:F3391" si="291">E3328*C3328</f>
        <v>0</v>
      </c>
      <c r="G3328" s="1205"/>
      <c r="H3328" s="1055"/>
      <c r="I3328" s="1055"/>
      <c r="J3328" s="1055"/>
      <c r="K3328" s="1205"/>
      <c r="L3328" s="1055"/>
      <c r="M3328" s="1205"/>
      <c r="N3328" s="1054"/>
      <c r="O3328" s="1207"/>
      <c r="Q3328" s="1207"/>
    </row>
    <row r="3329" spans="3:17" s="700" customFormat="1" ht="70.5" hidden="1" customHeight="1">
      <c r="C3329" s="701"/>
      <c r="D3329" s="811"/>
      <c r="E3329" s="1276">
        <f>[11]building!Y3660</f>
        <v>0</v>
      </c>
      <c r="F3329" s="748">
        <f t="shared" si="291"/>
        <v>0</v>
      </c>
      <c r="G3329" s="1205"/>
      <c r="H3329" s="1055"/>
      <c r="I3329" s="1055"/>
      <c r="J3329" s="1055"/>
      <c r="K3329" s="1205"/>
      <c r="L3329" s="1055"/>
      <c r="M3329" s="1205"/>
      <c r="N3329" s="1054"/>
      <c r="O3329" s="1207"/>
      <c r="Q3329" s="1207"/>
    </row>
    <row r="3330" spans="3:17" s="700" customFormat="1" ht="70.5" hidden="1" customHeight="1">
      <c r="C3330" s="701"/>
      <c r="D3330" s="811"/>
      <c r="E3330" s="1276">
        <f>[11]building!Y3661</f>
        <v>0</v>
      </c>
      <c r="F3330" s="748">
        <f t="shared" si="291"/>
        <v>0</v>
      </c>
      <c r="G3330" s="1205"/>
      <c r="H3330" s="1055"/>
      <c r="I3330" s="1055"/>
      <c r="J3330" s="1055"/>
      <c r="K3330" s="1205"/>
      <c r="L3330" s="1055"/>
      <c r="M3330" s="1205"/>
      <c r="N3330" s="1054"/>
      <c r="O3330" s="1207"/>
      <c r="Q3330" s="1207"/>
    </row>
    <row r="3331" spans="3:17" s="700" customFormat="1" ht="70.5" hidden="1" customHeight="1">
      <c r="C3331" s="701"/>
      <c r="D3331" s="811"/>
      <c r="E3331" s="1276">
        <f>[11]building!Y3662</f>
        <v>0</v>
      </c>
      <c r="F3331" s="748">
        <f t="shared" si="291"/>
        <v>0</v>
      </c>
      <c r="G3331" s="1205"/>
      <c r="H3331" s="1055"/>
      <c r="I3331" s="1055"/>
      <c r="J3331" s="1055"/>
      <c r="K3331" s="1205"/>
      <c r="L3331" s="1055"/>
      <c r="M3331" s="1205"/>
      <c r="N3331" s="1054"/>
      <c r="O3331" s="1207"/>
      <c r="Q3331" s="1207"/>
    </row>
    <row r="3332" spans="3:17" s="700" customFormat="1" ht="70.5" hidden="1" customHeight="1">
      <c r="C3332" s="701"/>
      <c r="D3332" s="811"/>
      <c r="E3332" s="1276">
        <f>[11]building!Y3663</f>
        <v>0</v>
      </c>
      <c r="F3332" s="748">
        <f t="shared" si="291"/>
        <v>0</v>
      </c>
      <c r="G3332" s="1205"/>
      <c r="H3332" s="1055"/>
      <c r="I3332" s="1055"/>
      <c r="J3332" s="1055"/>
      <c r="K3332" s="1205"/>
      <c r="L3332" s="1055"/>
      <c r="M3332" s="1205"/>
      <c r="N3332" s="1054"/>
      <c r="O3332" s="1207"/>
      <c r="Q3332" s="1207"/>
    </row>
    <row r="3333" spans="3:17" s="700" customFormat="1" ht="70.5" hidden="1" customHeight="1">
      <c r="C3333" s="701"/>
      <c r="D3333" s="811"/>
      <c r="E3333" s="1276">
        <f>[11]building!Y3664</f>
        <v>0</v>
      </c>
      <c r="F3333" s="748">
        <f t="shared" si="291"/>
        <v>0</v>
      </c>
      <c r="G3333" s="1205"/>
      <c r="H3333" s="1055"/>
      <c r="I3333" s="1055"/>
      <c r="J3333" s="1055"/>
      <c r="K3333" s="1205"/>
      <c r="L3333" s="1055"/>
      <c r="M3333" s="1205"/>
      <c r="N3333" s="1054"/>
      <c r="O3333" s="1207"/>
      <c r="Q3333" s="1207"/>
    </row>
    <row r="3334" spans="3:17" s="700" customFormat="1" ht="70.5" hidden="1" customHeight="1">
      <c r="C3334" s="701"/>
      <c r="D3334" s="811"/>
      <c r="E3334" s="1276">
        <f>[11]building!Y3665</f>
        <v>0</v>
      </c>
      <c r="F3334" s="748">
        <f t="shared" si="291"/>
        <v>0</v>
      </c>
      <c r="G3334" s="1205"/>
      <c r="H3334" s="1055"/>
      <c r="I3334" s="1055"/>
      <c r="J3334" s="1055"/>
      <c r="K3334" s="1205"/>
      <c r="L3334" s="1055"/>
      <c r="M3334" s="1205"/>
      <c r="N3334" s="1054"/>
      <c r="O3334" s="1207"/>
      <c r="Q3334" s="1207"/>
    </row>
    <row r="3335" spans="3:17" s="700" customFormat="1" ht="70.5" hidden="1" customHeight="1">
      <c r="C3335" s="701"/>
      <c r="D3335" s="811"/>
      <c r="E3335" s="1276">
        <f>[11]building!Y3666</f>
        <v>0</v>
      </c>
      <c r="F3335" s="748">
        <f t="shared" si="291"/>
        <v>0</v>
      </c>
      <c r="G3335" s="1205"/>
      <c r="H3335" s="1055"/>
      <c r="I3335" s="1055"/>
      <c r="J3335" s="1055"/>
      <c r="K3335" s="1205"/>
      <c r="L3335" s="1055"/>
      <c r="M3335" s="1205"/>
      <c r="N3335" s="1054"/>
      <c r="O3335" s="1207"/>
      <c r="Q3335" s="1207"/>
    </row>
    <row r="3336" spans="3:17" s="700" customFormat="1" ht="70.5" hidden="1" customHeight="1">
      <c r="C3336" s="701"/>
      <c r="D3336" s="811"/>
      <c r="E3336" s="1276">
        <f>[11]building!Y3667</f>
        <v>0</v>
      </c>
      <c r="F3336" s="748">
        <f t="shared" si="291"/>
        <v>0</v>
      </c>
      <c r="G3336" s="1205"/>
      <c r="H3336" s="1055"/>
      <c r="I3336" s="1055"/>
      <c r="J3336" s="1055"/>
      <c r="K3336" s="1205"/>
      <c r="L3336" s="1055"/>
      <c r="M3336" s="1205"/>
      <c r="N3336" s="1054"/>
      <c r="O3336" s="1207"/>
      <c r="Q3336" s="1207"/>
    </row>
    <row r="3337" spans="3:17" s="700" customFormat="1" ht="70.5" hidden="1" customHeight="1">
      <c r="C3337" s="701"/>
      <c r="D3337" s="811"/>
      <c r="E3337" s="1276">
        <f>[11]building!Y3668</f>
        <v>0</v>
      </c>
      <c r="F3337" s="748">
        <f t="shared" si="291"/>
        <v>0</v>
      </c>
      <c r="G3337" s="1205"/>
      <c r="H3337" s="1055"/>
      <c r="I3337" s="1055"/>
      <c r="J3337" s="1055"/>
      <c r="K3337" s="1205"/>
      <c r="L3337" s="1055"/>
      <c r="M3337" s="1205"/>
      <c r="N3337" s="1054"/>
      <c r="O3337" s="1207"/>
      <c r="Q3337" s="1207"/>
    </row>
    <row r="3338" spans="3:17" s="700" customFormat="1" ht="70.5" hidden="1" customHeight="1">
      <c r="C3338" s="701"/>
      <c r="D3338" s="811"/>
      <c r="E3338" s="1276">
        <f>[11]building!Y3669</f>
        <v>0</v>
      </c>
      <c r="F3338" s="748">
        <f t="shared" si="291"/>
        <v>0</v>
      </c>
      <c r="G3338" s="1205"/>
      <c r="H3338" s="1055"/>
      <c r="I3338" s="1055"/>
      <c r="J3338" s="1055"/>
      <c r="K3338" s="1205"/>
      <c r="L3338" s="1055"/>
      <c r="M3338" s="1205"/>
      <c r="N3338" s="1054"/>
      <c r="O3338" s="1207"/>
      <c r="Q3338" s="1207"/>
    </row>
    <row r="3339" spans="3:17" s="700" customFormat="1" ht="70.5" hidden="1" customHeight="1">
      <c r="C3339" s="701"/>
      <c r="D3339" s="811"/>
      <c r="E3339" s="1276">
        <f>[11]building!Y3670</f>
        <v>0</v>
      </c>
      <c r="F3339" s="748">
        <f t="shared" si="291"/>
        <v>0</v>
      </c>
      <c r="G3339" s="1205"/>
      <c r="H3339" s="1055"/>
      <c r="I3339" s="1055"/>
      <c r="J3339" s="1055"/>
      <c r="K3339" s="1205"/>
      <c r="L3339" s="1055"/>
      <c r="M3339" s="1205"/>
      <c r="N3339" s="1054"/>
      <c r="O3339" s="1207"/>
      <c r="Q3339" s="1207"/>
    </row>
    <row r="3340" spans="3:17" s="700" customFormat="1" ht="70.5" hidden="1" customHeight="1">
      <c r="C3340" s="701"/>
      <c r="D3340" s="811"/>
      <c r="E3340" s="1276">
        <f>[11]building!Y3671</f>
        <v>0</v>
      </c>
      <c r="F3340" s="748">
        <f t="shared" si="291"/>
        <v>0</v>
      </c>
      <c r="G3340" s="1205"/>
      <c r="H3340" s="1055"/>
      <c r="I3340" s="1055"/>
      <c r="J3340" s="1055"/>
      <c r="K3340" s="1205"/>
      <c r="L3340" s="1055"/>
      <c r="M3340" s="1205"/>
      <c r="N3340" s="1054"/>
      <c r="O3340" s="1207"/>
      <c r="Q3340" s="1207"/>
    </row>
    <row r="3341" spans="3:17" s="700" customFormat="1" ht="70.5" hidden="1" customHeight="1">
      <c r="C3341" s="701"/>
      <c r="D3341" s="811"/>
      <c r="E3341" s="1276">
        <f>[11]building!Y3672</f>
        <v>0</v>
      </c>
      <c r="F3341" s="748">
        <f t="shared" si="291"/>
        <v>0</v>
      </c>
      <c r="G3341" s="1205"/>
      <c r="H3341" s="1055"/>
      <c r="I3341" s="1055"/>
      <c r="J3341" s="1055"/>
      <c r="K3341" s="1205"/>
      <c r="L3341" s="1055"/>
      <c r="M3341" s="1205"/>
      <c r="N3341" s="1054"/>
      <c r="O3341" s="1207"/>
      <c r="Q3341" s="1207"/>
    </row>
    <row r="3342" spans="3:17" s="700" customFormat="1" ht="70.5" hidden="1" customHeight="1">
      <c r="C3342" s="701"/>
      <c r="D3342" s="811"/>
      <c r="E3342" s="1276">
        <f>[11]building!Y3673</f>
        <v>0</v>
      </c>
      <c r="F3342" s="748">
        <f t="shared" si="291"/>
        <v>0</v>
      </c>
      <c r="G3342" s="1205"/>
      <c r="H3342" s="1055"/>
      <c r="I3342" s="1055"/>
      <c r="J3342" s="1055"/>
      <c r="K3342" s="1205"/>
      <c r="L3342" s="1055"/>
      <c r="M3342" s="1205"/>
      <c r="N3342" s="1054"/>
      <c r="O3342" s="1207"/>
      <c r="Q3342" s="1207"/>
    </row>
    <row r="3343" spans="3:17" s="700" customFormat="1" ht="70.5" hidden="1" customHeight="1">
      <c r="C3343" s="701"/>
      <c r="D3343" s="811"/>
      <c r="E3343" s="1276">
        <f>[11]building!Y3674</f>
        <v>0</v>
      </c>
      <c r="F3343" s="748">
        <f t="shared" si="291"/>
        <v>0</v>
      </c>
      <c r="G3343" s="1205"/>
      <c r="H3343" s="1055"/>
      <c r="I3343" s="1055"/>
      <c r="J3343" s="1055"/>
      <c r="K3343" s="1205"/>
      <c r="L3343" s="1055"/>
      <c r="M3343" s="1205"/>
      <c r="N3343" s="1054"/>
      <c r="O3343" s="1207"/>
      <c r="Q3343" s="1207"/>
    </row>
    <row r="3344" spans="3:17" s="700" customFormat="1" ht="70.5" hidden="1" customHeight="1">
      <c r="C3344" s="701"/>
      <c r="D3344" s="811"/>
      <c r="E3344" s="1276">
        <f>[11]building!Y3675</f>
        <v>0</v>
      </c>
      <c r="F3344" s="748">
        <f t="shared" si="291"/>
        <v>0</v>
      </c>
      <c r="G3344" s="1205"/>
      <c r="H3344" s="1055"/>
      <c r="I3344" s="1055"/>
      <c r="J3344" s="1055"/>
      <c r="K3344" s="1205"/>
      <c r="L3344" s="1055"/>
      <c r="M3344" s="1205"/>
      <c r="N3344" s="1054"/>
      <c r="O3344" s="1207"/>
      <c r="Q3344" s="1207"/>
    </row>
    <row r="3345" spans="3:17" s="700" customFormat="1" ht="70.5" hidden="1" customHeight="1">
      <c r="C3345" s="701"/>
      <c r="D3345" s="811"/>
      <c r="E3345" s="1276">
        <f>[11]building!Y3676</f>
        <v>0</v>
      </c>
      <c r="F3345" s="748">
        <f t="shared" si="291"/>
        <v>0</v>
      </c>
      <c r="G3345" s="1205"/>
      <c r="H3345" s="1055"/>
      <c r="I3345" s="1055"/>
      <c r="J3345" s="1055"/>
      <c r="K3345" s="1205"/>
      <c r="L3345" s="1055"/>
      <c r="M3345" s="1205"/>
      <c r="N3345" s="1054"/>
      <c r="O3345" s="1207"/>
      <c r="Q3345" s="1207"/>
    </row>
    <row r="3346" spans="3:17" s="700" customFormat="1" ht="70.5" hidden="1" customHeight="1">
      <c r="C3346" s="701"/>
      <c r="D3346" s="811"/>
      <c r="E3346" s="1276">
        <f>[11]building!Y3677</f>
        <v>0</v>
      </c>
      <c r="F3346" s="748">
        <f t="shared" si="291"/>
        <v>0</v>
      </c>
      <c r="G3346" s="1205"/>
      <c r="H3346" s="1055"/>
      <c r="I3346" s="1055"/>
      <c r="J3346" s="1055"/>
      <c r="K3346" s="1205"/>
      <c r="L3346" s="1055"/>
      <c r="M3346" s="1205"/>
      <c r="N3346" s="1054"/>
      <c r="O3346" s="1207"/>
      <c r="Q3346" s="1207"/>
    </row>
    <row r="3347" spans="3:17" s="700" customFormat="1" ht="70.5" hidden="1" customHeight="1">
      <c r="C3347" s="701"/>
      <c r="D3347" s="811"/>
      <c r="E3347" s="1276">
        <f>[11]building!Y3678</f>
        <v>0</v>
      </c>
      <c r="F3347" s="748">
        <f t="shared" si="291"/>
        <v>0</v>
      </c>
      <c r="G3347" s="1205"/>
      <c r="H3347" s="1055"/>
      <c r="I3347" s="1055"/>
      <c r="J3347" s="1055"/>
      <c r="K3347" s="1205"/>
      <c r="L3347" s="1055"/>
      <c r="M3347" s="1205"/>
      <c r="N3347" s="1054"/>
      <c r="O3347" s="1207"/>
      <c r="Q3347" s="1207"/>
    </row>
    <row r="3348" spans="3:17" s="700" customFormat="1" ht="70.5" hidden="1" customHeight="1">
      <c r="C3348" s="701"/>
      <c r="D3348" s="811"/>
      <c r="E3348" s="1276">
        <f>[11]building!Y3679</f>
        <v>0</v>
      </c>
      <c r="F3348" s="748">
        <f t="shared" si="291"/>
        <v>0</v>
      </c>
      <c r="G3348" s="1205"/>
      <c r="H3348" s="1055"/>
      <c r="I3348" s="1055"/>
      <c r="J3348" s="1055"/>
      <c r="K3348" s="1205"/>
      <c r="L3348" s="1055"/>
      <c r="M3348" s="1205"/>
      <c r="N3348" s="1054"/>
      <c r="O3348" s="1207"/>
      <c r="Q3348" s="1207"/>
    </row>
    <row r="3349" spans="3:17" s="700" customFormat="1" ht="70.5" hidden="1" customHeight="1">
      <c r="C3349" s="701"/>
      <c r="D3349" s="811"/>
      <c r="E3349" s="1276">
        <f>[11]building!Y3680</f>
        <v>0</v>
      </c>
      <c r="F3349" s="748">
        <f t="shared" si="291"/>
        <v>0</v>
      </c>
      <c r="G3349" s="1205"/>
      <c r="H3349" s="1055"/>
      <c r="I3349" s="1055"/>
      <c r="J3349" s="1055"/>
      <c r="K3349" s="1205"/>
      <c r="L3349" s="1055"/>
      <c r="M3349" s="1205"/>
      <c r="N3349" s="1054"/>
      <c r="O3349" s="1207"/>
      <c r="Q3349" s="1207"/>
    </row>
    <row r="3350" spans="3:17" s="700" customFormat="1" ht="70.5" hidden="1" customHeight="1">
      <c r="C3350" s="701"/>
      <c r="D3350" s="811"/>
      <c r="E3350" s="1276">
        <f>[11]building!Y3681</f>
        <v>0</v>
      </c>
      <c r="F3350" s="748">
        <f t="shared" si="291"/>
        <v>0</v>
      </c>
      <c r="G3350" s="1205"/>
      <c r="H3350" s="1055"/>
      <c r="I3350" s="1055"/>
      <c r="J3350" s="1055"/>
      <c r="K3350" s="1205"/>
      <c r="L3350" s="1055"/>
      <c r="M3350" s="1205"/>
      <c r="N3350" s="1054"/>
      <c r="O3350" s="1207"/>
      <c r="Q3350" s="1207"/>
    </row>
    <row r="3351" spans="3:17" s="700" customFormat="1" ht="70.5" hidden="1" customHeight="1">
      <c r="C3351" s="701"/>
      <c r="D3351" s="811"/>
      <c r="E3351" s="1276">
        <f>[11]building!Y3682</f>
        <v>0</v>
      </c>
      <c r="F3351" s="748">
        <f t="shared" si="291"/>
        <v>0</v>
      </c>
      <c r="G3351" s="1205"/>
      <c r="H3351" s="1055"/>
      <c r="I3351" s="1055"/>
      <c r="J3351" s="1055"/>
      <c r="K3351" s="1205"/>
      <c r="L3351" s="1055"/>
      <c r="M3351" s="1205"/>
      <c r="N3351" s="1054"/>
      <c r="O3351" s="1207"/>
      <c r="Q3351" s="1207"/>
    </row>
    <row r="3352" spans="3:17" s="700" customFormat="1" ht="70.5" hidden="1" customHeight="1">
      <c r="C3352" s="701"/>
      <c r="D3352" s="811"/>
      <c r="E3352" s="1276">
        <f>[11]building!Y3683</f>
        <v>0</v>
      </c>
      <c r="F3352" s="748">
        <f t="shared" si="291"/>
        <v>0</v>
      </c>
      <c r="G3352" s="1205"/>
      <c r="H3352" s="1055"/>
      <c r="I3352" s="1055"/>
      <c r="J3352" s="1055"/>
      <c r="K3352" s="1205"/>
      <c r="L3352" s="1055"/>
      <c r="M3352" s="1205"/>
      <c r="N3352" s="1054"/>
      <c r="O3352" s="1207"/>
      <c r="Q3352" s="1207"/>
    </row>
    <row r="3353" spans="3:17" s="700" customFormat="1" ht="70.5" hidden="1" customHeight="1">
      <c r="C3353" s="701"/>
      <c r="D3353" s="811"/>
      <c r="E3353" s="1276">
        <f>[11]building!Y3684</f>
        <v>0</v>
      </c>
      <c r="F3353" s="748">
        <f t="shared" si="291"/>
        <v>0</v>
      </c>
      <c r="G3353" s="1205"/>
      <c r="H3353" s="1055"/>
      <c r="I3353" s="1055"/>
      <c r="J3353" s="1055"/>
      <c r="K3353" s="1205"/>
      <c r="L3353" s="1055"/>
      <c r="M3353" s="1205"/>
      <c r="N3353" s="1054"/>
      <c r="O3353" s="1207"/>
      <c r="Q3353" s="1207"/>
    </row>
    <row r="3354" spans="3:17" s="700" customFormat="1" ht="70.5" hidden="1" customHeight="1">
      <c r="C3354" s="701"/>
      <c r="D3354" s="811"/>
      <c r="E3354" s="1276">
        <f>[11]building!Y3685</f>
        <v>0</v>
      </c>
      <c r="F3354" s="748">
        <f t="shared" si="291"/>
        <v>0</v>
      </c>
      <c r="G3354" s="1205"/>
      <c r="H3354" s="1055"/>
      <c r="I3354" s="1055"/>
      <c r="J3354" s="1055"/>
      <c r="K3354" s="1205"/>
      <c r="L3354" s="1055"/>
      <c r="M3354" s="1205"/>
      <c r="N3354" s="1054"/>
      <c r="O3354" s="1207"/>
      <c r="Q3354" s="1207"/>
    </row>
    <row r="3355" spans="3:17" s="700" customFormat="1" ht="70.5" hidden="1" customHeight="1">
      <c r="C3355" s="701"/>
      <c r="D3355" s="811"/>
      <c r="E3355" s="1276">
        <f>[11]building!Y3686</f>
        <v>0</v>
      </c>
      <c r="F3355" s="748">
        <f t="shared" si="291"/>
        <v>0</v>
      </c>
      <c r="G3355" s="1205"/>
      <c r="H3355" s="1055"/>
      <c r="I3355" s="1055"/>
      <c r="J3355" s="1055"/>
      <c r="K3355" s="1205"/>
      <c r="L3355" s="1055"/>
      <c r="M3355" s="1205"/>
      <c r="N3355" s="1054"/>
      <c r="O3355" s="1207"/>
      <c r="Q3355" s="1207"/>
    </row>
    <row r="3356" spans="3:17" s="700" customFormat="1" ht="70.5" hidden="1" customHeight="1">
      <c r="C3356" s="701"/>
      <c r="D3356" s="811"/>
      <c r="E3356" s="1276">
        <f>[11]building!Y3687</f>
        <v>0</v>
      </c>
      <c r="F3356" s="748">
        <f t="shared" si="291"/>
        <v>0</v>
      </c>
      <c r="G3356" s="1205"/>
      <c r="H3356" s="1055"/>
      <c r="I3356" s="1055"/>
      <c r="J3356" s="1055"/>
      <c r="K3356" s="1205"/>
      <c r="L3356" s="1055"/>
      <c r="M3356" s="1205"/>
      <c r="N3356" s="1054"/>
      <c r="O3356" s="1207"/>
      <c r="Q3356" s="1207"/>
    </row>
    <row r="3357" spans="3:17" s="700" customFormat="1" ht="70.5" hidden="1" customHeight="1">
      <c r="C3357" s="701"/>
      <c r="D3357" s="811"/>
      <c r="E3357" s="1276">
        <f>[11]building!Y3688</f>
        <v>0</v>
      </c>
      <c r="F3357" s="748">
        <f t="shared" si="291"/>
        <v>0</v>
      </c>
      <c r="G3357" s="1205"/>
      <c r="H3357" s="1055"/>
      <c r="I3357" s="1055"/>
      <c r="J3357" s="1055"/>
      <c r="K3357" s="1205"/>
      <c r="L3357" s="1055"/>
      <c r="M3357" s="1205"/>
      <c r="N3357" s="1054"/>
      <c r="O3357" s="1207"/>
      <c r="Q3357" s="1207"/>
    </row>
    <row r="3358" spans="3:17" s="700" customFormat="1" ht="70.5" hidden="1" customHeight="1">
      <c r="C3358" s="701"/>
      <c r="D3358" s="811"/>
      <c r="E3358" s="1276">
        <f>[11]building!Y3689</f>
        <v>0</v>
      </c>
      <c r="F3358" s="748">
        <f t="shared" si="291"/>
        <v>0</v>
      </c>
      <c r="G3358" s="1205"/>
      <c r="H3358" s="1055"/>
      <c r="I3358" s="1055"/>
      <c r="J3358" s="1055"/>
      <c r="K3358" s="1205"/>
      <c r="L3358" s="1055"/>
      <c r="M3358" s="1205"/>
      <c r="N3358" s="1054"/>
      <c r="O3358" s="1207"/>
      <c r="Q3358" s="1207"/>
    </row>
    <row r="3359" spans="3:17" s="700" customFormat="1" ht="70.5" hidden="1" customHeight="1">
      <c r="C3359" s="701"/>
      <c r="D3359" s="811"/>
      <c r="E3359" s="1276">
        <f>[11]building!Y3690</f>
        <v>0</v>
      </c>
      <c r="F3359" s="748">
        <f t="shared" si="291"/>
        <v>0</v>
      </c>
      <c r="G3359" s="1205"/>
      <c r="H3359" s="1055"/>
      <c r="I3359" s="1055"/>
      <c r="J3359" s="1055"/>
      <c r="K3359" s="1205"/>
      <c r="L3359" s="1055"/>
      <c r="M3359" s="1205"/>
      <c r="N3359" s="1054"/>
      <c r="O3359" s="1207"/>
      <c r="Q3359" s="1207"/>
    </row>
    <row r="3360" spans="3:17" s="700" customFormat="1" ht="70.5" hidden="1" customHeight="1">
      <c r="C3360" s="701"/>
      <c r="D3360" s="811"/>
      <c r="E3360" s="1276">
        <f>[11]building!Y3691</f>
        <v>0</v>
      </c>
      <c r="F3360" s="748">
        <f t="shared" si="291"/>
        <v>0</v>
      </c>
      <c r="G3360" s="1205"/>
      <c r="H3360" s="1055"/>
      <c r="I3360" s="1055"/>
      <c r="J3360" s="1055"/>
      <c r="K3360" s="1205"/>
      <c r="L3360" s="1055"/>
      <c r="M3360" s="1205"/>
      <c r="N3360" s="1054"/>
      <c r="O3360" s="1207"/>
      <c r="Q3360" s="1207"/>
    </row>
    <row r="3361" spans="3:17" s="700" customFormat="1" ht="70.5" hidden="1" customHeight="1">
      <c r="C3361" s="701"/>
      <c r="D3361" s="811"/>
      <c r="E3361" s="1276">
        <f>[11]building!Y3692</f>
        <v>0</v>
      </c>
      <c r="F3361" s="748">
        <f t="shared" si="291"/>
        <v>0</v>
      </c>
      <c r="G3361" s="1205"/>
      <c r="H3361" s="1055"/>
      <c r="I3361" s="1055"/>
      <c r="J3361" s="1055"/>
      <c r="K3361" s="1205"/>
      <c r="L3361" s="1055"/>
      <c r="M3361" s="1205"/>
      <c r="N3361" s="1054"/>
      <c r="O3361" s="1207"/>
      <c r="Q3361" s="1207"/>
    </row>
    <row r="3362" spans="3:17" s="700" customFormat="1" ht="70.5" hidden="1" customHeight="1">
      <c r="C3362" s="701"/>
      <c r="D3362" s="811"/>
      <c r="E3362" s="1276">
        <f>[11]building!Y3693</f>
        <v>0</v>
      </c>
      <c r="F3362" s="748">
        <f t="shared" si="291"/>
        <v>0</v>
      </c>
      <c r="G3362" s="1205"/>
      <c r="H3362" s="1055"/>
      <c r="I3362" s="1055"/>
      <c r="J3362" s="1055"/>
      <c r="K3362" s="1205"/>
      <c r="L3362" s="1055"/>
      <c r="M3362" s="1205"/>
      <c r="N3362" s="1054"/>
      <c r="O3362" s="1207"/>
      <c r="Q3362" s="1207"/>
    </row>
    <row r="3363" spans="3:17" s="700" customFormat="1" ht="70.5" hidden="1" customHeight="1">
      <c r="C3363" s="701"/>
      <c r="D3363" s="811"/>
      <c r="E3363" s="1276">
        <f>[11]building!Y3694</f>
        <v>0</v>
      </c>
      <c r="F3363" s="748">
        <f t="shared" si="291"/>
        <v>0</v>
      </c>
      <c r="G3363" s="1205"/>
      <c r="H3363" s="1055"/>
      <c r="I3363" s="1055"/>
      <c r="J3363" s="1055"/>
      <c r="K3363" s="1205"/>
      <c r="L3363" s="1055"/>
      <c r="M3363" s="1205"/>
      <c r="N3363" s="1054"/>
      <c r="O3363" s="1207"/>
      <c r="Q3363" s="1207"/>
    </row>
    <row r="3364" spans="3:17" s="700" customFormat="1" ht="70.5" hidden="1" customHeight="1">
      <c r="C3364" s="701"/>
      <c r="D3364" s="811"/>
      <c r="E3364" s="1276">
        <f>[11]building!Y3695</f>
        <v>0</v>
      </c>
      <c r="F3364" s="748">
        <f t="shared" si="291"/>
        <v>0</v>
      </c>
      <c r="G3364" s="1205"/>
      <c r="H3364" s="1055"/>
      <c r="I3364" s="1055"/>
      <c r="J3364" s="1055"/>
      <c r="K3364" s="1205"/>
      <c r="L3364" s="1055"/>
      <c r="M3364" s="1205"/>
      <c r="N3364" s="1054"/>
      <c r="O3364" s="1207"/>
      <c r="Q3364" s="1207"/>
    </row>
    <row r="3365" spans="3:17" s="700" customFormat="1" ht="70.5" hidden="1" customHeight="1">
      <c r="C3365" s="701"/>
      <c r="D3365" s="811"/>
      <c r="E3365" s="1276">
        <f>[11]building!Y3696</f>
        <v>0</v>
      </c>
      <c r="F3365" s="748">
        <f t="shared" si="291"/>
        <v>0</v>
      </c>
      <c r="G3365" s="1205"/>
      <c r="H3365" s="1055"/>
      <c r="I3365" s="1055"/>
      <c r="J3365" s="1055"/>
      <c r="K3365" s="1205"/>
      <c r="L3365" s="1055"/>
      <c r="M3365" s="1205"/>
      <c r="N3365" s="1054"/>
      <c r="O3365" s="1207"/>
      <c r="Q3365" s="1207"/>
    </row>
    <row r="3366" spans="3:17" s="700" customFormat="1" ht="70.5" hidden="1" customHeight="1">
      <c r="C3366" s="701"/>
      <c r="D3366" s="811"/>
      <c r="E3366" s="1276">
        <f>[11]building!Y3697</f>
        <v>0</v>
      </c>
      <c r="F3366" s="748">
        <f t="shared" si="291"/>
        <v>0</v>
      </c>
      <c r="G3366" s="1205"/>
      <c r="H3366" s="1055"/>
      <c r="I3366" s="1055"/>
      <c r="J3366" s="1055"/>
      <c r="K3366" s="1205"/>
      <c r="L3366" s="1055"/>
      <c r="M3366" s="1205"/>
      <c r="N3366" s="1054"/>
      <c r="O3366" s="1207"/>
      <c r="Q3366" s="1207"/>
    </row>
    <row r="3367" spans="3:17" s="700" customFormat="1" ht="70.5" hidden="1" customHeight="1">
      <c r="C3367" s="701"/>
      <c r="D3367" s="811"/>
      <c r="E3367" s="1276">
        <f>[11]building!Y3698</f>
        <v>0</v>
      </c>
      <c r="F3367" s="748">
        <f t="shared" si="291"/>
        <v>0</v>
      </c>
      <c r="G3367" s="1205"/>
      <c r="H3367" s="1055"/>
      <c r="I3367" s="1055"/>
      <c r="J3367" s="1055"/>
      <c r="K3367" s="1205"/>
      <c r="L3367" s="1055"/>
      <c r="M3367" s="1205"/>
      <c r="N3367" s="1054"/>
      <c r="O3367" s="1207"/>
      <c r="Q3367" s="1207"/>
    </row>
    <row r="3368" spans="3:17" s="700" customFormat="1" ht="70.5" hidden="1" customHeight="1">
      <c r="C3368" s="701"/>
      <c r="D3368" s="811"/>
      <c r="E3368" s="1276">
        <f>[11]building!Y3699</f>
        <v>0</v>
      </c>
      <c r="F3368" s="748">
        <f t="shared" si="291"/>
        <v>0</v>
      </c>
      <c r="G3368" s="1205"/>
      <c r="H3368" s="1055"/>
      <c r="I3368" s="1055"/>
      <c r="J3368" s="1055"/>
      <c r="K3368" s="1205"/>
      <c r="L3368" s="1055"/>
      <c r="M3368" s="1205"/>
      <c r="N3368" s="1054"/>
      <c r="O3368" s="1207"/>
      <c r="Q3368" s="1207"/>
    </row>
    <row r="3369" spans="3:17" s="700" customFormat="1" ht="70.5" hidden="1" customHeight="1">
      <c r="C3369" s="701"/>
      <c r="D3369" s="811"/>
      <c r="E3369" s="1276">
        <f>[11]building!Y3700</f>
        <v>0</v>
      </c>
      <c r="F3369" s="748">
        <f t="shared" si="291"/>
        <v>0</v>
      </c>
      <c r="G3369" s="1205"/>
      <c r="H3369" s="1055"/>
      <c r="I3369" s="1055"/>
      <c r="J3369" s="1055"/>
      <c r="K3369" s="1205"/>
      <c r="L3369" s="1055"/>
      <c r="M3369" s="1205"/>
      <c r="N3369" s="1054"/>
      <c r="O3369" s="1207"/>
      <c r="Q3369" s="1207"/>
    </row>
    <row r="3370" spans="3:17" s="700" customFormat="1" ht="70.5" hidden="1" customHeight="1">
      <c r="C3370" s="701"/>
      <c r="D3370" s="811"/>
      <c r="E3370" s="1276">
        <f>[11]building!Y3701</f>
        <v>0</v>
      </c>
      <c r="F3370" s="748">
        <f t="shared" si="291"/>
        <v>0</v>
      </c>
      <c r="G3370" s="1205"/>
      <c r="H3370" s="1055"/>
      <c r="I3370" s="1055"/>
      <c r="J3370" s="1055"/>
      <c r="K3370" s="1205"/>
      <c r="L3370" s="1055"/>
      <c r="M3370" s="1205"/>
      <c r="N3370" s="1054"/>
      <c r="O3370" s="1207"/>
      <c r="Q3370" s="1207"/>
    </row>
    <row r="3371" spans="3:17" s="700" customFormat="1" ht="70.5" hidden="1" customHeight="1">
      <c r="C3371" s="701"/>
      <c r="D3371" s="811"/>
      <c r="E3371" s="1276">
        <f>[11]building!Y3702</f>
        <v>0</v>
      </c>
      <c r="F3371" s="748">
        <f t="shared" si="291"/>
        <v>0</v>
      </c>
      <c r="G3371" s="1205"/>
      <c r="H3371" s="1055"/>
      <c r="I3371" s="1055"/>
      <c r="J3371" s="1055"/>
      <c r="K3371" s="1205"/>
      <c r="L3371" s="1055"/>
      <c r="M3371" s="1205"/>
      <c r="N3371" s="1054"/>
      <c r="O3371" s="1207"/>
      <c r="Q3371" s="1207"/>
    </row>
    <row r="3372" spans="3:17" s="700" customFormat="1" ht="70.5" hidden="1" customHeight="1">
      <c r="C3372" s="701"/>
      <c r="D3372" s="811"/>
      <c r="E3372" s="1276">
        <f>[11]building!Y3703</f>
        <v>0</v>
      </c>
      <c r="F3372" s="748">
        <f t="shared" si="291"/>
        <v>0</v>
      </c>
      <c r="G3372" s="1205"/>
      <c r="H3372" s="1055"/>
      <c r="I3372" s="1055"/>
      <c r="J3372" s="1055"/>
      <c r="K3372" s="1205"/>
      <c r="L3372" s="1055"/>
      <c r="M3372" s="1205"/>
      <c r="N3372" s="1054"/>
      <c r="O3372" s="1207"/>
      <c r="Q3372" s="1207"/>
    </row>
    <row r="3373" spans="3:17" s="700" customFormat="1" ht="70.5" hidden="1" customHeight="1">
      <c r="C3373" s="701"/>
      <c r="D3373" s="811"/>
      <c r="E3373" s="1276">
        <f>[11]building!Y3704</f>
        <v>0</v>
      </c>
      <c r="F3373" s="748">
        <f t="shared" si="291"/>
        <v>0</v>
      </c>
      <c r="G3373" s="1205"/>
      <c r="H3373" s="1055"/>
      <c r="I3373" s="1055"/>
      <c r="J3373" s="1055"/>
      <c r="K3373" s="1205"/>
      <c r="L3373" s="1055"/>
      <c r="M3373" s="1205"/>
      <c r="N3373" s="1054"/>
      <c r="O3373" s="1207"/>
      <c r="Q3373" s="1207"/>
    </row>
    <row r="3374" spans="3:17" s="700" customFormat="1" ht="70.5" hidden="1" customHeight="1">
      <c r="C3374" s="701"/>
      <c r="D3374" s="811"/>
      <c r="E3374" s="1276">
        <f>[11]building!Y3705</f>
        <v>0</v>
      </c>
      <c r="F3374" s="748">
        <f t="shared" si="291"/>
        <v>0</v>
      </c>
      <c r="G3374" s="1205"/>
      <c r="H3374" s="1055"/>
      <c r="I3374" s="1055"/>
      <c r="J3374" s="1055"/>
      <c r="K3374" s="1205"/>
      <c r="L3374" s="1055"/>
      <c r="M3374" s="1205"/>
      <c r="N3374" s="1054"/>
      <c r="O3374" s="1207"/>
      <c r="Q3374" s="1207"/>
    </row>
    <row r="3375" spans="3:17" s="700" customFormat="1" ht="70.5" hidden="1" customHeight="1">
      <c r="C3375" s="701"/>
      <c r="D3375" s="811"/>
      <c r="E3375" s="1276">
        <f>[11]building!Y3706</f>
        <v>0</v>
      </c>
      <c r="F3375" s="748">
        <f t="shared" si="291"/>
        <v>0</v>
      </c>
      <c r="G3375" s="1205"/>
      <c r="H3375" s="1055"/>
      <c r="I3375" s="1055"/>
      <c r="J3375" s="1055"/>
      <c r="K3375" s="1205"/>
      <c r="L3375" s="1055"/>
      <c r="M3375" s="1205"/>
      <c r="N3375" s="1054"/>
      <c r="O3375" s="1207"/>
      <c r="Q3375" s="1207"/>
    </row>
    <row r="3376" spans="3:17" s="700" customFormat="1" ht="70.5" hidden="1" customHeight="1">
      <c r="C3376" s="701"/>
      <c r="D3376" s="811"/>
      <c r="E3376" s="1276">
        <f>[11]building!Y3707</f>
        <v>0</v>
      </c>
      <c r="F3376" s="748">
        <f t="shared" si="291"/>
        <v>0</v>
      </c>
      <c r="G3376" s="1205"/>
      <c r="H3376" s="1055"/>
      <c r="I3376" s="1055"/>
      <c r="J3376" s="1055"/>
      <c r="K3376" s="1205"/>
      <c r="L3376" s="1055"/>
      <c r="M3376" s="1205"/>
      <c r="N3376" s="1054"/>
      <c r="O3376" s="1207"/>
      <c r="Q3376" s="1207"/>
    </row>
    <row r="3377" spans="3:17" s="700" customFormat="1" ht="70.5" hidden="1" customHeight="1">
      <c r="C3377" s="701"/>
      <c r="D3377" s="811"/>
      <c r="E3377" s="1276">
        <f>[11]building!Y3708</f>
        <v>0</v>
      </c>
      <c r="F3377" s="748">
        <f t="shared" si="291"/>
        <v>0</v>
      </c>
      <c r="G3377" s="1205"/>
      <c r="H3377" s="1055"/>
      <c r="I3377" s="1055"/>
      <c r="J3377" s="1055"/>
      <c r="K3377" s="1205"/>
      <c r="L3377" s="1055"/>
      <c r="M3377" s="1205"/>
      <c r="N3377" s="1054"/>
      <c r="O3377" s="1207"/>
      <c r="Q3377" s="1207"/>
    </row>
    <row r="3378" spans="3:17" s="700" customFormat="1" ht="70.5" hidden="1" customHeight="1">
      <c r="C3378" s="701"/>
      <c r="D3378" s="811"/>
      <c r="E3378" s="1276">
        <f>[11]building!Y3709</f>
        <v>0</v>
      </c>
      <c r="F3378" s="748">
        <f t="shared" si="291"/>
        <v>0</v>
      </c>
      <c r="G3378" s="1205"/>
      <c r="H3378" s="1055"/>
      <c r="I3378" s="1055"/>
      <c r="J3378" s="1055"/>
      <c r="K3378" s="1205"/>
      <c r="L3378" s="1055"/>
      <c r="M3378" s="1205"/>
      <c r="N3378" s="1054"/>
      <c r="O3378" s="1207"/>
      <c r="Q3378" s="1207"/>
    </row>
    <row r="3379" spans="3:17" s="700" customFormat="1" ht="70.5" hidden="1" customHeight="1">
      <c r="C3379" s="701"/>
      <c r="D3379" s="811"/>
      <c r="E3379" s="1276">
        <f>[11]building!Y3710</f>
        <v>0</v>
      </c>
      <c r="F3379" s="748">
        <f t="shared" si="291"/>
        <v>0</v>
      </c>
      <c r="G3379" s="1205"/>
      <c r="H3379" s="1055"/>
      <c r="I3379" s="1055"/>
      <c r="J3379" s="1055"/>
      <c r="K3379" s="1205"/>
      <c r="L3379" s="1055"/>
      <c r="M3379" s="1205"/>
      <c r="N3379" s="1054"/>
      <c r="O3379" s="1207"/>
      <c r="Q3379" s="1207"/>
    </row>
    <row r="3380" spans="3:17" s="700" customFormat="1" ht="70.5" hidden="1" customHeight="1">
      <c r="C3380" s="701"/>
      <c r="D3380" s="811"/>
      <c r="E3380" s="1276">
        <f>[11]building!Y3711</f>
        <v>0</v>
      </c>
      <c r="F3380" s="748">
        <f t="shared" si="291"/>
        <v>0</v>
      </c>
      <c r="G3380" s="1205"/>
      <c r="H3380" s="1055"/>
      <c r="I3380" s="1055"/>
      <c r="J3380" s="1055"/>
      <c r="K3380" s="1205"/>
      <c r="L3380" s="1055"/>
      <c r="M3380" s="1205"/>
      <c r="N3380" s="1054"/>
      <c r="O3380" s="1207"/>
      <c r="Q3380" s="1207"/>
    </row>
    <row r="3381" spans="3:17" s="700" customFormat="1" ht="70.5" hidden="1" customHeight="1">
      <c r="C3381" s="701"/>
      <c r="D3381" s="811"/>
      <c r="E3381" s="1276">
        <f>[11]building!Y3712</f>
        <v>0</v>
      </c>
      <c r="F3381" s="748">
        <f t="shared" si="291"/>
        <v>0</v>
      </c>
      <c r="G3381" s="1205"/>
      <c r="H3381" s="1055"/>
      <c r="I3381" s="1055"/>
      <c r="J3381" s="1055"/>
      <c r="K3381" s="1205"/>
      <c r="L3381" s="1055"/>
      <c r="M3381" s="1205"/>
      <c r="N3381" s="1054"/>
      <c r="O3381" s="1207"/>
      <c r="Q3381" s="1207"/>
    </row>
    <row r="3382" spans="3:17" s="700" customFormat="1" ht="70.5" hidden="1" customHeight="1">
      <c r="C3382" s="701"/>
      <c r="D3382" s="811"/>
      <c r="E3382" s="1276">
        <f>[11]building!Y3713</f>
        <v>0</v>
      </c>
      <c r="F3382" s="748">
        <f t="shared" si="291"/>
        <v>0</v>
      </c>
      <c r="G3382" s="1205"/>
      <c r="H3382" s="1055"/>
      <c r="I3382" s="1055"/>
      <c r="J3382" s="1055"/>
      <c r="K3382" s="1205"/>
      <c r="L3382" s="1055"/>
      <c r="M3382" s="1205"/>
      <c r="N3382" s="1054"/>
      <c r="O3382" s="1207"/>
      <c r="Q3382" s="1207"/>
    </row>
    <row r="3383" spans="3:17" s="700" customFormat="1" ht="70.5" hidden="1" customHeight="1">
      <c r="C3383" s="701"/>
      <c r="D3383" s="811"/>
      <c r="E3383" s="1276">
        <f>[11]building!Y3714</f>
        <v>0</v>
      </c>
      <c r="F3383" s="748">
        <f t="shared" si="291"/>
        <v>0</v>
      </c>
      <c r="G3383" s="1205"/>
      <c r="H3383" s="1055"/>
      <c r="I3383" s="1055"/>
      <c r="J3383" s="1055"/>
      <c r="K3383" s="1205"/>
      <c r="L3383" s="1055"/>
      <c r="M3383" s="1205"/>
      <c r="N3383" s="1054"/>
      <c r="O3383" s="1207"/>
      <c r="Q3383" s="1207"/>
    </row>
    <row r="3384" spans="3:17" s="700" customFormat="1" ht="70.5" hidden="1" customHeight="1">
      <c r="C3384" s="701"/>
      <c r="D3384" s="811"/>
      <c r="E3384" s="1276">
        <f>[11]building!Y3715</f>
        <v>0</v>
      </c>
      <c r="F3384" s="748">
        <f t="shared" si="291"/>
        <v>0</v>
      </c>
      <c r="G3384" s="1205"/>
      <c r="H3384" s="1055"/>
      <c r="I3384" s="1055"/>
      <c r="J3384" s="1055"/>
      <c r="K3384" s="1205"/>
      <c r="L3384" s="1055"/>
      <c r="M3384" s="1205"/>
      <c r="N3384" s="1054"/>
      <c r="O3384" s="1207"/>
      <c r="Q3384" s="1207"/>
    </row>
    <row r="3385" spans="3:17" s="700" customFormat="1" ht="70.5" hidden="1" customHeight="1">
      <c r="C3385" s="701"/>
      <c r="D3385" s="811"/>
      <c r="E3385" s="1276">
        <f>[11]building!Y3716</f>
        <v>0</v>
      </c>
      <c r="F3385" s="748">
        <f t="shared" si="291"/>
        <v>0</v>
      </c>
      <c r="G3385" s="1205"/>
      <c r="H3385" s="1055"/>
      <c r="I3385" s="1055"/>
      <c r="J3385" s="1055"/>
      <c r="K3385" s="1205"/>
      <c r="L3385" s="1055"/>
      <c r="M3385" s="1205"/>
      <c r="N3385" s="1054"/>
      <c r="O3385" s="1207"/>
      <c r="Q3385" s="1207"/>
    </row>
    <row r="3386" spans="3:17" s="700" customFormat="1" ht="70.5" hidden="1" customHeight="1">
      <c r="C3386" s="701"/>
      <c r="D3386" s="811"/>
      <c r="E3386" s="1276">
        <f>[11]building!Y3717</f>
        <v>0</v>
      </c>
      <c r="F3386" s="748">
        <f t="shared" si="291"/>
        <v>0</v>
      </c>
      <c r="G3386" s="1205"/>
      <c r="H3386" s="1055"/>
      <c r="I3386" s="1055"/>
      <c r="J3386" s="1055"/>
      <c r="K3386" s="1205"/>
      <c r="L3386" s="1055"/>
      <c r="M3386" s="1205"/>
      <c r="N3386" s="1054"/>
      <c r="O3386" s="1207"/>
      <c r="Q3386" s="1207"/>
    </row>
    <row r="3387" spans="3:17" s="700" customFormat="1" ht="70.5" hidden="1" customHeight="1">
      <c r="C3387" s="701"/>
      <c r="D3387" s="811"/>
      <c r="E3387" s="1276">
        <f>[11]building!Y3718</f>
        <v>0</v>
      </c>
      <c r="F3387" s="748">
        <f t="shared" si="291"/>
        <v>0</v>
      </c>
      <c r="G3387" s="1205"/>
      <c r="H3387" s="1055"/>
      <c r="I3387" s="1055"/>
      <c r="J3387" s="1055"/>
      <c r="K3387" s="1205"/>
      <c r="L3387" s="1055"/>
      <c r="M3387" s="1205"/>
      <c r="N3387" s="1054"/>
      <c r="O3387" s="1207"/>
      <c r="Q3387" s="1207"/>
    </row>
    <row r="3388" spans="3:17" s="700" customFormat="1" ht="70.5" hidden="1" customHeight="1">
      <c r="C3388" s="701"/>
      <c r="D3388" s="811"/>
      <c r="E3388" s="1276">
        <f>[11]building!Y3719</f>
        <v>0</v>
      </c>
      <c r="F3388" s="748">
        <f t="shared" si="291"/>
        <v>0</v>
      </c>
      <c r="G3388" s="1205"/>
      <c r="H3388" s="1055"/>
      <c r="I3388" s="1055"/>
      <c r="J3388" s="1055"/>
      <c r="K3388" s="1205"/>
      <c r="L3388" s="1055"/>
      <c r="M3388" s="1205"/>
      <c r="N3388" s="1054"/>
      <c r="O3388" s="1207"/>
      <c r="Q3388" s="1207"/>
    </row>
    <row r="3389" spans="3:17" s="700" customFormat="1" ht="70.5" hidden="1" customHeight="1">
      <c r="C3389" s="701"/>
      <c r="D3389" s="811"/>
      <c r="E3389" s="1276">
        <f>[11]building!Y3720</f>
        <v>0</v>
      </c>
      <c r="F3389" s="748">
        <f t="shared" si="291"/>
        <v>0</v>
      </c>
      <c r="G3389" s="1205"/>
      <c r="H3389" s="1055"/>
      <c r="I3389" s="1055"/>
      <c r="J3389" s="1055"/>
      <c r="K3389" s="1205"/>
      <c r="L3389" s="1055"/>
      <c r="M3389" s="1205"/>
      <c r="N3389" s="1054"/>
      <c r="O3389" s="1207"/>
      <c r="Q3389" s="1207"/>
    </row>
    <row r="3390" spans="3:17" s="700" customFormat="1" ht="70.5" hidden="1" customHeight="1">
      <c r="C3390" s="701"/>
      <c r="D3390" s="811"/>
      <c r="E3390" s="1276">
        <f>[11]building!Y3721</f>
        <v>0</v>
      </c>
      <c r="F3390" s="748">
        <f t="shared" si="291"/>
        <v>0</v>
      </c>
      <c r="G3390" s="1205"/>
      <c r="H3390" s="1055"/>
      <c r="I3390" s="1055"/>
      <c r="J3390" s="1055"/>
      <c r="K3390" s="1205"/>
      <c r="L3390" s="1055"/>
      <c r="M3390" s="1205"/>
      <c r="N3390" s="1054"/>
      <c r="O3390" s="1207"/>
      <c r="Q3390" s="1207"/>
    </row>
    <row r="3391" spans="3:17" s="700" customFormat="1" ht="70.5" hidden="1" customHeight="1">
      <c r="C3391" s="701"/>
      <c r="D3391" s="811"/>
      <c r="E3391" s="1276">
        <f>[11]building!Y3722</f>
        <v>0</v>
      </c>
      <c r="F3391" s="748">
        <f t="shared" si="291"/>
        <v>0</v>
      </c>
      <c r="G3391" s="1205"/>
      <c r="H3391" s="1055"/>
      <c r="I3391" s="1055"/>
      <c r="J3391" s="1055"/>
      <c r="K3391" s="1205"/>
      <c r="L3391" s="1055"/>
      <c r="M3391" s="1205"/>
      <c r="N3391" s="1054"/>
      <c r="O3391" s="1207"/>
      <c r="Q3391" s="1207"/>
    </row>
    <row r="3392" spans="3:17" s="700" customFormat="1" ht="70.5" hidden="1" customHeight="1">
      <c r="C3392" s="701"/>
      <c r="D3392" s="811"/>
      <c r="E3392" s="1276">
        <f>[11]building!Y3723</f>
        <v>0</v>
      </c>
      <c r="F3392" s="748">
        <f t="shared" ref="F3392:F3455" si="292">E3392*C3392</f>
        <v>0</v>
      </c>
      <c r="G3392" s="1205"/>
      <c r="H3392" s="1055"/>
      <c r="I3392" s="1055"/>
      <c r="J3392" s="1055"/>
      <c r="K3392" s="1205"/>
      <c r="L3392" s="1055"/>
      <c r="M3392" s="1205"/>
      <c r="N3392" s="1054"/>
      <c r="O3392" s="1207"/>
      <c r="Q3392" s="1207"/>
    </row>
    <row r="3393" spans="3:17" s="700" customFormat="1" ht="70.5" hidden="1" customHeight="1">
      <c r="C3393" s="701"/>
      <c r="D3393" s="811"/>
      <c r="E3393" s="1276">
        <f>[11]building!Y3724</f>
        <v>0</v>
      </c>
      <c r="F3393" s="748">
        <f t="shared" si="292"/>
        <v>0</v>
      </c>
      <c r="G3393" s="1205"/>
      <c r="H3393" s="1055"/>
      <c r="I3393" s="1055"/>
      <c r="J3393" s="1055"/>
      <c r="K3393" s="1205"/>
      <c r="L3393" s="1055"/>
      <c r="M3393" s="1205"/>
      <c r="N3393" s="1054"/>
      <c r="O3393" s="1207"/>
      <c r="Q3393" s="1207"/>
    </row>
    <row r="3394" spans="3:17" s="700" customFormat="1" ht="70.5" hidden="1" customHeight="1">
      <c r="C3394" s="701"/>
      <c r="D3394" s="811"/>
      <c r="E3394" s="1276">
        <f>[11]building!Y3725</f>
        <v>0</v>
      </c>
      <c r="F3394" s="748">
        <f t="shared" si="292"/>
        <v>0</v>
      </c>
      <c r="G3394" s="1205"/>
      <c r="H3394" s="1055"/>
      <c r="I3394" s="1055"/>
      <c r="J3394" s="1055"/>
      <c r="K3394" s="1205"/>
      <c r="L3394" s="1055"/>
      <c r="M3394" s="1205"/>
      <c r="N3394" s="1054"/>
      <c r="O3394" s="1207"/>
      <c r="Q3394" s="1207"/>
    </row>
    <row r="3395" spans="3:17" s="700" customFormat="1" ht="70.5" hidden="1" customHeight="1">
      <c r="C3395" s="701"/>
      <c r="D3395" s="811"/>
      <c r="E3395" s="1276">
        <f>[11]building!Y3726</f>
        <v>0</v>
      </c>
      <c r="F3395" s="748">
        <f t="shared" si="292"/>
        <v>0</v>
      </c>
      <c r="G3395" s="1205"/>
      <c r="H3395" s="1055"/>
      <c r="I3395" s="1055"/>
      <c r="J3395" s="1055"/>
      <c r="K3395" s="1205"/>
      <c r="L3395" s="1055"/>
      <c r="M3395" s="1205"/>
      <c r="N3395" s="1054"/>
      <c r="O3395" s="1207"/>
      <c r="Q3395" s="1207"/>
    </row>
    <row r="3396" spans="3:17" s="700" customFormat="1" ht="70.5" hidden="1" customHeight="1">
      <c r="C3396" s="701"/>
      <c r="D3396" s="811"/>
      <c r="E3396" s="1276">
        <f>[11]building!Y3727</f>
        <v>0</v>
      </c>
      <c r="F3396" s="748">
        <f t="shared" si="292"/>
        <v>0</v>
      </c>
      <c r="G3396" s="1205"/>
      <c r="H3396" s="1055"/>
      <c r="I3396" s="1055"/>
      <c r="J3396" s="1055"/>
      <c r="K3396" s="1205"/>
      <c r="L3396" s="1055"/>
      <c r="M3396" s="1205"/>
      <c r="N3396" s="1054"/>
      <c r="O3396" s="1207"/>
      <c r="Q3396" s="1207"/>
    </row>
    <row r="3397" spans="3:17" s="700" customFormat="1" ht="70.5" hidden="1" customHeight="1">
      <c r="C3397" s="701"/>
      <c r="D3397" s="811"/>
      <c r="E3397" s="1276">
        <f>[11]building!Y3728</f>
        <v>0</v>
      </c>
      <c r="F3397" s="748">
        <f t="shared" si="292"/>
        <v>0</v>
      </c>
      <c r="G3397" s="1205"/>
      <c r="H3397" s="1055"/>
      <c r="I3397" s="1055"/>
      <c r="J3397" s="1055"/>
      <c r="K3397" s="1205"/>
      <c r="L3397" s="1055"/>
      <c r="M3397" s="1205"/>
      <c r="N3397" s="1054"/>
      <c r="O3397" s="1207"/>
      <c r="Q3397" s="1207"/>
    </row>
    <row r="3398" spans="3:17" s="700" customFormat="1" ht="70.5" hidden="1" customHeight="1">
      <c r="C3398" s="701"/>
      <c r="D3398" s="811"/>
      <c r="E3398" s="1276">
        <f>[11]building!Y3729</f>
        <v>0</v>
      </c>
      <c r="F3398" s="748">
        <f t="shared" si="292"/>
        <v>0</v>
      </c>
      <c r="G3398" s="1205"/>
      <c r="H3398" s="1055"/>
      <c r="I3398" s="1055"/>
      <c r="J3398" s="1055"/>
      <c r="K3398" s="1205"/>
      <c r="L3398" s="1055"/>
      <c r="M3398" s="1205"/>
      <c r="N3398" s="1054"/>
      <c r="O3398" s="1207"/>
      <c r="Q3398" s="1207"/>
    </row>
    <row r="3399" spans="3:17" s="700" customFormat="1" ht="70.5" hidden="1" customHeight="1">
      <c r="C3399" s="701"/>
      <c r="D3399" s="811"/>
      <c r="E3399" s="1276">
        <f>[11]building!Y3730</f>
        <v>0</v>
      </c>
      <c r="F3399" s="748">
        <f t="shared" si="292"/>
        <v>0</v>
      </c>
      <c r="G3399" s="1205"/>
      <c r="H3399" s="1055"/>
      <c r="I3399" s="1055"/>
      <c r="J3399" s="1055"/>
      <c r="K3399" s="1205"/>
      <c r="L3399" s="1055"/>
      <c r="M3399" s="1205"/>
      <c r="N3399" s="1054"/>
      <c r="O3399" s="1207"/>
      <c r="Q3399" s="1207"/>
    </row>
    <row r="3400" spans="3:17" s="700" customFormat="1" ht="70.5" hidden="1" customHeight="1">
      <c r="C3400" s="701"/>
      <c r="D3400" s="811"/>
      <c r="E3400" s="1276">
        <f>[11]building!Y3731</f>
        <v>0</v>
      </c>
      <c r="F3400" s="748">
        <f t="shared" si="292"/>
        <v>0</v>
      </c>
      <c r="G3400" s="1205"/>
      <c r="H3400" s="1055"/>
      <c r="I3400" s="1055"/>
      <c r="J3400" s="1055"/>
      <c r="K3400" s="1205"/>
      <c r="L3400" s="1055"/>
      <c r="M3400" s="1205"/>
      <c r="N3400" s="1054"/>
      <c r="O3400" s="1207"/>
      <c r="Q3400" s="1207"/>
    </row>
    <row r="3401" spans="3:17" s="700" customFormat="1" ht="70.5" hidden="1" customHeight="1">
      <c r="C3401" s="701"/>
      <c r="D3401" s="811"/>
      <c r="E3401" s="1276">
        <f>[11]building!Y3732</f>
        <v>0</v>
      </c>
      <c r="F3401" s="748">
        <f t="shared" si="292"/>
        <v>0</v>
      </c>
      <c r="G3401" s="1205"/>
      <c r="H3401" s="1055"/>
      <c r="I3401" s="1055"/>
      <c r="J3401" s="1055"/>
      <c r="K3401" s="1205"/>
      <c r="L3401" s="1055"/>
      <c r="M3401" s="1205"/>
      <c r="N3401" s="1054"/>
      <c r="O3401" s="1207"/>
      <c r="Q3401" s="1207"/>
    </row>
    <row r="3402" spans="3:17" s="700" customFormat="1" ht="70.5" hidden="1" customHeight="1">
      <c r="C3402" s="701"/>
      <c r="D3402" s="811"/>
      <c r="E3402" s="1276">
        <f>[11]building!Y3733</f>
        <v>0</v>
      </c>
      <c r="F3402" s="748">
        <f t="shared" si="292"/>
        <v>0</v>
      </c>
      <c r="G3402" s="1205"/>
      <c r="H3402" s="1055"/>
      <c r="I3402" s="1055"/>
      <c r="J3402" s="1055"/>
      <c r="K3402" s="1205"/>
      <c r="L3402" s="1055"/>
      <c r="M3402" s="1205"/>
      <c r="N3402" s="1054"/>
      <c r="O3402" s="1207"/>
      <c r="Q3402" s="1207"/>
    </row>
    <row r="3403" spans="3:17" s="700" customFormat="1" ht="70.5" hidden="1" customHeight="1">
      <c r="C3403" s="701"/>
      <c r="D3403" s="811"/>
      <c r="E3403" s="1276">
        <f>[11]building!Y3734</f>
        <v>0</v>
      </c>
      <c r="F3403" s="748">
        <f t="shared" si="292"/>
        <v>0</v>
      </c>
      <c r="G3403" s="1205"/>
      <c r="H3403" s="1055"/>
      <c r="I3403" s="1055"/>
      <c r="J3403" s="1055"/>
      <c r="K3403" s="1205"/>
      <c r="L3403" s="1055"/>
      <c r="M3403" s="1205"/>
      <c r="N3403" s="1054"/>
      <c r="O3403" s="1207"/>
      <c r="Q3403" s="1207"/>
    </row>
    <row r="3404" spans="3:17" s="700" customFormat="1" ht="70.5" hidden="1" customHeight="1">
      <c r="C3404" s="701"/>
      <c r="D3404" s="811"/>
      <c r="E3404" s="1276">
        <f>[11]building!Y3735</f>
        <v>0</v>
      </c>
      <c r="F3404" s="748">
        <f t="shared" si="292"/>
        <v>0</v>
      </c>
      <c r="G3404" s="1205"/>
      <c r="H3404" s="1055"/>
      <c r="I3404" s="1055"/>
      <c r="J3404" s="1055"/>
      <c r="K3404" s="1205"/>
      <c r="L3404" s="1055"/>
      <c r="M3404" s="1205"/>
      <c r="N3404" s="1054"/>
      <c r="O3404" s="1207"/>
      <c r="Q3404" s="1207"/>
    </row>
    <row r="3405" spans="3:17" s="700" customFormat="1" ht="70.5" hidden="1" customHeight="1">
      <c r="C3405" s="701"/>
      <c r="D3405" s="811"/>
      <c r="E3405" s="1276">
        <f>[11]building!Y3736</f>
        <v>0</v>
      </c>
      <c r="F3405" s="748">
        <f t="shared" si="292"/>
        <v>0</v>
      </c>
      <c r="G3405" s="1205"/>
      <c r="H3405" s="1055"/>
      <c r="I3405" s="1055"/>
      <c r="J3405" s="1055"/>
      <c r="K3405" s="1205"/>
      <c r="L3405" s="1055"/>
      <c r="M3405" s="1205"/>
      <c r="N3405" s="1054"/>
      <c r="O3405" s="1207"/>
      <c r="Q3405" s="1207"/>
    </row>
    <row r="3406" spans="3:17" s="700" customFormat="1" ht="70.5" hidden="1" customHeight="1">
      <c r="C3406" s="701"/>
      <c r="D3406" s="811"/>
      <c r="E3406" s="1276">
        <f>[11]building!Y3737</f>
        <v>0</v>
      </c>
      <c r="F3406" s="748">
        <f t="shared" si="292"/>
        <v>0</v>
      </c>
      <c r="G3406" s="1205"/>
      <c r="H3406" s="1055"/>
      <c r="I3406" s="1055"/>
      <c r="J3406" s="1055"/>
      <c r="K3406" s="1205"/>
      <c r="L3406" s="1055"/>
      <c r="M3406" s="1205"/>
      <c r="N3406" s="1054"/>
      <c r="O3406" s="1207"/>
      <c r="Q3406" s="1207"/>
    </row>
    <row r="3407" spans="3:17" s="700" customFormat="1" ht="70.5" hidden="1" customHeight="1">
      <c r="C3407" s="701"/>
      <c r="D3407" s="811"/>
      <c r="E3407" s="1276">
        <f>[11]building!Y3738</f>
        <v>0</v>
      </c>
      <c r="F3407" s="748">
        <f t="shared" si="292"/>
        <v>0</v>
      </c>
      <c r="G3407" s="1205"/>
      <c r="H3407" s="1055"/>
      <c r="I3407" s="1055"/>
      <c r="J3407" s="1055"/>
      <c r="K3407" s="1205"/>
      <c r="L3407" s="1055"/>
      <c r="M3407" s="1205"/>
      <c r="N3407" s="1054"/>
      <c r="O3407" s="1207"/>
      <c r="Q3407" s="1207"/>
    </row>
    <row r="3408" spans="3:17" s="700" customFormat="1" ht="70.5" hidden="1" customHeight="1">
      <c r="C3408" s="701"/>
      <c r="D3408" s="811"/>
      <c r="E3408" s="1276">
        <f>[11]building!Y3739</f>
        <v>0</v>
      </c>
      <c r="F3408" s="748">
        <f t="shared" si="292"/>
        <v>0</v>
      </c>
      <c r="G3408" s="1205"/>
      <c r="H3408" s="1055"/>
      <c r="I3408" s="1055"/>
      <c r="J3408" s="1055"/>
      <c r="K3408" s="1205"/>
      <c r="L3408" s="1055"/>
      <c r="M3408" s="1205"/>
      <c r="N3408" s="1054"/>
      <c r="O3408" s="1207"/>
      <c r="Q3408" s="1207"/>
    </row>
    <row r="3409" spans="3:17" s="700" customFormat="1" ht="70.5" hidden="1" customHeight="1">
      <c r="C3409" s="701"/>
      <c r="D3409" s="811"/>
      <c r="E3409" s="1276">
        <f>[11]building!Y3740</f>
        <v>0</v>
      </c>
      <c r="F3409" s="748">
        <f t="shared" si="292"/>
        <v>0</v>
      </c>
      <c r="G3409" s="1205"/>
      <c r="H3409" s="1055"/>
      <c r="I3409" s="1055"/>
      <c r="J3409" s="1055"/>
      <c r="K3409" s="1205"/>
      <c r="L3409" s="1055"/>
      <c r="M3409" s="1205"/>
      <c r="N3409" s="1054"/>
      <c r="O3409" s="1207"/>
      <c r="Q3409" s="1207"/>
    </row>
    <row r="3410" spans="3:17" s="700" customFormat="1" ht="70.5" hidden="1" customHeight="1">
      <c r="C3410" s="701"/>
      <c r="D3410" s="811"/>
      <c r="E3410" s="1276">
        <f>[11]building!Y3741</f>
        <v>0</v>
      </c>
      <c r="F3410" s="748">
        <f t="shared" si="292"/>
        <v>0</v>
      </c>
      <c r="G3410" s="1205"/>
      <c r="H3410" s="1055"/>
      <c r="I3410" s="1055"/>
      <c r="J3410" s="1055"/>
      <c r="K3410" s="1205"/>
      <c r="L3410" s="1055"/>
      <c r="M3410" s="1205"/>
      <c r="N3410" s="1054"/>
      <c r="O3410" s="1207"/>
      <c r="Q3410" s="1207"/>
    </row>
    <row r="3411" spans="3:17" s="700" customFormat="1" ht="70.5" hidden="1" customHeight="1">
      <c r="C3411" s="701"/>
      <c r="D3411" s="811"/>
      <c r="E3411" s="1276">
        <f>[11]building!Y3742</f>
        <v>0</v>
      </c>
      <c r="F3411" s="748">
        <f t="shared" si="292"/>
        <v>0</v>
      </c>
      <c r="G3411" s="1205"/>
      <c r="H3411" s="1055"/>
      <c r="I3411" s="1055"/>
      <c r="J3411" s="1055"/>
      <c r="K3411" s="1205"/>
      <c r="L3411" s="1055"/>
      <c r="M3411" s="1205"/>
      <c r="N3411" s="1054"/>
      <c r="O3411" s="1207"/>
      <c r="Q3411" s="1207"/>
    </row>
    <row r="3412" spans="3:17" s="700" customFormat="1" ht="70.5" hidden="1" customHeight="1">
      <c r="C3412" s="701"/>
      <c r="D3412" s="811"/>
      <c r="E3412" s="1276">
        <f>[11]building!Y3743</f>
        <v>0</v>
      </c>
      <c r="F3412" s="748">
        <f t="shared" si="292"/>
        <v>0</v>
      </c>
      <c r="G3412" s="1205"/>
      <c r="H3412" s="1055"/>
      <c r="I3412" s="1055"/>
      <c r="J3412" s="1055"/>
      <c r="K3412" s="1205"/>
      <c r="L3412" s="1055"/>
      <c r="M3412" s="1205"/>
      <c r="N3412" s="1054"/>
      <c r="O3412" s="1207"/>
      <c r="Q3412" s="1207"/>
    </row>
    <row r="3413" spans="3:17" s="700" customFormat="1" ht="70.5" hidden="1" customHeight="1">
      <c r="C3413" s="701"/>
      <c r="D3413" s="811"/>
      <c r="E3413" s="1276">
        <f>[11]building!Y3744</f>
        <v>0</v>
      </c>
      <c r="F3413" s="748">
        <f t="shared" si="292"/>
        <v>0</v>
      </c>
      <c r="G3413" s="1205"/>
      <c r="H3413" s="1055"/>
      <c r="I3413" s="1055"/>
      <c r="J3413" s="1055"/>
      <c r="K3413" s="1205"/>
      <c r="L3413" s="1055"/>
      <c r="M3413" s="1205"/>
      <c r="N3413" s="1054"/>
      <c r="O3413" s="1207"/>
      <c r="Q3413" s="1207"/>
    </row>
    <row r="3414" spans="3:17" s="700" customFormat="1" ht="70.5" hidden="1" customHeight="1">
      <c r="C3414" s="701"/>
      <c r="D3414" s="811"/>
      <c r="E3414" s="1276">
        <f>[11]building!Y3745</f>
        <v>0</v>
      </c>
      <c r="F3414" s="748">
        <f t="shared" si="292"/>
        <v>0</v>
      </c>
      <c r="G3414" s="1205"/>
      <c r="H3414" s="1055"/>
      <c r="I3414" s="1055"/>
      <c r="J3414" s="1055"/>
      <c r="K3414" s="1205"/>
      <c r="L3414" s="1055"/>
      <c r="M3414" s="1205"/>
      <c r="N3414" s="1054"/>
      <c r="O3414" s="1207"/>
      <c r="Q3414" s="1207"/>
    </row>
    <row r="3415" spans="3:17" s="700" customFormat="1" ht="70.5" hidden="1" customHeight="1">
      <c r="C3415" s="701"/>
      <c r="D3415" s="811"/>
      <c r="E3415" s="1276">
        <f>[11]building!Y3746</f>
        <v>0</v>
      </c>
      <c r="F3415" s="748">
        <f t="shared" si="292"/>
        <v>0</v>
      </c>
      <c r="G3415" s="1205"/>
      <c r="H3415" s="1055"/>
      <c r="I3415" s="1055"/>
      <c r="J3415" s="1055"/>
      <c r="K3415" s="1205"/>
      <c r="L3415" s="1055"/>
      <c r="M3415" s="1205"/>
      <c r="N3415" s="1054"/>
      <c r="O3415" s="1207"/>
      <c r="Q3415" s="1207"/>
    </row>
    <row r="3416" spans="3:17" s="700" customFormat="1" ht="70.5" hidden="1" customHeight="1">
      <c r="C3416" s="701"/>
      <c r="D3416" s="811"/>
      <c r="E3416" s="1276">
        <f>[11]building!Y3747</f>
        <v>0</v>
      </c>
      <c r="F3416" s="748">
        <f t="shared" si="292"/>
        <v>0</v>
      </c>
      <c r="G3416" s="1205"/>
      <c r="H3416" s="1055"/>
      <c r="I3416" s="1055"/>
      <c r="J3416" s="1055"/>
      <c r="K3416" s="1205"/>
      <c r="L3416" s="1055"/>
      <c r="M3416" s="1205"/>
      <c r="N3416" s="1054"/>
      <c r="O3416" s="1207"/>
      <c r="Q3416" s="1207"/>
    </row>
    <row r="3417" spans="3:17" s="700" customFormat="1" ht="70.5" hidden="1" customHeight="1">
      <c r="C3417" s="701"/>
      <c r="D3417" s="811"/>
      <c r="E3417" s="1276">
        <f>[11]building!Y3748</f>
        <v>0</v>
      </c>
      <c r="F3417" s="748">
        <f t="shared" si="292"/>
        <v>0</v>
      </c>
      <c r="G3417" s="1205"/>
      <c r="H3417" s="1055"/>
      <c r="I3417" s="1055"/>
      <c r="J3417" s="1055"/>
      <c r="K3417" s="1205"/>
      <c r="L3417" s="1055"/>
      <c r="M3417" s="1205"/>
      <c r="N3417" s="1054"/>
      <c r="O3417" s="1207"/>
      <c r="Q3417" s="1207"/>
    </row>
    <row r="3418" spans="3:17" s="700" customFormat="1" ht="70.5" hidden="1" customHeight="1">
      <c r="C3418" s="701"/>
      <c r="D3418" s="811"/>
      <c r="E3418" s="1276">
        <f>[11]building!Y3749</f>
        <v>0</v>
      </c>
      <c r="F3418" s="748">
        <f t="shared" si="292"/>
        <v>0</v>
      </c>
      <c r="G3418" s="1205"/>
      <c r="H3418" s="1055"/>
      <c r="I3418" s="1055"/>
      <c r="J3418" s="1055"/>
      <c r="K3418" s="1205"/>
      <c r="L3418" s="1055"/>
      <c r="M3418" s="1205"/>
      <c r="N3418" s="1054"/>
      <c r="O3418" s="1207"/>
      <c r="Q3418" s="1207"/>
    </row>
    <row r="3419" spans="3:17" s="700" customFormat="1" ht="70.5" hidden="1" customHeight="1">
      <c r="C3419" s="701"/>
      <c r="D3419" s="811"/>
      <c r="E3419" s="1276">
        <f>[11]building!Y3750</f>
        <v>0</v>
      </c>
      <c r="F3419" s="748">
        <f t="shared" si="292"/>
        <v>0</v>
      </c>
      <c r="G3419" s="1205"/>
      <c r="H3419" s="1055"/>
      <c r="I3419" s="1055"/>
      <c r="J3419" s="1055"/>
      <c r="K3419" s="1205"/>
      <c r="L3419" s="1055"/>
      <c r="M3419" s="1205"/>
      <c r="N3419" s="1054"/>
      <c r="O3419" s="1207"/>
      <c r="Q3419" s="1207"/>
    </row>
    <row r="3420" spans="3:17" s="700" customFormat="1" ht="70.5" hidden="1" customHeight="1">
      <c r="C3420" s="701"/>
      <c r="D3420" s="811"/>
      <c r="E3420" s="1276">
        <f>[11]building!Y3751</f>
        <v>0</v>
      </c>
      <c r="F3420" s="748">
        <f t="shared" si="292"/>
        <v>0</v>
      </c>
      <c r="G3420" s="1205"/>
      <c r="H3420" s="1055"/>
      <c r="I3420" s="1055"/>
      <c r="J3420" s="1055"/>
      <c r="K3420" s="1205"/>
      <c r="L3420" s="1055"/>
      <c r="M3420" s="1205"/>
      <c r="N3420" s="1054"/>
      <c r="O3420" s="1207"/>
      <c r="Q3420" s="1207"/>
    </row>
    <row r="3421" spans="3:17" s="700" customFormat="1" ht="70.5" hidden="1" customHeight="1">
      <c r="C3421" s="701"/>
      <c r="D3421" s="811"/>
      <c r="E3421" s="1276">
        <f>[11]building!Y3752</f>
        <v>0</v>
      </c>
      <c r="F3421" s="748">
        <f t="shared" si="292"/>
        <v>0</v>
      </c>
      <c r="G3421" s="1205"/>
      <c r="H3421" s="1055"/>
      <c r="I3421" s="1055"/>
      <c r="J3421" s="1055"/>
      <c r="K3421" s="1205"/>
      <c r="L3421" s="1055"/>
      <c r="M3421" s="1205"/>
      <c r="N3421" s="1054"/>
      <c r="O3421" s="1207"/>
      <c r="Q3421" s="1207"/>
    </row>
    <row r="3422" spans="3:17" s="700" customFormat="1" ht="70.5" hidden="1" customHeight="1">
      <c r="C3422" s="701"/>
      <c r="D3422" s="811"/>
      <c r="E3422" s="1276">
        <f>[11]building!Y3753</f>
        <v>0</v>
      </c>
      <c r="F3422" s="748">
        <f t="shared" si="292"/>
        <v>0</v>
      </c>
      <c r="G3422" s="1205"/>
      <c r="H3422" s="1055"/>
      <c r="I3422" s="1055"/>
      <c r="J3422" s="1055"/>
      <c r="K3422" s="1205"/>
      <c r="L3422" s="1055"/>
      <c r="M3422" s="1205"/>
      <c r="N3422" s="1054"/>
      <c r="O3422" s="1207"/>
      <c r="Q3422" s="1207"/>
    </row>
    <row r="3423" spans="3:17" s="700" customFormat="1" ht="70.5" hidden="1" customHeight="1">
      <c r="C3423" s="701"/>
      <c r="D3423" s="811"/>
      <c r="E3423" s="1276">
        <f>[11]building!Y3754</f>
        <v>0</v>
      </c>
      <c r="F3423" s="748">
        <f t="shared" si="292"/>
        <v>0</v>
      </c>
      <c r="G3423" s="1205"/>
      <c r="H3423" s="1055"/>
      <c r="I3423" s="1055"/>
      <c r="J3423" s="1055"/>
      <c r="K3423" s="1205"/>
      <c r="L3423" s="1055"/>
      <c r="M3423" s="1205"/>
      <c r="N3423" s="1054"/>
      <c r="O3423" s="1207"/>
      <c r="Q3423" s="1207"/>
    </row>
    <row r="3424" spans="3:17" s="700" customFormat="1" ht="70.5" hidden="1" customHeight="1">
      <c r="C3424" s="701"/>
      <c r="D3424" s="811"/>
      <c r="E3424" s="1276">
        <f>[11]building!Y3755</f>
        <v>0</v>
      </c>
      <c r="F3424" s="748">
        <f t="shared" si="292"/>
        <v>0</v>
      </c>
      <c r="G3424" s="1205"/>
      <c r="H3424" s="1055"/>
      <c r="I3424" s="1055"/>
      <c r="J3424" s="1055"/>
      <c r="K3424" s="1205"/>
      <c r="L3424" s="1055"/>
      <c r="M3424" s="1205"/>
      <c r="N3424" s="1054"/>
      <c r="O3424" s="1207"/>
      <c r="Q3424" s="1207"/>
    </row>
    <row r="3425" spans="3:17" s="700" customFormat="1" ht="70.5" hidden="1" customHeight="1">
      <c r="C3425" s="701"/>
      <c r="D3425" s="811"/>
      <c r="E3425" s="1276">
        <f>[11]building!Y3756</f>
        <v>0</v>
      </c>
      <c r="F3425" s="748">
        <f t="shared" si="292"/>
        <v>0</v>
      </c>
      <c r="G3425" s="1205"/>
      <c r="H3425" s="1055"/>
      <c r="I3425" s="1055"/>
      <c r="J3425" s="1055"/>
      <c r="K3425" s="1205"/>
      <c r="L3425" s="1055"/>
      <c r="M3425" s="1205"/>
      <c r="N3425" s="1054"/>
      <c r="O3425" s="1207"/>
      <c r="Q3425" s="1207"/>
    </row>
    <row r="3426" spans="3:17" s="700" customFormat="1" ht="70.5" hidden="1" customHeight="1">
      <c r="C3426" s="701"/>
      <c r="D3426" s="811"/>
      <c r="E3426" s="1276">
        <f>[11]building!Y3757</f>
        <v>0</v>
      </c>
      <c r="F3426" s="748">
        <f t="shared" si="292"/>
        <v>0</v>
      </c>
      <c r="G3426" s="1205"/>
      <c r="H3426" s="1055"/>
      <c r="I3426" s="1055"/>
      <c r="J3426" s="1055"/>
      <c r="K3426" s="1205"/>
      <c r="L3426" s="1055"/>
      <c r="M3426" s="1205"/>
      <c r="N3426" s="1054"/>
      <c r="O3426" s="1207"/>
      <c r="Q3426" s="1207"/>
    </row>
    <row r="3427" spans="3:17" s="700" customFormat="1" ht="70.5" hidden="1" customHeight="1">
      <c r="C3427" s="701"/>
      <c r="D3427" s="811"/>
      <c r="E3427" s="1276">
        <f>[11]building!Y3758</f>
        <v>0</v>
      </c>
      <c r="F3427" s="748">
        <f t="shared" si="292"/>
        <v>0</v>
      </c>
      <c r="G3427" s="1205"/>
      <c r="H3427" s="1055"/>
      <c r="I3427" s="1055"/>
      <c r="J3427" s="1055"/>
      <c r="K3427" s="1205"/>
      <c r="L3427" s="1055"/>
      <c r="M3427" s="1205"/>
      <c r="N3427" s="1054"/>
      <c r="O3427" s="1207"/>
      <c r="Q3427" s="1207"/>
    </row>
    <row r="3428" spans="3:17" s="700" customFormat="1" ht="70.5" hidden="1" customHeight="1">
      <c r="C3428" s="701"/>
      <c r="D3428" s="811"/>
      <c r="E3428" s="1276">
        <f>[11]building!Y3759</f>
        <v>0</v>
      </c>
      <c r="F3428" s="748">
        <f t="shared" si="292"/>
        <v>0</v>
      </c>
      <c r="G3428" s="1205"/>
      <c r="H3428" s="1055"/>
      <c r="I3428" s="1055"/>
      <c r="J3428" s="1055"/>
      <c r="K3428" s="1205"/>
      <c r="L3428" s="1055"/>
      <c r="M3428" s="1205"/>
      <c r="N3428" s="1054"/>
      <c r="O3428" s="1207"/>
      <c r="Q3428" s="1207"/>
    </row>
    <row r="3429" spans="3:17" s="700" customFormat="1" ht="70.5" hidden="1" customHeight="1">
      <c r="C3429" s="701"/>
      <c r="D3429" s="811"/>
      <c r="E3429" s="1276">
        <f>[11]building!Y3760</f>
        <v>0</v>
      </c>
      <c r="F3429" s="748">
        <f t="shared" si="292"/>
        <v>0</v>
      </c>
      <c r="G3429" s="1205"/>
      <c r="H3429" s="1055"/>
      <c r="I3429" s="1055"/>
      <c r="J3429" s="1055"/>
      <c r="K3429" s="1205"/>
      <c r="L3429" s="1055"/>
      <c r="M3429" s="1205"/>
      <c r="N3429" s="1054"/>
      <c r="O3429" s="1207"/>
      <c r="Q3429" s="1207"/>
    </row>
    <row r="3430" spans="3:17" s="700" customFormat="1" ht="70.5" hidden="1" customHeight="1">
      <c r="C3430" s="701"/>
      <c r="D3430" s="811"/>
      <c r="E3430" s="1276">
        <f>[11]building!Y3761</f>
        <v>0</v>
      </c>
      <c r="F3430" s="748">
        <f t="shared" si="292"/>
        <v>0</v>
      </c>
      <c r="G3430" s="1205"/>
      <c r="H3430" s="1055"/>
      <c r="I3430" s="1055"/>
      <c r="J3430" s="1055"/>
      <c r="K3430" s="1205"/>
      <c r="L3430" s="1055"/>
      <c r="M3430" s="1205"/>
      <c r="N3430" s="1054"/>
      <c r="O3430" s="1207"/>
      <c r="Q3430" s="1207"/>
    </row>
    <row r="3431" spans="3:17" s="700" customFormat="1" ht="70.5" hidden="1" customHeight="1">
      <c r="C3431" s="701"/>
      <c r="D3431" s="811"/>
      <c r="E3431" s="1276">
        <f>[11]building!Y3762</f>
        <v>0</v>
      </c>
      <c r="F3431" s="748">
        <f t="shared" si="292"/>
        <v>0</v>
      </c>
      <c r="G3431" s="1205"/>
      <c r="H3431" s="1055"/>
      <c r="I3431" s="1055"/>
      <c r="J3431" s="1055"/>
      <c r="K3431" s="1205"/>
      <c r="L3431" s="1055"/>
      <c r="M3431" s="1205"/>
      <c r="N3431" s="1054"/>
      <c r="O3431" s="1207"/>
      <c r="Q3431" s="1207"/>
    </row>
    <row r="3432" spans="3:17" s="700" customFormat="1" ht="70.5" hidden="1" customHeight="1">
      <c r="C3432" s="701"/>
      <c r="D3432" s="811"/>
      <c r="E3432" s="1276">
        <f>[11]building!Y3763</f>
        <v>0</v>
      </c>
      <c r="F3432" s="748">
        <f t="shared" si="292"/>
        <v>0</v>
      </c>
      <c r="G3432" s="1205"/>
      <c r="H3432" s="1055"/>
      <c r="I3432" s="1055"/>
      <c r="J3432" s="1055"/>
      <c r="K3432" s="1205"/>
      <c r="L3432" s="1055"/>
      <c r="M3432" s="1205"/>
      <c r="N3432" s="1054"/>
      <c r="O3432" s="1207"/>
      <c r="Q3432" s="1207"/>
    </row>
    <row r="3433" spans="3:17" s="700" customFormat="1" ht="70.5" hidden="1" customHeight="1">
      <c r="C3433" s="701"/>
      <c r="D3433" s="811"/>
      <c r="E3433" s="1276">
        <f>[11]building!Y3764</f>
        <v>0</v>
      </c>
      <c r="F3433" s="748">
        <f t="shared" si="292"/>
        <v>0</v>
      </c>
      <c r="G3433" s="1205"/>
      <c r="H3433" s="1055"/>
      <c r="I3433" s="1055"/>
      <c r="J3433" s="1055"/>
      <c r="K3433" s="1205"/>
      <c r="L3433" s="1055"/>
      <c r="M3433" s="1205"/>
      <c r="N3433" s="1054"/>
      <c r="O3433" s="1207"/>
      <c r="Q3433" s="1207"/>
    </row>
    <row r="3434" spans="3:17" s="700" customFormat="1" ht="70.5" hidden="1" customHeight="1">
      <c r="C3434" s="701"/>
      <c r="D3434" s="811"/>
      <c r="E3434" s="1276">
        <f>[11]building!Y3765</f>
        <v>0</v>
      </c>
      <c r="F3434" s="748">
        <f t="shared" si="292"/>
        <v>0</v>
      </c>
      <c r="G3434" s="1205"/>
      <c r="H3434" s="1055"/>
      <c r="I3434" s="1055"/>
      <c r="J3434" s="1055"/>
      <c r="K3434" s="1205"/>
      <c r="L3434" s="1055"/>
      <c r="M3434" s="1205"/>
      <c r="N3434" s="1054"/>
      <c r="O3434" s="1207"/>
      <c r="Q3434" s="1207"/>
    </row>
    <row r="3435" spans="3:17" s="700" customFormat="1" ht="70.5" hidden="1" customHeight="1">
      <c r="C3435" s="701"/>
      <c r="D3435" s="811"/>
      <c r="E3435" s="1276">
        <f>[11]building!Y3766</f>
        <v>0</v>
      </c>
      <c r="F3435" s="748">
        <f t="shared" si="292"/>
        <v>0</v>
      </c>
      <c r="G3435" s="1205"/>
      <c r="H3435" s="1055"/>
      <c r="I3435" s="1055"/>
      <c r="J3435" s="1055"/>
      <c r="K3435" s="1205"/>
      <c r="L3435" s="1055"/>
      <c r="M3435" s="1205"/>
      <c r="N3435" s="1054"/>
      <c r="O3435" s="1207"/>
      <c r="Q3435" s="1207"/>
    </row>
    <row r="3436" spans="3:17" s="700" customFormat="1" ht="70.5" hidden="1" customHeight="1">
      <c r="C3436" s="701"/>
      <c r="D3436" s="811"/>
      <c r="E3436" s="1276">
        <f>[11]building!Y3767</f>
        <v>0</v>
      </c>
      <c r="F3436" s="748">
        <f t="shared" si="292"/>
        <v>0</v>
      </c>
      <c r="G3436" s="1205"/>
      <c r="H3436" s="1055"/>
      <c r="I3436" s="1055"/>
      <c r="J3436" s="1055"/>
      <c r="K3436" s="1205"/>
      <c r="L3436" s="1055"/>
      <c r="M3436" s="1205"/>
      <c r="N3436" s="1054"/>
      <c r="O3436" s="1207"/>
      <c r="Q3436" s="1207"/>
    </row>
    <row r="3437" spans="3:17" s="700" customFormat="1" ht="70.5" hidden="1" customHeight="1">
      <c r="C3437" s="701"/>
      <c r="D3437" s="811"/>
      <c r="E3437" s="1276">
        <f>[11]building!Y3768</f>
        <v>0</v>
      </c>
      <c r="F3437" s="748">
        <f t="shared" si="292"/>
        <v>0</v>
      </c>
      <c r="G3437" s="1205"/>
      <c r="H3437" s="1055"/>
      <c r="I3437" s="1055"/>
      <c r="J3437" s="1055"/>
      <c r="K3437" s="1205"/>
      <c r="L3437" s="1055"/>
      <c r="M3437" s="1205"/>
      <c r="N3437" s="1054"/>
      <c r="O3437" s="1207"/>
      <c r="Q3437" s="1207"/>
    </row>
    <row r="3438" spans="3:17" s="700" customFormat="1" ht="70.5" hidden="1" customHeight="1">
      <c r="C3438" s="701"/>
      <c r="D3438" s="811"/>
      <c r="E3438" s="1276">
        <f>[11]building!Y3769</f>
        <v>0</v>
      </c>
      <c r="F3438" s="748">
        <f t="shared" si="292"/>
        <v>0</v>
      </c>
      <c r="G3438" s="1205"/>
      <c r="H3438" s="1055"/>
      <c r="I3438" s="1055"/>
      <c r="J3438" s="1055"/>
      <c r="K3438" s="1205"/>
      <c r="L3438" s="1055"/>
      <c r="M3438" s="1205"/>
      <c r="N3438" s="1054"/>
      <c r="O3438" s="1207"/>
      <c r="Q3438" s="1207"/>
    </row>
    <row r="3439" spans="3:17" s="700" customFormat="1" ht="70.5" hidden="1" customHeight="1">
      <c r="C3439" s="701"/>
      <c r="D3439" s="811"/>
      <c r="E3439" s="1276">
        <f>[11]building!Y3770</f>
        <v>0</v>
      </c>
      <c r="F3439" s="748">
        <f t="shared" si="292"/>
        <v>0</v>
      </c>
      <c r="G3439" s="1205"/>
      <c r="H3439" s="1055"/>
      <c r="I3439" s="1055"/>
      <c r="J3439" s="1055"/>
      <c r="K3439" s="1205"/>
      <c r="L3439" s="1055"/>
      <c r="M3439" s="1205"/>
      <c r="N3439" s="1054"/>
      <c r="O3439" s="1207"/>
      <c r="Q3439" s="1207"/>
    </row>
    <row r="3440" spans="3:17" s="700" customFormat="1" ht="70.5" hidden="1" customHeight="1">
      <c r="C3440" s="701"/>
      <c r="D3440" s="811"/>
      <c r="E3440" s="1276">
        <f>[11]building!Y3771</f>
        <v>0</v>
      </c>
      <c r="F3440" s="748">
        <f t="shared" si="292"/>
        <v>0</v>
      </c>
      <c r="G3440" s="1205"/>
      <c r="H3440" s="1055"/>
      <c r="I3440" s="1055"/>
      <c r="J3440" s="1055"/>
      <c r="K3440" s="1205"/>
      <c r="L3440" s="1055"/>
      <c r="M3440" s="1205"/>
      <c r="N3440" s="1054"/>
      <c r="O3440" s="1207"/>
      <c r="Q3440" s="1207"/>
    </row>
    <row r="3441" spans="3:17" s="700" customFormat="1" ht="70.5" hidden="1" customHeight="1">
      <c r="C3441" s="701"/>
      <c r="D3441" s="811"/>
      <c r="E3441" s="1276">
        <f>[11]building!Y3772</f>
        <v>0</v>
      </c>
      <c r="F3441" s="748">
        <f t="shared" si="292"/>
        <v>0</v>
      </c>
      <c r="G3441" s="1205"/>
      <c r="H3441" s="1055"/>
      <c r="I3441" s="1055"/>
      <c r="J3441" s="1055"/>
      <c r="K3441" s="1205"/>
      <c r="L3441" s="1055"/>
      <c r="M3441" s="1205"/>
      <c r="N3441" s="1054"/>
      <c r="O3441" s="1207"/>
      <c r="Q3441" s="1207"/>
    </row>
    <row r="3442" spans="3:17" s="700" customFormat="1" ht="70.5" hidden="1" customHeight="1">
      <c r="C3442" s="701"/>
      <c r="D3442" s="811"/>
      <c r="E3442" s="1276">
        <f>[11]building!Y3773</f>
        <v>0</v>
      </c>
      <c r="F3442" s="748">
        <f t="shared" si="292"/>
        <v>0</v>
      </c>
      <c r="G3442" s="1205"/>
      <c r="H3442" s="1055"/>
      <c r="I3442" s="1055"/>
      <c r="J3442" s="1055"/>
      <c r="K3442" s="1205"/>
      <c r="L3442" s="1055"/>
      <c r="M3442" s="1205"/>
      <c r="N3442" s="1054"/>
      <c r="O3442" s="1207"/>
      <c r="Q3442" s="1207"/>
    </row>
    <row r="3443" spans="3:17" s="700" customFormat="1" ht="70.5" hidden="1" customHeight="1">
      <c r="C3443" s="701"/>
      <c r="D3443" s="811"/>
      <c r="E3443" s="1276">
        <f>[11]building!Y3774</f>
        <v>0</v>
      </c>
      <c r="F3443" s="748">
        <f t="shared" si="292"/>
        <v>0</v>
      </c>
      <c r="G3443" s="1205"/>
      <c r="H3443" s="1055"/>
      <c r="I3443" s="1055"/>
      <c r="J3443" s="1055"/>
      <c r="K3443" s="1205"/>
      <c r="L3443" s="1055"/>
      <c r="M3443" s="1205"/>
      <c r="N3443" s="1054"/>
      <c r="O3443" s="1207"/>
      <c r="Q3443" s="1207"/>
    </row>
    <row r="3444" spans="3:17" s="700" customFormat="1" ht="70.5" hidden="1" customHeight="1">
      <c r="C3444" s="701"/>
      <c r="D3444" s="811"/>
      <c r="E3444" s="1276">
        <f>[11]building!Y3775</f>
        <v>0</v>
      </c>
      <c r="F3444" s="748">
        <f t="shared" si="292"/>
        <v>0</v>
      </c>
      <c r="G3444" s="1205"/>
      <c r="H3444" s="1055"/>
      <c r="I3444" s="1055"/>
      <c r="J3444" s="1055"/>
      <c r="K3444" s="1205"/>
      <c r="L3444" s="1055"/>
      <c r="M3444" s="1205"/>
      <c r="N3444" s="1054"/>
      <c r="O3444" s="1207"/>
      <c r="Q3444" s="1207"/>
    </row>
    <row r="3445" spans="3:17" s="700" customFormat="1" ht="70.5" hidden="1" customHeight="1">
      <c r="C3445" s="701"/>
      <c r="D3445" s="811"/>
      <c r="E3445" s="1276">
        <f>[11]building!Y3776</f>
        <v>0</v>
      </c>
      <c r="F3445" s="748">
        <f t="shared" si="292"/>
        <v>0</v>
      </c>
      <c r="G3445" s="1205"/>
      <c r="H3445" s="1055"/>
      <c r="I3445" s="1055"/>
      <c r="J3445" s="1055"/>
      <c r="K3445" s="1205"/>
      <c r="L3445" s="1055"/>
      <c r="M3445" s="1205"/>
      <c r="N3445" s="1054"/>
      <c r="O3445" s="1207"/>
      <c r="Q3445" s="1207"/>
    </row>
    <row r="3446" spans="3:17" s="700" customFormat="1" ht="70.5" hidden="1" customHeight="1">
      <c r="C3446" s="701"/>
      <c r="D3446" s="811"/>
      <c r="E3446" s="1276">
        <f>[11]building!Y3777</f>
        <v>0</v>
      </c>
      <c r="F3446" s="748">
        <f t="shared" si="292"/>
        <v>0</v>
      </c>
      <c r="G3446" s="1205"/>
      <c r="H3446" s="1055"/>
      <c r="I3446" s="1055"/>
      <c r="J3446" s="1055"/>
      <c r="K3446" s="1205"/>
      <c r="L3446" s="1055"/>
      <c r="M3446" s="1205"/>
      <c r="N3446" s="1054"/>
      <c r="O3446" s="1207"/>
      <c r="Q3446" s="1207"/>
    </row>
    <row r="3447" spans="3:17" s="700" customFormat="1" ht="70.5" hidden="1" customHeight="1">
      <c r="C3447" s="701"/>
      <c r="D3447" s="811"/>
      <c r="E3447" s="1276">
        <f>[11]building!Y3778</f>
        <v>0</v>
      </c>
      <c r="F3447" s="748">
        <f t="shared" si="292"/>
        <v>0</v>
      </c>
      <c r="G3447" s="1205"/>
      <c r="H3447" s="1055"/>
      <c r="I3447" s="1055"/>
      <c r="J3447" s="1055"/>
      <c r="K3447" s="1205"/>
      <c r="L3447" s="1055"/>
      <c r="M3447" s="1205"/>
      <c r="N3447" s="1054"/>
      <c r="O3447" s="1207"/>
      <c r="Q3447" s="1207"/>
    </row>
    <row r="3448" spans="3:17" s="700" customFormat="1" ht="70.5" hidden="1" customHeight="1">
      <c r="C3448" s="701"/>
      <c r="D3448" s="811"/>
      <c r="E3448" s="1276">
        <f>[11]building!Y3779</f>
        <v>0</v>
      </c>
      <c r="F3448" s="748">
        <f t="shared" si="292"/>
        <v>0</v>
      </c>
      <c r="G3448" s="1205"/>
      <c r="H3448" s="1055"/>
      <c r="I3448" s="1055"/>
      <c r="J3448" s="1055"/>
      <c r="K3448" s="1205"/>
      <c r="L3448" s="1055"/>
      <c r="M3448" s="1205"/>
      <c r="N3448" s="1054"/>
      <c r="O3448" s="1207"/>
      <c r="Q3448" s="1207"/>
    </row>
    <row r="3449" spans="3:17" s="700" customFormat="1" ht="70.5" hidden="1" customHeight="1">
      <c r="C3449" s="701"/>
      <c r="D3449" s="811"/>
      <c r="E3449" s="1276">
        <f>[11]building!Y3780</f>
        <v>0</v>
      </c>
      <c r="F3449" s="748">
        <f t="shared" si="292"/>
        <v>0</v>
      </c>
      <c r="G3449" s="1205"/>
      <c r="H3449" s="1055"/>
      <c r="I3449" s="1055"/>
      <c r="J3449" s="1055"/>
      <c r="K3449" s="1205"/>
      <c r="L3449" s="1055"/>
      <c r="M3449" s="1205"/>
      <c r="N3449" s="1054"/>
      <c r="O3449" s="1207"/>
      <c r="Q3449" s="1207"/>
    </row>
    <row r="3450" spans="3:17" s="700" customFormat="1" ht="70.5" hidden="1" customHeight="1">
      <c r="C3450" s="701"/>
      <c r="D3450" s="811"/>
      <c r="E3450" s="1276">
        <f>[11]building!Y3781</f>
        <v>0</v>
      </c>
      <c r="F3450" s="748">
        <f t="shared" si="292"/>
        <v>0</v>
      </c>
      <c r="G3450" s="1205"/>
      <c r="H3450" s="1055"/>
      <c r="I3450" s="1055"/>
      <c r="J3450" s="1055"/>
      <c r="K3450" s="1205"/>
      <c r="L3450" s="1055"/>
      <c r="M3450" s="1205"/>
      <c r="N3450" s="1054"/>
      <c r="O3450" s="1207"/>
      <c r="Q3450" s="1207"/>
    </row>
    <row r="3451" spans="3:17" s="700" customFormat="1" ht="70.5" hidden="1" customHeight="1">
      <c r="C3451" s="701"/>
      <c r="D3451" s="811"/>
      <c r="E3451" s="1276">
        <f>[11]building!Y3782</f>
        <v>0</v>
      </c>
      <c r="F3451" s="748">
        <f t="shared" si="292"/>
        <v>0</v>
      </c>
      <c r="G3451" s="1205"/>
      <c r="H3451" s="1055"/>
      <c r="I3451" s="1055"/>
      <c r="J3451" s="1055"/>
      <c r="K3451" s="1205"/>
      <c r="L3451" s="1055"/>
      <c r="M3451" s="1205"/>
      <c r="N3451" s="1054"/>
      <c r="O3451" s="1207"/>
      <c r="Q3451" s="1207"/>
    </row>
    <row r="3452" spans="3:17" s="700" customFormat="1" ht="70.5" hidden="1" customHeight="1">
      <c r="C3452" s="701"/>
      <c r="D3452" s="811"/>
      <c r="E3452" s="1276">
        <f>[11]building!Y3783</f>
        <v>0</v>
      </c>
      <c r="F3452" s="748">
        <f t="shared" si="292"/>
        <v>0</v>
      </c>
      <c r="G3452" s="1205"/>
      <c r="H3452" s="1055"/>
      <c r="I3452" s="1055"/>
      <c r="J3452" s="1055"/>
      <c r="K3452" s="1205"/>
      <c r="L3452" s="1055"/>
      <c r="M3452" s="1205"/>
      <c r="N3452" s="1054"/>
      <c r="O3452" s="1207"/>
      <c r="Q3452" s="1207"/>
    </row>
    <row r="3453" spans="3:17" s="700" customFormat="1" ht="70.5" hidden="1" customHeight="1">
      <c r="C3453" s="701"/>
      <c r="D3453" s="811"/>
      <c r="E3453" s="1276">
        <f>[11]building!Y3784</f>
        <v>0</v>
      </c>
      <c r="F3453" s="748">
        <f t="shared" si="292"/>
        <v>0</v>
      </c>
      <c r="G3453" s="1205"/>
      <c r="H3453" s="1055"/>
      <c r="I3453" s="1055"/>
      <c r="J3453" s="1055"/>
      <c r="K3453" s="1205"/>
      <c r="L3453" s="1055"/>
      <c r="M3453" s="1205"/>
      <c r="N3453" s="1054"/>
      <c r="O3453" s="1207"/>
      <c r="Q3453" s="1207"/>
    </row>
    <row r="3454" spans="3:17" s="700" customFormat="1" ht="70.5" hidden="1" customHeight="1">
      <c r="C3454" s="701"/>
      <c r="D3454" s="811"/>
      <c r="E3454" s="1276">
        <f>[11]building!Y3785</f>
        <v>0</v>
      </c>
      <c r="F3454" s="748">
        <f t="shared" si="292"/>
        <v>0</v>
      </c>
      <c r="G3454" s="1205"/>
      <c r="H3454" s="1055"/>
      <c r="I3454" s="1055"/>
      <c r="J3454" s="1055"/>
      <c r="K3454" s="1205"/>
      <c r="L3454" s="1055"/>
      <c r="M3454" s="1205"/>
      <c r="N3454" s="1054"/>
      <c r="O3454" s="1207"/>
      <c r="Q3454" s="1207"/>
    </row>
    <row r="3455" spans="3:17" s="700" customFormat="1" ht="70.5" hidden="1" customHeight="1">
      <c r="C3455" s="701"/>
      <c r="D3455" s="811"/>
      <c r="E3455" s="1276">
        <f>[11]building!Y3786</f>
        <v>0</v>
      </c>
      <c r="F3455" s="748">
        <f t="shared" si="292"/>
        <v>0</v>
      </c>
      <c r="G3455" s="1205"/>
      <c r="H3455" s="1055"/>
      <c r="I3455" s="1055"/>
      <c r="J3455" s="1055"/>
      <c r="K3455" s="1205"/>
      <c r="L3455" s="1055"/>
      <c r="M3455" s="1205"/>
      <c r="N3455" s="1054"/>
      <c r="O3455" s="1207"/>
      <c r="Q3455" s="1207"/>
    </row>
    <row r="3456" spans="3:17" s="700" customFormat="1" ht="70.5" hidden="1" customHeight="1">
      <c r="C3456" s="701"/>
      <c r="D3456" s="811"/>
      <c r="E3456" s="1276">
        <f>[11]building!Y3787</f>
        <v>0</v>
      </c>
      <c r="F3456" s="748">
        <f t="shared" ref="F3456:F3519" si="293">E3456*C3456</f>
        <v>0</v>
      </c>
      <c r="G3456" s="1205"/>
      <c r="H3456" s="1055"/>
      <c r="I3456" s="1055"/>
      <c r="J3456" s="1055"/>
      <c r="K3456" s="1205"/>
      <c r="L3456" s="1055"/>
      <c r="M3456" s="1205"/>
      <c r="N3456" s="1054"/>
      <c r="O3456" s="1207"/>
      <c r="Q3456" s="1207"/>
    </row>
    <row r="3457" spans="3:17" s="700" customFormat="1" ht="70.5" hidden="1" customHeight="1">
      <c r="C3457" s="701"/>
      <c r="D3457" s="811"/>
      <c r="E3457" s="1276">
        <f>[11]building!Y3788</f>
        <v>0</v>
      </c>
      <c r="F3457" s="748">
        <f t="shared" si="293"/>
        <v>0</v>
      </c>
      <c r="G3457" s="1205"/>
      <c r="H3457" s="1055"/>
      <c r="I3457" s="1055"/>
      <c r="J3457" s="1055"/>
      <c r="K3457" s="1205"/>
      <c r="L3457" s="1055"/>
      <c r="M3457" s="1205"/>
      <c r="N3457" s="1054"/>
      <c r="O3457" s="1207"/>
      <c r="Q3457" s="1207"/>
    </row>
    <row r="3458" spans="3:17" s="700" customFormat="1" ht="70.5" hidden="1" customHeight="1">
      <c r="C3458" s="701"/>
      <c r="D3458" s="811"/>
      <c r="E3458" s="1276">
        <f>[11]building!Y3789</f>
        <v>0</v>
      </c>
      <c r="F3458" s="748">
        <f t="shared" si="293"/>
        <v>0</v>
      </c>
      <c r="G3458" s="1205"/>
      <c r="H3458" s="1055"/>
      <c r="I3458" s="1055"/>
      <c r="J3458" s="1055"/>
      <c r="K3458" s="1205"/>
      <c r="L3458" s="1055"/>
      <c r="M3458" s="1205"/>
      <c r="N3458" s="1054"/>
      <c r="O3458" s="1207"/>
      <c r="Q3458" s="1207"/>
    </row>
    <row r="3459" spans="3:17" s="700" customFormat="1" ht="70.5" hidden="1" customHeight="1">
      <c r="C3459" s="701"/>
      <c r="D3459" s="811"/>
      <c r="E3459" s="1276">
        <f>[11]building!Y3790</f>
        <v>0</v>
      </c>
      <c r="F3459" s="748">
        <f t="shared" si="293"/>
        <v>0</v>
      </c>
      <c r="G3459" s="1205"/>
      <c r="H3459" s="1055"/>
      <c r="I3459" s="1055"/>
      <c r="J3459" s="1055"/>
      <c r="K3459" s="1205"/>
      <c r="L3459" s="1055"/>
      <c r="M3459" s="1205"/>
      <c r="N3459" s="1054"/>
      <c r="O3459" s="1207"/>
      <c r="Q3459" s="1207"/>
    </row>
    <row r="3460" spans="3:17" s="700" customFormat="1" ht="70.5" hidden="1" customHeight="1">
      <c r="C3460" s="701"/>
      <c r="D3460" s="811"/>
      <c r="E3460" s="1276">
        <f>[11]building!Y3791</f>
        <v>0</v>
      </c>
      <c r="F3460" s="748">
        <f t="shared" si="293"/>
        <v>0</v>
      </c>
      <c r="G3460" s="1205"/>
      <c r="H3460" s="1055"/>
      <c r="I3460" s="1055"/>
      <c r="J3460" s="1055"/>
      <c r="K3460" s="1205"/>
      <c r="L3460" s="1055"/>
      <c r="M3460" s="1205"/>
      <c r="N3460" s="1054"/>
      <c r="O3460" s="1207"/>
      <c r="Q3460" s="1207"/>
    </row>
    <row r="3461" spans="3:17" s="700" customFormat="1" ht="70.5" hidden="1" customHeight="1">
      <c r="C3461" s="701"/>
      <c r="D3461" s="811"/>
      <c r="E3461" s="1276">
        <f>[11]building!Y3792</f>
        <v>0</v>
      </c>
      <c r="F3461" s="748">
        <f t="shared" si="293"/>
        <v>0</v>
      </c>
      <c r="G3461" s="1205"/>
      <c r="H3461" s="1055"/>
      <c r="I3461" s="1055"/>
      <c r="J3461" s="1055"/>
      <c r="K3461" s="1205"/>
      <c r="L3461" s="1055"/>
      <c r="M3461" s="1205"/>
      <c r="N3461" s="1054"/>
      <c r="O3461" s="1207"/>
      <c r="Q3461" s="1207"/>
    </row>
    <row r="3462" spans="3:17" s="700" customFormat="1" ht="70.5" hidden="1" customHeight="1">
      <c r="C3462" s="701"/>
      <c r="D3462" s="811"/>
      <c r="E3462" s="1276">
        <f>[11]building!Y3793</f>
        <v>0</v>
      </c>
      <c r="F3462" s="748">
        <f t="shared" si="293"/>
        <v>0</v>
      </c>
      <c r="G3462" s="1205"/>
      <c r="H3462" s="1055"/>
      <c r="I3462" s="1055"/>
      <c r="J3462" s="1055"/>
      <c r="K3462" s="1205"/>
      <c r="L3462" s="1055"/>
      <c r="M3462" s="1205"/>
      <c r="N3462" s="1054"/>
      <c r="O3462" s="1207"/>
      <c r="Q3462" s="1207"/>
    </row>
    <row r="3463" spans="3:17" s="700" customFormat="1" ht="70.5" hidden="1" customHeight="1">
      <c r="C3463" s="701"/>
      <c r="D3463" s="811"/>
      <c r="E3463" s="1276">
        <f>[11]building!Y3794</f>
        <v>0</v>
      </c>
      <c r="F3463" s="748">
        <f t="shared" si="293"/>
        <v>0</v>
      </c>
      <c r="G3463" s="1205"/>
      <c r="H3463" s="1055"/>
      <c r="I3463" s="1055"/>
      <c r="J3463" s="1055"/>
      <c r="K3463" s="1205"/>
      <c r="L3463" s="1055"/>
      <c r="M3463" s="1205"/>
      <c r="N3463" s="1054"/>
      <c r="O3463" s="1207"/>
      <c r="Q3463" s="1207"/>
    </row>
    <row r="3464" spans="3:17" s="700" customFormat="1" ht="70.5" hidden="1" customHeight="1">
      <c r="C3464" s="701"/>
      <c r="D3464" s="811"/>
      <c r="E3464" s="1276">
        <f>[11]building!Y3795</f>
        <v>0</v>
      </c>
      <c r="F3464" s="748">
        <f t="shared" si="293"/>
        <v>0</v>
      </c>
      <c r="G3464" s="1205"/>
      <c r="H3464" s="1055"/>
      <c r="I3464" s="1055"/>
      <c r="J3464" s="1055"/>
      <c r="K3464" s="1205"/>
      <c r="L3464" s="1055"/>
      <c r="M3464" s="1205"/>
      <c r="N3464" s="1054"/>
      <c r="O3464" s="1207"/>
      <c r="Q3464" s="1207"/>
    </row>
    <row r="3465" spans="3:17" s="700" customFormat="1" ht="70.5" hidden="1" customHeight="1">
      <c r="C3465" s="701"/>
      <c r="D3465" s="811"/>
      <c r="E3465" s="1276">
        <f>[11]building!Y3796</f>
        <v>0</v>
      </c>
      <c r="F3465" s="748">
        <f t="shared" si="293"/>
        <v>0</v>
      </c>
      <c r="G3465" s="1205"/>
      <c r="H3465" s="1055"/>
      <c r="I3465" s="1055"/>
      <c r="J3465" s="1055"/>
      <c r="K3465" s="1205"/>
      <c r="L3465" s="1055"/>
      <c r="M3465" s="1205"/>
      <c r="N3465" s="1054"/>
      <c r="O3465" s="1207"/>
      <c r="Q3465" s="1207"/>
    </row>
    <row r="3466" spans="3:17" s="700" customFormat="1" ht="70.5" hidden="1" customHeight="1">
      <c r="C3466" s="701"/>
      <c r="D3466" s="811"/>
      <c r="E3466" s="1276">
        <f>[11]building!Y3797</f>
        <v>0</v>
      </c>
      <c r="F3466" s="748">
        <f t="shared" si="293"/>
        <v>0</v>
      </c>
      <c r="G3466" s="1205"/>
      <c r="H3466" s="1055"/>
      <c r="I3466" s="1055"/>
      <c r="J3466" s="1055"/>
      <c r="K3466" s="1205"/>
      <c r="L3466" s="1055"/>
      <c r="M3466" s="1205"/>
      <c r="N3466" s="1054"/>
      <c r="O3466" s="1207"/>
      <c r="Q3466" s="1207"/>
    </row>
    <row r="3467" spans="3:17" s="700" customFormat="1" ht="70.5" hidden="1" customHeight="1">
      <c r="C3467" s="701"/>
      <c r="D3467" s="811"/>
      <c r="E3467" s="1276">
        <f>[11]building!Y3798</f>
        <v>0</v>
      </c>
      <c r="F3467" s="748">
        <f t="shared" si="293"/>
        <v>0</v>
      </c>
      <c r="G3467" s="1205"/>
      <c r="H3467" s="1055"/>
      <c r="I3467" s="1055"/>
      <c r="J3467" s="1055"/>
      <c r="K3467" s="1205"/>
      <c r="L3467" s="1055"/>
      <c r="M3467" s="1205"/>
      <c r="N3467" s="1054"/>
      <c r="O3467" s="1207"/>
      <c r="Q3467" s="1207"/>
    </row>
    <row r="3468" spans="3:17" s="700" customFormat="1" ht="70.5" hidden="1" customHeight="1">
      <c r="C3468" s="701"/>
      <c r="D3468" s="811"/>
      <c r="E3468" s="1276">
        <f>[11]building!Y3799</f>
        <v>0</v>
      </c>
      <c r="F3468" s="748">
        <f t="shared" si="293"/>
        <v>0</v>
      </c>
      <c r="G3468" s="1205"/>
      <c r="H3468" s="1055"/>
      <c r="I3468" s="1055"/>
      <c r="J3468" s="1055"/>
      <c r="K3468" s="1205"/>
      <c r="L3468" s="1055"/>
      <c r="M3468" s="1205"/>
      <c r="N3468" s="1054"/>
      <c r="O3468" s="1207"/>
      <c r="Q3468" s="1207"/>
    </row>
    <row r="3469" spans="3:17" s="700" customFormat="1" ht="70.5" hidden="1" customHeight="1">
      <c r="C3469" s="701"/>
      <c r="D3469" s="811"/>
      <c r="E3469" s="1276">
        <f>[11]building!Y3800</f>
        <v>0</v>
      </c>
      <c r="F3469" s="748">
        <f t="shared" si="293"/>
        <v>0</v>
      </c>
      <c r="G3469" s="1205"/>
      <c r="H3469" s="1055"/>
      <c r="I3469" s="1055"/>
      <c r="J3469" s="1055"/>
      <c r="K3469" s="1205"/>
      <c r="L3469" s="1055"/>
      <c r="M3469" s="1205"/>
      <c r="N3469" s="1054"/>
      <c r="O3469" s="1207"/>
      <c r="Q3469" s="1207"/>
    </row>
    <row r="3470" spans="3:17" s="700" customFormat="1" ht="70.5" hidden="1" customHeight="1">
      <c r="C3470" s="701"/>
      <c r="D3470" s="811"/>
      <c r="E3470" s="1276">
        <f>[11]building!Y3801</f>
        <v>0</v>
      </c>
      <c r="F3470" s="748">
        <f t="shared" si="293"/>
        <v>0</v>
      </c>
      <c r="G3470" s="1205"/>
      <c r="H3470" s="1055"/>
      <c r="I3470" s="1055"/>
      <c r="J3470" s="1055"/>
      <c r="K3470" s="1205"/>
      <c r="L3470" s="1055"/>
      <c r="M3470" s="1205"/>
      <c r="N3470" s="1054"/>
      <c r="O3470" s="1207"/>
      <c r="Q3470" s="1207"/>
    </row>
    <row r="3471" spans="3:17" s="700" customFormat="1" ht="70.5" hidden="1" customHeight="1">
      <c r="C3471" s="701"/>
      <c r="D3471" s="811"/>
      <c r="E3471" s="1276">
        <f>[11]building!Y3802</f>
        <v>0</v>
      </c>
      <c r="F3471" s="748">
        <f t="shared" si="293"/>
        <v>0</v>
      </c>
      <c r="G3471" s="1205"/>
      <c r="H3471" s="1055"/>
      <c r="I3471" s="1055"/>
      <c r="J3471" s="1055"/>
      <c r="K3471" s="1205"/>
      <c r="L3471" s="1055"/>
      <c r="M3471" s="1205"/>
      <c r="N3471" s="1054"/>
      <c r="O3471" s="1207"/>
      <c r="Q3471" s="1207"/>
    </row>
    <row r="3472" spans="3:17" s="700" customFormat="1" ht="70.5" hidden="1" customHeight="1">
      <c r="C3472" s="701"/>
      <c r="D3472" s="811"/>
      <c r="E3472" s="1276">
        <f>[11]building!Y3803</f>
        <v>0</v>
      </c>
      <c r="F3472" s="748">
        <f t="shared" si="293"/>
        <v>0</v>
      </c>
      <c r="G3472" s="1205"/>
      <c r="H3472" s="1055"/>
      <c r="I3472" s="1055"/>
      <c r="J3472" s="1055"/>
      <c r="K3472" s="1205"/>
      <c r="L3472" s="1055"/>
      <c r="M3472" s="1205"/>
      <c r="N3472" s="1054"/>
      <c r="O3472" s="1207"/>
      <c r="Q3472" s="1207"/>
    </row>
    <row r="3473" spans="3:17" s="700" customFormat="1" ht="70.5" hidden="1" customHeight="1">
      <c r="C3473" s="701"/>
      <c r="D3473" s="811"/>
      <c r="E3473" s="1276">
        <f>[11]building!Y3804</f>
        <v>0</v>
      </c>
      <c r="F3473" s="748">
        <f t="shared" si="293"/>
        <v>0</v>
      </c>
      <c r="G3473" s="1205"/>
      <c r="H3473" s="1055"/>
      <c r="I3473" s="1055"/>
      <c r="J3473" s="1055"/>
      <c r="K3473" s="1205"/>
      <c r="L3473" s="1055"/>
      <c r="M3473" s="1205"/>
      <c r="N3473" s="1054"/>
      <c r="O3473" s="1207"/>
      <c r="Q3473" s="1207"/>
    </row>
    <row r="3474" spans="3:17" s="700" customFormat="1" ht="70.5" hidden="1" customHeight="1">
      <c r="C3474" s="701"/>
      <c r="D3474" s="811"/>
      <c r="E3474" s="1276">
        <f>[11]building!Y3805</f>
        <v>0</v>
      </c>
      <c r="F3474" s="748">
        <f t="shared" si="293"/>
        <v>0</v>
      </c>
      <c r="G3474" s="1205"/>
      <c r="H3474" s="1055"/>
      <c r="I3474" s="1055"/>
      <c r="J3474" s="1055"/>
      <c r="K3474" s="1205"/>
      <c r="L3474" s="1055"/>
      <c r="M3474" s="1205"/>
      <c r="N3474" s="1054"/>
      <c r="O3474" s="1207"/>
      <c r="Q3474" s="1207"/>
    </row>
    <row r="3475" spans="3:17" s="700" customFormat="1" ht="70.5" hidden="1" customHeight="1">
      <c r="C3475" s="701"/>
      <c r="D3475" s="811"/>
      <c r="E3475" s="1276">
        <f>[11]building!Y3806</f>
        <v>0</v>
      </c>
      <c r="F3475" s="748">
        <f t="shared" si="293"/>
        <v>0</v>
      </c>
      <c r="G3475" s="1205"/>
      <c r="H3475" s="1055"/>
      <c r="I3475" s="1055"/>
      <c r="J3475" s="1055"/>
      <c r="K3475" s="1205"/>
      <c r="L3475" s="1055"/>
      <c r="M3475" s="1205"/>
      <c r="N3475" s="1054"/>
      <c r="O3475" s="1207"/>
      <c r="Q3475" s="1207"/>
    </row>
    <row r="3476" spans="3:17" s="700" customFormat="1" ht="70.5" hidden="1" customHeight="1">
      <c r="C3476" s="701"/>
      <c r="D3476" s="811"/>
      <c r="E3476" s="1276">
        <f>[11]building!Y3807</f>
        <v>0</v>
      </c>
      <c r="F3476" s="748">
        <f t="shared" si="293"/>
        <v>0</v>
      </c>
      <c r="G3476" s="1205"/>
      <c r="H3476" s="1055"/>
      <c r="I3476" s="1055"/>
      <c r="J3476" s="1055"/>
      <c r="K3476" s="1205"/>
      <c r="L3476" s="1055"/>
      <c r="M3476" s="1205"/>
      <c r="N3476" s="1054"/>
      <c r="O3476" s="1207"/>
      <c r="Q3476" s="1207"/>
    </row>
    <row r="3477" spans="3:17" s="700" customFormat="1" ht="70.5" hidden="1" customHeight="1">
      <c r="C3477" s="701"/>
      <c r="D3477" s="811"/>
      <c r="E3477" s="1276">
        <f>[11]building!Y3808</f>
        <v>0</v>
      </c>
      <c r="F3477" s="748">
        <f t="shared" si="293"/>
        <v>0</v>
      </c>
      <c r="G3477" s="1205"/>
      <c r="H3477" s="1055"/>
      <c r="I3477" s="1055"/>
      <c r="J3477" s="1055"/>
      <c r="K3477" s="1205"/>
      <c r="L3477" s="1055"/>
      <c r="M3477" s="1205"/>
      <c r="N3477" s="1054"/>
      <c r="O3477" s="1207"/>
      <c r="Q3477" s="1207"/>
    </row>
    <row r="3478" spans="3:17" s="700" customFormat="1" ht="70.5" hidden="1" customHeight="1">
      <c r="C3478" s="701"/>
      <c r="D3478" s="811"/>
      <c r="E3478" s="1276">
        <f>[11]building!Y3809</f>
        <v>0</v>
      </c>
      <c r="F3478" s="748">
        <f t="shared" si="293"/>
        <v>0</v>
      </c>
      <c r="G3478" s="1205"/>
      <c r="H3478" s="1055"/>
      <c r="I3478" s="1055"/>
      <c r="J3478" s="1055"/>
      <c r="K3478" s="1205"/>
      <c r="L3478" s="1055"/>
      <c r="M3478" s="1205"/>
      <c r="N3478" s="1054"/>
      <c r="O3478" s="1207"/>
      <c r="Q3478" s="1207"/>
    </row>
    <row r="3479" spans="3:17" s="700" customFormat="1" ht="70.5" hidden="1" customHeight="1">
      <c r="C3479" s="701"/>
      <c r="D3479" s="811"/>
      <c r="E3479" s="1276">
        <f>[11]building!Y3810</f>
        <v>0</v>
      </c>
      <c r="F3479" s="748">
        <f t="shared" si="293"/>
        <v>0</v>
      </c>
      <c r="G3479" s="1205"/>
      <c r="H3479" s="1055"/>
      <c r="I3479" s="1055"/>
      <c r="J3479" s="1055"/>
      <c r="K3479" s="1205"/>
      <c r="L3479" s="1055"/>
      <c r="M3479" s="1205"/>
      <c r="N3479" s="1054"/>
      <c r="O3479" s="1207"/>
      <c r="Q3479" s="1207"/>
    </row>
    <row r="3480" spans="3:17" s="700" customFormat="1" ht="70.5" hidden="1" customHeight="1">
      <c r="C3480" s="701"/>
      <c r="D3480" s="811"/>
      <c r="E3480" s="1276">
        <f>[11]building!Y3811</f>
        <v>0</v>
      </c>
      <c r="F3480" s="748">
        <f t="shared" si="293"/>
        <v>0</v>
      </c>
      <c r="G3480" s="1205"/>
      <c r="H3480" s="1055"/>
      <c r="I3480" s="1055"/>
      <c r="J3480" s="1055"/>
      <c r="K3480" s="1205"/>
      <c r="L3480" s="1055"/>
      <c r="M3480" s="1205"/>
      <c r="N3480" s="1054"/>
      <c r="O3480" s="1207"/>
      <c r="Q3480" s="1207"/>
    </row>
    <row r="3481" spans="3:17" s="700" customFormat="1" ht="70.5" hidden="1" customHeight="1">
      <c r="C3481" s="701"/>
      <c r="D3481" s="811"/>
      <c r="E3481" s="1276">
        <f>[11]building!Y3812</f>
        <v>0</v>
      </c>
      <c r="F3481" s="748">
        <f t="shared" si="293"/>
        <v>0</v>
      </c>
      <c r="G3481" s="1205"/>
      <c r="H3481" s="1055"/>
      <c r="I3481" s="1055"/>
      <c r="J3481" s="1055"/>
      <c r="K3481" s="1205"/>
      <c r="L3481" s="1055"/>
      <c r="M3481" s="1205"/>
      <c r="N3481" s="1054"/>
      <c r="O3481" s="1207"/>
      <c r="Q3481" s="1207"/>
    </row>
    <row r="3482" spans="3:17" s="700" customFormat="1" ht="70.5" hidden="1" customHeight="1">
      <c r="C3482" s="701"/>
      <c r="D3482" s="811"/>
      <c r="E3482" s="1276">
        <f>[11]building!Y3813</f>
        <v>0</v>
      </c>
      <c r="F3482" s="748">
        <f t="shared" si="293"/>
        <v>0</v>
      </c>
      <c r="G3482" s="1205"/>
      <c r="H3482" s="1055"/>
      <c r="I3482" s="1055"/>
      <c r="J3482" s="1055"/>
      <c r="K3482" s="1205"/>
      <c r="L3482" s="1055"/>
      <c r="M3482" s="1205"/>
      <c r="N3482" s="1054"/>
      <c r="O3482" s="1207"/>
      <c r="Q3482" s="1207"/>
    </row>
    <row r="3483" spans="3:17" s="700" customFormat="1" ht="70.5" hidden="1" customHeight="1">
      <c r="C3483" s="701"/>
      <c r="D3483" s="811"/>
      <c r="E3483" s="1276">
        <f>[11]building!Y3814</f>
        <v>0</v>
      </c>
      <c r="F3483" s="748">
        <f t="shared" si="293"/>
        <v>0</v>
      </c>
      <c r="G3483" s="1205"/>
      <c r="H3483" s="1055"/>
      <c r="I3483" s="1055"/>
      <c r="J3483" s="1055"/>
      <c r="K3483" s="1205"/>
      <c r="L3483" s="1055"/>
      <c r="M3483" s="1205"/>
      <c r="N3483" s="1054"/>
      <c r="O3483" s="1207"/>
      <c r="Q3483" s="1207"/>
    </row>
    <row r="3484" spans="3:17" s="700" customFormat="1" ht="70.5" hidden="1" customHeight="1">
      <c r="C3484" s="701"/>
      <c r="D3484" s="811"/>
      <c r="E3484" s="1276">
        <f>[11]building!Y3815</f>
        <v>0</v>
      </c>
      <c r="F3484" s="748">
        <f t="shared" si="293"/>
        <v>0</v>
      </c>
      <c r="G3484" s="1205"/>
      <c r="H3484" s="1055"/>
      <c r="I3484" s="1055"/>
      <c r="J3484" s="1055"/>
      <c r="K3484" s="1205"/>
      <c r="L3484" s="1055"/>
      <c r="M3484" s="1205"/>
      <c r="N3484" s="1054"/>
      <c r="O3484" s="1207"/>
      <c r="Q3484" s="1207"/>
    </row>
    <row r="3485" spans="3:17" s="700" customFormat="1" ht="70.5" hidden="1" customHeight="1">
      <c r="C3485" s="701"/>
      <c r="D3485" s="811"/>
      <c r="E3485" s="1276">
        <f>[11]building!Y3816</f>
        <v>0</v>
      </c>
      <c r="F3485" s="748">
        <f t="shared" si="293"/>
        <v>0</v>
      </c>
      <c r="G3485" s="1205"/>
      <c r="H3485" s="1055"/>
      <c r="I3485" s="1055"/>
      <c r="J3485" s="1055"/>
      <c r="K3485" s="1205"/>
      <c r="L3485" s="1055"/>
      <c r="M3485" s="1205"/>
      <c r="N3485" s="1054"/>
      <c r="O3485" s="1207"/>
      <c r="Q3485" s="1207"/>
    </row>
    <row r="3486" spans="3:17" s="700" customFormat="1" ht="70.5" hidden="1" customHeight="1">
      <c r="C3486" s="701"/>
      <c r="D3486" s="811"/>
      <c r="E3486" s="1276">
        <f>[11]building!Y3817</f>
        <v>0</v>
      </c>
      <c r="F3486" s="748">
        <f t="shared" si="293"/>
        <v>0</v>
      </c>
      <c r="G3486" s="1205"/>
      <c r="H3486" s="1055"/>
      <c r="I3486" s="1055"/>
      <c r="J3486" s="1055"/>
      <c r="K3486" s="1205"/>
      <c r="L3486" s="1055"/>
      <c r="M3486" s="1205"/>
      <c r="N3486" s="1054"/>
      <c r="O3486" s="1207"/>
      <c r="Q3486" s="1207"/>
    </row>
    <row r="3487" spans="3:17" s="700" customFormat="1" ht="70.5" hidden="1" customHeight="1">
      <c r="C3487" s="701"/>
      <c r="D3487" s="811"/>
      <c r="E3487" s="1276">
        <f>[11]building!Y3818</f>
        <v>0</v>
      </c>
      <c r="F3487" s="748">
        <f t="shared" si="293"/>
        <v>0</v>
      </c>
      <c r="G3487" s="1205"/>
      <c r="H3487" s="1055"/>
      <c r="I3487" s="1055"/>
      <c r="J3487" s="1055"/>
      <c r="K3487" s="1205"/>
      <c r="L3487" s="1055"/>
      <c r="M3487" s="1205"/>
      <c r="N3487" s="1054"/>
      <c r="O3487" s="1207"/>
      <c r="Q3487" s="1207"/>
    </row>
    <row r="3488" spans="3:17" s="700" customFormat="1" ht="70.5" hidden="1" customHeight="1">
      <c r="C3488" s="701"/>
      <c r="D3488" s="811"/>
      <c r="E3488" s="1276">
        <f>[11]building!Y3819</f>
        <v>0</v>
      </c>
      <c r="F3488" s="748">
        <f t="shared" si="293"/>
        <v>0</v>
      </c>
      <c r="G3488" s="1205"/>
      <c r="H3488" s="1055"/>
      <c r="I3488" s="1055"/>
      <c r="J3488" s="1055"/>
      <c r="K3488" s="1205"/>
      <c r="L3488" s="1055"/>
      <c r="M3488" s="1205"/>
      <c r="N3488" s="1054"/>
      <c r="O3488" s="1207"/>
      <c r="Q3488" s="1207"/>
    </row>
    <row r="3489" spans="3:17" s="700" customFormat="1" ht="70.5" hidden="1" customHeight="1">
      <c r="C3489" s="701"/>
      <c r="D3489" s="811"/>
      <c r="E3489" s="1276">
        <f>[11]building!Y3820</f>
        <v>0</v>
      </c>
      <c r="F3489" s="748">
        <f t="shared" si="293"/>
        <v>0</v>
      </c>
      <c r="G3489" s="1205"/>
      <c r="H3489" s="1055"/>
      <c r="I3489" s="1055"/>
      <c r="J3489" s="1055"/>
      <c r="K3489" s="1205"/>
      <c r="L3489" s="1055"/>
      <c r="M3489" s="1205"/>
      <c r="N3489" s="1054"/>
      <c r="O3489" s="1207"/>
      <c r="Q3489" s="1207"/>
    </row>
    <row r="3490" spans="3:17" s="700" customFormat="1" ht="70.5" hidden="1" customHeight="1">
      <c r="C3490" s="701"/>
      <c r="D3490" s="811"/>
      <c r="E3490" s="1276">
        <f>[11]building!Y3821</f>
        <v>0</v>
      </c>
      <c r="F3490" s="748">
        <f t="shared" si="293"/>
        <v>0</v>
      </c>
      <c r="G3490" s="1205"/>
      <c r="H3490" s="1055"/>
      <c r="I3490" s="1055"/>
      <c r="J3490" s="1055"/>
      <c r="K3490" s="1205"/>
      <c r="L3490" s="1055"/>
      <c r="M3490" s="1205"/>
      <c r="N3490" s="1054"/>
      <c r="O3490" s="1207"/>
      <c r="Q3490" s="1207"/>
    </row>
    <row r="3491" spans="3:17" s="700" customFormat="1" ht="70.5" hidden="1" customHeight="1">
      <c r="C3491" s="701"/>
      <c r="D3491" s="811"/>
      <c r="E3491" s="1276">
        <f>[11]building!Y3822</f>
        <v>0</v>
      </c>
      <c r="F3491" s="748">
        <f t="shared" si="293"/>
        <v>0</v>
      </c>
      <c r="G3491" s="1205"/>
      <c r="H3491" s="1055"/>
      <c r="I3491" s="1055"/>
      <c r="J3491" s="1055"/>
      <c r="K3491" s="1205"/>
      <c r="L3491" s="1055"/>
      <c r="M3491" s="1205"/>
      <c r="N3491" s="1054"/>
      <c r="O3491" s="1207"/>
      <c r="Q3491" s="1207"/>
    </row>
    <row r="3492" spans="3:17" s="700" customFormat="1" ht="70.5" hidden="1" customHeight="1">
      <c r="C3492" s="701"/>
      <c r="D3492" s="811"/>
      <c r="E3492" s="1276">
        <f>[11]building!Y3823</f>
        <v>0</v>
      </c>
      <c r="F3492" s="748">
        <f t="shared" si="293"/>
        <v>0</v>
      </c>
      <c r="G3492" s="1205"/>
      <c r="H3492" s="1055"/>
      <c r="I3492" s="1055"/>
      <c r="J3492" s="1055"/>
      <c r="K3492" s="1205"/>
      <c r="L3492" s="1055"/>
      <c r="M3492" s="1205"/>
      <c r="N3492" s="1054"/>
      <c r="O3492" s="1207"/>
      <c r="Q3492" s="1207"/>
    </row>
    <row r="3493" spans="3:17" s="700" customFormat="1" ht="70.5" hidden="1" customHeight="1">
      <c r="C3493" s="701"/>
      <c r="D3493" s="811"/>
      <c r="E3493" s="1276">
        <f>[11]building!Y3824</f>
        <v>0</v>
      </c>
      <c r="F3493" s="748">
        <f t="shared" si="293"/>
        <v>0</v>
      </c>
      <c r="G3493" s="1205"/>
      <c r="H3493" s="1055"/>
      <c r="I3493" s="1055"/>
      <c r="J3493" s="1055"/>
      <c r="K3493" s="1205"/>
      <c r="L3493" s="1055"/>
      <c r="M3493" s="1205"/>
      <c r="N3493" s="1054"/>
      <c r="O3493" s="1207"/>
      <c r="Q3493" s="1207"/>
    </row>
    <row r="3494" spans="3:17" s="700" customFormat="1" ht="70.5" hidden="1" customHeight="1">
      <c r="C3494" s="701"/>
      <c r="D3494" s="811"/>
      <c r="E3494" s="1276">
        <f>[11]building!Y3825</f>
        <v>0</v>
      </c>
      <c r="F3494" s="748">
        <f t="shared" si="293"/>
        <v>0</v>
      </c>
      <c r="G3494" s="1205"/>
      <c r="H3494" s="1055"/>
      <c r="I3494" s="1055"/>
      <c r="J3494" s="1055"/>
      <c r="K3494" s="1205"/>
      <c r="L3494" s="1055"/>
      <c r="M3494" s="1205"/>
      <c r="N3494" s="1054"/>
      <c r="O3494" s="1207"/>
      <c r="Q3494" s="1207"/>
    </row>
    <row r="3495" spans="3:17" s="700" customFormat="1" ht="70.5" hidden="1" customHeight="1">
      <c r="C3495" s="701"/>
      <c r="D3495" s="811"/>
      <c r="E3495" s="1276">
        <f>[11]building!Y3826</f>
        <v>0</v>
      </c>
      <c r="F3495" s="748">
        <f t="shared" si="293"/>
        <v>0</v>
      </c>
      <c r="G3495" s="1205"/>
      <c r="H3495" s="1055"/>
      <c r="I3495" s="1055"/>
      <c r="J3495" s="1055"/>
      <c r="K3495" s="1205"/>
      <c r="L3495" s="1055"/>
      <c r="M3495" s="1205"/>
      <c r="N3495" s="1054"/>
      <c r="O3495" s="1207"/>
      <c r="Q3495" s="1207"/>
    </row>
    <row r="3496" spans="3:17" s="700" customFormat="1" ht="70.5" hidden="1" customHeight="1">
      <c r="C3496" s="701"/>
      <c r="D3496" s="811"/>
      <c r="E3496" s="1276">
        <f>[11]building!Y3827</f>
        <v>0</v>
      </c>
      <c r="F3496" s="748">
        <f t="shared" si="293"/>
        <v>0</v>
      </c>
      <c r="G3496" s="1205"/>
      <c r="H3496" s="1055"/>
      <c r="I3496" s="1055"/>
      <c r="J3496" s="1055"/>
      <c r="K3496" s="1205"/>
      <c r="L3496" s="1055"/>
      <c r="M3496" s="1205"/>
      <c r="N3496" s="1054"/>
      <c r="O3496" s="1207"/>
      <c r="Q3496" s="1207"/>
    </row>
    <row r="3497" spans="3:17" s="700" customFormat="1" ht="70.5" hidden="1" customHeight="1">
      <c r="C3497" s="701"/>
      <c r="D3497" s="811"/>
      <c r="E3497" s="1276">
        <f>[11]building!Y3828</f>
        <v>0</v>
      </c>
      <c r="F3497" s="748">
        <f t="shared" si="293"/>
        <v>0</v>
      </c>
      <c r="G3497" s="1205"/>
      <c r="H3497" s="1055"/>
      <c r="I3497" s="1055"/>
      <c r="J3497" s="1055"/>
      <c r="K3497" s="1205"/>
      <c r="L3497" s="1055"/>
      <c r="M3497" s="1205"/>
      <c r="N3497" s="1054"/>
      <c r="O3497" s="1207"/>
      <c r="Q3497" s="1207"/>
    </row>
    <row r="3498" spans="3:17" s="700" customFormat="1" ht="70.5" hidden="1" customHeight="1">
      <c r="C3498" s="701"/>
      <c r="D3498" s="811"/>
      <c r="E3498" s="1276">
        <f>[11]building!Y3829</f>
        <v>0</v>
      </c>
      <c r="F3498" s="748">
        <f t="shared" si="293"/>
        <v>0</v>
      </c>
      <c r="G3498" s="1205"/>
      <c r="H3498" s="1055"/>
      <c r="I3498" s="1055"/>
      <c r="J3498" s="1055"/>
      <c r="K3498" s="1205"/>
      <c r="L3498" s="1055"/>
      <c r="M3498" s="1205"/>
      <c r="N3498" s="1054"/>
      <c r="O3498" s="1207"/>
      <c r="Q3498" s="1207"/>
    </row>
    <row r="3499" spans="3:17" s="700" customFormat="1" ht="70.5" hidden="1" customHeight="1">
      <c r="C3499" s="701"/>
      <c r="D3499" s="811"/>
      <c r="E3499" s="1276">
        <f>[11]building!Y3830</f>
        <v>0</v>
      </c>
      <c r="F3499" s="748">
        <f t="shared" si="293"/>
        <v>0</v>
      </c>
      <c r="G3499" s="1205"/>
      <c r="H3499" s="1055"/>
      <c r="I3499" s="1055"/>
      <c r="J3499" s="1055"/>
      <c r="K3499" s="1205"/>
      <c r="L3499" s="1055"/>
      <c r="M3499" s="1205"/>
      <c r="N3499" s="1054"/>
      <c r="O3499" s="1207"/>
      <c r="Q3499" s="1207"/>
    </row>
    <row r="3500" spans="3:17" s="700" customFormat="1" ht="70.5" hidden="1" customHeight="1">
      <c r="C3500" s="701"/>
      <c r="D3500" s="811"/>
      <c r="E3500" s="1276">
        <f>[11]building!Y3831</f>
        <v>0</v>
      </c>
      <c r="F3500" s="748">
        <f t="shared" si="293"/>
        <v>0</v>
      </c>
      <c r="G3500" s="1205"/>
      <c r="H3500" s="1055"/>
      <c r="I3500" s="1055"/>
      <c r="J3500" s="1055"/>
      <c r="K3500" s="1205"/>
      <c r="L3500" s="1055"/>
      <c r="M3500" s="1205"/>
      <c r="N3500" s="1054"/>
      <c r="O3500" s="1207"/>
      <c r="Q3500" s="1207"/>
    </row>
    <row r="3501" spans="3:17" s="700" customFormat="1" ht="70.5" hidden="1" customHeight="1">
      <c r="C3501" s="701"/>
      <c r="D3501" s="811"/>
      <c r="E3501" s="1276">
        <f>[11]building!Y3832</f>
        <v>0</v>
      </c>
      <c r="F3501" s="748">
        <f t="shared" si="293"/>
        <v>0</v>
      </c>
      <c r="G3501" s="1205"/>
      <c r="H3501" s="1055"/>
      <c r="I3501" s="1055"/>
      <c r="J3501" s="1055"/>
      <c r="K3501" s="1205"/>
      <c r="L3501" s="1055"/>
      <c r="M3501" s="1205"/>
      <c r="N3501" s="1054"/>
      <c r="O3501" s="1207"/>
      <c r="Q3501" s="1207"/>
    </row>
    <row r="3502" spans="3:17" s="700" customFormat="1" ht="70.5" hidden="1" customHeight="1">
      <c r="C3502" s="701"/>
      <c r="D3502" s="811"/>
      <c r="E3502" s="1276">
        <f>[11]building!Y3833</f>
        <v>0</v>
      </c>
      <c r="F3502" s="748">
        <f t="shared" si="293"/>
        <v>0</v>
      </c>
      <c r="G3502" s="1205"/>
      <c r="H3502" s="1055"/>
      <c r="I3502" s="1055"/>
      <c r="J3502" s="1055"/>
      <c r="K3502" s="1205"/>
      <c r="L3502" s="1055"/>
      <c r="M3502" s="1205"/>
      <c r="N3502" s="1054"/>
      <c r="O3502" s="1207"/>
      <c r="Q3502" s="1207"/>
    </row>
    <row r="3503" spans="3:17" s="700" customFormat="1" ht="70.5" hidden="1" customHeight="1">
      <c r="C3503" s="701"/>
      <c r="D3503" s="811"/>
      <c r="E3503" s="1276">
        <f>[11]building!Y3834</f>
        <v>0</v>
      </c>
      <c r="F3503" s="748">
        <f t="shared" si="293"/>
        <v>0</v>
      </c>
      <c r="G3503" s="1205"/>
      <c r="H3503" s="1055"/>
      <c r="I3503" s="1055"/>
      <c r="J3503" s="1055"/>
      <c r="K3503" s="1205"/>
      <c r="L3503" s="1055"/>
      <c r="M3503" s="1205"/>
      <c r="N3503" s="1054"/>
      <c r="O3503" s="1207"/>
      <c r="Q3503" s="1207"/>
    </row>
    <row r="3504" spans="3:17" s="700" customFormat="1" ht="70.5" hidden="1" customHeight="1">
      <c r="C3504" s="701"/>
      <c r="D3504" s="811"/>
      <c r="E3504" s="1276">
        <f>[11]building!Y3835</f>
        <v>0</v>
      </c>
      <c r="F3504" s="748">
        <f t="shared" si="293"/>
        <v>0</v>
      </c>
      <c r="G3504" s="1205"/>
      <c r="H3504" s="1055"/>
      <c r="I3504" s="1055"/>
      <c r="J3504" s="1055"/>
      <c r="K3504" s="1205"/>
      <c r="L3504" s="1055"/>
      <c r="M3504" s="1205"/>
      <c r="N3504" s="1054"/>
      <c r="O3504" s="1207"/>
      <c r="Q3504" s="1207"/>
    </row>
    <row r="3505" spans="3:17" s="700" customFormat="1" ht="70.5" hidden="1" customHeight="1">
      <c r="C3505" s="701"/>
      <c r="D3505" s="811"/>
      <c r="E3505" s="1276">
        <f>[11]building!Y3836</f>
        <v>0</v>
      </c>
      <c r="F3505" s="748">
        <f t="shared" si="293"/>
        <v>0</v>
      </c>
      <c r="G3505" s="1205"/>
      <c r="H3505" s="1055"/>
      <c r="I3505" s="1055"/>
      <c r="J3505" s="1055"/>
      <c r="K3505" s="1205"/>
      <c r="L3505" s="1055"/>
      <c r="M3505" s="1205"/>
      <c r="N3505" s="1054"/>
      <c r="O3505" s="1207"/>
      <c r="Q3505" s="1207"/>
    </row>
    <row r="3506" spans="3:17" s="700" customFormat="1" ht="70.5" hidden="1" customHeight="1">
      <c r="C3506" s="701"/>
      <c r="D3506" s="811"/>
      <c r="E3506" s="1276">
        <f>[11]building!Y3837</f>
        <v>0</v>
      </c>
      <c r="F3506" s="748">
        <f t="shared" si="293"/>
        <v>0</v>
      </c>
      <c r="G3506" s="1205"/>
      <c r="H3506" s="1055"/>
      <c r="I3506" s="1055"/>
      <c r="J3506" s="1055"/>
      <c r="K3506" s="1205"/>
      <c r="L3506" s="1055"/>
      <c r="M3506" s="1205"/>
      <c r="N3506" s="1054"/>
      <c r="O3506" s="1207"/>
      <c r="Q3506" s="1207"/>
    </row>
    <row r="3507" spans="3:17" s="700" customFormat="1" ht="70.5" hidden="1" customHeight="1">
      <c r="C3507" s="701"/>
      <c r="D3507" s="811"/>
      <c r="E3507" s="1276">
        <f>[11]building!Y3838</f>
        <v>0</v>
      </c>
      <c r="F3507" s="748">
        <f t="shared" si="293"/>
        <v>0</v>
      </c>
      <c r="G3507" s="1205"/>
      <c r="H3507" s="1055"/>
      <c r="I3507" s="1055"/>
      <c r="J3507" s="1055"/>
      <c r="K3507" s="1205"/>
      <c r="L3507" s="1055"/>
      <c r="M3507" s="1205"/>
      <c r="N3507" s="1054"/>
      <c r="O3507" s="1207"/>
      <c r="Q3507" s="1207"/>
    </row>
    <row r="3508" spans="3:17" s="700" customFormat="1" ht="70.5" hidden="1" customHeight="1">
      <c r="C3508" s="701"/>
      <c r="D3508" s="811"/>
      <c r="E3508" s="1276">
        <f>[11]building!Y3839</f>
        <v>0</v>
      </c>
      <c r="F3508" s="748">
        <f t="shared" si="293"/>
        <v>0</v>
      </c>
      <c r="G3508" s="1205"/>
      <c r="H3508" s="1055"/>
      <c r="I3508" s="1055"/>
      <c r="J3508" s="1055"/>
      <c r="K3508" s="1205"/>
      <c r="L3508" s="1055"/>
      <c r="M3508" s="1205"/>
      <c r="N3508" s="1054"/>
      <c r="O3508" s="1207"/>
      <c r="Q3508" s="1207"/>
    </row>
    <row r="3509" spans="3:17" s="700" customFormat="1" ht="70.5" hidden="1" customHeight="1">
      <c r="C3509" s="701"/>
      <c r="D3509" s="811"/>
      <c r="E3509" s="1276">
        <f>[11]building!Y3840</f>
        <v>0</v>
      </c>
      <c r="F3509" s="748">
        <f t="shared" si="293"/>
        <v>0</v>
      </c>
      <c r="G3509" s="1205"/>
      <c r="H3509" s="1055"/>
      <c r="I3509" s="1055"/>
      <c r="J3509" s="1055"/>
      <c r="K3509" s="1205"/>
      <c r="L3509" s="1055"/>
      <c r="M3509" s="1205"/>
      <c r="N3509" s="1054"/>
      <c r="O3509" s="1207"/>
      <c r="Q3509" s="1207"/>
    </row>
    <row r="3510" spans="3:17" s="700" customFormat="1" ht="70.5" hidden="1" customHeight="1">
      <c r="C3510" s="701"/>
      <c r="D3510" s="811"/>
      <c r="E3510" s="1276">
        <f>[11]building!Y3841</f>
        <v>0</v>
      </c>
      <c r="F3510" s="748">
        <f t="shared" si="293"/>
        <v>0</v>
      </c>
      <c r="G3510" s="1205"/>
      <c r="H3510" s="1055"/>
      <c r="I3510" s="1055"/>
      <c r="J3510" s="1055"/>
      <c r="K3510" s="1205"/>
      <c r="L3510" s="1055"/>
      <c r="M3510" s="1205"/>
      <c r="N3510" s="1054"/>
      <c r="O3510" s="1207"/>
      <c r="Q3510" s="1207"/>
    </row>
    <row r="3511" spans="3:17" s="700" customFormat="1" ht="70.5" hidden="1" customHeight="1">
      <c r="C3511" s="701"/>
      <c r="D3511" s="811"/>
      <c r="E3511" s="1276">
        <f>[11]building!Y3842</f>
        <v>0</v>
      </c>
      <c r="F3511" s="748">
        <f t="shared" si="293"/>
        <v>0</v>
      </c>
      <c r="G3511" s="1205"/>
      <c r="H3511" s="1055"/>
      <c r="I3511" s="1055"/>
      <c r="J3511" s="1055"/>
      <c r="K3511" s="1205"/>
      <c r="L3511" s="1055"/>
      <c r="M3511" s="1205"/>
      <c r="N3511" s="1054"/>
      <c r="O3511" s="1207"/>
      <c r="Q3511" s="1207"/>
    </row>
    <row r="3512" spans="3:17" s="700" customFormat="1" ht="70.5" hidden="1" customHeight="1">
      <c r="C3512" s="701"/>
      <c r="D3512" s="811"/>
      <c r="E3512" s="1276">
        <f>[11]building!Y3843</f>
        <v>0</v>
      </c>
      <c r="F3512" s="748">
        <f t="shared" si="293"/>
        <v>0</v>
      </c>
      <c r="G3512" s="1205"/>
      <c r="H3512" s="1055"/>
      <c r="I3512" s="1055"/>
      <c r="J3512" s="1055"/>
      <c r="K3512" s="1205"/>
      <c r="L3512" s="1055"/>
      <c r="M3512" s="1205"/>
      <c r="N3512" s="1054"/>
      <c r="O3512" s="1207"/>
      <c r="Q3512" s="1207"/>
    </row>
    <row r="3513" spans="3:17" s="700" customFormat="1" ht="70.5" hidden="1" customHeight="1">
      <c r="C3513" s="701"/>
      <c r="D3513" s="811"/>
      <c r="E3513" s="1276">
        <f>[11]building!Y3844</f>
        <v>0</v>
      </c>
      <c r="F3513" s="748">
        <f t="shared" si="293"/>
        <v>0</v>
      </c>
      <c r="G3513" s="1205"/>
      <c r="H3513" s="1055"/>
      <c r="I3513" s="1055"/>
      <c r="J3513" s="1055"/>
      <c r="K3513" s="1205"/>
      <c r="L3513" s="1055"/>
      <c r="M3513" s="1205"/>
      <c r="N3513" s="1054"/>
      <c r="O3513" s="1207"/>
      <c r="Q3513" s="1207"/>
    </row>
    <row r="3514" spans="3:17" s="700" customFormat="1" ht="70.5" hidden="1" customHeight="1">
      <c r="C3514" s="701"/>
      <c r="D3514" s="811"/>
      <c r="E3514" s="1276">
        <f>[11]building!Y3845</f>
        <v>0</v>
      </c>
      <c r="F3514" s="748">
        <f t="shared" si="293"/>
        <v>0</v>
      </c>
      <c r="G3514" s="1205"/>
      <c r="H3514" s="1055"/>
      <c r="I3514" s="1055"/>
      <c r="J3514" s="1055"/>
      <c r="K3514" s="1205"/>
      <c r="L3514" s="1055"/>
      <c r="M3514" s="1205"/>
      <c r="N3514" s="1054"/>
      <c r="O3514" s="1207"/>
      <c r="Q3514" s="1207"/>
    </row>
    <row r="3515" spans="3:17" s="700" customFormat="1" ht="70.5" hidden="1" customHeight="1">
      <c r="C3515" s="701"/>
      <c r="D3515" s="811"/>
      <c r="E3515" s="1276">
        <f>[11]building!Y3846</f>
        <v>0</v>
      </c>
      <c r="F3515" s="748">
        <f t="shared" si="293"/>
        <v>0</v>
      </c>
      <c r="G3515" s="1205"/>
      <c r="H3515" s="1055"/>
      <c r="I3515" s="1055"/>
      <c r="J3515" s="1055"/>
      <c r="K3515" s="1205"/>
      <c r="L3515" s="1055"/>
      <c r="M3515" s="1205"/>
      <c r="N3515" s="1054"/>
      <c r="O3515" s="1207"/>
      <c r="Q3515" s="1207"/>
    </row>
    <row r="3516" spans="3:17" s="700" customFormat="1" ht="70.5" hidden="1" customHeight="1">
      <c r="C3516" s="701"/>
      <c r="D3516" s="811"/>
      <c r="E3516" s="1276">
        <f>[11]building!Y3847</f>
        <v>0</v>
      </c>
      <c r="F3516" s="748">
        <f t="shared" si="293"/>
        <v>0</v>
      </c>
      <c r="G3516" s="1205"/>
      <c r="H3516" s="1055"/>
      <c r="I3516" s="1055"/>
      <c r="J3516" s="1055"/>
      <c r="K3516" s="1205"/>
      <c r="L3516" s="1055"/>
      <c r="M3516" s="1205"/>
      <c r="N3516" s="1054"/>
      <c r="O3516" s="1207"/>
      <c r="Q3516" s="1207"/>
    </row>
    <row r="3517" spans="3:17" s="700" customFormat="1" ht="70.5" hidden="1" customHeight="1">
      <c r="C3517" s="701"/>
      <c r="D3517" s="811"/>
      <c r="E3517" s="1276">
        <f>[11]building!Y3848</f>
        <v>0</v>
      </c>
      <c r="F3517" s="748">
        <f t="shared" si="293"/>
        <v>0</v>
      </c>
      <c r="G3517" s="1205"/>
      <c r="H3517" s="1055"/>
      <c r="I3517" s="1055"/>
      <c r="J3517" s="1055"/>
      <c r="K3517" s="1205"/>
      <c r="L3517" s="1055"/>
      <c r="M3517" s="1205"/>
      <c r="N3517" s="1054"/>
      <c r="O3517" s="1207"/>
      <c r="Q3517" s="1207"/>
    </row>
    <row r="3518" spans="3:17" s="700" customFormat="1" ht="70.5" hidden="1" customHeight="1">
      <c r="C3518" s="701"/>
      <c r="D3518" s="811"/>
      <c r="E3518" s="1276">
        <f>[11]building!Y3849</f>
        <v>0</v>
      </c>
      <c r="F3518" s="748">
        <f t="shared" si="293"/>
        <v>0</v>
      </c>
      <c r="G3518" s="1205"/>
      <c r="H3518" s="1055"/>
      <c r="I3518" s="1055"/>
      <c r="J3518" s="1055"/>
      <c r="K3518" s="1205"/>
      <c r="L3518" s="1055"/>
      <c r="M3518" s="1205"/>
      <c r="N3518" s="1054"/>
      <c r="O3518" s="1207"/>
      <c r="Q3518" s="1207"/>
    </row>
    <row r="3519" spans="3:17" s="700" customFormat="1" ht="70.5" hidden="1" customHeight="1">
      <c r="C3519" s="701"/>
      <c r="D3519" s="811"/>
      <c r="E3519" s="1276">
        <f>[11]building!Y3850</f>
        <v>0</v>
      </c>
      <c r="F3519" s="748">
        <f t="shared" si="293"/>
        <v>0</v>
      </c>
      <c r="G3519" s="1205"/>
      <c r="H3519" s="1055"/>
      <c r="I3519" s="1055"/>
      <c r="J3519" s="1055"/>
      <c r="K3519" s="1205"/>
      <c r="L3519" s="1055"/>
      <c r="M3519" s="1205"/>
      <c r="N3519" s="1054"/>
      <c r="O3519" s="1207"/>
      <c r="Q3519" s="1207"/>
    </row>
    <row r="3520" spans="3:17" s="700" customFormat="1" ht="70.5" hidden="1" customHeight="1">
      <c r="C3520" s="701"/>
      <c r="D3520" s="811"/>
      <c r="E3520" s="1276">
        <f>[11]building!Y3851</f>
        <v>0</v>
      </c>
      <c r="F3520" s="748">
        <f t="shared" ref="F3520:F3583" si="294">E3520*C3520</f>
        <v>0</v>
      </c>
      <c r="G3520" s="1205"/>
      <c r="H3520" s="1055"/>
      <c r="I3520" s="1055"/>
      <c r="J3520" s="1055"/>
      <c r="K3520" s="1205"/>
      <c r="L3520" s="1055"/>
      <c r="M3520" s="1205"/>
      <c r="N3520" s="1054"/>
      <c r="O3520" s="1207"/>
      <c r="Q3520" s="1207"/>
    </row>
    <row r="3521" spans="3:17" s="700" customFormat="1" ht="70.5" hidden="1" customHeight="1">
      <c r="C3521" s="701"/>
      <c r="D3521" s="811"/>
      <c r="E3521" s="1276">
        <f>[11]building!Y3852</f>
        <v>0</v>
      </c>
      <c r="F3521" s="748">
        <f t="shared" si="294"/>
        <v>0</v>
      </c>
      <c r="G3521" s="1205"/>
      <c r="H3521" s="1055"/>
      <c r="I3521" s="1055"/>
      <c r="J3521" s="1055"/>
      <c r="K3521" s="1205"/>
      <c r="L3521" s="1055"/>
      <c r="M3521" s="1205"/>
      <c r="N3521" s="1054"/>
      <c r="O3521" s="1207"/>
      <c r="Q3521" s="1207"/>
    </row>
    <row r="3522" spans="3:17" s="700" customFormat="1" ht="70.5" hidden="1" customHeight="1">
      <c r="C3522" s="701"/>
      <c r="D3522" s="811"/>
      <c r="E3522" s="1276">
        <f>[11]building!Y3853</f>
        <v>0</v>
      </c>
      <c r="F3522" s="748">
        <f t="shared" si="294"/>
        <v>0</v>
      </c>
      <c r="G3522" s="1205"/>
      <c r="H3522" s="1055"/>
      <c r="I3522" s="1055"/>
      <c r="J3522" s="1055"/>
      <c r="K3522" s="1205"/>
      <c r="L3522" s="1055"/>
      <c r="M3522" s="1205"/>
      <c r="N3522" s="1054"/>
      <c r="O3522" s="1207"/>
      <c r="Q3522" s="1207"/>
    </row>
    <row r="3523" spans="3:17" s="700" customFormat="1" ht="70.5" hidden="1" customHeight="1">
      <c r="C3523" s="701"/>
      <c r="D3523" s="811"/>
      <c r="E3523" s="1276">
        <f>[11]building!Y3854</f>
        <v>0</v>
      </c>
      <c r="F3523" s="748">
        <f t="shared" si="294"/>
        <v>0</v>
      </c>
      <c r="G3523" s="1205"/>
      <c r="H3523" s="1055"/>
      <c r="I3523" s="1055"/>
      <c r="J3523" s="1055"/>
      <c r="K3523" s="1205"/>
      <c r="L3523" s="1055"/>
      <c r="M3523" s="1205"/>
      <c r="N3523" s="1054"/>
      <c r="O3523" s="1207"/>
      <c r="Q3523" s="1207"/>
    </row>
    <row r="3524" spans="3:17" s="700" customFormat="1" ht="70.5" hidden="1" customHeight="1">
      <c r="C3524" s="701"/>
      <c r="D3524" s="811"/>
      <c r="E3524" s="1276">
        <f>[11]building!Y3855</f>
        <v>0</v>
      </c>
      <c r="F3524" s="748">
        <f t="shared" si="294"/>
        <v>0</v>
      </c>
      <c r="G3524" s="1205"/>
      <c r="H3524" s="1055"/>
      <c r="I3524" s="1055"/>
      <c r="J3524" s="1055"/>
      <c r="K3524" s="1205"/>
      <c r="L3524" s="1055"/>
      <c r="M3524" s="1205"/>
      <c r="N3524" s="1054"/>
      <c r="O3524" s="1207"/>
      <c r="Q3524" s="1207"/>
    </row>
    <row r="3525" spans="3:17" s="700" customFormat="1" ht="70.5" hidden="1" customHeight="1">
      <c r="C3525" s="701"/>
      <c r="D3525" s="811"/>
      <c r="E3525" s="1276">
        <f>[11]building!Y3856</f>
        <v>0</v>
      </c>
      <c r="F3525" s="748">
        <f t="shared" si="294"/>
        <v>0</v>
      </c>
      <c r="G3525" s="1205"/>
      <c r="H3525" s="1055"/>
      <c r="I3525" s="1055"/>
      <c r="J3525" s="1055"/>
      <c r="K3525" s="1205"/>
      <c r="L3525" s="1055"/>
      <c r="M3525" s="1205"/>
      <c r="N3525" s="1054"/>
      <c r="O3525" s="1207"/>
      <c r="Q3525" s="1207"/>
    </row>
    <row r="3526" spans="3:17" s="700" customFormat="1" ht="70.5" hidden="1" customHeight="1">
      <c r="C3526" s="701"/>
      <c r="D3526" s="811"/>
      <c r="E3526" s="1276">
        <f>[11]building!Y3857</f>
        <v>0</v>
      </c>
      <c r="F3526" s="748">
        <f t="shared" si="294"/>
        <v>0</v>
      </c>
      <c r="G3526" s="1205"/>
      <c r="H3526" s="1055"/>
      <c r="I3526" s="1055"/>
      <c r="J3526" s="1055"/>
      <c r="K3526" s="1205"/>
      <c r="L3526" s="1055"/>
      <c r="M3526" s="1205"/>
      <c r="N3526" s="1054"/>
      <c r="O3526" s="1207"/>
      <c r="Q3526" s="1207"/>
    </row>
    <row r="3527" spans="3:17" s="700" customFormat="1" ht="70.5" hidden="1" customHeight="1">
      <c r="C3527" s="701"/>
      <c r="D3527" s="811"/>
      <c r="E3527" s="1276">
        <f>[11]building!Y3858</f>
        <v>0</v>
      </c>
      <c r="F3527" s="748">
        <f t="shared" si="294"/>
        <v>0</v>
      </c>
      <c r="G3527" s="1205"/>
      <c r="H3527" s="1055"/>
      <c r="I3527" s="1055"/>
      <c r="J3527" s="1055"/>
      <c r="K3527" s="1205"/>
      <c r="L3527" s="1055"/>
      <c r="M3527" s="1205"/>
      <c r="N3527" s="1054"/>
      <c r="O3527" s="1207"/>
      <c r="Q3527" s="1207"/>
    </row>
    <row r="3528" spans="3:17" s="700" customFormat="1" ht="70.5" hidden="1" customHeight="1">
      <c r="C3528" s="701"/>
      <c r="D3528" s="811"/>
      <c r="E3528" s="1276">
        <f>[11]building!Y3859</f>
        <v>0</v>
      </c>
      <c r="F3528" s="748">
        <f t="shared" si="294"/>
        <v>0</v>
      </c>
      <c r="G3528" s="1205"/>
      <c r="H3528" s="1055"/>
      <c r="I3528" s="1055"/>
      <c r="J3528" s="1055"/>
      <c r="K3528" s="1205"/>
      <c r="L3528" s="1055"/>
      <c r="M3528" s="1205"/>
      <c r="N3528" s="1054"/>
      <c r="O3528" s="1207"/>
      <c r="Q3528" s="1207"/>
    </row>
    <row r="3529" spans="3:17" s="700" customFormat="1" ht="70.5" hidden="1" customHeight="1">
      <c r="C3529" s="701"/>
      <c r="D3529" s="811"/>
      <c r="E3529" s="1276">
        <f>[11]building!Y3860</f>
        <v>0</v>
      </c>
      <c r="F3529" s="748">
        <f t="shared" si="294"/>
        <v>0</v>
      </c>
      <c r="G3529" s="1205"/>
      <c r="H3529" s="1055"/>
      <c r="I3529" s="1055"/>
      <c r="J3529" s="1055"/>
      <c r="K3529" s="1205"/>
      <c r="L3529" s="1055"/>
      <c r="M3529" s="1205"/>
      <c r="N3529" s="1054"/>
      <c r="O3529" s="1207"/>
      <c r="Q3529" s="1207"/>
    </row>
    <row r="3530" spans="3:17" s="700" customFormat="1" ht="70.5" hidden="1" customHeight="1">
      <c r="C3530" s="701"/>
      <c r="D3530" s="811"/>
      <c r="E3530" s="1276">
        <f>[11]building!Y3861</f>
        <v>0</v>
      </c>
      <c r="F3530" s="748">
        <f t="shared" si="294"/>
        <v>0</v>
      </c>
      <c r="G3530" s="1205"/>
      <c r="H3530" s="1055"/>
      <c r="I3530" s="1055"/>
      <c r="J3530" s="1055"/>
      <c r="K3530" s="1205"/>
      <c r="L3530" s="1055"/>
      <c r="M3530" s="1205"/>
      <c r="N3530" s="1054"/>
      <c r="O3530" s="1207"/>
      <c r="Q3530" s="1207"/>
    </row>
    <row r="3531" spans="3:17" s="700" customFormat="1" ht="70.5" hidden="1" customHeight="1">
      <c r="C3531" s="701"/>
      <c r="D3531" s="811"/>
      <c r="E3531" s="1276">
        <f>[11]building!Y3862</f>
        <v>0</v>
      </c>
      <c r="F3531" s="748">
        <f t="shared" si="294"/>
        <v>0</v>
      </c>
      <c r="G3531" s="1205"/>
      <c r="H3531" s="1055"/>
      <c r="I3531" s="1055"/>
      <c r="J3531" s="1055"/>
      <c r="K3531" s="1205"/>
      <c r="L3531" s="1055"/>
      <c r="M3531" s="1205"/>
      <c r="N3531" s="1054"/>
      <c r="O3531" s="1207"/>
      <c r="Q3531" s="1207"/>
    </row>
    <row r="3532" spans="3:17" s="700" customFormat="1" ht="70.5" hidden="1" customHeight="1">
      <c r="C3532" s="701"/>
      <c r="D3532" s="811"/>
      <c r="E3532" s="1276">
        <f>[11]building!Y3863</f>
        <v>0</v>
      </c>
      <c r="F3532" s="748">
        <f t="shared" si="294"/>
        <v>0</v>
      </c>
      <c r="G3532" s="1205"/>
      <c r="H3532" s="1055"/>
      <c r="I3532" s="1055"/>
      <c r="J3532" s="1055"/>
      <c r="K3532" s="1205"/>
      <c r="L3532" s="1055"/>
      <c r="M3532" s="1205"/>
      <c r="N3532" s="1054"/>
      <c r="O3532" s="1207"/>
      <c r="Q3532" s="1207"/>
    </row>
    <row r="3533" spans="3:17" s="700" customFormat="1" ht="70.5" hidden="1" customHeight="1">
      <c r="C3533" s="701"/>
      <c r="D3533" s="811"/>
      <c r="E3533" s="1276">
        <f>[11]building!Y3864</f>
        <v>0</v>
      </c>
      <c r="F3533" s="748">
        <f t="shared" si="294"/>
        <v>0</v>
      </c>
      <c r="G3533" s="1205"/>
      <c r="H3533" s="1055"/>
      <c r="I3533" s="1055"/>
      <c r="J3533" s="1055"/>
      <c r="K3533" s="1205"/>
      <c r="L3533" s="1055"/>
      <c r="M3533" s="1205"/>
      <c r="N3533" s="1054"/>
      <c r="O3533" s="1207"/>
      <c r="Q3533" s="1207"/>
    </row>
    <row r="3534" spans="3:17" s="700" customFormat="1" ht="70.5" hidden="1" customHeight="1">
      <c r="C3534" s="701"/>
      <c r="D3534" s="811"/>
      <c r="E3534" s="1276">
        <f>[11]building!Y3865</f>
        <v>0</v>
      </c>
      <c r="F3534" s="748">
        <f t="shared" si="294"/>
        <v>0</v>
      </c>
      <c r="G3534" s="1205"/>
      <c r="H3534" s="1055"/>
      <c r="I3534" s="1055"/>
      <c r="J3534" s="1055"/>
      <c r="K3534" s="1205"/>
      <c r="L3534" s="1055"/>
      <c r="M3534" s="1205"/>
      <c r="N3534" s="1054"/>
      <c r="O3534" s="1207"/>
      <c r="Q3534" s="1207"/>
    </row>
    <row r="3535" spans="3:17" s="700" customFormat="1" ht="70.5" hidden="1" customHeight="1">
      <c r="C3535" s="701"/>
      <c r="D3535" s="811"/>
      <c r="E3535" s="1276">
        <f>[11]building!Y3866</f>
        <v>0</v>
      </c>
      <c r="F3535" s="748">
        <f t="shared" si="294"/>
        <v>0</v>
      </c>
      <c r="G3535" s="1205"/>
      <c r="H3535" s="1055"/>
      <c r="I3535" s="1055"/>
      <c r="J3535" s="1055"/>
      <c r="K3535" s="1205"/>
      <c r="L3535" s="1055"/>
      <c r="M3535" s="1205"/>
      <c r="N3535" s="1054"/>
      <c r="O3535" s="1207"/>
      <c r="Q3535" s="1207"/>
    </row>
    <row r="3536" spans="3:17" s="700" customFormat="1" ht="70.5" hidden="1" customHeight="1">
      <c r="C3536" s="701"/>
      <c r="D3536" s="811"/>
      <c r="E3536" s="1276">
        <f>[11]building!Y3867</f>
        <v>0</v>
      </c>
      <c r="F3536" s="748">
        <f t="shared" si="294"/>
        <v>0</v>
      </c>
      <c r="G3536" s="1205"/>
      <c r="H3536" s="1055"/>
      <c r="I3536" s="1055"/>
      <c r="J3536" s="1055"/>
      <c r="K3536" s="1205"/>
      <c r="L3536" s="1055"/>
      <c r="M3536" s="1205"/>
      <c r="N3536" s="1054"/>
      <c r="O3536" s="1207"/>
      <c r="Q3536" s="1207"/>
    </row>
    <row r="3537" spans="3:17" s="700" customFormat="1" ht="70.5" hidden="1" customHeight="1">
      <c r="C3537" s="701"/>
      <c r="D3537" s="811"/>
      <c r="E3537" s="1276">
        <f>[11]building!Y3868</f>
        <v>0</v>
      </c>
      <c r="F3537" s="748">
        <f t="shared" si="294"/>
        <v>0</v>
      </c>
      <c r="G3537" s="1205"/>
      <c r="H3537" s="1055"/>
      <c r="I3537" s="1055"/>
      <c r="J3537" s="1055"/>
      <c r="K3537" s="1205"/>
      <c r="L3537" s="1055"/>
      <c r="M3537" s="1205"/>
      <c r="N3537" s="1054"/>
      <c r="O3537" s="1207"/>
      <c r="Q3537" s="1207"/>
    </row>
    <row r="3538" spans="3:17" s="700" customFormat="1" ht="70.5" hidden="1" customHeight="1">
      <c r="C3538" s="701"/>
      <c r="D3538" s="811"/>
      <c r="E3538" s="1276">
        <f>[11]building!Y3869</f>
        <v>0</v>
      </c>
      <c r="F3538" s="748">
        <f t="shared" si="294"/>
        <v>0</v>
      </c>
      <c r="G3538" s="1205"/>
      <c r="H3538" s="1055"/>
      <c r="I3538" s="1055"/>
      <c r="J3538" s="1055"/>
      <c r="K3538" s="1205"/>
      <c r="L3538" s="1055"/>
      <c r="M3538" s="1205"/>
      <c r="N3538" s="1054"/>
      <c r="O3538" s="1207"/>
      <c r="Q3538" s="1207"/>
    </row>
    <row r="3539" spans="3:17" s="700" customFormat="1" ht="70.5" hidden="1" customHeight="1">
      <c r="C3539" s="701"/>
      <c r="D3539" s="811"/>
      <c r="E3539" s="1276">
        <f>[11]building!Y3870</f>
        <v>0</v>
      </c>
      <c r="F3539" s="748">
        <f t="shared" si="294"/>
        <v>0</v>
      </c>
      <c r="G3539" s="1205"/>
      <c r="H3539" s="1055"/>
      <c r="I3539" s="1055"/>
      <c r="J3539" s="1055"/>
      <c r="K3539" s="1205"/>
      <c r="L3539" s="1055"/>
      <c r="M3539" s="1205"/>
      <c r="N3539" s="1054"/>
      <c r="O3539" s="1207"/>
      <c r="Q3539" s="1207"/>
    </row>
    <row r="3540" spans="3:17" s="700" customFormat="1" ht="70.5" hidden="1" customHeight="1">
      <c r="C3540" s="701"/>
      <c r="D3540" s="811"/>
      <c r="E3540" s="1276">
        <f>[11]building!Y3871</f>
        <v>0</v>
      </c>
      <c r="F3540" s="748">
        <f t="shared" si="294"/>
        <v>0</v>
      </c>
      <c r="G3540" s="1205"/>
      <c r="H3540" s="1055"/>
      <c r="I3540" s="1055"/>
      <c r="J3540" s="1055"/>
      <c r="K3540" s="1205"/>
      <c r="L3540" s="1055"/>
      <c r="M3540" s="1205"/>
      <c r="N3540" s="1054"/>
      <c r="O3540" s="1207"/>
      <c r="Q3540" s="1207"/>
    </row>
    <row r="3541" spans="3:17" s="700" customFormat="1" ht="70.5" hidden="1" customHeight="1">
      <c r="C3541" s="701"/>
      <c r="D3541" s="811"/>
      <c r="E3541" s="1276">
        <f>[11]building!Y3872</f>
        <v>0</v>
      </c>
      <c r="F3541" s="748">
        <f t="shared" si="294"/>
        <v>0</v>
      </c>
      <c r="G3541" s="1205"/>
      <c r="H3541" s="1055"/>
      <c r="I3541" s="1055"/>
      <c r="J3541" s="1055"/>
      <c r="K3541" s="1205"/>
      <c r="L3541" s="1055"/>
      <c r="M3541" s="1205"/>
      <c r="N3541" s="1054"/>
      <c r="O3541" s="1207"/>
      <c r="Q3541" s="1207"/>
    </row>
    <row r="3542" spans="3:17" s="700" customFormat="1" ht="70.5" hidden="1" customHeight="1">
      <c r="C3542" s="701"/>
      <c r="D3542" s="811"/>
      <c r="E3542" s="1276">
        <f>[11]building!Y3873</f>
        <v>0</v>
      </c>
      <c r="F3542" s="748">
        <f t="shared" si="294"/>
        <v>0</v>
      </c>
      <c r="G3542" s="1205"/>
      <c r="H3542" s="1055"/>
      <c r="I3542" s="1055"/>
      <c r="J3542" s="1055"/>
      <c r="K3542" s="1205"/>
      <c r="L3542" s="1055"/>
      <c r="M3542" s="1205"/>
      <c r="N3542" s="1054"/>
      <c r="O3542" s="1207"/>
      <c r="Q3542" s="1207"/>
    </row>
    <row r="3543" spans="3:17" s="700" customFormat="1" ht="70.5" hidden="1" customHeight="1">
      <c r="C3543" s="701"/>
      <c r="D3543" s="811"/>
      <c r="E3543" s="1276">
        <f>[11]building!Y3874</f>
        <v>0</v>
      </c>
      <c r="F3543" s="748">
        <f t="shared" si="294"/>
        <v>0</v>
      </c>
      <c r="G3543" s="1205"/>
      <c r="H3543" s="1055"/>
      <c r="I3543" s="1055"/>
      <c r="J3543" s="1055"/>
      <c r="K3543" s="1205"/>
      <c r="L3543" s="1055"/>
      <c r="M3543" s="1205"/>
      <c r="N3543" s="1054"/>
      <c r="O3543" s="1207"/>
      <c r="Q3543" s="1207"/>
    </row>
    <row r="3544" spans="3:17" s="700" customFormat="1" ht="70.5" hidden="1" customHeight="1">
      <c r="C3544" s="701"/>
      <c r="D3544" s="811"/>
      <c r="E3544" s="1276">
        <f>[11]building!Y3875</f>
        <v>0</v>
      </c>
      <c r="F3544" s="748">
        <f t="shared" si="294"/>
        <v>0</v>
      </c>
      <c r="G3544" s="1205"/>
      <c r="H3544" s="1055"/>
      <c r="I3544" s="1055"/>
      <c r="J3544" s="1055"/>
      <c r="K3544" s="1205"/>
      <c r="L3544" s="1055"/>
      <c r="M3544" s="1205"/>
      <c r="N3544" s="1054"/>
      <c r="O3544" s="1207"/>
      <c r="Q3544" s="1207"/>
    </row>
    <row r="3545" spans="3:17" s="700" customFormat="1" ht="70.5" hidden="1" customHeight="1">
      <c r="C3545" s="701"/>
      <c r="D3545" s="811"/>
      <c r="E3545" s="1276">
        <f>[11]building!Y3876</f>
        <v>0</v>
      </c>
      <c r="F3545" s="748">
        <f t="shared" si="294"/>
        <v>0</v>
      </c>
      <c r="G3545" s="1205"/>
      <c r="H3545" s="1055"/>
      <c r="I3545" s="1055"/>
      <c r="J3545" s="1055"/>
      <c r="K3545" s="1205"/>
      <c r="L3545" s="1055"/>
      <c r="M3545" s="1205"/>
      <c r="N3545" s="1054"/>
      <c r="O3545" s="1207"/>
      <c r="Q3545" s="1207"/>
    </row>
    <row r="3546" spans="3:17" s="700" customFormat="1" ht="70.5" hidden="1" customHeight="1">
      <c r="C3546" s="701"/>
      <c r="D3546" s="811"/>
      <c r="E3546" s="1276">
        <f>[11]building!Y3877</f>
        <v>0</v>
      </c>
      <c r="F3546" s="748">
        <f t="shared" si="294"/>
        <v>0</v>
      </c>
      <c r="G3546" s="1205"/>
      <c r="H3546" s="1055"/>
      <c r="I3546" s="1055"/>
      <c r="J3546" s="1055"/>
      <c r="K3546" s="1205"/>
      <c r="L3546" s="1055"/>
      <c r="M3546" s="1205"/>
      <c r="N3546" s="1054"/>
      <c r="O3546" s="1207"/>
      <c r="Q3546" s="1207"/>
    </row>
    <row r="3547" spans="3:17" s="700" customFormat="1" ht="70.5" hidden="1" customHeight="1">
      <c r="C3547" s="701"/>
      <c r="D3547" s="811"/>
      <c r="E3547" s="1276">
        <f>[11]building!Y3878</f>
        <v>0</v>
      </c>
      <c r="F3547" s="748">
        <f t="shared" si="294"/>
        <v>0</v>
      </c>
      <c r="G3547" s="1205"/>
      <c r="H3547" s="1055"/>
      <c r="I3547" s="1055"/>
      <c r="J3547" s="1055"/>
      <c r="K3547" s="1205"/>
      <c r="L3547" s="1055"/>
      <c r="M3547" s="1205"/>
      <c r="N3547" s="1054"/>
      <c r="O3547" s="1207"/>
      <c r="Q3547" s="1207"/>
    </row>
    <row r="3548" spans="3:17" s="700" customFormat="1" ht="70.5" hidden="1" customHeight="1">
      <c r="C3548" s="701"/>
      <c r="D3548" s="811"/>
      <c r="E3548" s="1276">
        <f>[11]building!Y3879</f>
        <v>0</v>
      </c>
      <c r="F3548" s="748">
        <f t="shared" si="294"/>
        <v>0</v>
      </c>
      <c r="G3548" s="1205"/>
      <c r="H3548" s="1055"/>
      <c r="I3548" s="1055"/>
      <c r="J3548" s="1055"/>
      <c r="K3548" s="1205"/>
      <c r="L3548" s="1055"/>
      <c r="M3548" s="1205"/>
      <c r="N3548" s="1054"/>
      <c r="O3548" s="1207"/>
      <c r="Q3548" s="1207"/>
    </row>
    <row r="3549" spans="3:17" s="700" customFormat="1" ht="70.5" hidden="1" customHeight="1">
      <c r="C3549" s="701"/>
      <c r="D3549" s="811"/>
      <c r="E3549" s="1276">
        <f>[11]building!Y3880</f>
        <v>0</v>
      </c>
      <c r="F3549" s="748">
        <f t="shared" si="294"/>
        <v>0</v>
      </c>
      <c r="G3549" s="1205"/>
      <c r="H3549" s="1055"/>
      <c r="I3549" s="1055"/>
      <c r="J3549" s="1055"/>
      <c r="K3549" s="1205"/>
      <c r="L3549" s="1055"/>
      <c r="M3549" s="1205"/>
      <c r="N3549" s="1054"/>
      <c r="O3549" s="1207"/>
      <c r="Q3549" s="1207"/>
    </row>
    <row r="3550" spans="3:17" s="700" customFormat="1" ht="70.5" hidden="1" customHeight="1">
      <c r="C3550" s="701"/>
      <c r="D3550" s="811"/>
      <c r="E3550" s="1276">
        <f>[11]building!Y3881</f>
        <v>0</v>
      </c>
      <c r="F3550" s="748">
        <f t="shared" si="294"/>
        <v>0</v>
      </c>
      <c r="G3550" s="1205"/>
      <c r="H3550" s="1055"/>
      <c r="I3550" s="1055"/>
      <c r="J3550" s="1055"/>
      <c r="K3550" s="1205"/>
      <c r="L3550" s="1055"/>
      <c r="M3550" s="1205"/>
      <c r="N3550" s="1054"/>
      <c r="O3550" s="1207"/>
      <c r="Q3550" s="1207"/>
    </row>
    <row r="3551" spans="3:17" s="700" customFormat="1" ht="70.5" hidden="1" customHeight="1">
      <c r="C3551" s="701"/>
      <c r="D3551" s="811"/>
      <c r="E3551" s="1276">
        <f>[11]building!Y3882</f>
        <v>0</v>
      </c>
      <c r="F3551" s="748">
        <f t="shared" si="294"/>
        <v>0</v>
      </c>
      <c r="G3551" s="1205"/>
      <c r="H3551" s="1055"/>
      <c r="I3551" s="1055"/>
      <c r="J3551" s="1055"/>
      <c r="K3551" s="1205"/>
      <c r="L3551" s="1055"/>
      <c r="M3551" s="1205"/>
      <c r="N3551" s="1054"/>
      <c r="O3551" s="1207"/>
      <c r="Q3551" s="1207"/>
    </row>
    <row r="3552" spans="3:17" s="700" customFormat="1" ht="70.5" hidden="1" customHeight="1">
      <c r="C3552" s="701"/>
      <c r="D3552" s="811"/>
      <c r="E3552" s="1276">
        <f>[11]building!Y3883</f>
        <v>0</v>
      </c>
      <c r="F3552" s="748">
        <f t="shared" si="294"/>
        <v>0</v>
      </c>
      <c r="G3552" s="1205"/>
      <c r="H3552" s="1055"/>
      <c r="I3552" s="1055"/>
      <c r="J3552" s="1055"/>
      <c r="K3552" s="1205"/>
      <c r="L3552" s="1055"/>
      <c r="M3552" s="1205"/>
      <c r="N3552" s="1054"/>
      <c r="O3552" s="1207"/>
      <c r="Q3552" s="1207"/>
    </row>
    <row r="3553" spans="3:17" s="700" customFormat="1" ht="70.5" hidden="1" customHeight="1">
      <c r="C3553" s="701"/>
      <c r="D3553" s="811"/>
      <c r="E3553" s="1276">
        <f>[11]building!Y3884</f>
        <v>0</v>
      </c>
      <c r="F3553" s="748">
        <f t="shared" si="294"/>
        <v>0</v>
      </c>
      <c r="G3553" s="1205"/>
      <c r="H3553" s="1055"/>
      <c r="I3553" s="1055"/>
      <c r="J3553" s="1055"/>
      <c r="K3553" s="1205"/>
      <c r="L3553" s="1055"/>
      <c r="M3553" s="1205"/>
      <c r="N3553" s="1054"/>
      <c r="O3553" s="1207"/>
      <c r="Q3553" s="1207"/>
    </row>
    <row r="3554" spans="3:17" s="700" customFormat="1" ht="70.5" hidden="1" customHeight="1">
      <c r="C3554" s="701"/>
      <c r="D3554" s="811"/>
      <c r="E3554" s="1276">
        <f>[11]building!Y3885</f>
        <v>0</v>
      </c>
      <c r="F3554" s="748">
        <f t="shared" si="294"/>
        <v>0</v>
      </c>
      <c r="G3554" s="1205"/>
      <c r="H3554" s="1055"/>
      <c r="I3554" s="1055"/>
      <c r="J3554" s="1055"/>
      <c r="K3554" s="1205"/>
      <c r="L3554" s="1055"/>
      <c r="M3554" s="1205"/>
      <c r="N3554" s="1054"/>
      <c r="O3554" s="1207"/>
      <c r="Q3554" s="1207"/>
    </row>
    <row r="3555" spans="3:17" s="700" customFormat="1" ht="70.5" hidden="1" customHeight="1">
      <c r="C3555" s="701"/>
      <c r="D3555" s="811"/>
      <c r="E3555" s="1276">
        <f>[11]building!Y3886</f>
        <v>0</v>
      </c>
      <c r="F3555" s="748">
        <f t="shared" si="294"/>
        <v>0</v>
      </c>
      <c r="G3555" s="1205"/>
      <c r="H3555" s="1055"/>
      <c r="I3555" s="1055"/>
      <c r="J3555" s="1055"/>
      <c r="K3555" s="1205"/>
      <c r="L3555" s="1055"/>
      <c r="M3555" s="1205"/>
      <c r="N3555" s="1054"/>
      <c r="O3555" s="1207"/>
      <c r="Q3555" s="1207"/>
    </row>
    <row r="3556" spans="3:17" s="700" customFormat="1" ht="70.5" hidden="1" customHeight="1">
      <c r="C3556" s="701"/>
      <c r="D3556" s="811"/>
      <c r="E3556" s="1276">
        <f>[11]building!Y3887</f>
        <v>0</v>
      </c>
      <c r="F3556" s="748">
        <f t="shared" si="294"/>
        <v>0</v>
      </c>
      <c r="G3556" s="1205"/>
      <c r="H3556" s="1055"/>
      <c r="I3556" s="1055"/>
      <c r="J3556" s="1055"/>
      <c r="K3556" s="1205"/>
      <c r="L3556" s="1055"/>
      <c r="M3556" s="1205"/>
      <c r="N3556" s="1054"/>
      <c r="O3556" s="1207"/>
      <c r="Q3556" s="1207"/>
    </row>
    <row r="3557" spans="3:17" s="700" customFormat="1" ht="70.5" hidden="1" customHeight="1">
      <c r="C3557" s="701"/>
      <c r="D3557" s="811"/>
      <c r="E3557" s="1276">
        <f>[11]building!Y3888</f>
        <v>0</v>
      </c>
      <c r="F3557" s="748">
        <f t="shared" si="294"/>
        <v>0</v>
      </c>
      <c r="G3557" s="1205"/>
      <c r="H3557" s="1055"/>
      <c r="I3557" s="1055"/>
      <c r="J3557" s="1055"/>
      <c r="K3557" s="1205"/>
      <c r="L3557" s="1055"/>
      <c r="M3557" s="1205"/>
      <c r="N3557" s="1054"/>
      <c r="O3557" s="1207"/>
      <c r="Q3557" s="1207"/>
    </row>
    <row r="3558" spans="3:17" s="700" customFormat="1" ht="70.5" hidden="1" customHeight="1">
      <c r="C3558" s="701"/>
      <c r="D3558" s="811"/>
      <c r="E3558" s="1276">
        <f>[11]building!Y3889</f>
        <v>0</v>
      </c>
      <c r="F3558" s="748">
        <f t="shared" si="294"/>
        <v>0</v>
      </c>
      <c r="G3558" s="1205"/>
      <c r="H3558" s="1055"/>
      <c r="I3558" s="1055"/>
      <c r="J3558" s="1055"/>
      <c r="K3558" s="1205"/>
      <c r="L3558" s="1055"/>
      <c r="M3558" s="1205"/>
      <c r="N3558" s="1054"/>
      <c r="O3558" s="1207"/>
      <c r="Q3558" s="1207"/>
    </row>
    <row r="3559" spans="3:17" s="700" customFormat="1" ht="70.5" hidden="1" customHeight="1">
      <c r="C3559" s="701"/>
      <c r="D3559" s="811"/>
      <c r="E3559" s="1276">
        <f>[11]building!Y3890</f>
        <v>0</v>
      </c>
      <c r="F3559" s="748">
        <f t="shared" si="294"/>
        <v>0</v>
      </c>
      <c r="G3559" s="1205"/>
      <c r="H3559" s="1055"/>
      <c r="I3559" s="1055"/>
      <c r="J3559" s="1055"/>
      <c r="K3559" s="1205"/>
      <c r="L3559" s="1055"/>
      <c r="M3559" s="1205"/>
      <c r="N3559" s="1054"/>
      <c r="O3559" s="1207"/>
      <c r="Q3559" s="1207"/>
    </row>
    <row r="3560" spans="3:17" s="700" customFormat="1" ht="70.5" hidden="1" customHeight="1">
      <c r="C3560" s="701"/>
      <c r="D3560" s="811"/>
      <c r="E3560" s="1276">
        <f>[11]building!Y3891</f>
        <v>0</v>
      </c>
      <c r="F3560" s="748">
        <f t="shared" si="294"/>
        <v>0</v>
      </c>
      <c r="G3560" s="1205"/>
      <c r="H3560" s="1055"/>
      <c r="I3560" s="1055"/>
      <c r="J3560" s="1055"/>
      <c r="K3560" s="1205"/>
      <c r="L3560" s="1055"/>
      <c r="M3560" s="1205"/>
      <c r="N3560" s="1054"/>
      <c r="O3560" s="1207"/>
      <c r="Q3560" s="1207"/>
    </row>
    <row r="3561" spans="3:17" s="700" customFormat="1" ht="70.5" hidden="1" customHeight="1">
      <c r="C3561" s="701"/>
      <c r="D3561" s="811"/>
      <c r="E3561" s="1276">
        <f>[11]building!Y3892</f>
        <v>0</v>
      </c>
      <c r="F3561" s="748">
        <f t="shared" si="294"/>
        <v>0</v>
      </c>
      <c r="G3561" s="1205"/>
      <c r="H3561" s="1055"/>
      <c r="I3561" s="1055"/>
      <c r="J3561" s="1055"/>
      <c r="K3561" s="1205"/>
      <c r="L3561" s="1055"/>
      <c r="M3561" s="1205"/>
      <c r="N3561" s="1054"/>
      <c r="O3561" s="1207"/>
      <c r="Q3561" s="1207"/>
    </row>
    <row r="3562" spans="3:17" s="700" customFormat="1" ht="70.5" hidden="1" customHeight="1">
      <c r="C3562" s="701"/>
      <c r="D3562" s="811"/>
      <c r="E3562" s="1276">
        <f>[11]building!Y3893</f>
        <v>0</v>
      </c>
      <c r="F3562" s="748">
        <f t="shared" si="294"/>
        <v>0</v>
      </c>
      <c r="G3562" s="1205"/>
      <c r="H3562" s="1055"/>
      <c r="I3562" s="1055"/>
      <c r="J3562" s="1055"/>
      <c r="K3562" s="1205"/>
      <c r="L3562" s="1055"/>
      <c r="M3562" s="1205"/>
      <c r="N3562" s="1054"/>
      <c r="O3562" s="1207"/>
      <c r="Q3562" s="1207"/>
    </row>
    <row r="3563" spans="3:17" s="700" customFormat="1" ht="70.5" hidden="1" customHeight="1">
      <c r="C3563" s="701"/>
      <c r="D3563" s="811"/>
      <c r="E3563" s="1276">
        <f>[11]building!Y3894</f>
        <v>0</v>
      </c>
      <c r="F3563" s="748">
        <f t="shared" si="294"/>
        <v>0</v>
      </c>
      <c r="G3563" s="1205"/>
      <c r="H3563" s="1055"/>
      <c r="I3563" s="1055"/>
      <c r="J3563" s="1055"/>
      <c r="K3563" s="1205"/>
      <c r="L3563" s="1055"/>
      <c r="M3563" s="1205"/>
      <c r="N3563" s="1054"/>
      <c r="O3563" s="1207"/>
      <c r="Q3563" s="1207"/>
    </row>
    <row r="3564" spans="3:17" s="700" customFormat="1" ht="70.5" hidden="1" customHeight="1">
      <c r="C3564" s="701"/>
      <c r="D3564" s="811"/>
      <c r="E3564" s="1276">
        <f>[11]building!Y3895</f>
        <v>0</v>
      </c>
      <c r="F3564" s="748">
        <f t="shared" si="294"/>
        <v>0</v>
      </c>
      <c r="G3564" s="1205"/>
      <c r="H3564" s="1055"/>
      <c r="I3564" s="1055"/>
      <c r="J3564" s="1055"/>
      <c r="K3564" s="1205"/>
      <c r="L3564" s="1055"/>
      <c r="M3564" s="1205"/>
      <c r="N3564" s="1054"/>
      <c r="O3564" s="1207"/>
      <c r="Q3564" s="1207"/>
    </row>
    <row r="3565" spans="3:17" s="700" customFormat="1" ht="70.5" hidden="1" customHeight="1">
      <c r="C3565" s="701"/>
      <c r="D3565" s="811"/>
      <c r="E3565" s="1276">
        <f>[11]building!Y3896</f>
        <v>0</v>
      </c>
      <c r="F3565" s="748">
        <f t="shared" si="294"/>
        <v>0</v>
      </c>
      <c r="G3565" s="1205"/>
      <c r="H3565" s="1055"/>
      <c r="I3565" s="1055"/>
      <c r="J3565" s="1055"/>
      <c r="K3565" s="1205"/>
      <c r="L3565" s="1055"/>
      <c r="M3565" s="1205"/>
      <c r="N3565" s="1054"/>
      <c r="O3565" s="1207"/>
      <c r="Q3565" s="1207"/>
    </row>
    <row r="3566" spans="3:17" s="700" customFormat="1" ht="70.5" hidden="1" customHeight="1">
      <c r="C3566" s="701"/>
      <c r="D3566" s="811"/>
      <c r="E3566" s="1276">
        <f>[11]building!Y3897</f>
        <v>0</v>
      </c>
      <c r="F3566" s="748">
        <f t="shared" si="294"/>
        <v>0</v>
      </c>
      <c r="G3566" s="1205"/>
      <c r="H3566" s="1055"/>
      <c r="I3566" s="1055"/>
      <c r="J3566" s="1055"/>
      <c r="K3566" s="1205"/>
      <c r="L3566" s="1055"/>
      <c r="M3566" s="1205"/>
      <c r="N3566" s="1054"/>
      <c r="O3566" s="1207"/>
      <c r="Q3566" s="1207"/>
    </row>
    <row r="3567" spans="3:17" s="700" customFormat="1" ht="70.5" hidden="1" customHeight="1">
      <c r="C3567" s="701"/>
      <c r="D3567" s="811"/>
      <c r="E3567" s="1276">
        <f>[11]building!Y3898</f>
        <v>0</v>
      </c>
      <c r="F3567" s="748">
        <f t="shared" si="294"/>
        <v>0</v>
      </c>
      <c r="G3567" s="1205"/>
      <c r="H3567" s="1055"/>
      <c r="I3567" s="1055"/>
      <c r="J3567" s="1055"/>
      <c r="K3567" s="1205"/>
      <c r="L3567" s="1055"/>
      <c r="M3567" s="1205"/>
      <c r="N3567" s="1054"/>
      <c r="O3567" s="1207"/>
      <c r="Q3567" s="1207"/>
    </row>
    <row r="3568" spans="3:17" s="700" customFormat="1" ht="70.5" hidden="1" customHeight="1">
      <c r="C3568" s="701"/>
      <c r="D3568" s="811"/>
      <c r="E3568" s="1276">
        <f>[11]building!Y3899</f>
        <v>0</v>
      </c>
      <c r="F3568" s="748">
        <f t="shared" si="294"/>
        <v>0</v>
      </c>
      <c r="G3568" s="1205"/>
      <c r="H3568" s="1055"/>
      <c r="I3568" s="1055"/>
      <c r="J3568" s="1055"/>
      <c r="K3568" s="1205"/>
      <c r="L3568" s="1055"/>
      <c r="M3568" s="1205"/>
      <c r="N3568" s="1054"/>
      <c r="O3568" s="1207"/>
      <c r="Q3568" s="1207"/>
    </row>
    <row r="3569" spans="3:17" s="700" customFormat="1" ht="70.5" hidden="1" customHeight="1">
      <c r="C3569" s="701"/>
      <c r="D3569" s="811"/>
      <c r="E3569" s="1276">
        <f>[11]building!Y3900</f>
        <v>0</v>
      </c>
      <c r="F3569" s="748">
        <f t="shared" si="294"/>
        <v>0</v>
      </c>
      <c r="G3569" s="1205"/>
      <c r="H3569" s="1055"/>
      <c r="I3569" s="1055"/>
      <c r="J3569" s="1055"/>
      <c r="K3569" s="1205"/>
      <c r="L3569" s="1055"/>
      <c r="M3569" s="1205"/>
      <c r="N3569" s="1054"/>
      <c r="O3569" s="1207"/>
      <c r="Q3569" s="1207"/>
    </row>
    <row r="3570" spans="3:17" s="700" customFormat="1" ht="70.5" hidden="1" customHeight="1">
      <c r="C3570" s="701"/>
      <c r="D3570" s="811"/>
      <c r="E3570" s="1276">
        <f>[11]building!Y3901</f>
        <v>0</v>
      </c>
      <c r="F3570" s="748">
        <f t="shared" si="294"/>
        <v>0</v>
      </c>
      <c r="G3570" s="1205"/>
      <c r="H3570" s="1055"/>
      <c r="I3570" s="1055"/>
      <c r="J3570" s="1055"/>
      <c r="K3570" s="1205"/>
      <c r="L3570" s="1055"/>
      <c r="M3570" s="1205"/>
      <c r="N3570" s="1054"/>
      <c r="O3570" s="1207"/>
      <c r="Q3570" s="1207"/>
    </row>
    <row r="3571" spans="3:17" s="700" customFormat="1" ht="70.5" hidden="1" customHeight="1">
      <c r="C3571" s="701"/>
      <c r="D3571" s="811"/>
      <c r="E3571" s="1276">
        <f>[11]building!Y3902</f>
        <v>0</v>
      </c>
      <c r="F3571" s="748">
        <f t="shared" si="294"/>
        <v>0</v>
      </c>
      <c r="G3571" s="1205"/>
      <c r="H3571" s="1055"/>
      <c r="I3571" s="1055"/>
      <c r="J3571" s="1055"/>
      <c r="K3571" s="1205"/>
      <c r="L3571" s="1055"/>
      <c r="M3571" s="1205"/>
      <c r="N3571" s="1054"/>
      <c r="O3571" s="1207"/>
      <c r="Q3571" s="1207"/>
    </row>
    <row r="3572" spans="3:17" s="700" customFormat="1" ht="70.5" hidden="1" customHeight="1">
      <c r="C3572" s="701"/>
      <c r="D3572" s="811"/>
      <c r="E3572" s="1276">
        <f>[11]building!Y3903</f>
        <v>0</v>
      </c>
      <c r="F3572" s="748">
        <f t="shared" si="294"/>
        <v>0</v>
      </c>
      <c r="G3572" s="1205"/>
      <c r="H3572" s="1055"/>
      <c r="I3572" s="1055"/>
      <c r="J3572" s="1055"/>
      <c r="K3572" s="1205"/>
      <c r="L3572" s="1055"/>
      <c r="M3572" s="1205"/>
      <c r="N3572" s="1054"/>
      <c r="O3572" s="1207"/>
      <c r="Q3572" s="1207"/>
    </row>
    <row r="3573" spans="3:17" s="700" customFormat="1" ht="70.5" hidden="1" customHeight="1">
      <c r="C3573" s="701"/>
      <c r="D3573" s="811"/>
      <c r="E3573" s="1276">
        <f>[11]building!Y3904</f>
        <v>0</v>
      </c>
      <c r="F3573" s="748">
        <f t="shared" si="294"/>
        <v>0</v>
      </c>
      <c r="G3573" s="1205"/>
      <c r="H3573" s="1055"/>
      <c r="I3573" s="1055"/>
      <c r="J3573" s="1055"/>
      <c r="K3573" s="1205"/>
      <c r="L3573" s="1055"/>
      <c r="M3573" s="1205"/>
      <c r="N3573" s="1054"/>
      <c r="O3573" s="1207"/>
      <c r="Q3573" s="1207"/>
    </row>
    <row r="3574" spans="3:17" s="700" customFormat="1" ht="70.5" hidden="1" customHeight="1">
      <c r="C3574" s="701"/>
      <c r="D3574" s="811"/>
      <c r="E3574" s="1276">
        <f>[11]building!Y3905</f>
        <v>0</v>
      </c>
      <c r="F3574" s="748">
        <f t="shared" si="294"/>
        <v>0</v>
      </c>
      <c r="G3574" s="1205"/>
      <c r="H3574" s="1055"/>
      <c r="I3574" s="1055"/>
      <c r="J3574" s="1055"/>
      <c r="K3574" s="1205"/>
      <c r="L3574" s="1055"/>
      <c r="M3574" s="1205"/>
      <c r="N3574" s="1054"/>
      <c r="O3574" s="1207"/>
      <c r="Q3574" s="1207"/>
    </row>
    <row r="3575" spans="3:17" s="700" customFormat="1" ht="70.5" hidden="1" customHeight="1">
      <c r="C3575" s="701"/>
      <c r="D3575" s="811"/>
      <c r="E3575" s="1276">
        <f>[11]building!Y3906</f>
        <v>0</v>
      </c>
      <c r="F3575" s="748">
        <f t="shared" si="294"/>
        <v>0</v>
      </c>
      <c r="G3575" s="1205"/>
      <c r="H3575" s="1055"/>
      <c r="I3575" s="1055"/>
      <c r="J3575" s="1055"/>
      <c r="K3575" s="1205"/>
      <c r="L3575" s="1055"/>
      <c r="M3575" s="1205"/>
      <c r="N3575" s="1054"/>
      <c r="O3575" s="1207"/>
      <c r="Q3575" s="1207"/>
    </row>
    <row r="3576" spans="3:17" s="700" customFormat="1" ht="70.5" hidden="1" customHeight="1">
      <c r="C3576" s="701"/>
      <c r="D3576" s="811"/>
      <c r="E3576" s="1276">
        <f>[11]building!Y3907</f>
        <v>0</v>
      </c>
      <c r="F3576" s="748">
        <f t="shared" si="294"/>
        <v>0</v>
      </c>
      <c r="G3576" s="1205"/>
      <c r="H3576" s="1055"/>
      <c r="I3576" s="1055"/>
      <c r="J3576" s="1055"/>
      <c r="K3576" s="1205"/>
      <c r="L3576" s="1055"/>
      <c r="M3576" s="1205"/>
      <c r="N3576" s="1054"/>
      <c r="O3576" s="1207"/>
      <c r="Q3576" s="1207"/>
    </row>
    <row r="3577" spans="3:17" s="700" customFormat="1" ht="70.5" hidden="1" customHeight="1">
      <c r="C3577" s="701"/>
      <c r="D3577" s="811"/>
      <c r="E3577" s="1276">
        <f>[11]building!Y3908</f>
        <v>0</v>
      </c>
      <c r="F3577" s="748">
        <f t="shared" si="294"/>
        <v>0</v>
      </c>
      <c r="G3577" s="1205"/>
      <c r="H3577" s="1055"/>
      <c r="I3577" s="1055"/>
      <c r="J3577" s="1055"/>
      <c r="K3577" s="1205"/>
      <c r="L3577" s="1055"/>
      <c r="M3577" s="1205"/>
      <c r="N3577" s="1054"/>
      <c r="O3577" s="1207"/>
      <c r="Q3577" s="1207"/>
    </row>
    <row r="3578" spans="3:17" s="700" customFormat="1" ht="70.5" hidden="1" customHeight="1">
      <c r="C3578" s="701"/>
      <c r="D3578" s="811"/>
      <c r="E3578" s="1276">
        <f>[11]building!Y3909</f>
        <v>0</v>
      </c>
      <c r="F3578" s="748">
        <f t="shared" si="294"/>
        <v>0</v>
      </c>
      <c r="G3578" s="1205"/>
      <c r="H3578" s="1055"/>
      <c r="I3578" s="1055"/>
      <c r="J3578" s="1055"/>
      <c r="K3578" s="1205"/>
      <c r="L3578" s="1055"/>
      <c r="M3578" s="1205"/>
      <c r="N3578" s="1054"/>
      <c r="O3578" s="1207"/>
      <c r="Q3578" s="1207"/>
    </row>
    <row r="3579" spans="3:17" s="700" customFormat="1" ht="70.5" hidden="1" customHeight="1">
      <c r="C3579" s="701"/>
      <c r="D3579" s="811"/>
      <c r="E3579" s="1276">
        <f>[11]building!Y3910</f>
        <v>0</v>
      </c>
      <c r="F3579" s="748">
        <f t="shared" si="294"/>
        <v>0</v>
      </c>
      <c r="G3579" s="1205"/>
      <c r="H3579" s="1055"/>
      <c r="I3579" s="1055"/>
      <c r="J3579" s="1055"/>
      <c r="K3579" s="1205"/>
      <c r="L3579" s="1055"/>
      <c r="M3579" s="1205"/>
      <c r="N3579" s="1054"/>
      <c r="O3579" s="1207"/>
      <c r="Q3579" s="1207"/>
    </row>
    <row r="3580" spans="3:17" s="700" customFormat="1" ht="70.5" hidden="1" customHeight="1">
      <c r="C3580" s="701"/>
      <c r="D3580" s="811"/>
      <c r="E3580" s="1276">
        <f>[11]building!Y3911</f>
        <v>0</v>
      </c>
      <c r="F3580" s="748">
        <f t="shared" si="294"/>
        <v>0</v>
      </c>
      <c r="G3580" s="1205"/>
      <c r="H3580" s="1055"/>
      <c r="I3580" s="1055"/>
      <c r="J3580" s="1055"/>
      <c r="K3580" s="1205"/>
      <c r="L3580" s="1055"/>
      <c r="M3580" s="1205"/>
      <c r="N3580" s="1054"/>
      <c r="O3580" s="1207"/>
      <c r="Q3580" s="1207"/>
    </row>
    <row r="3581" spans="3:17" s="700" customFormat="1" ht="70.5" hidden="1" customHeight="1">
      <c r="C3581" s="701"/>
      <c r="D3581" s="811"/>
      <c r="E3581" s="1276">
        <f>[11]building!Y3912</f>
        <v>0</v>
      </c>
      <c r="F3581" s="748">
        <f t="shared" si="294"/>
        <v>0</v>
      </c>
      <c r="G3581" s="1205"/>
      <c r="H3581" s="1055"/>
      <c r="I3581" s="1055"/>
      <c r="J3581" s="1055"/>
      <c r="K3581" s="1205"/>
      <c r="L3581" s="1055"/>
      <c r="M3581" s="1205"/>
      <c r="N3581" s="1054"/>
      <c r="O3581" s="1207"/>
      <c r="Q3581" s="1207"/>
    </row>
    <row r="3582" spans="3:17" s="700" customFormat="1" ht="70.5" hidden="1" customHeight="1">
      <c r="C3582" s="701"/>
      <c r="D3582" s="811"/>
      <c r="E3582" s="1276">
        <f>[11]building!Y3913</f>
        <v>0</v>
      </c>
      <c r="F3582" s="748">
        <f t="shared" si="294"/>
        <v>0</v>
      </c>
      <c r="G3582" s="1205"/>
      <c r="H3582" s="1055"/>
      <c r="I3582" s="1055"/>
      <c r="J3582" s="1055"/>
      <c r="K3582" s="1205"/>
      <c r="L3582" s="1055"/>
      <c r="M3582" s="1205"/>
      <c r="N3582" s="1054"/>
      <c r="O3582" s="1207"/>
      <c r="Q3582" s="1207"/>
    </row>
    <row r="3583" spans="3:17" s="700" customFormat="1" ht="70.5" hidden="1" customHeight="1">
      <c r="C3583" s="701"/>
      <c r="D3583" s="811"/>
      <c r="E3583" s="1276">
        <f>[11]building!Y3914</f>
        <v>0</v>
      </c>
      <c r="F3583" s="748">
        <f t="shared" si="294"/>
        <v>0</v>
      </c>
      <c r="G3583" s="1205"/>
      <c r="H3583" s="1055"/>
      <c r="I3583" s="1055"/>
      <c r="J3583" s="1055"/>
      <c r="K3583" s="1205"/>
      <c r="L3583" s="1055"/>
      <c r="M3583" s="1205"/>
      <c r="N3583" s="1054"/>
      <c r="O3583" s="1207"/>
      <c r="Q3583" s="1207"/>
    </row>
    <row r="3584" spans="3:17" s="700" customFormat="1" ht="70.5" hidden="1" customHeight="1">
      <c r="C3584" s="701"/>
      <c r="D3584" s="811"/>
      <c r="E3584" s="1276">
        <f>[11]building!Y3915</f>
        <v>0</v>
      </c>
      <c r="F3584" s="748">
        <f t="shared" ref="F3584:F3647" si="295">E3584*C3584</f>
        <v>0</v>
      </c>
      <c r="G3584" s="1205"/>
      <c r="H3584" s="1055"/>
      <c r="I3584" s="1055"/>
      <c r="J3584" s="1055"/>
      <c r="K3584" s="1205"/>
      <c r="L3584" s="1055"/>
      <c r="M3584" s="1205"/>
      <c r="N3584" s="1054"/>
      <c r="O3584" s="1207"/>
      <c r="Q3584" s="1207"/>
    </row>
    <row r="3585" spans="3:17" s="700" customFormat="1" ht="70.5" hidden="1" customHeight="1">
      <c r="C3585" s="701"/>
      <c r="D3585" s="811"/>
      <c r="E3585" s="1276">
        <f>[11]building!Y3916</f>
        <v>0</v>
      </c>
      <c r="F3585" s="748">
        <f t="shared" si="295"/>
        <v>0</v>
      </c>
      <c r="G3585" s="1205"/>
      <c r="H3585" s="1055"/>
      <c r="I3585" s="1055"/>
      <c r="J3585" s="1055"/>
      <c r="K3585" s="1205"/>
      <c r="L3585" s="1055"/>
      <c r="M3585" s="1205"/>
      <c r="N3585" s="1054"/>
      <c r="O3585" s="1207"/>
      <c r="Q3585" s="1207"/>
    </row>
    <row r="3586" spans="3:17" s="700" customFormat="1" ht="70.5" hidden="1" customHeight="1">
      <c r="C3586" s="701"/>
      <c r="D3586" s="811"/>
      <c r="E3586" s="1276">
        <f>[11]building!Y3917</f>
        <v>0</v>
      </c>
      <c r="F3586" s="748">
        <f t="shared" si="295"/>
        <v>0</v>
      </c>
      <c r="G3586" s="1205"/>
      <c r="H3586" s="1055"/>
      <c r="I3586" s="1055"/>
      <c r="J3586" s="1055"/>
      <c r="K3586" s="1205"/>
      <c r="L3586" s="1055"/>
      <c r="M3586" s="1205"/>
      <c r="N3586" s="1054"/>
      <c r="O3586" s="1207"/>
      <c r="Q3586" s="1207"/>
    </row>
    <row r="3587" spans="3:17" s="700" customFormat="1" ht="70.5" hidden="1" customHeight="1">
      <c r="C3587" s="701"/>
      <c r="D3587" s="811"/>
      <c r="E3587" s="1276">
        <f>[11]building!Y3918</f>
        <v>0</v>
      </c>
      <c r="F3587" s="748">
        <f t="shared" si="295"/>
        <v>0</v>
      </c>
      <c r="G3587" s="1205"/>
      <c r="H3587" s="1055"/>
      <c r="I3587" s="1055"/>
      <c r="J3587" s="1055"/>
      <c r="K3587" s="1205"/>
      <c r="L3587" s="1055"/>
      <c r="M3587" s="1205"/>
      <c r="N3587" s="1054"/>
      <c r="O3587" s="1207"/>
      <c r="Q3587" s="1207"/>
    </row>
    <row r="3588" spans="3:17" s="700" customFormat="1" ht="70.5" hidden="1" customHeight="1">
      <c r="C3588" s="701"/>
      <c r="D3588" s="811"/>
      <c r="E3588" s="1276">
        <f>[11]building!Y3919</f>
        <v>0</v>
      </c>
      <c r="F3588" s="748">
        <f t="shared" si="295"/>
        <v>0</v>
      </c>
      <c r="G3588" s="1205"/>
      <c r="H3588" s="1055"/>
      <c r="I3588" s="1055"/>
      <c r="J3588" s="1055"/>
      <c r="K3588" s="1205"/>
      <c r="L3588" s="1055"/>
      <c r="M3588" s="1205"/>
      <c r="N3588" s="1054"/>
      <c r="O3588" s="1207"/>
      <c r="Q3588" s="1207"/>
    </row>
    <row r="3589" spans="3:17" s="700" customFormat="1" ht="70.5" hidden="1" customHeight="1">
      <c r="C3589" s="701"/>
      <c r="D3589" s="811"/>
      <c r="E3589" s="1276">
        <f>[11]building!Y3920</f>
        <v>0</v>
      </c>
      <c r="F3589" s="748">
        <f t="shared" si="295"/>
        <v>0</v>
      </c>
      <c r="G3589" s="1205"/>
      <c r="H3589" s="1055"/>
      <c r="I3589" s="1055"/>
      <c r="J3589" s="1055"/>
      <c r="K3589" s="1205"/>
      <c r="L3589" s="1055"/>
      <c r="M3589" s="1205"/>
      <c r="N3589" s="1054"/>
      <c r="O3589" s="1207"/>
      <c r="Q3589" s="1207"/>
    </row>
    <row r="3590" spans="3:17" s="700" customFormat="1" ht="70.5" hidden="1" customHeight="1">
      <c r="C3590" s="701"/>
      <c r="D3590" s="811"/>
      <c r="E3590" s="1276">
        <f>[11]building!Y3921</f>
        <v>0</v>
      </c>
      <c r="F3590" s="748">
        <f t="shared" si="295"/>
        <v>0</v>
      </c>
      <c r="G3590" s="1205"/>
      <c r="H3590" s="1055"/>
      <c r="I3590" s="1055"/>
      <c r="J3590" s="1055"/>
      <c r="K3590" s="1205"/>
      <c r="L3590" s="1055"/>
      <c r="M3590" s="1205"/>
      <c r="N3590" s="1054"/>
      <c r="O3590" s="1207"/>
      <c r="Q3590" s="1207"/>
    </row>
    <row r="3591" spans="3:17" s="700" customFormat="1" ht="70.5" hidden="1" customHeight="1">
      <c r="C3591" s="701"/>
      <c r="D3591" s="811"/>
      <c r="E3591" s="1276">
        <f>[11]building!Y3922</f>
        <v>0</v>
      </c>
      <c r="F3591" s="748">
        <f t="shared" si="295"/>
        <v>0</v>
      </c>
      <c r="G3591" s="1205"/>
      <c r="H3591" s="1055"/>
      <c r="I3591" s="1055"/>
      <c r="J3591" s="1055"/>
      <c r="K3591" s="1205"/>
      <c r="L3591" s="1055"/>
      <c r="M3591" s="1205"/>
      <c r="N3591" s="1054"/>
      <c r="O3591" s="1207"/>
      <c r="Q3591" s="1207"/>
    </row>
    <row r="3592" spans="3:17" s="700" customFormat="1" ht="70.5" hidden="1" customHeight="1">
      <c r="C3592" s="701"/>
      <c r="D3592" s="811"/>
      <c r="E3592" s="1276">
        <f>[11]building!Y3923</f>
        <v>0</v>
      </c>
      <c r="F3592" s="748">
        <f t="shared" si="295"/>
        <v>0</v>
      </c>
      <c r="G3592" s="1205"/>
      <c r="H3592" s="1055"/>
      <c r="I3592" s="1055"/>
      <c r="J3592" s="1055"/>
      <c r="K3592" s="1205"/>
      <c r="L3592" s="1055"/>
      <c r="M3592" s="1205"/>
      <c r="N3592" s="1054"/>
      <c r="O3592" s="1207"/>
      <c r="Q3592" s="1207"/>
    </row>
    <row r="3593" spans="3:17" s="700" customFormat="1" ht="70.5" hidden="1" customHeight="1">
      <c r="C3593" s="701"/>
      <c r="D3593" s="811"/>
      <c r="E3593" s="1276">
        <f>[11]building!Y3924</f>
        <v>0</v>
      </c>
      <c r="F3593" s="748">
        <f t="shared" si="295"/>
        <v>0</v>
      </c>
      <c r="G3593" s="1205"/>
      <c r="H3593" s="1055"/>
      <c r="I3593" s="1055"/>
      <c r="J3593" s="1055"/>
      <c r="K3593" s="1205"/>
      <c r="L3593" s="1055"/>
      <c r="M3593" s="1205"/>
      <c r="N3593" s="1054"/>
      <c r="O3593" s="1207"/>
      <c r="Q3593" s="1207"/>
    </row>
    <row r="3594" spans="3:17" s="700" customFormat="1" ht="70.5" hidden="1" customHeight="1">
      <c r="C3594" s="701"/>
      <c r="D3594" s="811"/>
      <c r="E3594" s="1276">
        <f>[11]building!Y3925</f>
        <v>0</v>
      </c>
      <c r="F3594" s="748">
        <f t="shared" si="295"/>
        <v>0</v>
      </c>
      <c r="G3594" s="1205"/>
      <c r="H3594" s="1055"/>
      <c r="I3594" s="1055"/>
      <c r="J3594" s="1055"/>
      <c r="K3594" s="1205"/>
      <c r="L3594" s="1055"/>
      <c r="M3594" s="1205"/>
      <c r="N3594" s="1054"/>
      <c r="O3594" s="1207"/>
      <c r="Q3594" s="1207"/>
    </row>
    <row r="3595" spans="3:17" s="700" customFormat="1" ht="70.5" hidden="1" customHeight="1">
      <c r="C3595" s="701"/>
      <c r="D3595" s="811"/>
      <c r="E3595" s="1276">
        <f>[11]building!Y3926</f>
        <v>0</v>
      </c>
      <c r="F3595" s="748">
        <f t="shared" si="295"/>
        <v>0</v>
      </c>
      <c r="G3595" s="1205"/>
      <c r="H3595" s="1055"/>
      <c r="I3595" s="1055"/>
      <c r="J3595" s="1055"/>
      <c r="K3595" s="1205"/>
      <c r="L3595" s="1055"/>
      <c r="M3595" s="1205"/>
      <c r="N3595" s="1054"/>
      <c r="O3595" s="1207"/>
      <c r="Q3595" s="1207"/>
    </row>
    <row r="3596" spans="3:17" s="700" customFormat="1" ht="70.5" hidden="1" customHeight="1">
      <c r="C3596" s="701"/>
      <c r="D3596" s="811"/>
      <c r="E3596" s="1276">
        <f>[11]building!Y3927</f>
        <v>0</v>
      </c>
      <c r="F3596" s="748">
        <f t="shared" si="295"/>
        <v>0</v>
      </c>
      <c r="G3596" s="1205"/>
      <c r="H3596" s="1055"/>
      <c r="I3596" s="1055"/>
      <c r="J3596" s="1055"/>
      <c r="K3596" s="1205"/>
      <c r="L3596" s="1055"/>
      <c r="M3596" s="1205"/>
      <c r="N3596" s="1054"/>
      <c r="O3596" s="1207"/>
      <c r="Q3596" s="1207"/>
    </row>
    <row r="3597" spans="3:17" s="700" customFormat="1" ht="70.5" hidden="1" customHeight="1">
      <c r="C3597" s="701"/>
      <c r="D3597" s="811"/>
      <c r="E3597" s="1276">
        <f>[11]building!Y3928</f>
        <v>0</v>
      </c>
      <c r="F3597" s="748">
        <f t="shared" si="295"/>
        <v>0</v>
      </c>
      <c r="G3597" s="1205"/>
      <c r="H3597" s="1055"/>
      <c r="I3597" s="1055"/>
      <c r="J3597" s="1055"/>
      <c r="K3597" s="1205"/>
      <c r="L3597" s="1055"/>
      <c r="M3597" s="1205"/>
      <c r="N3597" s="1054"/>
      <c r="O3597" s="1207"/>
      <c r="Q3597" s="1207"/>
    </row>
    <row r="3598" spans="3:17" s="700" customFormat="1" ht="70.5" hidden="1" customHeight="1">
      <c r="C3598" s="701"/>
      <c r="D3598" s="811"/>
      <c r="E3598" s="1276">
        <f>[11]building!Y3929</f>
        <v>0</v>
      </c>
      <c r="F3598" s="748">
        <f t="shared" si="295"/>
        <v>0</v>
      </c>
      <c r="G3598" s="1205"/>
      <c r="H3598" s="1055"/>
      <c r="I3598" s="1055"/>
      <c r="J3598" s="1055"/>
      <c r="K3598" s="1205"/>
      <c r="L3598" s="1055"/>
      <c r="M3598" s="1205"/>
      <c r="N3598" s="1054"/>
      <c r="O3598" s="1207"/>
      <c r="Q3598" s="1207"/>
    </row>
    <row r="3599" spans="3:17" s="700" customFormat="1" ht="70.5" hidden="1" customHeight="1">
      <c r="C3599" s="701"/>
      <c r="D3599" s="811"/>
      <c r="E3599" s="1276">
        <f>[11]building!Y3930</f>
        <v>0</v>
      </c>
      <c r="F3599" s="748">
        <f t="shared" si="295"/>
        <v>0</v>
      </c>
      <c r="G3599" s="1205"/>
      <c r="H3599" s="1055"/>
      <c r="I3599" s="1055"/>
      <c r="J3599" s="1055"/>
      <c r="K3599" s="1205"/>
      <c r="L3599" s="1055"/>
      <c r="M3599" s="1205"/>
      <c r="N3599" s="1054"/>
      <c r="O3599" s="1207"/>
      <c r="Q3599" s="1207"/>
    </row>
    <row r="3600" spans="3:17" s="700" customFormat="1" ht="70.5" hidden="1" customHeight="1">
      <c r="C3600" s="701"/>
      <c r="D3600" s="811"/>
      <c r="E3600" s="1276">
        <f>[11]building!Y3931</f>
        <v>0</v>
      </c>
      <c r="F3600" s="748">
        <f t="shared" si="295"/>
        <v>0</v>
      </c>
      <c r="G3600" s="1205"/>
      <c r="H3600" s="1055"/>
      <c r="I3600" s="1055"/>
      <c r="J3600" s="1055"/>
      <c r="K3600" s="1205"/>
      <c r="L3600" s="1055"/>
      <c r="M3600" s="1205"/>
      <c r="N3600" s="1054"/>
      <c r="O3600" s="1207"/>
      <c r="Q3600" s="1207"/>
    </row>
    <row r="3601" spans="3:17" s="700" customFormat="1" ht="70.5" hidden="1" customHeight="1">
      <c r="C3601" s="701"/>
      <c r="D3601" s="811"/>
      <c r="E3601" s="1276">
        <f>[11]building!Y3932</f>
        <v>0</v>
      </c>
      <c r="F3601" s="748">
        <f t="shared" si="295"/>
        <v>0</v>
      </c>
      <c r="G3601" s="1205"/>
      <c r="H3601" s="1055"/>
      <c r="I3601" s="1055"/>
      <c r="J3601" s="1055"/>
      <c r="K3601" s="1205"/>
      <c r="L3601" s="1055"/>
      <c r="M3601" s="1205"/>
      <c r="N3601" s="1054"/>
      <c r="O3601" s="1207"/>
      <c r="Q3601" s="1207"/>
    </row>
    <row r="3602" spans="3:17" s="700" customFormat="1" ht="70.5" hidden="1" customHeight="1">
      <c r="C3602" s="701"/>
      <c r="D3602" s="811"/>
      <c r="E3602" s="1276">
        <f>[11]building!Y3933</f>
        <v>0</v>
      </c>
      <c r="F3602" s="748">
        <f t="shared" si="295"/>
        <v>0</v>
      </c>
      <c r="G3602" s="1205"/>
      <c r="H3602" s="1055"/>
      <c r="I3602" s="1055"/>
      <c r="J3602" s="1055"/>
      <c r="K3602" s="1205"/>
      <c r="L3602" s="1055"/>
      <c r="M3602" s="1205"/>
      <c r="N3602" s="1054"/>
      <c r="O3602" s="1207"/>
      <c r="Q3602" s="1207"/>
    </row>
    <row r="3603" spans="3:17" s="700" customFormat="1" ht="70.5" hidden="1" customHeight="1">
      <c r="C3603" s="701"/>
      <c r="D3603" s="811"/>
      <c r="E3603" s="1276">
        <f>[11]building!Y3934</f>
        <v>0</v>
      </c>
      <c r="F3603" s="748">
        <f t="shared" si="295"/>
        <v>0</v>
      </c>
      <c r="G3603" s="1205"/>
      <c r="H3603" s="1055"/>
      <c r="I3603" s="1055"/>
      <c r="J3603" s="1055"/>
      <c r="K3603" s="1205"/>
      <c r="L3603" s="1055"/>
      <c r="M3603" s="1205"/>
      <c r="N3603" s="1054"/>
      <c r="O3603" s="1207"/>
      <c r="Q3603" s="1207"/>
    </row>
    <row r="3604" spans="3:17" s="700" customFormat="1" ht="70.5" hidden="1" customHeight="1">
      <c r="C3604" s="701"/>
      <c r="D3604" s="811"/>
      <c r="E3604" s="1276">
        <f>[11]building!Y3935</f>
        <v>0</v>
      </c>
      <c r="F3604" s="748">
        <f t="shared" si="295"/>
        <v>0</v>
      </c>
      <c r="G3604" s="1205"/>
      <c r="H3604" s="1055"/>
      <c r="I3604" s="1055"/>
      <c r="J3604" s="1055"/>
      <c r="K3604" s="1205"/>
      <c r="L3604" s="1055"/>
      <c r="M3604" s="1205"/>
      <c r="N3604" s="1054"/>
      <c r="O3604" s="1207"/>
      <c r="Q3604" s="1207"/>
    </row>
    <row r="3605" spans="3:17" s="700" customFormat="1" ht="70.5" hidden="1" customHeight="1">
      <c r="C3605" s="701"/>
      <c r="D3605" s="811"/>
      <c r="E3605" s="1276">
        <f>[11]building!Y3936</f>
        <v>0</v>
      </c>
      <c r="F3605" s="748">
        <f t="shared" si="295"/>
        <v>0</v>
      </c>
      <c r="G3605" s="1205"/>
      <c r="H3605" s="1055"/>
      <c r="I3605" s="1055"/>
      <c r="J3605" s="1055"/>
      <c r="K3605" s="1205"/>
      <c r="L3605" s="1055"/>
      <c r="M3605" s="1205"/>
      <c r="N3605" s="1054"/>
      <c r="O3605" s="1207"/>
      <c r="Q3605" s="1207"/>
    </row>
    <row r="3606" spans="3:17" s="700" customFormat="1" ht="70.5" hidden="1" customHeight="1">
      <c r="C3606" s="701"/>
      <c r="D3606" s="811"/>
      <c r="E3606" s="1276">
        <f>[11]building!Y3937</f>
        <v>0</v>
      </c>
      <c r="F3606" s="748">
        <f t="shared" si="295"/>
        <v>0</v>
      </c>
      <c r="G3606" s="1205"/>
      <c r="H3606" s="1055"/>
      <c r="I3606" s="1055"/>
      <c r="J3606" s="1055"/>
      <c r="K3606" s="1205"/>
      <c r="L3606" s="1055"/>
      <c r="M3606" s="1205"/>
      <c r="N3606" s="1054"/>
      <c r="O3606" s="1207"/>
      <c r="Q3606" s="1207"/>
    </row>
    <row r="3607" spans="3:17" s="700" customFormat="1" ht="70.5" hidden="1" customHeight="1">
      <c r="C3607" s="701"/>
      <c r="D3607" s="811"/>
      <c r="E3607" s="1276">
        <f>[11]building!Y3938</f>
        <v>0</v>
      </c>
      <c r="F3607" s="748">
        <f t="shared" si="295"/>
        <v>0</v>
      </c>
      <c r="G3607" s="1205"/>
      <c r="H3607" s="1055"/>
      <c r="I3607" s="1055"/>
      <c r="J3607" s="1055"/>
      <c r="K3607" s="1205"/>
      <c r="L3607" s="1055"/>
      <c r="M3607" s="1205"/>
      <c r="N3607" s="1054"/>
      <c r="O3607" s="1207"/>
      <c r="Q3607" s="1207"/>
    </row>
    <row r="3608" spans="3:17" s="700" customFormat="1" ht="70.5" hidden="1" customHeight="1">
      <c r="C3608" s="701"/>
      <c r="D3608" s="811"/>
      <c r="E3608" s="1276">
        <f>[11]building!Y3939</f>
        <v>0</v>
      </c>
      <c r="F3608" s="748">
        <f t="shared" si="295"/>
        <v>0</v>
      </c>
      <c r="G3608" s="1205"/>
      <c r="H3608" s="1055"/>
      <c r="I3608" s="1055"/>
      <c r="J3608" s="1055"/>
      <c r="K3608" s="1205"/>
      <c r="L3608" s="1055"/>
      <c r="M3608" s="1205"/>
      <c r="N3608" s="1054"/>
      <c r="O3608" s="1207"/>
      <c r="Q3608" s="1207"/>
    </row>
    <row r="3609" spans="3:17" s="700" customFormat="1" ht="70.5" hidden="1" customHeight="1">
      <c r="C3609" s="701"/>
      <c r="D3609" s="811"/>
      <c r="E3609" s="1276">
        <f>[11]building!Y3940</f>
        <v>0</v>
      </c>
      <c r="F3609" s="748">
        <f t="shared" si="295"/>
        <v>0</v>
      </c>
      <c r="G3609" s="1205"/>
      <c r="H3609" s="1055"/>
      <c r="I3609" s="1055"/>
      <c r="J3609" s="1055"/>
      <c r="K3609" s="1205"/>
      <c r="L3609" s="1055"/>
      <c r="M3609" s="1205"/>
      <c r="N3609" s="1054"/>
      <c r="O3609" s="1207"/>
      <c r="Q3609" s="1207"/>
    </row>
    <row r="3610" spans="3:17" s="700" customFormat="1" ht="70.5" hidden="1" customHeight="1">
      <c r="C3610" s="701"/>
      <c r="D3610" s="811"/>
      <c r="E3610" s="1276">
        <f>[11]building!Y3941</f>
        <v>0</v>
      </c>
      <c r="F3610" s="748">
        <f t="shared" si="295"/>
        <v>0</v>
      </c>
      <c r="G3610" s="1205"/>
      <c r="H3610" s="1055"/>
      <c r="I3610" s="1055"/>
      <c r="J3610" s="1055"/>
      <c r="K3610" s="1205"/>
      <c r="L3610" s="1055"/>
      <c r="M3610" s="1205"/>
      <c r="N3610" s="1054"/>
      <c r="O3610" s="1207"/>
      <c r="Q3610" s="1207"/>
    </row>
    <row r="3611" spans="3:17" s="700" customFormat="1" ht="70.5" hidden="1" customHeight="1">
      <c r="C3611" s="701"/>
      <c r="D3611" s="811"/>
      <c r="E3611" s="1276">
        <f>[11]building!Y3942</f>
        <v>0</v>
      </c>
      <c r="F3611" s="748">
        <f t="shared" si="295"/>
        <v>0</v>
      </c>
      <c r="G3611" s="1205"/>
      <c r="H3611" s="1055"/>
      <c r="I3611" s="1055"/>
      <c r="J3611" s="1055"/>
      <c r="K3611" s="1205"/>
      <c r="L3611" s="1055"/>
      <c r="M3611" s="1205"/>
      <c r="N3611" s="1054"/>
      <c r="O3611" s="1207"/>
      <c r="Q3611" s="1207"/>
    </row>
    <row r="3612" spans="3:17" s="700" customFormat="1" ht="70.5" hidden="1" customHeight="1">
      <c r="C3612" s="701"/>
      <c r="D3612" s="811"/>
      <c r="E3612" s="1276">
        <f>[11]building!Y3943</f>
        <v>0</v>
      </c>
      <c r="F3612" s="748">
        <f t="shared" si="295"/>
        <v>0</v>
      </c>
      <c r="G3612" s="1205"/>
      <c r="H3612" s="1055"/>
      <c r="I3612" s="1055"/>
      <c r="J3612" s="1055"/>
      <c r="K3612" s="1205"/>
      <c r="L3612" s="1055"/>
      <c r="M3612" s="1205"/>
      <c r="N3612" s="1054"/>
      <c r="O3612" s="1207"/>
      <c r="Q3612" s="1207"/>
    </row>
    <row r="3613" spans="3:17" s="700" customFormat="1" ht="70.5" hidden="1" customHeight="1">
      <c r="C3613" s="701"/>
      <c r="D3613" s="811"/>
      <c r="E3613" s="1276">
        <f>[11]building!Y3944</f>
        <v>0</v>
      </c>
      <c r="F3613" s="748">
        <f t="shared" si="295"/>
        <v>0</v>
      </c>
      <c r="G3613" s="1205"/>
      <c r="H3613" s="1055"/>
      <c r="I3613" s="1055"/>
      <c r="J3613" s="1055"/>
      <c r="K3613" s="1205"/>
      <c r="L3613" s="1055"/>
      <c r="M3613" s="1205"/>
      <c r="N3613" s="1054"/>
      <c r="O3613" s="1207"/>
      <c r="Q3613" s="1207"/>
    </row>
    <row r="3614" spans="3:17" s="700" customFormat="1" ht="70.5" hidden="1" customHeight="1">
      <c r="C3614" s="701"/>
      <c r="D3614" s="811"/>
      <c r="E3614" s="1276">
        <f>[11]building!Y3945</f>
        <v>0</v>
      </c>
      <c r="F3614" s="748">
        <f t="shared" si="295"/>
        <v>0</v>
      </c>
      <c r="G3614" s="1205"/>
      <c r="H3614" s="1055"/>
      <c r="I3614" s="1055"/>
      <c r="J3614" s="1055"/>
      <c r="K3614" s="1205"/>
      <c r="L3614" s="1055"/>
      <c r="M3614" s="1205"/>
      <c r="N3614" s="1054"/>
      <c r="O3614" s="1207"/>
      <c r="Q3614" s="1207"/>
    </row>
    <row r="3615" spans="3:17" s="700" customFormat="1" ht="70.5" hidden="1" customHeight="1">
      <c r="C3615" s="701"/>
      <c r="D3615" s="811"/>
      <c r="E3615" s="1276">
        <f>[11]building!Y3946</f>
        <v>0</v>
      </c>
      <c r="F3615" s="748">
        <f t="shared" si="295"/>
        <v>0</v>
      </c>
      <c r="G3615" s="1205"/>
      <c r="H3615" s="1055"/>
      <c r="I3615" s="1055"/>
      <c r="J3615" s="1055"/>
      <c r="K3615" s="1205"/>
      <c r="L3615" s="1055"/>
      <c r="M3615" s="1205"/>
      <c r="N3615" s="1054"/>
      <c r="O3615" s="1207"/>
      <c r="Q3615" s="1207"/>
    </row>
    <row r="3616" spans="3:17" s="700" customFormat="1" ht="70.5" hidden="1" customHeight="1">
      <c r="C3616" s="701"/>
      <c r="D3616" s="811"/>
      <c r="E3616" s="1276">
        <f>[11]building!Y3947</f>
        <v>0</v>
      </c>
      <c r="F3616" s="748">
        <f t="shared" si="295"/>
        <v>0</v>
      </c>
      <c r="G3616" s="1205"/>
      <c r="H3616" s="1055"/>
      <c r="I3616" s="1055"/>
      <c r="J3616" s="1055"/>
      <c r="K3616" s="1205"/>
      <c r="L3616" s="1055"/>
      <c r="M3616" s="1205"/>
      <c r="N3616" s="1054"/>
      <c r="O3616" s="1207"/>
      <c r="Q3616" s="1207"/>
    </row>
    <row r="3617" spans="3:17" s="700" customFormat="1" ht="70.5" hidden="1" customHeight="1">
      <c r="C3617" s="701"/>
      <c r="D3617" s="811"/>
      <c r="E3617" s="1276">
        <f>[11]building!Y3948</f>
        <v>0</v>
      </c>
      <c r="F3617" s="748">
        <f t="shared" si="295"/>
        <v>0</v>
      </c>
      <c r="G3617" s="1205"/>
      <c r="H3617" s="1055"/>
      <c r="I3617" s="1055"/>
      <c r="J3617" s="1055"/>
      <c r="K3617" s="1205"/>
      <c r="L3617" s="1055"/>
      <c r="M3617" s="1205"/>
      <c r="N3617" s="1054"/>
      <c r="O3617" s="1207"/>
      <c r="Q3617" s="1207"/>
    </row>
    <row r="3618" spans="3:17" s="700" customFormat="1" ht="70.5" hidden="1" customHeight="1">
      <c r="C3618" s="701"/>
      <c r="D3618" s="811"/>
      <c r="E3618" s="1276">
        <f>[11]building!Y3949</f>
        <v>0</v>
      </c>
      <c r="F3618" s="748">
        <f t="shared" si="295"/>
        <v>0</v>
      </c>
      <c r="G3618" s="1205"/>
      <c r="H3618" s="1055"/>
      <c r="I3618" s="1055"/>
      <c r="J3618" s="1055"/>
      <c r="K3618" s="1205"/>
      <c r="L3618" s="1055"/>
      <c r="M3618" s="1205"/>
      <c r="N3618" s="1054"/>
      <c r="O3618" s="1207"/>
      <c r="Q3618" s="1207"/>
    </row>
    <row r="3619" spans="3:17" s="700" customFormat="1" ht="70.5" hidden="1" customHeight="1">
      <c r="C3619" s="701"/>
      <c r="D3619" s="811"/>
      <c r="E3619" s="1276">
        <f>[11]building!Y3950</f>
        <v>0</v>
      </c>
      <c r="F3619" s="748">
        <f t="shared" si="295"/>
        <v>0</v>
      </c>
      <c r="G3619" s="1205"/>
      <c r="H3619" s="1055"/>
      <c r="I3619" s="1055"/>
      <c r="J3619" s="1055"/>
      <c r="K3619" s="1205"/>
      <c r="L3619" s="1055"/>
      <c r="M3619" s="1205"/>
      <c r="N3619" s="1054"/>
      <c r="O3619" s="1207"/>
      <c r="Q3619" s="1207"/>
    </row>
    <row r="3620" spans="3:17" s="700" customFormat="1" ht="70.5" hidden="1" customHeight="1">
      <c r="C3620" s="701"/>
      <c r="D3620" s="811"/>
      <c r="E3620" s="1276">
        <f>[11]building!Y3951</f>
        <v>0</v>
      </c>
      <c r="F3620" s="748">
        <f t="shared" si="295"/>
        <v>0</v>
      </c>
      <c r="G3620" s="1205"/>
      <c r="H3620" s="1055"/>
      <c r="I3620" s="1055"/>
      <c r="J3620" s="1055"/>
      <c r="K3620" s="1205"/>
      <c r="L3620" s="1055"/>
      <c r="M3620" s="1205"/>
      <c r="N3620" s="1054"/>
      <c r="O3620" s="1207"/>
      <c r="Q3620" s="1207"/>
    </row>
    <row r="3621" spans="3:17" s="700" customFormat="1" ht="70.5" hidden="1" customHeight="1">
      <c r="C3621" s="701"/>
      <c r="D3621" s="811"/>
      <c r="E3621" s="1276">
        <f>[11]building!Y3952</f>
        <v>0</v>
      </c>
      <c r="F3621" s="748">
        <f t="shared" si="295"/>
        <v>0</v>
      </c>
      <c r="G3621" s="1205"/>
      <c r="H3621" s="1055"/>
      <c r="I3621" s="1055"/>
      <c r="J3621" s="1055"/>
      <c r="K3621" s="1205"/>
      <c r="L3621" s="1055"/>
      <c r="M3621" s="1205"/>
      <c r="N3621" s="1054"/>
      <c r="O3621" s="1207"/>
      <c r="Q3621" s="1207"/>
    </row>
    <row r="3622" spans="3:17" s="700" customFormat="1" ht="70.5" hidden="1" customHeight="1">
      <c r="C3622" s="701"/>
      <c r="D3622" s="811"/>
      <c r="E3622" s="1276">
        <f>[11]building!Y3953</f>
        <v>0</v>
      </c>
      <c r="F3622" s="748">
        <f t="shared" si="295"/>
        <v>0</v>
      </c>
      <c r="G3622" s="1205"/>
      <c r="H3622" s="1055"/>
      <c r="I3622" s="1055"/>
      <c r="J3622" s="1055"/>
      <c r="K3622" s="1205"/>
      <c r="L3622" s="1055"/>
      <c r="M3622" s="1205"/>
      <c r="N3622" s="1054"/>
      <c r="O3622" s="1207"/>
      <c r="Q3622" s="1207"/>
    </row>
    <row r="3623" spans="3:17" s="700" customFormat="1" ht="70.5" hidden="1" customHeight="1">
      <c r="C3623" s="701"/>
      <c r="D3623" s="811"/>
      <c r="E3623" s="1276">
        <f>[11]building!Y3954</f>
        <v>0</v>
      </c>
      <c r="F3623" s="748">
        <f t="shared" si="295"/>
        <v>0</v>
      </c>
      <c r="G3623" s="1205"/>
      <c r="H3623" s="1055"/>
      <c r="I3623" s="1055"/>
      <c r="J3623" s="1055"/>
      <c r="K3623" s="1205"/>
      <c r="L3623" s="1055"/>
      <c r="M3623" s="1205"/>
      <c r="N3623" s="1054"/>
      <c r="O3623" s="1207"/>
      <c r="Q3623" s="1207"/>
    </row>
    <row r="3624" spans="3:17" s="700" customFormat="1" ht="70.5" hidden="1" customHeight="1">
      <c r="C3624" s="701"/>
      <c r="D3624" s="811"/>
      <c r="E3624" s="1276">
        <f>[11]building!Y3955</f>
        <v>0</v>
      </c>
      <c r="F3624" s="748">
        <f t="shared" si="295"/>
        <v>0</v>
      </c>
      <c r="G3624" s="1205"/>
      <c r="H3624" s="1055"/>
      <c r="I3624" s="1055"/>
      <c r="J3624" s="1055"/>
      <c r="K3624" s="1205"/>
      <c r="L3624" s="1055"/>
      <c r="M3624" s="1205"/>
      <c r="N3624" s="1054"/>
      <c r="O3624" s="1207"/>
      <c r="Q3624" s="1207"/>
    </row>
    <row r="3625" spans="3:17" s="700" customFormat="1" ht="70.5" hidden="1" customHeight="1">
      <c r="C3625" s="701"/>
      <c r="D3625" s="811"/>
      <c r="E3625" s="1276">
        <f>[11]building!Y3956</f>
        <v>0</v>
      </c>
      <c r="F3625" s="748">
        <f t="shared" si="295"/>
        <v>0</v>
      </c>
      <c r="G3625" s="1205"/>
      <c r="H3625" s="1055"/>
      <c r="I3625" s="1055"/>
      <c r="J3625" s="1055"/>
      <c r="K3625" s="1205"/>
      <c r="L3625" s="1055"/>
      <c r="M3625" s="1205"/>
      <c r="N3625" s="1054"/>
      <c r="O3625" s="1207"/>
      <c r="Q3625" s="1207"/>
    </row>
    <row r="3626" spans="3:17" s="700" customFormat="1" ht="70.5" hidden="1" customHeight="1">
      <c r="C3626" s="701"/>
      <c r="D3626" s="811"/>
      <c r="E3626" s="1276">
        <f>[11]building!Y3957</f>
        <v>0</v>
      </c>
      <c r="F3626" s="748">
        <f t="shared" si="295"/>
        <v>0</v>
      </c>
      <c r="G3626" s="1205"/>
      <c r="H3626" s="1055"/>
      <c r="I3626" s="1055"/>
      <c r="J3626" s="1055"/>
      <c r="K3626" s="1205"/>
      <c r="L3626" s="1055"/>
      <c r="M3626" s="1205"/>
      <c r="N3626" s="1054"/>
      <c r="O3626" s="1207"/>
      <c r="Q3626" s="1207"/>
    </row>
    <row r="3627" spans="3:17" s="700" customFormat="1" ht="70.5" hidden="1" customHeight="1">
      <c r="C3627" s="701"/>
      <c r="D3627" s="811"/>
      <c r="E3627" s="1276">
        <f>[11]building!Y3958</f>
        <v>0</v>
      </c>
      <c r="F3627" s="748">
        <f t="shared" si="295"/>
        <v>0</v>
      </c>
      <c r="G3627" s="1205"/>
      <c r="H3627" s="1055"/>
      <c r="I3627" s="1055"/>
      <c r="J3627" s="1055"/>
      <c r="K3627" s="1205"/>
      <c r="L3627" s="1055"/>
      <c r="M3627" s="1205"/>
      <c r="N3627" s="1054"/>
      <c r="O3627" s="1207"/>
      <c r="Q3627" s="1207"/>
    </row>
    <row r="3628" spans="3:17" s="700" customFormat="1" ht="70.5" hidden="1" customHeight="1">
      <c r="C3628" s="701"/>
      <c r="D3628" s="811"/>
      <c r="E3628" s="1276">
        <f>[11]building!Y3959</f>
        <v>0</v>
      </c>
      <c r="F3628" s="748">
        <f t="shared" si="295"/>
        <v>0</v>
      </c>
      <c r="G3628" s="1205"/>
      <c r="H3628" s="1055"/>
      <c r="I3628" s="1055"/>
      <c r="J3628" s="1055"/>
      <c r="K3628" s="1205"/>
      <c r="L3628" s="1055"/>
      <c r="M3628" s="1205"/>
      <c r="N3628" s="1054"/>
      <c r="O3628" s="1207"/>
      <c r="Q3628" s="1207"/>
    </row>
    <row r="3629" spans="3:17" s="700" customFormat="1" ht="70.5" hidden="1" customHeight="1">
      <c r="C3629" s="701"/>
      <c r="D3629" s="811"/>
      <c r="E3629" s="1276">
        <f>[11]building!Y3960</f>
        <v>0</v>
      </c>
      <c r="F3629" s="748">
        <f t="shared" si="295"/>
        <v>0</v>
      </c>
      <c r="G3629" s="1205"/>
      <c r="H3629" s="1055"/>
      <c r="I3629" s="1055"/>
      <c r="J3629" s="1055"/>
      <c r="K3629" s="1205"/>
      <c r="L3629" s="1055"/>
      <c r="M3629" s="1205"/>
      <c r="N3629" s="1054"/>
      <c r="O3629" s="1207"/>
      <c r="Q3629" s="1207"/>
    </row>
    <row r="3630" spans="3:17" s="700" customFormat="1" ht="70.5" hidden="1" customHeight="1">
      <c r="C3630" s="701"/>
      <c r="D3630" s="811"/>
      <c r="E3630" s="1276">
        <f>[11]building!Y3961</f>
        <v>0</v>
      </c>
      <c r="F3630" s="748">
        <f t="shared" si="295"/>
        <v>0</v>
      </c>
      <c r="G3630" s="1205"/>
      <c r="H3630" s="1055"/>
      <c r="I3630" s="1055"/>
      <c r="J3630" s="1055"/>
      <c r="K3630" s="1205"/>
      <c r="L3630" s="1055"/>
      <c r="M3630" s="1205"/>
      <c r="N3630" s="1054"/>
      <c r="O3630" s="1207"/>
      <c r="Q3630" s="1207"/>
    </row>
    <row r="3631" spans="3:17" s="700" customFormat="1" ht="70.5" hidden="1" customHeight="1">
      <c r="C3631" s="701"/>
      <c r="D3631" s="811"/>
      <c r="E3631" s="1276">
        <f>[11]building!Y3962</f>
        <v>0</v>
      </c>
      <c r="F3631" s="748">
        <f t="shared" si="295"/>
        <v>0</v>
      </c>
      <c r="G3631" s="1205"/>
      <c r="H3631" s="1055"/>
      <c r="I3631" s="1055"/>
      <c r="J3631" s="1055"/>
      <c r="K3631" s="1205"/>
      <c r="L3631" s="1055"/>
      <c r="M3631" s="1205"/>
      <c r="N3631" s="1054"/>
      <c r="O3631" s="1207"/>
      <c r="Q3631" s="1207"/>
    </row>
    <row r="3632" spans="3:17" s="700" customFormat="1" ht="70.5" hidden="1" customHeight="1">
      <c r="C3632" s="701"/>
      <c r="D3632" s="811"/>
      <c r="E3632" s="1276">
        <f>[11]building!Y3963</f>
        <v>0</v>
      </c>
      <c r="F3632" s="748">
        <f t="shared" si="295"/>
        <v>0</v>
      </c>
      <c r="G3632" s="1205"/>
      <c r="H3632" s="1055"/>
      <c r="I3632" s="1055"/>
      <c r="J3632" s="1055"/>
      <c r="K3632" s="1205"/>
      <c r="L3632" s="1055"/>
      <c r="M3632" s="1205"/>
      <c r="N3632" s="1054"/>
      <c r="O3632" s="1207"/>
      <c r="Q3632" s="1207"/>
    </row>
    <row r="3633" spans="3:17" s="700" customFormat="1" ht="70.5" hidden="1" customHeight="1">
      <c r="C3633" s="701"/>
      <c r="D3633" s="811"/>
      <c r="E3633" s="1276">
        <f>[11]building!Y3964</f>
        <v>0</v>
      </c>
      <c r="F3633" s="748">
        <f t="shared" si="295"/>
        <v>0</v>
      </c>
      <c r="G3633" s="1205"/>
      <c r="H3633" s="1055"/>
      <c r="I3633" s="1055"/>
      <c r="J3633" s="1055"/>
      <c r="K3633" s="1205"/>
      <c r="L3633" s="1055"/>
      <c r="M3633" s="1205"/>
      <c r="N3633" s="1054"/>
      <c r="O3633" s="1207"/>
      <c r="Q3633" s="1207"/>
    </row>
    <row r="3634" spans="3:17" s="700" customFormat="1" ht="70.5" hidden="1" customHeight="1">
      <c r="C3634" s="701"/>
      <c r="D3634" s="811"/>
      <c r="E3634" s="1276">
        <f>[11]building!Y3965</f>
        <v>0</v>
      </c>
      <c r="F3634" s="748">
        <f t="shared" si="295"/>
        <v>0</v>
      </c>
      <c r="G3634" s="1205"/>
      <c r="H3634" s="1055"/>
      <c r="I3634" s="1055"/>
      <c r="J3634" s="1055"/>
      <c r="K3634" s="1205"/>
      <c r="L3634" s="1055"/>
      <c r="M3634" s="1205"/>
      <c r="N3634" s="1054"/>
      <c r="O3634" s="1207"/>
      <c r="Q3634" s="1207"/>
    </row>
    <row r="3635" spans="3:17" s="700" customFormat="1" ht="70.5" hidden="1" customHeight="1">
      <c r="C3635" s="701"/>
      <c r="D3635" s="811"/>
      <c r="E3635" s="1276">
        <f>[11]building!Y3966</f>
        <v>0</v>
      </c>
      <c r="F3635" s="748">
        <f t="shared" si="295"/>
        <v>0</v>
      </c>
      <c r="G3635" s="1205"/>
      <c r="H3635" s="1055"/>
      <c r="I3635" s="1055"/>
      <c r="J3635" s="1055"/>
      <c r="K3635" s="1205"/>
      <c r="L3635" s="1055"/>
      <c r="M3635" s="1205"/>
      <c r="N3635" s="1054"/>
      <c r="O3635" s="1207"/>
      <c r="Q3635" s="1207"/>
    </row>
    <row r="3636" spans="3:17" s="700" customFormat="1" ht="70.5" hidden="1" customHeight="1">
      <c r="C3636" s="701"/>
      <c r="D3636" s="811"/>
      <c r="E3636" s="1276">
        <f>[11]building!Y3967</f>
        <v>0</v>
      </c>
      <c r="F3636" s="748">
        <f t="shared" si="295"/>
        <v>0</v>
      </c>
      <c r="G3636" s="1205"/>
      <c r="H3636" s="1055"/>
      <c r="I3636" s="1055"/>
      <c r="J3636" s="1055"/>
      <c r="K3636" s="1205"/>
      <c r="L3636" s="1055"/>
      <c r="M3636" s="1205"/>
      <c r="N3636" s="1054"/>
      <c r="O3636" s="1207"/>
      <c r="Q3636" s="1207"/>
    </row>
    <row r="3637" spans="3:17" s="700" customFormat="1" ht="70.5" hidden="1" customHeight="1">
      <c r="C3637" s="701"/>
      <c r="D3637" s="811"/>
      <c r="E3637" s="1276">
        <f>[11]building!Y3968</f>
        <v>0</v>
      </c>
      <c r="F3637" s="748">
        <f t="shared" si="295"/>
        <v>0</v>
      </c>
      <c r="G3637" s="1205"/>
      <c r="H3637" s="1055"/>
      <c r="I3637" s="1055"/>
      <c r="J3637" s="1055"/>
      <c r="K3637" s="1205"/>
      <c r="L3637" s="1055"/>
      <c r="M3637" s="1205"/>
      <c r="N3637" s="1054"/>
      <c r="O3637" s="1207"/>
      <c r="Q3637" s="1207"/>
    </row>
    <row r="3638" spans="3:17" s="700" customFormat="1" ht="70.5" hidden="1" customHeight="1">
      <c r="C3638" s="701"/>
      <c r="D3638" s="811"/>
      <c r="E3638" s="1276">
        <f>[11]building!Y3969</f>
        <v>0</v>
      </c>
      <c r="F3638" s="748">
        <f t="shared" si="295"/>
        <v>0</v>
      </c>
      <c r="G3638" s="1205"/>
      <c r="H3638" s="1055"/>
      <c r="I3638" s="1055"/>
      <c r="J3638" s="1055"/>
      <c r="K3638" s="1205"/>
      <c r="L3638" s="1055"/>
      <c r="M3638" s="1205"/>
      <c r="N3638" s="1054"/>
      <c r="O3638" s="1207"/>
      <c r="Q3638" s="1207"/>
    </row>
    <row r="3639" spans="3:17" s="700" customFormat="1" ht="70.5" hidden="1" customHeight="1">
      <c r="C3639" s="701"/>
      <c r="D3639" s="811"/>
      <c r="E3639" s="1276">
        <f>[11]building!Y3970</f>
        <v>0</v>
      </c>
      <c r="F3639" s="748">
        <f t="shared" si="295"/>
        <v>0</v>
      </c>
      <c r="G3639" s="1205"/>
      <c r="H3639" s="1055"/>
      <c r="I3639" s="1055"/>
      <c r="J3639" s="1055"/>
      <c r="K3639" s="1205"/>
      <c r="L3639" s="1055"/>
      <c r="M3639" s="1205"/>
      <c r="N3639" s="1054"/>
      <c r="O3639" s="1207"/>
      <c r="Q3639" s="1207"/>
    </row>
    <row r="3640" spans="3:17" s="700" customFormat="1" ht="70.5" hidden="1" customHeight="1">
      <c r="C3640" s="701"/>
      <c r="D3640" s="811"/>
      <c r="E3640" s="1276">
        <f>[11]building!Y3971</f>
        <v>0</v>
      </c>
      <c r="F3640" s="748">
        <f t="shared" si="295"/>
        <v>0</v>
      </c>
      <c r="G3640" s="1205"/>
      <c r="H3640" s="1055"/>
      <c r="I3640" s="1055"/>
      <c r="J3640" s="1055"/>
      <c r="K3640" s="1205"/>
      <c r="L3640" s="1055"/>
      <c r="M3640" s="1205"/>
      <c r="N3640" s="1054"/>
      <c r="O3640" s="1207"/>
      <c r="Q3640" s="1207"/>
    </row>
    <row r="3641" spans="3:17" s="700" customFormat="1" ht="70.5" hidden="1" customHeight="1">
      <c r="C3641" s="701"/>
      <c r="D3641" s="811"/>
      <c r="E3641" s="1276">
        <f>[11]building!Y3972</f>
        <v>0</v>
      </c>
      <c r="F3641" s="748">
        <f t="shared" si="295"/>
        <v>0</v>
      </c>
      <c r="G3641" s="1205"/>
      <c r="H3641" s="1055"/>
      <c r="I3641" s="1055"/>
      <c r="J3641" s="1055"/>
      <c r="K3641" s="1205"/>
      <c r="L3641" s="1055"/>
      <c r="M3641" s="1205"/>
      <c r="N3641" s="1054"/>
      <c r="O3641" s="1207"/>
      <c r="Q3641" s="1207"/>
    </row>
    <row r="3642" spans="3:17" s="700" customFormat="1" ht="70.5" hidden="1" customHeight="1">
      <c r="C3642" s="701"/>
      <c r="D3642" s="811"/>
      <c r="E3642" s="1276">
        <f>[11]building!Y3973</f>
        <v>0</v>
      </c>
      <c r="F3642" s="748">
        <f t="shared" si="295"/>
        <v>0</v>
      </c>
      <c r="G3642" s="1205"/>
      <c r="H3642" s="1055"/>
      <c r="I3642" s="1055"/>
      <c r="J3642" s="1055"/>
      <c r="K3642" s="1205"/>
      <c r="L3642" s="1055"/>
      <c r="M3642" s="1205"/>
      <c r="N3642" s="1054"/>
      <c r="O3642" s="1207"/>
      <c r="Q3642" s="1207"/>
    </row>
    <row r="3643" spans="3:17" s="700" customFormat="1" ht="70.5" hidden="1" customHeight="1">
      <c r="C3643" s="701"/>
      <c r="D3643" s="811"/>
      <c r="E3643" s="1276">
        <f>[11]building!Y3974</f>
        <v>0</v>
      </c>
      <c r="F3643" s="748">
        <f t="shared" si="295"/>
        <v>0</v>
      </c>
      <c r="G3643" s="1205"/>
      <c r="H3643" s="1055"/>
      <c r="I3643" s="1055"/>
      <c r="J3643" s="1055"/>
      <c r="K3643" s="1205"/>
      <c r="L3643" s="1055"/>
      <c r="M3643" s="1205"/>
      <c r="N3643" s="1054"/>
      <c r="O3643" s="1207"/>
      <c r="Q3643" s="1207"/>
    </row>
    <row r="3644" spans="3:17" s="700" customFormat="1" ht="70.5" hidden="1" customHeight="1">
      <c r="C3644" s="701"/>
      <c r="D3644" s="811"/>
      <c r="E3644" s="1276">
        <f>[11]building!Y3975</f>
        <v>0</v>
      </c>
      <c r="F3644" s="748">
        <f t="shared" si="295"/>
        <v>0</v>
      </c>
      <c r="G3644" s="1205"/>
      <c r="H3644" s="1055"/>
      <c r="I3644" s="1055"/>
      <c r="J3644" s="1055"/>
      <c r="K3644" s="1205"/>
      <c r="L3644" s="1055"/>
      <c r="M3644" s="1205"/>
      <c r="N3644" s="1054"/>
      <c r="O3644" s="1207"/>
      <c r="Q3644" s="1207"/>
    </row>
    <row r="3645" spans="3:17" s="700" customFormat="1" ht="70.5" hidden="1" customHeight="1">
      <c r="C3645" s="701"/>
      <c r="D3645" s="811"/>
      <c r="E3645" s="1276">
        <f>[11]building!Y3976</f>
        <v>0</v>
      </c>
      <c r="F3645" s="748">
        <f t="shared" si="295"/>
        <v>0</v>
      </c>
      <c r="G3645" s="1205"/>
      <c r="H3645" s="1055"/>
      <c r="I3645" s="1055"/>
      <c r="J3645" s="1055"/>
      <c r="K3645" s="1205"/>
      <c r="L3645" s="1055"/>
      <c r="M3645" s="1205"/>
      <c r="N3645" s="1054"/>
      <c r="O3645" s="1207"/>
      <c r="Q3645" s="1207"/>
    </row>
    <row r="3646" spans="3:17" s="700" customFormat="1" ht="70.5" hidden="1" customHeight="1">
      <c r="C3646" s="701"/>
      <c r="D3646" s="811"/>
      <c r="E3646" s="1276">
        <f>[11]building!Y3977</f>
        <v>0</v>
      </c>
      <c r="F3646" s="748">
        <f t="shared" si="295"/>
        <v>0</v>
      </c>
      <c r="G3646" s="1205"/>
      <c r="H3646" s="1055"/>
      <c r="I3646" s="1055"/>
      <c r="J3646" s="1055"/>
      <c r="K3646" s="1205"/>
      <c r="L3646" s="1055"/>
      <c r="M3646" s="1205"/>
      <c r="N3646" s="1054"/>
      <c r="O3646" s="1207"/>
      <c r="Q3646" s="1207"/>
    </row>
    <row r="3647" spans="3:17" s="700" customFormat="1" ht="70.5" hidden="1" customHeight="1">
      <c r="C3647" s="701"/>
      <c r="D3647" s="811"/>
      <c r="E3647" s="1276">
        <f>[11]building!Y3978</f>
        <v>0</v>
      </c>
      <c r="F3647" s="748">
        <f t="shared" si="295"/>
        <v>0</v>
      </c>
      <c r="G3647" s="1205"/>
      <c r="H3647" s="1055"/>
      <c r="I3647" s="1055"/>
      <c r="J3647" s="1055"/>
      <c r="K3647" s="1205"/>
      <c r="L3647" s="1055"/>
      <c r="M3647" s="1205"/>
      <c r="N3647" s="1054"/>
      <c r="O3647" s="1207"/>
      <c r="Q3647" s="1207"/>
    </row>
    <row r="3648" spans="3:17" s="700" customFormat="1" ht="70.5" hidden="1" customHeight="1">
      <c r="C3648" s="701"/>
      <c r="D3648" s="811"/>
      <c r="E3648" s="1276">
        <f>[11]building!Y3979</f>
        <v>0</v>
      </c>
      <c r="F3648" s="748">
        <f t="shared" ref="F3648:F3711" si="296">E3648*C3648</f>
        <v>0</v>
      </c>
      <c r="G3648" s="1205"/>
      <c r="H3648" s="1055"/>
      <c r="I3648" s="1055"/>
      <c r="J3648" s="1055"/>
      <c r="K3648" s="1205"/>
      <c r="L3648" s="1055"/>
      <c r="M3648" s="1205"/>
      <c r="N3648" s="1054"/>
      <c r="O3648" s="1207"/>
      <c r="Q3648" s="1207"/>
    </row>
    <row r="3649" spans="3:17" s="700" customFormat="1" ht="70.5" hidden="1" customHeight="1">
      <c r="C3649" s="701"/>
      <c r="D3649" s="811"/>
      <c r="E3649" s="1276">
        <f>[11]building!Y3980</f>
        <v>0</v>
      </c>
      <c r="F3649" s="748">
        <f t="shared" si="296"/>
        <v>0</v>
      </c>
      <c r="G3649" s="1205"/>
      <c r="H3649" s="1055"/>
      <c r="I3649" s="1055"/>
      <c r="J3649" s="1055"/>
      <c r="K3649" s="1205"/>
      <c r="L3649" s="1055"/>
      <c r="M3649" s="1205"/>
      <c r="N3649" s="1054"/>
      <c r="O3649" s="1207"/>
      <c r="Q3649" s="1207"/>
    </row>
    <row r="3650" spans="3:17" s="700" customFormat="1" ht="70.5" hidden="1" customHeight="1">
      <c r="C3650" s="701"/>
      <c r="D3650" s="811"/>
      <c r="E3650" s="1276">
        <f>[11]building!Y3981</f>
        <v>0</v>
      </c>
      <c r="F3650" s="748">
        <f t="shared" si="296"/>
        <v>0</v>
      </c>
      <c r="G3650" s="1205"/>
      <c r="H3650" s="1055"/>
      <c r="I3650" s="1055"/>
      <c r="J3650" s="1055"/>
      <c r="K3650" s="1205"/>
      <c r="L3650" s="1055"/>
      <c r="M3650" s="1205"/>
      <c r="N3650" s="1054"/>
      <c r="O3650" s="1207"/>
      <c r="Q3650" s="1207"/>
    </row>
    <row r="3651" spans="3:17" s="700" customFormat="1" ht="70.5" hidden="1" customHeight="1">
      <c r="C3651" s="701"/>
      <c r="D3651" s="811"/>
      <c r="E3651" s="1276">
        <f>[11]building!Y3982</f>
        <v>0</v>
      </c>
      <c r="F3651" s="748">
        <f t="shared" si="296"/>
        <v>0</v>
      </c>
      <c r="G3651" s="1205"/>
      <c r="H3651" s="1055"/>
      <c r="I3651" s="1055"/>
      <c r="J3651" s="1055"/>
      <c r="K3651" s="1205"/>
      <c r="L3651" s="1055"/>
      <c r="M3651" s="1205"/>
      <c r="N3651" s="1054"/>
      <c r="O3651" s="1207"/>
      <c r="Q3651" s="1207"/>
    </row>
    <row r="3652" spans="3:17" s="700" customFormat="1" ht="70.5" hidden="1" customHeight="1">
      <c r="C3652" s="701"/>
      <c r="D3652" s="811"/>
      <c r="E3652" s="1276">
        <f>[11]building!Y3983</f>
        <v>0</v>
      </c>
      <c r="F3652" s="748">
        <f t="shared" si="296"/>
        <v>0</v>
      </c>
      <c r="G3652" s="1205"/>
      <c r="H3652" s="1055"/>
      <c r="I3652" s="1055"/>
      <c r="J3652" s="1055"/>
      <c r="K3652" s="1205"/>
      <c r="L3652" s="1055"/>
      <c r="M3652" s="1205"/>
      <c r="N3652" s="1054"/>
      <c r="O3652" s="1207"/>
      <c r="Q3652" s="1207"/>
    </row>
    <row r="3653" spans="3:17" s="700" customFormat="1" ht="70.5" hidden="1" customHeight="1">
      <c r="C3653" s="701"/>
      <c r="D3653" s="811"/>
      <c r="E3653" s="1276">
        <f>[11]building!Y3984</f>
        <v>0</v>
      </c>
      <c r="F3653" s="748">
        <f t="shared" si="296"/>
        <v>0</v>
      </c>
      <c r="G3653" s="1205"/>
      <c r="H3653" s="1055"/>
      <c r="I3653" s="1055"/>
      <c r="J3653" s="1055"/>
      <c r="K3653" s="1205"/>
      <c r="L3653" s="1055"/>
      <c r="M3653" s="1205"/>
      <c r="N3653" s="1054"/>
      <c r="O3653" s="1207"/>
      <c r="Q3653" s="1207"/>
    </row>
    <row r="3654" spans="3:17" s="700" customFormat="1" ht="70.5" hidden="1" customHeight="1">
      <c r="C3654" s="701"/>
      <c r="D3654" s="811"/>
      <c r="E3654" s="1276">
        <f>[11]building!Y3985</f>
        <v>0</v>
      </c>
      <c r="F3654" s="748">
        <f t="shared" si="296"/>
        <v>0</v>
      </c>
      <c r="G3654" s="1205"/>
      <c r="H3654" s="1055"/>
      <c r="I3654" s="1055"/>
      <c r="J3654" s="1055"/>
      <c r="K3654" s="1205"/>
      <c r="L3654" s="1055"/>
      <c r="M3654" s="1205"/>
      <c r="N3654" s="1054"/>
      <c r="O3654" s="1207"/>
      <c r="Q3654" s="1207"/>
    </row>
    <row r="3655" spans="3:17" s="700" customFormat="1" ht="70.5" hidden="1" customHeight="1">
      <c r="C3655" s="701"/>
      <c r="D3655" s="811"/>
      <c r="E3655" s="1276">
        <f>[11]building!Y3986</f>
        <v>0</v>
      </c>
      <c r="F3655" s="748">
        <f t="shared" si="296"/>
        <v>0</v>
      </c>
      <c r="G3655" s="1205"/>
      <c r="H3655" s="1055"/>
      <c r="I3655" s="1055"/>
      <c r="J3655" s="1055"/>
      <c r="K3655" s="1205"/>
      <c r="L3655" s="1055"/>
      <c r="M3655" s="1205"/>
      <c r="N3655" s="1054"/>
      <c r="O3655" s="1207"/>
      <c r="Q3655" s="1207"/>
    </row>
    <row r="3656" spans="3:17" s="700" customFormat="1" ht="70.5" hidden="1" customHeight="1">
      <c r="C3656" s="701"/>
      <c r="D3656" s="811"/>
      <c r="E3656" s="1276">
        <f>[11]building!Y3987</f>
        <v>0</v>
      </c>
      <c r="F3656" s="748">
        <f t="shared" si="296"/>
        <v>0</v>
      </c>
      <c r="G3656" s="1205"/>
      <c r="H3656" s="1055"/>
      <c r="I3656" s="1055"/>
      <c r="J3656" s="1055"/>
      <c r="K3656" s="1205"/>
      <c r="L3656" s="1055"/>
      <c r="M3656" s="1205"/>
      <c r="N3656" s="1054"/>
      <c r="O3656" s="1207"/>
      <c r="Q3656" s="1207"/>
    </row>
    <row r="3657" spans="3:17" s="700" customFormat="1" ht="70.5" hidden="1" customHeight="1">
      <c r="C3657" s="701"/>
      <c r="D3657" s="811"/>
      <c r="E3657" s="1276">
        <f>[11]building!Y3988</f>
        <v>0</v>
      </c>
      <c r="F3657" s="748">
        <f t="shared" si="296"/>
        <v>0</v>
      </c>
      <c r="G3657" s="1205"/>
      <c r="H3657" s="1055"/>
      <c r="I3657" s="1055"/>
      <c r="J3657" s="1055"/>
      <c r="K3657" s="1205"/>
      <c r="L3657" s="1055"/>
      <c r="M3657" s="1205"/>
      <c r="N3657" s="1054"/>
      <c r="O3657" s="1207"/>
      <c r="Q3657" s="1207"/>
    </row>
    <row r="3658" spans="3:17" s="700" customFormat="1" ht="70.5" hidden="1" customHeight="1">
      <c r="C3658" s="701"/>
      <c r="D3658" s="811"/>
      <c r="E3658" s="1276">
        <f>[11]building!Y3989</f>
        <v>0</v>
      </c>
      <c r="F3658" s="748">
        <f t="shared" si="296"/>
        <v>0</v>
      </c>
      <c r="G3658" s="1205"/>
      <c r="H3658" s="1055"/>
      <c r="I3658" s="1055"/>
      <c r="J3658" s="1055"/>
      <c r="K3658" s="1205"/>
      <c r="L3658" s="1055"/>
      <c r="M3658" s="1205"/>
      <c r="N3658" s="1054"/>
      <c r="O3658" s="1207"/>
      <c r="Q3658" s="1207"/>
    </row>
    <row r="3659" spans="3:17" s="700" customFormat="1" ht="70.5" hidden="1" customHeight="1">
      <c r="C3659" s="701"/>
      <c r="D3659" s="811"/>
      <c r="E3659" s="1276">
        <f>[11]building!Y3990</f>
        <v>0</v>
      </c>
      <c r="F3659" s="748">
        <f t="shared" si="296"/>
        <v>0</v>
      </c>
      <c r="G3659" s="1205"/>
      <c r="H3659" s="1055"/>
      <c r="I3659" s="1055"/>
      <c r="J3659" s="1055"/>
      <c r="K3659" s="1205"/>
      <c r="L3659" s="1055"/>
      <c r="M3659" s="1205"/>
      <c r="N3659" s="1054"/>
      <c r="O3659" s="1207"/>
      <c r="Q3659" s="1207"/>
    </row>
    <row r="3660" spans="3:17" s="700" customFormat="1" ht="70.5" hidden="1" customHeight="1">
      <c r="C3660" s="701"/>
      <c r="D3660" s="811"/>
      <c r="E3660" s="1276">
        <f>[11]building!Y3991</f>
        <v>0</v>
      </c>
      <c r="F3660" s="748">
        <f t="shared" si="296"/>
        <v>0</v>
      </c>
      <c r="G3660" s="1205"/>
      <c r="H3660" s="1055"/>
      <c r="I3660" s="1055"/>
      <c r="J3660" s="1055"/>
      <c r="K3660" s="1205"/>
      <c r="L3660" s="1055"/>
      <c r="M3660" s="1205"/>
      <c r="N3660" s="1054"/>
      <c r="O3660" s="1207"/>
      <c r="Q3660" s="1207"/>
    </row>
    <row r="3661" spans="3:17" s="700" customFormat="1" ht="70.5" hidden="1" customHeight="1">
      <c r="C3661" s="701"/>
      <c r="D3661" s="811"/>
      <c r="E3661" s="1276">
        <f>[11]building!Y3992</f>
        <v>0</v>
      </c>
      <c r="F3661" s="748">
        <f t="shared" si="296"/>
        <v>0</v>
      </c>
      <c r="G3661" s="1205"/>
      <c r="H3661" s="1055"/>
      <c r="I3661" s="1055"/>
      <c r="J3661" s="1055"/>
      <c r="K3661" s="1205"/>
      <c r="L3661" s="1055"/>
      <c r="M3661" s="1205"/>
      <c r="N3661" s="1054"/>
      <c r="O3661" s="1207"/>
      <c r="Q3661" s="1207"/>
    </row>
    <row r="3662" spans="3:17" s="700" customFormat="1" ht="70.5" hidden="1" customHeight="1">
      <c r="C3662" s="701"/>
      <c r="D3662" s="811"/>
      <c r="E3662" s="1276">
        <f>[11]building!Y3993</f>
        <v>0</v>
      </c>
      <c r="F3662" s="748">
        <f t="shared" si="296"/>
        <v>0</v>
      </c>
      <c r="G3662" s="1205"/>
      <c r="H3662" s="1055"/>
      <c r="I3662" s="1055"/>
      <c r="J3662" s="1055"/>
      <c r="K3662" s="1205"/>
      <c r="L3662" s="1055"/>
      <c r="M3662" s="1205"/>
      <c r="N3662" s="1054"/>
      <c r="O3662" s="1207"/>
      <c r="Q3662" s="1207"/>
    </row>
    <row r="3663" spans="3:17" s="700" customFormat="1" ht="70.5" hidden="1" customHeight="1">
      <c r="C3663" s="701"/>
      <c r="D3663" s="811"/>
      <c r="E3663" s="1276">
        <f>[11]building!Y3994</f>
        <v>0</v>
      </c>
      <c r="F3663" s="748">
        <f t="shared" si="296"/>
        <v>0</v>
      </c>
      <c r="G3663" s="1205"/>
      <c r="H3663" s="1055"/>
      <c r="I3663" s="1055"/>
      <c r="J3663" s="1055"/>
      <c r="K3663" s="1205"/>
      <c r="L3663" s="1055"/>
      <c r="M3663" s="1205"/>
      <c r="N3663" s="1054"/>
      <c r="O3663" s="1207"/>
      <c r="Q3663" s="1207"/>
    </row>
    <row r="3664" spans="3:17" s="700" customFormat="1" ht="70.5" hidden="1" customHeight="1">
      <c r="C3664" s="701"/>
      <c r="D3664" s="811"/>
      <c r="E3664" s="1276">
        <f>[11]building!Y3995</f>
        <v>0</v>
      </c>
      <c r="F3664" s="748">
        <f t="shared" si="296"/>
        <v>0</v>
      </c>
      <c r="G3664" s="1205"/>
      <c r="H3664" s="1055"/>
      <c r="I3664" s="1055"/>
      <c r="J3664" s="1055"/>
      <c r="K3664" s="1205"/>
      <c r="L3664" s="1055"/>
      <c r="M3664" s="1205"/>
      <c r="N3664" s="1054"/>
      <c r="O3664" s="1207"/>
      <c r="Q3664" s="1207"/>
    </row>
    <row r="3665" spans="3:17" s="700" customFormat="1" ht="70.5" hidden="1" customHeight="1">
      <c r="C3665" s="701"/>
      <c r="D3665" s="811"/>
      <c r="E3665" s="1276">
        <f>[11]building!Y3996</f>
        <v>0</v>
      </c>
      <c r="F3665" s="748">
        <f t="shared" si="296"/>
        <v>0</v>
      </c>
      <c r="G3665" s="1205"/>
      <c r="H3665" s="1055"/>
      <c r="I3665" s="1055"/>
      <c r="J3665" s="1055"/>
      <c r="K3665" s="1205"/>
      <c r="L3665" s="1055"/>
      <c r="M3665" s="1205"/>
      <c r="N3665" s="1054"/>
      <c r="O3665" s="1207"/>
      <c r="Q3665" s="1207"/>
    </row>
    <row r="3666" spans="3:17" s="700" customFormat="1" ht="70.5" hidden="1" customHeight="1">
      <c r="C3666" s="701"/>
      <c r="D3666" s="811"/>
      <c r="E3666" s="1276">
        <f>[11]building!Y3997</f>
        <v>0</v>
      </c>
      <c r="F3666" s="748">
        <f t="shared" si="296"/>
        <v>0</v>
      </c>
      <c r="G3666" s="1205"/>
      <c r="H3666" s="1055"/>
      <c r="I3666" s="1055"/>
      <c r="J3666" s="1055"/>
      <c r="K3666" s="1205"/>
      <c r="L3666" s="1055"/>
      <c r="M3666" s="1205"/>
      <c r="N3666" s="1054"/>
      <c r="O3666" s="1207"/>
      <c r="Q3666" s="1207"/>
    </row>
    <row r="3667" spans="3:17" s="700" customFormat="1" ht="70.5" hidden="1" customHeight="1">
      <c r="C3667" s="701"/>
      <c r="D3667" s="811"/>
      <c r="E3667" s="1276">
        <f>[11]building!Y3998</f>
        <v>0</v>
      </c>
      <c r="F3667" s="748">
        <f t="shared" si="296"/>
        <v>0</v>
      </c>
      <c r="G3667" s="1205"/>
      <c r="H3667" s="1055"/>
      <c r="I3667" s="1055"/>
      <c r="J3667" s="1055"/>
      <c r="K3667" s="1205"/>
      <c r="L3667" s="1055"/>
      <c r="M3667" s="1205"/>
      <c r="N3667" s="1054"/>
      <c r="O3667" s="1207"/>
      <c r="Q3667" s="1207"/>
    </row>
    <row r="3668" spans="3:17" s="700" customFormat="1" ht="70.5" hidden="1" customHeight="1">
      <c r="C3668" s="701"/>
      <c r="D3668" s="811"/>
      <c r="E3668" s="1276">
        <f>[11]building!Y3999</f>
        <v>0</v>
      </c>
      <c r="F3668" s="748">
        <f t="shared" si="296"/>
        <v>0</v>
      </c>
      <c r="G3668" s="1205"/>
      <c r="H3668" s="1055"/>
      <c r="I3668" s="1055"/>
      <c r="J3668" s="1055"/>
      <c r="K3668" s="1205"/>
      <c r="L3668" s="1055"/>
      <c r="M3668" s="1205"/>
      <c r="N3668" s="1054"/>
      <c r="O3668" s="1207"/>
      <c r="Q3668" s="1207"/>
    </row>
    <row r="3669" spans="3:17" s="700" customFormat="1" ht="70.5" hidden="1" customHeight="1">
      <c r="C3669" s="701"/>
      <c r="D3669" s="811"/>
      <c r="E3669" s="1276">
        <f>[11]building!Y4000</f>
        <v>0</v>
      </c>
      <c r="F3669" s="748">
        <f t="shared" si="296"/>
        <v>0</v>
      </c>
      <c r="G3669" s="1205"/>
      <c r="H3669" s="1055"/>
      <c r="I3669" s="1055"/>
      <c r="J3669" s="1055"/>
      <c r="K3669" s="1205"/>
      <c r="L3669" s="1055"/>
      <c r="M3669" s="1205"/>
      <c r="N3669" s="1054"/>
      <c r="O3669" s="1207"/>
      <c r="Q3669" s="1207"/>
    </row>
    <row r="3670" spans="3:17" s="700" customFormat="1" ht="70.5" hidden="1" customHeight="1">
      <c r="C3670" s="701"/>
      <c r="D3670" s="811"/>
      <c r="E3670" s="1276">
        <f>[11]building!Y4001</f>
        <v>0</v>
      </c>
      <c r="F3670" s="748">
        <f t="shared" si="296"/>
        <v>0</v>
      </c>
      <c r="G3670" s="1205"/>
      <c r="H3670" s="1055"/>
      <c r="I3670" s="1055"/>
      <c r="J3670" s="1055"/>
      <c r="K3670" s="1205"/>
      <c r="L3670" s="1055"/>
      <c r="M3670" s="1205"/>
      <c r="N3670" s="1054"/>
      <c r="O3670" s="1207"/>
      <c r="Q3670" s="1207"/>
    </row>
    <row r="3671" spans="3:17" s="700" customFormat="1" ht="70.5" hidden="1" customHeight="1">
      <c r="C3671" s="701"/>
      <c r="D3671" s="811"/>
      <c r="E3671" s="1276">
        <f>[11]building!Y4002</f>
        <v>0</v>
      </c>
      <c r="F3671" s="748">
        <f t="shared" si="296"/>
        <v>0</v>
      </c>
      <c r="G3671" s="1205"/>
      <c r="H3671" s="1055"/>
      <c r="I3671" s="1055"/>
      <c r="J3671" s="1055"/>
      <c r="K3671" s="1205"/>
      <c r="L3671" s="1055"/>
      <c r="M3671" s="1205"/>
      <c r="N3671" s="1054"/>
      <c r="O3671" s="1207"/>
      <c r="Q3671" s="1207"/>
    </row>
    <row r="3672" spans="3:17" s="700" customFormat="1" ht="70.5" hidden="1" customHeight="1">
      <c r="C3672" s="701"/>
      <c r="D3672" s="811"/>
      <c r="E3672" s="1276">
        <f>[11]building!Y4003</f>
        <v>0</v>
      </c>
      <c r="F3672" s="748">
        <f t="shared" si="296"/>
        <v>0</v>
      </c>
      <c r="G3672" s="1205"/>
      <c r="H3672" s="1055"/>
      <c r="I3672" s="1055"/>
      <c r="J3672" s="1055"/>
      <c r="K3672" s="1205"/>
      <c r="L3672" s="1055"/>
      <c r="M3672" s="1205"/>
      <c r="N3672" s="1054"/>
      <c r="O3672" s="1207"/>
      <c r="Q3672" s="1207"/>
    </row>
    <row r="3673" spans="3:17" s="700" customFormat="1" ht="70.5" hidden="1" customHeight="1">
      <c r="C3673" s="701"/>
      <c r="D3673" s="811"/>
      <c r="E3673" s="1276">
        <f>[11]building!Y4004</f>
        <v>0</v>
      </c>
      <c r="F3673" s="748">
        <f t="shared" si="296"/>
        <v>0</v>
      </c>
      <c r="G3673" s="1205"/>
      <c r="H3673" s="1055"/>
      <c r="I3673" s="1055"/>
      <c r="J3673" s="1055"/>
      <c r="K3673" s="1205"/>
      <c r="L3673" s="1055"/>
      <c r="M3673" s="1205"/>
      <c r="N3673" s="1054"/>
      <c r="O3673" s="1207"/>
      <c r="Q3673" s="1207"/>
    </row>
    <row r="3674" spans="3:17" s="700" customFormat="1" ht="70.5" hidden="1" customHeight="1">
      <c r="C3674" s="701"/>
      <c r="D3674" s="811"/>
      <c r="E3674" s="1276">
        <f>[11]building!Y4005</f>
        <v>0</v>
      </c>
      <c r="F3674" s="748">
        <f t="shared" si="296"/>
        <v>0</v>
      </c>
      <c r="G3674" s="1205"/>
      <c r="H3674" s="1055"/>
      <c r="I3674" s="1055"/>
      <c r="J3674" s="1055"/>
      <c r="K3674" s="1205"/>
      <c r="L3674" s="1055"/>
      <c r="M3674" s="1205"/>
      <c r="N3674" s="1054"/>
      <c r="O3674" s="1207"/>
      <c r="Q3674" s="1207"/>
    </row>
    <row r="3675" spans="3:17" s="700" customFormat="1" ht="70.5" hidden="1" customHeight="1">
      <c r="C3675" s="701"/>
      <c r="D3675" s="811"/>
      <c r="E3675" s="1276">
        <f>[11]building!Y4006</f>
        <v>0</v>
      </c>
      <c r="F3675" s="748">
        <f t="shared" si="296"/>
        <v>0</v>
      </c>
      <c r="G3675" s="1205"/>
      <c r="H3675" s="1055"/>
      <c r="I3675" s="1055"/>
      <c r="J3675" s="1055"/>
      <c r="K3675" s="1205"/>
      <c r="L3675" s="1055"/>
      <c r="M3675" s="1205"/>
      <c r="N3675" s="1054"/>
      <c r="O3675" s="1207"/>
      <c r="Q3675" s="1207"/>
    </row>
    <row r="3676" spans="3:17" s="700" customFormat="1" ht="70.5" hidden="1" customHeight="1">
      <c r="C3676" s="701"/>
      <c r="D3676" s="811"/>
      <c r="E3676" s="1276">
        <f>[11]building!Y4007</f>
        <v>0</v>
      </c>
      <c r="F3676" s="748">
        <f t="shared" si="296"/>
        <v>0</v>
      </c>
      <c r="G3676" s="1205"/>
      <c r="H3676" s="1055"/>
      <c r="I3676" s="1055"/>
      <c r="J3676" s="1055"/>
      <c r="K3676" s="1205"/>
      <c r="L3676" s="1055"/>
      <c r="M3676" s="1205"/>
      <c r="N3676" s="1054"/>
      <c r="O3676" s="1207"/>
      <c r="Q3676" s="1207"/>
    </row>
    <row r="3677" spans="3:17" s="700" customFormat="1" ht="70.5" hidden="1" customHeight="1">
      <c r="C3677" s="701"/>
      <c r="D3677" s="811"/>
      <c r="E3677" s="1276">
        <f>[11]building!Y4008</f>
        <v>0</v>
      </c>
      <c r="F3677" s="748">
        <f t="shared" si="296"/>
        <v>0</v>
      </c>
      <c r="G3677" s="1205"/>
      <c r="H3677" s="1055"/>
      <c r="I3677" s="1055"/>
      <c r="J3677" s="1055"/>
      <c r="K3677" s="1205"/>
      <c r="L3677" s="1055"/>
      <c r="M3677" s="1205"/>
      <c r="N3677" s="1054"/>
      <c r="O3677" s="1207"/>
      <c r="Q3677" s="1207"/>
    </row>
    <row r="3678" spans="3:17" s="700" customFormat="1" ht="70.5" hidden="1" customHeight="1">
      <c r="C3678" s="701"/>
      <c r="D3678" s="811"/>
      <c r="E3678" s="1276">
        <f>[11]building!Y4009</f>
        <v>0</v>
      </c>
      <c r="F3678" s="748">
        <f t="shared" si="296"/>
        <v>0</v>
      </c>
      <c r="G3678" s="1205"/>
      <c r="H3678" s="1055"/>
      <c r="I3678" s="1055"/>
      <c r="J3678" s="1055"/>
      <c r="K3678" s="1205"/>
      <c r="L3678" s="1055"/>
      <c r="M3678" s="1205"/>
      <c r="N3678" s="1054"/>
      <c r="O3678" s="1207"/>
      <c r="Q3678" s="1207"/>
    </row>
    <row r="3679" spans="3:17" s="700" customFormat="1" ht="70.5" hidden="1" customHeight="1">
      <c r="C3679" s="701"/>
      <c r="D3679" s="811"/>
      <c r="E3679" s="1276">
        <f>[11]building!Y4010</f>
        <v>0</v>
      </c>
      <c r="F3679" s="748">
        <f t="shared" si="296"/>
        <v>0</v>
      </c>
      <c r="G3679" s="1205"/>
      <c r="H3679" s="1055"/>
      <c r="I3679" s="1055"/>
      <c r="J3679" s="1055"/>
      <c r="K3679" s="1205"/>
      <c r="L3679" s="1055"/>
      <c r="M3679" s="1205"/>
      <c r="N3679" s="1054"/>
      <c r="O3679" s="1207"/>
      <c r="Q3679" s="1207"/>
    </row>
    <row r="3680" spans="3:17" s="700" customFormat="1" ht="70.5" hidden="1" customHeight="1">
      <c r="C3680" s="701"/>
      <c r="D3680" s="811"/>
      <c r="E3680" s="1276">
        <f>[11]building!Y4011</f>
        <v>0</v>
      </c>
      <c r="F3680" s="748">
        <f t="shared" si="296"/>
        <v>0</v>
      </c>
      <c r="G3680" s="1205"/>
      <c r="H3680" s="1055"/>
      <c r="I3680" s="1055"/>
      <c r="J3680" s="1055"/>
      <c r="K3680" s="1205"/>
      <c r="L3680" s="1055"/>
      <c r="M3680" s="1205"/>
      <c r="N3680" s="1054"/>
      <c r="O3680" s="1207"/>
      <c r="Q3680" s="1207"/>
    </row>
    <row r="3681" spans="3:17" s="700" customFormat="1" ht="70.5" hidden="1" customHeight="1">
      <c r="C3681" s="701"/>
      <c r="D3681" s="811"/>
      <c r="E3681" s="1276">
        <f>[11]building!Y4012</f>
        <v>0</v>
      </c>
      <c r="F3681" s="748">
        <f t="shared" si="296"/>
        <v>0</v>
      </c>
      <c r="G3681" s="1205"/>
      <c r="H3681" s="1055"/>
      <c r="I3681" s="1055"/>
      <c r="J3681" s="1055"/>
      <c r="K3681" s="1205"/>
      <c r="L3681" s="1055"/>
      <c r="M3681" s="1205"/>
      <c r="N3681" s="1054"/>
      <c r="O3681" s="1207"/>
      <c r="Q3681" s="1207"/>
    </row>
    <row r="3682" spans="3:17" s="700" customFormat="1" ht="70.5" hidden="1" customHeight="1">
      <c r="C3682" s="701"/>
      <c r="D3682" s="811"/>
      <c r="E3682" s="1276">
        <f>[11]building!Y4013</f>
        <v>0</v>
      </c>
      <c r="F3682" s="748">
        <f t="shared" si="296"/>
        <v>0</v>
      </c>
      <c r="G3682" s="1205"/>
      <c r="H3682" s="1055"/>
      <c r="I3682" s="1055"/>
      <c r="J3682" s="1055"/>
      <c r="K3682" s="1205"/>
      <c r="L3682" s="1055"/>
      <c r="M3682" s="1205"/>
      <c r="N3682" s="1054"/>
      <c r="O3682" s="1207"/>
      <c r="Q3682" s="1207"/>
    </row>
    <row r="3683" spans="3:17" s="700" customFormat="1" ht="70.5" hidden="1" customHeight="1">
      <c r="C3683" s="701"/>
      <c r="D3683" s="811"/>
      <c r="E3683" s="1276">
        <f>[11]building!Y4014</f>
        <v>0</v>
      </c>
      <c r="F3683" s="748">
        <f t="shared" si="296"/>
        <v>0</v>
      </c>
      <c r="G3683" s="1205"/>
      <c r="H3683" s="1055"/>
      <c r="I3683" s="1055"/>
      <c r="J3683" s="1055"/>
      <c r="K3683" s="1205"/>
      <c r="L3683" s="1055"/>
      <c r="M3683" s="1205"/>
      <c r="N3683" s="1054"/>
      <c r="O3683" s="1207"/>
      <c r="Q3683" s="1207"/>
    </row>
    <row r="3684" spans="3:17" s="700" customFormat="1" ht="70.5" hidden="1" customHeight="1">
      <c r="C3684" s="701"/>
      <c r="D3684" s="811"/>
      <c r="E3684" s="1276">
        <f>[11]building!Y4015</f>
        <v>0</v>
      </c>
      <c r="F3684" s="748">
        <f t="shared" si="296"/>
        <v>0</v>
      </c>
      <c r="G3684" s="1205"/>
      <c r="H3684" s="1055"/>
      <c r="I3684" s="1055"/>
      <c r="J3684" s="1055"/>
      <c r="K3684" s="1205"/>
      <c r="L3684" s="1055"/>
      <c r="M3684" s="1205"/>
      <c r="N3684" s="1054"/>
      <c r="O3684" s="1207"/>
      <c r="Q3684" s="1207"/>
    </row>
    <row r="3685" spans="3:17" s="700" customFormat="1" ht="70.5" hidden="1" customHeight="1">
      <c r="C3685" s="701"/>
      <c r="D3685" s="811"/>
      <c r="E3685" s="1276">
        <f>[11]building!Y4016</f>
        <v>0</v>
      </c>
      <c r="F3685" s="748">
        <f t="shared" si="296"/>
        <v>0</v>
      </c>
      <c r="G3685" s="1205"/>
      <c r="H3685" s="1055"/>
      <c r="I3685" s="1055"/>
      <c r="J3685" s="1055"/>
      <c r="K3685" s="1205"/>
      <c r="L3685" s="1055"/>
      <c r="M3685" s="1205"/>
      <c r="N3685" s="1054"/>
      <c r="O3685" s="1207"/>
      <c r="Q3685" s="1207"/>
    </row>
    <row r="3686" spans="3:17" s="700" customFormat="1" ht="70.5" hidden="1" customHeight="1">
      <c r="C3686" s="701"/>
      <c r="D3686" s="811"/>
      <c r="E3686" s="1276">
        <f>[11]building!Y4017</f>
        <v>0</v>
      </c>
      <c r="F3686" s="748">
        <f t="shared" si="296"/>
        <v>0</v>
      </c>
      <c r="G3686" s="1205"/>
      <c r="H3686" s="1055"/>
      <c r="I3686" s="1055"/>
      <c r="J3686" s="1055"/>
      <c r="K3686" s="1205"/>
      <c r="L3686" s="1055"/>
      <c r="M3686" s="1205"/>
      <c r="N3686" s="1054"/>
      <c r="O3686" s="1207"/>
      <c r="Q3686" s="1207"/>
    </row>
    <row r="3687" spans="3:17" s="700" customFormat="1" ht="70.5" hidden="1" customHeight="1">
      <c r="C3687" s="701"/>
      <c r="D3687" s="811"/>
      <c r="E3687" s="1276">
        <f>[11]building!Y4018</f>
        <v>0</v>
      </c>
      <c r="F3687" s="748">
        <f t="shared" si="296"/>
        <v>0</v>
      </c>
      <c r="G3687" s="1205"/>
      <c r="H3687" s="1055"/>
      <c r="I3687" s="1055"/>
      <c r="J3687" s="1055"/>
      <c r="K3687" s="1205"/>
      <c r="L3687" s="1055"/>
      <c r="M3687" s="1205"/>
      <c r="N3687" s="1054"/>
      <c r="O3687" s="1207"/>
      <c r="Q3687" s="1207"/>
    </row>
    <row r="3688" spans="3:17" s="700" customFormat="1" ht="70.5" hidden="1" customHeight="1">
      <c r="C3688" s="701"/>
      <c r="D3688" s="811"/>
      <c r="E3688" s="1276">
        <f>[11]building!Y4019</f>
        <v>0</v>
      </c>
      <c r="F3688" s="748">
        <f t="shared" si="296"/>
        <v>0</v>
      </c>
      <c r="G3688" s="1205"/>
      <c r="H3688" s="1055"/>
      <c r="I3688" s="1055"/>
      <c r="J3688" s="1055"/>
      <c r="K3688" s="1205"/>
      <c r="L3688" s="1055"/>
      <c r="M3688" s="1205"/>
      <c r="N3688" s="1054"/>
      <c r="O3688" s="1207"/>
      <c r="Q3688" s="1207"/>
    </row>
    <row r="3689" spans="3:17" s="700" customFormat="1" ht="70.5" hidden="1" customHeight="1">
      <c r="C3689" s="701"/>
      <c r="D3689" s="811"/>
      <c r="E3689" s="1276">
        <f>[11]building!Y4020</f>
        <v>0</v>
      </c>
      <c r="F3689" s="748">
        <f t="shared" si="296"/>
        <v>0</v>
      </c>
      <c r="G3689" s="1205"/>
      <c r="H3689" s="1055"/>
      <c r="I3689" s="1055"/>
      <c r="J3689" s="1055"/>
      <c r="K3689" s="1205"/>
      <c r="L3689" s="1055"/>
      <c r="M3689" s="1205"/>
      <c r="N3689" s="1054"/>
      <c r="O3689" s="1207"/>
      <c r="Q3689" s="1207"/>
    </row>
    <row r="3690" spans="3:17" s="700" customFormat="1" ht="70.5" hidden="1" customHeight="1">
      <c r="C3690" s="701"/>
      <c r="D3690" s="811"/>
      <c r="E3690" s="1276">
        <f>[11]building!Y4021</f>
        <v>0</v>
      </c>
      <c r="F3690" s="748">
        <f t="shared" si="296"/>
        <v>0</v>
      </c>
      <c r="G3690" s="1205"/>
      <c r="H3690" s="1055"/>
      <c r="I3690" s="1055"/>
      <c r="J3690" s="1055"/>
      <c r="K3690" s="1205"/>
      <c r="L3690" s="1055"/>
      <c r="M3690" s="1205"/>
      <c r="N3690" s="1054"/>
      <c r="O3690" s="1207"/>
      <c r="Q3690" s="1207"/>
    </row>
    <row r="3691" spans="3:17" s="700" customFormat="1" ht="70.5" hidden="1" customHeight="1">
      <c r="C3691" s="701"/>
      <c r="D3691" s="811"/>
      <c r="E3691" s="1276">
        <f>[11]building!Y4022</f>
        <v>0</v>
      </c>
      <c r="F3691" s="748">
        <f t="shared" si="296"/>
        <v>0</v>
      </c>
      <c r="G3691" s="1205"/>
      <c r="H3691" s="1055"/>
      <c r="I3691" s="1055"/>
      <c r="J3691" s="1055"/>
      <c r="K3691" s="1205"/>
      <c r="L3691" s="1055"/>
      <c r="M3691" s="1205"/>
      <c r="N3691" s="1054"/>
      <c r="O3691" s="1207"/>
      <c r="Q3691" s="1207"/>
    </row>
    <row r="3692" spans="3:17" s="700" customFormat="1" ht="70.5" hidden="1" customHeight="1">
      <c r="C3692" s="701"/>
      <c r="D3692" s="811"/>
      <c r="E3692" s="1276">
        <f>[11]building!Y4023</f>
        <v>0</v>
      </c>
      <c r="F3692" s="748">
        <f t="shared" si="296"/>
        <v>0</v>
      </c>
      <c r="G3692" s="1205"/>
      <c r="H3692" s="1055"/>
      <c r="I3692" s="1055"/>
      <c r="J3692" s="1055"/>
      <c r="K3692" s="1205"/>
      <c r="L3692" s="1055"/>
      <c r="M3692" s="1205"/>
      <c r="N3692" s="1054"/>
      <c r="O3692" s="1207"/>
      <c r="Q3692" s="1207"/>
    </row>
    <row r="3693" spans="3:17" s="700" customFormat="1" ht="70.5" hidden="1" customHeight="1">
      <c r="C3693" s="701"/>
      <c r="D3693" s="811"/>
      <c r="E3693" s="1276">
        <f>[11]building!Y4024</f>
        <v>0</v>
      </c>
      <c r="F3693" s="748">
        <f t="shared" si="296"/>
        <v>0</v>
      </c>
      <c r="G3693" s="1205"/>
      <c r="H3693" s="1055"/>
      <c r="I3693" s="1055"/>
      <c r="J3693" s="1055"/>
      <c r="K3693" s="1205"/>
      <c r="L3693" s="1055"/>
      <c r="M3693" s="1205"/>
      <c r="N3693" s="1054"/>
      <c r="O3693" s="1207"/>
      <c r="Q3693" s="1207"/>
    </row>
    <row r="3694" spans="3:17" s="700" customFormat="1" ht="70.5" hidden="1" customHeight="1">
      <c r="C3694" s="701"/>
      <c r="D3694" s="811"/>
      <c r="E3694" s="1276">
        <f>[11]building!Y4025</f>
        <v>0</v>
      </c>
      <c r="F3694" s="748">
        <f t="shared" si="296"/>
        <v>0</v>
      </c>
      <c r="G3694" s="1205"/>
      <c r="H3694" s="1055"/>
      <c r="I3694" s="1055"/>
      <c r="J3694" s="1055"/>
      <c r="K3694" s="1205"/>
      <c r="L3694" s="1055"/>
      <c r="M3694" s="1205"/>
      <c r="N3694" s="1054"/>
      <c r="O3694" s="1207"/>
      <c r="Q3694" s="1207"/>
    </row>
    <row r="3695" spans="3:17" s="700" customFormat="1" ht="70.5" hidden="1" customHeight="1">
      <c r="C3695" s="701"/>
      <c r="D3695" s="811"/>
      <c r="E3695" s="1276">
        <f>[11]building!Y4026</f>
        <v>0</v>
      </c>
      <c r="F3695" s="748">
        <f t="shared" si="296"/>
        <v>0</v>
      </c>
      <c r="G3695" s="1205"/>
      <c r="H3695" s="1055"/>
      <c r="I3695" s="1055"/>
      <c r="J3695" s="1055"/>
      <c r="K3695" s="1205"/>
      <c r="L3695" s="1055"/>
      <c r="M3695" s="1205"/>
      <c r="N3695" s="1054"/>
      <c r="O3695" s="1207"/>
      <c r="Q3695" s="1207"/>
    </row>
    <row r="3696" spans="3:17" s="700" customFormat="1" ht="70.5" hidden="1" customHeight="1">
      <c r="C3696" s="701"/>
      <c r="D3696" s="811"/>
      <c r="E3696" s="1276">
        <f>[11]building!Y4027</f>
        <v>0</v>
      </c>
      <c r="F3696" s="748">
        <f t="shared" si="296"/>
        <v>0</v>
      </c>
      <c r="G3696" s="1205"/>
      <c r="H3696" s="1055"/>
      <c r="I3696" s="1055"/>
      <c r="J3696" s="1055"/>
      <c r="K3696" s="1205"/>
      <c r="L3696" s="1055"/>
      <c r="M3696" s="1205"/>
      <c r="N3696" s="1054"/>
      <c r="O3696" s="1207"/>
      <c r="Q3696" s="1207"/>
    </row>
    <row r="3697" spans="3:17" s="700" customFormat="1" ht="70.5" hidden="1" customHeight="1">
      <c r="C3697" s="701"/>
      <c r="D3697" s="811"/>
      <c r="E3697" s="1276">
        <f>[11]building!Y4028</f>
        <v>0</v>
      </c>
      <c r="F3697" s="748">
        <f t="shared" si="296"/>
        <v>0</v>
      </c>
      <c r="G3697" s="1205"/>
      <c r="H3697" s="1055"/>
      <c r="I3697" s="1055"/>
      <c r="J3697" s="1055"/>
      <c r="K3697" s="1205"/>
      <c r="L3697" s="1055"/>
      <c r="M3697" s="1205"/>
      <c r="N3697" s="1054"/>
      <c r="O3697" s="1207"/>
      <c r="Q3697" s="1207"/>
    </row>
    <row r="3698" spans="3:17" s="700" customFormat="1" ht="70.5" hidden="1" customHeight="1">
      <c r="C3698" s="701"/>
      <c r="D3698" s="811"/>
      <c r="E3698" s="1276">
        <f>[11]building!Y4029</f>
        <v>0</v>
      </c>
      <c r="F3698" s="748">
        <f t="shared" si="296"/>
        <v>0</v>
      </c>
      <c r="G3698" s="1205"/>
      <c r="H3698" s="1055"/>
      <c r="I3698" s="1055"/>
      <c r="J3698" s="1055"/>
      <c r="K3698" s="1205"/>
      <c r="L3698" s="1055"/>
      <c r="M3698" s="1205"/>
      <c r="N3698" s="1054"/>
      <c r="O3698" s="1207"/>
      <c r="Q3698" s="1207"/>
    </row>
    <row r="3699" spans="3:17" s="700" customFormat="1" ht="70.5" hidden="1" customHeight="1">
      <c r="C3699" s="701"/>
      <c r="D3699" s="811"/>
      <c r="E3699" s="1276">
        <f>[11]building!Y4030</f>
        <v>0</v>
      </c>
      <c r="F3699" s="748">
        <f t="shared" si="296"/>
        <v>0</v>
      </c>
      <c r="G3699" s="1205"/>
      <c r="H3699" s="1055"/>
      <c r="I3699" s="1055"/>
      <c r="J3699" s="1055"/>
      <c r="K3699" s="1205"/>
      <c r="L3699" s="1055"/>
      <c r="M3699" s="1205"/>
      <c r="N3699" s="1054"/>
      <c r="O3699" s="1207"/>
      <c r="Q3699" s="1207"/>
    </row>
    <row r="3700" spans="3:17" s="700" customFormat="1" ht="70.5" hidden="1" customHeight="1">
      <c r="C3700" s="701"/>
      <c r="D3700" s="811"/>
      <c r="E3700" s="1276">
        <f>[11]building!Y4031</f>
        <v>0</v>
      </c>
      <c r="F3700" s="748">
        <f t="shared" si="296"/>
        <v>0</v>
      </c>
      <c r="G3700" s="1205"/>
      <c r="H3700" s="1055"/>
      <c r="I3700" s="1055"/>
      <c r="J3700" s="1055"/>
      <c r="K3700" s="1205"/>
      <c r="L3700" s="1055"/>
      <c r="M3700" s="1205"/>
      <c r="N3700" s="1054"/>
      <c r="O3700" s="1207"/>
      <c r="Q3700" s="1207"/>
    </row>
    <row r="3701" spans="3:17" s="700" customFormat="1" ht="70.5" hidden="1" customHeight="1">
      <c r="C3701" s="701"/>
      <c r="D3701" s="811"/>
      <c r="E3701" s="1276">
        <f>[11]building!Y4032</f>
        <v>0</v>
      </c>
      <c r="F3701" s="748">
        <f t="shared" si="296"/>
        <v>0</v>
      </c>
      <c r="G3701" s="1205"/>
      <c r="H3701" s="1055"/>
      <c r="I3701" s="1055"/>
      <c r="J3701" s="1055"/>
      <c r="K3701" s="1205"/>
      <c r="L3701" s="1055"/>
      <c r="M3701" s="1205"/>
      <c r="N3701" s="1054"/>
      <c r="O3701" s="1207"/>
      <c r="Q3701" s="1207"/>
    </row>
    <row r="3702" spans="3:17" s="700" customFormat="1" ht="70.5" hidden="1" customHeight="1">
      <c r="C3702" s="701"/>
      <c r="D3702" s="811"/>
      <c r="E3702" s="1276">
        <f>[11]building!Y4033</f>
        <v>0</v>
      </c>
      <c r="F3702" s="748">
        <f t="shared" si="296"/>
        <v>0</v>
      </c>
      <c r="G3702" s="1205"/>
      <c r="H3702" s="1055"/>
      <c r="I3702" s="1055"/>
      <c r="J3702" s="1055"/>
      <c r="K3702" s="1205"/>
      <c r="L3702" s="1055"/>
      <c r="M3702" s="1205"/>
      <c r="N3702" s="1054"/>
      <c r="O3702" s="1207"/>
      <c r="Q3702" s="1207"/>
    </row>
    <row r="3703" spans="3:17" s="700" customFormat="1" ht="70.5" hidden="1" customHeight="1">
      <c r="C3703" s="701"/>
      <c r="D3703" s="811"/>
      <c r="E3703" s="1276">
        <f>[11]building!Y4034</f>
        <v>0</v>
      </c>
      <c r="F3703" s="748">
        <f t="shared" si="296"/>
        <v>0</v>
      </c>
      <c r="G3703" s="1205"/>
      <c r="H3703" s="1055"/>
      <c r="I3703" s="1055"/>
      <c r="J3703" s="1055"/>
      <c r="K3703" s="1205"/>
      <c r="L3703" s="1055"/>
      <c r="M3703" s="1205"/>
      <c r="N3703" s="1054"/>
      <c r="O3703" s="1207"/>
      <c r="Q3703" s="1207"/>
    </row>
    <row r="3704" spans="3:17" s="700" customFormat="1" ht="70.5" hidden="1" customHeight="1">
      <c r="C3704" s="701"/>
      <c r="D3704" s="811"/>
      <c r="E3704" s="1276">
        <f>[11]building!Y4035</f>
        <v>0</v>
      </c>
      <c r="F3704" s="748">
        <f t="shared" si="296"/>
        <v>0</v>
      </c>
      <c r="G3704" s="1205"/>
      <c r="H3704" s="1055"/>
      <c r="I3704" s="1055"/>
      <c r="J3704" s="1055"/>
      <c r="K3704" s="1205"/>
      <c r="L3704" s="1055"/>
      <c r="M3704" s="1205"/>
      <c r="N3704" s="1054"/>
      <c r="O3704" s="1207"/>
      <c r="Q3704" s="1207"/>
    </row>
    <row r="3705" spans="3:17" s="700" customFormat="1" ht="70.5" hidden="1" customHeight="1">
      <c r="C3705" s="701"/>
      <c r="D3705" s="811"/>
      <c r="E3705" s="1276">
        <f>[11]building!Y4036</f>
        <v>0</v>
      </c>
      <c r="F3705" s="748">
        <f t="shared" si="296"/>
        <v>0</v>
      </c>
      <c r="G3705" s="1205"/>
      <c r="H3705" s="1055"/>
      <c r="I3705" s="1055"/>
      <c r="J3705" s="1055"/>
      <c r="K3705" s="1205"/>
      <c r="L3705" s="1055"/>
      <c r="M3705" s="1205"/>
      <c r="N3705" s="1054"/>
      <c r="O3705" s="1207"/>
      <c r="Q3705" s="1207"/>
    </row>
    <row r="3706" spans="3:17" s="700" customFormat="1" ht="70.5" hidden="1" customHeight="1">
      <c r="C3706" s="701"/>
      <c r="D3706" s="811"/>
      <c r="E3706" s="1276">
        <f>[11]building!Y4037</f>
        <v>0</v>
      </c>
      <c r="F3706" s="748">
        <f t="shared" si="296"/>
        <v>0</v>
      </c>
      <c r="G3706" s="1205"/>
      <c r="H3706" s="1055"/>
      <c r="I3706" s="1055"/>
      <c r="J3706" s="1055"/>
      <c r="K3706" s="1205"/>
      <c r="L3706" s="1055"/>
      <c r="M3706" s="1205"/>
      <c r="N3706" s="1054"/>
      <c r="O3706" s="1207"/>
      <c r="Q3706" s="1207"/>
    </row>
    <row r="3707" spans="3:17" s="700" customFormat="1" ht="70.5" hidden="1" customHeight="1">
      <c r="C3707" s="701"/>
      <c r="D3707" s="811"/>
      <c r="E3707" s="1276">
        <f>[11]building!Y4038</f>
        <v>0</v>
      </c>
      <c r="F3707" s="748">
        <f t="shared" si="296"/>
        <v>0</v>
      </c>
      <c r="G3707" s="1205"/>
      <c r="H3707" s="1055"/>
      <c r="I3707" s="1055"/>
      <c r="J3707" s="1055"/>
      <c r="K3707" s="1205"/>
      <c r="L3707" s="1055"/>
      <c r="M3707" s="1205"/>
      <c r="N3707" s="1054"/>
      <c r="O3707" s="1207"/>
      <c r="Q3707" s="1207"/>
    </row>
    <row r="3708" spans="3:17" s="700" customFormat="1" ht="70.5" hidden="1" customHeight="1">
      <c r="C3708" s="701"/>
      <c r="D3708" s="811"/>
      <c r="E3708" s="1276">
        <f>[11]building!Y4039</f>
        <v>0</v>
      </c>
      <c r="F3708" s="748">
        <f t="shared" si="296"/>
        <v>0</v>
      </c>
      <c r="G3708" s="1205"/>
      <c r="H3708" s="1055"/>
      <c r="I3708" s="1055"/>
      <c r="J3708" s="1055"/>
      <c r="K3708" s="1205"/>
      <c r="L3708" s="1055"/>
      <c r="M3708" s="1205"/>
      <c r="N3708" s="1054"/>
      <c r="O3708" s="1207"/>
      <c r="Q3708" s="1207"/>
    </row>
    <row r="3709" spans="3:17" s="700" customFormat="1" ht="70.5" hidden="1" customHeight="1">
      <c r="C3709" s="701"/>
      <c r="D3709" s="811"/>
      <c r="E3709" s="1276">
        <f>[11]building!Y4040</f>
        <v>0</v>
      </c>
      <c r="F3709" s="748">
        <f t="shared" si="296"/>
        <v>0</v>
      </c>
      <c r="G3709" s="1205"/>
      <c r="H3709" s="1055"/>
      <c r="I3709" s="1055"/>
      <c r="J3709" s="1055"/>
      <c r="K3709" s="1205"/>
      <c r="L3709" s="1055"/>
      <c r="M3709" s="1205"/>
      <c r="N3709" s="1054"/>
      <c r="O3709" s="1207"/>
      <c r="Q3709" s="1207"/>
    </row>
    <row r="3710" spans="3:17" s="700" customFormat="1" ht="70.5" hidden="1" customHeight="1">
      <c r="C3710" s="701"/>
      <c r="D3710" s="811"/>
      <c r="E3710" s="1276">
        <f>[11]building!Y4041</f>
        <v>0</v>
      </c>
      <c r="F3710" s="748">
        <f t="shared" si="296"/>
        <v>0</v>
      </c>
      <c r="G3710" s="1205"/>
      <c r="H3710" s="1055"/>
      <c r="I3710" s="1055"/>
      <c r="J3710" s="1055"/>
      <c r="K3710" s="1205"/>
      <c r="L3710" s="1055"/>
      <c r="M3710" s="1205"/>
      <c r="N3710" s="1054"/>
      <c r="O3710" s="1207"/>
      <c r="Q3710" s="1207"/>
    </row>
    <row r="3711" spans="3:17" s="700" customFormat="1" ht="70.5" hidden="1" customHeight="1">
      <c r="C3711" s="701"/>
      <c r="D3711" s="811"/>
      <c r="E3711" s="1276">
        <f>[11]building!Y4042</f>
        <v>0</v>
      </c>
      <c r="F3711" s="748">
        <f t="shared" si="296"/>
        <v>0</v>
      </c>
      <c r="G3711" s="1205"/>
      <c r="H3711" s="1055"/>
      <c r="I3711" s="1055"/>
      <c r="J3711" s="1055"/>
      <c r="K3711" s="1205"/>
      <c r="L3711" s="1055"/>
      <c r="M3711" s="1205"/>
      <c r="N3711" s="1054"/>
      <c r="O3711" s="1207"/>
      <c r="Q3711" s="1207"/>
    </row>
    <row r="3712" spans="3:17" s="700" customFormat="1" ht="70.5" hidden="1" customHeight="1">
      <c r="C3712" s="701"/>
      <c r="D3712" s="811"/>
      <c r="E3712" s="1276">
        <f>[11]building!Y4043</f>
        <v>0</v>
      </c>
      <c r="F3712" s="748">
        <f t="shared" ref="F3712:F3775" si="297">E3712*C3712</f>
        <v>0</v>
      </c>
      <c r="G3712" s="1205"/>
      <c r="H3712" s="1055"/>
      <c r="I3712" s="1055"/>
      <c r="J3712" s="1055"/>
      <c r="K3712" s="1205"/>
      <c r="L3712" s="1055"/>
      <c r="M3712" s="1205"/>
      <c r="N3712" s="1054"/>
      <c r="O3712" s="1207"/>
      <c r="Q3712" s="1207"/>
    </row>
    <row r="3713" spans="3:17" s="700" customFormat="1" ht="70.5" hidden="1" customHeight="1">
      <c r="C3713" s="701"/>
      <c r="D3713" s="811"/>
      <c r="E3713" s="1276">
        <f>[11]building!Y4044</f>
        <v>0</v>
      </c>
      <c r="F3713" s="748">
        <f t="shared" si="297"/>
        <v>0</v>
      </c>
      <c r="G3713" s="1205"/>
      <c r="H3713" s="1055"/>
      <c r="I3713" s="1055"/>
      <c r="J3713" s="1055"/>
      <c r="K3713" s="1205"/>
      <c r="L3713" s="1055"/>
      <c r="M3713" s="1205"/>
      <c r="N3713" s="1054"/>
      <c r="O3713" s="1207"/>
      <c r="Q3713" s="1207"/>
    </row>
    <row r="3714" spans="3:17" s="700" customFormat="1" ht="70.5" hidden="1" customHeight="1">
      <c r="C3714" s="701"/>
      <c r="D3714" s="811"/>
      <c r="E3714" s="1276">
        <f>[11]building!Y4045</f>
        <v>0</v>
      </c>
      <c r="F3714" s="748">
        <f t="shared" si="297"/>
        <v>0</v>
      </c>
      <c r="G3714" s="1205"/>
      <c r="H3714" s="1055"/>
      <c r="I3714" s="1055"/>
      <c r="J3714" s="1055"/>
      <c r="K3714" s="1205"/>
      <c r="L3714" s="1055"/>
      <c r="M3714" s="1205"/>
      <c r="N3714" s="1054"/>
      <c r="O3714" s="1207"/>
      <c r="Q3714" s="1207"/>
    </row>
    <row r="3715" spans="3:17" s="700" customFormat="1" ht="70.5" hidden="1" customHeight="1">
      <c r="C3715" s="701"/>
      <c r="D3715" s="811"/>
      <c r="E3715" s="1276">
        <f>[11]building!Y4046</f>
        <v>0</v>
      </c>
      <c r="F3715" s="748">
        <f t="shared" si="297"/>
        <v>0</v>
      </c>
      <c r="G3715" s="1205"/>
      <c r="H3715" s="1055"/>
      <c r="I3715" s="1055"/>
      <c r="J3715" s="1055"/>
      <c r="K3715" s="1205"/>
      <c r="L3715" s="1055"/>
      <c r="M3715" s="1205"/>
      <c r="N3715" s="1054"/>
      <c r="O3715" s="1207"/>
      <c r="Q3715" s="1207"/>
    </row>
    <row r="3716" spans="3:17" s="700" customFormat="1" ht="70.5" hidden="1" customHeight="1">
      <c r="C3716" s="701"/>
      <c r="D3716" s="811"/>
      <c r="E3716" s="1276">
        <f>[11]building!Y4047</f>
        <v>0</v>
      </c>
      <c r="F3716" s="748">
        <f t="shared" si="297"/>
        <v>0</v>
      </c>
      <c r="G3716" s="1205"/>
      <c r="H3716" s="1055"/>
      <c r="I3716" s="1055"/>
      <c r="J3716" s="1055"/>
      <c r="K3716" s="1205"/>
      <c r="L3716" s="1055"/>
      <c r="M3716" s="1205"/>
      <c r="N3716" s="1054"/>
      <c r="O3716" s="1207"/>
      <c r="Q3716" s="1207"/>
    </row>
    <row r="3717" spans="3:17" s="700" customFormat="1" ht="70.5" hidden="1" customHeight="1">
      <c r="C3717" s="701"/>
      <c r="D3717" s="811"/>
      <c r="E3717" s="1276">
        <f>[11]building!Y4048</f>
        <v>0</v>
      </c>
      <c r="F3717" s="748">
        <f t="shared" si="297"/>
        <v>0</v>
      </c>
      <c r="G3717" s="1205"/>
      <c r="H3717" s="1055"/>
      <c r="I3717" s="1055"/>
      <c r="J3717" s="1055"/>
      <c r="K3717" s="1205"/>
      <c r="L3717" s="1055"/>
      <c r="M3717" s="1205"/>
      <c r="N3717" s="1054"/>
      <c r="O3717" s="1207"/>
      <c r="Q3717" s="1207"/>
    </row>
    <row r="3718" spans="3:17" s="700" customFormat="1" ht="70.5" hidden="1" customHeight="1">
      <c r="C3718" s="701"/>
      <c r="D3718" s="811"/>
      <c r="E3718" s="1276">
        <f>[11]building!Y4049</f>
        <v>0</v>
      </c>
      <c r="F3718" s="748">
        <f t="shared" si="297"/>
        <v>0</v>
      </c>
      <c r="G3718" s="1205"/>
      <c r="H3718" s="1055"/>
      <c r="I3718" s="1055"/>
      <c r="J3718" s="1055"/>
      <c r="K3718" s="1205"/>
      <c r="L3718" s="1055"/>
      <c r="M3718" s="1205"/>
      <c r="N3718" s="1054"/>
      <c r="O3718" s="1207"/>
      <c r="Q3718" s="1207"/>
    </row>
    <row r="3719" spans="3:17" s="700" customFormat="1" ht="70.5" hidden="1" customHeight="1">
      <c r="C3719" s="701"/>
      <c r="D3719" s="811"/>
      <c r="E3719" s="1276">
        <f>[11]building!Y4050</f>
        <v>0</v>
      </c>
      <c r="F3719" s="748">
        <f t="shared" si="297"/>
        <v>0</v>
      </c>
      <c r="G3719" s="1205"/>
      <c r="H3719" s="1055"/>
      <c r="I3719" s="1055"/>
      <c r="J3719" s="1055"/>
      <c r="K3719" s="1205"/>
      <c r="L3719" s="1055"/>
      <c r="M3719" s="1205"/>
      <c r="N3719" s="1054"/>
      <c r="O3719" s="1207"/>
      <c r="Q3719" s="1207"/>
    </row>
    <row r="3720" spans="3:17" s="700" customFormat="1" ht="70.5" hidden="1" customHeight="1">
      <c r="C3720" s="701"/>
      <c r="D3720" s="811"/>
      <c r="E3720" s="1276">
        <f>[11]building!Y4051</f>
        <v>0</v>
      </c>
      <c r="F3720" s="748">
        <f t="shared" si="297"/>
        <v>0</v>
      </c>
      <c r="G3720" s="1205"/>
      <c r="H3720" s="1055"/>
      <c r="I3720" s="1055"/>
      <c r="J3720" s="1055"/>
      <c r="K3720" s="1205"/>
      <c r="L3720" s="1055"/>
      <c r="M3720" s="1205"/>
      <c r="N3720" s="1054"/>
      <c r="O3720" s="1207"/>
      <c r="Q3720" s="1207"/>
    </row>
    <row r="3721" spans="3:17" s="700" customFormat="1" ht="70.5" hidden="1" customHeight="1">
      <c r="C3721" s="701"/>
      <c r="D3721" s="811"/>
      <c r="E3721" s="1276">
        <f>[11]building!Y4052</f>
        <v>0</v>
      </c>
      <c r="F3721" s="748">
        <f t="shared" si="297"/>
        <v>0</v>
      </c>
      <c r="G3721" s="1205"/>
      <c r="H3721" s="1055"/>
      <c r="I3721" s="1055"/>
      <c r="J3721" s="1055"/>
      <c r="K3721" s="1205"/>
      <c r="L3721" s="1055"/>
      <c r="M3721" s="1205"/>
      <c r="N3721" s="1054"/>
      <c r="O3721" s="1207"/>
      <c r="Q3721" s="1207"/>
    </row>
    <row r="3722" spans="3:17" s="700" customFormat="1" ht="70.5" hidden="1" customHeight="1">
      <c r="C3722" s="701"/>
      <c r="D3722" s="811"/>
      <c r="E3722" s="1276">
        <f>[11]building!Y4053</f>
        <v>0</v>
      </c>
      <c r="F3722" s="748">
        <f t="shared" si="297"/>
        <v>0</v>
      </c>
      <c r="G3722" s="1205"/>
      <c r="H3722" s="1055"/>
      <c r="I3722" s="1055"/>
      <c r="J3722" s="1055"/>
      <c r="K3722" s="1205"/>
      <c r="L3722" s="1055"/>
      <c r="M3722" s="1205"/>
      <c r="N3722" s="1054"/>
      <c r="O3722" s="1207"/>
      <c r="Q3722" s="1207"/>
    </row>
    <row r="3723" spans="3:17" s="700" customFormat="1" ht="70.5" hidden="1" customHeight="1">
      <c r="C3723" s="701"/>
      <c r="D3723" s="811"/>
      <c r="E3723" s="1276">
        <f>[11]building!Y4054</f>
        <v>0</v>
      </c>
      <c r="F3723" s="748">
        <f t="shared" si="297"/>
        <v>0</v>
      </c>
      <c r="G3723" s="1205"/>
      <c r="H3723" s="1055"/>
      <c r="I3723" s="1055"/>
      <c r="J3723" s="1055"/>
      <c r="K3723" s="1205"/>
      <c r="L3723" s="1055"/>
      <c r="M3723" s="1205"/>
      <c r="N3723" s="1054"/>
      <c r="O3723" s="1207"/>
      <c r="Q3723" s="1207"/>
    </row>
    <row r="3724" spans="3:17" s="700" customFormat="1" ht="70.5" hidden="1" customHeight="1">
      <c r="C3724" s="701"/>
      <c r="D3724" s="811"/>
      <c r="E3724" s="1276">
        <f>[11]building!Y4055</f>
        <v>0</v>
      </c>
      <c r="F3724" s="748">
        <f t="shared" si="297"/>
        <v>0</v>
      </c>
      <c r="G3724" s="1205"/>
      <c r="H3724" s="1055"/>
      <c r="I3724" s="1055"/>
      <c r="J3724" s="1055"/>
      <c r="K3724" s="1205"/>
      <c r="L3724" s="1055"/>
      <c r="M3724" s="1205"/>
      <c r="N3724" s="1054"/>
      <c r="O3724" s="1207"/>
      <c r="Q3724" s="1207"/>
    </row>
    <row r="3725" spans="3:17" s="700" customFormat="1" ht="70.5" hidden="1" customHeight="1">
      <c r="C3725" s="701"/>
      <c r="D3725" s="811"/>
      <c r="E3725" s="1276">
        <f>[11]building!Y4056</f>
        <v>0</v>
      </c>
      <c r="F3725" s="748">
        <f t="shared" si="297"/>
        <v>0</v>
      </c>
      <c r="G3725" s="1205"/>
      <c r="H3725" s="1055"/>
      <c r="I3725" s="1055"/>
      <c r="J3725" s="1055"/>
      <c r="K3725" s="1205"/>
      <c r="L3725" s="1055"/>
      <c r="M3725" s="1205"/>
      <c r="N3725" s="1054"/>
      <c r="O3725" s="1207"/>
      <c r="Q3725" s="1207"/>
    </row>
    <row r="3726" spans="3:17" s="700" customFormat="1" ht="70.5" hidden="1" customHeight="1">
      <c r="C3726" s="701"/>
      <c r="D3726" s="811"/>
      <c r="E3726" s="1276">
        <f>[11]building!Y4057</f>
        <v>0</v>
      </c>
      <c r="F3726" s="748">
        <f t="shared" si="297"/>
        <v>0</v>
      </c>
      <c r="G3726" s="1205"/>
      <c r="H3726" s="1055"/>
      <c r="I3726" s="1055"/>
      <c r="J3726" s="1055"/>
      <c r="K3726" s="1205"/>
      <c r="L3726" s="1055"/>
      <c r="M3726" s="1205"/>
      <c r="N3726" s="1054"/>
      <c r="O3726" s="1207"/>
      <c r="Q3726" s="1207"/>
    </row>
    <row r="3727" spans="3:17" s="700" customFormat="1" ht="70.5" hidden="1" customHeight="1">
      <c r="C3727" s="701"/>
      <c r="D3727" s="811"/>
      <c r="E3727" s="1276">
        <f>[11]building!Y4058</f>
        <v>0</v>
      </c>
      <c r="F3727" s="748">
        <f t="shared" si="297"/>
        <v>0</v>
      </c>
      <c r="G3727" s="1205"/>
      <c r="H3727" s="1055"/>
      <c r="I3727" s="1055"/>
      <c r="J3727" s="1055"/>
      <c r="K3727" s="1205"/>
      <c r="L3727" s="1055"/>
      <c r="M3727" s="1205"/>
      <c r="N3727" s="1054"/>
      <c r="O3727" s="1207"/>
      <c r="Q3727" s="1207"/>
    </row>
    <row r="3728" spans="3:17" s="700" customFormat="1" ht="70.5" hidden="1" customHeight="1">
      <c r="C3728" s="701"/>
      <c r="D3728" s="811"/>
      <c r="E3728" s="1276">
        <f>[11]building!Y4059</f>
        <v>0</v>
      </c>
      <c r="F3728" s="748">
        <f t="shared" si="297"/>
        <v>0</v>
      </c>
      <c r="G3728" s="1205"/>
      <c r="H3728" s="1055"/>
      <c r="I3728" s="1055"/>
      <c r="J3728" s="1055"/>
      <c r="K3728" s="1205"/>
      <c r="L3728" s="1055"/>
      <c r="M3728" s="1205"/>
      <c r="N3728" s="1054"/>
      <c r="O3728" s="1207"/>
      <c r="Q3728" s="1207"/>
    </row>
    <row r="3729" spans="3:17" s="700" customFormat="1" ht="70.5" hidden="1" customHeight="1">
      <c r="C3729" s="701"/>
      <c r="D3729" s="811"/>
      <c r="E3729" s="1276">
        <f>[11]building!Y4060</f>
        <v>0</v>
      </c>
      <c r="F3729" s="748">
        <f t="shared" si="297"/>
        <v>0</v>
      </c>
      <c r="G3729" s="1205"/>
      <c r="H3729" s="1055"/>
      <c r="I3729" s="1055"/>
      <c r="J3729" s="1055"/>
      <c r="K3729" s="1205"/>
      <c r="L3729" s="1055"/>
      <c r="M3729" s="1205"/>
      <c r="N3729" s="1054"/>
      <c r="O3729" s="1207"/>
      <c r="Q3729" s="1207"/>
    </row>
    <row r="3730" spans="3:17" s="700" customFormat="1" ht="70.5" hidden="1" customHeight="1">
      <c r="C3730" s="701"/>
      <c r="D3730" s="811"/>
      <c r="E3730" s="1276">
        <f>[11]building!Y4061</f>
        <v>0</v>
      </c>
      <c r="F3730" s="748">
        <f t="shared" si="297"/>
        <v>0</v>
      </c>
      <c r="G3730" s="1205"/>
      <c r="H3730" s="1055"/>
      <c r="I3730" s="1055"/>
      <c r="J3730" s="1055"/>
      <c r="K3730" s="1205"/>
      <c r="L3730" s="1055"/>
      <c r="M3730" s="1205"/>
      <c r="N3730" s="1054"/>
      <c r="O3730" s="1207"/>
      <c r="Q3730" s="1207"/>
    </row>
    <row r="3731" spans="3:17" s="700" customFormat="1" ht="70.5" hidden="1" customHeight="1">
      <c r="C3731" s="701"/>
      <c r="D3731" s="811"/>
      <c r="E3731" s="1276">
        <f>[11]building!Y4062</f>
        <v>0</v>
      </c>
      <c r="F3731" s="748">
        <f t="shared" si="297"/>
        <v>0</v>
      </c>
      <c r="G3731" s="1205"/>
      <c r="H3731" s="1055"/>
      <c r="I3731" s="1055"/>
      <c r="J3731" s="1055"/>
      <c r="K3731" s="1205"/>
      <c r="L3731" s="1055"/>
      <c r="M3731" s="1205"/>
      <c r="N3731" s="1054"/>
      <c r="O3731" s="1207"/>
      <c r="Q3731" s="1207"/>
    </row>
    <row r="3732" spans="3:17" s="700" customFormat="1" ht="70.5" hidden="1" customHeight="1">
      <c r="C3732" s="701"/>
      <c r="D3732" s="811"/>
      <c r="E3732" s="1276">
        <f>[11]building!Y4063</f>
        <v>0</v>
      </c>
      <c r="F3732" s="748">
        <f t="shared" si="297"/>
        <v>0</v>
      </c>
      <c r="G3732" s="1205"/>
      <c r="H3732" s="1055"/>
      <c r="I3732" s="1055"/>
      <c r="J3732" s="1055"/>
      <c r="K3732" s="1205"/>
      <c r="L3732" s="1055"/>
      <c r="M3732" s="1205"/>
      <c r="N3732" s="1054"/>
      <c r="O3732" s="1207"/>
      <c r="Q3732" s="1207"/>
    </row>
    <row r="3733" spans="3:17" s="700" customFormat="1" ht="70.5" hidden="1" customHeight="1">
      <c r="C3733" s="701"/>
      <c r="D3733" s="811"/>
      <c r="E3733" s="1276">
        <f>[11]building!Y4064</f>
        <v>0</v>
      </c>
      <c r="F3733" s="748">
        <f t="shared" si="297"/>
        <v>0</v>
      </c>
      <c r="G3733" s="1205"/>
      <c r="H3733" s="1055"/>
      <c r="I3733" s="1055"/>
      <c r="J3733" s="1055"/>
      <c r="K3733" s="1205"/>
      <c r="L3733" s="1055"/>
      <c r="M3733" s="1205"/>
      <c r="N3733" s="1054"/>
      <c r="O3733" s="1207"/>
      <c r="Q3733" s="1207"/>
    </row>
    <row r="3734" spans="3:17" s="700" customFormat="1" ht="70.5" hidden="1" customHeight="1">
      <c r="C3734" s="701"/>
      <c r="D3734" s="811"/>
      <c r="E3734" s="1276">
        <f>[11]building!Y4065</f>
        <v>0</v>
      </c>
      <c r="F3734" s="748">
        <f t="shared" si="297"/>
        <v>0</v>
      </c>
      <c r="G3734" s="1205"/>
      <c r="H3734" s="1055"/>
      <c r="I3734" s="1055"/>
      <c r="J3734" s="1055"/>
      <c r="K3734" s="1205"/>
      <c r="L3734" s="1055"/>
      <c r="M3734" s="1205"/>
      <c r="N3734" s="1054"/>
      <c r="O3734" s="1207"/>
      <c r="Q3734" s="1207"/>
    </row>
    <row r="3735" spans="3:17" s="700" customFormat="1" ht="70.5" hidden="1" customHeight="1">
      <c r="C3735" s="701"/>
      <c r="D3735" s="811"/>
      <c r="E3735" s="1276">
        <f>[11]building!Y4066</f>
        <v>0</v>
      </c>
      <c r="F3735" s="748">
        <f t="shared" si="297"/>
        <v>0</v>
      </c>
      <c r="G3735" s="1205"/>
      <c r="H3735" s="1055"/>
      <c r="I3735" s="1055"/>
      <c r="J3735" s="1055"/>
      <c r="K3735" s="1205"/>
      <c r="L3735" s="1055"/>
      <c r="M3735" s="1205"/>
      <c r="N3735" s="1054"/>
      <c r="O3735" s="1207"/>
      <c r="Q3735" s="1207"/>
    </row>
    <row r="3736" spans="3:17" s="700" customFormat="1" ht="70.5" hidden="1" customHeight="1">
      <c r="C3736" s="701"/>
      <c r="D3736" s="811"/>
      <c r="E3736" s="1276">
        <f>[11]building!Y4067</f>
        <v>0</v>
      </c>
      <c r="F3736" s="748">
        <f t="shared" si="297"/>
        <v>0</v>
      </c>
      <c r="G3736" s="1205"/>
      <c r="H3736" s="1055"/>
      <c r="I3736" s="1055"/>
      <c r="J3736" s="1055"/>
      <c r="K3736" s="1205"/>
      <c r="L3736" s="1055"/>
      <c r="M3736" s="1205"/>
      <c r="N3736" s="1054"/>
      <c r="O3736" s="1207"/>
      <c r="Q3736" s="1207"/>
    </row>
    <row r="3737" spans="3:17" s="700" customFormat="1" ht="70.5" hidden="1" customHeight="1">
      <c r="C3737" s="701"/>
      <c r="D3737" s="811"/>
      <c r="E3737" s="1276">
        <f>[11]building!Y4068</f>
        <v>0</v>
      </c>
      <c r="F3737" s="748">
        <f t="shared" si="297"/>
        <v>0</v>
      </c>
      <c r="G3737" s="1205"/>
      <c r="H3737" s="1055"/>
      <c r="I3737" s="1055"/>
      <c r="J3737" s="1055"/>
      <c r="K3737" s="1205"/>
      <c r="L3737" s="1055"/>
      <c r="M3737" s="1205"/>
      <c r="N3737" s="1054"/>
      <c r="O3737" s="1207"/>
      <c r="Q3737" s="1207"/>
    </row>
    <row r="3738" spans="3:17" s="700" customFormat="1" ht="70.5" hidden="1" customHeight="1">
      <c r="C3738" s="701"/>
      <c r="D3738" s="811"/>
      <c r="E3738" s="1276">
        <f>[11]building!Y4069</f>
        <v>0</v>
      </c>
      <c r="F3738" s="748">
        <f t="shared" si="297"/>
        <v>0</v>
      </c>
      <c r="G3738" s="1205"/>
      <c r="H3738" s="1055"/>
      <c r="I3738" s="1055"/>
      <c r="J3738" s="1055"/>
      <c r="K3738" s="1205"/>
      <c r="L3738" s="1055"/>
      <c r="M3738" s="1205"/>
      <c r="N3738" s="1054"/>
      <c r="O3738" s="1207"/>
      <c r="Q3738" s="1207"/>
    </row>
    <row r="3739" spans="3:17" s="700" customFormat="1" ht="70.5" hidden="1" customHeight="1">
      <c r="C3739" s="701"/>
      <c r="D3739" s="811"/>
      <c r="E3739" s="1276">
        <f>[11]building!Y4070</f>
        <v>0</v>
      </c>
      <c r="F3739" s="748">
        <f t="shared" si="297"/>
        <v>0</v>
      </c>
      <c r="G3739" s="1205"/>
      <c r="H3739" s="1055"/>
      <c r="I3739" s="1055"/>
      <c r="J3739" s="1055"/>
      <c r="K3739" s="1205"/>
      <c r="L3739" s="1055"/>
      <c r="M3739" s="1205"/>
      <c r="N3739" s="1054"/>
      <c r="O3739" s="1207"/>
      <c r="Q3739" s="1207"/>
    </row>
    <row r="3740" spans="3:17" s="700" customFormat="1" ht="70.5" hidden="1" customHeight="1">
      <c r="C3740" s="701"/>
      <c r="D3740" s="811"/>
      <c r="E3740" s="1276">
        <f>[11]building!Y4071</f>
        <v>0</v>
      </c>
      <c r="F3740" s="748">
        <f t="shared" si="297"/>
        <v>0</v>
      </c>
      <c r="G3740" s="1205"/>
      <c r="H3740" s="1055"/>
      <c r="I3740" s="1055"/>
      <c r="J3740" s="1055"/>
      <c r="K3740" s="1205"/>
      <c r="L3740" s="1055"/>
      <c r="M3740" s="1205"/>
      <c r="N3740" s="1054"/>
      <c r="O3740" s="1207"/>
      <c r="Q3740" s="1207"/>
    </row>
    <row r="3741" spans="3:17" s="700" customFormat="1" ht="70.5" hidden="1" customHeight="1">
      <c r="C3741" s="701"/>
      <c r="D3741" s="811"/>
      <c r="E3741" s="1276">
        <f>[11]building!Y4072</f>
        <v>0</v>
      </c>
      <c r="F3741" s="748">
        <f t="shared" si="297"/>
        <v>0</v>
      </c>
      <c r="G3741" s="1205"/>
      <c r="H3741" s="1055"/>
      <c r="I3741" s="1055"/>
      <c r="J3741" s="1055"/>
      <c r="K3741" s="1205"/>
      <c r="L3741" s="1055"/>
      <c r="M3741" s="1205"/>
      <c r="N3741" s="1054"/>
      <c r="O3741" s="1207"/>
      <c r="Q3741" s="1207"/>
    </row>
    <row r="3742" spans="3:17" s="700" customFormat="1" ht="70.5" hidden="1" customHeight="1">
      <c r="C3742" s="701"/>
      <c r="D3742" s="811"/>
      <c r="E3742" s="1276">
        <f>[11]building!Y4073</f>
        <v>0</v>
      </c>
      <c r="F3742" s="748">
        <f t="shared" si="297"/>
        <v>0</v>
      </c>
      <c r="G3742" s="1205"/>
      <c r="H3742" s="1055"/>
      <c r="I3742" s="1055"/>
      <c r="J3742" s="1055"/>
      <c r="K3742" s="1205"/>
      <c r="L3742" s="1055"/>
      <c r="M3742" s="1205"/>
      <c r="N3742" s="1054"/>
      <c r="O3742" s="1207"/>
      <c r="Q3742" s="1207"/>
    </row>
    <row r="3743" spans="3:17" s="700" customFormat="1" ht="70.5" hidden="1" customHeight="1">
      <c r="C3743" s="701"/>
      <c r="D3743" s="811"/>
      <c r="E3743" s="1276">
        <f>[11]building!Y4074</f>
        <v>0</v>
      </c>
      <c r="F3743" s="748">
        <f t="shared" si="297"/>
        <v>0</v>
      </c>
      <c r="G3743" s="1205"/>
      <c r="H3743" s="1055"/>
      <c r="I3743" s="1055"/>
      <c r="J3743" s="1055"/>
      <c r="K3743" s="1205"/>
      <c r="L3743" s="1055"/>
      <c r="M3743" s="1205"/>
      <c r="N3743" s="1054"/>
      <c r="O3743" s="1207"/>
      <c r="Q3743" s="1207"/>
    </row>
    <row r="3744" spans="3:17" s="700" customFormat="1" ht="70.5" hidden="1" customHeight="1">
      <c r="C3744" s="701"/>
      <c r="D3744" s="811"/>
      <c r="E3744" s="1276">
        <f>[11]building!Y4075</f>
        <v>0</v>
      </c>
      <c r="F3744" s="748">
        <f t="shared" si="297"/>
        <v>0</v>
      </c>
      <c r="G3744" s="1205"/>
      <c r="H3744" s="1055"/>
      <c r="I3744" s="1055"/>
      <c r="J3744" s="1055"/>
      <c r="K3744" s="1205"/>
      <c r="L3744" s="1055"/>
      <c r="M3744" s="1205"/>
      <c r="N3744" s="1054"/>
      <c r="O3744" s="1207"/>
      <c r="Q3744" s="1207"/>
    </row>
    <row r="3745" spans="3:17" s="700" customFormat="1" ht="70.5" hidden="1" customHeight="1">
      <c r="C3745" s="701"/>
      <c r="D3745" s="811"/>
      <c r="E3745" s="1276">
        <f>[11]building!Y4076</f>
        <v>0</v>
      </c>
      <c r="F3745" s="748">
        <f t="shared" si="297"/>
        <v>0</v>
      </c>
      <c r="G3745" s="1205"/>
      <c r="H3745" s="1055"/>
      <c r="I3745" s="1055"/>
      <c r="J3745" s="1055"/>
      <c r="K3745" s="1205"/>
      <c r="L3745" s="1055"/>
      <c r="M3745" s="1205"/>
      <c r="N3745" s="1054"/>
      <c r="O3745" s="1207"/>
      <c r="Q3745" s="1207"/>
    </row>
    <row r="3746" spans="3:17" s="700" customFormat="1" ht="70.5" hidden="1" customHeight="1">
      <c r="C3746" s="701"/>
      <c r="D3746" s="811"/>
      <c r="E3746" s="1276">
        <f>[11]building!Y4077</f>
        <v>0</v>
      </c>
      <c r="F3746" s="748">
        <f t="shared" si="297"/>
        <v>0</v>
      </c>
      <c r="G3746" s="1205"/>
      <c r="H3746" s="1055"/>
      <c r="I3746" s="1055"/>
      <c r="J3746" s="1055"/>
      <c r="K3746" s="1205"/>
      <c r="L3746" s="1055"/>
      <c r="M3746" s="1205"/>
      <c r="N3746" s="1054"/>
      <c r="O3746" s="1207"/>
      <c r="Q3746" s="1207"/>
    </row>
    <row r="3747" spans="3:17" s="700" customFormat="1" ht="70.5" hidden="1" customHeight="1">
      <c r="C3747" s="701"/>
      <c r="D3747" s="811"/>
      <c r="E3747" s="1276">
        <f>[11]building!Y4078</f>
        <v>0</v>
      </c>
      <c r="F3747" s="748">
        <f t="shared" si="297"/>
        <v>0</v>
      </c>
      <c r="G3747" s="1205"/>
      <c r="H3747" s="1055"/>
      <c r="I3747" s="1055"/>
      <c r="J3747" s="1055"/>
      <c r="K3747" s="1205"/>
      <c r="L3747" s="1055"/>
      <c r="M3747" s="1205"/>
      <c r="N3747" s="1054"/>
      <c r="O3747" s="1207"/>
      <c r="Q3747" s="1207"/>
    </row>
    <row r="3748" spans="3:17" s="700" customFormat="1" ht="70.5" hidden="1" customHeight="1">
      <c r="C3748" s="701"/>
      <c r="D3748" s="811"/>
      <c r="E3748" s="1276">
        <f>[11]building!Y4079</f>
        <v>0</v>
      </c>
      <c r="F3748" s="748">
        <f t="shared" si="297"/>
        <v>0</v>
      </c>
      <c r="G3748" s="1205"/>
      <c r="H3748" s="1055"/>
      <c r="I3748" s="1055"/>
      <c r="J3748" s="1055"/>
      <c r="K3748" s="1205"/>
      <c r="L3748" s="1055"/>
      <c r="M3748" s="1205"/>
      <c r="N3748" s="1054"/>
      <c r="O3748" s="1207"/>
      <c r="Q3748" s="1207"/>
    </row>
    <row r="3749" spans="3:17" s="700" customFormat="1" ht="70.5" hidden="1" customHeight="1">
      <c r="C3749" s="701"/>
      <c r="D3749" s="811"/>
      <c r="E3749" s="1276">
        <f>[11]building!Y4080</f>
        <v>0</v>
      </c>
      <c r="F3749" s="748">
        <f t="shared" si="297"/>
        <v>0</v>
      </c>
      <c r="G3749" s="1205"/>
      <c r="H3749" s="1055"/>
      <c r="I3749" s="1055"/>
      <c r="J3749" s="1055"/>
      <c r="K3749" s="1205"/>
      <c r="L3749" s="1055"/>
      <c r="M3749" s="1205"/>
      <c r="N3749" s="1054"/>
      <c r="O3749" s="1207"/>
      <c r="Q3749" s="1207"/>
    </row>
    <row r="3750" spans="3:17" s="700" customFormat="1" ht="70.5" hidden="1" customHeight="1">
      <c r="C3750" s="701"/>
      <c r="D3750" s="811"/>
      <c r="E3750" s="1276">
        <f>[11]building!Y4081</f>
        <v>0</v>
      </c>
      <c r="F3750" s="748">
        <f t="shared" si="297"/>
        <v>0</v>
      </c>
      <c r="G3750" s="1205"/>
      <c r="H3750" s="1055"/>
      <c r="I3750" s="1055"/>
      <c r="J3750" s="1055"/>
      <c r="K3750" s="1205"/>
      <c r="L3750" s="1055"/>
      <c r="M3750" s="1205"/>
      <c r="N3750" s="1054"/>
      <c r="O3750" s="1207"/>
      <c r="Q3750" s="1207"/>
    </row>
    <row r="3751" spans="3:17" s="700" customFormat="1" ht="70.5" hidden="1" customHeight="1">
      <c r="C3751" s="701"/>
      <c r="D3751" s="811"/>
      <c r="E3751" s="1276">
        <f>[11]building!Y4082</f>
        <v>0</v>
      </c>
      <c r="F3751" s="748">
        <f t="shared" si="297"/>
        <v>0</v>
      </c>
      <c r="G3751" s="1205"/>
      <c r="H3751" s="1055"/>
      <c r="I3751" s="1055"/>
      <c r="J3751" s="1055"/>
      <c r="K3751" s="1205"/>
      <c r="L3751" s="1055"/>
      <c r="M3751" s="1205"/>
      <c r="N3751" s="1054"/>
      <c r="O3751" s="1207"/>
      <c r="Q3751" s="1207"/>
    </row>
    <row r="3752" spans="3:17" s="700" customFormat="1" ht="70.5" hidden="1" customHeight="1">
      <c r="C3752" s="701"/>
      <c r="D3752" s="811"/>
      <c r="E3752" s="1276">
        <f>[11]building!Y4083</f>
        <v>0</v>
      </c>
      <c r="F3752" s="748">
        <f t="shared" si="297"/>
        <v>0</v>
      </c>
      <c r="G3752" s="1205"/>
      <c r="H3752" s="1055"/>
      <c r="I3752" s="1055"/>
      <c r="J3752" s="1055"/>
      <c r="K3752" s="1205"/>
      <c r="L3752" s="1055"/>
      <c r="M3752" s="1205"/>
      <c r="N3752" s="1054"/>
      <c r="O3752" s="1207"/>
      <c r="Q3752" s="1207"/>
    </row>
    <row r="3753" spans="3:17" s="700" customFormat="1" ht="70.5" hidden="1" customHeight="1">
      <c r="C3753" s="701"/>
      <c r="D3753" s="811"/>
      <c r="E3753" s="1276">
        <f>[11]building!Y4084</f>
        <v>0</v>
      </c>
      <c r="F3753" s="748">
        <f t="shared" si="297"/>
        <v>0</v>
      </c>
      <c r="G3753" s="1205"/>
      <c r="H3753" s="1055"/>
      <c r="I3753" s="1055"/>
      <c r="J3753" s="1055"/>
      <c r="K3753" s="1205"/>
      <c r="L3753" s="1055"/>
      <c r="M3753" s="1205"/>
      <c r="N3753" s="1054"/>
      <c r="O3753" s="1207"/>
      <c r="Q3753" s="1207"/>
    </row>
    <row r="3754" spans="3:17" s="700" customFormat="1" ht="70.5" hidden="1" customHeight="1">
      <c r="C3754" s="701"/>
      <c r="D3754" s="811"/>
      <c r="E3754" s="1276">
        <f>[11]building!Y4085</f>
        <v>0</v>
      </c>
      <c r="F3754" s="748">
        <f t="shared" si="297"/>
        <v>0</v>
      </c>
      <c r="G3754" s="1205"/>
      <c r="H3754" s="1055"/>
      <c r="I3754" s="1055"/>
      <c r="J3754" s="1055"/>
      <c r="K3754" s="1205"/>
      <c r="L3754" s="1055"/>
      <c r="M3754" s="1205"/>
      <c r="N3754" s="1054"/>
      <c r="O3754" s="1207"/>
      <c r="Q3754" s="1207"/>
    </row>
    <row r="3755" spans="3:17" s="700" customFormat="1" ht="70.5" hidden="1" customHeight="1">
      <c r="C3755" s="701"/>
      <c r="D3755" s="811"/>
      <c r="E3755" s="1276">
        <f>[11]building!Y4086</f>
        <v>0</v>
      </c>
      <c r="F3755" s="748">
        <f t="shared" si="297"/>
        <v>0</v>
      </c>
      <c r="G3755" s="1205"/>
      <c r="H3755" s="1055"/>
      <c r="I3755" s="1055"/>
      <c r="J3755" s="1055"/>
      <c r="K3755" s="1205"/>
      <c r="L3755" s="1055"/>
      <c r="M3755" s="1205"/>
      <c r="N3755" s="1054"/>
      <c r="O3755" s="1207"/>
      <c r="Q3755" s="1207"/>
    </row>
    <row r="3756" spans="3:17" s="700" customFormat="1" ht="70.5" hidden="1" customHeight="1">
      <c r="C3756" s="701"/>
      <c r="D3756" s="811"/>
      <c r="E3756" s="1276">
        <f>[11]building!Y4087</f>
        <v>0</v>
      </c>
      <c r="F3756" s="748">
        <f t="shared" si="297"/>
        <v>0</v>
      </c>
      <c r="G3756" s="1205"/>
      <c r="H3756" s="1055"/>
      <c r="I3756" s="1055"/>
      <c r="J3756" s="1055"/>
      <c r="K3756" s="1205"/>
      <c r="L3756" s="1055"/>
      <c r="M3756" s="1205"/>
      <c r="N3756" s="1054"/>
      <c r="O3756" s="1207"/>
      <c r="Q3756" s="1207"/>
    </row>
    <row r="3757" spans="3:17" s="700" customFormat="1" ht="70.5" hidden="1" customHeight="1">
      <c r="C3757" s="701"/>
      <c r="D3757" s="811"/>
      <c r="E3757" s="1276">
        <f>[11]building!Y4088</f>
        <v>0</v>
      </c>
      <c r="F3757" s="748">
        <f t="shared" si="297"/>
        <v>0</v>
      </c>
      <c r="G3757" s="1205"/>
      <c r="H3757" s="1055"/>
      <c r="I3757" s="1055"/>
      <c r="J3757" s="1055"/>
      <c r="K3757" s="1205"/>
      <c r="L3757" s="1055"/>
      <c r="M3757" s="1205"/>
      <c r="N3757" s="1054"/>
      <c r="O3757" s="1207"/>
      <c r="Q3757" s="1207"/>
    </row>
    <row r="3758" spans="3:17" s="700" customFormat="1" ht="70.5" hidden="1" customHeight="1">
      <c r="C3758" s="701"/>
      <c r="D3758" s="811"/>
      <c r="E3758" s="1276">
        <f>[11]building!Y4089</f>
        <v>0</v>
      </c>
      <c r="F3758" s="748">
        <f t="shared" si="297"/>
        <v>0</v>
      </c>
      <c r="G3758" s="1205"/>
      <c r="H3758" s="1055"/>
      <c r="I3758" s="1055"/>
      <c r="J3758" s="1055"/>
      <c r="K3758" s="1205"/>
      <c r="L3758" s="1055"/>
      <c r="M3758" s="1205"/>
      <c r="N3758" s="1054"/>
      <c r="O3758" s="1207"/>
      <c r="Q3758" s="1207"/>
    </row>
    <row r="3759" spans="3:17" s="700" customFormat="1" ht="70.5" hidden="1" customHeight="1">
      <c r="C3759" s="701"/>
      <c r="D3759" s="811"/>
      <c r="E3759" s="1276">
        <f>[11]building!Y4090</f>
        <v>0</v>
      </c>
      <c r="F3759" s="748">
        <f t="shared" si="297"/>
        <v>0</v>
      </c>
      <c r="G3759" s="1205"/>
      <c r="H3759" s="1055"/>
      <c r="I3759" s="1055"/>
      <c r="J3759" s="1055"/>
      <c r="K3759" s="1205"/>
      <c r="L3759" s="1055"/>
      <c r="M3759" s="1205"/>
      <c r="N3759" s="1054"/>
      <c r="O3759" s="1207"/>
      <c r="Q3759" s="1207"/>
    </row>
    <row r="3760" spans="3:17" s="700" customFormat="1" ht="70.5" hidden="1" customHeight="1">
      <c r="C3760" s="701"/>
      <c r="D3760" s="811"/>
      <c r="E3760" s="1276">
        <f>[11]building!Y4091</f>
        <v>0</v>
      </c>
      <c r="F3760" s="748">
        <f t="shared" si="297"/>
        <v>0</v>
      </c>
      <c r="G3760" s="1205"/>
      <c r="H3760" s="1055"/>
      <c r="I3760" s="1055"/>
      <c r="J3760" s="1055"/>
      <c r="K3760" s="1205"/>
      <c r="L3760" s="1055"/>
      <c r="M3760" s="1205"/>
      <c r="N3760" s="1054"/>
      <c r="O3760" s="1207"/>
      <c r="Q3760" s="1207"/>
    </row>
    <row r="3761" spans="3:17" s="700" customFormat="1" ht="70.5" hidden="1" customHeight="1">
      <c r="C3761" s="701"/>
      <c r="D3761" s="811"/>
      <c r="E3761" s="1276">
        <f>[11]building!Y4092</f>
        <v>0</v>
      </c>
      <c r="F3761" s="748">
        <f t="shared" si="297"/>
        <v>0</v>
      </c>
      <c r="G3761" s="1205"/>
      <c r="H3761" s="1055"/>
      <c r="I3761" s="1055"/>
      <c r="J3761" s="1055"/>
      <c r="K3761" s="1205"/>
      <c r="L3761" s="1055"/>
      <c r="M3761" s="1205"/>
      <c r="N3761" s="1054"/>
      <c r="O3761" s="1207"/>
      <c r="Q3761" s="1207"/>
    </row>
    <row r="3762" spans="3:17" s="700" customFormat="1" ht="70.5" hidden="1" customHeight="1">
      <c r="C3762" s="701"/>
      <c r="D3762" s="811"/>
      <c r="E3762" s="1276">
        <f>[11]building!Y4093</f>
        <v>0</v>
      </c>
      <c r="F3762" s="748">
        <f t="shared" si="297"/>
        <v>0</v>
      </c>
      <c r="G3762" s="1205"/>
      <c r="H3762" s="1055"/>
      <c r="I3762" s="1055"/>
      <c r="J3762" s="1055"/>
      <c r="K3762" s="1205"/>
      <c r="L3762" s="1055"/>
      <c r="M3762" s="1205"/>
      <c r="N3762" s="1054"/>
      <c r="O3762" s="1207"/>
      <c r="Q3762" s="1207"/>
    </row>
    <row r="3763" spans="3:17" s="700" customFormat="1" ht="70.5" hidden="1" customHeight="1">
      <c r="C3763" s="701"/>
      <c r="D3763" s="811"/>
      <c r="E3763" s="1276">
        <f>[11]building!Y4094</f>
        <v>0</v>
      </c>
      <c r="F3763" s="748">
        <f t="shared" si="297"/>
        <v>0</v>
      </c>
      <c r="G3763" s="1205"/>
      <c r="H3763" s="1055"/>
      <c r="I3763" s="1055"/>
      <c r="J3763" s="1055"/>
      <c r="K3763" s="1205"/>
      <c r="L3763" s="1055"/>
      <c r="M3763" s="1205"/>
      <c r="N3763" s="1054"/>
      <c r="O3763" s="1207"/>
      <c r="Q3763" s="1207"/>
    </row>
    <row r="3764" spans="3:17" s="700" customFormat="1" ht="70.5" hidden="1" customHeight="1">
      <c r="C3764" s="701"/>
      <c r="D3764" s="811"/>
      <c r="E3764" s="1276">
        <f>[11]building!Y4095</f>
        <v>0</v>
      </c>
      <c r="F3764" s="748">
        <f t="shared" si="297"/>
        <v>0</v>
      </c>
      <c r="G3764" s="1205"/>
      <c r="H3764" s="1055"/>
      <c r="I3764" s="1055"/>
      <c r="J3764" s="1055"/>
      <c r="K3764" s="1205"/>
      <c r="L3764" s="1055"/>
      <c r="M3764" s="1205"/>
      <c r="N3764" s="1054"/>
      <c r="O3764" s="1207"/>
      <c r="Q3764" s="1207"/>
    </row>
    <row r="3765" spans="3:17" s="700" customFormat="1" ht="70.5" hidden="1" customHeight="1">
      <c r="C3765" s="701"/>
      <c r="D3765" s="811"/>
      <c r="E3765" s="1276">
        <f>[11]building!Y4096</f>
        <v>0</v>
      </c>
      <c r="F3765" s="748">
        <f t="shared" si="297"/>
        <v>0</v>
      </c>
      <c r="G3765" s="1205"/>
      <c r="H3765" s="1055"/>
      <c r="I3765" s="1055"/>
      <c r="J3765" s="1055"/>
      <c r="K3765" s="1205"/>
      <c r="L3765" s="1055"/>
      <c r="M3765" s="1205"/>
      <c r="N3765" s="1054"/>
      <c r="O3765" s="1207"/>
      <c r="Q3765" s="1207"/>
    </row>
    <row r="3766" spans="3:17" s="700" customFormat="1" ht="70.5" hidden="1" customHeight="1">
      <c r="C3766" s="701"/>
      <c r="D3766" s="811"/>
      <c r="E3766" s="1276">
        <f>[11]building!Y4097</f>
        <v>0</v>
      </c>
      <c r="F3766" s="748">
        <f t="shared" si="297"/>
        <v>0</v>
      </c>
      <c r="G3766" s="1205"/>
      <c r="H3766" s="1055"/>
      <c r="I3766" s="1055"/>
      <c r="J3766" s="1055"/>
      <c r="K3766" s="1205"/>
      <c r="L3766" s="1055"/>
      <c r="M3766" s="1205"/>
      <c r="N3766" s="1054"/>
      <c r="O3766" s="1207"/>
      <c r="Q3766" s="1207"/>
    </row>
    <row r="3767" spans="3:17" s="700" customFormat="1" ht="70.5" hidden="1" customHeight="1">
      <c r="C3767" s="701"/>
      <c r="D3767" s="811"/>
      <c r="E3767" s="1276">
        <f>[11]building!Y4098</f>
        <v>0</v>
      </c>
      <c r="F3767" s="748">
        <f t="shared" si="297"/>
        <v>0</v>
      </c>
      <c r="G3767" s="1205"/>
      <c r="H3767" s="1055"/>
      <c r="I3767" s="1055"/>
      <c r="J3767" s="1055"/>
      <c r="K3767" s="1205"/>
      <c r="L3767" s="1055"/>
      <c r="M3767" s="1205"/>
      <c r="N3767" s="1054"/>
      <c r="O3767" s="1207"/>
      <c r="Q3767" s="1207"/>
    </row>
    <row r="3768" spans="3:17" s="700" customFormat="1" ht="70.5" hidden="1" customHeight="1">
      <c r="C3768" s="701"/>
      <c r="D3768" s="811"/>
      <c r="E3768" s="1276">
        <f>[11]building!Y4099</f>
        <v>0</v>
      </c>
      <c r="F3768" s="748">
        <f t="shared" si="297"/>
        <v>0</v>
      </c>
      <c r="G3768" s="1205"/>
      <c r="H3768" s="1055"/>
      <c r="I3768" s="1055"/>
      <c r="J3768" s="1055"/>
      <c r="K3768" s="1205"/>
      <c r="L3768" s="1055"/>
      <c r="M3768" s="1205"/>
      <c r="N3768" s="1054"/>
      <c r="O3768" s="1207"/>
      <c r="Q3768" s="1207"/>
    </row>
    <row r="3769" spans="3:17" s="700" customFormat="1" ht="70.5" hidden="1" customHeight="1">
      <c r="C3769" s="701"/>
      <c r="D3769" s="811"/>
      <c r="E3769" s="1276">
        <f>[11]building!Y4100</f>
        <v>0</v>
      </c>
      <c r="F3769" s="748">
        <f t="shared" si="297"/>
        <v>0</v>
      </c>
      <c r="G3769" s="1205"/>
      <c r="H3769" s="1055"/>
      <c r="I3769" s="1055"/>
      <c r="J3769" s="1055"/>
      <c r="K3769" s="1205"/>
      <c r="L3769" s="1055"/>
      <c r="M3769" s="1205"/>
      <c r="N3769" s="1054"/>
      <c r="O3769" s="1207"/>
      <c r="Q3769" s="1207"/>
    </row>
    <row r="3770" spans="3:17" s="700" customFormat="1" ht="70.5" hidden="1" customHeight="1">
      <c r="C3770" s="701"/>
      <c r="D3770" s="811"/>
      <c r="E3770" s="1276">
        <f>[11]building!Y4101</f>
        <v>0</v>
      </c>
      <c r="F3770" s="748">
        <f t="shared" si="297"/>
        <v>0</v>
      </c>
      <c r="G3770" s="1205"/>
      <c r="H3770" s="1055"/>
      <c r="I3770" s="1055"/>
      <c r="J3770" s="1055"/>
      <c r="K3770" s="1205"/>
      <c r="L3770" s="1055"/>
      <c r="M3770" s="1205"/>
      <c r="N3770" s="1054"/>
      <c r="O3770" s="1207"/>
      <c r="Q3770" s="1207"/>
    </row>
    <row r="3771" spans="3:17" s="700" customFormat="1" ht="70.5" hidden="1" customHeight="1">
      <c r="C3771" s="701"/>
      <c r="D3771" s="811"/>
      <c r="E3771" s="1276">
        <f>[11]building!Y4102</f>
        <v>0</v>
      </c>
      <c r="F3771" s="748">
        <f t="shared" si="297"/>
        <v>0</v>
      </c>
      <c r="G3771" s="1205"/>
      <c r="H3771" s="1055"/>
      <c r="I3771" s="1055"/>
      <c r="J3771" s="1055"/>
      <c r="K3771" s="1205"/>
      <c r="L3771" s="1055"/>
      <c r="M3771" s="1205"/>
      <c r="N3771" s="1054"/>
      <c r="O3771" s="1207"/>
      <c r="Q3771" s="1207"/>
    </row>
    <row r="3772" spans="3:17" s="700" customFormat="1" ht="70.5" hidden="1" customHeight="1">
      <c r="C3772" s="701"/>
      <c r="D3772" s="811"/>
      <c r="E3772" s="1276">
        <f>[11]building!Y4103</f>
        <v>0</v>
      </c>
      <c r="F3772" s="748">
        <f t="shared" si="297"/>
        <v>0</v>
      </c>
      <c r="G3772" s="1205"/>
      <c r="H3772" s="1055"/>
      <c r="I3772" s="1055"/>
      <c r="J3772" s="1055"/>
      <c r="K3772" s="1205"/>
      <c r="L3772" s="1055"/>
      <c r="M3772" s="1205"/>
      <c r="N3772" s="1054"/>
      <c r="O3772" s="1207"/>
      <c r="Q3772" s="1207"/>
    </row>
    <row r="3773" spans="3:17" s="700" customFormat="1" ht="70.5" hidden="1" customHeight="1">
      <c r="C3773" s="701"/>
      <c r="D3773" s="811"/>
      <c r="E3773" s="1276">
        <f>[11]building!Y4104</f>
        <v>0</v>
      </c>
      <c r="F3773" s="748">
        <f t="shared" si="297"/>
        <v>0</v>
      </c>
      <c r="G3773" s="1205"/>
      <c r="H3773" s="1055"/>
      <c r="I3773" s="1055"/>
      <c r="J3773" s="1055"/>
      <c r="K3773" s="1205"/>
      <c r="L3773" s="1055"/>
      <c r="M3773" s="1205"/>
      <c r="N3773" s="1054"/>
      <c r="O3773" s="1207"/>
      <c r="Q3773" s="1207"/>
    </row>
    <row r="3774" spans="3:17" s="700" customFormat="1" ht="70.5" hidden="1" customHeight="1">
      <c r="C3774" s="701"/>
      <c r="D3774" s="811"/>
      <c r="E3774" s="1276">
        <f>[11]building!Y4105</f>
        <v>0</v>
      </c>
      <c r="F3774" s="748">
        <f t="shared" si="297"/>
        <v>0</v>
      </c>
      <c r="G3774" s="1205"/>
      <c r="H3774" s="1055"/>
      <c r="I3774" s="1055"/>
      <c r="J3774" s="1055"/>
      <c r="K3774" s="1205"/>
      <c r="L3774" s="1055"/>
      <c r="M3774" s="1205"/>
      <c r="N3774" s="1054"/>
      <c r="O3774" s="1207"/>
      <c r="Q3774" s="1207"/>
    </row>
    <row r="3775" spans="3:17" s="700" customFormat="1" ht="70.5" hidden="1" customHeight="1">
      <c r="C3775" s="701"/>
      <c r="D3775" s="811"/>
      <c r="E3775" s="1276">
        <f>[11]building!Y4106</f>
        <v>0</v>
      </c>
      <c r="F3775" s="748">
        <f t="shared" si="297"/>
        <v>0</v>
      </c>
      <c r="G3775" s="1205"/>
      <c r="H3775" s="1055"/>
      <c r="I3775" s="1055"/>
      <c r="J3775" s="1055"/>
      <c r="K3775" s="1205"/>
      <c r="L3775" s="1055"/>
      <c r="M3775" s="1205"/>
      <c r="N3775" s="1054"/>
      <c r="O3775" s="1207"/>
      <c r="Q3775" s="1207"/>
    </row>
    <row r="3776" spans="3:17" s="700" customFormat="1" ht="70.5" hidden="1" customHeight="1">
      <c r="C3776" s="701"/>
      <c r="D3776" s="811"/>
      <c r="E3776" s="1276">
        <f>[11]building!Y4107</f>
        <v>0</v>
      </c>
      <c r="F3776" s="748">
        <f t="shared" ref="F3776:F3839" si="298">E3776*C3776</f>
        <v>0</v>
      </c>
      <c r="G3776" s="1205"/>
      <c r="H3776" s="1055"/>
      <c r="I3776" s="1055"/>
      <c r="J3776" s="1055"/>
      <c r="K3776" s="1205"/>
      <c r="L3776" s="1055"/>
      <c r="M3776" s="1205"/>
      <c r="N3776" s="1054"/>
      <c r="O3776" s="1207"/>
      <c r="Q3776" s="1207"/>
    </row>
    <row r="3777" spans="3:17" s="700" customFormat="1" ht="70.5" hidden="1" customHeight="1">
      <c r="C3777" s="701"/>
      <c r="D3777" s="811"/>
      <c r="E3777" s="1276">
        <f>[11]building!Y4108</f>
        <v>0</v>
      </c>
      <c r="F3777" s="748">
        <f t="shared" si="298"/>
        <v>0</v>
      </c>
      <c r="G3777" s="1205"/>
      <c r="H3777" s="1055"/>
      <c r="I3777" s="1055"/>
      <c r="J3777" s="1055"/>
      <c r="K3777" s="1205"/>
      <c r="L3777" s="1055"/>
      <c r="M3777" s="1205"/>
      <c r="N3777" s="1054"/>
      <c r="O3777" s="1207"/>
      <c r="Q3777" s="1207"/>
    </row>
    <row r="3778" spans="3:17" s="700" customFormat="1" ht="70.5" hidden="1" customHeight="1">
      <c r="C3778" s="701"/>
      <c r="D3778" s="811"/>
      <c r="E3778" s="1276">
        <f>[11]building!Y4109</f>
        <v>0</v>
      </c>
      <c r="F3778" s="748">
        <f t="shared" si="298"/>
        <v>0</v>
      </c>
      <c r="G3778" s="1205"/>
      <c r="H3778" s="1055"/>
      <c r="I3778" s="1055"/>
      <c r="J3778" s="1055"/>
      <c r="K3778" s="1205"/>
      <c r="L3778" s="1055"/>
      <c r="M3778" s="1205"/>
      <c r="N3778" s="1054"/>
      <c r="O3778" s="1207"/>
      <c r="Q3778" s="1207"/>
    </row>
    <row r="3779" spans="3:17" s="700" customFormat="1" ht="70.5" hidden="1" customHeight="1">
      <c r="C3779" s="701"/>
      <c r="D3779" s="811"/>
      <c r="E3779" s="1276">
        <f>[11]building!Y4110</f>
        <v>0</v>
      </c>
      <c r="F3779" s="748">
        <f t="shared" si="298"/>
        <v>0</v>
      </c>
      <c r="G3779" s="1205"/>
      <c r="H3779" s="1055"/>
      <c r="I3779" s="1055"/>
      <c r="J3779" s="1055"/>
      <c r="K3779" s="1205"/>
      <c r="L3779" s="1055"/>
      <c r="M3779" s="1205"/>
      <c r="N3779" s="1054"/>
      <c r="O3779" s="1207"/>
      <c r="Q3779" s="1207"/>
    </row>
    <row r="3780" spans="3:17" s="700" customFormat="1" ht="70.5" hidden="1" customHeight="1">
      <c r="C3780" s="701"/>
      <c r="D3780" s="811"/>
      <c r="E3780" s="1276">
        <f>[11]building!Y4111</f>
        <v>0</v>
      </c>
      <c r="F3780" s="748">
        <f t="shared" si="298"/>
        <v>0</v>
      </c>
      <c r="G3780" s="1205"/>
      <c r="H3780" s="1055"/>
      <c r="I3780" s="1055"/>
      <c r="J3780" s="1055"/>
      <c r="K3780" s="1205"/>
      <c r="L3780" s="1055"/>
      <c r="M3780" s="1205"/>
      <c r="N3780" s="1054"/>
      <c r="O3780" s="1207"/>
      <c r="Q3780" s="1207"/>
    </row>
    <row r="3781" spans="3:17" s="700" customFormat="1" ht="70.5" hidden="1" customHeight="1">
      <c r="C3781" s="701"/>
      <c r="D3781" s="811"/>
      <c r="E3781" s="1276">
        <f>[11]building!Y4112</f>
        <v>0</v>
      </c>
      <c r="F3781" s="748">
        <f t="shared" si="298"/>
        <v>0</v>
      </c>
      <c r="G3781" s="1205"/>
      <c r="H3781" s="1055"/>
      <c r="I3781" s="1055"/>
      <c r="J3781" s="1055"/>
      <c r="K3781" s="1205"/>
      <c r="L3781" s="1055"/>
      <c r="M3781" s="1205"/>
      <c r="N3781" s="1054"/>
      <c r="O3781" s="1207"/>
      <c r="Q3781" s="1207"/>
    </row>
    <row r="3782" spans="3:17" s="700" customFormat="1" ht="70.5" hidden="1" customHeight="1">
      <c r="C3782" s="701"/>
      <c r="D3782" s="811"/>
      <c r="E3782" s="1276">
        <f>[11]building!Y4113</f>
        <v>0</v>
      </c>
      <c r="F3782" s="748">
        <f t="shared" si="298"/>
        <v>0</v>
      </c>
      <c r="G3782" s="1205"/>
      <c r="H3782" s="1055"/>
      <c r="I3782" s="1055"/>
      <c r="J3782" s="1055"/>
      <c r="K3782" s="1205"/>
      <c r="L3782" s="1055"/>
      <c r="M3782" s="1205"/>
      <c r="N3782" s="1054"/>
      <c r="O3782" s="1207"/>
      <c r="Q3782" s="1207"/>
    </row>
    <row r="3783" spans="3:17" s="700" customFormat="1" ht="70.5" hidden="1" customHeight="1">
      <c r="C3783" s="701"/>
      <c r="D3783" s="811"/>
      <c r="E3783" s="1276">
        <f>[11]building!Y4114</f>
        <v>0</v>
      </c>
      <c r="F3783" s="748">
        <f t="shared" si="298"/>
        <v>0</v>
      </c>
      <c r="G3783" s="1205"/>
      <c r="H3783" s="1055"/>
      <c r="I3783" s="1055"/>
      <c r="J3783" s="1055"/>
      <c r="K3783" s="1205"/>
      <c r="L3783" s="1055"/>
      <c r="M3783" s="1205"/>
      <c r="N3783" s="1054"/>
      <c r="O3783" s="1207"/>
      <c r="Q3783" s="1207"/>
    </row>
    <row r="3784" spans="3:17" s="700" customFormat="1" ht="70.5" hidden="1" customHeight="1">
      <c r="C3784" s="701"/>
      <c r="D3784" s="811"/>
      <c r="E3784" s="1276">
        <f>[11]building!Y4115</f>
        <v>0</v>
      </c>
      <c r="F3784" s="748">
        <f t="shared" si="298"/>
        <v>0</v>
      </c>
      <c r="G3784" s="1205"/>
      <c r="H3784" s="1055"/>
      <c r="I3784" s="1055"/>
      <c r="J3784" s="1055"/>
      <c r="K3784" s="1205"/>
      <c r="L3784" s="1055"/>
      <c r="M3784" s="1205"/>
      <c r="N3784" s="1054"/>
      <c r="O3784" s="1207"/>
      <c r="Q3784" s="1207"/>
    </row>
    <row r="3785" spans="3:17" s="700" customFormat="1" ht="70.5" hidden="1" customHeight="1">
      <c r="C3785" s="701"/>
      <c r="D3785" s="811"/>
      <c r="E3785" s="1276">
        <f>[11]building!Y4116</f>
        <v>0</v>
      </c>
      <c r="F3785" s="748">
        <f t="shared" si="298"/>
        <v>0</v>
      </c>
      <c r="G3785" s="1205"/>
      <c r="H3785" s="1055"/>
      <c r="I3785" s="1055"/>
      <c r="J3785" s="1055"/>
      <c r="K3785" s="1205"/>
      <c r="L3785" s="1055"/>
      <c r="M3785" s="1205"/>
      <c r="N3785" s="1054"/>
      <c r="O3785" s="1207"/>
      <c r="Q3785" s="1207"/>
    </row>
    <row r="3786" spans="3:17" s="700" customFormat="1" ht="70.5" hidden="1" customHeight="1">
      <c r="C3786" s="701"/>
      <c r="D3786" s="811"/>
      <c r="E3786" s="1276">
        <f>[11]building!Y4117</f>
        <v>0</v>
      </c>
      <c r="F3786" s="748">
        <f t="shared" si="298"/>
        <v>0</v>
      </c>
      <c r="G3786" s="1205"/>
      <c r="H3786" s="1055"/>
      <c r="I3786" s="1055"/>
      <c r="J3786" s="1055"/>
      <c r="K3786" s="1205"/>
      <c r="L3786" s="1055"/>
      <c r="M3786" s="1205"/>
      <c r="N3786" s="1054"/>
      <c r="O3786" s="1207"/>
      <c r="Q3786" s="1207"/>
    </row>
    <row r="3787" spans="3:17" s="700" customFormat="1" ht="70.5" hidden="1" customHeight="1">
      <c r="C3787" s="701"/>
      <c r="D3787" s="811"/>
      <c r="E3787" s="1276">
        <f>[11]building!Y4118</f>
        <v>0</v>
      </c>
      <c r="F3787" s="748">
        <f t="shared" si="298"/>
        <v>0</v>
      </c>
      <c r="G3787" s="1205"/>
      <c r="H3787" s="1055"/>
      <c r="I3787" s="1055"/>
      <c r="J3787" s="1055"/>
      <c r="K3787" s="1205"/>
      <c r="L3787" s="1055"/>
      <c r="M3787" s="1205"/>
      <c r="N3787" s="1054"/>
      <c r="O3787" s="1207"/>
      <c r="Q3787" s="1207"/>
    </row>
    <row r="3788" spans="3:17" s="700" customFormat="1" ht="70.5" hidden="1" customHeight="1">
      <c r="C3788" s="701"/>
      <c r="D3788" s="811"/>
      <c r="E3788" s="1276">
        <f>[11]building!Y4119</f>
        <v>0</v>
      </c>
      <c r="F3788" s="748">
        <f t="shared" si="298"/>
        <v>0</v>
      </c>
      <c r="G3788" s="1205"/>
      <c r="H3788" s="1055"/>
      <c r="I3788" s="1055"/>
      <c r="J3788" s="1055"/>
      <c r="K3788" s="1205"/>
      <c r="L3788" s="1055"/>
      <c r="M3788" s="1205"/>
      <c r="N3788" s="1054"/>
      <c r="O3788" s="1207"/>
      <c r="Q3788" s="1207"/>
    </row>
    <row r="3789" spans="3:17" s="700" customFormat="1" ht="70.5" hidden="1" customHeight="1">
      <c r="C3789" s="701"/>
      <c r="D3789" s="811"/>
      <c r="E3789" s="1276">
        <f>[11]building!Y4120</f>
        <v>0</v>
      </c>
      <c r="F3789" s="748">
        <f t="shared" si="298"/>
        <v>0</v>
      </c>
      <c r="G3789" s="1205"/>
      <c r="H3789" s="1055"/>
      <c r="I3789" s="1055"/>
      <c r="J3789" s="1055"/>
      <c r="K3789" s="1205"/>
      <c r="L3789" s="1055"/>
      <c r="M3789" s="1205"/>
      <c r="N3789" s="1054"/>
      <c r="O3789" s="1207"/>
      <c r="Q3789" s="1207"/>
    </row>
    <row r="3790" spans="3:17" s="700" customFormat="1" ht="70.5" hidden="1" customHeight="1">
      <c r="C3790" s="701"/>
      <c r="D3790" s="811"/>
      <c r="E3790" s="1276">
        <f>[11]building!Y4121</f>
        <v>0</v>
      </c>
      <c r="F3790" s="748">
        <f t="shared" si="298"/>
        <v>0</v>
      </c>
      <c r="G3790" s="1205"/>
      <c r="H3790" s="1055"/>
      <c r="I3790" s="1055"/>
      <c r="J3790" s="1055"/>
      <c r="K3790" s="1205"/>
      <c r="L3790" s="1055"/>
      <c r="M3790" s="1205"/>
      <c r="N3790" s="1054"/>
      <c r="O3790" s="1207"/>
      <c r="Q3790" s="1207"/>
    </row>
    <row r="3791" spans="3:17" s="700" customFormat="1" ht="70.5" hidden="1" customHeight="1">
      <c r="C3791" s="701"/>
      <c r="D3791" s="811"/>
      <c r="E3791" s="1276">
        <f>[11]building!Y4122</f>
        <v>0</v>
      </c>
      <c r="F3791" s="748">
        <f t="shared" si="298"/>
        <v>0</v>
      </c>
      <c r="G3791" s="1205"/>
      <c r="H3791" s="1055"/>
      <c r="I3791" s="1055"/>
      <c r="J3791" s="1055"/>
      <c r="K3791" s="1205"/>
      <c r="L3791" s="1055"/>
      <c r="M3791" s="1205"/>
      <c r="N3791" s="1054"/>
      <c r="O3791" s="1207"/>
      <c r="Q3791" s="1207"/>
    </row>
    <row r="3792" spans="3:17" s="700" customFormat="1" ht="70.5" hidden="1" customHeight="1">
      <c r="C3792" s="701"/>
      <c r="D3792" s="811"/>
      <c r="E3792" s="1276">
        <f>[11]building!Y4123</f>
        <v>0</v>
      </c>
      <c r="F3792" s="748">
        <f t="shared" si="298"/>
        <v>0</v>
      </c>
      <c r="G3792" s="1205"/>
      <c r="H3792" s="1055"/>
      <c r="I3792" s="1055"/>
      <c r="J3792" s="1055"/>
      <c r="K3792" s="1205"/>
      <c r="L3792" s="1055"/>
      <c r="M3792" s="1205"/>
      <c r="N3792" s="1054"/>
      <c r="O3792" s="1207"/>
      <c r="Q3792" s="1207"/>
    </row>
    <row r="3793" spans="3:17" s="700" customFormat="1" ht="70.5" hidden="1" customHeight="1">
      <c r="C3793" s="701"/>
      <c r="D3793" s="811"/>
      <c r="E3793" s="1276">
        <f>[11]building!Y4124</f>
        <v>0</v>
      </c>
      <c r="F3793" s="748">
        <f t="shared" si="298"/>
        <v>0</v>
      </c>
      <c r="G3793" s="1205"/>
      <c r="H3793" s="1055"/>
      <c r="I3793" s="1055"/>
      <c r="J3793" s="1055"/>
      <c r="K3793" s="1205"/>
      <c r="L3793" s="1055"/>
      <c r="M3793" s="1205"/>
      <c r="N3793" s="1054"/>
      <c r="O3793" s="1207"/>
      <c r="Q3793" s="1207"/>
    </row>
    <row r="3794" spans="3:17" s="700" customFormat="1" ht="70.5" hidden="1" customHeight="1">
      <c r="C3794" s="701"/>
      <c r="D3794" s="811"/>
      <c r="E3794" s="1276">
        <f>[11]building!Y4125</f>
        <v>0</v>
      </c>
      <c r="F3794" s="748">
        <f t="shared" si="298"/>
        <v>0</v>
      </c>
      <c r="G3794" s="1205"/>
      <c r="H3794" s="1055"/>
      <c r="I3794" s="1055"/>
      <c r="J3794" s="1055"/>
      <c r="K3794" s="1205"/>
      <c r="L3794" s="1055"/>
      <c r="M3794" s="1205"/>
      <c r="N3794" s="1054"/>
      <c r="O3794" s="1207"/>
      <c r="Q3794" s="1207"/>
    </row>
    <row r="3795" spans="3:17" s="700" customFormat="1" ht="70.5" hidden="1" customHeight="1">
      <c r="C3795" s="701"/>
      <c r="D3795" s="811"/>
      <c r="E3795" s="1276">
        <f>[11]building!Y4126</f>
        <v>0</v>
      </c>
      <c r="F3795" s="748">
        <f t="shared" si="298"/>
        <v>0</v>
      </c>
      <c r="G3795" s="1205"/>
      <c r="H3795" s="1055"/>
      <c r="I3795" s="1055"/>
      <c r="J3795" s="1055"/>
      <c r="K3795" s="1205"/>
      <c r="L3795" s="1055"/>
      <c r="M3795" s="1205"/>
      <c r="N3795" s="1054"/>
      <c r="O3795" s="1207"/>
      <c r="Q3795" s="1207"/>
    </row>
    <row r="3796" spans="3:17" s="700" customFormat="1" ht="70.5" hidden="1" customHeight="1">
      <c r="C3796" s="701"/>
      <c r="D3796" s="811"/>
      <c r="E3796" s="1276">
        <f>[11]building!Y4127</f>
        <v>0</v>
      </c>
      <c r="F3796" s="748">
        <f t="shared" si="298"/>
        <v>0</v>
      </c>
      <c r="G3796" s="1205"/>
      <c r="H3796" s="1055"/>
      <c r="I3796" s="1055"/>
      <c r="J3796" s="1055"/>
      <c r="K3796" s="1205"/>
      <c r="L3796" s="1055"/>
      <c r="M3796" s="1205"/>
      <c r="N3796" s="1054"/>
      <c r="O3796" s="1207"/>
      <c r="Q3796" s="1207"/>
    </row>
    <row r="3797" spans="3:17" s="700" customFormat="1" ht="70.5" hidden="1" customHeight="1">
      <c r="C3797" s="701"/>
      <c r="D3797" s="811"/>
      <c r="E3797" s="1276">
        <f>[11]building!Y4128</f>
        <v>0</v>
      </c>
      <c r="F3797" s="748">
        <f t="shared" si="298"/>
        <v>0</v>
      </c>
      <c r="G3797" s="1205"/>
      <c r="H3797" s="1055"/>
      <c r="I3797" s="1055"/>
      <c r="J3797" s="1055"/>
      <c r="K3797" s="1205"/>
      <c r="L3797" s="1055"/>
      <c r="M3797" s="1205"/>
      <c r="N3797" s="1054"/>
      <c r="O3797" s="1207"/>
      <c r="Q3797" s="1207"/>
    </row>
    <row r="3798" spans="3:17" s="700" customFormat="1" ht="70.5" hidden="1" customHeight="1">
      <c r="C3798" s="701"/>
      <c r="D3798" s="811"/>
      <c r="E3798" s="1276">
        <f>[11]building!Y4129</f>
        <v>0</v>
      </c>
      <c r="F3798" s="748">
        <f t="shared" si="298"/>
        <v>0</v>
      </c>
      <c r="G3798" s="1205"/>
      <c r="H3798" s="1055"/>
      <c r="I3798" s="1055"/>
      <c r="J3798" s="1055"/>
      <c r="K3798" s="1205"/>
      <c r="L3798" s="1055"/>
      <c r="M3798" s="1205"/>
      <c r="N3798" s="1054"/>
      <c r="O3798" s="1207"/>
      <c r="Q3798" s="1207"/>
    </row>
    <row r="3799" spans="3:17" s="700" customFormat="1" ht="70.5" hidden="1" customHeight="1">
      <c r="C3799" s="701"/>
      <c r="D3799" s="811"/>
      <c r="E3799" s="1276">
        <f>[11]building!Y4130</f>
        <v>0</v>
      </c>
      <c r="F3799" s="748">
        <f t="shared" si="298"/>
        <v>0</v>
      </c>
      <c r="G3799" s="1205"/>
      <c r="H3799" s="1055"/>
      <c r="I3799" s="1055"/>
      <c r="J3799" s="1055"/>
      <c r="K3799" s="1205"/>
      <c r="L3799" s="1055"/>
      <c r="M3799" s="1205"/>
      <c r="N3799" s="1054"/>
      <c r="O3799" s="1207"/>
      <c r="Q3799" s="1207"/>
    </row>
    <row r="3800" spans="3:17" s="700" customFormat="1" ht="70.5" hidden="1" customHeight="1">
      <c r="C3800" s="701"/>
      <c r="D3800" s="811"/>
      <c r="E3800" s="1276">
        <f>[11]building!Y4131</f>
        <v>0</v>
      </c>
      <c r="F3800" s="748">
        <f t="shared" si="298"/>
        <v>0</v>
      </c>
      <c r="G3800" s="1205"/>
      <c r="H3800" s="1055"/>
      <c r="I3800" s="1055"/>
      <c r="J3800" s="1055"/>
      <c r="K3800" s="1205"/>
      <c r="L3800" s="1055"/>
      <c r="M3800" s="1205"/>
      <c r="N3800" s="1054"/>
      <c r="O3800" s="1207"/>
      <c r="Q3800" s="1207"/>
    </row>
    <row r="3801" spans="3:17" s="700" customFormat="1" ht="70.5" hidden="1" customHeight="1">
      <c r="C3801" s="701"/>
      <c r="D3801" s="811"/>
      <c r="E3801" s="1276">
        <f>[11]building!Y4132</f>
        <v>0</v>
      </c>
      <c r="F3801" s="748">
        <f t="shared" si="298"/>
        <v>0</v>
      </c>
      <c r="G3801" s="1205"/>
      <c r="H3801" s="1055"/>
      <c r="I3801" s="1055"/>
      <c r="J3801" s="1055"/>
      <c r="K3801" s="1205"/>
      <c r="L3801" s="1055"/>
      <c r="M3801" s="1205"/>
      <c r="N3801" s="1054"/>
      <c r="O3801" s="1207"/>
      <c r="Q3801" s="1207"/>
    </row>
    <row r="3802" spans="3:17" s="700" customFormat="1" ht="70.5" hidden="1" customHeight="1">
      <c r="C3802" s="701"/>
      <c r="D3802" s="811"/>
      <c r="E3802" s="1276">
        <f>[11]building!Y4133</f>
        <v>0</v>
      </c>
      <c r="F3802" s="748">
        <f t="shared" si="298"/>
        <v>0</v>
      </c>
      <c r="G3802" s="1205"/>
      <c r="H3802" s="1055"/>
      <c r="I3802" s="1055"/>
      <c r="J3802" s="1055"/>
      <c r="K3802" s="1205"/>
      <c r="L3802" s="1055"/>
      <c r="M3802" s="1205"/>
      <c r="N3802" s="1054"/>
      <c r="O3802" s="1207"/>
      <c r="Q3802" s="1207"/>
    </row>
    <row r="3803" spans="3:17" s="700" customFormat="1" ht="70.5" hidden="1" customHeight="1">
      <c r="C3803" s="701"/>
      <c r="D3803" s="811"/>
      <c r="E3803" s="1276">
        <f>[11]building!Y4134</f>
        <v>0</v>
      </c>
      <c r="F3803" s="748">
        <f t="shared" si="298"/>
        <v>0</v>
      </c>
      <c r="G3803" s="1205"/>
      <c r="H3803" s="1055"/>
      <c r="I3803" s="1055"/>
      <c r="J3803" s="1055"/>
      <c r="K3803" s="1205"/>
      <c r="L3803" s="1055"/>
      <c r="M3803" s="1205"/>
      <c r="N3803" s="1054"/>
      <c r="O3803" s="1207"/>
      <c r="Q3803" s="1207"/>
    </row>
    <row r="3804" spans="3:17" s="700" customFormat="1" ht="70.5" hidden="1" customHeight="1">
      <c r="C3804" s="701"/>
      <c r="D3804" s="811"/>
      <c r="E3804" s="1276">
        <f>[11]building!Y4135</f>
        <v>0</v>
      </c>
      <c r="F3804" s="748">
        <f t="shared" si="298"/>
        <v>0</v>
      </c>
      <c r="G3804" s="1205"/>
      <c r="H3804" s="1055"/>
      <c r="I3804" s="1055"/>
      <c r="J3804" s="1055"/>
      <c r="K3804" s="1205"/>
      <c r="L3804" s="1055"/>
      <c r="M3804" s="1205"/>
      <c r="N3804" s="1054"/>
      <c r="O3804" s="1207"/>
      <c r="Q3804" s="1207"/>
    </row>
    <row r="3805" spans="3:17" s="700" customFormat="1" ht="70.5" hidden="1" customHeight="1">
      <c r="C3805" s="701"/>
      <c r="D3805" s="811"/>
      <c r="E3805" s="1276">
        <f>[11]building!Y4136</f>
        <v>0</v>
      </c>
      <c r="F3805" s="748">
        <f t="shared" si="298"/>
        <v>0</v>
      </c>
      <c r="G3805" s="1205"/>
      <c r="H3805" s="1055"/>
      <c r="I3805" s="1055"/>
      <c r="J3805" s="1055"/>
      <c r="K3805" s="1205"/>
      <c r="L3805" s="1055"/>
      <c r="M3805" s="1205"/>
      <c r="N3805" s="1054"/>
      <c r="O3805" s="1207"/>
      <c r="Q3805" s="1207"/>
    </row>
    <row r="3806" spans="3:17" s="700" customFormat="1" ht="70.5" hidden="1" customHeight="1">
      <c r="C3806" s="701"/>
      <c r="D3806" s="811"/>
      <c r="E3806" s="1276">
        <f>[11]building!Y4137</f>
        <v>0</v>
      </c>
      <c r="F3806" s="748">
        <f t="shared" si="298"/>
        <v>0</v>
      </c>
      <c r="G3806" s="1205"/>
      <c r="H3806" s="1055"/>
      <c r="I3806" s="1055"/>
      <c r="J3806" s="1055"/>
      <c r="K3806" s="1205"/>
      <c r="L3806" s="1055"/>
      <c r="M3806" s="1205"/>
      <c r="N3806" s="1054"/>
      <c r="O3806" s="1207"/>
      <c r="Q3806" s="1207"/>
    </row>
    <row r="3807" spans="3:17" s="700" customFormat="1" ht="70.5" hidden="1" customHeight="1">
      <c r="C3807" s="701"/>
      <c r="D3807" s="811"/>
      <c r="E3807" s="1276">
        <f>[11]building!Y4138</f>
        <v>0</v>
      </c>
      <c r="F3807" s="748">
        <f t="shared" si="298"/>
        <v>0</v>
      </c>
      <c r="G3807" s="1205"/>
      <c r="H3807" s="1055"/>
      <c r="I3807" s="1055"/>
      <c r="J3807" s="1055"/>
      <c r="K3807" s="1205"/>
      <c r="L3807" s="1055"/>
      <c r="M3807" s="1205"/>
      <c r="N3807" s="1054"/>
      <c r="O3807" s="1207"/>
      <c r="Q3807" s="1207"/>
    </row>
    <row r="3808" spans="3:17" s="700" customFormat="1" ht="70.5" hidden="1" customHeight="1">
      <c r="C3808" s="701"/>
      <c r="D3808" s="811"/>
      <c r="E3808" s="1276">
        <f>[11]building!Y4139</f>
        <v>0</v>
      </c>
      <c r="F3808" s="748">
        <f t="shared" si="298"/>
        <v>0</v>
      </c>
      <c r="G3808" s="1205"/>
      <c r="H3808" s="1055"/>
      <c r="I3808" s="1055"/>
      <c r="J3808" s="1055"/>
      <c r="K3808" s="1205"/>
      <c r="L3808" s="1055"/>
      <c r="M3808" s="1205"/>
      <c r="N3808" s="1054"/>
      <c r="O3808" s="1207"/>
      <c r="Q3808" s="1207"/>
    </row>
    <row r="3809" spans="3:17" s="700" customFormat="1" ht="70.5" hidden="1" customHeight="1">
      <c r="C3809" s="701"/>
      <c r="D3809" s="811"/>
      <c r="E3809" s="1276">
        <f>[11]building!Y4140</f>
        <v>0</v>
      </c>
      <c r="F3809" s="748">
        <f t="shared" si="298"/>
        <v>0</v>
      </c>
      <c r="G3809" s="1205"/>
      <c r="H3809" s="1055"/>
      <c r="I3809" s="1055"/>
      <c r="J3809" s="1055"/>
      <c r="K3809" s="1205"/>
      <c r="L3809" s="1055"/>
      <c r="M3809" s="1205"/>
      <c r="N3809" s="1054"/>
      <c r="O3809" s="1207"/>
      <c r="Q3809" s="1207"/>
    </row>
    <row r="3810" spans="3:17" s="700" customFormat="1" ht="70.5" hidden="1" customHeight="1">
      <c r="C3810" s="701"/>
      <c r="D3810" s="811"/>
      <c r="E3810" s="1276">
        <f>[11]building!Y4141</f>
        <v>0</v>
      </c>
      <c r="F3810" s="748">
        <f t="shared" si="298"/>
        <v>0</v>
      </c>
      <c r="G3810" s="1205"/>
      <c r="H3810" s="1055"/>
      <c r="I3810" s="1055"/>
      <c r="J3810" s="1055"/>
      <c r="K3810" s="1205"/>
      <c r="L3810" s="1055"/>
      <c r="M3810" s="1205"/>
      <c r="N3810" s="1054"/>
      <c r="O3810" s="1207"/>
      <c r="Q3810" s="1207"/>
    </row>
    <row r="3811" spans="3:17" s="700" customFormat="1" ht="70.5" hidden="1" customHeight="1">
      <c r="C3811" s="701"/>
      <c r="D3811" s="811"/>
      <c r="E3811" s="1276">
        <f>[11]building!Y4142</f>
        <v>0</v>
      </c>
      <c r="F3811" s="748">
        <f t="shared" si="298"/>
        <v>0</v>
      </c>
      <c r="G3811" s="1205"/>
      <c r="H3811" s="1055"/>
      <c r="I3811" s="1055"/>
      <c r="J3811" s="1055"/>
      <c r="K3811" s="1205"/>
      <c r="L3811" s="1055"/>
      <c r="M3811" s="1205"/>
      <c r="N3811" s="1054"/>
      <c r="O3811" s="1207"/>
      <c r="Q3811" s="1207"/>
    </row>
    <row r="3812" spans="3:17" s="700" customFormat="1" ht="70.5" hidden="1" customHeight="1">
      <c r="C3812" s="701"/>
      <c r="D3812" s="811"/>
      <c r="E3812" s="1276">
        <f>[11]building!Y4143</f>
        <v>0</v>
      </c>
      <c r="F3812" s="748">
        <f t="shared" si="298"/>
        <v>0</v>
      </c>
      <c r="G3812" s="1205"/>
      <c r="H3812" s="1055"/>
      <c r="I3812" s="1055"/>
      <c r="J3812" s="1055"/>
      <c r="K3812" s="1205"/>
      <c r="L3812" s="1055"/>
      <c r="M3812" s="1205"/>
      <c r="N3812" s="1054"/>
      <c r="O3812" s="1207"/>
      <c r="Q3812" s="1207"/>
    </row>
    <row r="3813" spans="3:17" s="700" customFormat="1" ht="70.5" hidden="1" customHeight="1">
      <c r="C3813" s="701"/>
      <c r="D3813" s="811"/>
      <c r="E3813" s="1276">
        <f>[11]building!Y4144</f>
        <v>0</v>
      </c>
      <c r="F3813" s="748">
        <f t="shared" si="298"/>
        <v>0</v>
      </c>
      <c r="G3813" s="1205"/>
      <c r="H3813" s="1055"/>
      <c r="I3813" s="1055"/>
      <c r="J3813" s="1055"/>
      <c r="K3813" s="1205"/>
      <c r="L3813" s="1055"/>
      <c r="M3813" s="1205"/>
      <c r="N3813" s="1054"/>
      <c r="O3813" s="1207"/>
      <c r="Q3813" s="1207"/>
    </row>
    <row r="3814" spans="3:17" s="700" customFormat="1" ht="70.5" hidden="1" customHeight="1">
      <c r="C3814" s="701"/>
      <c r="D3814" s="811"/>
      <c r="E3814" s="1276">
        <f>[11]building!Y4145</f>
        <v>0</v>
      </c>
      <c r="F3814" s="748">
        <f t="shared" si="298"/>
        <v>0</v>
      </c>
      <c r="G3814" s="1205"/>
      <c r="H3814" s="1055"/>
      <c r="I3814" s="1055"/>
      <c r="J3814" s="1055"/>
      <c r="K3814" s="1205"/>
      <c r="L3814" s="1055"/>
      <c r="M3814" s="1205"/>
      <c r="N3814" s="1054"/>
      <c r="O3814" s="1207"/>
      <c r="Q3814" s="1207"/>
    </row>
    <row r="3815" spans="3:17" s="700" customFormat="1" ht="70.5" hidden="1" customHeight="1">
      <c r="C3815" s="701"/>
      <c r="D3815" s="811"/>
      <c r="E3815" s="1276">
        <f>[11]building!Y4146</f>
        <v>0</v>
      </c>
      <c r="F3815" s="748">
        <f t="shared" si="298"/>
        <v>0</v>
      </c>
      <c r="G3815" s="1205"/>
      <c r="H3815" s="1055"/>
      <c r="I3815" s="1055"/>
      <c r="J3815" s="1055"/>
      <c r="K3815" s="1205"/>
      <c r="L3815" s="1055"/>
      <c r="M3815" s="1205"/>
      <c r="N3815" s="1054"/>
      <c r="O3815" s="1207"/>
      <c r="Q3815" s="1207"/>
    </row>
    <row r="3816" spans="3:17" s="700" customFormat="1" ht="70.5" hidden="1" customHeight="1">
      <c r="C3816" s="701"/>
      <c r="D3816" s="811"/>
      <c r="E3816" s="1276">
        <f>[11]building!Y4147</f>
        <v>0</v>
      </c>
      <c r="F3816" s="748">
        <f t="shared" si="298"/>
        <v>0</v>
      </c>
      <c r="G3816" s="1205"/>
      <c r="H3816" s="1055"/>
      <c r="I3816" s="1055"/>
      <c r="J3816" s="1055"/>
      <c r="K3816" s="1205"/>
      <c r="L3816" s="1055"/>
      <c r="M3816" s="1205"/>
      <c r="N3816" s="1054"/>
      <c r="O3816" s="1207"/>
      <c r="Q3816" s="1207"/>
    </row>
    <row r="3817" spans="3:17" s="700" customFormat="1" ht="70.5" hidden="1" customHeight="1">
      <c r="C3817" s="701"/>
      <c r="D3817" s="811"/>
      <c r="E3817" s="1276">
        <f>[11]building!Y4148</f>
        <v>0</v>
      </c>
      <c r="F3817" s="748">
        <f t="shared" si="298"/>
        <v>0</v>
      </c>
      <c r="G3817" s="1205"/>
      <c r="H3817" s="1055"/>
      <c r="I3817" s="1055"/>
      <c r="J3817" s="1055"/>
      <c r="K3817" s="1205"/>
      <c r="L3817" s="1055"/>
      <c r="M3817" s="1205"/>
      <c r="N3817" s="1054"/>
      <c r="O3817" s="1207"/>
      <c r="Q3817" s="1207"/>
    </row>
    <row r="3818" spans="3:17" s="700" customFormat="1" ht="70.5" hidden="1" customHeight="1">
      <c r="C3818" s="701"/>
      <c r="D3818" s="811"/>
      <c r="E3818" s="1276">
        <f>[11]building!Y4149</f>
        <v>0</v>
      </c>
      <c r="F3818" s="748">
        <f t="shared" si="298"/>
        <v>0</v>
      </c>
      <c r="G3818" s="1205"/>
      <c r="H3818" s="1055"/>
      <c r="I3818" s="1055"/>
      <c r="J3818" s="1055"/>
      <c r="K3818" s="1205"/>
      <c r="L3818" s="1055"/>
      <c r="M3818" s="1205"/>
      <c r="N3818" s="1054"/>
      <c r="O3818" s="1207"/>
      <c r="Q3818" s="1207"/>
    </row>
    <row r="3819" spans="3:17" s="700" customFormat="1" ht="70.5" hidden="1" customHeight="1">
      <c r="C3819" s="701"/>
      <c r="D3819" s="811"/>
      <c r="E3819" s="1276">
        <f>[11]building!Y4150</f>
        <v>0</v>
      </c>
      <c r="F3819" s="748">
        <f t="shared" si="298"/>
        <v>0</v>
      </c>
      <c r="G3819" s="1205"/>
      <c r="H3819" s="1055"/>
      <c r="I3819" s="1055"/>
      <c r="J3819" s="1055"/>
      <c r="K3819" s="1205"/>
      <c r="L3819" s="1055"/>
      <c r="M3819" s="1205"/>
      <c r="N3819" s="1054"/>
      <c r="O3819" s="1207"/>
      <c r="Q3819" s="1207"/>
    </row>
    <row r="3820" spans="3:17" s="700" customFormat="1" ht="70.5" hidden="1" customHeight="1">
      <c r="C3820" s="701"/>
      <c r="D3820" s="811"/>
      <c r="E3820" s="1276">
        <f>[11]building!Y4151</f>
        <v>0</v>
      </c>
      <c r="F3820" s="748">
        <f t="shared" si="298"/>
        <v>0</v>
      </c>
      <c r="G3820" s="1205"/>
      <c r="H3820" s="1055"/>
      <c r="I3820" s="1055"/>
      <c r="J3820" s="1055"/>
      <c r="K3820" s="1205"/>
      <c r="L3820" s="1055"/>
      <c r="M3820" s="1205"/>
      <c r="N3820" s="1054"/>
      <c r="O3820" s="1207"/>
      <c r="Q3820" s="1207"/>
    </row>
    <row r="3821" spans="3:17" s="700" customFormat="1" ht="70.5" hidden="1" customHeight="1">
      <c r="C3821" s="701"/>
      <c r="D3821" s="811"/>
      <c r="E3821" s="1276">
        <f>[11]building!Y4152</f>
        <v>0</v>
      </c>
      <c r="F3821" s="748">
        <f t="shared" si="298"/>
        <v>0</v>
      </c>
      <c r="G3821" s="1205"/>
      <c r="H3821" s="1055"/>
      <c r="I3821" s="1055"/>
      <c r="J3821" s="1055"/>
      <c r="K3821" s="1205"/>
      <c r="L3821" s="1055"/>
      <c r="M3821" s="1205"/>
      <c r="N3821" s="1054"/>
      <c r="O3821" s="1207"/>
      <c r="Q3821" s="1207"/>
    </row>
    <row r="3822" spans="3:17" s="700" customFormat="1" ht="70.5" hidden="1" customHeight="1">
      <c r="C3822" s="701"/>
      <c r="D3822" s="811"/>
      <c r="E3822" s="1276">
        <f>[11]building!Y4153</f>
        <v>0</v>
      </c>
      <c r="F3822" s="748">
        <f t="shared" si="298"/>
        <v>0</v>
      </c>
      <c r="G3822" s="1205"/>
      <c r="H3822" s="1055"/>
      <c r="I3822" s="1055"/>
      <c r="J3822" s="1055"/>
      <c r="K3822" s="1205"/>
      <c r="L3822" s="1055"/>
      <c r="M3822" s="1205"/>
      <c r="N3822" s="1054"/>
      <c r="O3822" s="1207"/>
      <c r="Q3822" s="1207"/>
    </row>
    <row r="3823" spans="3:17" s="700" customFormat="1" ht="70.5" hidden="1" customHeight="1">
      <c r="C3823" s="701"/>
      <c r="D3823" s="811"/>
      <c r="E3823" s="1276">
        <f>[11]building!Y4154</f>
        <v>0</v>
      </c>
      <c r="F3823" s="748">
        <f t="shared" si="298"/>
        <v>0</v>
      </c>
      <c r="G3823" s="1205"/>
      <c r="H3823" s="1055"/>
      <c r="I3823" s="1055"/>
      <c r="J3823" s="1055"/>
      <c r="K3823" s="1205"/>
      <c r="L3823" s="1055"/>
      <c r="M3823" s="1205"/>
      <c r="N3823" s="1054"/>
      <c r="O3823" s="1207"/>
      <c r="Q3823" s="1207"/>
    </row>
    <row r="3824" spans="3:17" s="700" customFormat="1" ht="70.5" hidden="1" customHeight="1">
      <c r="C3824" s="701"/>
      <c r="D3824" s="811"/>
      <c r="E3824" s="1276">
        <f>[11]building!Y4155</f>
        <v>0</v>
      </c>
      <c r="F3824" s="748">
        <f t="shared" si="298"/>
        <v>0</v>
      </c>
      <c r="G3824" s="1205"/>
      <c r="H3824" s="1055"/>
      <c r="I3824" s="1055"/>
      <c r="J3824" s="1055"/>
      <c r="K3824" s="1205"/>
      <c r="L3824" s="1055"/>
      <c r="M3824" s="1205"/>
      <c r="N3824" s="1054"/>
      <c r="O3824" s="1207"/>
      <c r="Q3824" s="1207"/>
    </row>
    <row r="3825" spans="3:17" s="700" customFormat="1" ht="70.5" hidden="1" customHeight="1">
      <c r="C3825" s="701"/>
      <c r="D3825" s="811"/>
      <c r="E3825" s="1276">
        <f>[11]building!Y4156</f>
        <v>0</v>
      </c>
      <c r="F3825" s="748">
        <f t="shared" si="298"/>
        <v>0</v>
      </c>
      <c r="G3825" s="1205"/>
      <c r="H3825" s="1055"/>
      <c r="I3825" s="1055"/>
      <c r="J3825" s="1055"/>
      <c r="K3825" s="1205"/>
      <c r="L3825" s="1055"/>
      <c r="M3825" s="1205"/>
      <c r="N3825" s="1054"/>
      <c r="O3825" s="1207"/>
      <c r="Q3825" s="1207"/>
    </row>
    <row r="3826" spans="3:17" s="700" customFormat="1" ht="70.5" hidden="1" customHeight="1">
      <c r="C3826" s="701"/>
      <c r="D3826" s="811"/>
      <c r="E3826" s="1276">
        <f>[11]building!Y4157</f>
        <v>0</v>
      </c>
      <c r="F3826" s="748">
        <f t="shared" si="298"/>
        <v>0</v>
      </c>
      <c r="G3826" s="1205"/>
      <c r="H3826" s="1055"/>
      <c r="I3826" s="1055"/>
      <c r="J3826" s="1055"/>
      <c r="K3826" s="1205"/>
      <c r="L3826" s="1055"/>
      <c r="M3826" s="1205"/>
      <c r="N3826" s="1054"/>
      <c r="O3826" s="1207"/>
      <c r="Q3826" s="1207"/>
    </row>
    <row r="3827" spans="3:17" s="700" customFormat="1" ht="70.5" hidden="1" customHeight="1">
      <c r="C3827" s="701"/>
      <c r="D3827" s="811"/>
      <c r="E3827" s="1276">
        <f>[11]building!Y4158</f>
        <v>0</v>
      </c>
      <c r="F3827" s="748">
        <f t="shared" si="298"/>
        <v>0</v>
      </c>
      <c r="G3827" s="1205"/>
      <c r="H3827" s="1055"/>
      <c r="I3827" s="1055"/>
      <c r="J3827" s="1055"/>
      <c r="K3827" s="1205"/>
      <c r="L3827" s="1055"/>
      <c r="M3827" s="1205"/>
      <c r="N3827" s="1054"/>
      <c r="O3827" s="1207"/>
      <c r="Q3827" s="1207"/>
    </row>
    <row r="3828" spans="3:17" s="700" customFormat="1" ht="70.5" hidden="1" customHeight="1">
      <c r="C3828" s="701"/>
      <c r="D3828" s="811"/>
      <c r="E3828" s="1276">
        <f>[11]building!Y4159</f>
        <v>0</v>
      </c>
      <c r="F3828" s="748">
        <f t="shared" si="298"/>
        <v>0</v>
      </c>
      <c r="G3828" s="1205"/>
      <c r="H3828" s="1055"/>
      <c r="I3828" s="1055"/>
      <c r="J3828" s="1055"/>
      <c r="K3828" s="1205"/>
      <c r="L3828" s="1055"/>
      <c r="M3828" s="1205"/>
      <c r="N3828" s="1054"/>
      <c r="O3828" s="1207"/>
      <c r="Q3828" s="1207"/>
    </row>
    <row r="3829" spans="3:17" s="700" customFormat="1" ht="70.5" hidden="1" customHeight="1">
      <c r="C3829" s="701"/>
      <c r="D3829" s="811"/>
      <c r="E3829" s="1276">
        <f>[11]building!Y4160</f>
        <v>0</v>
      </c>
      <c r="F3829" s="748">
        <f t="shared" si="298"/>
        <v>0</v>
      </c>
      <c r="G3829" s="1205"/>
      <c r="H3829" s="1055"/>
      <c r="I3829" s="1055"/>
      <c r="J3829" s="1055"/>
      <c r="K3829" s="1205"/>
      <c r="L3829" s="1055"/>
      <c r="M3829" s="1205"/>
      <c r="N3829" s="1054"/>
      <c r="O3829" s="1207"/>
      <c r="Q3829" s="1207"/>
    </row>
    <row r="3830" spans="3:17" s="700" customFormat="1" ht="70.5" hidden="1" customHeight="1">
      <c r="C3830" s="701"/>
      <c r="D3830" s="811"/>
      <c r="E3830" s="1276">
        <f>[11]building!Y4161</f>
        <v>0</v>
      </c>
      <c r="F3830" s="748">
        <f t="shared" si="298"/>
        <v>0</v>
      </c>
      <c r="G3830" s="1205"/>
      <c r="H3830" s="1055"/>
      <c r="I3830" s="1055"/>
      <c r="J3830" s="1055"/>
      <c r="K3830" s="1205"/>
      <c r="L3830" s="1055"/>
      <c r="M3830" s="1205"/>
      <c r="N3830" s="1054"/>
      <c r="O3830" s="1207"/>
      <c r="Q3830" s="1207"/>
    </row>
    <row r="3831" spans="3:17" s="700" customFormat="1" ht="70.5" hidden="1" customHeight="1">
      <c r="C3831" s="701"/>
      <c r="D3831" s="811"/>
      <c r="E3831" s="1276">
        <f>[11]building!Y4162</f>
        <v>0</v>
      </c>
      <c r="F3831" s="748">
        <f t="shared" si="298"/>
        <v>0</v>
      </c>
      <c r="G3831" s="1205"/>
      <c r="H3831" s="1055"/>
      <c r="I3831" s="1055"/>
      <c r="J3831" s="1055"/>
      <c r="K3831" s="1205"/>
      <c r="L3831" s="1055"/>
      <c r="M3831" s="1205"/>
      <c r="N3831" s="1054"/>
      <c r="O3831" s="1207"/>
      <c r="Q3831" s="1207"/>
    </row>
    <row r="3832" spans="3:17" s="700" customFormat="1" ht="70.5" hidden="1" customHeight="1">
      <c r="C3832" s="701"/>
      <c r="D3832" s="811"/>
      <c r="E3832" s="1276">
        <f>[11]building!Y4163</f>
        <v>0</v>
      </c>
      <c r="F3832" s="748">
        <f t="shared" si="298"/>
        <v>0</v>
      </c>
      <c r="G3832" s="1205"/>
      <c r="H3832" s="1055"/>
      <c r="I3832" s="1055"/>
      <c r="J3832" s="1055"/>
      <c r="K3832" s="1205"/>
      <c r="L3832" s="1055"/>
      <c r="M3832" s="1205"/>
      <c r="N3832" s="1054"/>
      <c r="O3832" s="1207"/>
      <c r="Q3832" s="1207"/>
    </row>
    <row r="3833" spans="3:17" s="700" customFormat="1" ht="70.5" hidden="1" customHeight="1">
      <c r="C3833" s="701"/>
      <c r="D3833" s="811"/>
      <c r="E3833" s="1276">
        <f>[11]building!Y4164</f>
        <v>0</v>
      </c>
      <c r="F3833" s="748">
        <f t="shared" si="298"/>
        <v>0</v>
      </c>
      <c r="G3833" s="1205"/>
      <c r="H3833" s="1055"/>
      <c r="I3833" s="1055"/>
      <c r="J3833" s="1055"/>
      <c r="K3833" s="1205"/>
      <c r="L3833" s="1055"/>
      <c r="M3833" s="1205"/>
      <c r="N3833" s="1054"/>
      <c r="O3833" s="1207"/>
      <c r="Q3833" s="1207"/>
    </row>
    <row r="3834" spans="3:17" s="700" customFormat="1" ht="70.5" hidden="1" customHeight="1">
      <c r="C3834" s="701"/>
      <c r="D3834" s="811"/>
      <c r="E3834" s="1276">
        <f>[11]building!Y4165</f>
        <v>0</v>
      </c>
      <c r="F3834" s="748">
        <f t="shared" si="298"/>
        <v>0</v>
      </c>
      <c r="G3834" s="1205"/>
      <c r="H3834" s="1055"/>
      <c r="I3834" s="1055"/>
      <c r="J3834" s="1055"/>
      <c r="K3834" s="1205"/>
      <c r="L3834" s="1055"/>
      <c r="M3834" s="1205"/>
      <c r="N3834" s="1054"/>
      <c r="O3834" s="1207"/>
      <c r="Q3834" s="1207"/>
    </row>
    <row r="3835" spans="3:17" s="700" customFormat="1" ht="70.5" hidden="1" customHeight="1">
      <c r="C3835" s="701"/>
      <c r="D3835" s="811"/>
      <c r="E3835" s="1276">
        <f>[11]building!Y4166</f>
        <v>0</v>
      </c>
      <c r="F3835" s="748">
        <f t="shared" si="298"/>
        <v>0</v>
      </c>
      <c r="G3835" s="1205"/>
      <c r="H3835" s="1055"/>
      <c r="I3835" s="1055"/>
      <c r="J3835" s="1055"/>
      <c r="K3835" s="1205"/>
      <c r="L3835" s="1055"/>
      <c r="M3835" s="1205"/>
      <c r="N3835" s="1054"/>
      <c r="O3835" s="1207"/>
      <c r="Q3835" s="1207"/>
    </row>
    <row r="3836" spans="3:17" s="700" customFormat="1" ht="70.5" hidden="1" customHeight="1">
      <c r="C3836" s="701"/>
      <c r="D3836" s="811"/>
      <c r="E3836" s="1276">
        <f>[11]building!Y4167</f>
        <v>0</v>
      </c>
      <c r="F3836" s="748">
        <f t="shared" si="298"/>
        <v>0</v>
      </c>
      <c r="G3836" s="1205"/>
      <c r="H3836" s="1055"/>
      <c r="I3836" s="1055"/>
      <c r="J3836" s="1055"/>
      <c r="K3836" s="1205"/>
      <c r="L3836" s="1055"/>
      <c r="M3836" s="1205"/>
      <c r="N3836" s="1054"/>
      <c r="O3836" s="1207"/>
      <c r="Q3836" s="1207"/>
    </row>
    <row r="3837" spans="3:17" s="700" customFormat="1" ht="70.5" hidden="1" customHeight="1">
      <c r="C3837" s="701"/>
      <c r="D3837" s="811"/>
      <c r="E3837" s="1276">
        <f>[11]building!Y4168</f>
        <v>0</v>
      </c>
      <c r="F3837" s="748">
        <f t="shared" si="298"/>
        <v>0</v>
      </c>
      <c r="G3837" s="1205"/>
      <c r="H3837" s="1055"/>
      <c r="I3837" s="1055"/>
      <c r="J3837" s="1055"/>
      <c r="K3837" s="1205"/>
      <c r="L3837" s="1055"/>
      <c r="M3837" s="1205"/>
      <c r="N3837" s="1054"/>
      <c r="O3837" s="1207"/>
      <c r="Q3837" s="1207"/>
    </row>
    <row r="3838" spans="3:17" s="700" customFormat="1" ht="70.5" hidden="1" customHeight="1">
      <c r="C3838" s="701"/>
      <c r="D3838" s="811"/>
      <c r="E3838" s="1276">
        <f>[11]building!Y4169</f>
        <v>0</v>
      </c>
      <c r="F3838" s="748">
        <f t="shared" si="298"/>
        <v>0</v>
      </c>
      <c r="G3838" s="1205"/>
      <c r="H3838" s="1055"/>
      <c r="I3838" s="1055"/>
      <c r="J3838" s="1055"/>
      <c r="K3838" s="1205"/>
      <c r="L3838" s="1055"/>
      <c r="M3838" s="1205"/>
      <c r="N3838" s="1054"/>
      <c r="O3838" s="1207"/>
      <c r="Q3838" s="1207"/>
    </row>
    <row r="3839" spans="3:17" s="700" customFormat="1" ht="70.5" hidden="1" customHeight="1">
      <c r="C3839" s="701"/>
      <c r="D3839" s="811"/>
      <c r="E3839" s="1276">
        <f>[11]building!Y4170</f>
        <v>0</v>
      </c>
      <c r="F3839" s="748">
        <f t="shared" si="298"/>
        <v>0</v>
      </c>
      <c r="G3839" s="1205"/>
      <c r="H3839" s="1055"/>
      <c r="I3839" s="1055"/>
      <c r="J3839" s="1055"/>
      <c r="K3839" s="1205"/>
      <c r="L3839" s="1055"/>
      <c r="M3839" s="1205"/>
      <c r="N3839" s="1054"/>
      <c r="O3839" s="1207"/>
      <c r="Q3839" s="1207"/>
    </row>
    <row r="3840" spans="3:17" s="700" customFormat="1" ht="70.5" hidden="1" customHeight="1">
      <c r="C3840" s="701"/>
      <c r="D3840" s="811"/>
      <c r="E3840" s="1276">
        <f>[11]building!Y4171</f>
        <v>0</v>
      </c>
      <c r="F3840" s="748">
        <f t="shared" ref="F3840:F3903" si="299">E3840*C3840</f>
        <v>0</v>
      </c>
      <c r="G3840" s="1205"/>
      <c r="H3840" s="1055"/>
      <c r="I3840" s="1055"/>
      <c r="J3840" s="1055"/>
      <c r="K3840" s="1205"/>
      <c r="L3840" s="1055"/>
      <c r="M3840" s="1205"/>
      <c r="N3840" s="1054"/>
      <c r="O3840" s="1207"/>
      <c r="Q3840" s="1207"/>
    </row>
    <row r="3841" spans="3:17" s="700" customFormat="1" ht="70.5" hidden="1" customHeight="1">
      <c r="C3841" s="701"/>
      <c r="D3841" s="811"/>
      <c r="E3841" s="1276">
        <f>[11]building!Y4172</f>
        <v>0</v>
      </c>
      <c r="F3841" s="748">
        <f t="shared" si="299"/>
        <v>0</v>
      </c>
      <c r="G3841" s="1205"/>
      <c r="H3841" s="1055"/>
      <c r="I3841" s="1055"/>
      <c r="J3841" s="1055"/>
      <c r="K3841" s="1205"/>
      <c r="L3841" s="1055"/>
      <c r="M3841" s="1205"/>
      <c r="N3841" s="1054"/>
      <c r="O3841" s="1207"/>
      <c r="Q3841" s="1207"/>
    </row>
    <row r="3842" spans="3:17" s="700" customFormat="1" ht="70.5" hidden="1" customHeight="1">
      <c r="C3842" s="701"/>
      <c r="D3842" s="811"/>
      <c r="E3842" s="1276">
        <f>[11]building!Y4173</f>
        <v>0</v>
      </c>
      <c r="F3842" s="748">
        <f t="shared" si="299"/>
        <v>0</v>
      </c>
      <c r="G3842" s="1205"/>
      <c r="H3842" s="1055"/>
      <c r="I3842" s="1055"/>
      <c r="J3842" s="1055"/>
      <c r="K3842" s="1205"/>
      <c r="L3842" s="1055"/>
      <c r="M3842" s="1205"/>
      <c r="N3842" s="1054"/>
      <c r="O3842" s="1207"/>
      <c r="Q3842" s="1207"/>
    </row>
    <row r="3843" spans="3:17" s="700" customFormat="1" ht="70.5" hidden="1" customHeight="1">
      <c r="C3843" s="701"/>
      <c r="D3843" s="811"/>
      <c r="E3843" s="1276">
        <f>[11]building!Y4174</f>
        <v>0</v>
      </c>
      <c r="F3843" s="748">
        <f t="shared" si="299"/>
        <v>0</v>
      </c>
      <c r="G3843" s="1205"/>
      <c r="H3843" s="1055"/>
      <c r="I3843" s="1055"/>
      <c r="J3843" s="1055"/>
      <c r="K3843" s="1205"/>
      <c r="L3843" s="1055"/>
      <c r="M3843" s="1205"/>
      <c r="N3843" s="1054"/>
      <c r="O3843" s="1207"/>
      <c r="Q3843" s="1207"/>
    </row>
    <row r="3844" spans="3:17" s="700" customFormat="1" ht="70.5" hidden="1" customHeight="1">
      <c r="C3844" s="701"/>
      <c r="D3844" s="811"/>
      <c r="E3844" s="1276">
        <f>[11]building!Y4175</f>
        <v>0</v>
      </c>
      <c r="F3844" s="748">
        <f t="shared" si="299"/>
        <v>0</v>
      </c>
      <c r="G3844" s="1205"/>
      <c r="H3844" s="1055"/>
      <c r="I3844" s="1055"/>
      <c r="J3844" s="1055"/>
      <c r="K3844" s="1205"/>
      <c r="L3844" s="1055"/>
      <c r="M3844" s="1205"/>
      <c r="N3844" s="1054"/>
      <c r="O3844" s="1207"/>
      <c r="Q3844" s="1207"/>
    </row>
    <row r="3845" spans="3:17" s="700" customFormat="1" ht="70.5" hidden="1" customHeight="1">
      <c r="C3845" s="701"/>
      <c r="D3845" s="811"/>
      <c r="E3845" s="1276">
        <f>[11]building!Y4176</f>
        <v>0</v>
      </c>
      <c r="F3845" s="748">
        <f t="shared" si="299"/>
        <v>0</v>
      </c>
      <c r="G3845" s="1205"/>
      <c r="H3845" s="1055"/>
      <c r="I3845" s="1055"/>
      <c r="J3845" s="1055"/>
      <c r="K3845" s="1205"/>
      <c r="L3845" s="1055"/>
      <c r="M3845" s="1205"/>
      <c r="N3845" s="1054"/>
      <c r="O3845" s="1207"/>
      <c r="Q3845" s="1207"/>
    </row>
    <row r="3846" spans="3:17" s="700" customFormat="1" ht="70.5" hidden="1" customHeight="1">
      <c r="C3846" s="701"/>
      <c r="D3846" s="811"/>
      <c r="E3846" s="1276">
        <f>[11]building!Y4177</f>
        <v>0</v>
      </c>
      <c r="F3846" s="748">
        <f t="shared" si="299"/>
        <v>0</v>
      </c>
      <c r="G3846" s="1205"/>
      <c r="H3846" s="1055"/>
      <c r="I3846" s="1055"/>
      <c r="J3846" s="1055"/>
      <c r="K3846" s="1205"/>
      <c r="L3846" s="1055"/>
      <c r="M3846" s="1205"/>
      <c r="N3846" s="1054"/>
      <c r="O3846" s="1207"/>
      <c r="Q3846" s="1207"/>
    </row>
    <row r="3847" spans="3:17" s="700" customFormat="1" ht="70.5" hidden="1" customHeight="1">
      <c r="C3847" s="701"/>
      <c r="D3847" s="811"/>
      <c r="E3847" s="1276">
        <f>[11]building!Y4178</f>
        <v>0</v>
      </c>
      <c r="F3847" s="748">
        <f t="shared" si="299"/>
        <v>0</v>
      </c>
      <c r="G3847" s="1205"/>
      <c r="H3847" s="1055"/>
      <c r="I3847" s="1055"/>
      <c r="J3847" s="1055"/>
      <c r="K3847" s="1205"/>
      <c r="L3847" s="1055"/>
      <c r="M3847" s="1205"/>
      <c r="N3847" s="1054"/>
      <c r="O3847" s="1207"/>
      <c r="Q3847" s="1207"/>
    </row>
    <row r="3848" spans="3:17" s="700" customFormat="1" ht="70.5" hidden="1" customHeight="1">
      <c r="C3848" s="701"/>
      <c r="D3848" s="811"/>
      <c r="E3848" s="1276">
        <f>[11]building!Y4179</f>
        <v>0</v>
      </c>
      <c r="F3848" s="748">
        <f t="shared" si="299"/>
        <v>0</v>
      </c>
      <c r="G3848" s="1205"/>
      <c r="H3848" s="1055"/>
      <c r="I3848" s="1055"/>
      <c r="J3848" s="1055"/>
      <c r="K3848" s="1205"/>
      <c r="L3848" s="1055"/>
      <c r="M3848" s="1205"/>
      <c r="N3848" s="1054"/>
      <c r="O3848" s="1207"/>
      <c r="Q3848" s="1207"/>
    </row>
    <row r="3849" spans="3:17" s="700" customFormat="1" ht="70.5" hidden="1" customHeight="1">
      <c r="C3849" s="701"/>
      <c r="D3849" s="811"/>
      <c r="E3849" s="1276">
        <f>[11]building!Y4180</f>
        <v>0</v>
      </c>
      <c r="F3849" s="748">
        <f t="shared" si="299"/>
        <v>0</v>
      </c>
      <c r="G3849" s="1205"/>
      <c r="H3849" s="1055"/>
      <c r="I3849" s="1055"/>
      <c r="J3849" s="1055"/>
      <c r="K3849" s="1205"/>
      <c r="L3849" s="1055"/>
      <c r="M3849" s="1205"/>
      <c r="N3849" s="1054"/>
      <c r="O3849" s="1207"/>
      <c r="Q3849" s="1207"/>
    </row>
    <row r="3850" spans="3:17" s="700" customFormat="1" ht="70.5" hidden="1" customHeight="1">
      <c r="C3850" s="701"/>
      <c r="D3850" s="811"/>
      <c r="E3850" s="1276">
        <f>[11]building!Y4181</f>
        <v>0</v>
      </c>
      <c r="F3850" s="748">
        <f t="shared" si="299"/>
        <v>0</v>
      </c>
      <c r="G3850" s="1205"/>
      <c r="H3850" s="1055"/>
      <c r="I3850" s="1055"/>
      <c r="J3850" s="1055"/>
      <c r="K3850" s="1205"/>
      <c r="L3850" s="1055"/>
      <c r="M3850" s="1205"/>
      <c r="N3850" s="1054"/>
      <c r="O3850" s="1207"/>
      <c r="Q3850" s="1207"/>
    </row>
    <row r="3851" spans="3:17" s="700" customFormat="1" ht="70.5" hidden="1" customHeight="1">
      <c r="C3851" s="701"/>
      <c r="D3851" s="811"/>
      <c r="E3851" s="1276">
        <f>[11]building!Y4182</f>
        <v>0</v>
      </c>
      <c r="F3851" s="748">
        <f t="shared" si="299"/>
        <v>0</v>
      </c>
      <c r="G3851" s="1205"/>
      <c r="H3851" s="1055"/>
      <c r="I3851" s="1055"/>
      <c r="J3851" s="1055"/>
      <c r="K3851" s="1205"/>
      <c r="L3851" s="1055"/>
      <c r="M3851" s="1205"/>
      <c r="N3851" s="1054"/>
      <c r="O3851" s="1207"/>
      <c r="Q3851" s="1207"/>
    </row>
    <row r="3852" spans="3:17" s="700" customFormat="1" ht="70.5" hidden="1" customHeight="1">
      <c r="C3852" s="701"/>
      <c r="D3852" s="811"/>
      <c r="E3852" s="1276">
        <f>[11]building!Y4183</f>
        <v>0</v>
      </c>
      <c r="F3852" s="748">
        <f t="shared" si="299"/>
        <v>0</v>
      </c>
      <c r="G3852" s="1205"/>
      <c r="H3852" s="1055"/>
      <c r="I3852" s="1055"/>
      <c r="J3852" s="1055"/>
      <c r="K3852" s="1205"/>
      <c r="L3852" s="1055"/>
      <c r="M3852" s="1205"/>
      <c r="N3852" s="1054"/>
      <c r="O3852" s="1207"/>
      <c r="Q3852" s="1207"/>
    </row>
    <row r="3853" spans="3:17" s="700" customFormat="1" ht="70.5" hidden="1" customHeight="1">
      <c r="C3853" s="701"/>
      <c r="D3853" s="811"/>
      <c r="E3853" s="1276">
        <f>[11]building!Y4184</f>
        <v>0</v>
      </c>
      <c r="F3853" s="748">
        <f t="shared" si="299"/>
        <v>0</v>
      </c>
      <c r="G3853" s="1205"/>
      <c r="H3853" s="1055"/>
      <c r="I3853" s="1055"/>
      <c r="J3853" s="1055"/>
      <c r="K3853" s="1205"/>
      <c r="L3853" s="1055"/>
      <c r="M3853" s="1205"/>
      <c r="N3853" s="1054"/>
      <c r="O3853" s="1207"/>
      <c r="Q3853" s="1207"/>
    </row>
    <row r="3854" spans="3:17" s="700" customFormat="1" ht="70.5" hidden="1" customHeight="1">
      <c r="C3854" s="701"/>
      <c r="D3854" s="811"/>
      <c r="E3854" s="1276">
        <f>[11]building!Y4185</f>
        <v>0</v>
      </c>
      <c r="F3854" s="748">
        <f t="shared" si="299"/>
        <v>0</v>
      </c>
      <c r="G3854" s="1205"/>
      <c r="H3854" s="1055"/>
      <c r="I3854" s="1055"/>
      <c r="J3854" s="1055"/>
      <c r="K3854" s="1205"/>
      <c r="L3854" s="1055"/>
      <c r="M3854" s="1205"/>
      <c r="N3854" s="1054"/>
      <c r="O3854" s="1207"/>
      <c r="Q3854" s="1207"/>
    </row>
    <row r="3855" spans="3:17" s="700" customFormat="1" ht="70.5" hidden="1" customHeight="1">
      <c r="C3855" s="701"/>
      <c r="D3855" s="811"/>
      <c r="E3855" s="1276">
        <f>[11]building!Y4186</f>
        <v>0</v>
      </c>
      <c r="F3855" s="748">
        <f t="shared" si="299"/>
        <v>0</v>
      </c>
      <c r="G3855" s="1205"/>
      <c r="H3855" s="1055"/>
      <c r="I3855" s="1055"/>
      <c r="J3855" s="1055"/>
      <c r="K3855" s="1205"/>
      <c r="L3855" s="1055"/>
      <c r="M3855" s="1205"/>
      <c r="N3855" s="1054"/>
      <c r="O3855" s="1207"/>
      <c r="Q3855" s="1207"/>
    </row>
    <row r="3856" spans="3:17" s="700" customFormat="1" ht="70.5" hidden="1" customHeight="1">
      <c r="C3856" s="701"/>
      <c r="D3856" s="811"/>
      <c r="E3856" s="1276">
        <f>[11]building!Y4187</f>
        <v>0</v>
      </c>
      <c r="F3856" s="748">
        <f t="shared" si="299"/>
        <v>0</v>
      </c>
      <c r="G3856" s="1205"/>
      <c r="H3856" s="1055"/>
      <c r="I3856" s="1055"/>
      <c r="J3856" s="1055"/>
      <c r="K3856" s="1205"/>
      <c r="L3856" s="1055"/>
      <c r="M3856" s="1205"/>
      <c r="N3856" s="1054"/>
      <c r="O3856" s="1207"/>
      <c r="Q3856" s="1207"/>
    </row>
    <row r="3857" spans="3:17" s="700" customFormat="1" ht="70.5" hidden="1" customHeight="1">
      <c r="C3857" s="701"/>
      <c r="D3857" s="811"/>
      <c r="E3857" s="1276">
        <f>[11]building!Y4188</f>
        <v>0</v>
      </c>
      <c r="F3857" s="748">
        <f t="shared" si="299"/>
        <v>0</v>
      </c>
      <c r="G3857" s="1205"/>
      <c r="H3857" s="1055"/>
      <c r="I3857" s="1055"/>
      <c r="J3857" s="1055"/>
      <c r="K3857" s="1205"/>
      <c r="L3857" s="1055"/>
      <c r="M3857" s="1205"/>
      <c r="N3857" s="1054"/>
      <c r="O3857" s="1207"/>
      <c r="Q3857" s="1207"/>
    </row>
    <row r="3858" spans="3:17" s="700" customFormat="1" ht="70.5" hidden="1" customHeight="1">
      <c r="C3858" s="701"/>
      <c r="D3858" s="811"/>
      <c r="E3858" s="1276">
        <f>[11]building!Y4189</f>
        <v>0</v>
      </c>
      <c r="F3858" s="748">
        <f t="shared" si="299"/>
        <v>0</v>
      </c>
      <c r="G3858" s="1205"/>
      <c r="H3858" s="1055"/>
      <c r="I3858" s="1055"/>
      <c r="J3858" s="1055"/>
      <c r="K3858" s="1205"/>
      <c r="L3858" s="1055"/>
      <c r="M3858" s="1205"/>
      <c r="N3858" s="1054"/>
      <c r="O3858" s="1207"/>
      <c r="Q3858" s="1207"/>
    </row>
    <row r="3859" spans="3:17" s="700" customFormat="1" ht="70.5" hidden="1" customHeight="1">
      <c r="C3859" s="701"/>
      <c r="D3859" s="811"/>
      <c r="E3859" s="1276">
        <f>[11]building!Y4190</f>
        <v>0</v>
      </c>
      <c r="F3859" s="748">
        <f t="shared" si="299"/>
        <v>0</v>
      </c>
      <c r="G3859" s="1205"/>
      <c r="H3859" s="1055"/>
      <c r="I3859" s="1055"/>
      <c r="J3859" s="1055"/>
      <c r="K3859" s="1205"/>
      <c r="L3859" s="1055"/>
      <c r="M3859" s="1205"/>
      <c r="N3859" s="1054"/>
      <c r="O3859" s="1207"/>
      <c r="Q3859" s="1207"/>
    </row>
    <row r="3860" spans="3:17" s="700" customFormat="1" ht="70.5" hidden="1" customHeight="1">
      <c r="C3860" s="701"/>
      <c r="D3860" s="811"/>
      <c r="E3860" s="1276">
        <f>[11]building!Y4191</f>
        <v>0</v>
      </c>
      <c r="F3860" s="748">
        <f t="shared" si="299"/>
        <v>0</v>
      </c>
      <c r="G3860" s="1205"/>
      <c r="H3860" s="1055"/>
      <c r="I3860" s="1055"/>
      <c r="J3860" s="1055"/>
      <c r="K3860" s="1205"/>
      <c r="L3860" s="1055"/>
      <c r="M3860" s="1205"/>
      <c r="N3860" s="1054"/>
      <c r="O3860" s="1207"/>
      <c r="Q3860" s="1207"/>
    </row>
    <row r="3861" spans="3:17" s="700" customFormat="1" ht="70.5" hidden="1" customHeight="1">
      <c r="C3861" s="701"/>
      <c r="D3861" s="811"/>
      <c r="E3861" s="1276">
        <f>[11]building!Y4192</f>
        <v>0</v>
      </c>
      <c r="F3861" s="748">
        <f t="shared" si="299"/>
        <v>0</v>
      </c>
      <c r="G3861" s="1205"/>
      <c r="H3861" s="1055"/>
      <c r="I3861" s="1055"/>
      <c r="J3861" s="1055"/>
      <c r="K3861" s="1205"/>
      <c r="L3861" s="1055"/>
      <c r="M3861" s="1205"/>
      <c r="N3861" s="1054"/>
      <c r="O3861" s="1207"/>
      <c r="Q3861" s="1207"/>
    </row>
    <row r="3862" spans="3:17" s="700" customFormat="1" ht="70.5" hidden="1" customHeight="1">
      <c r="C3862" s="701"/>
      <c r="D3862" s="811"/>
      <c r="E3862" s="1276">
        <f>[11]building!Y4193</f>
        <v>0</v>
      </c>
      <c r="F3862" s="748">
        <f t="shared" si="299"/>
        <v>0</v>
      </c>
      <c r="G3862" s="1205"/>
      <c r="H3862" s="1055"/>
      <c r="I3862" s="1055"/>
      <c r="J3862" s="1055"/>
      <c r="K3862" s="1205"/>
      <c r="L3862" s="1055"/>
      <c r="M3862" s="1205"/>
      <c r="N3862" s="1054"/>
      <c r="O3862" s="1207"/>
      <c r="Q3862" s="1207"/>
    </row>
    <row r="3863" spans="3:17" s="700" customFormat="1" ht="70.5" hidden="1" customHeight="1">
      <c r="C3863" s="701"/>
      <c r="D3863" s="811"/>
      <c r="E3863" s="1276">
        <f>[11]building!Y4194</f>
        <v>0</v>
      </c>
      <c r="F3863" s="748">
        <f t="shared" si="299"/>
        <v>0</v>
      </c>
      <c r="G3863" s="1205"/>
      <c r="H3863" s="1055"/>
      <c r="I3863" s="1055"/>
      <c r="J3863" s="1055"/>
      <c r="K3863" s="1205"/>
      <c r="L3863" s="1055"/>
      <c r="M3863" s="1205"/>
      <c r="N3863" s="1054"/>
      <c r="O3863" s="1207"/>
      <c r="Q3863" s="1207"/>
    </row>
    <row r="3864" spans="3:17" s="700" customFormat="1" ht="70.5" hidden="1" customHeight="1">
      <c r="C3864" s="701"/>
      <c r="D3864" s="811"/>
      <c r="E3864" s="1276">
        <f>[11]building!Y4195</f>
        <v>0</v>
      </c>
      <c r="F3864" s="748">
        <f t="shared" si="299"/>
        <v>0</v>
      </c>
      <c r="G3864" s="1205"/>
      <c r="H3864" s="1055"/>
      <c r="I3864" s="1055"/>
      <c r="J3864" s="1055"/>
      <c r="K3864" s="1205"/>
      <c r="L3864" s="1055"/>
      <c r="M3864" s="1205"/>
      <c r="N3864" s="1054"/>
      <c r="O3864" s="1207"/>
      <c r="Q3864" s="1207"/>
    </row>
    <row r="3865" spans="3:17" s="700" customFormat="1" ht="70.5" hidden="1" customHeight="1">
      <c r="C3865" s="701"/>
      <c r="D3865" s="811"/>
      <c r="E3865" s="1276">
        <f>[11]building!Y4196</f>
        <v>0</v>
      </c>
      <c r="F3865" s="748">
        <f t="shared" si="299"/>
        <v>0</v>
      </c>
      <c r="G3865" s="1205"/>
      <c r="H3865" s="1055"/>
      <c r="I3865" s="1055"/>
      <c r="J3865" s="1055"/>
      <c r="K3865" s="1205"/>
      <c r="L3865" s="1055"/>
      <c r="M3865" s="1205"/>
      <c r="N3865" s="1054"/>
      <c r="O3865" s="1207"/>
      <c r="Q3865" s="1207"/>
    </row>
    <row r="3866" spans="3:17" s="700" customFormat="1" ht="70.5" hidden="1" customHeight="1">
      <c r="C3866" s="701"/>
      <c r="D3866" s="811"/>
      <c r="E3866" s="1276">
        <f>[11]building!Y4197</f>
        <v>0</v>
      </c>
      <c r="F3866" s="748">
        <f t="shared" si="299"/>
        <v>0</v>
      </c>
      <c r="G3866" s="1205"/>
      <c r="H3866" s="1055"/>
      <c r="I3866" s="1055"/>
      <c r="J3866" s="1055"/>
      <c r="K3866" s="1205"/>
      <c r="L3866" s="1055"/>
      <c r="M3866" s="1205"/>
      <c r="N3866" s="1054"/>
      <c r="O3866" s="1207"/>
      <c r="Q3866" s="1207"/>
    </row>
    <row r="3867" spans="3:17" s="700" customFormat="1" ht="70.5" hidden="1" customHeight="1">
      <c r="C3867" s="701"/>
      <c r="D3867" s="811"/>
      <c r="E3867" s="1276">
        <f>[11]building!Y4198</f>
        <v>0</v>
      </c>
      <c r="F3867" s="748">
        <f t="shared" si="299"/>
        <v>0</v>
      </c>
      <c r="G3867" s="1205"/>
      <c r="H3867" s="1055"/>
      <c r="I3867" s="1055"/>
      <c r="J3867" s="1055"/>
      <c r="K3867" s="1205"/>
      <c r="L3867" s="1055"/>
      <c r="M3867" s="1205"/>
      <c r="N3867" s="1054"/>
      <c r="O3867" s="1207"/>
      <c r="Q3867" s="1207"/>
    </row>
    <row r="3868" spans="3:17" s="700" customFormat="1" ht="70.5" hidden="1" customHeight="1">
      <c r="C3868" s="701"/>
      <c r="D3868" s="811"/>
      <c r="E3868" s="1276">
        <f>[11]building!Y4199</f>
        <v>0</v>
      </c>
      <c r="F3868" s="748">
        <f t="shared" si="299"/>
        <v>0</v>
      </c>
      <c r="G3868" s="1205"/>
      <c r="H3868" s="1055"/>
      <c r="I3868" s="1055"/>
      <c r="J3868" s="1055"/>
      <c r="K3868" s="1205"/>
      <c r="L3868" s="1055"/>
      <c r="M3868" s="1205"/>
      <c r="N3868" s="1054"/>
      <c r="O3868" s="1207"/>
      <c r="Q3868" s="1207"/>
    </row>
    <row r="3869" spans="3:17" s="700" customFormat="1" ht="70.5" hidden="1" customHeight="1">
      <c r="C3869" s="701"/>
      <c r="D3869" s="811"/>
      <c r="E3869" s="1276">
        <f>[11]building!Y4200</f>
        <v>0</v>
      </c>
      <c r="F3869" s="748">
        <f t="shared" si="299"/>
        <v>0</v>
      </c>
      <c r="G3869" s="1205"/>
      <c r="H3869" s="1055"/>
      <c r="I3869" s="1055"/>
      <c r="J3869" s="1055"/>
      <c r="K3869" s="1205"/>
      <c r="L3869" s="1055"/>
      <c r="M3869" s="1205"/>
      <c r="N3869" s="1054"/>
      <c r="O3869" s="1207"/>
      <c r="Q3869" s="1207"/>
    </row>
    <row r="3870" spans="3:17" s="700" customFormat="1" ht="70.5" hidden="1" customHeight="1">
      <c r="C3870" s="701"/>
      <c r="D3870" s="811"/>
      <c r="E3870" s="1276">
        <f>[11]building!Y4201</f>
        <v>0</v>
      </c>
      <c r="F3870" s="748">
        <f t="shared" si="299"/>
        <v>0</v>
      </c>
      <c r="G3870" s="1205"/>
      <c r="H3870" s="1055"/>
      <c r="I3870" s="1055"/>
      <c r="J3870" s="1055"/>
      <c r="K3870" s="1205"/>
      <c r="L3870" s="1055"/>
      <c r="M3870" s="1205"/>
      <c r="N3870" s="1054"/>
      <c r="O3870" s="1207"/>
      <c r="Q3870" s="1207"/>
    </row>
    <row r="3871" spans="3:17" s="700" customFormat="1" ht="70.5" hidden="1" customHeight="1">
      <c r="C3871" s="701"/>
      <c r="D3871" s="811"/>
      <c r="E3871" s="1276">
        <f>[11]building!Y4202</f>
        <v>0</v>
      </c>
      <c r="F3871" s="748">
        <f t="shared" si="299"/>
        <v>0</v>
      </c>
      <c r="G3871" s="1205"/>
      <c r="H3871" s="1055"/>
      <c r="I3871" s="1055"/>
      <c r="J3871" s="1055"/>
      <c r="K3871" s="1205"/>
      <c r="L3871" s="1055"/>
      <c r="M3871" s="1205"/>
      <c r="N3871" s="1054"/>
      <c r="O3871" s="1207"/>
      <c r="Q3871" s="1207"/>
    </row>
    <row r="3872" spans="3:17" s="700" customFormat="1" ht="70.5" hidden="1" customHeight="1">
      <c r="C3872" s="701"/>
      <c r="D3872" s="811"/>
      <c r="E3872" s="1276">
        <f>[11]building!Y4203</f>
        <v>0</v>
      </c>
      <c r="F3872" s="748">
        <f t="shared" si="299"/>
        <v>0</v>
      </c>
      <c r="G3872" s="1205"/>
      <c r="H3872" s="1055"/>
      <c r="I3872" s="1055"/>
      <c r="J3872" s="1055"/>
      <c r="K3872" s="1205"/>
      <c r="L3872" s="1055"/>
      <c r="M3872" s="1205"/>
      <c r="N3872" s="1054"/>
      <c r="O3872" s="1207"/>
      <c r="Q3872" s="1207"/>
    </row>
    <row r="3873" spans="3:17" s="700" customFormat="1" ht="70.5" hidden="1" customHeight="1">
      <c r="C3873" s="701"/>
      <c r="D3873" s="811"/>
      <c r="E3873" s="1276">
        <f>[11]building!Y4204</f>
        <v>0</v>
      </c>
      <c r="F3873" s="748">
        <f t="shared" si="299"/>
        <v>0</v>
      </c>
      <c r="G3873" s="1205"/>
      <c r="H3873" s="1055"/>
      <c r="I3873" s="1055"/>
      <c r="J3873" s="1055"/>
      <c r="K3873" s="1205"/>
      <c r="L3873" s="1055"/>
      <c r="M3873" s="1205"/>
      <c r="N3873" s="1054"/>
      <c r="O3873" s="1207"/>
      <c r="Q3873" s="1207"/>
    </row>
    <row r="3874" spans="3:17" s="700" customFormat="1" ht="70.5" hidden="1" customHeight="1">
      <c r="C3874" s="701"/>
      <c r="D3874" s="811"/>
      <c r="E3874" s="1276">
        <f>[11]building!Y4205</f>
        <v>0</v>
      </c>
      <c r="F3874" s="748">
        <f t="shared" si="299"/>
        <v>0</v>
      </c>
      <c r="G3874" s="1205"/>
      <c r="H3874" s="1055"/>
      <c r="I3874" s="1055"/>
      <c r="J3874" s="1055"/>
      <c r="K3874" s="1205"/>
      <c r="L3874" s="1055"/>
      <c r="M3874" s="1205"/>
      <c r="N3874" s="1054"/>
      <c r="O3874" s="1207"/>
      <c r="Q3874" s="1207"/>
    </row>
    <row r="3875" spans="3:17" s="700" customFormat="1" ht="70.5" hidden="1" customHeight="1">
      <c r="C3875" s="701"/>
      <c r="D3875" s="811"/>
      <c r="E3875" s="1276">
        <f>[11]building!Y4206</f>
        <v>0</v>
      </c>
      <c r="F3875" s="748">
        <f t="shared" si="299"/>
        <v>0</v>
      </c>
      <c r="G3875" s="1205"/>
      <c r="H3875" s="1055"/>
      <c r="I3875" s="1055"/>
      <c r="J3875" s="1055"/>
      <c r="K3875" s="1205"/>
      <c r="L3875" s="1055"/>
      <c r="M3875" s="1205"/>
      <c r="N3875" s="1054"/>
      <c r="O3875" s="1207"/>
      <c r="Q3875" s="1207"/>
    </row>
    <row r="3876" spans="3:17" s="700" customFormat="1" ht="70.5" hidden="1" customHeight="1">
      <c r="C3876" s="701"/>
      <c r="D3876" s="811"/>
      <c r="E3876" s="1276">
        <f>[11]building!Y4207</f>
        <v>0</v>
      </c>
      <c r="F3876" s="748">
        <f t="shared" si="299"/>
        <v>0</v>
      </c>
      <c r="G3876" s="1205"/>
      <c r="H3876" s="1055"/>
      <c r="I3876" s="1055"/>
      <c r="J3876" s="1055"/>
      <c r="K3876" s="1205"/>
      <c r="L3876" s="1055"/>
      <c r="M3876" s="1205"/>
      <c r="N3876" s="1054"/>
      <c r="O3876" s="1207"/>
      <c r="Q3876" s="1207"/>
    </row>
    <row r="3877" spans="3:17" s="700" customFormat="1" ht="70.5" hidden="1" customHeight="1">
      <c r="C3877" s="701"/>
      <c r="D3877" s="811"/>
      <c r="E3877" s="1276">
        <f>[11]building!Y4208</f>
        <v>0</v>
      </c>
      <c r="F3877" s="748">
        <f t="shared" si="299"/>
        <v>0</v>
      </c>
      <c r="G3877" s="1205"/>
      <c r="H3877" s="1055"/>
      <c r="I3877" s="1055"/>
      <c r="J3877" s="1055"/>
      <c r="K3877" s="1205"/>
      <c r="L3877" s="1055"/>
      <c r="M3877" s="1205"/>
      <c r="N3877" s="1054"/>
      <c r="O3877" s="1207"/>
      <c r="Q3877" s="1207"/>
    </row>
    <row r="3878" spans="3:17" s="700" customFormat="1" ht="70.5" hidden="1" customHeight="1">
      <c r="C3878" s="701"/>
      <c r="D3878" s="811"/>
      <c r="E3878" s="1276">
        <f>[11]building!Y4209</f>
        <v>0</v>
      </c>
      <c r="F3878" s="748">
        <f t="shared" si="299"/>
        <v>0</v>
      </c>
      <c r="G3878" s="1205"/>
      <c r="H3878" s="1055"/>
      <c r="I3878" s="1055"/>
      <c r="J3878" s="1055"/>
      <c r="K3878" s="1205"/>
      <c r="L3878" s="1055"/>
      <c r="M3878" s="1205"/>
      <c r="N3878" s="1054"/>
      <c r="O3878" s="1207"/>
      <c r="Q3878" s="1207"/>
    </row>
    <row r="3879" spans="3:17" s="700" customFormat="1" ht="70.5" hidden="1" customHeight="1">
      <c r="C3879" s="701"/>
      <c r="D3879" s="811"/>
      <c r="E3879" s="1276">
        <f>[11]building!Y4210</f>
        <v>0</v>
      </c>
      <c r="F3879" s="748">
        <f t="shared" si="299"/>
        <v>0</v>
      </c>
      <c r="G3879" s="1205"/>
      <c r="H3879" s="1055"/>
      <c r="I3879" s="1055"/>
      <c r="J3879" s="1055"/>
      <c r="K3879" s="1205"/>
      <c r="L3879" s="1055"/>
      <c r="M3879" s="1205"/>
      <c r="N3879" s="1054"/>
      <c r="O3879" s="1207"/>
      <c r="Q3879" s="1207"/>
    </row>
    <row r="3880" spans="3:17" s="700" customFormat="1" ht="70.5" hidden="1" customHeight="1">
      <c r="C3880" s="701"/>
      <c r="D3880" s="811"/>
      <c r="E3880" s="1276">
        <f>[11]building!Y4211</f>
        <v>0</v>
      </c>
      <c r="F3880" s="748">
        <f t="shared" si="299"/>
        <v>0</v>
      </c>
      <c r="G3880" s="1205"/>
      <c r="H3880" s="1055"/>
      <c r="I3880" s="1055"/>
      <c r="J3880" s="1055"/>
      <c r="K3880" s="1205"/>
      <c r="L3880" s="1055"/>
      <c r="M3880" s="1205"/>
      <c r="N3880" s="1054"/>
      <c r="O3880" s="1207"/>
      <c r="Q3880" s="1207"/>
    </row>
    <row r="3881" spans="3:17" s="700" customFormat="1" ht="70.5" hidden="1" customHeight="1">
      <c r="C3881" s="701"/>
      <c r="D3881" s="811"/>
      <c r="E3881" s="1276">
        <f>[11]building!Y4212</f>
        <v>0</v>
      </c>
      <c r="F3881" s="748">
        <f t="shared" si="299"/>
        <v>0</v>
      </c>
      <c r="G3881" s="1205"/>
      <c r="H3881" s="1055"/>
      <c r="I3881" s="1055"/>
      <c r="J3881" s="1055"/>
      <c r="K3881" s="1205"/>
      <c r="L3881" s="1055"/>
      <c r="M3881" s="1205"/>
      <c r="N3881" s="1054"/>
      <c r="O3881" s="1207"/>
      <c r="Q3881" s="1207"/>
    </row>
    <row r="3882" spans="3:17" s="700" customFormat="1" ht="70.5" hidden="1" customHeight="1">
      <c r="C3882" s="701"/>
      <c r="D3882" s="811"/>
      <c r="E3882" s="1276">
        <f>[11]building!Y4213</f>
        <v>0</v>
      </c>
      <c r="F3882" s="748">
        <f t="shared" si="299"/>
        <v>0</v>
      </c>
      <c r="G3882" s="1205"/>
      <c r="H3882" s="1055"/>
      <c r="I3882" s="1055"/>
      <c r="J3882" s="1055"/>
      <c r="K3882" s="1205"/>
      <c r="L3882" s="1055"/>
      <c r="M3882" s="1205"/>
      <c r="N3882" s="1054"/>
      <c r="O3882" s="1207"/>
      <c r="Q3882" s="1207"/>
    </row>
    <row r="3883" spans="3:17" s="700" customFormat="1" ht="70.5" hidden="1" customHeight="1">
      <c r="C3883" s="701"/>
      <c r="D3883" s="811"/>
      <c r="E3883" s="1276">
        <f>[11]building!Y4214</f>
        <v>0</v>
      </c>
      <c r="F3883" s="748">
        <f t="shared" si="299"/>
        <v>0</v>
      </c>
      <c r="G3883" s="1205"/>
      <c r="H3883" s="1055"/>
      <c r="I3883" s="1055"/>
      <c r="J3883" s="1055"/>
      <c r="K3883" s="1205"/>
      <c r="L3883" s="1055"/>
      <c r="M3883" s="1205"/>
      <c r="N3883" s="1054"/>
      <c r="O3883" s="1207"/>
      <c r="Q3883" s="1207"/>
    </row>
    <row r="3884" spans="3:17" s="700" customFormat="1" ht="70.5" hidden="1" customHeight="1">
      <c r="C3884" s="701"/>
      <c r="D3884" s="811"/>
      <c r="E3884" s="1276">
        <f>[11]building!Y4215</f>
        <v>0</v>
      </c>
      <c r="F3884" s="748">
        <f t="shared" si="299"/>
        <v>0</v>
      </c>
      <c r="G3884" s="1205"/>
      <c r="H3884" s="1055"/>
      <c r="I3884" s="1055"/>
      <c r="J3884" s="1055"/>
      <c r="K3884" s="1205"/>
      <c r="L3884" s="1055"/>
      <c r="M3884" s="1205"/>
      <c r="N3884" s="1054"/>
      <c r="O3884" s="1207"/>
      <c r="Q3884" s="1207"/>
    </row>
    <row r="3885" spans="3:17" s="700" customFormat="1" ht="70.5" hidden="1" customHeight="1">
      <c r="C3885" s="701"/>
      <c r="D3885" s="811"/>
      <c r="E3885" s="1276">
        <f>[11]building!Y4216</f>
        <v>0</v>
      </c>
      <c r="F3885" s="748">
        <f t="shared" si="299"/>
        <v>0</v>
      </c>
      <c r="G3885" s="1205"/>
      <c r="H3885" s="1055"/>
      <c r="I3885" s="1055"/>
      <c r="J3885" s="1055"/>
      <c r="K3885" s="1205"/>
      <c r="L3885" s="1055"/>
      <c r="M3885" s="1205"/>
      <c r="N3885" s="1054"/>
      <c r="O3885" s="1207"/>
      <c r="Q3885" s="1207"/>
    </row>
    <row r="3886" spans="3:17" s="700" customFormat="1" ht="70.5" hidden="1" customHeight="1">
      <c r="C3886" s="701"/>
      <c r="D3886" s="811"/>
      <c r="E3886" s="1276">
        <f>[11]building!Y4217</f>
        <v>0</v>
      </c>
      <c r="F3886" s="748">
        <f t="shared" si="299"/>
        <v>0</v>
      </c>
      <c r="G3886" s="1205"/>
      <c r="H3886" s="1055"/>
      <c r="I3886" s="1055"/>
      <c r="J3886" s="1055"/>
      <c r="K3886" s="1205"/>
      <c r="L3886" s="1055"/>
      <c r="M3886" s="1205"/>
      <c r="N3886" s="1054"/>
      <c r="O3886" s="1207"/>
      <c r="Q3886" s="1207"/>
    </row>
    <row r="3887" spans="3:17" s="700" customFormat="1" ht="70.5" hidden="1" customHeight="1">
      <c r="C3887" s="701"/>
      <c r="D3887" s="811"/>
      <c r="E3887" s="1276">
        <f>[11]building!Y4218</f>
        <v>0</v>
      </c>
      <c r="F3887" s="748">
        <f t="shared" si="299"/>
        <v>0</v>
      </c>
      <c r="G3887" s="1205"/>
      <c r="H3887" s="1055"/>
      <c r="I3887" s="1055"/>
      <c r="J3887" s="1055"/>
      <c r="K3887" s="1205"/>
      <c r="L3887" s="1055"/>
      <c r="M3887" s="1205"/>
      <c r="N3887" s="1054"/>
      <c r="O3887" s="1207"/>
      <c r="Q3887" s="1207"/>
    </row>
    <row r="3888" spans="3:17" s="700" customFormat="1" ht="70.5" hidden="1" customHeight="1">
      <c r="C3888" s="701"/>
      <c r="D3888" s="811"/>
      <c r="E3888" s="1276">
        <f>[11]building!Y4219</f>
        <v>0</v>
      </c>
      <c r="F3888" s="748">
        <f t="shared" si="299"/>
        <v>0</v>
      </c>
      <c r="G3888" s="1205"/>
      <c r="H3888" s="1055"/>
      <c r="I3888" s="1055"/>
      <c r="J3888" s="1055"/>
      <c r="K3888" s="1205"/>
      <c r="L3888" s="1055"/>
      <c r="M3888" s="1205"/>
      <c r="N3888" s="1054"/>
      <c r="O3888" s="1207"/>
      <c r="Q3888" s="1207"/>
    </row>
    <row r="3889" spans="3:17" s="700" customFormat="1" ht="70.5" hidden="1" customHeight="1">
      <c r="C3889" s="701"/>
      <c r="D3889" s="811"/>
      <c r="E3889" s="1276">
        <f>[11]building!Y4220</f>
        <v>0</v>
      </c>
      <c r="F3889" s="748">
        <f t="shared" si="299"/>
        <v>0</v>
      </c>
      <c r="G3889" s="1205"/>
      <c r="H3889" s="1055"/>
      <c r="I3889" s="1055"/>
      <c r="J3889" s="1055"/>
      <c r="K3889" s="1205"/>
      <c r="L3889" s="1055"/>
      <c r="M3889" s="1205"/>
      <c r="N3889" s="1054"/>
      <c r="O3889" s="1207"/>
      <c r="Q3889" s="1207"/>
    </row>
    <row r="3890" spans="3:17" s="700" customFormat="1" ht="70.5" hidden="1" customHeight="1">
      <c r="C3890" s="701"/>
      <c r="D3890" s="811"/>
      <c r="E3890" s="1276">
        <f>[11]building!Y4221</f>
        <v>0</v>
      </c>
      <c r="F3890" s="748">
        <f t="shared" si="299"/>
        <v>0</v>
      </c>
      <c r="G3890" s="1205"/>
      <c r="H3890" s="1055"/>
      <c r="I3890" s="1055"/>
      <c r="J3890" s="1055"/>
      <c r="K3890" s="1205"/>
      <c r="L3890" s="1055"/>
      <c r="M3890" s="1205"/>
      <c r="N3890" s="1054"/>
      <c r="O3890" s="1207"/>
      <c r="Q3890" s="1207"/>
    </row>
    <row r="3891" spans="3:17" s="700" customFormat="1" ht="70.5" hidden="1" customHeight="1">
      <c r="C3891" s="701"/>
      <c r="D3891" s="811"/>
      <c r="E3891" s="1276">
        <f>[11]building!Y4222</f>
        <v>0</v>
      </c>
      <c r="F3891" s="748">
        <f t="shared" si="299"/>
        <v>0</v>
      </c>
      <c r="G3891" s="1205"/>
      <c r="H3891" s="1055"/>
      <c r="I3891" s="1055"/>
      <c r="J3891" s="1055"/>
      <c r="K3891" s="1205"/>
      <c r="L3891" s="1055"/>
      <c r="M3891" s="1205"/>
      <c r="N3891" s="1054"/>
      <c r="O3891" s="1207"/>
      <c r="Q3891" s="1207"/>
    </row>
    <row r="3892" spans="3:17" s="700" customFormat="1" ht="70.5" hidden="1" customHeight="1">
      <c r="C3892" s="701"/>
      <c r="D3892" s="811"/>
      <c r="E3892" s="1276">
        <f>[11]building!Y4223</f>
        <v>0</v>
      </c>
      <c r="F3892" s="748">
        <f t="shared" si="299"/>
        <v>0</v>
      </c>
      <c r="G3892" s="1205"/>
      <c r="H3892" s="1055"/>
      <c r="I3892" s="1055"/>
      <c r="J3892" s="1055"/>
      <c r="K3892" s="1205"/>
      <c r="L3892" s="1055"/>
      <c r="M3892" s="1205"/>
      <c r="N3892" s="1054"/>
      <c r="O3892" s="1207"/>
      <c r="Q3892" s="1207"/>
    </row>
    <row r="3893" spans="3:17" s="700" customFormat="1" ht="70.5" hidden="1" customHeight="1">
      <c r="C3893" s="701"/>
      <c r="D3893" s="811"/>
      <c r="E3893" s="1276">
        <f>[11]building!Y4224</f>
        <v>0</v>
      </c>
      <c r="F3893" s="748">
        <f t="shared" si="299"/>
        <v>0</v>
      </c>
      <c r="G3893" s="1205"/>
      <c r="H3893" s="1055"/>
      <c r="I3893" s="1055"/>
      <c r="J3893" s="1055"/>
      <c r="K3893" s="1205"/>
      <c r="L3893" s="1055"/>
      <c r="M3893" s="1205"/>
      <c r="N3893" s="1054"/>
      <c r="O3893" s="1207"/>
      <c r="Q3893" s="1207"/>
    </row>
    <row r="3894" spans="3:17" s="700" customFormat="1" ht="70.5" hidden="1" customHeight="1">
      <c r="C3894" s="701"/>
      <c r="D3894" s="811"/>
      <c r="E3894" s="1276">
        <f>[11]building!Y4225</f>
        <v>0</v>
      </c>
      <c r="F3894" s="748">
        <f t="shared" si="299"/>
        <v>0</v>
      </c>
      <c r="G3894" s="1205"/>
      <c r="H3894" s="1055"/>
      <c r="I3894" s="1055"/>
      <c r="J3894" s="1055"/>
      <c r="K3894" s="1205"/>
      <c r="L3894" s="1055"/>
      <c r="M3894" s="1205"/>
      <c r="N3894" s="1054"/>
      <c r="O3894" s="1207"/>
      <c r="Q3894" s="1207"/>
    </row>
    <row r="3895" spans="3:17" s="700" customFormat="1" ht="70.5" hidden="1" customHeight="1">
      <c r="C3895" s="701"/>
      <c r="D3895" s="811"/>
      <c r="E3895" s="1276">
        <f>[11]building!Y4226</f>
        <v>0</v>
      </c>
      <c r="F3895" s="748">
        <f t="shared" si="299"/>
        <v>0</v>
      </c>
      <c r="G3895" s="1205"/>
      <c r="H3895" s="1055"/>
      <c r="I3895" s="1055"/>
      <c r="J3895" s="1055"/>
      <c r="K3895" s="1205"/>
      <c r="L3895" s="1055"/>
      <c r="M3895" s="1205"/>
      <c r="N3895" s="1054"/>
      <c r="O3895" s="1207"/>
      <c r="Q3895" s="1207"/>
    </row>
    <row r="3896" spans="3:17" s="700" customFormat="1" ht="70.5" hidden="1" customHeight="1">
      <c r="C3896" s="701"/>
      <c r="D3896" s="811"/>
      <c r="E3896" s="1276">
        <f>[11]building!Y4227</f>
        <v>0</v>
      </c>
      <c r="F3896" s="748">
        <f t="shared" si="299"/>
        <v>0</v>
      </c>
      <c r="G3896" s="1205"/>
      <c r="H3896" s="1055"/>
      <c r="I3896" s="1055"/>
      <c r="J3896" s="1055"/>
      <c r="K3896" s="1205"/>
      <c r="L3896" s="1055"/>
      <c r="M3896" s="1205"/>
      <c r="N3896" s="1054"/>
      <c r="O3896" s="1207"/>
      <c r="Q3896" s="1207"/>
    </row>
    <row r="3897" spans="3:17" s="700" customFormat="1" ht="70.5" hidden="1" customHeight="1">
      <c r="C3897" s="701"/>
      <c r="D3897" s="811"/>
      <c r="E3897" s="1276">
        <f>[11]building!Y4228</f>
        <v>0</v>
      </c>
      <c r="F3897" s="748">
        <f t="shared" si="299"/>
        <v>0</v>
      </c>
      <c r="G3897" s="1205"/>
      <c r="H3897" s="1055"/>
      <c r="I3897" s="1055"/>
      <c r="J3897" s="1055"/>
      <c r="K3897" s="1205"/>
      <c r="L3897" s="1055"/>
      <c r="M3897" s="1205"/>
      <c r="N3897" s="1054"/>
      <c r="O3897" s="1207"/>
      <c r="Q3897" s="1207"/>
    </row>
    <row r="3898" spans="3:17" s="700" customFormat="1" ht="70.5" hidden="1" customHeight="1">
      <c r="C3898" s="701"/>
      <c r="D3898" s="811"/>
      <c r="E3898" s="1276">
        <f>[11]building!Y4229</f>
        <v>0</v>
      </c>
      <c r="F3898" s="748">
        <f t="shared" si="299"/>
        <v>0</v>
      </c>
      <c r="G3898" s="1205"/>
      <c r="H3898" s="1055"/>
      <c r="I3898" s="1055"/>
      <c r="J3898" s="1055"/>
      <c r="K3898" s="1205"/>
      <c r="L3898" s="1055"/>
      <c r="M3898" s="1205"/>
      <c r="N3898" s="1054"/>
      <c r="O3898" s="1207"/>
      <c r="Q3898" s="1207"/>
    </row>
    <row r="3899" spans="3:17" s="700" customFormat="1" ht="70.5" hidden="1" customHeight="1">
      <c r="C3899" s="701"/>
      <c r="D3899" s="811"/>
      <c r="E3899" s="1276">
        <f>[11]building!Y4230</f>
        <v>0</v>
      </c>
      <c r="F3899" s="748">
        <f t="shared" si="299"/>
        <v>0</v>
      </c>
      <c r="G3899" s="1205"/>
      <c r="H3899" s="1055"/>
      <c r="I3899" s="1055"/>
      <c r="J3899" s="1055"/>
      <c r="K3899" s="1205"/>
      <c r="L3899" s="1055"/>
      <c r="M3899" s="1205"/>
      <c r="N3899" s="1054"/>
      <c r="O3899" s="1207"/>
      <c r="Q3899" s="1207"/>
    </row>
    <row r="3900" spans="3:17" s="700" customFormat="1" ht="70.5" hidden="1" customHeight="1">
      <c r="C3900" s="701"/>
      <c r="D3900" s="811"/>
      <c r="E3900" s="1276">
        <f>[11]building!Y4231</f>
        <v>0</v>
      </c>
      <c r="F3900" s="748">
        <f t="shared" si="299"/>
        <v>0</v>
      </c>
      <c r="G3900" s="1205"/>
      <c r="H3900" s="1055"/>
      <c r="I3900" s="1055"/>
      <c r="J3900" s="1055"/>
      <c r="K3900" s="1205"/>
      <c r="L3900" s="1055"/>
      <c r="M3900" s="1205"/>
      <c r="N3900" s="1054"/>
      <c r="O3900" s="1207"/>
      <c r="Q3900" s="1207"/>
    </row>
    <row r="3901" spans="3:17" s="700" customFormat="1" ht="70.5" hidden="1" customHeight="1">
      <c r="C3901" s="701"/>
      <c r="D3901" s="811"/>
      <c r="E3901" s="1276">
        <f>[11]building!Y4232</f>
        <v>0</v>
      </c>
      <c r="F3901" s="748">
        <f t="shared" si="299"/>
        <v>0</v>
      </c>
      <c r="G3901" s="1205"/>
      <c r="H3901" s="1055"/>
      <c r="I3901" s="1055"/>
      <c r="J3901" s="1055"/>
      <c r="K3901" s="1205"/>
      <c r="L3901" s="1055"/>
      <c r="M3901" s="1205"/>
      <c r="N3901" s="1054"/>
      <c r="O3901" s="1207"/>
      <c r="Q3901" s="1207"/>
    </row>
    <row r="3902" spans="3:17" s="700" customFormat="1" ht="70.5" hidden="1" customHeight="1">
      <c r="C3902" s="701"/>
      <c r="D3902" s="811"/>
      <c r="E3902" s="1276">
        <f>[11]building!Y4233</f>
        <v>0</v>
      </c>
      <c r="F3902" s="748">
        <f t="shared" si="299"/>
        <v>0</v>
      </c>
      <c r="G3902" s="1205"/>
      <c r="H3902" s="1055"/>
      <c r="I3902" s="1055"/>
      <c r="J3902" s="1055"/>
      <c r="K3902" s="1205"/>
      <c r="L3902" s="1055"/>
      <c r="M3902" s="1205"/>
      <c r="N3902" s="1054"/>
      <c r="O3902" s="1207"/>
      <c r="Q3902" s="1207"/>
    </row>
    <row r="3903" spans="3:17" s="700" customFormat="1" ht="70.5" hidden="1" customHeight="1">
      <c r="C3903" s="701"/>
      <c r="D3903" s="811"/>
      <c r="E3903" s="1276">
        <f>[11]building!Y4234</f>
        <v>0</v>
      </c>
      <c r="F3903" s="748">
        <f t="shared" si="299"/>
        <v>0</v>
      </c>
      <c r="G3903" s="1205"/>
      <c r="H3903" s="1055"/>
      <c r="I3903" s="1055"/>
      <c r="J3903" s="1055"/>
      <c r="K3903" s="1205"/>
      <c r="L3903" s="1055"/>
      <c r="M3903" s="1205"/>
      <c r="N3903" s="1054"/>
      <c r="O3903" s="1207"/>
      <c r="Q3903" s="1207"/>
    </row>
    <row r="3904" spans="3:17" s="700" customFormat="1" ht="70.5" hidden="1" customHeight="1">
      <c r="C3904" s="701"/>
      <c r="D3904" s="811"/>
      <c r="E3904" s="1276">
        <f>[11]building!Y4235</f>
        <v>0</v>
      </c>
      <c r="F3904" s="748">
        <f t="shared" ref="F3904:F3967" si="300">E3904*C3904</f>
        <v>0</v>
      </c>
      <c r="G3904" s="1205"/>
      <c r="H3904" s="1055"/>
      <c r="I3904" s="1055"/>
      <c r="J3904" s="1055"/>
      <c r="K3904" s="1205"/>
      <c r="L3904" s="1055"/>
      <c r="M3904" s="1205"/>
      <c r="N3904" s="1054"/>
      <c r="O3904" s="1207"/>
      <c r="Q3904" s="1207"/>
    </row>
    <row r="3905" spans="3:17" s="700" customFormat="1" ht="70.5" hidden="1" customHeight="1">
      <c r="C3905" s="701"/>
      <c r="D3905" s="811"/>
      <c r="E3905" s="1276">
        <f>[11]building!Y4236</f>
        <v>0</v>
      </c>
      <c r="F3905" s="748">
        <f t="shared" si="300"/>
        <v>0</v>
      </c>
      <c r="G3905" s="1205"/>
      <c r="H3905" s="1055"/>
      <c r="I3905" s="1055"/>
      <c r="J3905" s="1055"/>
      <c r="K3905" s="1205"/>
      <c r="L3905" s="1055"/>
      <c r="M3905" s="1205"/>
      <c r="N3905" s="1054"/>
      <c r="O3905" s="1207"/>
      <c r="Q3905" s="1207"/>
    </row>
    <row r="3906" spans="3:17" s="700" customFormat="1" ht="70.5" hidden="1" customHeight="1">
      <c r="C3906" s="701"/>
      <c r="D3906" s="811"/>
      <c r="E3906" s="1276">
        <f>[11]building!Y4237</f>
        <v>0</v>
      </c>
      <c r="F3906" s="748">
        <f t="shared" si="300"/>
        <v>0</v>
      </c>
      <c r="G3906" s="1205"/>
      <c r="H3906" s="1055"/>
      <c r="I3906" s="1055"/>
      <c r="J3906" s="1055"/>
      <c r="K3906" s="1205"/>
      <c r="L3906" s="1055"/>
      <c r="M3906" s="1205"/>
      <c r="N3906" s="1054"/>
      <c r="O3906" s="1207"/>
      <c r="Q3906" s="1207"/>
    </row>
    <row r="3907" spans="3:17" s="700" customFormat="1" ht="70.5" hidden="1" customHeight="1">
      <c r="C3907" s="701"/>
      <c r="D3907" s="811"/>
      <c r="E3907" s="1276">
        <f>[11]building!Y4238</f>
        <v>0</v>
      </c>
      <c r="F3907" s="748">
        <f t="shared" si="300"/>
        <v>0</v>
      </c>
      <c r="G3907" s="1205"/>
      <c r="H3907" s="1055"/>
      <c r="I3907" s="1055"/>
      <c r="J3907" s="1055"/>
      <c r="K3907" s="1205"/>
      <c r="L3907" s="1055"/>
      <c r="M3907" s="1205"/>
      <c r="N3907" s="1054"/>
      <c r="O3907" s="1207"/>
      <c r="Q3907" s="1207"/>
    </row>
    <row r="3908" spans="3:17" s="700" customFormat="1" ht="70.5" hidden="1" customHeight="1">
      <c r="C3908" s="701"/>
      <c r="D3908" s="811"/>
      <c r="E3908" s="1276">
        <f>[11]building!Y4239</f>
        <v>0</v>
      </c>
      <c r="F3908" s="748">
        <f t="shared" si="300"/>
        <v>0</v>
      </c>
      <c r="G3908" s="1205"/>
      <c r="H3908" s="1055"/>
      <c r="I3908" s="1055"/>
      <c r="J3908" s="1055"/>
      <c r="K3908" s="1205"/>
      <c r="L3908" s="1055"/>
      <c r="M3908" s="1205"/>
      <c r="N3908" s="1054"/>
      <c r="O3908" s="1207"/>
      <c r="Q3908" s="1207"/>
    </row>
    <row r="3909" spans="3:17" s="700" customFormat="1" ht="70.5" hidden="1" customHeight="1">
      <c r="C3909" s="701"/>
      <c r="D3909" s="811"/>
      <c r="E3909" s="1276">
        <f>[11]building!Y4240</f>
        <v>0</v>
      </c>
      <c r="F3909" s="748">
        <f t="shared" si="300"/>
        <v>0</v>
      </c>
      <c r="G3909" s="1205"/>
      <c r="H3909" s="1055"/>
      <c r="I3909" s="1055"/>
      <c r="J3909" s="1055"/>
      <c r="K3909" s="1205"/>
      <c r="L3909" s="1055"/>
      <c r="M3909" s="1205"/>
      <c r="N3909" s="1054"/>
      <c r="O3909" s="1207"/>
      <c r="Q3909" s="1207"/>
    </row>
    <row r="3910" spans="3:17" s="700" customFormat="1" ht="70.5" hidden="1" customHeight="1">
      <c r="C3910" s="701"/>
      <c r="D3910" s="811"/>
      <c r="E3910" s="1276">
        <f>[11]building!Y4241</f>
        <v>0</v>
      </c>
      <c r="F3910" s="748">
        <f t="shared" si="300"/>
        <v>0</v>
      </c>
      <c r="G3910" s="1205"/>
      <c r="H3910" s="1055"/>
      <c r="I3910" s="1055"/>
      <c r="J3910" s="1055"/>
      <c r="K3910" s="1205"/>
      <c r="L3910" s="1055"/>
      <c r="M3910" s="1205"/>
      <c r="N3910" s="1054"/>
      <c r="O3910" s="1207"/>
      <c r="Q3910" s="1207"/>
    </row>
    <row r="3911" spans="3:17" s="700" customFormat="1" ht="70.5" hidden="1" customHeight="1">
      <c r="C3911" s="701"/>
      <c r="D3911" s="811"/>
      <c r="E3911" s="1276">
        <f>[11]building!Y4242</f>
        <v>0</v>
      </c>
      <c r="F3911" s="748">
        <f t="shared" si="300"/>
        <v>0</v>
      </c>
      <c r="G3911" s="1205"/>
      <c r="H3911" s="1055"/>
      <c r="I3911" s="1055"/>
      <c r="J3911" s="1055"/>
      <c r="K3911" s="1205"/>
      <c r="L3911" s="1055"/>
      <c r="M3911" s="1205"/>
      <c r="N3911" s="1054"/>
      <c r="O3911" s="1207"/>
      <c r="Q3911" s="1207"/>
    </row>
    <row r="3912" spans="3:17" s="700" customFormat="1" ht="70.5" hidden="1" customHeight="1">
      <c r="C3912" s="701"/>
      <c r="D3912" s="811"/>
      <c r="E3912" s="1276">
        <f>[11]building!Y4243</f>
        <v>0</v>
      </c>
      <c r="F3912" s="748">
        <f t="shared" si="300"/>
        <v>0</v>
      </c>
      <c r="G3912" s="1205"/>
      <c r="H3912" s="1055"/>
      <c r="I3912" s="1055"/>
      <c r="J3912" s="1055"/>
      <c r="K3912" s="1205"/>
      <c r="L3912" s="1055"/>
      <c r="M3912" s="1205"/>
      <c r="N3912" s="1054"/>
      <c r="O3912" s="1207"/>
      <c r="Q3912" s="1207"/>
    </row>
    <row r="3913" spans="3:17" s="700" customFormat="1" ht="70.5" hidden="1" customHeight="1">
      <c r="C3913" s="701"/>
      <c r="D3913" s="811"/>
      <c r="E3913" s="1276">
        <f>[11]building!Y4244</f>
        <v>0</v>
      </c>
      <c r="F3913" s="748">
        <f t="shared" si="300"/>
        <v>0</v>
      </c>
      <c r="G3913" s="1205"/>
      <c r="H3913" s="1055"/>
      <c r="I3913" s="1055"/>
      <c r="J3913" s="1055"/>
      <c r="K3913" s="1205"/>
      <c r="L3913" s="1055"/>
      <c r="M3913" s="1205"/>
      <c r="N3913" s="1054"/>
      <c r="O3913" s="1207"/>
      <c r="Q3913" s="1207"/>
    </row>
    <row r="3914" spans="3:17" s="700" customFormat="1" ht="70.5" hidden="1" customHeight="1">
      <c r="C3914" s="701"/>
      <c r="D3914" s="811"/>
      <c r="E3914" s="1276">
        <f>[11]building!Y4245</f>
        <v>0</v>
      </c>
      <c r="F3914" s="748">
        <f t="shared" si="300"/>
        <v>0</v>
      </c>
      <c r="G3914" s="1205"/>
      <c r="H3914" s="1055"/>
      <c r="I3914" s="1055"/>
      <c r="J3914" s="1055"/>
      <c r="K3914" s="1205"/>
      <c r="L3914" s="1055"/>
      <c r="M3914" s="1205"/>
      <c r="N3914" s="1054"/>
      <c r="O3914" s="1207"/>
      <c r="Q3914" s="1207"/>
    </row>
    <row r="3915" spans="3:17" s="700" customFormat="1" ht="70.5" hidden="1" customHeight="1">
      <c r="C3915" s="701"/>
      <c r="D3915" s="811"/>
      <c r="E3915" s="1276">
        <f>[11]building!Y4246</f>
        <v>0</v>
      </c>
      <c r="F3915" s="748">
        <f t="shared" si="300"/>
        <v>0</v>
      </c>
      <c r="G3915" s="1205"/>
      <c r="H3915" s="1055"/>
      <c r="I3915" s="1055"/>
      <c r="J3915" s="1055"/>
      <c r="K3915" s="1205"/>
      <c r="L3915" s="1055"/>
      <c r="M3915" s="1205"/>
      <c r="N3915" s="1054"/>
      <c r="O3915" s="1207"/>
      <c r="Q3915" s="1207"/>
    </row>
    <row r="3916" spans="3:17" s="700" customFormat="1" ht="70.5" hidden="1" customHeight="1">
      <c r="C3916" s="701"/>
      <c r="D3916" s="811"/>
      <c r="E3916" s="1276">
        <f>[11]building!Y4247</f>
        <v>0</v>
      </c>
      <c r="F3916" s="748">
        <f t="shared" si="300"/>
        <v>0</v>
      </c>
      <c r="G3916" s="1205"/>
      <c r="H3916" s="1055"/>
      <c r="I3916" s="1055"/>
      <c r="J3916" s="1055"/>
      <c r="K3916" s="1205"/>
      <c r="L3916" s="1055"/>
      <c r="M3916" s="1205"/>
      <c r="N3916" s="1054"/>
      <c r="O3916" s="1207"/>
      <c r="Q3916" s="1207"/>
    </row>
    <row r="3917" spans="3:17" s="700" customFormat="1" ht="70.5" hidden="1" customHeight="1">
      <c r="C3917" s="701"/>
      <c r="D3917" s="811"/>
      <c r="E3917" s="1276">
        <f>[11]building!Y4248</f>
        <v>0</v>
      </c>
      <c r="F3917" s="748">
        <f t="shared" si="300"/>
        <v>0</v>
      </c>
      <c r="G3917" s="1205"/>
      <c r="H3917" s="1055"/>
      <c r="I3917" s="1055"/>
      <c r="J3917" s="1055"/>
      <c r="K3917" s="1205"/>
      <c r="L3917" s="1055"/>
      <c r="M3917" s="1205"/>
      <c r="N3917" s="1054"/>
      <c r="O3917" s="1207"/>
      <c r="Q3917" s="1207"/>
    </row>
    <row r="3918" spans="3:17" s="700" customFormat="1" ht="70.5" hidden="1" customHeight="1">
      <c r="C3918" s="701"/>
      <c r="D3918" s="811"/>
      <c r="E3918" s="1276">
        <f>[11]building!Y4249</f>
        <v>0</v>
      </c>
      <c r="F3918" s="748">
        <f t="shared" si="300"/>
        <v>0</v>
      </c>
      <c r="G3918" s="1205"/>
      <c r="H3918" s="1055"/>
      <c r="I3918" s="1055"/>
      <c r="J3918" s="1055"/>
      <c r="K3918" s="1205"/>
      <c r="L3918" s="1055"/>
      <c r="M3918" s="1205"/>
      <c r="N3918" s="1054"/>
      <c r="O3918" s="1207"/>
      <c r="Q3918" s="1207"/>
    </row>
    <row r="3919" spans="3:17" s="700" customFormat="1" ht="70.5" hidden="1" customHeight="1">
      <c r="C3919" s="701"/>
      <c r="D3919" s="811"/>
      <c r="E3919" s="1276">
        <f>[11]building!Y4250</f>
        <v>0</v>
      </c>
      <c r="F3919" s="748">
        <f t="shared" si="300"/>
        <v>0</v>
      </c>
      <c r="G3919" s="1205"/>
      <c r="H3919" s="1055"/>
      <c r="I3919" s="1055"/>
      <c r="J3919" s="1055"/>
      <c r="K3919" s="1205"/>
      <c r="L3919" s="1055"/>
      <c r="M3919" s="1205"/>
      <c r="N3919" s="1054"/>
      <c r="O3919" s="1207"/>
      <c r="Q3919" s="1207"/>
    </row>
    <row r="3920" spans="3:17" s="700" customFormat="1" ht="70.5" hidden="1" customHeight="1">
      <c r="C3920" s="701"/>
      <c r="D3920" s="811"/>
      <c r="E3920" s="1276">
        <f>[11]building!Y4251</f>
        <v>0</v>
      </c>
      <c r="F3920" s="748">
        <f t="shared" si="300"/>
        <v>0</v>
      </c>
      <c r="G3920" s="1205"/>
      <c r="H3920" s="1055"/>
      <c r="I3920" s="1055"/>
      <c r="J3920" s="1055"/>
      <c r="K3920" s="1205"/>
      <c r="L3920" s="1055"/>
      <c r="M3920" s="1205"/>
      <c r="N3920" s="1054"/>
      <c r="O3920" s="1207"/>
      <c r="Q3920" s="1207"/>
    </row>
    <row r="3921" spans="3:17" s="700" customFormat="1" ht="70.5" hidden="1" customHeight="1">
      <c r="C3921" s="701"/>
      <c r="D3921" s="811"/>
      <c r="E3921" s="1276">
        <f>[11]building!Y4252</f>
        <v>0</v>
      </c>
      <c r="F3921" s="748">
        <f t="shared" si="300"/>
        <v>0</v>
      </c>
      <c r="G3921" s="1205"/>
      <c r="H3921" s="1055"/>
      <c r="I3921" s="1055"/>
      <c r="J3921" s="1055"/>
      <c r="K3921" s="1205"/>
      <c r="L3921" s="1055"/>
      <c r="M3921" s="1205"/>
      <c r="N3921" s="1054"/>
      <c r="O3921" s="1207"/>
      <c r="Q3921" s="1207"/>
    </row>
    <row r="3922" spans="3:17" s="700" customFormat="1" ht="70.5" hidden="1" customHeight="1">
      <c r="C3922" s="701"/>
      <c r="D3922" s="811"/>
      <c r="E3922" s="1276">
        <f>[11]building!Y4253</f>
        <v>0</v>
      </c>
      <c r="F3922" s="748">
        <f t="shared" si="300"/>
        <v>0</v>
      </c>
      <c r="G3922" s="1205"/>
      <c r="H3922" s="1055"/>
      <c r="I3922" s="1055"/>
      <c r="J3922" s="1055"/>
      <c r="K3922" s="1205"/>
      <c r="L3922" s="1055"/>
      <c r="M3922" s="1205"/>
      <c r="N3922" s="1054"/>
      <c r="O3922" s="1207"/>
      <c r="Q3922" s="1207"/>
    </row>
    <row r="3923" spans="3:17" s="700" customFormat="1" ht="70.5" hidden="1" customHeight="1">
      <c r="C3923" s="701"/>
      <c r="D3923" s="811"/>
      <c r="E3923" s="1276">
        <f>[11]building!Y4254</f>
        <v>0</v>
      </c>
      <c r="F3923" s="748">
        <f t="shared" si="300"/>
        <v>0</v>
      </c>
      <c r="G3923" s="1205"/>
      <c r="H3923" s="1055"/>
      <c r="I3923" s="1055"/>
      <c r="J3923" s="1055"/>
      <c r="K3923" s="1205"/>
      <c r="L3923" s="1055"/>
      <c r="M3923" s="1205"/>
      <c r="N3923" s="1054"/>
      <c r="O3923" s="1207"/>
      <c r="Q3923" s="1207"/>
    </row>
    <row r="3924" spans="3:17" s="700" customFormat="1" ht="70.5" hidden="1" customHeight="1">
      <c r="C3924" s="701"/>
      <c r="D3924" s="811"/>
      <c r="E3924" s="1276">
        <f>[11]building!Y4255</f>
        <v>0</v>
      </c>
      <c r="F3924" s="748">
        <f t="shared" si="300"/>
        <v>0</v>
      </c>
      <c r="G3924" s="1205"/>
      <c r="H3924" s="1055"/>
      <c r="I3924" s="1055"/>
      <c r="J3924" s="1055"/>
      <c r="K3924" s="1205"/>
      <c r="L3924" s="1055"/>
      <c r="M3924" s="1205"/>
      <c r="N3924" s="1054"/>
      <c r="O3924" s="1207"/>
      <c r="Q3924" s="1207"/>
    </row>
    <row r="3925" spans="3:17" s="700" customFormat="1" ht="70.5" hidden="1" customHeight="1">
      <c r="C3925" s="701"/>
      <c r="D3925" s="811"/>
      <c r="E3925" s="1276">
        <f>[11]building!Y4256</f>
        <v>0</v>
      </c>
      <c r="F3925" s="748">
        <f t="shared" si="300"/>
        <v>0</v>
      </c>
      <c r="G3925" s="1205"/>
      <c r="H3925" s="1055"/>
      <c r="I3925" s="1055"/>
      <c r="J3925" s="1055"/>
      <c r="K3925" s="1205"/>
      <c r="L3925" s="1055"/>
      <c r="M3925" s="1205"/>
      <c r="N3925" s="1054"/>
      <c r="O3925" s="1207"/>
      <c r="Q3925" s="1207"/>
    </row>
    <row r="3926" spans="3:17" s="700" customFormat="1" ht="70.5" hidden="1" customHeight="1">
      <c r="C3926" s="701"/>
      <c r="D3926" s="811"/>
      <c r="E3926" s="1276">
        <f>[11]building!Y4257</f>
        <v>0</v>
      </c>
      <c r="F3926" s="748">
        <f t="shared" si="300"/>
        <v>0</v>
      </c>
      <c r="G3926" s="1205"/>
      <c r="H3926" s="1055"/>
      <c r="I3926" s="1055"/>
      <c r="J3926" s="1055"/>
      <c r="K3926" s="1205"/>
      <c r="L3926" s="1055"/>
      <c r="M3926" s="1205"/>
      <c r="N3926" s="1054"/>
      <c r="O3926" s="1207"/>
      <c r="Q3926" s="1207"/>
    </row>
    <row r="3927" spans="3:17" s="700" customFormat="1" ht="70.5" hidden="1" customHeight="1">
      <c r="C3927" s="701"/>
      <c r="D3927" s="811"/>
      <c r="E3927" s="1276">
        <f>[11]building!Y4258</f>
        <v>0</v>
      </c>
      <c r="F3927" s="748">
        <f t="shared" si="300"/>
        <v>0</v>
      </c>
      <c r="G3927" s="1205"/>
      <c r="H3927" s="1055"/>
      <c r="I3927" s="1055"/>
      <c r="J3927" s="1055"/>
      <c r="K3927" s="1205"/>
      <c r="L3927" s="1055"/>
      <c r="M3927" s="1205"/>
      <c r="N3927" s="1054"/>
      <c r="O3927" s="1207"/>
      <c r="Q3927" s="1207"/>
    </row>
    <row r="3928" spans="3:17" s="700" customFormat="1" ht="70.5" hidden="1" customHeight="1">
      <c r="C3928" s="701"/>
      <c r="D3928" s="811"/>
      <c r="E3928" s="1276">
        <f>[11]building!Y4259</f>
        <v>0</v>
      </c>
      <c r="F3928" s="748">
        <f t="shared" si="300"/>
        <v>0</v>
      </c>
      <c r="G3928" s="1205"/>
      <c r="H3928" s="1055"/>
      <c r="I3928" s="1055"/>
      <c r="J3928" s="1055"/>
      <c r="K3928" s="1205"/>
      <c r="L3928" s="1055"/>
      <c r="M3928" s="1205"/>
      <c r="N3928" s="1054"/>
      <c r="O3928" s="1207"/>
      <c r="Q3928" s="1207"/>
    </row>
    <row r="3929" spans="3:17" s="700" customFormat="1" ht="70.5" hidden="1" customHeight="1">
      <c r="C3929" s="701"/>
      <c r="D3929" s="811"/>
      <c r="E3929" s="1276">
        <f>[11]building!Y4260</f>
        <v>0</v>
      </c>
      <c r="F3929" s="748">
        <f t="shared" si="300"/>
        <v>0</v>
      </c>
      <c r="G3929" s="1205"/>
      <c r="H3929" s="1055"/>
      <c r="I3929" s="1055"/>
      <c r="J3929" s="1055"/>
      <c r="K3929" s="1205"/>
      <c r="L3929" s="1055"/>
      <c r="M3929" s="1205"/>
      <c r="N3929" s="1054"/>
      <c r="O3929" s="1207"/>
      <c r="Q3929" s="1207"/>
    </row>
    <row r="3930" spans="3:17" s="700" customFormat="1" ht="70.5" hidden="1" customHeight="1">
      <c r="C3930" s="701"/>
      <c r="D3930" s="811"/>
      <c r="E3930" s="1276">
        <f>[11]building!Y4261</f>
        <v>0</v>
      </c>
      <c r="F3930" s="748">
        <f t="shared" si="300"/>
        <v>0</v>
      </c>
      <c r="G3930" s="1205"/>
      <c r="H3930" s="1055"/>
      <c r="I3930" s="1055"/>
      <c r="J3930" s="1055"/>
      <c r="K3930" s="1205"/>
      <c r="L3930" s="1055"/>
      <c r="M3930" s="1205"/>
      <c r="N3930" s="1054"/>
      <c r="O3930" s="1207"/>
      <c r="Q3930" s="1207"/>
    </row>
    <row r="3931" spans="3:17" s="700" customFormat="1" ht="70.5" hidden="1" customHeight="1">
      <c r="C3931" s="701"/>
      <c r="D3931" s="811"/>
      <c r="E3931" s="1276">
        <f>[11]building!Y4262</f>
        <v>0</v>
      </c>
      <c r="F3931" s="748">
        <f t="shared" si="300"/>
        <v>0</v>
      </c>
      <c r="G3931" s="1205"/>
      <c r="H3931" s="1055"/>
      <c r="I3931" s="1055"/>
      <c r="J3931" s="1055"/>
      <c r="K3931" s="1205"/>
      <c r="L3931" s="1055"/>
      <c r="M3931" s="1205"/>
      <c r="N3931" s="1054"/>
      <c r="O3931" s="1207"/>
      <c r="Q3931" s="1207"/>
    </row>
    <row r="3932" spans="3:17" s="700" customFormat="1" ht="70.5" hidden="1" customHeight="1">
      <c r="C3932" s="701"/>
      <c r="D3932" s="811"/>
      <c r="E3932" s="1276">
        <f>[11]building!Y4263</f>
        <v>0</v>
      </c>
      <c r="F3932" s="748">
        <f t="shared" si="300"/>
        <v>0</v>
      </c>
      <c r="G3932" s="1205"/>
      <c r="H3932" s="1055"/>
      <c r="I3932" s="1055"/>
      <c r="J3932" s="1055"/>
      <c r="K3932" s="1205"/>
      <c r="L3932" s="1055"/>
      <c r="M3932" s="1205"/>
      <c r="N3932" s="1054"/>
      <c r="O3932" s="1207"/>
      <c r="Q3932" s="1207"/>
    </row>
    <row r="3933" spans="3:17" s="700" customFormat="1" ht="70.5" hidden="1" customHeight="1">
      <c r="C3933" s="701"/>
      <c r="D3933" s="811"/>
      <c r="E3933" s="1276">
        <f>[11]building!Y4264</f>
        <v>0</v>
      </c>
      <c r="F3933" s="748">
        <f t="shared" si="300"/>
        <v>0</v>
      </c>
      <c r="G3933" s="1205"/>
      <c r="H3933" s="1055"/>
      <c r="I3933" s="1055"/>
      <c r="J3933" s="1055"/>
      <c r="K3933" s="1205"/>
      <c r="L3933" s="1055"/>
      <c r="M3933" s="1205"/>
      <c r="N3933" s="1054"/>
      <c r="O3933" s="1207"/>
      <c r="Q3933" s="1207"/>
    </row>
    <row r="3934" spans="3:17" s="700" customFormat="1" ht="70.5" hidden="1" customHeight="1">
      <c r="C3934" s="701"/>
      <c r="D3934" s="811"/>
      <c r="E3934" s="1276">
        <f>[11]building!Y4265</f>
        <v>0</v>
      </c>
      <c r="F3934" s="748">
        <f t="shared" si="300"/>
        <v>0</v>
      </c>
      <c r="G3934" s="1205"/>
      <c r="H3934" s="1055"/>
      <c r="I3934" s="1055"/>
      <c r="J3934" s="1055"/>
      <c r="K3934" s="1205"/>
      <c r="L3934" s="1055"/>
      <c r="M3934" s="1205"/>
      <c r="N3934" s="1054"/>
      <c r="O3934" s="1207"/>
      <c r="Q3934" s="1207"/>
    </row>
    <row r="3935" spans="3:17" s="700" customFormat="1" ht="70.5" hidden="1" customHeight="1">
      <c r="C3935" s="701"/>
      <c r="D3935" s="811"/>
      <c r="E3935" s="1276">
        <f>[11]building!Y4266</f>
        <v>0</v>
      </c>
      <c r="F3935" s="748">
        <f t="shared" si="300"/>
        <v>0</v>
      </c>
      <c r="G3935" s="1205"/>
      <c r="H3935" s="1055"/>
      <c r="I3935" s="1055"/>
      <c r="J3935" s="1055"/>
      <c r="K3935" s="1205"/>
      <c r="L3935" s="1055"/>
      <c r="M3935" s="1205"/>
      <c r="N3935" s="1054"/>
      <c r="O3935" s="1207"/>
      <c r="Q3935" s="1207"/>
    </row>
    <row r="3936" spans="3:17" s="700" customFormat="1" ht="70.5" hidden="1" customHeight="1">
      <c r="C3936" s="701"/>
      <c r="D3936" s="811"/>
      <c r="E3936" s="1276">
        <f>[11]building!Y4267</f>
        <v>0</v>
      </c>
      <c r="F3936" s="748">
        <f t="shared" si="300"/>
        <v>0</v>
      </c>
      <c r="G3936" s="1205"/>
      <c r="H3936" s="1055"/>
      <c r="I3936" s="1055"/>
      <c r="J3936" s="1055"/>
      <c r="K3936" s="1205"/>
      <c r="L3936" s="1055"/>
      <c r="M3936" s="1205"/>
      <c r="N3936" s="1054"/>
      <c r="O3936" s="1207"/>
      <c r="Q3936" s="1207"/>
    </row>
    <row r="3937" spans="3:17" s="700" customFormat="1" ht="70.5" hidden="1" customHeight="1">
      <c r="C3937" s="701"/>
      <c r="D3937" s="811"/>
      <c r="E3937" s="1276">
        <f>[11]building!Y4268</f>
        <v>0</v>
      </c>
      <c r="F3937" s="748">
        <f t="shared" si="300"/>
        <v>0</v>
      </c>
      <c r="G3937" s="1205"/>
      <c r="H3937" s="1055"/>
      <c r="I3937" s="1055"/>
      <c r="J3937" s="1055"/>
      <c r="K3937" s="1205"/>
      <c r="L3937" s="1055"/>
      <c r="M3937" s="1205"/>
      <c r="N3937" s="1054"/>
      <c r="O3937" s="1207"/>
      <c r="Q3937" s="1207"/>
    </row>
    <row r="3938" spans="3:17" s="700" customFormat="1" ht="70.5" hidden="1" customHeight="1">
      <c r="C3938" s="701"/>
      <c r="D3938" s="811"/>
      <c r="E3938" s="1276">
        <f>[11]building!Y4269</f>
        <v>0</v>
      </c>
      <c r="F3938" s="748">
        <f t="shared" si="300"/>
        <v>0</v>
      </c>
      <c r="G3938" s="1205"/>
      <c r="H3938" s="1055"/>
      <c r="I3938" s="1055"/>
      <c r="J3938" s="1055"/>
      <c r="K3938" s="1205"/>
      <c r="L3938" s="1055"/>
      <c r="M3938" s="1205"/>
      <c r="N3938" s="1054"/>
      <c r="O3938" s="1207"/>
      <c r="Q3938" s="1207"/>
    </row>
    <row r="3939" spans="3:17" s="700" customFormat="1" ht="70.5" hidden="1" customHeight="1">
      <c r="C3939" s="701"/>
      <c r="D3939" s="811"/>
      <c r="E3939" s="1276">
        <f>[11]building!Y4270</f>
        <v>0</v>
      </c>
      <c r="F3939" s="748">
        <f t="shared" si="300"/>
        <v>0</v>
      </c>
      <c r="G3939" s="1205"/>
      <c r="H3939" s="1055"/>
      <c r="I3939" s="1055"/>
      <c r="J3939" s="1055"/>
      <c r="K3939" s="1205"/>
      <c r="L3939" s="1055"/>
      <c r="M3939" s="1205"/>
      <c r="N3939" s="1054"/>
      <c r="O3939" s="1207"/>
      <c r="Q3939" s="1207"/>
    </row>
    <row r="3940" spans="3:17" s="700" customFormat="1" ht="70.5" hidden="1" customHeight="1">
      <c r="C3940" s="701"/>
      <c r="D3940" s="811"/>
      <c r="E3940" s="1276">
        <f>[11]building!Y4271</f>
        <v>0</v>
      </c>
      <c r="F3940" s="748">
        <f t="shared" si="300"/>
        <v>0</v>
      </c>
      <c r="G3940" s="1205"/>
      <c r="H3940" s="1055"/>
      <c r="I3940" s="1055"/>
      <c r="J3940" s="1055"/>
      <c r="K3940" s="1205"/>
      <c r="L3940" s="1055"/>
      <c r="M3940" s="1205"/>
      <c r="N3940" s="1054"/>
      <c r="O3940" s="1207"/>
      <c r="Q3940" s="1207"/>
    </row>
    <row r="3941" spans="3:17" s="700" customFormat="1" ht="70.5" hidden="1" customHeight="1">
      <c r="C3941" s="701"/>
      <c r="D3941" s="811"/>
      <c r="E3941" s="1276">
        <f>[11]building!Y4272</f>
        <v>0</v>
      </c>
      <c r="F3941" s="748">
        <f t="shared" si="300"/>
        <v>0</v>
      </c>
      <c r="G3941" s="1205"/>
      <c r="H3941" s="1055"/>
      <c r="I3941" s="1055"/>
      <c r="J3941" s="1055"/>
      <c r="K3941" s="1205"/>
      <c r="L3941" s="1055"/>
      <c r="M3941" s="1205"/>
      <c r="N3941" s="1054"/>
      <c r="O3941" s="1207"/>
      <c r="Q3941" s="1207"/>
    </row>
    <row r="3942" spans="3:17" s="700" customFormat="1" ht="70.5" hidden="1" customHeight="1">
      <c r="C3942" s="701"/>
      <c r="D3942" s="811"/>
      <c r="E3942" s="1276">
        <f>[11]building!Y4273</f>
        <v>0</v>
      </c>
      <c r="F3942" s="748">
        <f t="shared" si="300"/>
        <v>0</v>
      </c>
      <c r="G3942" s="1205"/>
      <c r="H3942" s="1055"/>
      <c r="I3942" s="1055"/>
      <c r="J3942" s="1055"/>
      <c r="K3942" s="1205"/>
      <c r="L3942" s="1055"/>
      <c r="M3942" s="1205"/>
      <c r="N3942" s="1054"/>
      <c r="O3942" s="1207"/>
      <c r="Q3942" s="1207"/>
    </row>
    <row r="3943" spans="3:17" s="700" customFormat="1" ht="70.5" hidden="1" customHeight="1">
      <c r="C3943" s="701"/>
      <c r="D3943" s="811"/>
      <c r="E3943" s="1276">
        <f>[11]building!Y4274</f>
        <v>0</v>
      </c>
      <c r="F3943" s="748">
        <f t="shared" si="300"/>
        <v>0</v>
      </c>
      <c r="G3943" s="1205"/>
      <c r="H3943" s="1055"/>
      <c r="I3943" s="1055"/>
      <c r="J3943" s="1055"/>
      <c r="K3943" s="1205"/>
      <c r="L3943" s="1055"/>
      <c r="M3943" s="1205"/>
      <c r="N3943" s="1054"/>
      <c r="O3943" s="1207"/>
      <c r="Q3943" s="1207"/>
    </row>
    <row r="3944" spans="3:17" s="700" customFormat="1" ht="70.5" hidden="1" customHeight="1">
      <c r="C3944" s="701"/>
      <c r="D3944" s="811"/>
      <c r="E3944" s="1276">
        <f>[11]building!Y4275</f>
        <v>0</v>
      </c>
      <c r="F3944" s="748">
        <f t="shared" si="300"/>
        <v>0</v>
      </c>
      <c r="G3944" s="1205"/>
      <c r="H3944" s="1055"/>
      <c r="I3944" s="1055"/>
      <c r="J3944" s="1055"/>
      <c r="K3944" s="1205"/>
      <c r="L3944" s="1055"/>
      <c r="M3944" s="1205"/>
      <c r="N3944" s="1054"/>
      <c r="O3944" s="1207"/>
      <c r="Q3944" s="1207"/>
    </row>
    <row r="3945" spans="3:17" s="700" customFormat="1" ht="70.5" hidden="1" customHeight="1">
      <c r="C3945" s="701"/>
      <c r="D3945" s="811"/>
      <c r="E3945" s="1276">
        <f>[11]building!Y4276</f>
        <v>0</v>
      </c>
      <c r="F3945" s="748">
        <f t="shared" si="300"/>
        <v>0</v>
      </c>
      <c r="G3945" s="1205"/>
      <c r="H3945" s="1055"/>
      <c r="I3945" s="1055"/>
      <c r="J3945" s="1055"/>
      <c r="K3945" s="1205"/>
      <c r="L3945" s="1055"/>
      <c r="M3945" s="1205"/>
      <c r="N3945" s="1054"/>
      <c r="O3945" s="1207"/>
      <c r="Q3945" s="1207"/>
    </row>
    <row r="3946" spans="3:17" s="700" customFormat="1" ht="70.5" hidden="1" customHeight="1">
      <c r="C3946" s="701"/>
      <c r="D3946" s="811"/>
      <c r="E3946" s="1276">
        <f>[11]building!Y4277</f>
        <v>0</v>
      </c>
      <c r="F3946" s="748">
        <f t="shared" si="300"/>
        <v>0</v>
      </c>
      <c r="G3946" s="1205"/>
      <c r="H3946" s="1055"/>
      <c r="I3946" s="1055"/>
      <c r="J3946" s="1055"/>
      <c r="K3946" s="1205"/>
      <c r="L3946" s="1055"/>
      <c r="M3946" s="1205"/>
      <c r="N3946" s="1054"/>
      <c r="O3946" s="1207"/>
      <c r="Q3946" s="1207"/>
    </row>
    <row r="3947" spans="3:17" s="700" customFormat="1" ht="70.5" hidden="1" customHeight="1">
      <c r="C3947" s="701"/>
      <c r="D3947" s="811"/>
      <c r="E3947" s="1276">
        <f>[11]building!Y4278</f>
        <v>0</v>
      </c>
      <c r="F3947" s="748">
        <f t="shared" si="300"/>
        <v>0</v>
      </c>
      <c r="G3947" s="1205"/>
      <c r="H3947" s="1055"/>
      <c r="I3947" s="1055"/>
      <c r="J3947" s="1055"/>
      <c r="K3947" s="1205"/>
      <c r="L3947" s="1055"/>
      <c r="M3947" s="1205"/>
      <c r="N3947" s="1054"/>
      <c r="O3947" s="1207"/>
      <c r="Q3947" s="1207"/>
    </row>
    <row r="3948" spans="3:17" s="700" customFormat="1" ht="70.5" hidden="1" customHeight="1">
      <c r="C3948" s="701"/>
      <c r="D3948" s="811"/>
      <c r="E3948" s="1276">
        <f>[11]building!Y4279</f>
        <v>0</v>
      </c>
      <c r="F3948" s="748">
        <f t="shared" si="300"/>
        <v>0</v>
      </c>
      <c r="G3948" s="1205"/>
      <c r="H3948" s="1055"/>
      <c r="I3948" s="1055"/>
      <c r="J3948" s="1055"/>
      <c r="K3948" s="1205"/>
      <c r="L3948" s="1055"/>
      <c r="M3948" s="1205"/>
      <c r="N3948" s="1054"/>
      <c r="O3948" s="1207"/>
      <c r="Q3948" s="1207"/>
    </row>
    <row r="3949" spans="3:17" s="700" customFormat="1" ht="70.5" hidden="1" customHeight="1">
      <c r="C3949" s="701"/>
      <c r="D3949" s="811"/>
      <c r="E3949" s="1276">
        <f>[11]building!Y4280</f>
        <v>0</v>
      </c>
      <c r="F3949" s="748">
        <f t="shared" si="300"/>
        <v>0</v>
      </c>
      <c r="G3949" s="1205"/>
      <c r="H3949" s="1055"/>
      <c r="I3949" s="1055"/>
      <c r="J3949" s="1055"/>
      <c r="K3949" s="1205"/>
      <c r="L3949" s="1055"/>
      <c r="M3949" s="1205"/>
      <c r="N3949" s="1054"/>
      <c r="O3949" s="1207"/>
      <c r="Q3949" s="1207"/>
    </row>
    <row r="3950" spans="3:17" s="700" customFormat="1" ht="70.5" hidden="1" customHeight="1">
      <c r="C3950" s="701"/>
      <c r="D3950" s="811"/>
      <c r="E3950" s="1276">
        <f>[11]building!Y4281</f>
        <v>0</v>
      </c>
      <c r="F3950" s="748">
        <f t="shared" si="300"/>
        <v>0</v>
      </c>
      <c r="G3950" s="1205"/>
      <c r="H3950" s="1055"/>
      <c r="I3950" s="1055"/>
      <c r="J3950" s="1055"/>
      <c r="K3950" s="1205"/>
      <c r="L3950" s="1055"/>
      <c r="M3950" s="1205"/>
      <c r="N3950" s="1054"/>
      <c r="O3950" s="1207"/>
      <c r="Q3950" s="1207"/>
    </row>
    <row r="3951" spans="3:17" s="700" customFormat="1" ht="70.5" hidden="1" customHeight="1">
      <c r="C3951" s="701"/>
      <c r="D3951" s="811"/>
      <c r="E3951" s="1276">
        <f>[11]building!Y4282</f>
        <v>0</v>
      </c>
      <c r="F3951" s="748">
        <f t="shared" si="300"/>
        <v>0</v>
      </c>
      <c r="G3951" s="1205"/>
      <c r="H3951" s="1055"/>
      <c r="I3951" s="1055"/>
      <c r="J3951" s="1055"/>
      <c r="K3951" s="1205"/>
      <c r="L3951" s="1055"/>
      <c r="M3951" s="1205"/>
      <c r="N3951" s="1054"/>
      <c r="O3951" s="1207"/>
      <c r="Q3951" s="1207"/>
    </row>
    <row r="3952" spans="3:17" s="700" customFormat="1" ht="70.5" hidden="1" customHeight="1">
      <c r="C3952" s="701"/>
      <c r="D3952" s="811"/>
      <c r="E3952" s="1276">
        <f>[11]building!Y4283</f>
        <v>0</v>
      </c>
      <c r="F3952" s="748">
        <f t="shared" si="300"/>
        <v>0</v>
      </c>
      <c r="G3952" s="1205"/>
      <c r="H3952" s="1055"/>
      <c r="I3952" s="1055"/>
      <c r="J3952" s="1055"/>
      <c r="K3952" s="1205"/>
      <c r="L3952" s="1055"/>
      <c r="M3952" s="1205"/>
      <c r="N3952" s="1054"/>
      <c r="O3952" s="1207"/>
      <c r="Q3952" s="1207"/>
    </row>
    <row r="3953" spans="3:17" s="700" customFormat="1" ht="70.5" hidden="1" customHeight="1">
      <c r="C3953" s="701"/>
      <c r="D3953" s="811"/>
      <c r="E3953" s="1276">
        <f>[11]building!Y4284</f>
        <v>0</v>
      </c>
      <c r="F3953" s="748">
        <f t="shared" si="300"/>
        <v>0</v>
      </c>
      <c r="G3953" s="1205"/>
      <c r="H3953" s="1055"/>
      <c r="I3953" s="1055"/>
      <c r="J3953" s="1055"/>
      <c r="K3953" s="1205"/>
      <c r="L3953" s="1055"/>
      <c r="M3953" s="1205"/>
      <c r="N3953" s="1054"/>
      <c r="O3953" s="1207"/>
      <c r="Q3953" s="1207"/>
    </row>
    <row r="3954" spans="3:17" s="700" customFormat="1" ht="70.5" hidden="1" customHeight="1">
      <c r="C3954" s="701"/>
      <c r="D3954" s="811"/>
      <c r="E3954" s="1276">
        <f>[11]building!Y4285</f>
        <v>0</v>
      </c>
      <c r="F3954" s="748">
        <f t="shared" si="300"/>
        <v>0</v>
      </c>
      <c r="G3954" s="1205"/>
      <c r="H3954" s="1055"/>
      <c r="I3954" s="1055"/>
      <c r="J3954" s="1055"/>
      <c r="K3954" s="1205"/>
      <c r="L3954" s="1055"/>
      <c r="M3954" s="1205"/>
      <c r="N3954" s="1054"/>
      <c r="O3954" s="1207"/>
      <c r="Q3954" s="1207"/>
    </row>
    <row r="3955" spans="3:17" s="700" customFormat="1" ht="70.5" hidden="1" customHeight="1">
      <c r="C3955" s="701"/>
      <c r="D3955" s="811"/>
      <c r="E3955" s="1276">
        <f>[11]building!Y4286</f>
        <v>0</v>
      </c>
      <c r="F3955" s="748">
        <f t="shared" si="300"/>
        <v>0</v>
      </c>
      <c r="G3955" s="1205"/>
      <c r="H3955" s="1055"/>
      <c r="I3955" s="1055"/>
      <c r="J3955" s="1055"/>
      <c r="K3955" s="1205"/>
      <c r="L3955" s="1055"/>
      <c r="M3955" s="1205"/>
      <c r="N3955" s="1054"/>
      <c r="O3955" s="1207"/>
      <c r="Q3955" s="1207"/>
    </row>
    <row r="3956" spans="3:17" s="700" customFormat="1" ht="70.5" hidden="1" customHeight="1">
      <c r="C3956" s="701"/>
      <c r="D3956" s="811"/>
      <c r="E3956" s="1276">
        <f>[11]building!Y4287</f>
        <v>0</v>
      </c>
      <c r="F3956" s="748">
        <f t="shared" si="300"/>
        <v>0</v>
      </c>
      <c r="G3956" s="1205"/>
      <c r="H3956" s="1055"/>
      <c r="I3956" s="1055"/>
      <c r="J3956" s="1055"/>
      <c r="K3956" s="1205"/>
      <c r="L3956" s="1055"/>
      <c r="M3956" s="1205"/>
      <c r="N3956" s="1054"/>
      <c r="O3956" s="1207"/>
      <c r="Q3956" s="1207"/>
    </row>
    <row r="3957" spans="3:17" s="700" customFormat="1" ht="70.5" hidden="1" customHeight="1">
      <c r="C3957" s="701"/>
      <c r="D3957" s="811"/>
      <c r="E3957" s="1276">
        <f>[11]building!Y4288</f>
        <v>0</v>
      </c>
      <c r="F3957" s="748">
        <f t="shared" si="300"/>
        <v>0</v>
      </c>
      <c r="G3957" s="1205"/>
      <c r="H3957" s="1055"/>
      <c r="I3957" s="1055"/>
      <c r="J3957" s="1055"/>
      <c r="K3957" s="1205"/>
      <c r="L3957" s="1055"/>
      <c r="M3957" s="1205"/>
      <c r="N3957" s="1054"/>
      <c r="O3957" s="1207"/>
      <c r="Q3957" s="1207"/>
    </row>
    <row r="3958" spans="3:17" s="700" customFormat="1" ht="70.5" hidden="1" customHeight="1">
      <c r="C3958" s="701"/>
      <c r="D3958" s="811"/>
      <c r="E3958" s="1276">
        <f>[11]building!Y4289</f>
        <v>0</v>
      </c>
      <c r="F3958" s="748">
        <f t="shared" si="300"/>
        <v>0</v>
      </c>
      <c r="G3958" s="1205"/>
      <c r="H3958" s="1055"/>
      <c r="I3958" s="1055"/>
      <c r="J3958" s="1055"/>
      <c r="K3958" s="1205"/>
      <c r="L3958" s="1055"/>
      <c r="M3958" s="1205"/>
      <c r="N3958" s="1054"/>
      <c r="O3958" s="1207"/>
      <c r="Q3958" s="1207"/>
    </row>
    <row r="3959" spans="3:17" s="700" customFormat="1" ht="70.5" hidden="1" customHeight="1">
      <c r="C3959" s="701"/>
      <c r="D3959" s="811"/>
      <c r="E3959" s="1276">
        <f>[11]building!Y4290</f>
        <v>0</v>
      </c>
      <c r="F3959" s="748">
        <f t="shared" si="300"/>
        <v>0</v>
      </c>
      <c r="G3959" s="1205"/>
      <c r="H3959" s="1055"/>
      <c r="I3959" s="1055"/>
      <c r="J3959" s="1055"/>
      <c r="K3959" s="1205"/>
      <c r="L3959" s="1055"/>
      <c r="M3959" s="1205"/>
      <c r="N3959" s="1054"/>
      <c r="O3959" s="1207"/>
      <c r="Q3959" s="1207"/>
    </row>
    <row r="3960" spans="3:17" s="700" customFormat="1" ht="70.5" hidden="1" customHeight="1">
      <c r="C3960" s="701"/>
      <c r="D3960" s="811"/>
      <c r="E3960" s="1276">
        <f>[11]building!Y4291</f>
        <v>0</v>
      </c>
      <c r="F3960" s="748">
        <f t="shared" si="300"/>
        <v>0</v>
      </c>
      <c r="G3960" s="1205"/>
      <c r="H3960" s="1055"/>
      <c r="I3960" s="1055"/>
      <c r="J3960" s="1055"/>
      <c r="K3960" s="1205"/>
      <c r="L3960" s="1055"/>
      <c r="M3960" s="1205"/>
      <c r="N3960" s="1054"/>
      <c r="O3960" s="1207"/>
      <c r="Q3960" s="1207"/>
    </row>
    <row r="3961" spans="3:17" s="700" customFormat="1" ht="70.5" hidden="1" customHeight="1">
      <c r="C3961" s="701"/>
      <c r="D3961" s="811"/>
      <c r="E3961" s="1276">
        <f>[11]building!Y4292</f>
        <v>0</v>
      </c>
      <c r="F3961" s="748">
        <f t="shared" si="300"/>
        <v>0</v>
      </c>
      <c r="G3961" s="1205"/>
      <c r="H3961" s="1055"/>
      <c r="I3961" s="1055"/>
      <c r="J3961" s="1055"/>
      <c r="K3961" s="1205"/>
      <c r="L3961" s="1055"/>
      <c r="M3961" s="1205"/>
      <c r="N3961" s="1054"/>
      <c r="O3961" s="1207"/>
      <c r="Q3961" s="1207"/>
    </row>
    <row r="3962" spans="3:17" s="700" customFormat="1" ht="70.5" hidden="1" customHeight="1">
      <c r="C3962" s="701"/>
      <c r="D3962" s="811"/>
      <c r="E3962" s="1276">
        <f>[11]building!Y4293</f>
        <v>0</v>
      </c>
      <c r="F3962" s="748">
        <f t="shared" si="300"/>
        <v>0</v>
      </c>
      <c r="G3962" s="1205"/>
      <c r="H3962" s="1055"/>
      <c r="I3962" s="1055"/>
      <c r="J3962" s="1055"/>
      <c r="K3962" s="1205"/>
      <c r="L3962" s="1055"/>
      <c r="M3962" s="1205"/>
      <c r="N3962" s="1054"/>
      <c r="O3962" s="1207"/>
      <c r="Q3962" s="1207"/>
    </row>
    <row r="3963" spans="3:17" s="700" customFormat="1" ht="70.5" hidden="1" customHeight="1">
      <c r="C3963" s="701"/>
      <c r="D3963" s="811"/>
      <c r="E3963" s="1276">
        <f>[11]building!Y4294</f>
        <v>0</v>
      </c>
      <c r="F3963" s="748">
        <f t="shared" si="300"/>
        <v>0</v>
      </c>
      <c r="G3963" s="1205"/>
      <c r="H3963" s="1055"/>
      <c r="I3963" s="1055"/>
      <c r="J3963" s="1055"/>
      <c r="K3963" s="1205"/>
      <c r="L3963" s="1055"/>
      <c r="M3963" s="1205"/>
      <c r="N3963" s="1054"/>
      <c r="O3963" s="1207"/>
      <c r="Q3963" s="1207"/>
    </row>
    <row r="3964" spans="3:17" s="700" customFormat="1" ht="70.5" hidden="1" customHeight="1">
      <c r="C3964" s="701"/>
      <c r="D3964" s="811"/>
      <c r="E3964" s="1276">
        <f>[11]building!Y4295</f>
        <v>0</v>
      </c>
      <c r="F3964" s="748">
        <f t="shared" si="300"/>
        <v>0</v>
      </c>
      <c r="G3964" s="1205"/>
      <c r="H3964" s="1055"/>
      <c r="I3964" s="1055"/>
      <c r="J3964" s="1055"/>
      <c r="K3964" s="1205"/>
      <c r="L3964" s="1055"/>
      <c r="M3964" s="1205"/>
      <c r="N3964" s="1054"/>
      <c r="O3964" s="1207"/>
      <c r="Q3964" s="1207"/>
    </row>
    <row r="3965" spans="3:17" s="700" customFormat="1" ht="70.5" hidden="1" customHeight="1">
      <c r="C3965" s="701"/>
      <c r="D3965" s="811"/>
      <c r="E3965" s="1276">
        <f>[11]building!Y4296</f>
        <v>0</v>
      </c>
      <c r="F3965" s="748">
        <f t="shared" si="300"/>
        <v>0</v>
      </c>
      <c r="G3965" s="1205"/>
      <c r="H3965" s="1055"/>
      <c r="I3965" s="1055"/>
      <c r="J3965" s="1055"/>
      <c r="K3965" s="1205"/>
      <c r="L3965" s="1055"/>
      <c r="M3965" s="1205"/>
      <c r="N3965" s="1054"/>
      <c r="O3965" s="1207"/>
      <c r="Q3965" s="1207"/>
    </row>
    <row r="3966" spans="3:17" s="700" customFormat="1" ht="70.5" hidden="1" customHeight="1">
      <c r="C3966" s="701"/>
      <c r="D3966" s="811"/>
      <c r="E3966" s="1276">
        <f>[11]building!Y4297</f>
        <v>0</v>
      </c>
      <c r="F3966" s="748">
        <f t="shared" si="300"/>
        <v>0</v>
      </c>
      <c r="G3966" s="1205"/>
      <c r="H3966" s="1055"/>
      <c r="I3966" s="1055"/>
      <c r="J3966" s="1055"/>
      <c r="K3966" s="1205"/>
      <c r="L3966" s="1055"/>
      <c r="M3966" s="1205"/>
      <c r="N3966" s="1054"/>
      <c r="O3966" s="1207"/>
      <c r="Q3966" s="1207"/>
    </row>
    <row r="3967" spans="3:17" s="700" customFormat="1" ht="70.5" hidden="1" customHeight="1">
      <c r="C3967" s="701"/>
      <c r="D3967" s="811"/>
      <c r="E3967" s="1276">
        <f>[11]building!Y4298</f>
        <v>0</v>
      </c>
      <c r="F3967" s="748">
        <f t="shared" si="300"/>
        <v>0</v>
      </c>
      <c r="G3967" s="1205"/>
      <c r="H3967" s="1055"/>
      <c r="I3967" s="1055"/>
      <c r="J3967" s="1055"/>
      <c r="K3967" s="1205"/>
      <c r="L3967" s="1055"/>
      <c r="M3967" s="1205"/>
      <c r="N3967" s="1054"/>
      <c r="O3967" s="1207"/>
      <c r="Q3967" s="1207"/>
    </row>
    <row r="3968" spans="3:17" s="700" customFormat="1" ht="70.5" hidden="1" customHeight="1">
      <c r="C3968" s="701"/>
      <c r="D3968" s="811"/>
      <c r="E3968" s="1276">
        <f>[11]building!Y4299</f>
        <v>0</v>
      </c>
      <c r="F3968" s="748">
        <f t="shared" ref="F3968:F4031" si="301">E3968*C3968</f>
        <v>0</v>
      </c>
      <c r="G3968" s="1205"/>
      <c r="H3968" s="1055"/>
      <c r="I3968" s="1055"/>
      <c r="J3968" s="1055"/>
      <c r="K3968" s="1205"/>
      <c r="L3968" s="1055"/>
      <c r="M3968" s="1205"/>
      <c r="N3968" s="1054"/>
      <c r="O3968" s="1207"/>
      <c r="Q3968" s="1207"/>
    </row>
    <row r="3969" spans="3:17" s="700" customFormat="1" ht="70.5" hidden="1" customHeight="1">
      <c r="C3969" s="701"/>
      <c r="D3969" s="811"/>
      <c r="E3969" s="1276">
        <f>[11]building!Y4300</f>
        <v>0</v>
      </c>
      <c r="F3969" s="748">
        <f t="shared" si="301"/>
        <v>0</v>
      </c>
      <c r="G3969" s="1205"/>
      <c r="H3969" s="1055"/>
      <c r="I3969" s="1055"/>
      <c r="J3969" s="1055"/>
      <c r="K3969" s="1205"/>
      <c r="L3969" s="1055"/>
      <c r="M3969" s="1205"/>
      <c r="N3969" s="1054"/>
      <c r="O3969" s="1207"/>
      <c r="Q3969" s="1207"/>
    </row>
    <row r="3970" spans="3:17" s="700" customFormat="1" ht="70.5" hidden="1" customHeight="1">
      <c r="C3970" s="701"/>
      <c r="D3970" s="811"/>
      <c r="E3970" s="1276">
        <f>[11]building!Y4301</f>
        <v>0</v>
      </c>
      <c r="F3970" s="748">
        <f t="shared" si="301"/>
        <v>0</v>
      </c>
      <c r="G3970" s="1205"/>
      <c r="H3970" s="1055"/>
      <c r="I3970" s="1055"/>
      <c r="J3970" s="1055"/>
      <c r="K3970" s="1205"/>
      <c r="L3970" s="1055"/>
      <c r="M3970" s="1205"/>
      <c r="N3970" s="1054"/>
      <c r="O3970" s="1207"/>
      <c r="Q3970" s="1207"/>
    </row>
    <row r="3971" spans="3:17" s="700" customFormat="1" ht="70.5" hidden="1" customHeight="1">
      <c r="C3971" s="701"/>
      <c r="D3971" s="811"/>
      <c r="E3971" s="1276">
        <f>[11]building!Y4302</f>
        <v>0</v>
      </c>
      <c r="F3971" s="748">
        <f t="shared" si="301"/>
        <v>0</v>
      </c>
      <c r="G3971" s="1205"/>
      <c r="H3971" s="1055"/>
      <c r="I3971" s="1055"/>
      <c r="J3971" s="1055"/>
      <c r="K3971" s="1205"/>
      <c r="L3971" s="1055"/>
      <c r="M3971" s="1205"/>
      <c r="N3971" s="1054"/>
      <c r="O3971" s="1207"/>
      <c r="Q3971" s="1207"/>
    </row>
    <row r="3972" spans="3:17" s="700" customFormat="1" ht="70.5" hidden="1" customHeight="1">
      <c r="C3972" s="701"/>
      <c r="D3972" s="811"/>
      <c r="E3972" s="1276">
        <f>[11]building!Y4303</f>
        <v>0</v>
      </c>
      <c r="F3972" s="748">
        <f t="shared" si="301"/>
        <v>0</v>
      </c>
      <c r="G3972" s="1205"/>
      <c r="H3972" s="1055"/>
      <c r="I3972" s="1055"/>
      <c r="J3972" s="1055"/>
      <c r="K3972" s="1205"/>
      <c r="L3972" s="1055"/>
      <c r="M3972" s="1205"/>
      <c r="N3972" s="1054"/>
      <c r="O3972" s="1207"/>
      <c r="Q3972" s="1207"/>
    </row>
    <row r="3973" spans="3:17" s="700" customFormat="1" ht="70.5" hidden="1" customHeight="1">
      <c r="C3973" s="701"/>
      <c r="D3973" s="811"/>
      <c r="E3973" s="1276">
        <f>[11]building!Y4304</f>
        <v>0</v>
      </c>
      <c r="F3973" s="748">
        <f t="shared" si="301"/>
        <v>0</v>
      </c>
      <c r="G3973" s="1205"/>
      <c r="H3973" s="1055"/>
      <c r="I3973" s="1055"/>
      <c r="J3973" s="1055"/>
      <c r="K3973" s="1205"/>
      <c r="L3973" s="1055"/>
      <c r="M3973" s="1205"/>
      <c r="N3973" s="1054"/>
      <c r="O3973" s="1207"/>
      <c r="Q3973" s="1207"/>
    </row>
    <row r="3974" spans="3:17" s="700" customFormat="1" ht="70.5" hidden="1" customHeight="1">
      <c r="C3974" s="701"/>
      <c r="D3974" s="811"/>
      <c r="E3974" s="1276">
        <f>[11]building!Y4305</f>
        <v>0</v>
      </c>
      <c r="F3974" s="748">
        <f t="shared" si="301"/>
        <v>0</v>
      </c>
      <c r="G3974" s="1205"/>
      <c r="H3974" s="1055"/>
      <c r="I3974" s="1055"/>
      <c r="J3974" s="1055"/>
      <c r="K3974" s="1205"/>
      <c r="L3974" s="1055"/>
      <c r="M3974" s="1205"/>
      <c r="N3974" s="1054"/>
      <c r="O3974" s="1207"/>
      <c r="Q3974" s="1207"/>
    </row>
    <row r="3975" spans="3:17" s="700" customFormat="1" ht="70.5" hidden="1" customHeight="1">
      <c r="C3975" s="701"/>
      <c r="D3975" s="811"/>
      <c r="E3975" s="1276">
        <f>[11]building!Y4306</f>
        <v>0</v>
      </c>
      <c r="F3975" s="748">
        <f t="shared" si="301"/>
        <v>0</v>
      </c>
      <c r="G3975" s="1205"/>
      <c r="H3975" s="1055"/>
      <c r="I3975" s="1055"/>
      <c r="J3975" s="1055"/>
      <c r="K3975" s="1205"/>
      <c r="L3975" s="1055"/>
      <c r="M3975" s="1205"/>
      <c r="N3975" s="1054"/>
      <c r="O3975" s="1207"/>
      <c r="Q3975" s="1207"/>
    </row>
    <row r="3976" spans="3:17" s="700" customFormat="1" ht="70.5" hidden="1" customHeight="1">
      <c r="C3976" s="701"/>
      <c r="D3976" s="811"/>
      <c r="E3976" s="1276">
        <f>[11]building!Y4307</f>
        <v>0</v>
      </c>
      <c r="F3976" s="748">
        <f t="shared" si="301"/>
        <v>0</v>
      </c>
      <c r="G3976" s="1205"/>
      <c r="H3976" s="1055"/>
      <c r="I3976" s="1055"/>
      <c r="J3976" s="1055"/>
      <c r="K3976" s="1205"/>
      <c r="L3976" s="1055"/>
      <c r="M3976" s="1205"/>
      <c r="N3976" s="1054"/>
      <c r="O3976" s="1207"/>
      <c r="Q3976" s="1207"/>
    </row>
    <row r="3977" spans="3:17" s="700" customFormat="1" ht="70.5" hidden="1" customHeight="1">
      <c r="C3977" s="701"/>
      <c r="D3977" s="811"/>
      <c r="E3977" s="1276">
        <f>[11]building!Y4308</f>
        <v>0</v>
      </c>
      <c r="F3977" s="748">
        <f t="shared" si="301"/>
        <v>0</v>
      </c>
      <c r="G3977" s="1205"/>
      <c r="H3977" s="1055"/>
      <c r="I3977" s="1055"/>
      <c r="J3977" s="1055"/>
      <c r="K3977" s="1205"/>
      <c r="L3977" s="1055"/>
      <c r="M3977" s="1205"/>
      <c r="N3977" s="1054"/>
      <c r="O3977" s="1207"/>
      <c r="Q3977" s="1207"/>
    </row>
    <row r="3978" spans="3:17" s="700" customFormat="1" ht="70.5" hidden="1" customHeight="1">
      <c r="C3978" s="701"/>
      <c r="D3978" s="811"/>
      <c r="E3978" s="1276">
        <f>[11]building!Y4309</f>
        <v>0</v>
      </c>
      <c r="F3978" s="748">
        <f t="shared" si="301"/>
        <v>0</v>
      </c>
      <c r="G3978" s="1205"/>
      <c r="H3978" s="1055"/>
      <c r="I3978" s="1055"/>
      <c r="J3978" s="1055"/>
      <c r="K3978" s="1205"/>
      <c r="L3978" s="1055"/>
      <c r="M3978" s="1205"/>
      <c r="N3978" s="1054"/>
      <c r="O3978" s="1207"/>
      <c r="Q3978" s="1207"/>
    </row>
    <row r="3979" spans="3:17" s="700" customFormat="1" ht="70.5" hidden="1" customHeight="1">
      <c r="C3979" s="701"/>
      <c r="D3979" s="811"/>
      <c r="E3979" s="1276">
        <f>[11]building!Y4310</f>
        <v>0</v>
      </c>
      <c r="F3979" s="748">
        <f t="shared" si="301"/>
        <v>0</v>
      </c>
      <c r="G3979" s="1205"/>
      <c r="H3979" s="1055"/>
      <c r="I3979" s="1055"/>
      <c r="J3979" s="1055"/>
      <c r="K3979" s="1205"/>
      <c r="L3979" s="1055"/>
      <c r="M3979" s="1205"/>
      <c r="N3979" s="1054"/>
      <c r="O3979" s="1207"/>
      <c r="Q3979" s="1207"/>
    </row>
    <row r="3980" spans="3:17" s="700" customFormat="1" ht="70.5" hidden="1" customHeight="1">
      <c r="C3980" s="701"/>
      <c r="D3980" s="811"/>
      <c r="E3980" s="1276">
        <f>[11]building!Y4311</f>
        <v>0</v>
      </c>
      <c r="F3980" s="748">
        <f t="shared" si="301"/>
        <v>0</v>
      </c>
      <c r="G3980" s="1205"/>
      <c r="H3980" s="1055"/>
      <c r="I3980" s="1055"/>
      <c r="J3980" s="1055"/>
      <c r="K3980" s="1205"/>
      <c r="L3980" s="1055"/>
      <c r="M3980" s="1205"/>
      <c r="N3980" s="1054"/>
      <c r="O3980" s="1207"/>
      <c r="Q3980" s="1207"/>
    </row>
    <row r="3981" spans="3:17" s="700" customFormat="1" ht="70.5" hidden="1" customHeight="1">
      <c r="C3981" s="701"/>
      <c r="D3981" s="811"/>
      <c r="E3981" s="1276">
        <f>[11]building!Y4312</f>
        <v>0</v>
      </c>
      <c r="F3981" s="748">
        <f t="shared" si="301"/>
        <v>0</v>
      </c>
      <c r="G3981" s="1205"/>
      <c r="H3981" s="1055"/>
      <c r="I3981" s="1055"/>
      <c r="J3981" s="1055"/>
      <c r="K3981" s="1205"/>
      <c r="L3981" s="1055"/>
      <c r="M3981" s="1205"/>
      <c r="N3981" s="1054"/>
      <c r="O3981" s="1207"/>
      <c r="Q3981" s="1207"/>
    </row>
    <row r="3982" spans="3:17" s="700" customFormat="1" ht="70.5" hidden="1" customHeight="1">
      <c r="C3982" s="701"/>
      <c r="D3982" s="811"/>
      <c r="E3982" s="1276">
        <f>[11]building!Y4313</f>
        <v>0</v>
      </c>
      <c r="F3982" s="748">
        <f t="shared" si="301"/>
        <v>0</v>
      </c>
      <c r="G3982" s="1205"/>
      <c r="H3982" s="1055"/>
      <c r="I3982" s="1055"/>
      <c r="J3982" s="1055"/>
      <c r="K3982" s="1205"/>
      <c r="L3982" s="1055"/>
      <c r="M3982" s="1205"/>
      <c r="N3982" s="1054"/>
      <c r="O3982" s="1207"/>
      <c r="Q3982" s="1207"/>
    </row>
    <row r="3983" spans="3:17" s="700" customFormat="1" ht="70.5" hidden="1" customHeight="1">
      <c r="C3983" s="701"/>
      <c r="D3983" s="811"/>
      <c r="E3983" s="1276">
        <f>[11]building!Y4314</f>
        <v>0</v>
      </c>
      <c r="F3983" s="748">
        <f t="shared" si="301"/>
        <v>0</v>
      </c>
      <c r="G3983" s="1205"/>
      <c r="H3983" s="1055"/>
      <c r="I3983" s="1055"/>
      <c r="J3983" s="1055"/>
      <c r="K3983" s="1205"/>
      <c r="L3983" s="1055"/>
      <c r="M3983" s="1205"/>
      <c r="N3983" s="1054"/>
      <c r="O3983" s="1207"/>
      <c r="Q3983" s="1207"/>
    </row>
    <row r="3984" spans="3:17" s="700" customFormat="1" ht="70.5" hidden="1" customHeight="1">
      <c r="C3984" s="701"/>
      <c r="D3984" s="811"/>
      <c r="E3984" s="1276">
        <f>[11]building!Y4315</f>
        <v>0</v>
      </c>
      <c r="F3984" s="748">
        <f t="shared" si="301"/>
        <v>0</v>
      </c>
      <c r="G3984" s="1205"/>
      <c r="H3984" s="1055"/>
      <c r="I3984" s="1055"/>
      <c r="J3984" s="1055"/>
      <c r="K3984" s="1205"/>
      <c r="L3984" s="1055"/>
      <c r="M3984" s="1205"/>
      <c r="N3984" s="1054"/>
      <c r="O3984" s="1207"/>
      <c r="Q3984" s="1207"/>
    </row>
    <row r="3985" spans="3:17" s="700" customFormat="1" ht="70.5" hidden="1" customHeight="1">
      <c r="C3985" s="701"/>
      <c r="D3985" s="811"/>
      <c r="E3985" s="1276">
        <f>[11]building!Y4316</f>
        <v>0</v>
      </c>
      <c r="F3985" s="748">
        <f t="shared" si="301"/>
        <v>0</v>
      </c>
      <c r="G3985" s="1205"/>
      <c r="H3985" s="1055"/>
      <c r="I3985" s="1055"/>
      <c r="J3985" s="1055"/>
      <c r="K3985" s="1205"/>
      <c r="L3985" s="1055"/>
      <c r="M3985" s="1205"/>
      <c r="N3985" s="1054"/>
      <c r="O3985" s="1207"/>
      <c r="Q3985" s="1207"/>
    </row>
    <row r="3986" spans="3:17" s="700" customFormat="1" ht="70.5" hidden="1" customHeight="1">
      <c r="C3986" s="701"/>
      <c r="D3986" s="811"/>
      <c r="E3986" s="1276">
        <f>[11]building!Y4317</f>
        <v>0</v>
      </c>
      <c r="F3986" s="748">
        <f t="shared" si="301"/>
        <v>0</v>
      </c>
      <c r="G3986" s="1205"/>
      <c r="H3986" s="1055"/>
      <c r="I3986" s="1055"/>
      <c r="J3986" s="1055"/>
      <c r="K3986" s="1205"/>
      <c r="L3986" s="1055"/>
      <c r="M3986" s="1205"/>
      <c r="N3986" s="1054"/>
      <c r="O3986" s="1207"/>
      <c r="Q3986" s="1207"/>
    </row>
    <row r="3987" spans="3:17" s="700" customFormat="1" ht="70.5" hidden="1" customHeight="1">
      <c r="C3987" s="701"/>
      <c r="D3987" s="811"/>
      <c r="E3987" s="1276">
        <f>[11]building!Y4318</f>
        <v>0</v>
      </c>
      <c r="F3987" s="748">
        <f t="shared" si="301"/>
        <v>0</v>
      </c>
      <c r="G3987" s="1205"/>
      <c r="H3987" s="1055"/>
      <c r="I3987" s="1055"/>
      <c r="J3987" s="1055"/>
      <c r="K3987" s="1205"/>
      <c r="L3987" s="1055"/>
      <c r="M3987" s="1205"/>
      <c r="N3987" s="1054"/>
      <c r="O3987" s="1207"/>
      <c r="Q3987" s="1207"/>
    </row>
    <row r="3988" spans="3:17" s="700" customFormat="1" ht="70.5" hidden="1" customHeight="1">
      <c r="C3988" s="701"/>
      <c r="D3988" s="811"/>
      <c r="E3988" s="1276">
        <f>[11]building!Y4319</f>
        <v>0</v>
      </c>
      <c r="F3988" s="748">
        <f t="shared" si="301"/>
        <v>0</v>
      </c>
      <c r="G3988" s="1205"/>
      <c r="H3988" s="1055"/>
      <c r="I3988" s="1055"/>
      <c r="J3988" s="1055"/>
      <c r="K3988" s="1205"/>
      <c r="L3988" s="1055"/>
      <c r="M3988" s="1205"/>
      <c r="N3988" s="1054"/>
      <c r="O3988" s="1207"/>
      <c r="Q3988" s="1207"/>
    </row>
    <row r="3989" spans="3:17" s="700" customFormat="1" ht="70.5" hidden="1" customHeight="1">
      <c r="C3989" s="701"/>
      <c r="D3989" s="811"/>
      <c r="E3989" s="1276">
        <f>[11]building!Y4320</f>
        <v>0</v>
      </c>
      <c r="F3989" s="748">
        <f t="shared" si="301"/>
        <v>0</v>
      </c>
      <c r="G3989" s="1205"/>
      <c r="H3989" s="1055"/>
      <c r="I3989" s="1055"/>
      <c r="J3989" s="1055"/>
      <c r="K3989" s="1205"/>
      <c r="L3989" s="1055"/>
      <c r="M3989" s="1205"/>
      <c r="N3989" s="1054"/>
      <c r="O3989" s="1207"/>
      <c r="Q3989" s="1207"/>
    </row>
    <row r="3990" spans="3:17" s="700" customFormat="1" ht="70.5" hidden="1" customHeight="1">
      <c r="C3990" s="701"/>
      <c r="D3990" s="811"/>
      <c r="E3990" s="1276">
        <f>[11]building!Y4321</f>
        <v>0</v>
      </c>
      <c r="F3990" s="748">
        <f t="shared" si="301"/>
        <v>0</v>
      </c>
      <c r="G3990" s="1205"/>
      <c r="H3990" s="1055"/>
      <c r="I3990" s="1055"/>
      <c r="J3990" s="1055"/>
      <c r="K3990" s="1205"/>
      <c r="L3990" s="1055"/>
      <c r="M3990" s="1205"/>
      <c r="N3990" s="1054"/>
      <c r="O3990" s="1207"/>
      <c r="Q3990" s="1207"/>
    </row>
    <row r="3991" spans="3:17" s="700" customFormat="1" ht="70.5" hidden="1" customHeight="1">
      <c r="C3991" s="701"/>
      <c r="D3991" s="811"/>
      <c r="E3991" s="1276">
        <f>[11]building!Y4322</f>
        <v>0</v>
      </c>
      <c r="F3991" s="748">
        <f t="shared" si="301"/>
        <v>0</v>
      </c>
      <c r="G3991" s="1205"/>
      <c r="H3991" s="1055"/>
      <c r="I3991" s="1055"/>
      <c r="J3991" s="1055"/>
      <c r="K3991" s="1205"/>
      <c r="L3991" s="1055"/>
      <c r="M3991" s="1205"/>
      <c r="N3991" s="1054"/>
      <c r="O3991" s="1207"/>
      <c r="Q3991" s="1207"/>
    </row>
    <row r="3992" spans="3:17" s="700" customFormat="1" ht="70.5" hidden="1" customHeight="1">
      <c r="C3992" s="701"/>
      <c r="D3992" s="811"/>
      <c r="E3992" s="1276">
        <f>[11]building!Y4323</f>
        <v>0</v>
      </c>
      <c r="F3992" s="748">
        <f t="shared" si="301"/>
        <v>0</v>
      </c>
      <c r="G3992" s="1205"/>
      <c r="H3992" s="1055"/>
      <c r="I3992" s="1055"/>
      <c r="J3992" s="1055"/>
      <c r="K3992" s="1205"/>
      <c r="L3992" s="1055"/>
      <c r="M3992" s="1205"/>
      <c r="N3992" s="1054"/>
      <c r="O3992" s="1207"/>
      <c r="Q3992" s="1207"/>
    </row>
    <row r="3993" spans="3:17" s="700" customFormat="1" ht="70.5" hidden="1" customHeight="1">
      <c r="C3993" s="701"/>
      <c r="D3993" s="811"/>
      <c r="E3993" s="1276">
        <f>[11]building!Y4324</f>
        <v>0</v>
      </c>
      <c r="F3993" s="748">
        <f t="shared" si="301"/>
        <v>0</v>
      </c>
      <c r="G3993" s="1205"/>
      <c r="H3993" s="1055"/>
      <c r="I3993" s="1055"/>
      <c r="J3993" s="1055"/>
      <c r="K3993" s="1205"/>
      <c r="L3993" s="1055"/>
      <c r="M3993" s="1205"/>
      <c r="N3993" s="1054"/>
      <c r="O3993" s="1207"/>
      <c r="Q3993" s="1207"/>
    </row>
    <row r="3994" spans="3:17" s="700" customFormat="1" ht="70.5" hidden="1" customHeight="1">
      <c r="C3994" s="701"/>
      <c r="D3994" s="811"/>
      <c r="E3994" s="1276">
        <f>[11]building!Y4325</f>
        <v>0</v>
      </c>
      <c r="F3994" s="748">
        <f t="shared" si="301"/>
        <v>0</v>
      </c>
      <c r="G3994" s="1205"/>
      <c r="H3994" s="1055"/>
      <c r="I3994" s="1055"/>
      <c r="J3994" s="1055"/>
      <c r="K3994" s="1205"/>
      <c r="L3994" s="1055"/>
      <c r="M3994" s="1205"/>
      <c r="N3994" s="1054"/>
      <c r="O3994" s="1207"/>
      <c r="Q3994" s="1207"/>
    </row>
    <row r="3995" spans="3:17" s="700" customFormat="1" ht="70.5" hidden="1" customHeight="1">
      <c r="C3995" s="701"/>
      <c r="D3995" s="811"/>
      <c r="E3995" s="1276">
        <f>[11]building!Y4326</f>
        <v>0</v>
      </c>
      <c r="F3995" s="748">
        <f t="shared" si="301"/>
        <v>0</v>
      </c>
      <c r="G3995" s="1205"/>
      <c r="H3995" s="1055"/>
      <c r="I3995" s="1055"/>
      <c r="J3995" s="1055"/>
      <c r="K3995" s="1205"/>
      <c r="L3995" s="1055"/>
      <c r="M3995" s="1205"/>
      <c r="N3995" s="1054"/>
      <c r="O3995" s="1207"/>
      <c r="Q3995" s="1207"/>
    </row>
    <row r="3996" spans="3:17" s="700" customFormat="1" ht="70.5" hidden="1" customHeight="1">
      <c r="C3996" s="701"/>
      <c r="D3996" s="811"/>
      <c r="E3996" s="1276">
        <f>[11]building!Y4327</f>
        <v>0</v>
      </c>
      <c r="F3996" s="748">
        <f t="shared" si="301"/>
        <v>0</v>
      </c>
      <c r="G3996" s="1205"/>
      <c r="H3996" s="1055"/>
      <c r="I3996" s="1055"/>
      <c r="J3996" s="1055"/>
      <c r="K3996" s="1205"/>
      <c r="L3996" s="1055"/>
      <c r="M3996" s="1205"/>
      <c r="N3996" s="1054"/>
      <c r="O3996" s="1207"/>
      <c r="Q3996" s="1207"/>
    </row>
    <row r="3997" spans="3:17" s="700" customFormat="1" ht="70.5" hidden="1" customHeight="1">
      <c r="C3997" s="701"/>
      <c r="D3997" s="811"/>
      <c r="E3997" s="1276">
        <f>[11]building!Y4328</f>
        <v>0</v>
      </c>
      <c r="F3997" s="748">
        <f t="shared" si="301"/>
        <v>0</v>
      </c>
      <c r="G3997" s="1205"/>
      <c r="H3997" s="1055"/>
      <c r="I3997" s="1055"/>
      <c r="J3997" s="1055"/>
      <c r="K3997" s="1205"/>
      <c r="L3997" s="1055"/>
      <c r="M3997" s="1205"/>
      <c r="N3997" s="1054"/>
      <c r="O3997" s="1207"/>
      <c r="Q3997" s="1207"/>
    </row>
    <row r="3998" spans="3:17" s="700" customFormat="1" ht="70.5" hidden="1" customHeight="1">
      <c r="C3998" s="701"/>
      <c r="D3998" s="811"/>
      <c r="E3998" s="1276">
        <f>[11]building!Y4329</f>
        <v>0</v>
      </c>
      <c r="F3998" s="748">
        <f t="shared" si="301"/>
        <v>0</v>
      </c>
      <c r="G3998" s="1205"/>
      <c r="H3998" s="1055"/>
      <c r="I3998" s="1055"/>
      <c r="J3998" s="1055"/>
      <c r="K3998" s="1205"/>
      <c r="L3998" s="1055"/>
      <c r="M3998" s="1205"/>
      <c r="N3998" s="1054"/>
      <c r="O3998" s="1207"/>
      <c r="Q3998" s="1207"/>
    </row>
    <row r="3999" spans="3:17" s="700" customFormat="1" ht="70.5" hidden="1" customHeight="1">
      <c r="C3999" s="701"/>
      <c r="D3999" s="811"/>
      <c r="E3999" s="1276">
        <f>[11]building!Y4330</f>
        <v>0</v>
      </c>
      <c r="F3999" s="748">
        <f t="shared" si="301"/>
        <v>0</v>
      </c>
      <c r="G3999" s="1205"/>
      <c r="H3999" s="1055"/>
      <c r="I3999" s="1055"/>
      <c r="J3999" s="1055"/>
      <c r="K3999" s="1205"/>
      <c r="L3999" s="1055"/>
      <c r="M3999" s="1205"/>
      <c r="N3999" s="1054"/>
      <c r="O3999" s="1207"/>
      <c r="Q3999" s="1207"/>
    </row>
    <row r="4000" spans="3:17" s="700" customFormat="1" ht="70.5" hidden="1" customHeight="1">
      <c r="C4000" s="701"/>
      <c r="D4000" s="811"/>
      <c r="E4000" s="1276">
        <f>[11]building!Y4331</f>
        <v>0</v>
      </c>
      <c r="F4000" s="748">
        <f t="shared" si="301"/>
        <v>0</v>
      </c>
      <c r="G4000" s="1205"/>
      <c r="H4000" s="1055"/>
      <c r="I4000" s="1055"/>
      <c r="J4000" s="1055"/>
      <c r="K4000" s="1205"/>
      <c r="L4000" s="1055"/>
      <c r="M4000" s="1205"/>
      <c r="N4000" s="1054"/>
      <c r="O4000" s="1207"/>
      <c r="Q4000" s="1207"/>
    </row>
    <row r="4001" spans="3:17" s="700" customFormat="1" ht="70.5" hidden="1" customHeight="1">
      <c r="C4001" s="701"/>
      <c r="D4001" s="811"/>
      <c r="E4001" s="1276">
        <f>[11]building!Y4332</f>
        <v>0</v>
      </c>
      <c r="F4001" s="748">
        <f t="shared" si="301"/>
        <v>0</v>
      </c>
      <c r="G4001" s="1205"/>
      <c r="H4001" s="1055"/>
      <c r="I4001" s="1055"/>
      <c r="J4001" s="1055"/>
      <c r="K4001" s="1205"/>
      <c r="L4001" s="1055"/>
      <c r="M4001" s="1205"/>
      <c r="N4001" s="1054"/>
      <c r="O4001" s="1207"/>
      <c r="Q4001" s="1207"/>
    </row>
    <row r="4002" spans="3:17" s="700" customFormat="1" ht="70.5" hidden="1" customHeight="1">
      <c r="C4002" s="701"/>
      <c r="D4002" s="811"/>
      <c r="E4002" s="1276">
        <f>[11]building!Y4333</f>
        <v>0</v>
      </c>
      <c r="F4002" s="748">
        <f t="shared" si="301"/>
        <v>0</v>
      </c>
      <c r="G4002" s="1205"/>
      <c r="H4002" s="1055"/>
      <c r="I4002" s="1055"/>
      <c r="J4002" s="1055"/>
      <c r="K4002" s="1205"/>
      <c r="L4002" s="1055"/>
      <c r="M4002" s="1205"/>
      <c r="N4002" s="1054"/>
      <c r="O4002" s="1207"/>
      <c r="Q4002" s="1207"/>
    </row>
    <row r="4003" spans="3:17" s="700" customFormat="1" ht="70.5" hidden="1" customHeight="1">
      <c r="C4003" s="701"/>
      <c r="D4003" s="811"/>
      <c r="E4003" s="1276">
        <f>[11]building!Y4334</f>
        <v>0</v>
      </c>
      <c r="F4003" s="748">
        <f t="shared" si="301"/>
        <v>0</v>
      </c>
      <c r="G4003" s="1205"/>
      <c r="H4003" s="1055"/>
      <c r="I4003" s="1055"/>
      <c r="J4003" s="1055"/>
      <c r="K4003" s="1205"/>
      <c r="L4003" s="1055"/>
      <c r="M4003" s="1205"/>
      <c r="N4003" s="1054"/>
      <c r="O4003" s="1207"/>
      <c r="Q4003" s="1207"/>
    </row>
    <row r="4004" spans="3:17" s="700" customFormat="1" ht="70.5" hidden="1" customHeight="1">
      <c r="C4004" s="701"/>
      <c r="D4004" s="811"/>
      <c r="E4004" s="1276">
        <f>[11]building!Y4335</f>
        <v>0</v>
      </c>
      <c r="F4004" s="748">
        <f t="shared" si="301"/>
        <v>0</v>
      </c>
      <c r="G4004" s="1205"/>
      <c r="H4004" s="1055"/>
      <c r="I4004" s="1055"/>
      <c r="J4004" s="1055"/>
      <c r="K4004" s="1205"/>
      <c r="L4004" s="1055"/>
      <c r="M4004" s="1205"/>
      <c r="N4004" s="1054"/>
      <c r="O4004" s="1207"/>
      <c r="Q4004" s="1207"/>
    </row>
    <row r="4005" spans="3:17" s="700" customFormat="1" ht="70.5" hidden="1" customHeight="1">
      <c r="C4005" s="701"/>
      <c r="D4005" s="811"/>
      <c r="E4005" s="1276">
        <f>[11]building!Y4336</f>
        <v>0</v>
      </c>
      <c r="F4005" s="748">
        <f t="shared" si="301"/>
        <v>0</v>
      </c>
      <c r="G4005" s="1205"/>
      <c r="H4005" s="1055"/>
      <c r="I4005" s="1055"/>
      <c r="J4005" s="1055"/>
      <c r="K4005" s="1205"/>
      <c r="L4005" s="1055"/>
      <c r="M4005" s="1205"/>
      <c r="N4005" s="1054"/>
      <c r="O4005" s="1207"/>
      <c r="Q4005" s="1207"/>
    </row>
    <row r="4006" spans="3:17" s="700" customFormat="1" ht="70.5" hidden="1" customHeight="1">
      <c r="C4006" s="701"/>
      <c r="D4006" s="811"/>
      <c r="E4006" s="1276">
        <f>[11]building!Y4337</f>
        <v>0</v>
      </c>
      <c r="F4006" s="748">
        <f t="shared" si="301"/>
        <v>0</v>
      </c>
      <c r="G4006" s="1205"/>
      <c r="H4006" s="1055"/>
      <c r="I4006" s="1055"/>
      <c r="J4006" s="1055"/>
      <c r="K4006" s="1205"/>
      <c r="L4006" s="1055"/>
      <c r="M4006" s="1205"/>
      <c r="N4006" s="1054"/>
      <c r="O4006" s="1207"/>
      <c r="Q4006" s="1207"/>
    </row>
    <row r="4007" spans="3:17" s="700" customFormat="1" ht="70.5" hidden="1" customHeight="1">
      <c r="C4007" s="701"/>
      <c r="D4007" s="811"/>
      <c r="E4007" s="1276">
        <f>[11]building!Y4338</f>
        <v>0</v>
      </c>
      <c r="F4007" s="748">
        <f t="shared" si="301"/>
        <v>0</v>
      </c>
      <c r="G4007" s="1205"/>
      <c r="H4007" s="1055"/>
      <c r="I4007" s="1055"/>
      <c r="J4007" s="1055"/>
      <c r="K4007" s="1205"/>
      <c r="L4007" s="1055"/>
      <c r="M4007" s="1205"/>
      <c r="N4007" s="1054"/>
      <c r="O4007" s="1207"/>
      <c r="Q4007" s="1207"/>
    </row>
    <row r="4008" spans="3:17" s="700" customFormat="1" ht="70.5" hidden="1" customHeight="1">
      <c r="C4008" s="701"/>
      <c r="D4008" s="811"/>
      <c r="E4008" s="1276">
        <f>[11]building!Y4339</f>
        <v>0</v>
      </c>
      <c r="F4008" s="748">
        <f t="shared" si="301"/>
        <v>0</v>
      </c>
      <c r="G4008" s="1205"/>
      <c r="H4008" s="1055"/>
      <c r="I4008" s="1055"/>
      <c r="J4008" s="1055"/>
      <c r="K4008" s="1205"/>
      <c r="L4008" s="1055"/>
      <c r="M4008" s="1205"/>
      <c r="N4008" s="1054"/>
      <c r="O4008" s="1207"/>
      <c r="Q4008" s="1207"/>
    </row>
    <row r="4009" spans="3:17" s="700" customFormat="1" ht="70.5" hidden="1" customHeight="1">
      <c r="C4009" s="701"/>
      <c r="D4009" s="811"/>
      <c r="E4009" s="1276">
        <f>[11]building!Y4340</f>
        <v>0</v>
      </c>
      <c r="F4009" s="748">
        <f t="shared" si="301"/>
        <v>0</v>
      </c>
      <c r="G4009" s="1205"/>
      <c r="H4009" s="1055"/>
      <c r="I4009" s="1055"/>
      <c r="J4009" s="1055"/>
      <c r="K4009" s="1205"/>
      <c r="L4009" s="1055"/>
      <c r="M4009" s="1205"/>
      <c r="N4009" s="1054"/>
      <c r="O4009" s="1207"/>
      <c r="Q4009" s="1207"/>
    </row>
    <row r="4010" spans="3:17" s="700" customFormat="1" ht="70.5" hidden="1" customHeight="1">
      <c r="C4010" s="701"/>
      <c r="D4010" s="811"/>
      <c r="E4010" s="1276">
        <f>[11]building!Y4341</f>
        <v>0</v>
      </c>
      <c r="F4010" s="748">
        <f t="shared" si="301"/>
        <v>0</v>
      </c>
      <c r="G4010" s="1205"/>
      <c r="H4010" s="1055"/>
      <c r="I4010" s="1055"/>
      <c r="J4010" s="1055"/>
      <c r="K4010" s="1205"/>
      <c r="L4010" s="1055"/>
      <c r="M4010" s="1205"/>
      <c r="N4010" s="1054"/>
      <c r="O4010" s="1207"/>
      <c r="Q4010" s="1207"/>
    </row>
    <row r="4011" spans="3:17" s="700" customFormat="1" ht="70.5" hidden="1" customHeight="1">
      <c r="C4011" s="701"/>
      <c r="D4011" s="811"/>
      <c r="E4011" s="1276">
        <f>[11]building!Y4342</f>
        <v>0</v>
      </c>
      <c r="F4011" s="748">
        <f t="shared" si="301"/>
        <v>0</v>
      </c>
      <c r="G4011" s="1205"/>
      <c r="H4011" s="1055"/>
      <c r="I4011" s="1055"/>
      <c r="J4011" s="1055"/>
      <c r="K4011" s="1205"/>
      <c r="L4011" s="1055"/>
      <c r="M4011" s="1205"/>
      <c r="N4011" s="1054"/>
      <c r="O4011" s="1207"/>
      <c r="Q4011" s="1207"/>
    </row>
    <row r="4012" spans="3:17" s="700" customFormat="1" ht="70.5" hidden="1" customHeight="1">
      <c r="C4012" s="701"/>
      <c r="D4012" s="811"/>
      <c r="E4012" s="1276">
        <f>[11]building!Y4343</f>
        <v>0</v>
      </c>
      <c r="F4012" s="748">
        <f t="shared" si="301"/>
        <v>0</v>
      </c>
      <c r="G4012" s="1205"/>
      <c r="H4012" s="1055"/>
      <c r="I4012" s="1055"/>
      <c r="J4012" s="1055"/>
      <c r="K4012" s="1205"/>
      <c r="L4012" s="1055"/>
      <c r="M4012" s="1205"/>
      <c r="N4012" s="1054"/>
      <c r="O4012" s="1207"/>
      <c r="Q4012" s="1207"/>
    </row>
    <row r="4013" spans="3:17" s="700" customFormat="1" ht="70.5" hidden="1" customHeight="1">
      <c r="C4013" s="701"/>
      <c r="D4013" s="811"/>
      <c r="E4013" s="1276">
        <f>[11]building!Y4344</f>
        <v>0</v>
      </c>
      <c r="F4013" s="748">
        <f t="shared" si="301"/>
        <v>0</v>
      </c>
      <c r="G4013" s="1205"/>
      <c r="H4013" s="1055"/>
      <c r="I4013" s="1055"/>
      <c r="J4013" s="1055"/>
      <c r="K4013" s="1205"/>
      <c r="L4013" s="1055"/>
      <c r="M4013" s="1205"/>
      <c r="N4013" s="1054"/>
      <c r="O4013" s="1207"/>
      <c r="Q4013" s="1207"/>
    </row>
    <row r="4014" spans="3:17" s="700" customFormat="1" ht="70.5" hidden="1" customHeight="1">
      <c r="C4014" s="701"/>
      <c r="D4014" s="811"/>
      <c r="E4014" s="1276">
        <f>[11]building!Y4345</f>
        <v>0</v>
      </c>
      <c r="F4014" s="748">
        <f t="shared" si="301"/>
        <v>0</v>
      </c>
      <c r="G4014" s="1205"/>
      <c r="H4014" s="1055"/>
      <c r="I4014" s="1055"/>
      <c r="J4014" s="1055"/>
      <c r="K4014" s="1205"/>
      <c r="L4014" s="1055"/>
      <c r="M4014" s="1205"/>
      <c r="N4014" s="1054"/>
      <c r="O4014" s="1207"/>
      <c r="Q4014" s="1207"/>
    </row>
    <row r="4015" spans="3:17" s="700" customFormat="1" ht="70.5" hidden="1" customHeight="1">
      <c r="C4015" s="701"/>
      <c r="D4015" s="811"/>
      <c r="E4015" s="1276">
        <f>[11]building!Y4346</f>
        <v>0</v>
      </c>
      <c r="F4015" s="748">
        <f t="shared" si="301"/>
        <v>0</v>
      </c>
      <c r="G4015" s="1205"/>
      <c r="H4015" s="1055"/>
      <c r="I4015" s="1055"/>
      <c r="J4015" s="1055"/>
      <c r="K4015" s="1205"/>
      <c r="L4015" s="1055"/>
      <c r="M4015" s="1205"/>
      <c r="N4015" s="1054"/>
      <c r="O4015" s="1207"/>
      <c r="Q4015" s="1207"/>
    </row>
    <row r="4016" spans="3:17" s="700" customFormat="1" ht="70.5" hidden="1" customHeight="1">
      <c r="C4016" s="701"/>
      <c r="D4016" s="811"/>
      <c r="E4016" s="1276">
        <f>[11]building!Y4347</f>
        <v>0</v>
      </c>
      <c r="F4016" s="748">
        <f t="shared" si="301"/>
        <v>0</v>
      </c>
      <c r="G4016" s="1205"/>
      <c r="H4016" s="1055"/>
      <c r="I4016" s="1055"/>
      <c r="J4016" s="1055"/>
      <c r="K4016" s="1205"/>
      <c r="L4016" s="1055"/>
      <c r="M4016" s="1205"/>
      <c r="N4016" s="1054"/>
      <c r="O4016" s="1207"/>
      <c r="Q4016" s="1207"/>
    </row>
    <row r="4017" spans="3:17" s="700" customFormat="1" ht="70.5" hidden="1" customHeight="1">
      <c r="C4017" s="701"/>
      <c r="D4017" s="811"/>
      <c r="E4017" s="1276">
        <f>[11]building!Y4348</f>
        <v>0</v>
      </c>
      <c r="F4017" s="748">
        <f t="shared" si="301"/>
        <v>0</v>
      </c>
      <c r="G4017" s="1205"/>
      <c r="H4017" s="1055"/>
      <c r="I4017" s="1055"/>
      <c r="J4017" s="1055"/>
      <c r="K4017" s="1205"/>
      <c r="L4017" s="1055"/>
      <c r="M4017" s="1205"/>
      <c r="N4017" s="1054"/>
      <c r="O4017" s="1207"/>
      <c r="Q4017" s="1207"/>
    </row>
    <row r="4018" spans="3:17" s="700" customFormat="1" ht="70.5" hidden="1" customHeight="1">
      <c r="C4018" s="701"/>
      <c r="D4018" s="811"/>
      <c r="E4018" s="1276">
        <f>[11]building!Y4349</f>
        <v>0</v>
      </c>
      <c r="F4018" s="748">
        <f t="shared" si="301"/>
        <v>0</v>
      </c>
      <c r="G4018" s="1205"/>
      <c r="H4018" s="1055"/>
      <c r="I4018" s="1055"/>
      <c r="J4018" s="1055"/>
      <c r="K4018" s="1205"/>
      <c r="L4018" s="1055"/>
      <c r="M4018" s="1205"/>
      <c r="N4018" s="1054"/>
      <c r="O4018" s="1207"/>
      <c r="Q4018" s="1207"/>
    </row>
    <row r="4019" spans="3:17" s="700" customFormat="1" ht="70.5" hidden="1" customHeight="1">
      <c r="C4019" s="701"/>
      <c r="D4019" s="811"/>
      <c r="E4019" s="1276">
        <f>[11]building!Y4350</f>
        <v>0</v>
      </c>
      <c r="F4019" s="748">
        <f t="shared" si="301"/>
        <v>0</v>
      </c>
      <c r="G4019" s="1205"/>
      <c r="H4019" s="1055"/>
      <c r="I4019" s="1055"/>
      <c r="J4019" s="1055"/>
      <c r="K4019" s="1205"/>
      <c r="L4019" s="1055"/>
      <c r="M4019" s="1205"/>
      <c r="N4019" s="1054"/>
      <c r="O4019" s="1207"/>
      <c r="Q4019" s="1207"/>
    </row>
    <row r="4020" spans="3:17" s="700" customFormat="1" ht="70.5" hidden="1" customHeight="1">
      <c r="C4020" s="701"/>
      <c r="D4020" s="811"/>
      <c r="E4020" s="1276">
        <f>[11]building!Y4351</f>
        <v>0</v>
      </c>
      <c r="F4020" s="748">
        <f t="shared" si="301"/>
        <v>0</v>
      </c>
      <c r="G4020" s="1205"/>
      <c r="H4020" s="1055"/>
      <c r="I4020" s="1055"/>
      <c r="J4020" s="1055"/>
      <c r="K4020" s="1205"/>
      <c r="L4020" s="1055"/>
      <c r="M4020" s="1205"/>
      <c r="N4020" s="1054"/>
      <c r="O4020" s="1207"/>
      <c r="Q4020" s="1207"/>
    </row>
    <row r="4021" spans="3:17" s="700" customFormat="1" ht="70.5" hidden="1" customHeight="1">
      <c r="C4021" s="701"/>
      <c r="D4021" s="811"/>
      <c r="E4021" s="1276">
        <f>[11]building!Y4352</f>
        <v>0</v>
      </c>
      <c r="F4021" s="748">
        <f t="shared" si="301"/>
        <v>0</v>
      </c>
      <c r="G4021" s="1205"/>
      <c r="H4021" s="1055"/>
      <c r="I4021" s="1055"/>
      <c r="J4021" s="1055"/>
      <c r="K4021" s="1205"/>
      <c r="L4021" s="1055"/>
      <c r="M4021" s="1205"/>
      <c r="N4021" s="1054"/>
      <c r="O4021" s="1207"/>
      <c r="Q4021" s="1207"/>
    </row>
    <row r="4022" spans="3:17" s="700" customFormat="1" ht="70.5" hidden="1" customHeight="1">
      <c r="C4022" s="701"/>
      <c r="D4022" s="811"/>
      <c r="E4022" s="1276">
        <f>[11]building!Y4353</f>
        <v>0</v>
      </c>
      <c r="F4022" s="748">
        <f t="shared" si="301"/>
        <v>0</v>
      </c>
      <c r="G4022" s="1205"/>
      <c r="H4022" s="1055"/>
      <c r="I4022" s="1055"/>
      <c r="J4022" s="1055"/>
      <c r="K4022" s="1205"/>
      <c r="L4022" s="1055"/>
      <c r="M4022" s="1205"/>
      <c r="N4022" s="1054"/>
      <c r="O4022" s="1207"/>
      <c r="Q4022" s="1207"/>
    </row>
    <row r="4023" spans="3:17" s="700" customFormat="1" ht="70.5" hidden="1" customHeight="1">
      <c r="C4023" s="701"/>
      <c r="D4023" s="811"/>
      <c r="E4023" s="1276">
        <f>[11]building!Y4354</f>
        <v>0</v>
      </c>
      <c r="F4023" s="748">
        <f t="shared" si="301"/>
        <v>0</v>
      </c>
      <c r="G4023" s="1205"/>
      <c r="H4023" s="1055"/>
      <c r="I4023" s="1055"/>
      <c r="J4023" s="1055"/>
      <c r="K4023" s="1205"/>
      <c r="L4023" s="1055"/>
      <c r="M4023" s="1205"/>
      <c r="N4023" s="1054"/>
      <c r="O4023" s="1207"/>
      <c r="Q4023" s="1207"/>
    </row>
    <row r="4024" spans="3:17" s="700" customFormat="1" ht="70.5" hidden="1" customHeight="1">
      <c r="C4024" s="701"/>
      <c r="D4024" s="811"/>
      <c r="E4024" s="1276">
        <f>[11]building!Y4355</f>
        <v>0</v>
      </c>
      <c r="F4024" s="748">
        <f t="shared" si="301"/>
        <v>0</v>
      </c>
      <c r="G4024" s="1205"/>
      <c r="H4024" s="1055"/>
      <c r="I4024" s="1055"/>
      <c r="J4024" s="1055"/>
      <c r="K4024" s="1205"/>
      <c r="L4024" s="1055"/>
      <c r="M4024" s="1205"/>
      <c r="N4024" s="1054"/>
      <c r="O4024" s="1207"/>
      <c r="Q4024" s="1207"/>
    </row>
    <row r="4025" spans="3:17" s="700" customFormat="1" ht="70.5" hidden="1" customHeight="1">
      <c r="C4025" s="701"/>
      <c r="D4025" s="811"/>
      <c r="E4025" s="1276">
        <f>[11]building!Y4356</f>
        <v>0</v>
      </c>
      <c r="F4025" s="748">
        <f t="shared" si="301"/>
        <v>0</v>
      </c>
      <c r="G4025" s="1205"/>
      <c r="H4025" s="1055"/>
      <c r="I4025" s="1055"/>
      <c r="J4025" s="1055"/>
      <c r="K4025" s="1205"/>
      <c r="L4025" s="1055"/>
      <c r="M4025" s="1205"/>
      <c r="N4025" s="1054"/>
      <c r="O4025" s="1207"/>
      <c r="Q4025" s="1207"/>
    </row>
    <row r="4026" spans="3:17" s="700" customFormat="1" ht="70.5" hidden="1" customHeight="1">
      <c r="C4026" s="701"/>
      <c r="D4026" s="811"/>
      <c r="E4026" s="1276">
        <f>[11]building!Y4357</f>
        <v>0</v>
      </c>
      <c r="F4026" s="748">
        <f t="shared" si="301"/>
        <v>0</v>
      </c>
      <c r="G4026" s="1205"/>
      <c r="H4026" s="1055"/>
      <c r="I4026" s="1055"/>
      <c r="J4026" s="1055"/>
      <c r="K4026" s="1205"/>
      <c r="L4026" s="1055"/>
      <c r="M4026" s="1205"/>
      <c r="N4026" s="1054"/>
      <c r="O4026" s="1207"/>
      <c r="Q4026" s="1207"/>
    </row>
    <row r="4027" spans="3:17" s="700" customFormat="1" ht="70.5" hidden="1" customHeight="1">
      <c r="C4027" s="701"/>
      <c r="D4027" s="811"/>
      <c r="E4027" s="1276">
        <f>[11]building!Y4358</f>
        <v>0</v>
      </c>
      <c r="F4027" s="748">
        <f t="shared" si="301"/>
        <v>0</v>
      </c>
      <c r="G4027" s="1205"/>
      <c r="H4027" s="1055"/>
      <c r="I4027" s="1055"/>
      <c r="J4027" s="1055"/>
      <c r="K4027" s="1205"/>
      <c r="L4027" s="1055"/>
      <c r="M4027" s="1205"/>
      <c r="N4027" s="1054"/>
      <c r="O4027" s="1207"/>
      <c r="Q4027" s="1207"/>
    </row>
    <row r="4028" spans="3:17" s="700" customFormat="1" ht="70.5" hidden="1" customHeight="1">
      <c r="C4028" s="701"/>
      <c r="D4028" s="811"/>
      <c r="E4028" s="1276">
        <f>[11]building!Y4359</f>
        <v>0</v>
      </c>
      <c r="F4028" s="748">
        <f t="shared" si="301"/>
        <v>0</v>
      </c>
      <c r="G4028" s="1205"/>
      <c r="H4028" s="1055"/>
      <c r="I4028" s="1055"/>
      <c r="J4028" s="1055"/>
      <c r="K4028" s="1205"/>
      <c r="L4028" s="1055"/>
      <c r="M4028" s="1205"/>
      <c r="N4028" s="1054"/>
      <c r="O4028" s="1207"/>
      <c r="Q4028" s="1207"/>
    </row>
    <row r="4029" spans="3:17" s="700" customFormat="1" ht="70.5" hidden="1" customHeight="1">
      <c r="C4029" s="701"/>
      <c r="D4029" s="811"/>
      <c r="E4029" s="1276">
        <f>[11]building!Y4360</f>
        <v>0</v>
      </c>
      <c r="F4029" s="748">
        <f t="shared" si="301"/>
        <v>0</v>
      </c>
      <c r="G4029" s="1205"/>
      <c r="H4029" s="1055"/>
      <c r="I4029" s="1055"/>
      <c r="J4029" s="1055"/>
      <c r="K4029" s="1205"/>
      <c r="L4029" s="1055"/>
      <c r="M4029" s="1205"/>
      <c r="N4029" s="1054"/>
      <c r="O4029" s="1207"/>
      <c r="Q4029" s="1207"/>
    </row>
    <row r="4030" spans="3:17" s="700" customFormat="1" ht="70.5" hidden="1" customHeight="1">
      <c r="C4030" s="701"/>
      <c r="D4030" s="811"/>
      <c r="E4030" s="1276">
        <f>[11]building!Y4361</f>
        <v>0</v>
      </c>
      <c r="F4030" s="748">
        <f t="shared" si="301"/>
        <v>0</v>
      </c>
      <c r="G4030" s="1205"/>
      <c r="H4030" s="1055"/>
      <c r="I4030" s="1055"/>
      <c r="J4030" s="1055"/>
      <c r="K4030" s="1205"/>
      <c r="L4030" s="1055"/>
      <c r="M4030" s="1205"/>
      <c r="N4030" s="1054"/>
      <c r="O4030" s="1207"/>
      <c r="Q4030" s="1207"/>
    </row>
    <row r="4031" spans="3:17" s="700" customFormat="1" ht="70.5" hidden="1" customHeight="1">
      <c r="C4031" s="701"/>
      <c r="D4031" s="811"/>
      <c r="E4031" s="1276">
        <f>[11]building!Y4362</f>
        <v>0</v>
      </c>
      <c r="F4031" s="748">
        <f t="shared" si="301"/>
        <v>0</v>
      </c>
      <c r="G4031" s="1205"/>
      <c r="H4031" s="1055"/>
      <c r="I4031" s="1055"/>
      <c r="J4031" s="1055"/>
      <c r="K4031" s="1205"/>
      <c r="L4031" s="1055"/>
      <c r="M4031" s="1205"/>
      <c r="N4031" s="1054"/>
      <c r="O4031" s="1207"/>
      <c r="Q4031" s="1207"/>
    </row>
    <row r="4032" spans="3:17" s="700" customFormat="1" ht="70.5" hidden="1" customHeight="1">
      <c r="C4032" s="701"/>
      <c r="D4032" s="811"/>
      <c r="E4032" s="1276">
        <f>[11]building!Y4363</f>
        <v>0</v>
      </c>
      <c r="F4032" s="748">
        <f t="shared" ref="F4032:F4095" si="302">E4032*C4032</f>
        <v>0</v>
      </c>
      <c r="G4032" s="1205"/>
      <c r="H4032" s="1055"/>
      <c r="I4032" s="1055"/>
      <c r="J4032" s="1055"/>
      <c r="K4032" s="1205"/>
      <c r="L4032" s="1055"/>
      <c r="M4032" s="1205"/>
      <c r="N4032" s="1054"/>
      <c r="O4032" s="1207"/>
      <c r="Q4032" s="1207"/>
    </row>
    <row r="4033" spans="3:17" s="700" customFormat="1" ht="70.5" hidden="1" customHeight="1">
      <c r="C4033" s="701"/>
      <c r="D4033" s="811"/>
      <c r="E4033" s="1276">
        <f>[11]building!Y4364</f>
        <v>0</v>
      </c>
      <c r="F4033" s="748">
        <f t="shared" si="302"/>
        <v>0</v>
      </c>
      <c r="G4033" s="1205"/>
      <c r="H4033" s="1055"/>
      <c r="I4033" s="1055"/>
      <c r="J4033" s="1055"/>
      <c r="K4033" s="1205"/>
      <c r="L4033" s="1055"/>
      <c r="M4033" s="1205"/>
      <c r="N4033" s="1054"/>
      <c r="O4033" s="1207"/>
      <c r="Q4033" s="1207"/>
    </row>
    <row r="4034" spans="3:17" s="700" customFormat="1" ht="70.5" hidden="1" customHeight="1">
      <c r="C4034" s="701"/>
      <c r="D4034" s="811"/>
      <c r="E4034" s="1276">
        <f>[11]building!Y4365</f>
        <v>0</v>
      </c>
      <c r="F4034" s="748">
        <f t="shared" si="302"/>
        <v>0</v>
      </c>
      <c r="G4034" s="1205"/>
      <c r="H4034" s="1055"/>
      <c r="I4034" s="1055"/>
      <c r="J4034" s="1055"/>
      <c r="K4034" s="1205"/>
      <c r="L4034" s="1055"/>
      <c r="M4034" s="1205"/>
      <c r="N4034" s="1054"/>
      <c r="O4034" s="1207"/>
      <c r="Q4034" s="1207"/>
    </row>
    <row r="4035" spans="3:17" s="700" customFormat="1" ht="70.5" hidden="1" customHeight="1">
      <c r="C4035" s="701"/>
      <c r="D4035" s="811"/>
      <c r="E4035" s="1276">
        <f>[11]building!Y4366</f>
        <v>0</v>
      </c>
      <c r="F4035" s="748">
        <f t="shared" si="302"/>
        <v>0</v>
      </c>
      <c r="G4035" s="1205"/>
      <c r="H4035" s="1055"/>
      <c r="I4035" s="1055"/>
      <c r="J4035" s="1055"/>
      <c r="K4035" s="1205"/>
      <c r="L4035" s="1055"/>
      <c r="M4035" s="1205"/>
      <c r="N4035" s="1054"/>
      <c r="O4035" s="1207"/>
      <c r="Q4035" s="1207"/>
    </row>
    <row r="4036" spans="3:17" s="700" customFormat="1" ht="70.5" hidden="1" customHeight="1">
      <c r="C4036" s="701"/>
      <c r="D4036" s="811"/>
      <c r="E4036" s="1276">
        <f>[11]building!Y4367</f>
        <v>0</v>
      </c>
      <c r="F4036" s="748">
        <f t="shared" si="302"/>
        <v>0</v>
      </c>
      <c r="G4036" s="1205"/>
      <c r="H4036" s="1055"/>
      <c r="I4036" s="1055"/>
      <c r="J4036" s="1055"/>
      <c r="K4036" s="1205"/>
      <c r="L4036" s="1055"/>
      <c r="M4036" s="1205"/>
      <c r="N4036" s="1054"/>
      <c r="O4036" s="1207"/>
      <c r="Q4036" s="1207"/>
    </row>
    <row r="4037" spans="3:17" s="700" customFormat="1" ht="70.5" hidden="1" customHeight="1">
      <c r="C4037" s="701"/>
      <c r="D4037" s="811"/>
      <c r="E4037" s="1276">
        <f>[11]building!Y4368</f>
        <v>0</v>
      </c>
      <c r="F4037" s="748">
        <f t="shared" si="302"/>
        <v>0</v>
      </c>
      <c r="G4037" s="1205"/>
      <c r="H4037" s="1055"/>
      <c r="I4037" s="1055"/>
      <c r="J4037" s="1055"/>
      <c r="K4037" s="1205"/>
      <c r="L4037" s="1055"/>
      <c r="M4037" s="1205"/>
      <c r="N4037" s="1054"/>
      <c r="O4037" s="1207"/>
      <c r="Q4037" s="1207"/>
    </row>
    <row r="4038" spans="3:17" s="700" customFormat="1" ht="70.5" hidden="1" customHeight="1">
      <c r="C4038" s="701"/>
      <c r="D4038" s="811"/>
      <c r="E4038" s="1276">
        <f>[11]building!Y4369</f>
        <v>0</v>
      </c>
      <c r="F4038" s="748">
        <f t="shared" si="302"/>
        <v>0</v>
      </c>
      <c r="G4038" s="1205"/>
      <c r="H4038" s="1055"/>
      <c r="I4038" s="1055"/>
      <c r="J4038" s="1055"/>
      <c r="K4038" s="1205"/>
      <c r="L4038" s="1055"/>
      <c r="M4038" s="1205"/>
      <c r="N4038" s="1054"/>
      <c r="O4038" s="1207"/>
      <c r="Q4038" s="1207"/>
    </row>
    <row r="4039" spans="3:17" s="700" customFormat="1" ht="70.5" hidden="1" customHeight="1">
      <c r="C4039" s="701"/>
      <c r="D4039" s="811"/>
      <c r="E4039" s="1276">
        <f>[11]building!Y4370</f>
        <v>0</v>
      </c>
      <c r="F4039" s="748">
        <f t="shared" si="302"/>
        <v>0</v>
      </c>
      <c r="G4039" s="1205"/>
      <c r="H4039" s="1055"/>
      <c r="I4039" s="1055"/>
      <c r="J4039" s="1055"/>
      <c r="K4039" s="1205"/>
      <c r="L4039" s="1055"/>
      <c r="M4039" s="1205"/>
      <c r="N4039" s="1054"/>
      <c r="O4039" s="1207"/>
      <c r="Q4039" s="1207"/>
    </row>
    <row r="4040" spans="3:17" s="700" customFormat="1" ht="70.5" hidden="1" customHeight="1">
      <c r="C4040" s="701"/>
      <c r="D4040" s="811"/>
      <c r="E4040" s="1276">
        <f>[11]building!Y4371</f>
        <v>0</v>
      </c>
      <c r="F4040" s="748">
        <f t="shared" si="302"/>
        <v>0</v>
      </c>
      <c r="G4040" s="1205"/>
      <c r="H4040" s="1055"/>
      <c r="I4040" s="1055"/>
      <c r="J4040" s="1055"/>
      <c r="K4040" s="1205"/>
      <c r="L4040" s="1055"/>
      <c r="M4040" s="1205"/>
      <c r="N4040" s="1054"/>
      <c r="O4040" s="1207"/>
      <c r="Q4040" s="1207"/>
    </row>
    <row r="4041" spans="3:17" s="700" customFormat="1" ht="70.5" hidden="1" customHeight="1">
      <c r="C4041" s="701"/>
      <c r="D4041" s="811"/>
      <c r="E4041" s="1276">
        <f>[11]building!Y4372</f>
        <v>0</v>
      </c>
      <c r="F4041" s="748">
        <f t="shared" si="302"/>
        <v>0</v>
      </c>
      <c r="G4041" s="1205"/>
      <c r="H4041" s="1055"/>
      <c r="I4041" s="1055"/>
      <c r="J4041" s="1055"/>
      <c r="K4041" s="1205"/>
      <c r="L4041" s="1055"/>
      <c r="M4041" s="1205"/>
      <c r="N4041" s="1054"/>
      <c r="O4041" s="1207"/>
      <c r="Q4041" s="1207"/>
    </row>
    <row r="4042" spans="3:17" s="700" customFormat="1" ht="70.5" hidden="1" customHeight="1">
      <c r="C4042" s="701"/>
      <c r="D4042" s="811"/>
      <c r="E4042" s="1276">
        <f>[11]building!Y4373</f>
        <v>0</v>
      </c>
      <c r="F4042" s="748">
        <f t="shared" si="302"/>
        <v>0</v>
      </c>
      <c r="G4042" s="1205"/>
      <c r="H4042" s="1055"/>
      <c r="I4042" s="1055"/>
      <c r="J4042" s="1055"/>
      <c r="K4042" s="1205"/>
      <c r="L4042" s="1055"/>
      <c r="M4042" s="1205"/>
      <c r="N4042" s="1054"/>
      <c r="O4042" s="1207"/>
      <c r="Q4042" s="1207"/>
    </row>
    <row r="4043" spans="3:17" s="700" customFormat="1" ht="70.5" hidden="1" customHeight="1">
      <c r="C4043" s="701"/>
      <c r="D4043" s="811"/>
      <c r="E4043" s="1276">
        <f>[11]building!Y4374</f>
        <v>0</v>
      </c>
      <c r="F4043" s="748">
        <f t="shared" si="302"/>
        <v>0</v>
      </c>
      <c r="G4043" s="1205"/>
      <c r="H4043" s="1055"/>
      <c r="I4043" s="1055"/>
      <c r="J4043" s="1055"/>
      <c r="K4043" s="1205"/>
      <c r="L4043" s="1055"/>
      <c r="M4043" s="1205"/>
      <c r="N4043" s="1054"/>
      <c r="O4043" s="1207"/>
      <c r="Q4043" s="1207"/>
    </row>
    <row r="4044" spans="3:17" s="700" customFormat="1" ht="70.5" hidden="1" customHeight="1">
      <c r="C4044" s="701"/>
      <c r="D4044" s="811"/>
      <c r="E4044" s="1276">
        <f>[11]building!Y4375</f>
        <v>0</v>
      </c>
      <c r="F4044" s="748">
        <f t="shared" si="302"/>
        <v>0</v>
      </c>
      <c r="G4044" s="1205"/>
      <c r="H4044" s="1055"/>
      <c r="I4044" s="1055"/>
      <c r="J4044" s="1055"/>
      <c r="K4044" s="1205"/>
      <c r="L4044" s="1055"/>
      <c r="M4044" s="1205"/>
      <c r="N4044" s="1054"/>
      <c r="O4044" s="1207"/>
      <c r="Q4044" s="1207"/>
    </row>
    <row r="4045" spans="3:17" s="700" customFormat="1" ht="70.5" hidden="1" customHeight="1">
      <c r="C4045" s="701"/>
      <c r="D4045" s="811"/>
      <c r="E4045" s="1276">
        <f>[11]building!Y4376</f>
        <v>0</v>
      </c>
      <c r="F4045" s="748">
        <f t="shared" si="302"/>
        <v>0</v>
      </c>
      <c r="G4045" s="1205"/>
      <c r="H4045" s="1055"/>
      <c r="I4045" s="1055"/>
      <c r="J4045" s="1055"/>
      <c r="K4045" s="1205"/>
      <c r="L4045" s="1055"/>
      <c r="M4045" s="1205"/>
      <c r="N4045" s="1054"/>
      <c r="O4045" s="1207"/>
      <c r="Q4045" s="1207"/>
    </row>
    <row r="4046" spans="3:17" s="700" customFormat="1" ht="70.5" hidden="1" customHeight="1">
      <c r="C4046" s="701"/>
      <c r="D4046" s="811"/>
      <c r="E4046" s="1276">
        <f>[11]building!Y4377</f>
        <v>0</v>
      </c>
      <c r="F4046" s="748">
        <f t="shared" si="302"/>
        <v>0</v>
      </c>
      <c r="G4046" s="1205"/>
      <c r="H4046" s="1055"/>
      <c r="I4046" s="1055"/>
      <c r="J4046" s="1055"/>
      <c r="K4046" s="1205"/>
      <c r="L4046" s="1055"/>
      <c r="M4046" s="1205"/>
      <c r="N4046" s="1054"/>
      <c r="O4046" s="1207"/>
      <c r="Q4046" s="1207"/>
    </row>
    <row r="4047" spans="3:17" s="700" customFormat="1" ht="70.5" hidden="1" customHeight="1">
      <c r="C4047" s="701"/>
      <c r="D4047" s="811"/>
      <c r="E4047" s="1276">
        <f>[11]building!Y4378</f>
        <v>0</v>
      </c>
      <c r="F4047" s="748">
        <f t="shared" si="302"/>
        <v>0</v>
      </c>
      <c r="G4047" s="1205"/>
      <c r="H4047" s="1055"/>
      <c r="I4047" s="1055"/>
      <c r="J4047" s="1055"/>
      <c r="K4047" s="1205"/>
      <c r="L4047" s="1055"/>
      <c r="M4047" s="1205"/>
      <c r="N4047" s="1054"/>
      <c r="O4047" s="1207"/>
      <c r="Q4047" s="1207"/>
    </row>
    <row r="4048" spans="3:17" s="700" customFormat="1" ht="70.5" hidden="1" customHeight="1">
      <c r="C4048" s="701"/>
      <c r="D4048" s="811"/>
      <c r="E4048" s="1276">
        <f>[11]building!Y4379</f>
        <v>0</v>
      </c>
      <c r="F4048" s="748">
        <f t="shared" si="302"/>
        <v>0</v>
      </c>
      <c r="G4048" s="1205"/>
      <c r="H4048" s="1055"/>
      <c r="I4048" s="1055"/>
      <c r="J4048" s="1055"/>
      <c r="K4048" s="1205"/>
      <c r="L4048" s="1055"/>
      <c r="M4048" s="1205"/>
      <c r="N4048" s="1054"/>
      <c r="O4048" s="1207"/>
      <c r="Q4048" s="1207"/>
    </row>
    <row r="4049" spans="3:17" s="700" customFormat="1" ht="70.5" hidden="1" customHeight="1">
      <c r="C4049" s="701"/>
      <c r="D4049" s="811"/>
      <c r="E4049" s="1276">
        <f>[11]building!Y4380</f>
        <v>0</v>
      </c>
      <c r="F4049" s="748">
        <f t="shared" si="302"/>
        <v>0</v>
      </c>
      <c r="G4049" s="1205"/>
      <c r="H4049" s="1055"/>
      <c r="I4049" s="1055"/>
      <c r="J4049" s="1055"/>
      <c r="K4049" s="1205"/>
      <c r="L4049" s="1055"/>
      <c r="M4049" s="1205"/>
      <c r="N4049" s="1054"/>
      <c r="O4049" s="1207"/>
      <c r="Q4049" s="1207"/>
    </row>
    <row r="4050" spans="3:17" s="700" customFormat="1" ht="70.5" hidden="1" customHeight="1">
      <c r="C4050" s="701"/>
      <c r="D4050" s="811"/>
      <c r="E4050" s="1276">
        <f>[11]building!Y4381</f>
        <v>0</v>
      </c>
      <c r="F4050" s="748">
        <f t="shared" si="302"/>
        <v>0</v>
      </c>
      <c r="G4050" s="1205"/>
      <c r="H4050" s="1055"/>
      <c r="I4050" s="1055"/>
      <c r="J4050" s="1055"/>
      <c r="K4050" s="1205"/>
      <c r="L4050" s="1055"/>
      <c r="M4050" s="1205"/>
      <c r="N4050" s="1054"/>
      <c r="O4050" s="1207"/>
      <c r="Q4050" s="1207"/>
    </row>
    <row r="4051" spans="3:17" s="700" customFormat="1" ht="70.5" hidden="1" customHeight="1">
      <c r="C4051" s="701"/>
      <c r="D4051" s="811"/>
      <c r="E4051" s="1276">
        <f>[11]building!Y4382</f>
        <v>0</v>
      </c>
      <c r="F4051" s="748">
        <f t="shared" si="302"/>
        <v>0</v>
      </c>
      <c r="G4051" s="1205"/>
      <c r="H4051" s="1055"/>
      <c r="I4051" s="1055"/>
      <c r="J4051" s="1055"/>
      <c r="K4051" s="1205"/>
      <c r="L4051" s="1055"/>
      <c r="M4051" s="1205"/>
      <c r="N4051" s="1054"/>
      <c r="O4051" s="1207"/>
      <c r="Q4051" s="1207"/>
    </row>
    <row r="4052" spans="3:17" s="700" customFormat="1" ht="70.5" hidden="1" customHeight="1">
      <c r="C4052" s="701"/>
      <c r="D4052" s="811"/>
      <c r="E4052" s="1276">
        <f>[11]building!Y4383</f>
        <v>0</v>
      </c>
      <c r="F4052" s="748">
        <f t="shared" si="302"/>
        <v>0</v>
      </c>
      <c r="G4052" s="1205"/>
      <c r="H4052" s="1055"/>
      <c r="I4052" s="1055"/>
      <c r="J4052" s="1055"/>
      <c r="K4052" s="1205"/>
      <c r="L4052" s="1055"/>
      <c r="M4052" s="1205"/>
      <c r="N4052" s="1054"/>
      <c r="O4052" s="1207"/>
      <c r="Q4052" s="1207"/>
    </row>
    <row r="4053" spans="3:17" s="700" customFormat="1" ht="70.5" hidden="1" customHeight="1">
      <c r="C4053" s="701"/>
      <c r="D4053" s="811"/>
      <c r="E4053" s="1276">
        <f>[11]building!Y4384</f>
        <v>0</v>
      </c>
      <c r="F4053" s="748">
        <f t="shared" si="302"/>
        <v>0</v>
      </c>
      <c r="G4053" s="1205"/>
      <c r="H4053" s="1055"/>
      <c r="I4053" s="1055"/>
      <c r="J4053" s="1055"/>
      <c r="K4053" s="1205"/>
      <c r="L4053" s="1055"/>
      <c r="M4053" s="1205"/>
      <c r="N4053" s="1054"/>
      <c r="O4053" s="1207"/>
      <c r="Q4053" s="1207"/>
    </row>
    <row r="4054" spans="3:17" s="700" customFormat="1" ht="70.5" hidden="1" customHeight="1">
      <c r="C4054" s="701"/>
      <c r="D4054" s="811"/>
      <c r="E4054" s="1276">
        <f>[11]building!Y4385</f>
        <v>0</v>
      </c>
      <c r="F4054" s="748">
        <f t="shared" si="302"/>
        <v>0</v>
      </c>
      <c r="G4054" s="1205"/>
      <c r="H4054" s="1055"/>
      <c r="I4054" s="1055"/>
      <c r="J4054" s="1055"/>
      <c r="K4054" s="1205"/>
      <c r="L4054" s="1055"/>
      <c r="M4054" s="1205"/>
      <c r="N4054" s="1054"/>
      <c r="O4054" s="1207"/>
      <c r="Q4054" s="1207"/>
    </row>
    <row r="4055" spans="3:17" s="700" customFormat="1" ht="70.5" hidden="1" customHeight="1">
      <c r="C4055" s="701"/>
      <c r="D4055" s="811"/>
      <c r="E4055" s="1276">
        <f>[11]building!Y4386</f>
        <v>0</v>
      </c>
      <c r="F4055" s="748">
        <f t="shared" si="302"/>
        <v>0</v>
      </c>
      <c r="G4055" s="1205"/>
      <c r="H4055" s="1055"/>
      <c r="I4055" s="1055"/>
      <c r="J4055" s="1055"/>
      <c r="K4055" s="1205"/>
      <c r="L4055" s="1055"/>
      <c r="M4055" s="1205"/>
      <c r="N4055" s="1054"/>
      <c r="O4055" s="1207"/>
      <c r="Q4055" s="1207"/>
    </row>
    <row r="4056" spans="3:17" s="700" customFormat="1" ht="70.5" hidden="1" customHeight="1">
      <c r="C4056" s="701"/>
      <c r="D4056" s="811"/>
      <c r="E4056" s="1276">
        <f>[11]building!Y4387</f>
        <v>0</v>
      </c>
      <c r="F4056" s="748">
        <f t="shared" si="302"/>
        <v>0</v>
      </c>
      <c r="G4056" s="1205"/>
      <c r="H4056" s="1055"/>
      <c r="I4056" s="1055"/>
      <c r="J4056" s="1055"/>
      <c r="K4056" s="1205"/>
      <c r="L4056" s="1055"/>
      <c r="M4056" s="1205"/>
      <c r="N4056" s="1054"/>
      <c r="O4056" s="1207"/>
      <c r="Q4056" s="1207"/>
    </row>
    <row r="4057" spans="3:17" s="700" customFormat="1" ht="70.5" hidden="1" customHeight="1">
      <c r="C4057" s="701"/>
      <c r="D4057" s="811"/>
      <c r="E4057" s="1276">
        <f>[11]building!Y4388</f>
        <v>0</v>
      </c>
      <c r="F4057" s="748">
        <f t="shared" si="302"/>
        <v>0</v>
      </c>
      <c r="G4057" s="1205"/>
      <c r="H4057" s="1055"/>
      <c r="I4057" s="1055"/>
      <c r="J4057" s="1055"/>
      <c r="K4057" s="1205"/>
      <c r="L4057" s="1055"/>
      <c r="M4057" s="1205"/>
      <c r="N4057" s="1054"/>
      <c r="O4057" s="1207"/>
      <c r="Q4057" s="1207"/>
    </row>
    <row r="4058" spans="3:17" s="700" customFormat="1" ht="70.5" hidden="1" customHeight="1">
      <c r="C4058" s="701"/>
      <c r="D4058" s="811"/>
      <c r="E4058" s="1276">
        <f>[11]building!Y4389</f>
        <v>0</v>
      </c>
      <c r="F4058" s="748">
        <f t="shared" si="302"/>
        <v>0</v>
      </c>
      <c r="G4058" s="1205"/>
      <c r="H4058" s="1055"/>
      <c r="I4058" s="1055"/>
      <c r="J4058" s="1055"/>
      <c r="K4058" s="1205"/>
      <c r="L4058" s="1055"/>
      <c r="M4058" s="1205"/>
      <c r="N4058" s="1054"/>
      <c r="O4058" s="1207"/>
      <c r="Q4058" s="1207"/>
    </row>
    <row r="4059" spans="3:17" s="700" customFormat="1" ht="70.5" hidden="1" customHeight="1">
      <c r="C4059" s="701"/>
      <c r="D4059" s="811"/>
      <c r="E4059" s="1276">
        <f>[11]building!Y4390</f>
        <v>0</v>
      </c>
      <c r="F4059" s="748">
        <f t="shared" si="302"/>
        <v>0</v>
      </c>
      <c r="G4059" s="1205"/>
      <c r="H4059" s="1055"/>
      <c r="I4059" s="1055"/>
      <c r="J4059" s="1055"/>
      <c r="K4059" s="1205"/>
      <c r="L4059" s="1055"/>
      <c r="M4059" s="1205"/>
      <c r="N4059" s="1054"/>
      <c r="O4059" s="1207"/>
      <c r="Q4059" s="1207"/>
    </row>
    <row r="4060" spans="3:17" s="700" customFormat="1" ht="70.5" hidden="1" customHeight="1">
      <c r="C4060" s="701"/>
      <c r="D4060" s="811"/>
      <c r="E4060" s="1276">
        <f>[11]building!Y4391</f>
        <v>0</v>
      </c>
      <c r="F4060" s="748">
        <f t="shared" si="302"/>
        <v>0</v>
      </c>
      <c r="G4060" s="1205"/>
      <c r="H4060" s="1055"/>
      <c r="I4060" s="1055"/>
      <c r="J4060" s="1055"/>
      <c r="K4060" s="1205"/>
      <c r="L4060" s="1055"/>
      <c r="M4060" s="1205"/>
      <c r="N4060" s="1054"/>
      <c r="O4060" s="1207"/>
      <c r="Q4060" s="1207"/>
    </row>
    <row r="4061" spans="3:17" s="700" customFormat="1" ht="70.5" hidden="1" customHeight="1">
      <c r="C4061" s="701"/>
      <c r="D4061" s="811"/>
      <c r="E4061" s="1276">
        <f>[11]building!Y4392</f>
        <v>0</v>
      </c>
      <c r="F4061" s="748">
        <f t="shared" si="302"/>
        <v>0</v>
      </c>
      <c r="G4061" s="1205"/>
      <c r="H4061" s="1055"/>
      <c r="I4061" s="1055"/>
      <c r="J4061" s="1055"/>
      <c r="K4061" s="1205"/>
      <c r="L4061" s="1055"/>
      <c r="M4061" s="1205"/>
      <c r="N4061" s="1054"/>
      <c r="O4061" s="1207"/>
      <c r="Q4061" s="1207"/>
    </row>
    <row r="4062" spans="3:17" s="700" customFormat="1" ht="70.5" hidden="1" customHeight="1">
      <c r="C4062" s="701"/>
      <c r="D4062" s="811"/>
      <c r="E4062" s="1276">
        <f>[11]building!Y4393</f>
        <v>0</v>
      </c>
      <c r="F4062" s="748">
        <f t="shared" si="302"/>
        <v>0</v>
      </c>
      <c r="G4062" s="1205"/>
      <c r="H4062" s="1055"/>
      <c r="I4062" s="1055"/>
      <c r="J4062" s="1055"/>
      <c r="K4062" s="1205"/>
      <c r="L4062" s="1055"/>
      <c r="M4062" s="1205"/>
      <c r="N4062" s="1054"/>
      <c r="O4062" s="1207"/>
      <c r="Q4062" s="1207"/>
    </row>
    <row r="4063" spans="3:17" s="700" customFormat="1" ht="70.5" hidden="1" customHeight="1">
      <c r="C4063" s="701"/>
      <c r="D4063" s="811"/>
      <c r="E4063" s="1276">
        <f>[11]building!Y4394</f>
        <v>0</v>
      </c>
      <c r="F4063" s="748">
        <f t="shared" si="302"/>
        <v>0</v>
      </c>
      <c r="G4063" s="1205"/>
      <c r="H4063" s="1055"/>
      <c r="I4063" s="1055"/>
      <c r="J4063" s="1055"/>
      <c r="K4063" s="1205"/>
      <c r="L4063" s="1055"/>
      <c r="M4063" s="1205"/>
      <c r="N4063" s="1054"/>
      <c r="O4063" s="1207"/>
      <c r="Q4063" s="1207"/>
    </row>
    <row r="4064" spans="3:17" s="700" customFormat="1" ht="70.5" hidden="1" customHeight="1">
      <c r="C4064" s="701"/>
      <c r="D4064" s="811"/>
      <c r="E4064" s="1276">
        <f>[11]building!Y4395</f>
        <v>0</v>
      </c>
      <c r="F4064" s="748">
        <f t="shared" si="302"/>
        <v>0</v>
      </c>
      <c r="G4064" s="1205"/>
      <c r="H4064" s="1055"/>
      <c r="I4064" s="1055"/>
      <c r="J4064" s="1055"/>
      <c r="K4064" s="1205"/>
      <c r="L4064" s="1055"/>
      <c r="M4064" s="1205"/>
      <c r="N4064" s="1054"/>
      <c r="O4064" s="1207"/>
      <c r="Q4064" s="1207"/>
    </row>
    <row r="4065" spans="3:17" s="700" customFormat="1" ht="70.5" hidden="1" customHeight="1">
      <c r="C4065" s="701"/>
      <c r="D4065" s="811"/>
      <c r="E4065" s="1276">
        <f>[11]building!Y4396</f>
        <v>0</v>
      </c>
      <c r="F4065" s="748">
        <f t="shared" si="302"/>
        <v>0</v>
      </c>
      <c r="G4065" s="1205"/>
      <c r="H4065" s="1055"/>
      <c r="I4065" s="1055"/>
      <c r="J4065" s="1055"/>
      <c r="K4065" s="1205"/>
      <c r="L4065" s="1055"/>
      <c r="M4065" s="1205"/>
      <c r="N4065" s="1054"/>
      <c r="O4065" s="1207"/>
      <c r="Q4065" s="1207"/>
    </row>
    <row r="4066" spans="3:17" s="700" customFormat="1" ht="70.5" hidden="1" customHeight="1">
      <c r="C4066" s="701"/>
      <c r="D4066" s="811"/>
      <c r="E4066" s="1276">
        <f>[11]building!Y4397</f>
        <v>0</v>
      </c>
      <c r="F4066" s="748">
        <f t="shared" si="302"/>
        <v>0</v>
      </c>
      <c r="G4066" s="1205"/>
      <c r="H4066" s="1055"/>
      <c r="I4066" s="1055"/>
      <c r="J4066" s="1055"/>
      <c r="K4066" s="1205"/>
      <c r="L4066" s="1055"/>
      <c r="M4066" s="1205"/>
      <c r="N4066" s="1054"/>
      <c r="O4066" s="1207"/>
      <c r="Q4066" s="1207"/>
    </row>
    <row r="4067" spans="3:17" s="700" customFormat="1" ht="70.5" hidden="1" customHeight="1">
      <c r="C4067" s="701"/>
      <c r="D4067" s="811"/>
      <c r="E4067" s="1276">
        <f>[11]building!Y4398</f>
        <v>0</v>
      </c>
      <c r="F4067" s="748">
        <f t="shared" si="302"/>
        <v>0</v>
      </c>
      <c r="G4067" s="1205"/>
      <c r="H4067" s="1055"/>
      <c r="I4067" s="1055"/>
      <c r="J4067" s="1055"/>
      <c r="K4067" s="1205"/>
      <c r="L4067" s="1055"/>
      <c r="M4067" s="1205"/>
      <c r="N4067" s="1054"/>
      <c r="O4067" s="1207"/>
      <c r="Q4067" s="1207"/>
    </row>
    <row r="4068" spans="3:17" s="700" customFormat="1" ht="70.5" hidden="1" customHeight="1">
      <c r="C4068" s="701"/>
      <c r="D4068" s="811"/>
      <c r="E4068" s="1276">
        <f>[11]building!Y4399</f>
        <v>0</v>
      </c>
      <c r="F4068" s="748">
        <f t="shared" si="302"/>
        <v>0</v>
      </c>
      <c r="G4068" s="1205"/>
      <c r="H4068" s="1055"/>
      <c r="I4068" s="1055"/>
      <c r="J4068" s="1055"/>
      <c r="K4068" s="1205"/>
      <c r="L4068" s="1055"/>
      <c r="M4068" s="1205"/>
      <c r="N4068" s="1054"/>
      <c r="O4068" s="1207"/>
      <c r="Q4068" s="1207"/>
    </row>
    <row r="4069" spans="3:17" s="700" customFormat="1" ht="70.5" hidden="1" customHeight="1">
      <c r="C4069" s="701"/>
      <c r="D4069" s="811"/>
      <c r="E4069" s="1276">
        <f>[11]building!Y4400</f>
        <v>0</v>
      </c>
      <c r="F4069" s="748">
        <f t="shared" si="302"/>
        <v>0</v>
      </c>
      <c r="G4069" s="1205"/>
      <c r="H4069" s="1055"/>
      <c r="I4069" s="1055"/>
      <c r="J4069" s="1055"/>
      <c r="K4069" s="1205"/>
      <c r="L4069" s="1055"/>
      <c r="M4069" s="1205"/>
      <c r="N4069" s="1054"/>
      <c r="O4069" s="1207"/>
      <c r="Q4069" s="1207"/>
    </row>
    <row r="4070" spans="3:17" s="700" customFormat="1" ht="70.5" hidden="1" customHeight="1">
      <c r="C4070" s="701"/>
      <c r="D4070" s="811"/>
      <c r="E4070" s="1276">
        <f>[11]building!Y4401</f>
        <v>0</v>
      </c>
      <c r="F4070" s="748">
        <f t="shared" si="302"/>
        <v>0</v>
      </c>
      <c r="G4070" s="1205"/>
      <c r="H4070" s="1055"/>
      <c r="I4070" s="1055"/>
      <c r="J4070" s="1055"/>
      <c r="K4070" s="1205"/>
      <c r="L4070" s="1055"/>
      <c r="M4070" s="1205"/>
      <c r="N4070" s="1054"/>
      <c r="O4070" s="1207"/>
      <c r="Q4070" s="1207"/>
    </row>
    <row r="4071" spans="3:17" s="700" customFormat="1" ht="70.5" hidden="1" customHeight="1">
      <c r="C4071" s="701"/>
      <c r="D4071" s="811"/>
      <c r="E4071" s="1276">
        <f>[11]building!Y4402</f>
        <v>0</v>
      </c>
      <c r="F4071" s="748">
        <f t="shared" si="302"/>
        <v>0</v>
      </c>
      <c r="G4071" s="1205"/>
      <c r="H4071" s="1055"/>
      <c r="I4071" s="1055"/>
      <c r="J4071" s="1055"/>
      <c r="K4071" s="1205"/>
      <c r="L4071" s="1055"/>
      <c r="M4071" s="1205"/>
      <c r="N4071" s="1054"/>
      <c r="O4071" s="1207"/>
      <c r="Q4071" s="1207"/>
    </row>
    <row r="4072" spans="3:17" s="700" customFormat="1" ht="70.5" hidden="1" customHeight="1">
      <c r="C4072" s="701"/>
      <c r="D4072" s="811"/>
      <c r="E4072" s="1276">
        <f>[11]building!Y4403</f>
        <v>0</v>
      </c>
      <c r="F4072" s="748">
        <f t="shared" si="302"/>
        <v>0</v>
      </c>
      <c r="G4072" s="1205"/>
      <c r="H4072" s="1055"/>
      <c r="I4072" s="1055"/>
      <c r="J4072" s="1055"/>
      <c r="K4072" s="1205"/>
      <c r="L4072" s="1055"/>
      <c r="M4072" s="1205"/>
      <c r="N4072" s="1054"/>
      <c r="O4072" s="1207"/>
      <c r="Q4072" s="1207"/>
    </row>
    <row r="4073" spans="3:17" s="700" customFormat="1" ht="70.5" hidden="1" customHeight="1">
      <c r="C4073" s="701"/>
      <c r="D4073" s="811"/>
      <c r="E4073" s="1276">
        <f>[11]building!Y4404</f>
        <v>0</v>
      </c>
      <c r="F4073" s="748">
        <f t="shared" si="302"/>
        <v>0</v>
      </c>
      <c r="G4073" s="1205"/>
      <c r="H4073" s="1055"/>
      <c r="I4073" s="1055"/>
      <c r="J4073" s="1055"/>
      <c r="K4073" s="1205"/>
      <c r="L4073" s="1055"/>
      <c r="M4073" s="1205"/>
      <c r="N4073" s="1054"/>
      <c r="O4073" s="1207"/>
      <c r="Q4073" s="1207"/>
    </row>
    <row r="4074" spans="3:17" s="700" customFormat="1" ht="70.5" hidden="1" customHeight="1">
      <c r="C4074" s="701"/>
      <c r="D4074" s="811"/>
      <c r="E4074" s="1276">
        <f>[11]building!Y4405</f>
        <v>0</v>
      </c>
      <c r="F4074" s="748">
        <f t="shared" si="302"/>
        <v>0</v>
      </c>
      <c r="G4074" s="1205"/>
      <c r="H4074" s="1055"/>
      <c r="I4074" s="1055"/>
      <c r="J4074" s="1055"/>
      <c r="K4074" s="1205"/>
      <c r="L4074" s="1055"/>
      <c r="M4074" s="1205"/>
      <c r="N4074" s="1054"/>
      <c r="O4074" s="1207"/>
      <c r="Q4074" s="1207"/>
    </row>
    <row r="4075" spans="3:17" s="700" customFormat="1" ht="70.5" hidden="1" customHeight="1">
      <c r="C4075" s="701"/>
      <c r="D4075" s="811"/>
      <c r="E4075" s="1276">
        <f>[11]building!Y4406</f>
        <v>0</v>
      </c>
      <c r="F4075" s="748">
        <f t="shared" si="302"/>
        <v>0</v>
      </c>
      <c r="G4075" s="1205"/>
      <c r="H4075" s="1055"/>
      <c r="I4075" s="1055"/>
      <c r="J4075" s="1055"/>
      <c r="K4075" s="1205"/>
      <c r="L4075" s="1055"/>
      <c r="M4075" s="1205"/>
      <c r="N4075" s="1054"/>
      <c r="O4075" s="1207"/>
      <c r="Q4075" s="1207"/>
    </row>
    <row r="4076" spans="3:17" s="700" customFormat="1" ht="70.5" hidden="1" customHeight="1">
      <c r="C4076" s="701"/>
      <c r="D4076" s="811"/>
      <c r="E4076" s="1276">
        <f>[11]building!Y4407</f>
        <v>0</v>
      </c>
      <c r="F4076" s="748">
        <f t="shared" si="302"/>
        <v>0</v>
      </c>
      <c r="G4076" s="1205"/>
      <c r="H4076" s="1055"/>
      <c r="I4076" s="1055"/>
      <c r="J4076" s="1055"/>
      <c r="K4076" s="1205"/>
      <c r="L4076" s="1055"/>
      <c r="M4076" s="1205"/>
      <c r="N4076" s="1054"/>
      <c r="O4076" s="1207"/>
      <c r="Q4076" s="1207"/>
    </row>
    <row r="4077" spans="3:17" s="700" customFormat="1" ht="70.5" hidden="1" customHeight="1">
      <c r="C4077" s="701"/>
      <c r="D4077" s="811"/>
      <c r="E4077" s="1276">
        <f>[11]building!Y4408</f>
        <v>0</v>
      </c>
      <c r="F4077" s="748">
        <f t="shared" si="302"/>
        <v>0</v>
      </c>
      <c r="G4077" s="1205"/>
      <c r="H4077" s="1055"/>
      <c r="I4077" s="1055"/>
      <c r="J4077" s="1055"/>
      <c r="K4077" s="1205"/>
      <c r="L4077" s="1055"/>
      <c r="M4077" s="1205"/>
      <c r="N4077" s="1054"/>
      <c r="O4077" s="1207"/>
      <c r="Q4077" s="1207"/>
    </row>
    <row r="4078" spans="3:17" s="700" customFormat="1" ht="70.5" hidden="1" customHeight="1">
      <c r="C4078" s="701"/>
      <c r="D4078" s="811"/>
      <c r="E4078" s="1276">
        <f>[11]building!Y4409</f>
        <v>0</v>
      </c>
      <c r="F4078" s="748">
        <f t="shared" si="302"/>
        <v>0</v>
      </c>
      <c r="G4078" s="1205"/>
      <c r="H4078" s="1055"/>
      <c r="I4078" s="1055"/>
      <c r="J4078" s="1055"/>
      <c r="K4078" s="1205"/>
      <c r="L4078" s="1055"/>
      <c r="M4078" s="1205"/>
      <c r="N4078" s="1054"/>
      <c r="O4078" s="1207"/>
      <c r="Q4078" s="1207"/>
    </row>
    <row r="4079" spans="3:17" s="700" customFormat="1" ht="70.5" hidden="1" customHeight="1">
      <c r="C4079" s="701"/>
      <c r="D4079" s="811"/>
      <c r="E4079" s="1276">
        <f>[11]building!Y4410</f>
        <v>0</v>
      </c>
      <c r="F4079" s="748">
        <f t="shared" si="302"/>
        <v>0</v>
      </c>
      <c r="G4079" s="1205"/>
      <c r="H4079" s="1055"/>
      <c r="I4079" s="1055"/>
      <c r="J4079" s="1055"/>
      <c r="K4079" s="1205"/>
      <c r="L4079" s="1055"/>
      <c r="M4079" s="1205"/>
      <c r="N4079" s="1054"/>
      <c r="O4079" s="1207"/>
      <c r="Q4079" s="1207"/>
    </row>
    <row r="4080" spans="3:17" s="700" customFormat="1" ht="70.5" hidden="1" customHeight="1">
      <c r="C4080" s="701"/>
      <c r="D4080" s="811"/>
      <c r="E4080" s="1276">
        <f>[11]building!Y4411</f>
        <v>0</v>
      </c>
      <c r="F4080" s="748">
        <f t="shared" si="302"/>
        <v>0</v>
      </c>
      <c r="G4080" s="1205"/>
      <c r="H4080" s="1055"/>
      <c r="I4080" s="1055"/>
      <c r="J4080" s="1055"/>
      <c r="K4080" s="1205"/>
      <c r="L4080" s="1055"/>
      <c r="M4080" s="1205"/>
      <c r="N4080" s="1054"/>
      <c r="O4080" s="1207"/>
      <c r="Q4080" s="1207"/>
    </row>
    <row r="4081" spans="3:17" s="700" customFormat="1" ht="70.5" hidden="1" customHeight="1">
      <c r="C4081" s="701"/>
      <c r="D4081" s="811"/>
      <c r="E4081" s="1276">
        <f>[11]building!Y4412</f>
        <v>0</v>
      </c>
      <c r="F4081" s="748">
        <f t="shared" si="302"/>
        <v>0</v>
      </c>
      <c r="G4081" s="1205"/>
      <c r="H4081" s="1055"/>
      <c r="I4081" s="1055"/>
      <c r="J4081" s="1055"/>
      <c r="K4081" s="1205"/>
      <c r="L4081" s="1055"/>
      <c r="M4081" s="1205"/>
      <c r="N4081" s="1054"/>
      <c r="O4081" s="1207"/>
      <c r="Q4081" s="1207"/>
    </row>
    <row r="4082" spans="3:17" s="700" customFormat="1" ht="70.5" hidden="1" customHeight="1">
      <c r="C4082" s="701"/>
      <c r="D4082" s="811"/>
      <c r="E4082" s="1276">
        <f>[11]building!Y4413</f>
        <v>0</v>
      </c>
      <c r="F4082" s="748">
        <f t="shared" si="302"/>
        <v>0</v>
      </c>
      <c r="G4082" s="1205"/>
      <c r="H4082" s="1055"/>
      <c r="I4082" s="1055"/>
      <c r="J4082" s="1055"/>
      <c r="K4082" s="1205"/>
      <c r="L4082" s="1055"/>
      <c r="M4082" s="1205"/>
      <c r="N4082" s="1054"/>
      <c r="O4082" s="1207"/>
      <c r="Q4082" s="1207"/>
    </row>
    <row r="4083" spans="3:17" s="700" customFormat="1" ht="70.5" hidden="1" customHeight="1">
      <c r="C4083" s="701"/>
      <c r="D4083" s="811"/>
      <c r="E4083" s="1276">
        <f>[11]building!Y4414</f>
        <v>0</v>
      </c>
      <c r="F4083" s="748">
        <f t="shared" si="302"/>
        <v>0</v>
      </c>
      <c r="G4083" s="1205"/>
      <c r="H4083" s="1055"/>
      <c r="I4083" s="1055"/>
      <c r="J4083" s="1055"/>
      <c r="K4083" s="1205"/>
      <c r="L4083" s="1055"/>
      <c r="M4083" s="1205"/>
      <c r="N4083" s="1054"/>
      <c r="O4083" s="1207"/>
      <c r="Q4083" s="1207"/>
    </row>
    <row r="4084" spans="3:17" s="700" customFormat="1" ht="70.5" hidden="1" customHeight="1">
      <c r="C4084" s="701"/>
      <c r="D4084" s="811"/>
      <c r="E4084" s="1276">
        <f>[11]building!Y4415</f>
        <v>0</v>
      </c>
      <c r="F4084" s="748">
        <f t="shared" si="302"/>
        <v>0</v>
      </c>
      <c r="G4084" s="1205"/>
      <c r="H4084" s="1055"/>
      <c r="I4084" s="1055"/>
      <c r="J4084" s="1055"/>
      <c r="K4084" s="1205"/>
      <c r="L4084" s="1055"/>
      <c r="M4084" s="1205"/>
      <c r="N4084" s="1054"/>
      <c r="O4084" s="1207"/>
      <c r="Q4084" s="1207"/>
    </row>
    <row r="4085" spans="3:17" s="700" customFormat="1" ht="70.5" hidden="1" customHeight="1">
      <c r="C4085" s="701"/>
      <c r="D4085" s="811"/>
      <c r="E4085" s="1276">
        <f>[11]building!Y4416</f>
        <v>0</v>
      </c>
      <c r="F4085" s="748">
        <f t="shared" si="302"/>
        <v>0</v>
      </c>
      <c r="G4085" s="1205"/>
      <c r="H4085" s="1055"/>
      <c r="I4085" s="1055"/>
      <c r="J4085" s="1055"/>
      <c r="K4085" s="1205"/>
      <c r="L4085" s="1055"/>
      <c r="M4085" s="1205"/>
      <c r="N4085" s="1054"/>
      <c r="O4085" s="1207"/>
      <c r="Q4085" s="1207"/>
    </row>
    <row r="4086" spans="3:17" s="700" customFormat="1" ht="70.5" hidden="1" customHeight="1">
      <c r="C4086" s="701"/>
      <c r="D4086" s="811"/>
      <c r="E4086" s="1276">
        <f>[11]building!Y4417</f>
        <v>0</v>
      </c>
      <c r="F4086" s="748">
        <f t="shared" si="302"/>
        <v>0</v>
      </c>
      <c r="G4086" s="1205"/>
      <c r="H4086" s="1055"/>
      <c r="I4086" s="1055"/>
      <c r="J4086" s="1055"/>
      <c r="K4086" s="1205"/>
      <c r="L4086" s="1055"/>
      <c r="M4086" s="1205"/>
      <c r="N4086" s="1054"/>
      <c r="O4086" s="1207"/>
      <c r="Q4086" s="1207"/>
    </row>
    <row r="4087" spans="3:17" s="700" customFormat="1" ht="70.5" hidden="1" customHeight="1">
      <c r="C4087" s="701"/>
      <c r="D4087" s="811"/>
      <c r="E4087" s="1276">
        <f>[11]building!Y4418</f>
        <v>0</v>
      </c>
      <c r="F4087" s="748">
        <f t="shared" si="302"/>
        <v>0</v>
      </c>
      <c r="G4087" s="1205"/>
      <c r="H4087" s="1055"/>
      <c r="I4087" s="1055"/>
      <c r="J4087" s="1055"/>
      <c r="K4087" s="1205"/>
      <c r="L4087" s="1055"/>
      <c r="M4087" s="1205"/>
      <c r="N4087" s="1054"/>
      <c r="O4087" s="1207"/>
      <c r="Q4087" s="1207"/>
    </row>
    <row r="4088" spans="3:17" s="700" customFormat="1" ht="70.5" hidden="1" customHeight="1">
      <c r="C4088" s="701"/>
      <c r="D4088" s="811"/>
      <c r="E4088" s="1276">
        <f>[11]building!Y4419</f>
        <v>0</v>
      </c>
      <c r="F4088" s="748">
        <f t="shared" si="302"/>
        <v>0</v>
      </c>
      <c r="G4088" s="1205"/>
      <c r="H4088" s="1055"/>
      <c r="I4088" s="1055"/>
      <c r="J4088" s="1055"/>
      <c r="K4088" s="1205"/>
      <c r="L4088" s="1055"/>
      <c r="M4088" s="1205"/>
      <c r="N4088" s="1054"/>
      <c r="O4088" s="1207"/>
      <c r="Q4088" s="1207"/>
    </row>
    <row r="4089" spans="3:17" s="700" customFormat="1" ht="70.5" hidden="1" customHeight="1">
      <c r="C4089" s="701"/>
      <c r="D4089" s="811"/>
      <c r="E4089" s="1276">
        <f>[11]building!Y4420</f>
        <v>0</v>
      </c>
      <c r="F4089" s="748">
        <f t="shared" si="302"/>
        <v>0</v>
      </c>
      <c r="G4089" s="1205"/>
      <c r="H4089" s="1055"/>
      <c r="I4089" s="1055"/>
      <c r="J4089" s="1055"/>
      <c r="K4089" s="1205"/>
      <c r="L4089" s="1055"/>
      <c r="M4089" s="1205"/>
      <c r="N4089" s="1054"/>
      <c r="O4089" s="1207"/>
      <c r="Q4089" s="1207"/>
    </row>
    <row r="4090" spans="3:17" s="700" customFormat="1" ht="70.5" hidden="1" customHeight="1">
      <c r="C4090" s="701"/>
      <c r="D4090" s="811"/>
      <c r="E4090" s="1276">
        <f>[11]building!Y4421</f>
        <v>0</v>
      </c>
      <c r="F4090" s="748">
        <f t="shared" si="302"/>
        <v>0</v>
      </c>
      <c r="G4090" s="1205"/>
      <c r="H4090" s="1055"/>
      <c r="I4090" s="1055"/>
      <c r="J4090" s="1055"/>
      <c r="K4090" s="1205"/>
      <c r="L4090" s="1055"/>
      <c r="M4090" s="1205"/>
      <c r="N4090" s="1054"/>
      <c r="O4090" s="1207"/>
      <c r="Q4090" s="1207"/>
    </row>
    <row r="4091" spans="3:17" s="700" customFormat="1" ht="70.5" hidden="1" customHeight="1">
      <c r="C4091" s="701"/>
      <c r="D4091" s="811"/>
      <c r="E4091" s="1276">
        <f>[11]building!Y4422</f>
        <v>0</v>
      </c>
      <c r="F4091" s="748">
        <f t="shared" si="302"/>
        <v>0</v>
      </c>
      <c r="G4091" s="1205"/>
      <c r="H4091" s="1055"/>
      <c r="I4091" s="1055"/>
      <c r="J4091" s="1055"/>
      <c r="K4091" s="1205"/>
      <c r="L4091" s="1055"/>
      <c r="M4091" s="1205"/>
      <c r="N4091" s="1054"/>
      <c r="O4091" s="1207"/>
      <c r="Q4091" s="1207"/>
    </row>
    <row r="4092" spans="3:17" s="700" customFormat="1" ht="70.5" hidden="1" customHeight="1">
      <c r="C4092" s="701"/>
      <c r="D4092" s="811"/>
      <c r="E4092" s="1276">
        <f>[11]building!Y4423</f>
        <v>0</v>
      </c>
      <c r="F4092" s="748">
        <f t="shared" si="302"/>
        <v>0</v>
      </c>
      <c r="G4092" s="1205"/>
      <c r="H4092" s="1055"/>
      <c r="I4092" s="1055"/>
      <c r="J4092" s="1055"/>
      <c r="K4092" s="1205"/>
      <c r="L4092" s="1055"/>
      <c r="M4092" s="1205"/>
      <c r="N4092" s="1054"/>
      <c r="O4092" s="1207"/>
      <c r="Q4092" s="1207"/>
    </row>
    <row r="4093" spans="3:17" s="700" customFormat="1" ht="70.5" hidden="1" customHeight="1">
      <c r="C4093" s="701"/>
      <c r="D4093" s="811"/>
      <c r="E4093" s="1276">
        <f>[11]building!Y4424</f>
        <v>0</v>
      </c>
      <c r="F4093" s="748">
        <f t="shared" si="302"/>
        <v>0</v>
      </c>
      <c r="G4093" s="1205"/>
      <c r="H4093" s="1055"/>
      <c r="I4093" s="1055"/>
      <c r="J4093" s="1055"/>
      <c r="K4093" s="1205"/>
      <c r="L4093" s="1055"/>
      <c r="M4093" s="1205"/>
      <c r="N4093" s="1054"/>
      <c r="O4093" s="1207"/>
      <c r="Q4093" s="1207"/>
    </row>
    <row r="4094" spans="3:17" s="700" customFormat="1" ht="70.5" hidden="1" customHeight="1">
      <c r="C4094" s="701"/>
      <c r="D4094" s="811"/>
      <c r="E4094" s="1276">
        <f>[11]building!Y4425</f>
        <v>0</v>
      </c>
      <c r="F4094" s="748">
        <f t="shared" si="302"/>
        <v>0</v>
      </c>
      <c r="G4094" s="1205"/>
      <c r="H4094" s="1055"/>
      <c r="I4094" s="1055"/>
      <c r="J4094" s="1055"/>
      <c r="K4094" s="1205"/>
      <c r="L4094" s="1055"/>
      <c r="M4094" s="1205"/>
      <c r="N4094" s="1054"/>
      <c r="O4094" s="1207"/>
      <c r="Q4094" s="1207"/>
    </row>
    <row r="4095" spans="3:17" s="700" customFormat="1" ht="70.5" hidden="1" customHeight="1">
      <c r="C4095" s="701"/>
      <c r="D4095" s="811"/>
      <c r="E4095" s="1276">
        <f>[11]building!Y4426</f>
        <v>0</v>
      </c>
      <c r="F4095" s="748">
        <f t="shared" si="302"/>
        <v>0</v>
      </c>
      <c r="G4095" s="1205"/>
      <c r="H4095" s="1055"/>
      <c r="I4095" s="1055"/>
      <c r="J4095" s="1055"/>
      <c r="K4095" s="1205"/>
      <c r="L4095" s="1055"/>
      <c r="M4095" s="1205"/>
      <c r="N4095" s="1054"/>
      <c r="O4095" s="1207"/>
      <c r="Q4095" s="1207"/>
    </row>
    <row r="4096" spans="3:17" s="700" customFormat="1" ht="70.5" hidden="1" customHeight="1">
      <c r="C4096" s="701"/>
      <c r="D4096" s="811"/>
      <c r="E4096" s="1276">
        <f>[11]building!Y4427</f>
        <v>0</v>
      </c>
      <c r="F4096" s="748">
        <f t="shared" ref="F4096:F4159" si="303">E4096*C4096</f>
        <v>0</v>
      </c>
      <c r="G4096" s="1205"/>
      <c r="H4096" s="1055"/>
      <c r="I4096" s="1055"/>
      <c r="J4096" s="1055"/>
      <c r="K4096" s="1205"/>
      <c r="L4096" s="1055"/>
      <c r="M4096" s="1205"/>
      <c r="N4096" s="1054"/>
      <c r="O4096" s="1207"/>
      <c r="Q4096" s="1207"/>
    </row>
    <row r="4097" spans="3:17" s="700" customFormat="1" ht="70.5" hidden="1" customHeight="1">
      <c r="C4097" s="701"/>
      <c r="D4097" s="811"/>
      <c r="E4097" s="1276">
        <f>[11]building!Y4428</f>
        <v>0</v>
      </c>
      <c r="F4097" s="748">
        <f t="shared" si="303"/>
        <v>0</v>
      </c>
      <c r="G4097" s="1205"/>
      <c r="H4097" s="1055"/>
      <c r="I4097" s="1055"/>
      <c r="J4097" s="1055"/>
      <c r="K4097" s="1205"/>
      <c r="L4097" s="1055"/>
      <c r="M4097" s="1205"/>
      <c r="N4097" s="1054"/>
      <c r="O4097" s="1207"/>
      <c r="Q4097" s="1207"/>
    </row>
    <row r="4098" spans="3:17" s="700" customFormat="1" ht="70.5" hidden="1" customHeight="1">
      <c r="C4098" s="701"/>
      <c r="D4098" s="811"/>
      <c r="E4098" s="1276">
        <f>[11]building!Y4429</f>
        <v>0</v>
      </c>
      <c r="F4098" s="748">
        <f t="shared" si="303"/>
        <v>0</v>
      </c>
      <c r="G4098" s="1205"/>
      <c r="H4098" s="1055"/>
      <c r="I4098" s="1055"/>
      <c r="J4098" s="1055"/>
      <c r="K4098" s="1205"/>
      <c r="L4098" s="1055"/>
      <c r="M4098" s="1205"/>
      <c r="N4098" s="1054"/>
      <c r="O4098" s="1207"/>
      <c r="Q4098" s="1207"/>
    </row>
    <row r="4099" spans="3:17" s="700" customFormat="1" ht="70.5" hidden="1" customHeight="1">
      <c r="C4099" s="701"/>
      <c r="D4099" s="811"/>
      <c r="E4099" s="1276">
        <f>[11]building!Y4430</f>
        <v>0</v>
      </c>
      <c r="F4099" s="748">
        <f t="shared" si="303"/>
        <v>0</v>
      </c>
      <c r="G4099" s="1205"/>
      <c r="H4099" s="1055"/>
      <c r="I4099" s="1055"/>
      <c r="J4099" s="1055"/>
      <c r="K4099" s="1205"/>
      <c r="L4099" s="1055"/>
      <c r="M4099" s="1205"/>
      <c r="N4099" s="1054"/>
      <c r="O4099" s="1207"/>
      <c r="Q4099" s="1207"/>
    </row>
    <row r="4100" spans="3:17" s="700" customFormat="1" ht="70.5" hidden="1" customHeight="1">
      <c r="C4100" s="701"/>
      <c r="D4100" s="811"/>
      <c r="E4100" s="1276">
        <f>[11]building!Y4431</f>
        <v>0</v>
      </c>
      <c r="F4100" s="748">
        <f t="shared" si="303"/>
        <v>0</v>
      </c>
      <c r="G4100" s="1205"/>
      <c r="H4100" s="1055"/>
      <c r="I4100" s="1055"/>
      <c r="J4100" s="1055"/>
      <c r="K4100" s="1205"/>
      <c r="L4100" s="1055"/>
      <c r="M4100" s="1205"/>
      <c r="N4100" s="1054"/>
      <c r="O4100" s="1207"/>
      <c r="Q4100" s="1207"/>
    </row>
    <row r="4101" spans="3:17" s="700" customFormat="1" ht="70.5" hidden="1" customHeight="1">
      <c r="C4101" s="701"/>
      <c r="D4101" s="811"/>
      <c r="E4101" s="1276">
        <f>[11]building!Y4432</f>
        <v>0</v>
      </c>
      <c r="F4101" s="748">
        <f t="shared" si="303"/>
        <v>0</v>
      </c>
      <c r="G4101" s="1205"/>
      <c r="H4101" s="1055"/>
      <c r="I4101" s="1055"/>
      <c r="J4101" s="1055"/>
      <c r="K4101" s="1205"/>
      <c r="L4101" s="1055"/>
      <c r="M4101" s="1205"/>
      <c r="N4101" s="1054"/>
      <c r="O4101" s="1207"/>
      <c r="Q4101" s="1207"/>
    </row>
    <row r="4102" spans="3:17" s="700" customFormat="1" ht="70.5" hidden="1" customHeight="1">
      <c r="C4102" s="701"/>
      <c r="D4102" s="811"/>
      <c r="E4102" s="1276">
        <f>[11]building!Y4433</f>
        <v>0</v>
      </c>
      <c r="F4102" s="748">
        <f t="shared" si="303"/>
        <v>0</v>
      </c>
      <c r="G4102" s="1205"/>
      <c r="H4102" s="1055"/>
      <c r="I4102" s="1055"/>
      <c r="J4102" s="1055"/>
      <c r="K4102" s="1205"/>
      <c r="L4102" s="1055"/>
      <c r="M4102" s="1205"/>
      <c r="N4102" s="1054"/>
      <c r="O4102" s="1207"/>
      <c r="Q4102" s="1207"/>
    </row>
    <row r="4103" spans="3:17" s="700" customFormat="1" ht="70.5" hidden="1" customHeight="1">
      <c r="C4103" s="701"/>
      <c r="D4103" s="811"/>
      <c r="E4103" s="1276">
        <f>[11]building!Y4434</f>
        <v>0</v>
      </c>
      <c r="F4103" s="748">
        <f t="shared" si="303"/>
        <v>0</v>
      </c>
      <c r="G4103" s="1205"/>
      <c r="H4103" s="1055"/>
      <c r="I4103" s="1055"/>
      <c r="J4103" s="1055"/>
      <c r="K4103" s="1205"/>
      <c r="L4103" s="1055"/>
      <c r="M4103" s="1205"/>
      <c r="N4103" s="1054"/>
      <c r="O4103" s="1207"/>
      <c r="Q4103" s="1207"/>
    </row>
    <row r="4104" spans="3:17" s="700" customFormat="1" ht="70.5" hidden="1" customHeight="1">
      <c r="C4104" s="701"/>
      <c r="D4104" s="811"/>
      <c r="E4104" s="1276">
        <f>[11]building!Y4435</f>
        <v>0</v>
      </c>
      <c r="F4104" s="748">
        <f t="shared" si="303"/>
        <v>0</v>
      </c>
      <c r="G4104" s="1205"/>
      <c r="H4104" s="1055"/>
      <c r="I4104" s="1055"/>
      <c r="J4104" s="1055"/>
      <c r="K4104" s="1205"/>
      <c r="L4104" s="1055"/>
      <c r="M4104" s="1205"/>
      <c r="N4104" s="1054"/>
      <c r="O4104" s="1207"/>
      <c r="Q4104" s="1207"/>
    </row>
    <row r="4105" spans="3:17" s="700" customFormat="1" ht="70.5" hidden="1" customHeight="1">
      <c r="C4105" s="701"/>
      <c r="D4105" s="811"/>
      <c r="E4105" s="1276">
        <f>[11]building!Y4436</f>
        <v>0</v>
      </c>
      <c r="F4105" s="748">
        <f t="shared" si="303"/>
        <v>0</v>
      </c>
      <c r="G4105" s="1205"/>
      <c r="H4105" s="1055"/>
      <c r="I4105" s="1055"/>
      <c r="J4105" s="1055"/>
      <c r="K4105" s="1205"/>
      <c r="L4105" s="1055"/>
      <c r="M4105" s="1205"/>
      <c r="N4105" s="1054"/>
      <c r="O4105" s="1207"/>
      <c r="Q4105" s="1207"/>
    </row>
    <row r="4106" spans="3:17" s="700" customFormat="1" ht="70.5" hidden="1" customHeight="1">
      <c r="C4106" s="701"/>
      <c r="D4106" s="811"/>
      <c r="E4106" s="1276">
        <f>[11]building!Y4437</f>
        <v>0</v>
      </c>
      <c r="F4106" s="748">
        <f t="shared" si="303"/>
        <v>0</v>
      </c>
      <c r="G4106" s="1205"/>
      <c r="H4106" s="1055"/>
      <c r="I4106" s="1055"/>
      <c r="J4106" s="1055"/>
      <c r="K4106" s="1205"/>
      <c r="L4106" s="1055"/>
      <c r="M4106" s="1205"/>
      <c r="N4106" s="1054"/>
      <c r="O4106" s="1207"/>
      <c r="Q4106" s="1207"/>
    </row>
    <row r="4107" spans="3:17" s="700" customFormat="1" ht="70.5" hidden="1" customHeight="1">
      <c r="C4107" s="701"/>
      <c r="D4107" s="811"/>
      <c r="E4107" s="1276">
        <f>[11]building!Y4438</f>
        <v>0</v>
      </c>
      <c r="F4107" s="748">
        <f t="shared" si="303"/>
        <v>0</v>
      </c>
      <c r="G4107" s="1205"/>
      <c r="H4107" s="1055"/>
      <c r="I4107" s="1055"/>
      <c r="J4107" s="1055"/>
      <c r="K4107" s="1205"/>
      <c r="L4107" s="1055"/>
      <c r="M4107" s="1205"/>
      <c r="N4107" s="1054"/>
      <c r="O4107" s="1207"/>
      <c r="Q4107" s="1207"/>
    </row>
    <row r="4108" spans="3:17" s="700" customFormat="1" ht="70.5" hidden="1" customHeight="1">
      <c r="C4108" s="701"/>
      <c r="D4108" s="811"/>
      <c r="E4108" s="1276">
        <f>[11]building!Y4439</f>
        <v>0</v>
      </c>
      <c r="F4108" s="748">
        <f t="shared" si="303"/>
        <v>0</v>
      </c>
      <c r="G4108" s="1205"/>
      <c r="H4108" s="1055"/>
      <c r="I4108" s="1055"/>
      <c r="J4108" s="1055"/>
      <c r="K4108" s="1205"/>
      <c r="L4108" s="1055"/>
      <c r="M4108" s="1205"/>
      <c r="N4108" s="1054"/>
      <c r="O4108" s="1207"/>
      <c r="Q4108" s="1207"/>
    </row>
    <row r="4109" spans="3:17" s="700" customFormat="1" ht="70.5" hidden="1" customHeight="1">
      <c r="C4109" s="701"/>
      <c r="D4109" s="811"/>
      <c r="E4109" s="1276">
        <f>[11]building!Y4440</f>
        <v>0</v>
      </c>
      <c r="F4109" s="748">
        <f t="shared" si="303"/>
        <v>0</v>
      </c>
      <c r="G4109" s="1205"/>
      <c r="H4109" s="1055"/>
      <c r="I4109" s="1055"/>
      <c r="J4109" s="1055"/>
      <c r="K4109" s="1205"/>
      <c r="L4109" s="1055"/>
      <c r="M4109" s="1205"/>
      <c r="N4109" s="1054"/>
      <c r="O4109" s="1207"/>
      <c r="Q4109" s="1207"/>
    </row>
    <row r="4110" spans="3:17" s="700" customFormat="1" ht="70.5" hidden="1" customHeight="1">
      <c r="C4110" s="701"/>
      <c r="D4110" s="811"/>
      <c r="E4110" s="1276">
        <f>[11]building!Y4441</f>
        <v>0</v>
      </c>
      <c r="F4110" s="748">
        <f t="shared" si="303"/>
        <v>0</v>
      </c>
      <c r="G4110" s="1205"/>
      <c r="H4110" s="1055"/>
      <c r="I4110" s="1055"/>
      <c r="J4110" s="1055"/>
      <c r="K4110" s="1205"/>
      <c r="L4110" s="1055"/>
      <c r="M4110" s="1205"/>
      <c r="N4110" s="1054"/>
      <c r="O4110" s="1207"/>
      <c r="Q4110" s="1207"/>
    </row>
    <row r="4111" spans="3:17" s="700" customFormat="1" ht="70.5" hidden="1" customHeight="1">
      <c r="C4111" s="701"/>
      <c r="D4111" s="811"/>
      <c r="E4111" s="1276">
        <f>[11]building!Y4442</f>
        <v>0</v>
      </c>
      <c r="F4111" s="748">
        <f t="shared" si="303"/>
        <v>0</v>
      </c>
      <c r="G4111" s="1205"/>
      <c r="H4111" s="1055"/>
      <c r="I4111" s="1055"/>
      <c r="J4111" s="1055"/>
      <c r="K4111" s="1205"/>
      <c r="L4111" s="1055"/>
      <c r="M4111" s="1205"/>
      <c r="N4111" s="1054"/>
      <c r="O4111" s="1207"/>
      <c r="Q4111" s="1207"/>
    </row>
    <row r="4112" spans="3:17" s="700" customFormat="1" ht="70.5" hidden="1" customHeight="1">
      <c r="C4112" s="701"/>
      <c r="D4112" s="811"/>
      <c r="E4112" s="1276">
        <f>[11]building!Y4443</f>
        <v>0</v>
      </c>
      <c r="F4112" s="748">
        <f t="shared" si="303"/>
        <v>0</v>
      </c>
      <c r="G4112" s="1205"/>
      <c r="H4112" s="1055"/>
      <c r="I4112" s="1055"/>
      <c r="J4112" s="1055"/>
      <c r="K4112" s="1205"/>
      <c r="L4112" s="1055"/>
      <c r="M4112" s="1205"/>
      <c r="N4112" s="1054"/>
      <c r="O4112" s="1207"/>
      <c r="Q4112" s="1207"/>
    </row>
    <row r="4113" spans="3:17" s="700" customFormat="1" ht="70.5" hidden="1" customHeight="1">
      <c r="C4113" s="701"/>
      <c r="D4113" s="811"/>
      <c r="E4113" s="1276">
        <f>[11]building!Y4444</f>
        <v>0</v>
      </c>
      <c r="F4113" s="748">
        <f t="shared" si="303"/>
        <v>0</v>
      </c>
      <c r="G4113" s="1205"/>
      <c r="H4113" s="1055"/>
      <c r="I4113" s="1055"/>
      <c r="J4113" s="1055"/>
      <c r="K4113" s="1205"/>
      <c r="L4113" s="1055"/>
      <c r="M4113" s="1205"/>
      <c r="N4113" s="1054"/>
      <c r="O4113" s="1207"/>
      <c r="Q4113" s="1207"/>
    </row>
    <row r="4114" spans="3:17" s="700" customFormat="1" ht="70.5" hidden="1" customHeight="1">
      <c r="C4114" s="701"/>
      <c r="D4114" s="811"/>
      <c r="E4114" s="1276">
        <f>[11]building!Y4445</f>
        <v>0</v>
      </c>
      <c r="F4114" s="748">
        <f t="shared" si="303"/>
        <v>0</v>
      </c>
      <c r="G4114" s="1205"/>
      <c r="H4114" s="1055"/>
      <c r="I4114" s="1055"/>
      <c r="J4114" s="1055"/>
      <c r="K4114" s="1205"/>
      <c r="L4114" s="1055"/>
      <c r="M4114" s="1205"/>
      <c r="N4114" s="1054"/>
      <c r="O4114" s="1207"/>
      <c r="Q4114" s="1207"/>
    </row>
    <row r="4115" spans="3:17" s="700" customFormat="1" ht="70.5" hidden="1" customHeight="1">
      <c r="C4115" s="701"/>
      <c r="D4115" s="811"/>
      <c r="E4115" s="1276">
        <f>[11]building!Y4446</f>
        <v>0</v>
      </c>
      <c r="F4115" s="748">
        <f t="shared" si="303"/>
        <v>0</v>
      </c>
      <c r="G4115" s="1205"/>
      <c r="H4115" s="1055"/>
      <c r="I4115" s="1055"/>
      <c r="J4115" s="1055"/>
      <c r="K4115" s="1205"/>
      <c r="L4115" s="1055"/>
      <c r="M4115" s="1205"/>
      <c r="N4115" s="1054"/>
      <c r="O4115" s="1207"/>
      <c r="Q4115" s="1207"/>
    </row>
    <row r="4116" spans="3:17" s="700" customFormat="1" ht="70.5" hidden="1" customHeight="1">
      <c r="C4116" s="701"/>
      <c r="D4116" s="811"/>
      <c r="E4116" s="1276">
        <f>[11]building!Y4447</f>
        <v>0</v>
      </c>
      <c r="F4116" s="748">
        <f t="shared" si="303"/>
        <v>0</v>
      </c>
      <c r="G4116" s="1205"/>
      <c r="H4116" s="1055"/>
      <c r="I4116" s="1055"/>
      <c r="J4116" s="1055"/>
      <c r="K4116" s="1205"/>
      <c r="L4116" s="1055"/>
      <c r="M4116" s="1205"/>
      <c r="N4116" s="1054"/>
      <c r="O4116" s="1207"/>
      <c r="Q4116" s="1207"/>
    </row>
    <row r="4117" spans="3:17" s="700" customFormat="1" ht="70.5" hidden="1" customHeight="1">
      <c r="C4117" s="701"/>
      <c r="D4117" s="811"/>
      <c r="E4117" s="1276">
        <f>[11]building!Y4448</f>
        <v>0</v>
      </c>
      <c r="F4117" s="748">
        <f t="shared" si="303"/>
        <v>0</v>
      </c>
      <c r="G4117" s="1205"/>
      <c r="H4117" s="1055"/>
      <c r="I4117" s="1055"/>
      <c r="J4117" s="1055"/>
      <c r="K4117" s="1205"/>
      <c r="L4117" s="1055"/>
      <c r="M4117" s="1205"/>
      <c r="N4117" s="1054"/>
      <c r="O4117" s="1207"/>
      <c r="Q4117" s="1207"/>
    </row>
    <row r="4118" spans="3:17" s="700" customFormat="1" ht="70.5" hidden="1" customHeight="1">
      <c r="C4118" s="701"/>
      <c r="D4118" s="811"/>
      <c r="E4118" s="1276">
        <f>[11]building!Y4449</f>
        <v>0</v>
      </c>
      <c r="F4118" s="748">
        <f t="shared" si="303"/>
        <v>0</v>
      </c>
      <c r="G4118" s="1205"/>
      <c r="H4118" s="1055"/>
      <c r="I4118" s="1055"/>
      <c r="J4118" s="1055"/>
      <c r="K4118" s="1205"/>
      <c r="L4118" s="1055"/>
      <c r="M4118" s="1205"/>
      <c r="N4118" s="1054"/>
      <c r="O4118" s="1207"/>
      <c r="Q4118" s="1207"/>
    </row>
    <row r="4119" spans="3:17" s="700" customFormat="1" ht="70.5" hidden="1" customHeight="1">
      <c r="C4119" s="701"/>
      <c r="D4119" s="811"/>
      <c r="E4119" s="1276">
        <f>[11]building!Y4450</f>
        <v>0</v>
      </c>
      <c r="F4119" s="748">
        <f t="shared" si="303"/>
        <v>0</v>
      </c>
      <c r="G4119" s="1205"/>
      <c r="H4119" s="1055"/>
      <c r="I4119" s="1055"/>
      <c r="J4119" s="1055"/>
      <c r="K4119" s="1205"/>
      <c r="L4119" s="1055"/>
      <c r="M4119" s="1205"/>
      <c r="N4119" s="1054"/>
      <c r="O4119" s="1207"/>
      <c r="Q4119" s="1207"/>
    </row>
    <row r="4120" spans="3:17" s="700" customFormat="1" ht="70.5" hidden="1" customHeight="1">
      <c r="C4120" s="701"/>
      <c r="D4120" s="811"/>
      <c r="E4120" s="1276">
        <f>[11]building!Y4451</f>
        <v>0</v>
      </c>
      <c r="F4120" s="748">
        <f t="shared" si="303"/>
        <v>0</v>
      </c>
      <c r="G4120" s="1205"/>
      <c r="H4120" s="1055"/>
      <c r="I4120" s="1055"/>
      <c r="J4120" s="1055"/>
      <c r="K4120" s="1205"/>
      <c r="L4120" s="1055"/>
      <c r="M4120" s="1205"/>
      <c r="N4120" s="1054"/>
      <c r="O4120" s="1207"/>
      <c r="Q4120" s="1207"/>
    </row>
    <row r="4121" spans="3:17" s="700" customFormat="1" ht="70.5" hidden="1" customHeight="1">
      <c r="C4121" s="701"/>
      <c r="D4121" s="811"/>
      <c r="E4121" s="1276">
        <f>[11]building!Y4452</f>
        <v>0</v>
      </c>
      <c r="F4121" s="748">
        <f t="shared" si="303"/>
        <v>0</v>
      </c>
      <c r="G4121" s="1205"/>
      <c r="H4121" s="1055"/>
      <c r="I4121" s="1055"/>
      <c r="J4121" s="1055"/>
      <c r="K4121" s="1205"/>
      <c r="L4121" s="1055"/>
      <c r="M4121" s="1205"/>
      <c r="N4121" s="1054"/>
      <c r="O4121" s="1207"/>
      <c r="Q4121" s="1207"/>
    </row>
    <row r="4122" spans="3:17" s="700" customFormat="1" ht="70.5" hidden="1" customHeight="1">
      <c r="C4122" s="701"/>
      <c r="D4122" s="811"/>
      <c r="E4122" s="1276">
        <f>[11]building!Y4453</f>
        <v>0</v>
      </c>
      <c r="F4122" s="748">
        <f t="shared" si="303"/>
        <v>0</v>
      </c>
      <c r="G4122" s="1205"/>
      <c r="H4122" s="1055"/>
      <c r="I4122" s="1055"/>
      <c r="J4122" s="1055"/>
      <c r="K4122" s="1205"/>
      <c r="L4122" s="1055"/>
      <c r="M4122" s="1205"/>
      <c r="N4122" s="1054"/>
      <c r="O4122" s="1207"/>
      <c r="Q4122" s="1207"/>
    </row>
    <row r="4123" spans="3:17" s="700" customFormat="1" ht="70.5" hidden="1" customHeight="1">
      <c r="C4123" s="701"/>
      <c r="D4123" s="811"/>
      <c r="E4123" s="1276">
        <f>[11]building!Y4454</f>
        <v>0</v>
      </c>
      <c r="F4123" s="748">
        <f t="shared" si="303"/>
        <v>0</v>
      </c>
      <c r="G4123" s="1205"/>
      <c r="H4123" s="1055"/>
      <c r="I4123" s="1055"/>
      <c r="J4123" s="1055"/>
      <c r="K4123" s="1205"/>
      <c r="L4123" s="1055"/>
      <c r="M4123" s="1205"/>
      <c r="N4123" s="1054"/>
      <c r="O4123" s="1207"/>
      <c r="Q4123" s="1207"/>
    </row>
    <row r="4124" spans="3:17" s="700" customFormat="1" ht="70.5" hidden="1" customHeight="1">
      <c r="C4124" s="701"/>
      <c r="D4124" s="811"/>
      <c r="E4124" s="1276">
        <f>[11]building!Y4455</f>
        <v>0</v>
      </c>
      <c r="F4124" s="748">
        <f t="shared" si="303"/>
        <v>0</v>
      </c>
      <c r="G4124" s="1205"/>
      <c r="H4124" s="1055"/>
      <c r="I4124" s="1055"/>
      <c r="J4124" s="1055"/>
      <c r="K4124" s="1205"/>
      <c r="L4124" s="1055"/>
      <c r="M4124" s="1205"/>
      <c r="N4124" s="1054"/>
      <c r="O4124" s="1207"/>
      <c r="Q4124" s="1207"/>
    </row>
    <row r="4125" spans="3:17" s="700" customFormat="1" ht="70.5" hidden="1" customHeight="1">
      <c r="C4125" s="701"/>
      <c r="D4125" s="811"/>
      <c r="E4125" s="1276">
        <f>[11]building!Y4456</f>
        <v>0</v>
      </c>
      <c r="F4125" s="748">
        <f t="shared" si="303"/>
        <v>0</v>
      </c>
      <c r="G4125" s="1205"/>
      <c r="H4125" s="1055"/>
      <c r="I4125" s="1055"/>
      <c r="J4125" s="1055"/>
      <c r="K4125" s="1205"/>
      <c r="L4125" s="1055"/>
      <c r="M4125" s="1205"/>
      <c r="N4125" s="1054"/>
      <c r="O4125" s="1207"/>
      <c r="Q4125" s="1207"/>
    </row>
    <row r="4126" spans="3:17" s="700" customFormat="1" ht="70.5" hidden="1" customHeight="1">
      <c r="C4126" s="701"/>
      <c r="D4126" s="811"/>
      <c r="E4126" s="1276">
        <f>[11]building!Y4457</f>
        <v>0</v>
      </c>
      <c r="F4126" s="748">
        <f t="shared" si="303"/>
        <v>0</v>
      </c>
      <c r="G4126" s="1205"/>
      <c r="H4126" s="1055"/>
      <c r="I4126" s="1055"/>
      <c r="J4126" s="1055"/>
      <c r="K4126" s="1205"/>
      <c r="L4126" s="1055"/>
      <c r="M4126" s="1205"/>
      <c r="N4126" s="1054"/>
      <c r="O4126" s="1207"/>
      <c r="Q4126" s="1207"/>
    </row>
    <row r="4127" spans="3:17" s="700" customFormat="1" ht="70.5" hidden="1" customHeight="1">
      <c r="C4127" s="701"/>
      <c r="D4127" s="811"/>
      <c r="E4127" s="1276">
        <f>[11]building!Y4458</f>
        <v>0</v>
      </c>
      <c r="F4127" s="748">
        <f t="shared" si="303"/>
        <v>0</v>
      </c>
      <c r="G4127" s="1205"/>
      <c r="H4127" s="1055"/>
      <c r="I4127" s="1055"/>
      <c r="J4127" s="1055"/>
      <c r="K4127" s="1205"/>
      <c r="L4127" s="1055"/>
      <c r="M4127" s="1205"/>
      <c r="N4127" s="1054"/>
      <c r="O4127" s="1207"/>
      <c r="Q4127" s="1207"/>
    </row>
    <row r="4128" spans="3:17" s="700" customFormat="1" ht="70.5" hidden="1" customHeight="1">
      <c r="C4128" s="701"/>
      <c r="D4128" s="811"/>
      <c r="E4128" s="1276">
        <f>[11]building!Y4459</f>
        <v>0</v>
      </c>
      <c r="F4128" s="748">
        <f t="shared" si="303"/>
        <v>0</v>
      </c>
      <c r="G4128" s="1205"/>
      <c r="H4128" s="1055"/>
      <c r="I4128" s="1055"/>
      <c r="J4128" s="1055"/>
      <c r="K4128" s="1205"/>
      <c r="L4128" s="1055"/>
      <c r="M4128" s="1205"/>
      <c r="N4128" s="1054"/>
      <c r="O4128" s="1207"/>
      <c r="Q4128" s="1207"/>
    </row>
    <row r="4129" spans="3:17" s="700" customFormat="1" ht="70.5" hidden="1" customHeight="1">
      <c r="C4129" s="701"/>
      <c r="D4129" s="811"/>
      <c r="E4129" s="1276">
        <f>[11]building!Y4460</f>
        <v>0</v>
      </c>
      <c r="F4129" s="748">
        <f t="shared" si="303"/>
        <v>0</v>
      </c>
      <c r="G4129" s="1205"/>
      <c r="H4129" s="1055"/>
      <c r="I4129" s="1055"/>
      <c r="J4129" s="1055"/>
      <c r="K4129" s="1205"/>
      <c r="L4129" s="1055"/>
      <c r="M4129" s="1205"/>
      <c r="N4129" s="1054"/>
      <c r="O4129" s="1207"/>
      <c r="Q4129" s="1207"/>
    </row>
    <row r="4130" spans="3:17" s="700" customFormat="1" ht="70.5" hidden="1" customHeight="1">
      <c r="C4130" s="701"/>
      <c r="D4130" s="811"/>
      <c r="E4130" s="1276">
        <f>[11]building!Y4461</f>
        <v>0</v>
      </c>
      <c r="F4130" s="748">
        <f t="shared" si="303"/>
        <v>0</v>
      </c>
      <c r="G4130" s="1205"/>
      <c r="H4130" s="1055"/>
      <c r="I4130" s="1055"/>
      <c r="J4130" s="1055"/>
      <c r="K4130" s="1205"/>
      <c r="L4130" s="1055"/>
      <c r="M4130" s="1205"/>
      <c r="N4130" s="1054"/>
      <c r="O4130" s="1207"/>
      <c r="Q4130" s="1207"/>
    </row>
    <row r="4131" spans="3:17" s="700" customFormat="1" ht="70.5" hidden="1" customHeight="1">
      <c r="C4131" s="701"/>
      <c r="D4131" s="811"/>
      <c r="E4131" s="1276">
        <f>[11]building!Y4462</f>
        <v>0</v>
      </c>
      <c r="F4131" s="748">
        <f t="shared" si="303"/>
        <v>0</v>
      </c>
      <c r="G4131" s="1205"/>
      <c r="H4131" s="1055"/>
      <c r="I4131" s="1055"/>
      <c r="J4131" s="1055"/>
      <c r="K4131" s="1205"/>
      <c r="L4131" s="1055"/>
      <c r="M4131" s="1205"/>
      <c r="N4131" s="1054"/>
      <c r="O4131" s="1207"/>
      <c r="Q4131" s="1207"/>
    </row>
    <row r="4132" spans="3:17" s="700" customFormat="1" ht="70.5" hidden="1" customHeight="1">
      <c r="C4132" s="701"/>
      <c r="D4132" s="811"/>
      <c r="E4132" s="1276">
        <f>[11]building!Y4463</f>
        <v>0</v>
      </c>
      <c r="F4132" s="748">
        <f t="shared" si="303"/>
        <v>0</v>
      </c>
      <c r="G4132" s="1205"/>
      <c r="H4132" s="1055"/>
      <c r="I4132" s="1055"/>
      <c r="J4132" s="1055"/>
      <c r="K4132" s="1205"/>
      <c r="L4132" s="1055"/>
      <c r="M4132" s="1205"/>
      <c r="N4132" s="1054"/>
      <c r="O4132" s="1207"/>
      <c r="Q4132" s="1207"/>
    </row>
    <row r="4133" spans="3:17" s="700" customFormat="1" ht="70.5" hidden="1" customHeight="1">
      <c r="C4133" s="701"/>
      <c r="D4133" s="811"/>
      <c r="E4133" s="1276">
        <f>[11]building!Y4464</f>
        <v>0</v>
      </c>
      <c r="F4133" s="748">
        <f t="shared" si="303"/>
        <v>0</v>
      </c>
      <c r="G4133" s="1205"/>
      <c r="H4133" s="1055"/>
      <c r="I4133" s="1055"/>
      <c r="J4133" s="1055"/>
      <c r="K4133" s="1205"/>
      <c r="L4133" s="1055"/>
      <c r="M4133" s="1205"/>
      <c r="N4133" s="1054"/>
      <c r="O4133" s="1207"/>
      <c r="Q4133" s="1207"/>
    </row>
    <row r="4134" spans="3:17" s="700" customFormat="1" ht="70.5" hidden="1" customHeight="1">
      <c r="C4134" s="701"/>
      <c r="D4134" s="811"/>
      <c r="E4134" s="1276">
        <f>[11]building!Y4465</f>
        <v>0</v>
      </c>
      <c r="F4134" s="748">
        <f t="shared" si="303"/>
        <v>0</v>
      </c>
      <c r="G4134" s="1205"/>
      <c r="H4134" s="1055"/>
      <c r="I4134" s="1055"/>
      <c r="J4134" s="1055"/>
      <c r="K4134" s="1205"/>
      <c r="L4134" s="1055"/>
      <c r="M4134" s="1205"/>
      <c r="N4134" s="1054"/>
      <c r="O4134" s="1207"/>
      <c r="Q4134" s="1207"/>
    </row>
    <row r="4135" spans="3:17" s="700" customFormat="1" ht="70.5" hidden="1" customHeight="1">
      <c r="C4135" s="701"/>
      <c r="D4135" s="811"/>
      <c r="E4135" s="1276">
        <f>[11]building!Y4466</f>
        <v>0</v>
      </c>
      <c r="F4135" s="748">
        <f t="shared" si="303"/>
        <v>0</v>
      </c>
      <c r="G4135" s="1205"/>
      <c r="H4135" s="1055"/>
      <c r="I4135" s="1055"/>
      <c r="J4135" s="1055"/>
      <c r="K4135" s="1205"/>
      <c r="L4135" s="1055"/>
      <c r="M4135" s="1205"/>
      <c r="N4135" s="1054"/>
      <c r="O4135" s="1207"/>
      <c r="Q4135" s="1207"/>
    </row>
    <row r="4136" spans="3:17" s="700" customFormat="1" ht="70.5" hidden="1" customHeight="1">
      <c r="C4136" s="701"/>
      <c r="D4136" s="811"/>
      <c r="E4136" s="1276">
        <f>[11]building!Y4467</f>
        <v>0</v>
      </c>
      <c r="F4136" s="748">
        <f t="shared" si="303"/>
        <v>0</v>
      </c>
      <c r="G4136" s="1205"/>
      <c r="H4136" s="1055"/>
      <c r="I4136" s="1055"/>
      <c r="J4136" s="1055"/>
      <c r="K4136" s="1205"/>
      <c r="L4136" s="1055"/>
      <c r="M4136" s="1205"/>
      <c r="N4136" s="1054"/>
      <c r="O4136" s="1207"/>
      <c r="Q4136" s="1207"/>
    </row>
    <row r="4137" spans="3:17" s="700" customFormat="1" ht="70.5" hidden="1" customHeight="1">
      <c r="C4137" s="701"/>
      <c r="D4137" s="811"/>
      <c r="E4137" s="1276">
        <f>[11]building!Y4468</f>
        <v>0</v>
      </c>
      <c r="F4137" s="748">
        <f t="shared" si="303"/>
        <v>0</v>
      </c>
      <c r="G4137" s="1205"/>
      <c r="H4137" s="1055"/>
      <c r="I4137" s="1055"/>
      <c r="J4137" s="1055"/>
      <c r="K4137" s="1205"/>
      <c r="L4137" s="1055"/>
      <c r="M4137" s="1205"/>
      <c r="N4137" s="1054"/>
      <c r="O4137" s="1207"/>
      <c r="Q4137" s="1207"/>
    </row>
    <row r="4138" spans="3:17" s="700" customFormat="1" ht="70.5" hidden="1" customHeight="1">
      <c r="C4138" s="701"/>
      <c r="D4138" s="811"/>
      <c r="E4138" s="1276">
        <f>[11]building!Y4469</f>
        <v>0</v>
      </c>
      <c r="F4138" s="748">
        <f t="shared" si="303"/>
        <v>0</v>
      </c>
      <c r="G4138" s="1205"/>
      <c r="H4138" s="1055"/>
      <c r="I4138" s="1055"/>
      <c r="J4138" s="1055"/>
      <c r="K4138" s="1205"/>
      <c r="L4138" s="1055"/>
      <c r="M4138" s="1205"/>
      <c r="N4138" s="1054"/>
      <c r="O4138" s="1207"/>
      <c r="Q4138" s="1207"/>
    </row>
    <row r="4139" spans="3:17" s="700" customFormat="1" ht="70.5" hidden="1" customHeight="1">
      <c r="C4139" s="701"/>
      <c r="D4139" s="811"/>
      <c r="E4139" s="1276">
        <f>[11]building!Y4470</f>
        <v>0</v>
      </c>
      <c r="F4139" s="748">
        <f t="shared" si="303"/>
        <v>0</v>
      </c>
      <c r="G4139" s="1205"/>
      <c r="H4139" s="1055"/>
      <c r="I4139" s="1055"/>
      <c r="J4139" s="1055"/>
      <c r="K4139" s="1205"/>
      <c r="L4139" s="1055"/>
      <c r="M4139" s="1205"/>
      <c r="N4139" s="1054"/>
      <c r="O4139" s="1207"/>
      <c r="Q4139" s="1207"/>
    </row>
    <row r="4140" spans="3:17" s="700" customFormat="1" ht="70.5" hidden="1" customHeight="1">
      <c r="C4140" s="701"/>
      <c r="D4140" s="811"/>
      <c r="E4140" s="1276">
        <f>[11]building!Y4471</f>
        <v>0</v>
      </c>
      <c r="F4140" s="748">
        <f t="shared" si="303"/>
        <v>0</v>
      </c>
      <c r="G4140" s="1205"/>
      <c r="H4140" s="1055"/>
      <c r="I4140" s="1055"/>
      <c r="J4140" s="1055"/>
      <c r="K4140" s="1205"/>
      <c r="L4140" s="1055"/>
      <c r="M4140" s="1205"/>
      <c r="N4140" s="1054"/>
      <c r="O4140" s="1207"/>
      <c r="Q4140" s="1207"/>
    </row>
    <row r="4141" spans="3:17" s="700" customFormat="1" ht="70.5" hidden="1" customHeight="1">
      <c r="C4141" s="701"/>
      <c r="D4141" s="811"/>
      <c r="E4141" s="1276">
        <f>[11]building!Y4472</f>
        <v>0</v>
      </c>
      <c r="F4141" s="748">
        <f t="shared" si="303"/>
        <v>0</v>
      </c>
      <c r="G4141" s="1205"/>
      <c r="H4141" s="1055"/>
      <c r="I4141" s="1055"/>
      <c r="J4141" s="1055"/>
      <c r="K4141" s="1205"/>
      <c r="L4141" s="1055"/>
      <c r="M4141" s="1205"/>
      <c r="N4141" s="1054"/>
      <c r="O4141" s="1207"/>
      <c r="Q4141" s="1207"/>
    </row>
    <row r="4142" spans="3:17" s="700" customFormat="1" ht="70.5" hidden="1" customHeight="1">
      <c r="C4142" s="701"/>
      <c r="D4142" s="811"/>
      <c r="E4142" s="1276">
        <f>[11]building!Y4473</f>
        <v>0</v>
      </c>
      <c r="F4142" s="748">
        <f t="shared" si="303"/>
        <v>0</v>
      </c>
      <c r="G4142" s="1205"/>
      <c r="H4142" s="1055"/>
      <c r="I4142" s="1055"/>
      <c r="J4142" s="1055"/>
      <c r="K4142" s="1205"/>
      <c r="L4142" s="1055"/>
      <c r="M4142" s="1205"/>
      <c r="N4142" s="1054"/>
      <c r="O4142" s="1207"/>
      <c r="Q4142" s="1207"/>
    </row>
    <row r="4143" spans="3:17" s="700" customFormat="1" ht="70.5" hidden="1" customHeight="1">
      <c r="C4143" s="701"/>
      <c r="D4143" s="811"/>
      <c r="E4143" s="1276">
        <f>[11]building!Y4474</f>
        <v>0</v>
      </c>
      <c r="F4143" s="748">
        <f t="shared" si="303"/>
        <v>0</v>
      </c>
      <c r="G4143" s="1205"/>
      <c r="H4143" s="1055"/>
      <c r="I4143" s="1055"/>
      <c r="J4143" s="1055"/>
      <c r="K4143" s="1205"/>
      <c r="L4143" s="1055"/>
      <c r="M4143" s="1205"/>
      <c r="N4143" s="1054"/>
      <c r="O4143" s="1207"/>
      <c r="Q4143" s="1207"/>
    </row>
    <row r="4144" spans="3:17" s="700" customFormat="1" ht="70.5" hidden="1" customHeight="1">
      <c r="C4144" s="701"/>
      <c r="D4144" s="811"/>
      <c r="E4144" s="1276">
        <f>[11]building!Y4475</f>
        <v>0</v>
      </c>
      <c r="F4144" s="748">
        <f t="shared" si="303"/>
        <v>0</v>
      </c>
      <c r="G4144" s="1205"/>
      <c r="H4144" s="1055"/>
      <c r="I4144" s="1055"/>
      <c r="J4144" s="1055"/>
      <c r="K4144" s="1205"/>
      <c r="L4144" s="1055"/>
      <c r="M4144" s="1205"/>
      <c r="N4144" s="1054"/>
      <c r="O4144" s="1207"/>
      <c r="Q4144" s="1207"/>
    </row>
    <row r="4145" spans="3:17" s="700" customFormat="1" ht="70.5" hidden="1" customHeight="1">
      <c r="C4145" s="701"/>
      <c r="D4145" s="811"/>
      <c r="E4145" s="1276">
        <f>[11]building!Y4476</f>
        <v>0</v>
      </c>
      <c r="F4145" s="748">
        <f t="shared" si="303"/>
        <v>0</v>
      </c>
      <c r="G4145" s="1205"/>
      <c r="H4145" s="1055"/>
      <c r="I4145" s="1055"/>
      <c r="J4145" s="1055"/>
      <c r="K4145" s="1205"/>
      <c r="L4145" s="1055"/>
      <c r="M4145" s="1205"/>
      <c r="N4145" s="1054"/>
      <c r="O4145" s="1207"/>
      <c r="Q4145" s="1207"/>
    </row>
    <row r="4146" spans="3:17" s="700" customFormat="1" ht="70.5" hidden="1" customHeight="1">
      <c r="C4146" s="701"/>
      <c r="D4146" s="811"/>
      <c r="E4146" s="1276">
        <f>[11]building!Y4477</f>
        <v>0</v>
      </c>
      <c r="F4146" s="748">
        <f t="shared" si="303"/>
        <v>0</v>
      </c>
      <c r="G4146" s="1205"/>
      <c r="H4146" s="1055"/>
      <c r="I4146" s="1055"/>
      <c r="J4146" s="1055"/>
      <c r="K4146" s="1205"/>
      <c r="L4146" s="1055"/>
      <c r="M4146" s="1205"/>
      <c r="N4146" s="1054"/>
      <c r="O4146" s="1207"/>
      <c r="Q4146" s="1207"/>
    </row>
    <row r="4147" spans="3:17" s="700" customFormat="1" ht="70.5" hidden="1" customHeight="1">
      <c r="C4147" s="701"/>
      <c r="D4147" s="811"/>
      <c r="E4147" s="1276">
        <f>[11]building!Y4478</f>
        <v>0</v>
      </c>
      <c r="F4147" s="748">
        <f t="shared" si="303"/>
        <v>0</v>
      </c>
      <c r="G4147" s="1205"/>
      <c r="H4147" s="1055"/>
      <c r="I4147" s="1055"/>
      <c r="J4147" s="1055"/>
      <c r="K4147" s="1205"/>
      <c r="L4147" s="1055"/>
      <c r="M4147" s="1205"/>
      <c r="N4147" s="1054"/>
      <c r="O4147" s="1207"/>
      <c r="Q4147" s="1207"/>
    </row>
    <row r="4148" spans="3:17" s="700" customFormat="1" ht="70.5" hidden="1" customHeight="1">
      <c r="C4148" s="701"/>
      <c r="D4148" s="811"/>
      <c r="E4148" s="1276">
        <f>[11]building!Y4479</f>
        <v>0</v>
      </c>
      <c r="F4148" s="748">
        <f t="shared" si="303"/>
        <v>0</v>
      </c>
      <c r="G4148" s="1205"/>
      <c r="H4148" s="1055"/>
      <c r="I4148" s="1055"/>
      <c r="J4148" s="1055"/>
      <c r="K4148" s="1205"/>
      <c r="L4148" s="1055"/>
      <c r="M4148" s="1205"/>
      <c r="N4148" s="1054"/>
      <c r="O4148" s="1207"/>
      <c r="Q4148" s="1207"/>
    </row>
    <row r="4149" spans="3:17" s="700" customFormat="1" ht="70.5" hidden="1" customHeight="1">
      <c r="C4149" s="701"/>
      <c r="D4149" s="811"/>
      <c r="E4149" s="1276">
        <f>[11]building!Y4480</f>
        <v>0</v>
      </c>
      <c r="F4149" s="748">
        <f t="shared" si="303"/>
        <v>0</v>
      </c>
      <c r="G4149" s="1205"/>
      <c r="H4149" s="1055"/>
      <c r="I4149" s="1055"/>
      <c r="J4149" s="1055"/>
      <c r="K4149" s="1205"/>
      <c r="L4149" s="1055"/>
      <c r="M4149" s="1205"/>
      <c r="N4149" s="1054"/>
      <c r="O4149" s="1207"/>
      <c r="Q4149" s="1207"/>
    </row>
    <row r="4150" spans="3:17" s="700" customFormat="1" ht="70.5" hidden="1" customHeight="1">
      <c r="C4150" s="701"/>
      <c r="D4150" s="811"/>
      <c r="E4150" s="1276">
        <f>[11]building!Y4481</f>
        <v>0</v>
      </c>
      <c r="F4150" s="748">
        <f t="shared" si="303"/>
        <v>0</v>
      </c>
      <c r="G4150" s="1205"/>
      <c r="H4150" s="1055"/>
      <c r="I4150" s="1055"/>
      <c r="J4150" s="1055"/>
      <c r="K4150" s="1205"/>
      <c r="L4150" s="1055"/>
      <c r="M4150" s="1205"/>
      <c r="N4150" s="1054"/>
      <c r="O4150" s="1207"/>
      <c r="Q4150" s="1207"/>
    </row>
    <row r="4151" spans="3:17" s="700" customFormat="1" ht="70.5" hidden="1" customHeight="1">
      <c r="C4151" s="701"/>
      <c r="D4151" s="811"/>
      <c r="E4151" s="1276">
        <f>[11]building!Y4482</f>
        <v>0</v>
      </c>
      <c r="F4151" s="748">
        <f t="shared" si="303"/>
        <v>0</v>
      </c>
      <c r="G4151" s="1205"/>
      <c r="H4151" s="1055"/>
      <c r="I4151" s="1055"/>
      <c r="J4151" s="1055"/>
      <c r="K4151" s="1205"/>
      <c r="L4151" s="1055"/>
      <c r="M4151" s="1205"/>
      <c r="N4151" s="1054"/>
      <c r="O4151" s="1207"/>
      <c r="Q4151" s="1207"/>
    </row>
    <row r="4152" spans="3:17" s="700" customFormat="1" ht="70.5" hidden="1" customHeight="1">
      <c r="C4152" s="701"/>
      <c r="D4152" s="811"/>
      <c r="E4152" s="1276">
        <f>[11]building!Y4483</f>
        <v>0</v>
      </c>
      <c r="F4152" s="748">
        <f t="shared" si="303"/>
        <v>0</v>
      </c>
      <c r="G4152" s="1205"/>
      <c r="H4152" s="1055"/>
      <c r="I4152" s="1055"/>
      <c r="J4152" s="1055"/>
      <c r="K4152" s="1205"/>
      <c r="L4152" s="1055"/>
      <c r="M4152" s="1205"/>
      <c r="N4152" s="1054"/>
      <c r="O4152" s="1207"/>
      <c r="Q4152" s="1207"/>
    </row>
    <row r="4153" spans="3:17" s="700" customFormat="1" ht="70.5" hidden="1" customHeight="1">
      <c r="C4153" s="701"/>
      <c r="D4153" s="811"/>
      <c r="E4153" s="1276">
        <f>[11]building!Y4484</f>
        <v>0</v>
      </c>
      <c r="F4153" s="748">
        <f t="shared" si="303"/>
        <v>0</v>
      </c>
      <c r="G4153" s="1205"/>
      <c r="H4153" s="1055"/>
      <c r="I4153" s="1055"/>
      <c r="J4153" s="1055"/>
      <c r="K4153" s="1205"/>
      <c r="L4153" s="1055"/>
      <c r="M4153" s="1205"/>
      <c r="N4153" s="1054"/>
      <c r="O4153" s="1207"/>
      <c r="Q4153" s="1207"/>
    </row>
    <row r="4154" spans="3:17" s="700" customFormat="1" ht="70.5" hidden="1" customHeight="1">
      <c r="C4154" s="701"/>
      <c r="D4154" s="811"/>
      <c r="E4154" s="1276">
        <f>[11]building!Y4485</f>
        <v>0</v>
      </c>
      <c r="F4154" s="748">
        <f t="shared" si="303"/>
        <v>0</v>
      </c>
      <c r="G4154" s="1205"/>
      <c r="H4154" s="1055"/>
      <c r="I4154" s="1055"/>
      <c r="J4154" s="1055"/>
      <c r="K4154" s="1205"/>
      <c r="L4154" s="1055"/>
      <c r="M4154" s="1205"/>
      <c r="N4154" s="1054"/>
      <c r="O4154" s="1207"/>
      <c r="Q4154" s="1207"/>
    </row>
    <row r="4155" spans="3:17" s="700" customFormat="1" ht="70.5" hidden="1" customHeight="1">
      <c r="C4155" s="701"/>
      <c r="D4155" s="811"/>
      <c r="E4155" s="1276">
        <f>[11]building!Y4486</f>
        <v>0</v>
      </c>
      <c r="F4155" s="748">
        <f t="shared" si="303"/>
        <v>0</v>
      </c>
      <c r="G4155" s="1205"/>
      <c r="H4155" s="1055"/>
      <c r="I4155" s="1055"/>
      <c r="J4155" s="1055"/>
      <c r="K4155" s="1205"/>
      <c r="L4155" s="1055"/>
      <c r="M4155" s="1205"/>
      <c r="N4155" s="1054"/>
      <c r="O4155" s="1207"/>
      <c r="Q4155" s="1207"/>
    </row>
    <row r="4156" spans="3:17" s="700" customFormat="1" ht="70.5" hidden="1" customHeight="1">
      <c r="C4156" s="701"/>
      <c r="D4156" s="811"/>
      <c r="E4156" s="1276">
        <f>[11]building!Y4487</f>
        <v>0</v>
      </c>
      <c r="F4156" s="748">
        <f t="shared" si="303"/>
        <v>0</v>
      </c>
      <c r="G4156" s="1205"/>
      <c r="H4156" s="1055"/>
      <c r="I4156" s="1055"/>
      <c r="J4156" s="1055"/>
      <c r="K4156" s="1205"/>
      <c r="L4156" s="1055"/>
      <c r="M4156" s="1205"/>
      <c r="N4156" s="1054"/>
      <c r="O4156" s="1207"/>
      <c r="Q4156" s="1207"/>
    </row>
    <row r="4157" spans="3:17" s="700" customFormat="1" ht="70.5" hidden="1" customHeight="1">
      <c r="C4157" s="701"/>
      <c r="D4157" s="811"/>
      <c r="E4157" s="1276">
        <f>[11]building!Y4488</f>
        <v>0</v>
      </c>
      <c r="F4157" s="748">
        <f t="shared" si="303"/>
        <v>0</v>
      </c>
      <c r="G4157" s="1205"/>
      <c r="H4157" s="1055"/>
      <c r="I4157" s="1055"/>
      <c r="J4157" s="1055"/>
      <c r="K4157" s="1205"/>
      <c r="L4157" s="1055"/>
      <c r="M4157" s="1205"/>
      <c r="N4157" s="1054"/>
      <c r="O4157" s="1207"/>
      <c r="Q4157" s="1207"/>
    </row>
    <row r="4158" spans="3:17" s="700" customFormat="1" ht="70.5" hidden="1" customHeight="1">
      <c r="C4158" s="701"/>
      <c r="D4158" s="811"/>
      <c r="E4158" s="1276">
        <f>[11]building!Y4489</f>
        <v>0</v>
      </c>
      <c r="F4158" s="748">
        <f t="shared" si="303"/>
        <v>0</v>
      </c>
      <c r="G4158" s="1205"/>
      <c r="H4158" s="1055"/>
      <c r="I4158" s="1055"/>
      <c r="J4158" s="1055"/>
      <c r="K4158" s="1205"/>
      <c r="L4158" s="1055"/>
      <c r="M4158" s="1205"/>
      <c r="N4158" s="1054"/>
      <c r="O4158" s="1207"/>
      <c r="Q4158" s="1207"/>
    </row>
    <row r="4159" spans="3:17" s="700" customFormat="1" ht="70.5" hidden="1" customHeight="1">
      <c r="C4159" s="701"/>
      <c r="D4159" s="811"/>
      <c r="E4159" s="1276">
        <f>[11]building!Y4490</f>
        <v>0</v>
      </c>
      <c r="F4159" s="748">
        <f t="shared" si="303"/>
        <v>0</v>
      </c>
      <c r="G4159" s="1205"/>
      <c r="H4159" s="1055"/>
      <c r="I4159" s="1055"/>
      <c r="J4159" s="1055"/>
      <c r="K4159" s="1205"/>
      <c r="L4159" s="1055"/>
      <c r="M4159" s="1205"/>
      <c r="N4159" s="1054"/>
      <c r="O4159" s="1207"/>
      <c r="Q4159" s="1207"/>
    </row>
    <row r="4160" spans="3:17" s="700" customFormat="1" ht="70.5" hidden="1" customHeight="1">
      <c r="C4160" s="701"/>
      <c r="D4160" s="811"/>
      <c r="E4160" s="1276">
        <f>[11]building!Y4491</f>
        <v>0</v>
      </c>
      <c r="F4160" s="748">
        <f t="shared" ref="F4160:F4223" si="304">E4160*C4160</f>
        <v>0</v>
      </c>
      <c r="G4160" s="1205"/>
      <c r="H4160" s="1055"/>
      <c r="I4160" s="1055"/>
      <c r="J4160" s="1055"/>
      <c r="K4160" s="1205"/>
      <c r="L4160" s="1055"/>
      <c r="M4160" s="1205"/>
      <c r="N4160" s="1054"/>
      <c r="O4160" s="1207"/>
      <c r="Q4160" s="1207"/>
    </row>
    <row r="4161" spans="3:17" s="700" customFormat="1" ht="70.5" hidden="1" customHeight="1">
      <c r="C4161" s="701"/>
      <c r="D4161" s="811"/>
      <c r="E4161" s="1276">
        <f>[11]building!Y4492</f>
        <v>0</v>
      </c>
      <c r="F4161" s="748">
        <f t="shared" si="304"/>
        <v>0</v>
      </c>
      <c r="G4161" s="1205"/>
      <c r="H4161" s="1055"/>
      <c r="I4161" s="1055"/>
      <c r="J4161" s="1055"/>
      <c r="K4161" s="1205"/>
      <c r="L4161" s="1055"/>
      <c r="M4161" s="1205"/>
      <c r="N4161" s="1054"/>
      <c r="O4161" s="1207"/>
      <c r="Q4161" s="1207"/>
    </row>
    <row r="4162" spans="3:17" s="700" customFormat="1" ht="70.5" hidden="1" customHeight="1">
      <c r="C4162" s="701"/>
      <c r="D4162" s="811"/>
      <c r="E4162" s="1276">
        <f>[11]building!Y4493</f>
        <v>0</v>
      </c>
      <c r="F4162" s="748">
        <f t="shared" si="304"/>
        <v>0</v>
      </c>
      <c r="G4162" s="1205"/>
      <c r="H4162" s="1055"/>
      <c r="I4162" s="1055"/>
      <c r="J4162" s="1055"/>
      <c r="K4162" s="1205"/>
      <c r="L4162" s="1055"/>
      <c r="M4162" s="1205"/>
      <c r="N4162" s="1054"/>
      <c r="O4162" s="1207"/>
      <c r="Q4162" s="1207"/>
    </row>
    <row r="4163" spans="3:17" s="700" customFormat="1" ht="70.5" hidden="1" customHeight="1">
      <c r="C4163" s="701"/>
      <c r="D4163" s="811"/>
      <c r="E4163" s="1276">
        <f>[11]building!Y4494</f>
        <v>0</v>
      </c>
      <c r="F4163" s="748">
        <f t="shared" si="304"/>
        <v>0</v>
      </c>
      <c r="G4163" s="1205"/>
      <c r="H4163" s="1055"/>
      <c r="I4163" s="1055"/>
      <c r="J4163" s="1055"/>
      <c r="K4163" s="1205"/>
      <c r="L4163" s="1055"/>
      <c r="M4163" s="1205"/>
      <c r="N4163" s="1054"/>
      <c r="O4163" s="1207"/>
      <c r="Q4163" s="1207"/>
    </row>
    <row r="4164" spans="3:17" s="700" customFormat="1" ht="70.5" hidden="1" customHeight="1">
      <c r="C4164" s="701"/>
      <c r="D4164" s="811"/>
      <c r="E4164" s="1276">
        <f>[11]building!Y4495</f>
        <v>0</v>
      </c>
      <c r="F4164" s="748">
        <f t="shared" si="304"/>
        <v>0</v>
      </c>
      <c r="G4164" s="1205"/>
      <c r="H4164" s="1055"/>
      <c r="I4164" s="1055"/>
      <c r="J4164" s="1055"/>
      <c r="K4164" s="1205"/>
      <c r="L4164" s="1055"/>
      <c r="M4164" s="1205"/>
      <c r="N4164" s="1054"/>
      <c r="O4164" s="1207"/>
      <c r="Q4164" s="1207"/>
    </row>
    <row r="4165" spans="3:17" s="700" customFormat="1" ht="70.5" hidden="1" customHeight="1">
      <c r="C4165" s="701"/>
      <c r="D4165" s="811"/>
      <c r="E4165" s="1276">
        <f>[11]building!Y4496</f>
        <v>0</v>
      </c>
      <c r="F4165" s="748">
        <f t="shared" si="304"/>
        <v>0</v>
      </c>
      <c r="G4165" s="1205"/>
      <c r="H4165" s="1055"/>
      <c r="I4165" s="1055"/>
      <c r="J4165" s="1055"/>
      <c r="K4165" s="1205"/>
      <c r="L4165" s="1055"/>
      <c r="M4165" s="1205"/>
      <c r="N4165" s="1054"/>
      <c r="O4165" s="1207"/>
      <c r="Q4165" s="1207"/>
    </row>
    <row r="4166" spans="3:17" s="700" customFormat="1" ht="70.5" hidden="1" customHeight="1">
      <c r="C4166" s="701"/>
      <c r="D4166" s="811"/>
      <c r="E4166" s="1276">
        <f>[11]building!Y4497</f>
        <v>0</v>
      </c>
      <c r="F4166" s="748">
        <f t="shared" si="304"/>
        <v>0</v>
      </c>
      <c r="G4166" s="1205"/>
      <c r="H4166" s="1055"/>
      <c r="I4166" s="1055"/>
      <c r="J4166" s="1055"/>
      <c r="K4166" s="1205"/>
      <c r="L4166" s="1055"/>
      <c r="M4166" s="1205"/>
      <c r="N4166" s="1054"/>
      <c r="O4166" s="1207"/>
      <c r="Q4166" s="1207"/>
    </row>
    <row r="4167" spans="3:17" s="700" customFormat="1" ht="70.5" hidden="1" customHeight="1">
      <c r="C4167" s="701"/>
      <c r="D4167" s="811"/>
      <c r="E4167" s="1276">
        <f>[11]building!Y4498</f>
        <v>0</v>
      </c>
      <c r="F4167" s="748">
        <f t="shared" si="304"/>
        <v>0</v>
      </c>
      <c r="G4167" s="1205"/>
      <c r="H4167" s="1055"/>
      <c r="I4167" s="1055"/>
      <c r="J4167" s="1055"/>
      <c r="K4167" s="1205"/>
      <c r="L4167" s="1055"/>
      <c r="M4167" s="1205"/>
      <c r="N4167" s="1054"/>
      <c r="O4167" s="1207"/>
      <c r="Q4167" s="1207"/>
    </row>
    <row r="4168" spans="3:17" s="700" customFormat="1" ht="70.5" hidden="1" customHeight="1">
      <c r="C4168" s="701"/>
      <c r="D4168" s="811"/>
      <c r="E4168" s="1276">
        <f>[11]building!Y4499</f>
        <v>0</v>
      </c>
      <c r="F4168" s="748">
        <f t="shared" si="304"/>
        <v>0</v>
      </c>
      <c r="G4168" s="1205"/>
      <c r="H4168" s="1055"/>
      <c r="I4168" s="1055"/>
      <c r="J4168" s="1055"/>
      <c r="K4168" s="1205"/>
      <c r="L4168" s="1055"/>
      <c r="M4168" s="1205"/>
      <c r="N4168" s="1054"/>
      <c r="O4168" s="1207"/>
      <c r="Q4168" s="1207"/>
    </row>
    <row r="4169" spans="3:17" s="700" customFormat="1" ht="70.5" hidden="1" customHeight="1">
      <c r="C4169" s="701"/>
      <c r="D4169" s="811"/>
      <c r="E4169" s="1276">
        <f>[11]building!Y4500</f>
        <v>0</v>
      </c>
      <c r="F4169" s="748">
        <f t="shared" si="304"/>
        <v>0</v>
      </c>
      <c r="G4169" s="1205"/>
      <c r="H4169" s="1055"/>
      <c r="I4169" s="1055"/>
      <c r="J4169" s="1055"/>
      <c r="K4169" s="1205"/>
      <c r="L4169" s="1055"/>
      <c r="M4169" s="1205"/>
      <c r="N4169" s="1054"/>
      <c r="O4169" s="1207"/>
      <c r="Q4169" s="1207"/>
    </row>
    <row r="4170" spans="3:17" s="700" customFormat="1" ht="70.5" hidden="1" customHeight="1">
      <c r="C4170" s="701"/>
      <c r="D4170" s="811"/>
      <c r="E4170" s="1276">
        <f>[11]building!Y4501</f>
        <v>0</v>
      </c>
      <c r="F4170" s="748">
        <f t="shared" si="304"/>
        <v>0</v>
      </c>
      <c r="G4170" s="1205"/>
      <c r="H4170" s="1055"/>
      <c r="I4170" s="1055"/>
      <c r="J4170" s="1055"/>
      <c r="K4170" s="1205"/>
      <c r="L4170" s="1055"/>
      <c r="M4170" s="1205"/>
      <c r="N4170" s="1054"/>
      <c r="O4170" s="1207"/>
      <c r="Q4170" s="1207"/>
    </row>
    <row r="4171" spans="3:17" s="700" customFormat="1" ht="70.5" hidden="1" customHeight="1">
      <c r="C4171" s="701"/>
      <c r="D4171" s="811"/>
      <c r="E4171" s="1276">
        <f>[11]building!Y4502</f>
        <v>0</v>
      </c>
      <c r="F4171" s="748">
        <f t="shared" si="304"/>
        <v>0</v>
      </c>
      <c r="G4171" s="1205"/>
      <c r="H4171" s="1055"/>
      <c r="I4171" s="1055"/>
      <c r="J4171" s="1055"/>
      <c r="K4171" s="1205"/>
      <c r="L4171" s="1055"/>
      <c r="M4171" s="1205"/>
      <c r="N4171" s="1054"/>
      <c r="O4171" s="1207"/>
      <c r="Q4171" s="1207"/>
    </row>
    <row r="4172" spans="3:17" s="700" customFormat="1" ht="70.5" hidden="1" customHeight="1">
      <c r="C4172" s="701"/>
      <c r="D4172" s="811"/>
      <c r="E4172" s="1276">
        <f>[11]building!Y4503</f>
        <v>0</v>
      </c>
      <c r="F4172" s="748">
        <f t="shared" si="304"/>
        <v>0</v>
      </c>
      <c r="G4172" s="1205"/>
      <c r="H4172" s="1055"/>
      <c r="I4172" s="1055"/>
      <c r="J4172" s="1055"/>
      <c r="K4172" s="1205"/>
      <c r="L4172" s="1055"/>
      <c r="M4172" s="1205"/>
      <c r="N4172" s="1054"/>
      <c r="O4172" s="1207"/>
      <c r="Q4172" s="1207"/>
    </row>
    <row r="4173" spans="3:17" s="700" customFormat="1" ht="70.5" hidden="1" customHeight="1">
      <c r="C4173" s="701"/>
      <c r="D4173" s="811"/>
      <c r="E4173" s="1276">
        <f>[11]building!Y4504</f>
        <v>0</v>
      </c>
      <c r="F4173" s="748">
        <f t="shared" si="304"/>
        <v>0</v>
      </c>
      <c r="G4173" s="1205"/>
      <c r="H4173" s="1055"/>
      <c r="I4173" s="1055"/>
      <c r="J4173" s="1055"/>
      <c r="K4173" s="1205"/>
      <c r="L4173" s="1055"/>
      <c r="M4173" s="1205"/>
      <c r="N4173" s="1054"/>
      <c r="O4173" s="1207"/>
      <c r="Q4173" s="1207"/>
    </row>
    <row r="4174" spans="3:17" s="700" customFormat="1" ht="70.5" hidden="1" customHeight="1">
      <c r="C4174" s="701"/>
      <c r="D4174" s="811"/>
      <c r="E4174" s="1276">
        <f>[11]building!Y4505</f>
        <v>0</v>
      </c>
      <c r="F4174" s="748">
        <f t="shared" si="304"/>
        <v>0</v>
      </c>
      <c r="G4174" s="1205"/>
      <c r="H4174" s="1055"/>
      <c r="I4174" s="1055"/>
      <c r="J4174" s="1055"/>
      <c r="K4174" s="1205"/>
      <c r="L4174" s="1055"/>
      <c r="M4174" s="1205"/>
      <c r="N4174" s="1054"/>
      <c r="O4174" s="1207"/>
      <c r="Q4174" s="1207"/>
    </row>
    <row r="4175" spans="3:17" s="700" customFormat="1" ht="70.5" hidden="1" customHeight="1">
      <c r="C4175" s="701"/>
      <c r="D4175" s="811"/>
      <c r="E4175" s="1276">
        <f>[11]building!Y4506</f>
        <v>0</v>
      </c>
      <c r="F4175" s="748">
        <f t="shared" si="304"/>
        <v>0</v>
      </c>
      <c r="G4175" s="1205"/>
      <c r="H4175" s="1055"/>
      <c r="I4175" s="1055"/>
      <c r="J4175" s="1055"/>
      <c r="K4175" s="1205"/>
      <c r="L4175" s="1055"/>
      <c r="M4175" s="1205"/>
      <c r="N4175" s="1054"/>
      <c r="O4175" s="1207"/>
      <c r="Q4175" s="1207"/>
    </row>
    <row r="4176" spans="3:17" s="700" customFormat="1" ht="70.5" hidden="1" customHeight="1">
      <c r="C4176" s="701"/>
      <c r="D4176" s="811"/>
      <c r="E4176" s="1276">
        <f>[11]building!Y4507</f>
        <v>0</v>
      </c>
      <c r="F4176" s="748">
        <f t="shared" si="304"/>
        <v>0</v>
      </c>
      <c r="G4176" s="1205"/>
      <c r="H4176" s="1055"/>
      <c r="I4176" s="1055"/>
      <c r="J4176" s="1055"/>
      <c r="K4176" s="1205"/>
      <c r="L4176" s="1055"/>
      <c r="M4176" s="1205"/>
      <c r="N4176" s="1054"/>
      <c r="O4176" s="1207"/>
      <c r="Q4176" s="1207"/>
    </row>
    <row r="4177" spans="3:17" s="700" customFormat="1" ht="70.5" hidden="1" customHeight="1">
      <c r="C4177" s="701"/>
      <c r="D4177" s="811"/>
      <c r="E4177" s="1276">
        <f>[11]building!Y4508</f>
        <v>0</v>
      </c>
      <c r="F4177" s="748">
        <f t="shared" si="304"/>
        <v>0</v>
      </c>
      <c r="G4177" s="1205"/>
      <c r="H4177" s="1055"/>
      <c r="I4177" s="1055"/>
      <c r="J4177" s="1055"/>
      <c r="K4177" s="1205"/>
      <c r="L4177" s="1055"/>
      <c r="M4177" s="1205"/>
      <c r="N4177" s="1054"/>
      <c r="O4177" s="1207"/>
      <c r="Q4177" s="1207"/>
    </row>
    <row r="4178" spans="3:17" s="700" customFormat="1" ht="70.5" hidden="1" customHeight="1">
      <c r="C4178" s="701"/>
      <c r="D4178" s="811"/>
      <c r="E4178" s="1276">
        <f>[11]building!Y4509</f>
        <v>0</v>
      </c>
      <c r="F4178" s="748">
        <f t="shared" si="304"/>
        <v>0</v>
      </c>
      <c r="G4178" s="1205"/>
      <c r="H4178" s="1055"/>
      <c r="I4178" s="1055"/>
      <c r="J4178" s="1055"/>
      <c r="K4178" s="1205"/>
      <c r="L4178" s="1055"/>
      <c r="M4178" s="1205"/>
      <c r="N4178" s="1054"/>
      <c r="O4178" s="1207"/>
      <c r="Q4178" s="1207"/>
    </row>
    <row r="4179" spans="3:17" s="700" customFormat="1" ht="70.5" hidden="1" customHeight="1">
      <c r="C4179" s="701"/>
      <c r="D4179" s="811"/>
      <c r="E4179" s="1276">
        <f>[11]building!Y4510</f>
        <v>0</v>
      </c>
      <c r="F4179" s="748">
        <f t="shared" si="304"/>
        <v>0</v>
      </c>
      <c r="G4179" s="1205"/>
      <c r="H4179" s="1055"/>
      <c r="I4179" s="1055"/>
      <c r="J4179" s="1055"/>
      <c r="K4179" s="1205"/>
      <c r="L4179" s="1055"/>
      <c r="M4179" s="1205"/>
      <c r="N4179" s="1054"/>
      <c r="O4179" s="1207"/>
      <c r="Q4179" s="1207"/>
    </row>
    <row r="4180" spans="3:17" s="700" customFormat="1" ht="70.5" hidden="1" customHeight="1">
      <c r="C4180" s="701"/>
      <c r="D4180" s="811"/>
      <c r="E4180" s="1276">
        <f>[11]building!Y4511</f>
        <v>0</v>
      </c>
      <c r="F4180" s="748">
        <f t="shared" si="304"/>
        <v>0</v>
      </c>
      <c r="G4180" s="1205"/>
      <c r="H4180" s="1055"/>
      <c r="I4180" s="1055"/>
      <c r="J4180" s="1055"/>
      <c r="K4180" s="1205"/>
      <c r="L4180" s="1055"/>
      <c r="M4180" s="1205"/>
      <c r="N4180" s="1054"/>
      <c r="O4180" s="1207"/>
      <c r="Q4180" s="1207"/>
    </row>
    <row r="4181" spans="3:17" s="700" customFormat="1" ht="70.5" hidden="1" customHeight="1">
      <c r="C4181" s="701"/>
      <c r="D4181" s="811"/>
      <c r="E4181" s="1276">
        <f>[11]building!Y4512</f>
        <v>0</v>
      </c>
      <c r="F4181" s="748">
        <f t="shared" si="304"/>
        <v>0</v>
      </c>
      <c r="G4181" s="1205"/>
      <c r="H4181" s="1055"/>
      <c r="I4181" s="1055"/>
      <c r="J4181" s="1055"/>
      <c r="K4181" s="1205"/>
      <c r="L4181" s="1055"/>
      <c r="M4181" s="1205"/>
      <c r="N4181" s="1054"/>
      <c r="O4181" s="1207"/>
      <c r="Q4181" s="1207"/>
    </row>
    <row r="4182" spans="3:17" s="700" customFormat="1" ht="70.5" hidden="1" customHeight="1">
      <c r="C4182" s="701"/>
      <c r="D4182" s="811"/>
      <c r="E4182" s="1276">
        <f>[11]building!Y4513</f>
        <v>0</v>
      </c>
      <c r="F4182" s="748">
        <f t="shared" si="304"/>
        <v>0</v>
      </c>
      <c r="G4182" s="1205"/>
      <c r="H4182" s="1055"/>
      <c r="I4182" s="1055"/>
      <c r="J4182" s="1055"/>
      <c r="K4182" s="1205"/>
      <c r="L4182" s="1055"/>
      <c r="M4182" s="1205"/>
      <c r="N4182" s="1054"/>
      <c r="O4182" s="1207"/>
      <c r="Q4182" s="1207"/>
    </row>
    <row r="4183" spans="3:17" s="700" customFormat="1" ht="70.5" hidden="1" customHeight="1">
      <c r="C4183" s="701"/>
      <c r="D4183" s="811"/>
      <c r="E4183" s="1276">
        <f>[11]building!Y4514</f>
        <v>0</v>
      </c>
      <c r="F4183" s="748">
        <f t="shared" si="304"/>
        <v>0</v>
      </c>
      <c r="G4183" s="1205"/>
      <c r="H4183" s="1055"/>
      <c r="I4183" s="1055"/>
      <c r="J4183" s="1055"/>
      <c r="K4183" s="1205"/>
      <c r="L4183" s="1055"/>
      <c r="M4183" s="1205"/>
      <c r="N4183" s="1054"/>
      <c r="O4183" s="1207"/>
      <c r="Q4183" s="1207"/>
    </row>
    <row r="4184" spans="3:17" s="700" customFormat="1" ht="70.5" hidden="1" customHeight="1">
      <c r="C4184" s="701"/>
      <c r="D4184" s="811"/>
      <c r="E4184" s="1276">
        <f>[11]building!Y4515</f>
        <v>0</v>
      </c>
      <c r="F4184" s="748">
        <f t="shared" si="304"/>
        <v>0</v>
      </c>
      <c r="G4184" s="1205"/>
      <c r="H4184" s="1055"/>
      <c r="I4184" s="1055"/>
      <c r="J4184" s="1055"/>
      <c r="K4184" s="1205"/>
      <c r="L4184" s="1055"/>
      <c r="M4184" s="1205"/>
      <c r="N4184" s="1054"/>
      <c r="O4184" s="1207"/>
      <c r="Q4184" s="1207"/>
    </row>
    <row r="4185" spans="3:17" s="700" customFormat="1" ht="70.5" hidden="1" customHeight="1">
      <c r="C4185" s="701"/>
      <c r="D4185" s="811"/>
      <c r="E4185" s="1276">
        <f>[11]building!Y4516</f>
        <v>0</v>
      </c>
      <c r="F4185" s="748">
        <f t="shared" si="304"/>
        <v>0</v>
      </c>
      <c r="G4185" s="1205"/>
      <c r="H4185" s="1055"/>
      <c r="I4185" s="1055"/>
      <c r="J4185" s="1055"/>
      <c r="K4185" s="1205"/>
      <c r="L4185" s="1055"/>
      <c r="M4185" s="1205"/>
      <c r="N4185" s="1054"/>
      <c r="O4185" s="1207"/>
      <c r="Q4185" s="1207"/>
    </row>
    <row r="4186" spans="3:17" s="700" customFormat="1" ht="70.5" hidden="1" customHeight="1">
      <c r="C4186" s="701"/>
      <c r="D4186" s="811"/>
      <c r="E4186" s="1276">
        <f>[11]building!Y4517</f>
        <v>0</v>
      </c>
      <c r="F4186" s="748">
        <f t="shared" si="304"/>
        <v>0</v>
      </c>
      <c r="G4186" s="1205"/>
      <c r="H4186" s="1055"/>
      <c r="I4186" s="1055"/>
      <c r="J4186" s="1055"/>
      <c r="K4186" s="1205"/>
      <c r="L4186" s="1055"/>
      <c r="M4186" s="1205"/>
      <c r="N4186" s="1054"/>
      <c r="O4186" s="1207"/>
      <c r="Q4186" s="1207"/>
    </row>
    <row r="4187" spans="3:17" s="700" customFormat="1" ht="70.5" hidden="1" customHeight="1">
      <c r="C4187" s="701"/>
      <c r="D4187" s="811"/>
      <c r="E4187" s="1276">
        <f>[11]building!Y4518</f>
        <v>0</v>
      </c>
      <c r="F4187" s="748">
        <f t="shared" si="304"/>
        <v>0</v>
      </c>
      <c r="G4187" s="1205"/>
      <c r="H4187" s="1055"/>
      <c r="I4187" s="1055"/>
      <c r="J4187" s="1055"/>
      <c r="K4187" s="1205"/>
      <c r="L4187" s="1055"/>
      <c r="M4187" s="1205"/>
      <c r="N4187" s="1054"/>
      <c r="O4187" s="1207"/>
      <c r="Q4187" s="1207"/>
    </row>
    <row r="4188" spans="3:17" s="700" customFormat="1" ht="70.5" hidden="1" customHeight="1">
      <c r="C4188" s="701"/>
      <c r="D4188" s="811"/>
      <c r="E4188" s="1276">
        <f>[11]building!Y4519</f>
        <v>0</v>
      </c>
      <c r="F4188" s="748">
        <f t="shared" si="304"/>
        <v>0</v>
      </c>
      <c r="G4188" s="1205"/>
      <c r="H4188" s="1055"/>
      <c r="I4188" s="1055"/>
      <c r="J4188" s="1055"/>
      <c r="K4188" s="1205"/>
      <c r="L4188" s="1055"/>
      <c r="M4188" s="1205"/>
      <c r="N4188" s="1054"/>
      <c r="O4188" s="1207"/>
      <c r="Q4188" s="1207"/>
    </row>
    <row r="4189" spans="3:17" s="700" customFormat="1" ht="70.5" hidden="1" customHeight="1">
      <c r="C4189" s="701"/>
      <c r="D4189" s="811"/>
      <c r="E4189" s="1276">
        <f>[11]building!Y4520</f>
        <v>0</v>
      </c>
      <c r="F4189" s="748">
        <f t="shared" si="304"/>
        <v>0</v>
      </c>
      <c r="G4189" s="1205"/>
      <c r="H4189" s="1055"/>
      <c r="I4189" s="1055"/>
      <c r="J4189" s="1055"/>
      <c r="K4189" s="1205"/>
      <c r="L4189" s="1055"/>
      <c r="M4189" s="1205"/>
      <c r="N4189" s="1054"/>
      <c r="O4189" s="1207"/>
      <c r="Q4189" s="1207"/>
    </row>
    <row r="4190" spans="3:17" s="700" customFormat="1" ht="70.5" hidden="1" customHeight="1">
      <c r="C4190" s="701"/>
      <c r="D4190" s="811"/>
      <c r="E4190" s="1276">
        <f>[11]building!Y4521</f>
        <v>0</v>
      </c>
      <c r="F4190" s="748">
        <f t="shared" si="304"/>
        <v>0</v>
      </c>
      <c r="G4190" s="1205"/>
      <c r="H4190" s="1055"/>
      <c r="I4190" s="1055"/>
      <c r="J4190" s="1055"/>
      <c r="K4190" s="1205"/>
      <c r="L4190" s="1055"/>
      <c r="M4190" s="1205"/>
      <c r="N4190" s="1054"/>
      <c r="O4190" s="1207"/>
      <c r="Q4190" s="1207"/>
    </row>
    <row r="4191" spans="3:17" s="700" customFormat="1" ht="70.5" hidden="1" customHeight="1">
      <c r="C4191" s="701"/>
      <c r="D4191" s="811"/>
      <c r="E4191" s="1276">
        <f>[11]building!Y4522</f>
        <v>0</v>
      </c>
      <c r="F4191" s="748">
        <f t="shared" si="304"/>
        <v>0</v>
      </c>
      <c r="G4191" s="1205"/>
      <c r="H4191" s="1055"/>
      <c r="I4191" s="1055"/>
      <c r="J4191" s="1055"/>
      <c r="K4191" s="1205"/>
      <c r="L4191" s="1055"/>
      <c r="M4191" s="1205"/>
      <c r="N4191" s="1054"/>
      <c r="O4191" s="1207"/>
      <c r="Q4191" s="1207"/>
    </row>
    <row r="4192" spans="3:17" s="700" customFormat="1" ht="70.5" hidden="1" customHeight="1">
      <c r="C4192" s="701"/>
      <c r="D4192" s="811"/>
      <c r="E4192" s="1276">
        <f>[11]building!Y4523</f>
        <v>0</v>
      </c>
      <c r="F4192" s="748">
        <f t="shared" si="304"/>
        <v>0</v>
      </c>
      <c r="G4192" s="1205"/>
      <c r="H4192" s="1055"/>
      <c r="I4192" s="1055"/>
      <c r="J4192" s="1055"/>
      <c r="K4192" s="1205"/>
      <c r="L4192" s="1055"/>
      <c r="M4192" s="1205"/>
      <c r="N4192" s="1054"/>
      <c r="O4192" s="1207"/>
      <c r="Q4192" s="1207"/>
    </row>
    <row r="4193" spans="3:17" s="700" customFormat="1" ht="70.5" hidden="1" customHeight="1">
      <c r="C4193" s="701"/>
      <c r="D4193" s="811"/>
      <c r="E4193" s="1276">
        <f>[11]building!Y4524</f>
        <v>0</v>
      </c>
      <c r="F4193" s="748">
        <f t="shared" si="304"/>
        <v>0</v>
      </c>
      <c r="G4193" s="1205"/>
      <c r="H4193" s="1055"/>
      <c r="I4193" s="1055"/>
      <c r="J4193" s="1055"/>
      <c r="K4193" s="1205"/>
      <c r="L4193" s="1055"/>
      <c r="M4193" s="1205"/>
      <c r="N4193" s="1054"/>
      <c r="O4193" s="1207"/>
      <c r="Q4193" s="1207"/>
    </row>
    <row r="4194" spans="3:17" s="700" customFormat="1" ht="70.5" hidden="1" customHeight="1">
      <c r="C4194" s="701"/>
      <c r="D4194" s="811"/>
      <c r="E4194" s="1276">
        <f>[11]building!Y4525</f>
        <v>0</v>
      </c>
      <c r="F4194" s="748">
        <f t="shared" si="304"/>
        <v>0</v>
      </c>
      <c r="G4194" s="1205"/>
      <c r="H4194" s="1055"/>
      <c r="I4194" s="1055"/>
      <c r="J4194" s="1055"/>
      <c r="K4194" s="1205"/>
      <c r="L4194" s="1055"/>
      <c r="M4194" s="1205"/>
      <c r="N4194" s="1054"/>
      <c r="O4194" s="1207"/>
      <c r="Q4194" s="1207"/>
    </row>
    <row r="4195" spans="3:17" s="700" customFormat="1" ht="70.5" hidden="1" customHeight="1">
      <c r="C4195" s="701"/>
      <c r="D4195" s="811"/>
      <c r="E4195" s="1276">
        <f>[11]building!Y4526</f>
        <v>0</v>
      </c>
      <c r="F4195" s="748">
        <f t="shared" si="304"/>
        <v>0</v>
      </c>
      <c r="G4195" s="1205"/>
      <c r="H4195" s="1055"/>
      <c r="I4195" s="1055"/>
      <c r="J4195" s="1055"/>
      <c r="K4195" s="1205"/>
      <c r="L4195" s="1055"/>
      <c r="M4195" s="1205"/>
      <c r="N4195" s="1054"/>
      <c r="O4195" s="1207"/>
      <c r="Q4195" s="1207"/>
    </row>
    <row r="4196" spans="3:17" s="700" customFormat="1" ht="70.5" hidden="1" customHeight="1">
      <c r="C4196" s="701"/>
      <c r="D4196" s="811"/>
      <c r="E4196" s="1276">
        <f>[11]building!Y4527</f>
        <v>0</v>
      </c>
      <c r="F4196" s="748">
        <f t="shared" si="304"/>
        <v>0</v>
      </c>
      <c r="G4196" s="1205"/>
      <c r="H4196" s="1055"/>
      <c r="I4196" s="1055"/>
      <c r="J4196" s="1055"/>
      <c r="K4196" s="1205"/>
      <c r="L4196" s="1055"/>
      <c r="M4196" s="1205"/>
      <c r="N4196" s="1054"/>
      <c r="O4196" s="1207"/>
      <c r="Q4196" s="1207"/>
    </row>
    <row r="4197" spans="3:17" s="700" customFormat="1" ht="70.5" hidden="1" customHeight="1">
      <c r="C4197" s="701"/>
      <c r="D4197" s="811"/>
      <c r="E4197" s="1276">
        <f>[11]building!Y4528</f>
        <v>0</v>
      </c>
      <c r="F4197" s="748">
        <f t="shared" si="304"/>
        <v>0</v>
      </c>
      <c r="G4197" s="1205"/>
      <c r="H4197" s="1055"/>
      <c r="I4197" s="1055"/>
      <c r="J4197" s="1055"/>
      <c r="K4197" s="1205"/>
      <c r="L4197" s="1055"/>
      <c r="M4197" s="1205"/>
      <c r="N4197" s="1054"/>
      <c r="O4197" s="1207"/>
      <c r="Q4197" s="1207"/>
    </row>
    <row r="4198" spans="3:17" s="700" customFormat="1" ht="70.5" hidden="1" customHeight="1">
      <c r="C4198" s="701"/>
      <c r="D4198" s="811"/>
      <c r="E4198" s="1276">
        <f>[11]building!Y4529</f>
        <v>0</v>
      </c>
      <c r="F4198" s="748">
        <f t="shared" si="304"/>
        <v>0</v>
      </c>
      <c r="G4198" s="1205"/>
      <c r="H4198" s="1055"/>
      <c r="I4198" s="1055"/>
      <c r="J4198" s="1055"/>
      <c r="K4198" s="1205"/>
      <c r="L4198" s="1055"/>
      <c r="M4198" s="1205"/>
      <c r="N4198" s="1054"/>
      <c r="O4198" s="1207"/>
      <c r="Q4198" s="1207"/>
    </row>
    <row r="4199" spans="3:17" s="700" customFormat="1" ht="70.5" hidden="1" customHeight="1">
      <c r="C4199" s="701"/>
      <c r="D4199" s="811"/>
      <c r="E4199" s="1276">
        <f>[11]building!Y4530</f>
        <v>0</v>
      </c>
      <c r="F4199" s="748">
        <f t="shared" si="304"/>
        <v>0</v>
      </c>
      <c r="G4199" s="1205"/>
      <c r="H4199" s="1055"/>
      <c r="I4199" s="1055"/>
      <c r="J4199" s="1055"/>
      <c r="K4199" s="1205"/>
      <c r="L4199" s="1055"/>
      <c r="M4199" s="1205"/>
      <c r="N4199" s="1054"/>
      <c r="O4199" s="1207"/>
      <c r="Q4199" s="1207"/>
    </row>
    <row r="4200" spans="3:17" s="700" customFormat="1" ht="70.5" hidden="1" customHeight="1">
      <c r="C4200" s="701"/>
      <c r="D4200" s="811"/>
      <c r="E4200" s="1276">
        <f>[11]building!Y4531</f>
        <v>0</v>
      </c>
      <c r="F4200" s="748">
        <f t="shared" si="304"/>
        <v>0</v>
      </c>
      <c r="G4200" s="1205"/>
      <c r="H4200" s="1055"/>
      <c r="I4200" s="1055"/>
      <c r="J4200" s="1055"/>
      <c r="K4200" s="1205"/>
      <c r="L4200" s="1055"/>
      <c r="M4200" s="1205"/>
      <c r="N4200" s="1054"/>
      <c r="O4200" s="1207"/>
      <c r="Q4200" s="1207"/>
    </row>
    <row r="4201" spans="3:17" s="700" customFormat="1" ht="70.5" hidden="1" customHeight="1">
      <c r="C4201" s="701"/>
      <c r="D4201" s="811"/>
      <c r="E4201" s="1276">
        <f>[11]building!Y4532</f>
        <v>0</v>
      </c>
      <c r="F4201" s="748">
        <f t="shared" si="304"/>
        <v>0</v>
      </c>
      <c r="G4201" s="1205"/>
      <c r="H4201" s="1055"/>
      <c r="I4201" s="1055"/>
      <c r="J4201" s="1055"/>
      <c r="K4201" s="1205"/>
      <c r="L4201" s="1055"/>
      <c r="M4201" s="1205"/>
      <c r="N4201" s="1054"/>
      <c r="O4201" s="1207"/>
      <c r="Q4201" s="1207"/>
    </row>
    <row r="4202" spans="3:17" s="700" customFormat="1" ht="70.5" hidden="1" customHeight="1">
      <c r="C4202" s="701"/>
      <c r="D4202" s="811"/>
      <c r="E4202" s="1276">
        <f>[11]building!Y4533</f>
        <v>0</v>
      </c>
      <c r="F4202" s="748">
        <f t="shared" si="304"/>
        <v>0</v>
      </c>
      <c r="G4202" s="1205"/>
      <c r="H4202" s="1055"/>
      <c r="I4202" s="1055"/>
      <c r="J4202" s="1055"/>
      <c r="K4202" s="1205"/>
      <c r="L4202" s="1055"/>
      <c r="M4202" s="1205"/>
      <c r="N4202" s="1054"/>
      <c r="O4202" s="1207"/>
      <c r="Q4202" s="1207"/>
    </row>
    <row r="4203" spans="3:17" s="700" customFormat="1" ht="70.5" hidden="1" customHeight="1">
      <c r="C4203" s="701"/>
      <c r="D4203" s="811"/>
      <c r="E4203" s="1276">
        <f>[11]building!Y4534</f>
        <v>0</v>
      </c>
      <c r="F4203" s="748">
        <f t="shared" si="304"/>
        <v>0</v>
      </c>
      <c r="G4203" s="1205"/>
      <c r="H4203" s="1055"/>
      <c r="I4203" s="1055"/>
      <c r="J4203" s="1055"/>
      <c r="K4203" s="1205"/>
      <c r="L4203" s="1055"/>
      <c r="M4203" s="1205"/>
      <c r="N4203" s="1054"/>
      <c r="O4203" s="1207"/>
      <c r="Q4203" s="1207"/>
    </row>
    <row r="4204" spans="3:17" s="700" customFormat="1" ht="70.5" hidden="1" customHeight="1">
      <c r="C4204" s="701"/>
      <c r="D4204" s="811"/>
      <c r="E4204" s="1276">
        <f>[11]building!Y4535</f>
        <v>0</v>
      </c>
      <c r="F4204" s="748">
        <f t="shared" si="304"/>
        <v>0</v>
      </c>
      <c r="G4204" s="1205"/>
      <c r="H4204" s="1055"/>
      <c r="I4204" s="1055"/>
      <c r="J4204" s="1055"/>
      <c r="K4204" s="1205"/>
      <c r="L4204" s="1055"/>
      <c r="M4204" s="1205"/>
      <c r="N4204" s="1054"/>
      <c r="O4204" s="1207"/>
      <c r="Q4204" s="1207"/>
    </row>
    <row r="4205" spans="3:17" s="700" customFormat="1" ht="70.5" hidden="1" customHeight="1">
      <c r="C4205" s="701"/>
      <c r="D4205" s="811"/>
      <c r="E4205" s="1276">
        <f>[11]building!Y4536</f>
        <v>0</v>
      </c>
      <c r="F4205" s="748">
        <f t="shared" si="304"/>
        <v>0</v>
      </c>
      <c r="G4205" s="1205"/>
      <c r="H4205" s="1055"/>
      <c r="I4205" s="1055"/>
      <c r="J4205" s="1055"/>
      <c r="K4205" s="1205"/>
      <c r="L4205" s="1055"/>
      <c r="M4205" s="1205"/>
      <c r="N4205" s="1054"/>
      <c r="O4205" s="1207"/>
      <c r="Q4205" s="1207"/>
    </row>
    <row r="4206" spans="3:17" s="700" customFormat="1" ht="70.5" hidden="1" customHeight="1">
      <c r="C4206" s="701"/>
      <c r="D4206" s="811"/>
      <c r="E4206" s="1276">
        <f>[11]building!Y4537</f>
        <v>0</v>
      </c>
      <c r="F4206" s="748">
        <f t="shared" si="304"/>
        <v>0</v>
      </c>
      <c r="G4206" s="1205"/>
      <c r="H4206" s="1055"/>
      <c r="I4206" s="1055"/>
      <c r="J4206" s="1055"/>
      <c r="K4206" s="1205"/>
      <c r="L4206" s="1055"/>
      <c r="M4206" s="1205"/>
      <c r="N4206" s="1054"/>
      <c r="O4206" s="1207"/>
      <c r="Q4206" s="1207"/>
    </row>
    <row r="4207" spans="3:17" s="700" customFormat="1" ht="70.5" hidden="1" customHeight="1">
      <c r="C4207" s="701"/>
      <c r="D4207" s="811"/>
      <c r="E4207" s="1276">
        <f>[11]building!Y4538</f>
        <v>0</v>
      </c>
      <c r="F4207" s="748">
        <f t="shared" si="304"/>
        <v>0</v>
      </c>
      <c r="G4207" s="1205"/>
      <c r="H4207" s="1055"/>
      <c r="I4207" s="1055"/>
      <c r="J4207" s="1055"/>
      <c r="K4207" s="1205"/>
      <c r="L4207" s="1055"/>
      <c r="M4207" s="1205"/>
      <c r="N4207" s="1054"/>
      <c r="O4207" s="1207"/>
      <c r="Q4207" s="1207"/>
    </row>
    <row r="4208" spans="3:17" s="700" customFormat="1" ht="70.5" hidden="1" customHeight="1">
      <c r="C4208" s="701"/>
      <c r="D4208" s="811"/>
      <c r="E4208" s="1276">
        <f>[11]building!Y4539</f>
        <v>0</v>
      </c>
      <c r="F4208" s="748">
        <f t="shared" si="304"/>
        <v>0</v>
      </c>
      <c r="G4208" s="1205"/>
      <c r="H4208" s="1055"/>
      <c r="I4208" s="1055"/>
      <c r="J4208" s="1055"/>
      <c r="K4208" s="1205"/>
      <c r="L4208" s="1055"/>
      <c r="M4208" s="1205"/>
      <c r="N4208" s="1054"/>
      <c r="O4208" s="1207"/>
      <c r="Q4208" s="1207"/>
    </row>
    <row r="4209" spans="3:17" s="700" customFormat="1" ht="70.5" hidden="1" customHeight="1">
      <c r="C4209" s="701"/>
      <c r="D4209" s="811"/>
      <c r="E4209" s="1276">
        <f>[11]building!Y4540</f>
        <v>0</v>
      </c>
      <c r="F4209" s="748">
        <f t="shared" si="304"/>
        <v>0</v>
      </c>
      <c r="G4209" s="1205"/>
      <c r="H4209" s="1055"/>
      <c r="I4209" s="1055"/>
      <c r="J4209" s="1055"/>
      <c r="K4209" s="1205"/>
      <c r="L4209" s="1055"/>
      <c r="M4209" s="1205"/>
      <c r="N4209" s="1054"/>
      <c r="O4209" s="1207"/>
      <c r="Q4209" s="1207"/>
    </row>
    <row r="4210" spans="3:17" s="700" customFormat="1" ht="70.5" hidden="1" customHeight="1">
      <c r="C4210" s="701"/>
      <c r="D4210" s="811"/>
      <c r="E4210" s="1276">
        <f>[11]building!Y4541</f>
        <v>0</v>
      </c>
      <c r="F4210" s="748">
        <f t="shared" si="304"/>
        <v>0</v>
      </c>
      <c r="G4210" s="1205"/>
      <c r="H4210" s="1055"/>
      <c r="I4210" s="1055"/>
      <c r="J4210" s="1055"/>
      <c r="K4210" s="1205"/>
      <c r="L4210" s="1055"/>
      <c r="M4210" s="1205"/>
      <c r="N4210" s="1054"/>
      <c r="O4210" s="1207"/>
      <c r="Q4210" s="1207"/>
    </row>
    <row r="4211" spans="3:17" s="700" customFormat="1" ht="70.5" hidden="1" customHeight="1">
      <c r="C4211" s="701"/>
      <c r="D4211" s="811"/>
      <c r="E4211" s="1276">
        <f>[11]building!Y4542</f>
        <v>0</v>
      </c>
      <c r="F4211" s="748">
        <f t="shared" si="304"/>
        <v>0</v>
      </c>
      <c r="G4211" s="1205"/>
      <c r="H4211" s="1055"/>
      <c r="I4211" s="1055"/>
      <c r="J4211" s="1055"/>
      <c r="K4211" s="1205"/>
      <c r="L4211" s="1055"/>
      <c r="M4211" s="1205"/>
      <c r="N4211" s="1054"/>
      <c r="O4211" s="1207"/>
      <c r="Q4211" s="1207"/>
    </row>
    <row r="4212" spans="3:17" s="700" customFormat="1" ht="70.5" hidden="1" customHeight="1">
      <c r="C4212" s="701"/>
      <c r="D4212" s="811"/>
      <c r="E4212" s="1276">
        <f>[11]building!Y4543</f>
        <v>0</v>
      </c>
      <c r="F4212" s="748">
        <f t="shared" si="304"/>
        <v>0</v>
      </c>
      <c r="G4212" s="1205"/>
      <c r="H4212" s="1055"/>
      <c r="I4212" s="1055"/>
      <c r="J4212" s="1055"/>
      <c r="K4212" s="1205"/>
      <c r="L4212" s="1055"/>
      <c r="M4212" s="1205"/>
      <c r="N4212" s="1054"/>
      <c r="O4212" s="1207"/>
      <c r="Q4212" s="1207"/>
    </row>
    <row r="4213" spans="3:17" s="700" customFormat="1" ht="70.5" hidden="1" customHeight="1">
      <c r="C4213" s="701"/>
      <c r="D4213" s="811"/>
      <c r="E4213" s="1276">
        <f>[11]building!Y4544</f>
        <v>0</v>
      </c>
      <c r="F4213" s="748">
        <f t="shared" si="304"/>
        <v>0</v>
      </c>
      <c r="G4213" s="1205"/>
      <c r="H4213" s="1055"/>
      <c r="I4213" s="1055"/>
      <c r="J4213" s="1055"/>
      <c r="K4213" s="1205"/>
      <c r="L4213" s="1055"/>
      <c r="M4213" s="1205"/>
      <c r="N4213" s="1054"/>
      <c r="O4213" s="1207"/>
      <c r="Q4213" s="1207"/>
    </row>
    <row r="4214" spans="3:17" s="700" customFormat="1" ht="70.5" hidden="1" customHeight="1">
      <c r="C4214" s="701"/>
      <c r="D4214" s="811"/>
      <c r="E4214" s="1276">
        <f>[11]building!Y4545</f>
        <v>0</v>
      </c>
      <c r="F4214" s="748">
        <f t="shared" si="304"/>
        <v>0</v>
      </c>
      <c r="G4214" s="1205"/>
      <c r="H4214" s="1055"/>
      <c r="I4214" s="1055"/>
      <c r="J4214" s="1055"/>
      <c r="K4214" s="1205"/>
      <c r="L4214" s="1055"/>
      <c r="M4214" s="1205"/>
      <c r="N4214" s="1054"/>
      <c r="O4214" s="1207"/>
      <c r="Q4214" s="1207"/>
    </row>
    <row r="4215" spans="3:17" s="700" customFormat="1" ht="70.5" hidden="1" customHeight="1">
      <c r="C4215" s="701"/>
      <c r="D4215" s="811"/>
      <c r="E4215" s="1276">
        <f>[11]building!Y4546</f>
        <v>0</v>
      </c>
      <c r="F4215" s="748">
        <f t="shared" si="304"/>
        <v>0</v>
      </c>
      <c r="G4215" s="1205"/>
      <c r="H4215" s="1055"/>
      <c r="I4215" s="1055"/>
      <c r="J4215" s="1055"/>
      <c r="K4215" s="1205"/>
      <c r="L4215" s="1055"/>
      <c r="M4215" s="1205"/>
      <c r="N4215" s="1054"/>
      <c r="O4215" s="1207"/>
      <c r="Q4215" s="1207"/>
    </row>
    <row r="4216" spans="3:17" s="700" customFormat="1" ht="70.5" hidden="1" customHeight="1">
      <c r="C4216" s="701"/>
      <c r="D4216" s="811"/>
      <c r="E4216" s="1276">
        <f>[11]building!Y4547</f>
        <v>0</v>
      </c>
      <c r="F4216" s="748">
        <f t="shared" si="304"/>
        <v>0</v>
      </c>
      <c r="G4216" s="1205"/>
      <c r="H4216" s="1055"/>
      <c r="I4216" s="1055"/>
      <c r="J4216" s="1055"/>
      <c r="K4216" s="1205"/>
      <c r="L4216" s="1055"/>
      <c r="M4216" s="1205"/>
      <c r="N4216" s="1054"/>
      <c r="O4216" s="1207"/>
      <c r="Q4216" s="1207"/>
    </row>
    <row r="4217" spans="3:17" s="700" customFormat="1" ht="70.5" hidden="1" customHeight="1">
      <c r="C4217" s="701"/>
      <c r="D4217" s="811"/>
      <c r="E4217" s="1276">
        <f>[11]building!Y4548</f>
        <v>0</v>
      </c>
      <c r="F4217" s="748">
        <f t="shared" si="304"/>
        <v>0</v>
      </c>
      <c r="G4217" s="1205"/>
      <c r="H4217" s="1055"/>
      <c r="I4217" s="1055"/>
      <c r="J4217" s="1055"/>
      <c r="K4217" s="1205"/>
      <c r="L4217" s="1055"/>
      <c r="M4217" s="1205"/>
      <c r="N4217" s="1054"/>
      <c r="O4217" s="1207"/>
      <c r="Q4217" s="1207"/>
    </row>
    <row r="4218" spans="3:17" s="700" customFormat="1" ht="70.5" hidden="1" customHeight="1">
      <c r="C4218" s="701"/>
      <c r="D4218" s="811"/>
      <c r="E4218" s="1276">
        <f>[11]building!Y4549</f>
        <v>0</v>
      </c>
      <c r="F4218" s="748">
        <f t="shared" si="304"/>
        <v>0</v>
      </c>
      <c r="G4218" s="1205"/>
      <c r="H4218" s="1055"/>
      <c r="I4218" s="1055"/>
      <c r="J4218" s="1055"/>
      <c r="K4218" s="1205"/>
      <c r="L4218" s="1055"/>
      <c r="M4218" s="1205"/>
      <c r="N4218" s="1054"/>
      <c r="O4218" s="1207"/>
      <c r="Q4218" s="1207"/>
    </row>
    <row r="4219" spans="3:17" s="700" customFormat="1" ht="70.5" hidden="1" customHeight="1">
      <c r="C4219" s="701"/>
      <c r="D4219" s="811"/>
      <c r="E4219" s="1276">
        <f>[11]building!Y4550</f>
        <v>0</v>
      </c>
      <c r="F4219" s="748">
        <f t="shared" si="304"/>
        <v>0</v>
      </c>
      <c r="G4219" s="1205"/>
      <c r="H4219" s="1055"/>
      <c r="I4219" s="1055"/>
      <c r="J4219" s="1055"/>
      <c r="K4219" s="1205"/>
      <c r="L4219" s="1055"/>
      <c r="M4219" s="1205"/>
      <c r="N4219" s="1054"/>
      <c r="O4219" s="1207"/>
      <c r="Q4219" s="1207"/>
    </row>
    <row r="4220" spans="3:17" s="700" customFormat="1" ht="70.5" hidden="1" customHeight="1">
      <c r="C4220" s="701"/>
      <c r="D4220" s="811"/>
      <c r="E4220" s="1276">
        <f>[11]building!Y4551</f>
        <v>0</v>
      </c>
      <c r="F4220" s="748">
        <f t="shared" si="304"/>
        <v>0</v>
      </c>
      <c r="G4220" s="1205"/>
      <c r="H4220" s="1055"/>
      <c r="I4220" s="1055"/>
      <c r="J4220" s="1055"/>
      <c r="K4220" s="1205"/>
      <c r="L4220" s="1055"/>
      <c r="M4220" s="1205"/>
      <c r="N4220" s="1054"/>
      <c r="O4220" s="1207"/>
      <c r="Q4220" s="1207"/>
    </row>
    <row r="4221" spans="3:17" s="700" customFormat="1" ht="70.5" hidden="1" customHeight="1">
      <c r="C4221" s="701"/>
      <c r="D4221" s="811"/>
      <c r="E4221" s="1276">
        <f>[11]building!Y4552</f>
        <v>0</v>
      </c>
      <c r="F4221" s="748">
        <f t="shared" si="304"/>
        <v>0</v>
      </c>
      <c r="G4221" s="1205"/>
      <c r="H4221" s="1055"/>
      <c r="I4221" s="1055"/>
      <c r="J4221" s="1055"/>
      <c r="K4221" s="1205"/>
      <c r="L4221" s="1055"/>
      <c r="M4221" s="1205"/>
      <c r="N4221" s="1054"/>
      <c r="O4221" s="1207"/>
      <c r="Q4221" s="1207"/>
    </row>
    <row r="4222" spans="3:17" s="700" customFormat="1" ht="70.5" hidden="1" customHeight="1">
      <c r="C4222" s="701"/>
      <c r="D4222" s="811"/>
      <c r="E4222" s="1276">
        <f>[11]building!Y4553</f>
        <v>0</v>
      </c>
      <c r="F4222" s="748">
        <f t="shared" si="304"/>
        <v>0</v>
      </c>
      <c r="G4222" s="1205"/>
      <c r="H4222" s="1055"/>
      <c r="I4222" s="1055"/>
      <c r="J4222" s="1055"/>
      <c r="K4222" s="1205"/>
      <c r="L4222" s="1055"/>
      <c r="M4222" s="1205"/>
      <c r="N4222" s="1054"/>
      <c r="O4222" s="1207"/>
      <c r="Q4222" s="1207"/>
    </row>
    <row r="4223" spans="3:17" s="700" customFormat="1" ht="70.5" hidden="1" customHeight="1">
      <c r="C4223" s="701"/>
      <c r="D4223" s="811"/>
      <c r="E4223" s="1276">
        <f>[11]building!Y4554</f>
        <v>0</v>
      </c>
      <c r="F4223" s="748">
        <f t="shared" si="304"/>
        <v>0</v>
      </c>
      <c r="G4223" s="1205"/>
      <c r="H4223" s="1055"/>
      <c r="I4223" s="1055"/>
      <c r="J4223" s="1055"/>
      <c r="K4223" s="1205"/>
      <c r="L4223" s="1055"/>
      <c r="M4223" s="1205"/>
      <c r="N4223" s="1054"/>
      <c r="O4223" s="1207"/>
      <c r="Q4223" s="1207"/>
    </row>
    <row r="4224" spans="3:17" s="700" customFormat="1" ht="70.5" hidden="1" customHeight="1">
      <c r="C4224" s="701"/>
      <c r="D4224" s="811"/>
      <c r="E4224" s="1276">
        <f>[11]building!Y4555</f>
        <v>0</v>
      </c>
      <c r="F4224" s="748">
        <f t="shared" ref="F4224:F4287" si="305">E4224*C4224</f>
        <v>0</v>
      </c>
      <c r="G4224" s="1205"/>
      <c r="H4224" s="1055"/>
      <c r="I4224" s="1055"/>
      <c r="J4224" s="1055"/>
      <c r="K4224" s="1205"/>
      <c r="L4224" s="1055"/>
      <c r="M4224" s="1205"/>
      <c r="N4224" s="1054"/>
      <c r="O4224" s="1207"/>
      <c r="Q4224" s="1207"/>
    </row>
    <row r="4225" spans="3:17" s="700" customFormat="1" ht="70.5" hidden="1" customHeight="1">
      <c r="C4225" s="701"/>
      <c r="D4225" s="811"/>
      <c r="E4225" s="1276">
        <f>[11]building!Y4556</f>
        <v>0</v>
      </c>
      <c r="F4225" s="748">
        <f t="shared" si="305"/>
        <v>0</v>
      </c>
      <c r="G4225" s="1205"/>
      <c r="H4225" s="1055"/>
      <c r="I4225" s="1055"/>
      <c r="J4225" s="1055"/>
      <c r="K4225" s="1205"/>
      <c r="L4225" s="1055"/>
      <c r="M4225" s="1205"/>
      <c r="N4225" s="1054"/>
      <c r="O4225" s="1207"/>
      <c r="Q4225" s="1207"/>
    </row>
    <row r="4226" spans="3:17" s="700" customFormat="1" ht="70.5" hidden="1" customHeight="1">
      <c r="C4226" s="701"/>
      <c r="D4226" s="811"/>
      <c r="E4226" s="1276">
        <f>[11]building!Y4557</f>
        <v>0</v>
      </c>
      <c r="F4226" s="748">
        <f t="shared" si="305"/>
        <v>0</v>
      </c>
      <c r="G4226" s="1205"/>
      <c r="H4226" s="1055"/>
      <c r="I4226" s="1055"/>
      <c r="J4226" s="1055"/>
      <c r="K4226" s="1205"/>
      <c r="L4226" s="1055"/>
      <c r="M4226" s="1205"/>
      <c r="N4226" s="1054"/>
      <c r="O4226" s="1207"/>
      <c r="Q4226" s="1207"/>
    </row>
    <row r="4227" spans="3:17" s="700" customFormat="1" ht="70.5" hidden="1" customHeight="1">
      <c r="C4227" s="701"/>
      <c r="D4227" s="811"/>
      <c r="E4227" s="1276">
        <f>[11]building!Y4558</f>
        <v>0</v>
      </c>
      <c r="F4227" s="748">
        <f t="shared" si="305"/>
        <v>0</v>
      </c>
      <c r="G4227" s="1205"/>
      <c r="H4227" s="1055"/>
      <c r="I4227" s="1055"/>
      <c r="J4227" s="1055"/>
      <c r="K4227" s="1205"/>
      <c r="L4227" s="1055"/>
      <c r="M4227" s="1205"/>
      <c r="N4227" s="1054"/>
      <c r="O4227" s="1207"/>
      <c r="Q4227" s="1207"/>
    </row>
    <row r="4228" spans="3:17" s="700" customFormat="1" ht="70.5" hidden="1" customHeight="1">
      <c r="C4228" s="701"/>
      <c r="D4228" s="811"/>
      <c r="E4228" s="1276">
        <f>[11]building!Y4559</f>
        <v>0</v>
      </c>
      <c r="F4228" s="748">
        <f t="shared" si="305"/>
        <v>0</v>
      </c>
      <c r="G4228" s="1205"/>
      <c r="H4228" s="1055"/>
      <c r="I4228" s="1055"/>
      <c r="J4228" s="1055"/>
      <c r="K4228" s="1205"/>
      <c r="L4228" s="1055"/>
      <c r="M4228" s="1205"/>
      <c r="N4228" s="1054"/>
      <c r="O4228" s="1207"/>
      <c r="Q4228" s="1207"/>
    </row>
    <row r="4229" spans="3:17" s="700" customFormat="1" ht="70.5" hidden="1" customHeight="1">
      <c r="C4229" s="701"/>
      <c r="D4229" s="811"/>
      <c r="E4229" s="1276">
        <f>[11]building!Y4560</f>
        <v>0</v>
      </c>
      <c r="F4229" s="748">
        <f t="shared" si="305"/>
        <v>0</v>
      </c>
      <c r="G4229" s="1205"/>
      <c r="H4229" s="1055"/>
      <c r="I4229" s="1055"/>
      <c r="J4229" s="1055"/>
      <c r="K4229" s="1205"/>
      <c r="L4229" s="1055"/>
      <c r="M4229" s="1205"/>
      <c r="N4229" s="1054"/>
      <c r="O4229" s="1207"/>
      <c r="Q4229" s="1207"/>
    </row>
    <row r="4230" spans="3:17" s="700" customFormat="1" ht="70.5" hidden="1" customHeight="1">
      <c r="C4230" s="701"/>
      <c r="D4230" s="811"/>
      <c r="E4230" s="1276">
        <f>[11]building!Y4561</f>
        <v>0</v>
      </c>
      <c r="F4230" s="748">
        <f t="shared" si="305"/>
        <v>0</v>
      </c>
      <c r="G4230" s="1205"/>
      <c r="H4230" s="1055"/>
      <c r="I4230" s="1055"/>
      <c r="J4230" s="1055"/>
      <c r="K4230" s="1205"/>
      <c r="L4230" s="1055"/>
      <c r="M4230" s="1205"/>
      <c r="N4230" s="1054"/>
      <c r="O4230" s="1207"/>
      <c r="Q4230" s="1207"/>
    </row>
    <row r="4231" spans="3:17" s="700" customFormat="1" ht="70.5" hidden="1" customHeight="1">
      <c r="C4231" s="701"/>
      <c r="D4231" s="811"/>
      <c r="E4231" s="1276">
        <f>[11]building!Y4562</f>
        <v>0</v>
      </c>
      <c r="F4231" s="748">
        <f t="shared" si="305"/>
        <v>0</v>
      </c>
      <c r="G4231" s="1205"/>
      <c r="H4231" s="1055"/>
      <c r="I4231" s="1055"/>
      <c r="J4231" s="1055"/>
      <c r="K4231" s="1205"/>
      <c r="L4231" s="1055"/>
      <c r="M4231" s="1205"/>
      <c r="N4231" s="1054"/>
      <c r="O4231" s="1207"/>
      <c r="Q4231" s="1207"/>
    </row>
    <row r="4232" spans="3:17" s="700" customFormat="1" ht="70.5" hidden="1" customHeight="1">
      <c r="C4232" s="701"/>
      <c r="D4232" s="811"/>
      <c r="E4232" s="1276">
        <f>[11]building!Y4563</f>
        <v>0</v>
      </c>
      <c r="F4232" s="748">
        <f t="shared" si="305"/>
        <v>0</v>
      </c>
      <c r="G4232" s="1205"/>
      <c r="H4232" s="1055"/>
      <c r="I4232" s="1055"/>
      <c r="J4232" s="1055"/>
      <c r="K4232" s="1205"/>
      <c r="L4232" s="1055"/>
      <c r="M4232" s="1205"/>
      <c r="N4232" s="1054"/>
      <c r="O4232" s="1207"/>
      <c r="Q4232" s="1207"/>
    </row>
    <row r="4233" spans="3:17" s="700" customFormat="1" ht="70.5" hidden="1" customHeight="1">
      <c r="C4233" s="701"/>
      <c r="D4233" s="811"/>
      <c r="E4233" s="1276">
        <f>[11]building!Y4564</f>
        <v>0</v>
      </c>
      <c r="F4233" s="748">
        <f t="shared" si="305"/>
        <v>0</v>
      </c>
      <c r="G4233" s="1205"/>
      <c r="H4233" s="1055"/>
      <c r="I4233" s="1055"/>
      <c r="J4233" s="1055"/>
      <c r="K4233" s="1205"/>
      <c r="L4233" s="1055"/>
      <c r="M4233" s="1205"/>
      <c r="N4233" s="1054"/>
      <c r="O4233" s="1207"/>
      <c r="Q4233" s="1207"/>
    </row>
    <row r="4234" spans="3:17" s="700" customFormat="1" ht="70.5" hidden="1" customHeight="1">
      <c r="C4234" s="701"/>
      <c r="D4234" s="811"/>
      <c r="E4234" s="1276">
        <f>[11]building!Y4565</f>
        <v>0</v>
      </c>
      <c r="F4234" s="748">
        <f t="shared" si="305"/>
        <v>0</v>
      </c>
      <c r="G4234" s="1205"/>
      <c r="H4234" s="1055"/>
      <c r="I4234" s="1055"/>
      <c r="J4234" s="1055"/>
      <c r="K4234" s="1205"/>
      <c r="L4234" s="1055"/>
      <c r="M4234" s="1205"/>
      <c r="N4234" s="1054"/>
      <c r="O4234" s="1207"/>
      <c r="Q4234" s="1207"/>
    </row>
    <row r="4235" spans="3:17" s="700" customFormat="1" ht="70.5" hidden="1" customHeight="1">
      <c r="C4235" s="701"/>
      <c r="D4235" s="811"/>
      <c r="E4235" s="1276">
        <f>[11]building!Y4566</f>
        <v>0</v>
      </c>
      <c r="F4235" s="748">
        <f t="shared" si="305"/>
        <v>0</v>
      </c>
      <c r="G4235" s="1205"/>
      <c r="H4235" s="1055"/>
      <c r="I4235" s="1055"/>
      <c r="J4235" s="1055"/>
      <c r="K4235" s="1205"/>
      <c r="L4235" s="1055"/>
      <c r="M4235" s="1205"/>
      <c r="N4235" s="1054"/>
      <c r="O4235" s="1207"/>
      <c r="Q4235" s="1207"/>
    </row>
    <row r="4236" spans="3:17" s="700" customFormat="1" ht="70.5" hidden="1" customHeight="1">
      <c r="C4236" s="701"/>
      <c r="D4236" s="811"/>
      <c r="E4236" s="1276">
        <f>[11]building!Y4567</f>
        <v>0</v>
      </c>
      <c r="F4236" s="748">
        <f t="shared" si="305"/>
        <v>0</v>
      </c>
      <c r="G4236" s="1205"/>
      <c r="H4236" s="1055"/>
      <c r="I4236" s="1055"/>
      <c r="J4236" s="1055"/>
      <c r="K4236" s="1205"/>
      <c r="L4236" s="1055"/>
      <c r="M4236" s="1205"/>
      <c r="N4236" s="1054"/>
      <c r="O4236" s="1207"/>
      <c r="Q4236" s="1207"/>
    </row>
    <row r="4237" spans="3:17" s="700" customFormat="1" ht="70.5" hidden="1" customHeight="1">
      <c r="C4237" s="701"/>
      <c r="D4237" s="811"/>
      <c r="E4237" s="1276">
        <f>[11]building!Y4568</f>
        <v>0</v>
      </c>
      <c r="F4237" s="748">
        <f t="shared" si="305"/>
        <v>0</v>
      </c>
      <c r="G4237" s="1205"/>
      <c r="H4237" s="1055"/>
      <c r="I4237" s="1055"/>
      <c r="J4237" s="1055"/>
      <c r="K4237" s="1205"/>
      <c r="L4237" s="1055"/>
      <c r="M4237" s="1205"/>
      <c r="N4237" s="1054"/>
      <c r="O4237" s="1207"/>
      <c r="Q4237" s="1207"/>
    </row>
    <row r="4238" spans="3:17" s="700" customFormat="1" ht="70.5" hidden="1" customHeight="1">
      <c r="C4238" s="701"/>
      <c r="D4238" s="811"/>
      <c r="E4238" s="1276">
        <f>[11]building!Y4569</f>
        <v>0</v>
      </c>
      <c r="F4238" s="748">
        <f t="shared" si="305"/>
        <v>0</v>
      </c>
      <c r="G4238" s="1205"/>
      <c r="H4238" s="1055"/>
      <c r="I4238" s="1055"/>
      <c r="J4238" s="1055"/>
      <c r="K4238" s="1205"/>
      <c r="L4238" s="1055"/>
      <c r="M4238" s="1205"/>
      <c r="N4238" s="1054"/>
      <c r="O4238" s="1207"/>
      <c r="Q4238" s="1207"/>
    </row>
    <row r="4239" spans="3:17" s="700" customFormat="1" ht="70.5" hidden="1" customHeight="1">
      <c r="C4239" s="701"/>
      <c r="D4239" s="811"/>
      <c r="E4239" s="1276">
        <f>[11]building!Y4570</f>
        <v>0</v>
      </c>
      <c r="F4239" s="748">
        <f t="shared" si="305"/>
        <v>0</v>
      </c>
      <c r="G4239" s="1205"/>
      <c r="H4239" s="1055"/>
      <c r="I4239" s="1055"/>
      <c r="J4239" s="1055"/>
      <c r="K4239" s="1205"/>
      <c r="L4239" s="1055"/>
      <c r="M4239" s="1205"/>
      <c r="N4239" s="1054"/>
      <c r="O4239" s="1207"/>
      <c r="Q4239" s="1207"/>
    </row>
    <row r="4240" spans="3:17" s="700" customFormat="1" ht="70.5" hidden="1" customHeight="1">
      <c r="C4240" s="701"/>
      <c r="D4240" s="811"/>
      <c r="E4240" s="1276">
        <f>[11]building!Y4571</f>
        <v>0</v>
      </c>
      <c r="F4240" s="748">
        <f t="shared" si="305"/>
        <v>0</v>
      </c>
      <c r="G4240" s="1205"/>
      <c r="H4240" s="1055"/>
      <c r="I4240" s="1055"/>
      <c r="J4240" s="1055"/>
      <c r="K4240" s="1205"/>
      <c r="L4240" s="1055"/>
      <c r="M4240" s="1205"/>
      <c r="N4240" s="1054"/>
      <c r="O4240" s="1207"/>
      <c r="Q4240" s="1207"/>
    </row>
    <row r="4241" spans="3:17" s="700" customFormat="1" ht="70.5" hidden="1" customHeight="1">
      <c r="C4241" s="701"/>
      <c r="D4241" s="811"/>
      <c r="E4241" s="1276">
        <f>[11]building!Y4572</f>
        <v>0</v>
      </c>
      <c r="F4241" s="748">
        <f t="shared" si="305"/>
        <v>0</v>
      </c>
      <c r="G4241" s="1205"/>
      <c r="H4241" s="1055"/>
      <c r="I4241" s="1055"/>
      <c r="J4241" s="1055"/>
      <c r="K4241" s="1205"/>
      <c r="L4241" s="1055"/>
      <c r="M4241" s="1205"/>
      <c r="N4241" s="1054"/>
      <c r="O4241" s="1207"/>
      <c r="Q4241" s="1207"/>
    </row>
    <row r="4242" spans="3:17" s="700" customFormat="1" ht="70.5" hidden="1" customHeight="1">
      <c r="C4242" s="701"/>
      <c r="D4242" s="811"/>
      <c r="E4242" s="1276">
        <f>[11]building!Y4573</f>
        <v>0</v>
      </c>
      <c r="F4242" s="748">
        <f t="shared" si="305"/>
        <v>0</v>
      </c>
      <c r="G4242" s="1205"/>
      <c r="H4242" s="1055"/>
      <c r="I4242" s="1055"/>
      <c r="J4242" s="1055"/>
      <c r="K4242" s="1205"/>
      <c r="L4242" s="1055"/>
      <c r="M4242" s="1205"/>
      <c r="N4242" s="1054"/>
      <c r="O4242" s="1207"/>
      <c r="Q4242" s="1207"/>
    </row>
    <row r="4243" spans="3:17" s="700" customFormat="1" ht="70.5" hidden="1" customHeight="1">
      <c r="C4243" s="701"/>
      <c r="D4243" s="811"/>
      <c r="E4243" s="1276">
        <f>[11]building!Y4574</f>
        <v>0</v>
      </c>
      <c r="F4243" s="748">
        <f t="shared" si="305"/>
        <v>0</v>
      </c>
      <c r="G4243" s="1205"/>
      <c r="H4243" s="1055"/>
      <c r="I4243" s="1055"/>
      <c r="J4243" s="1055"/>
      <c r="K4243" s="1205"/>
      <c r="L4243" s="1055"/>
      <c r="M4243" s="1205"/>
      <c r="N4243" s="1054"/>
      <c r="O4243" s="1207"/>
      <c r="Q4243" s="1207"/>
    </row>
    <row r="4244" spans="3:17" s="700" customFormat="1" ht="70.5" hidden="1" customHeight="1">
      <c r="C4244" s="701"/>
      <c r="D4244" s="811"/>
      <c r="E4244" s="1276">
        <f>[11]building!Y4575</f>
        <v>0</v>
      </c>
      <c r="F4244" s="748">
        <f t="shared" si="305"/>
        <v>0</v>
      </c>
      <c r="G4244" s="1205"/>
      <c r="H4244" s="1055"/>
      <c r="I4244" s="1055"/>
      <c r="J4244" s="1055"/>
      <c r="K4244" s="1205"/>
      <c r="L4244" s="1055"/>
      <c r="M4244" s="1205"/>
      <c r="N4244" s="1054"/>
      <c r="O4244" s="1207"/>
      <c r="Q4244" s="1207"/>
    </row>
    <row r="4245" spans="3:17" s="700" customFormat="1" ht="70.5" hidden="1" customHeight="1">
      <c r="C4245" s="701"/>
      <c r="D4245" s="811"/>
      <c r="E4245" s="1276">
        <f>[11]building!Y4576</f>
        <v>0</v>
      </c>
      <c r="F4245" s="748">
        <f t="shared" si="305"/>
        <v>0</v>
      </c>
      <c r="G4245" s="1205"/>
      <c r="H4245" s="1055"/>
      <c r="I4245" s="1055"/>
      <c r="J4245" s="1055"/>
      <c r="K4245" s="1205"/>
      <c r="L4245" s="1055"/>
      <c r="M4245" s="1205"/>
      <c r="N4245" s="1054"/>
      <c r="O4245" s="1207"/>
      <c r="Q4245" s="1207"/>
    </row>
    <row r="4246" spans="3:17" s="700" customFormat="1" ht="70.5" hidden="1" customHeight="1">
      <c r="C4246" s="701"/>
      <c r="D4246" s="811"/>
      <c r="E4246" s="1276">
        <f>[11]building!Y4577</f>
        <v>0</v>
      </c>
      <c r="F4246" s="748">
        <f t="shared" si="305"/>
        <v>0</v>
      </c>
      <c r="G4246" s="1205"/>
      <c r="H4246" s="1055"/>
      <c r="I4246" s="1055"/>
      <c r="J4246" s="1055"/>
      <c r="K4246" s="1205"/>
      <c r="L4246" s="1055"/>
      <c r="M4246" s="1205"/>
      <c r="N4246" s="1054"/>
      <c r="O4246" s="1207"/>
      <c r="Q4246" s="1207"/>
    </row>
    <row r="4247" spans="3:17" s="700" customFormat="1" ht="70.5" hidden="1" customHeight="1">
      <c r="C4247" s="701"/>
      <c r="D4247" s="811"/>
      <c r="E4247" s="1276">
        <f>[11]building!Y4578</f>
        <v>0</v>
      </c>
      <c r="F4247" s="748">
        <f t="shared" si="305"/>
        <v>0</v>
      </c>
      <c r="G4247" s="1205"/>
      <c r="H4247" s="1055"/>
      <c r="I4247" s="1055"/>
      <c r="J4247" s="1055"/>
      <c r="K4247" s="1205"/>
      <c r="L4247" s="1055"/>
      <c r="M4247" s="1205"/>
      <c r="N4247" s="1054"/>
      <c r="O4247" s="1207"/>
      <c r="Q4247" s="1207"/>
    </row>
    <row r="4248" spans="3:17" s="700" customFormat="1" ht="70.5" hidden="1" customHeight="1">
      <c r="C4248" s="701"/>
      <c r="D4248" s="811"/>
      <c r="E4248" s="1276">
        <f>[11]building!Y4579</f>
        <v>0</v>
      </c>
      <c r="F4248" s="748">
        <f t="shared" si="305"/>
        <v>0</v>
      </c>
      <c r="G4248" s="1205"/>
      <c r="H4248" s="1055"/>
      <c r="I4248" s="1055"/>
      <c r="J4248" s="1055"/>
      <c r="K4248" s="1205"/>
      <c r="L4248" s="1055"/>
      <c r="M4248" s="1205"/>
      <c r="N4248" s="1054"/>
      <c r="O4248" s="1207"/>
      <c r="Q4248" s="1207"/>
    </row>
    <row r="4249" spans="3:17" s="700" customFormat="1" ht="70.5" hidden="1" customHeight="1">
      <c r="C4249" s="701"/>
      <c r="D4249" s="811"/>
      <c r="E4249" s="1276">
        <f>[11]building!Y4580</f>
        <v>0</v>
      </c>
      <c r="F4249" s="748">
        <f t="shared" si="305"/>
        <v>0</v>
      </c>
      <c r="G4249" s="1205"/>
      <c r="H4249" s="1055"/>
      <c r="I4249" s="1055"/>
      <c r="J4249" s="1055"/>
      <c r="K4249" s="1205"/>
      <c r="L4249" s="1055"/>
      <c r="M4249" s="1205"/>
      <c r="N4249" s="1054"/>
      <c r="O4249" s="1207"/>
      <c r="Q4249" s="1207"/>
    </row>
    <row r="4250" spans="3:17" s="700" customFormat="1" ht="70.5" hidden="1" customHeight="1">
      <c r="C4250" s="701"/>
      <c r="D4250" s="811"/>
      <c r="E4250" s="1276">
        <f>[11]building!Y4581</f>
        <v>0</v>
      </c>
      <c r="F4250" s="748">
        <f t="shared" si="305"/>
        <v>0</v>
      </c>
      <c r="G4250" s="1205"/>
      <c r="H4250" s="1055"/>
      <c r="I4250" s="1055"/>
      <c r="J4250" s="1055"/>
      <c r="K4250" s="1205"/>
      <c r="L4250" s="1055"/>
      <c r="M4250" s="1205"/>
      <c r="N4250" s="1054"/>
      <c r="O4250" s="1207"/>
      <c r="Q4250" s="1207"/>
    </row>
    <row r="4251" spans="3:17" s="700" customFormat="1" ht="70.5" hidden="1" customHeight="1">
      <c r="C4251" s="701"/>
      <c r="D4251" s="811"/>
      <c r="E4251" s="1276">
        <f>[11]building!Y4582</f>
        <v>0</v>
      </c>
      <c r="F4251" s="748">
        <f t="shared" si="305"/>
        <v>0</v>
      </c>
      <c r="G4251" s="1205"/>
      <c r="H4251" s="1055"/>
      <c r="I4251" s="1055"/>
      <c r="J4251" s="1055"/>
      <c r="K4251" s="1205"/>
      <c r="L4251" s="1055"/>
      <c r="M4251" s="1205"/>
      <c r="N4251" s="1054"/>
      <c r="O4251" s="1207"/>
      <c r="Q4251" s="1207"/>
    </row>
    <row r="4252" spans="3:17" s="700" customFormat="1" ht="70.5" hidden="1" customHeight="1">
      <c r="C4252" s="701"/>
      <c r="D4252" s="811"/>
      <c r="E4252" s="1276">
        <f>[11]building!Y4583</f>
        <v>0</v>
      </c>
      <c r="F4252" s="748">
        <f t="shared" si="305"/>
        <v>0</v>
      </c>
      <c r="G4252" s="1205"/>
      <c r="H4252" s="1055"/>
      <c r="I4252" s="1055"/>
      <c r="J4252" s="1055"/>
      <c r="K4252" s="1205"/>
      <c r="L4252" s="1055"/>
      <c r="M4252" s="1205"/>
      <c r="N4252" s="1054"/>
      <c r="O4252" s="1207"/>
      <c r="Q4252" s="1207"/>
    </row>
    <row r="4253" spans="3:17" s="700" customFormat="1" ht="70.5" hidden="1" customHeight="1">
      <c r="C4253" s="701"/>
      <c r="D4253" s="811"/>
      <c r="E4253" s="1276">
        <f>[11]building!Y4584</f>
        <v>0</v>
      </c>
      <c r="F4253" s="748">
        <f t="shared" si="305"/>
        <v>0</v>
      </c>
      <c r="G4253" s="1205"/>
      <c r="H4253" s="1055"/>
      <c r="I4253" s="1055"/>
      <c r="J4253" s="1055"/>
      <c r="K4253" s="1205"/>
      <c r="L4253" s="1055"/>
      <c r="M4253" s="1205"/>
      <c r="N4253" s="1054"/>
      <c r="O4253" s="1207"/>
      <c r="Q4253" s="1207"/>
    </row>
    <row r="4254" spans="3:17" s="700" customFormat="1" ht="70.5" hidden="1" customHeight="1">
      <c r="C4254" s="701"/>
      <c r="D4254" s="811"/>
      <c r="E4254" s="1276">
        <f>[11]building!Y4585</f>
        <v>0</v>
      </c>
      <c r="F4254" s="748">
        <f t="shared" si="305"/>
        <v>0</v>
      </c>
      <c r="G4254" s="1205"/>
      <c r="H4254" s="1055"/>
      <c r="I4254" s="1055"/>
      <c r="J4254" s="1055"/>
      <c r="K4254" s="1205"/>
      <c r="L4254" s="1055"/>
      <c r="M4254" s="1205"/>
      <c r="N4254" s="1054"/>
      <c r="O4254" s="1207"/>
      <c r="Q4254" s="1207"/>
    </row>
    <row r="4255" spans="3:17" s="700" customFormat="1" ht="70.5" hidden="1" customHeight="1">
      <c r="C4255" s="701"/>
      <c r="D4255" s="811"/>
      <c r="E4255" s="1276">
        <f>[11]building!Y4586</f>
        <v>0</v>
      </c>
      <c r="F4255" s="748">
        <f t="shared" si="305"/>
        <v>0</v>
      </c>
      <c r="G4255" s="1205"/>
      <c r="H4255" s="1055"/>
      <c r="I4255" s="1055"/>
      <c r="J4255" s="1055"/>
      <c r="K4255" s="1205"/>
      <c r="L4255" s="1055"/>
      <c r="M4255" s="1205"/>
      <c r="N4255" s="1054"/>
      <c r="O4255" s="1207"/>
      <c r="Q4255" s="1207"/>
    </row>
    <row r="4256" spans="3:17" s="700" customFormat="1" ht="70.5" hidden="1" customHeight="1">
      <c r="C4256" s="701"/>
      <c r="D4256" s="811"/>
      <c r="E4256" s="1276">
        <f>[11]building!Y4587</f>
        <v>0</v>
      </c>
      <c r="F4256" s="748">
        <f t="shared" si="305"/>
        <v>0</v>
      </c>
      <c r="G4256" s="1205"/>
      <c r="H4256" s="1055"/>
      <c r="I4256" s="1055"/>
      <c r="J4256" s="1055"/>
      <c r="K4256" s="1205"/>
      <c r="L4256" s="1055"/>
      <c r="M4256" s="1205"/>
      <c r="N4256" s="1054"/>
      <c r="O4256" s="1207"/>
      <c r="Q4256" s="1207"/>
    </row>
    <row r="4257" spans="3:17" s="700" customFormat="1" ht="70.5" hidden="1" customHeight="1">
      <c r="C4257" s="701"/>
      <c r="D4257" s="811"/>
      <c r="E4257" s="1276">
        <f>[11]building!Y4588</f>
        <v>0</v>
      </c>
      <c r="F4257" s="748">
        <f t="shared" si="305"/>
        <v>0</v>
      </c>
      <c r="G4257" s="1205"/>
      <c r="H4257" s="1055"/>
      <c r="I4257" s="1055"/>
      <c r="J4257" s="1055"/>
      <c r="K4257" s="1205"/>
      <c r="L4257" s="1055"/>
      <c r="M4257" s="1205"/>
      <c r="N4257" s="1054"/>
      <c r="O4257" s="1207"/>
      <c r="Q4257" s="1207"/>
    </row>
    <row r="4258" spans="3:17" s="700" customFormat="1" ht="70.5" hidden="1" customHeight="1">
      <c r="C4258" s="701"/>
      <c r="D4258" s="811"/>
      <c r="E4258" s="1276">
        <f>[11]building!Y4589</f>
        <v>0</v>
      </c>
      <c r="F4258" s="748">
        <f t="shared" si="305"/>
        <v>0</v>
      </c>
      <c r="G4258" s="1205"/>
      <c r="H4258" s="1055"/>
      <c r="I4258" s="1055"/>
      <c r="J4258" s="1055"/>
      <c r="K4258" s="1205"/>
      <c r="L4258" s="1055"/>
      <c r="M4258" s="1205"/>
      <c r="N4258" s="1054"/>
      <c r="O4258" s="1207"/>
      <c r="Q4258" s="1207"/>
    </row>
    <row r="4259" spans="3:17" s="700" customFormat="1" ht="70.5" hidden="1" customHeight="1">
      <c r="C4259" s="701"/>
      <c r="D4259" s="811"/>
      <c r="E4259" s="1276">
        <f>[11]building!Y4590</f>
        <v>0</v>
      </c>
      <c r="F4259" s="748">
        <f t="shared" si="305"/>
        <v>0</v>
      </c>
      <c r="G4259" s="1205"/>
      <c r="H4259" s="1055"/>
      <c r="I4259" s="1055"/>
      <c r="J4259" s="1055"/>
      <c r="K4259" s="1205"/>
      <c r="L4259" s="1055"/>
      <c r="M4259" s="1205"/>
      <c r="N4259" s="1054"/>
      <c r="O4259" s="1207"/>
      <c r="Q4259" s="1207"/>
    </row>
    <row r="4260" spans="3:17" s="700" customFormat="1" ht="70.5" hidden="1" customHeight="1">
      <c r="C4260" s="701"/>
      <c r="D4260" s="811"/>
      <c r="E4260" s="1276">
        <f>[11]building!Y4591</f>
        <v>0</v>
      </c>
      <c r="F4260" s="748">
        <f t="shared" si="305"/>
        <v>0</v>
      </c>
      <c r="G4260" s="1205"/>
      <c r="H4260" s="1055"/>
      <c r="I4260" s="1055"/>
      <c r="J4260" s="1055"/>
      <c r="K4260" s="1205"/>
      <c r="L4260" s="1055"/>
      <c r="M4260" s="1205"/>
      <c r="N4260" s="1054"/>
      <c r="O4260" s="1207"/>
      <c r="Q4260" s="1207"/>
    </row>
    <row r="4261" spans="3:17" s="700" customFormat="1" ht="70.5" hidden="1" customHeight="1">
      <c r="C4261" s="701"/>
      <c r="D4261" s="811"/>
      <c r="E4261" s="1276">
        <f>[11]building!Y4592</f>
        <v>0</v>
      </c>
      <c r="F4261" s="748">
        <f t="shared" si="305"/>
        <v>0</v>
      </c>
      <c r="G4261" s="1205"/>
      <c r="H4261" s="1055"/>
      <c r="I4261" s="1055"/>
      <c r="J4261" s="1055"/>
      <c r="K4261" s="1205"/>
      <c r="L4261" s="1055"/>
      <c r="M4261" s="1205"/>
      <c r="N4261" s="1054"/>
      <c r="O4261" s="1207"/>
      <c r="Q4261" s="1207"/>
    </row>
    <row r="4262" spans="3:17" s="700" customFormat="1" ht="70.5" hidden="1" customHeight="1">
      <c r="C4262" s="701"/>
      <c r="D4262" s="811"/>
      <c r="E4262" s="1276">
        <f>[11]building!Y4593</f>
        <v>0</v>
      </c>
      <c r="F4262" s="748">
        <f t="shared" si="305"/>
        <v>0</v>
      </c>
      <c r="G4262" s="1205"/>
      <c r="H4262" s="1055"/>
      <c r="I4262" s="1055"/>
      <c r="J4262" s="1055"/>
      <c r="K4262" s="1205"/>
      <c r="L4262" s="1055"/>
      <c r="M4262" s="1205"/>
      <c r="N4262" s="1054"/>
      <c r="O4262" s="1207"/>
      <c r="Q4262" s="1207"/>
    </row>
    <row r="4263" spans="3:17" s="700" customFormat="1" ht="70.5" hidden="1" customHeight="1">
      <c r="C4263" s="701"/>
      <c r="D4263" s="811"/>
      <c r="E4263" s="1276">
        <f>[11]building!Y4594</f>
        <v>0</v>
      </c>
      <c r="F4263" s="748">
        <f t="shared" si="305"/>
        <v>0</v>
      </c>
      <c r="G4263" s="1205"/>
      <c r="H4263" s="1055"/>
      <c r="I4263" s="1055"/>
      <c r="J4263" s="1055"/>
      <c r="K4263" s="1205"/>
      <c r="L4263" s="1055"/>
      <c r="M4263" s="1205"/>
      <c r="N4263" s="1054"/>
      <c r="O4263" s="1207"/>
      <c r="Q4263" s="1207"/>
    </row>
    <row r="4264" spans="3:17" s="700" customFormat="1" ht="70.5" hidden="1" customHeight="1">
      <c r="C4264" s="701"/>
      <c r="D4264" s="811"/>
      <c r="E4264" s="1276">
        <f>[11]building!Y4595</f>
        <v>0</v>
      </c>
      <c r="F4264" s="748">
        <f t="shared" si="305"/>
        <v>0</v>
      </c>
      <c r="G4264" s="1205"/>
      <c r="H4264" s="1055"/>
      <c r="I4264" s="1055"/>
      <c r="J4264" s="1055"/>
      <c r="K4264" s="1205"/>
      <c r="L4264" s="1055"/>
      <c r="M4264" s="1205"/>
      <c r="N4264" s="1054"/>
      <c r="O4264" s="1207"/>
      <c r="Q4264" s="1207"/>
    </row>
    <row r="4265" spans="3:17" s="700" customFormat="1" ht="70.5" hidden="1" customHeight="1">
      <c r="C4265" s="701"/>
      <c r="D4265" s="811"/>
      <c r="E4265" s="1276">
        <f>[11]building!Y4596</f>
        <v>0</v>
      </c>
      <c r="F4265" s="748">
        <f t="shared" si="305"/>
        <v>0</v>
      </c>
      <c r="G4265" s="1205"/>
      <c r="H4265" s="1055"/>
      <c r="I4265" s="1055"/>
      <c r="J4265" s="1055"/>
      <c r="K4265" s="1205"/>
      <c r="L4265" s="1055"/>
      <c r="M4265" s="1205"/>
      <c r="N4265" s="1054"/>
      <c r="O4265" s="1207"/>
      <c r="Q4265" s="1207"/>
    </row>
    <row r="4266" spans="3:17" s="700" customFormat="1" ht="70.5" hidden="1" customHeight="1">
      <c r="C4266" s="701"/>
      <c r="D4266" s="811"/>
      <c r="E4266" s="1276">
        <f>[11]building!Y4597</f>
        <v>0</v>
      </c>
      <c r="F4266" s="748">
        <f t="shared" si="305"/>
        <v>0</v>
      </c>
      <c r="G4266" s="1205"/>
      <c r="H4266" s="1055"/>
      <c r="I4266" s="1055"/>
      <c r="J4266" s="1055"/>
      <c r="K4266" s="1205"/>
      <c r="L4266" s="1055"/>
      <c r="M4266" s="1205"/>
      <c r="N4266" s="1054"/>
      <c r="O4266" s="1207"/>
      <c r="Q4266" s="1207"/>
    </row>
    <row r="4267" spans="3:17" s="700" customFormat="1" ht="70.5" hidden="1" customHeight="1">
      <c r="C4267" s="701"/>
      <c r="D4267" s="811"/>
      <c r="E4267" s="1276">
        <f>[11]building!Y4598</f>
        <v>0</v>
      </c>
      <c r="F4267" s="748">
        <f t="shared" si="305"/>
        <v>0</v>
      </c>
      <c r="G4267" s="1205"/>
      <c r="H4267" s="1055"/>
      <c r="I4267" s="1055"/>
      <c r="J4267" s="1055"/>
      <c r="K4267" s="1205"/>
      <c r="L4267" s="1055"/>
      <c r="M4267" s="1205"/>
      <c r="N4267" s="1054"/>
      <c r="O4267" s="1207"/>
      <c r="Q4267" s="1207"/>
    </row>
    <row r="4268" spans="3:17" s="700" customFormat="1" ht="70.5" hidden="1" customHeight="1">
      <c r="C4268" s="701"/>
      <c r="D4268" s="811"/>
      <c r="E4268" s="1276">
        <f>[11]building!Y4599</f>
        <v>0</v>
      </c>
      <c r="F4268" s="748">
        <f t="shared" si="305"/>
        <v>0</v>
      </c>
      <c r="G4268" s="1205"/>
      <c r="H4268" s="1055"/>
      <c r="I4268" s="1055"/>
      <c r="J4268" s="1055"/>
      <c r="K4268" s="1205"/>
      <c r="L4268" s="1055"/>
      <c r="M4268" s="1205"/>
      <c r="N4268" s="1054"/>
      <c r="O4268" s="1207"/>
      <c r="Q4268" s="1207"/>
    </row>
    <row r="4269" spans="3:17" s="700" customFormat="1" ht="70.5" hidden="1" customHeight="1">
      <c r="C4269" s="701"/>
      <c r="D4269" s="811"/>
      <c r="E4269" s="1276">
        <f>[11]building!Y4600</f>
        <v>0</v>
      </c>
      <c r="F4269" s="748">
        <f t="shared" si="305"/>
        <v>0</v>
      </c>
      <c r="G4269" s="1205"/>
      <c r="H4269" s="1055"/>
      <c r="I4269" s="1055"/>
      <c r="J4269" s="1055"/>
      <c r="K4269" s="1205"/>
      <c r="L4269" s="1055"/>
      <c r="M4269" s="1205"/>
      <c r="N4269" s="1054"/>
      <c r="O4269" s="1207"/>
      <c r="Q4269" s="1207"/>
    </row>
    <row r="4270" spans="3:17" s="700" customFormat="1" ht="70.5" hidden="1" customHeight="1">
      <c r="C4270" s="701"/>
      <c r="D4270" s="811"/>
      <c r="E4270" s="1276">
        <f>[11]building!Y4601</f>
        <v>0</v>
      </c>
      <c r="F4270" s="748">
        <f t="shared" si="305"/>
        <v>0</v>
      </c>
      <c r="G4270" s="1205"/>
      <c r="H4270" s="1055"/>
      <c r="I4270" s="1055"/>
      <c r="J4270" s="1055"/>
      <c r="K4270" s="1205"/>
      <c r="L4270" s="1055"/>
      <c r="M4270" s="1205"/>
      <c r="N4270" s="1054"/>
      <c r="O4270" s="1207"/>
      <c r="Q4270" s="1207"/>
    </row>
    <row r="4271" spans="3:17" s="700" customFormat="1" ht="70.5" hidden="1" customHeight="1">
      <c r="C4271" s="701"/>
      <c r="D4271" s="811"/>
      <c r="E4271" s="1276">
        <f>[11]building!Y4602</f>
        <v>0</v>
      </c>
      <c r="F4271" s="748">
        <f t="shared" si="305"/>
        <v>0</v>
      </c>
      <c r="G4271" s="1205"/>
      <c r="H4271" s="1055"/>
      <c r="I4271" s="1055"/>
      <c r="J4271" s="1055"/>
      <c r="K4271" s="1205"/>
      <c r="L4271" s="1055"/>
      <c r="M4271" s="1205"/>
      <c r="N4271" s="1054"/>
      <c r="O4271" s="1207"/>
      <c r="Q4271" s="1207"/>
    </row>
    <row r="4272" spans="3:17" s="700" customFormat="1" ht="70.5" hidden="1" customHeight="1">
      <c r="C4272" s="701"/>
      <c r="D4272" s="811"/>
      <c r="E4272" s="1276">
        <f>[11]building!Y4603</f>
        <v>0</v>
      </c>
      <c r="F4272" s="748">
        <f t="shared" si="305"/>
        <v>0</v>
      </c>
      <c r="G4272" s="1205"/>
      <c r="H4272" s="1055"/>
      <c r="I4272" s="1055"/>
      <c r="J4272" s="1055"/>
      <c r="K4272" s="1205"/>
      <c r="L4272" s="1055"/>
      <c r="M4272" s="1205"/>
      <c r="N4272" s="1054"/>
      <c r="O4272" s="1207"/>
      <c r="Q4272" s="1207"/>
    </row>
    <row r="4273" spans="3:17" s="700" customFormat="1" ht="70.5" hidden="1" customHeight="1">
      <c r="C4273" s="701"/>
      <c r="D4273" s="811"/>
      <c r="E4273" s="1276">
        <f>[11]building!Y4604</f>
        <v>0</v>
      </c>
      <c r="F4273" s="748">
        <f t="shared" si="305"/>
        <v>0</v>
      </c>
      <c r="G4273" s="1205"/>
      <c r="H4273" s="1055"/>
      <c r="I4273" s="1055"/>
      <c r="J4273" s="1055"/>
      <c r="K4273" s="1205"/>
      <c r="L4273" s="1055"/>
      <c r="M4273" s="1205"/>
      <c r="N4273" s="1054"/>
      <c r="O4273" s="1207"/>
      <c r="Q4273" s="1207"/>
    </row>
    <row r="4274" spans="3:17" s="700" customFormat="1" ht="70.5" hidden="1" customHeight="1">
      <c r="C4274" s="701"/>
      <c r="D4274" s="811"/>
      <c r="E4274" s="1276">
        <f>[11]building!Y4605</f>
        <v>0</v>
      </c>
      <c r="F4274" s="748">
        <f t="shared" si="305"/>
        <v>0</v>
      </c>
      <c r="G4274" s="1205"/>
      <c r="H4274" s="1055"/>
      <c r="I4274" s="1055"/>
      <c r="J4274" s="1055"/>
      <c r="K4274" s="1205"/>
      <c r="L4274" s="1055"/>
      <c r="M4274" s="1205"/>
      <c r="N4274" s="1054"/>
      <c r="O4274" s="1207"/>
      <c r="Q4274" s="1207"/>
    </row>
    <row r="4275" spans="3:17" s="700" customFormat="1" ht="70.5" hidden="1" customHeight="1">
      <c r="C4275" s="701"/>
      <c r="D4275" s="811"/>
      <c r="E4275" s="1276">
        <f>[11]building!Y4606</f>
        <v>0</v>
      </c>
      <c r="F4275" s="748">
        <f t="shared" si="305"/>
        <v>0</v>
      </c>
      <c r="G4275" s="1205"/>
      <c r="H4275" s="1055"/>
      <c r="I4275" s="1055"/>
      <c r="J4275" s="1055"/>
      <c r="K4275" s="1205"/>
      <c r="L4275" s="1055"/>
      <c r="M4275" s="1205"/>
      <c r="N4275" s="1054"/>
      <c r="O4275" s="1207"/>
      <c r="Q4275" s="1207"/>
    </row>
    <row r="4276" spans="3:17" s="700" customFormat="1" ht="70.5" hidden="1" customHeight="1">
      <c r="C4276" s="701"/>
      <c r="D4276" s="811"/>
      <c r="E4276" s="1276">
        <f>[11]building!Y4607</f>
        <v>0</v>
      </c>
      <c r="F4276" s="748">
        <f t="shared" si="305"/>
        <v>0</v>
      </c>
      <c r="G4276" s="1205"/>
      <c r="H4276" s="1055"/>
      <c r="I4276" s="1055"/>
      <c r="J4276" s="1055"/>
      <c r="K4276" s="1205"/>
      <c r="L4276" s="1055"/>
      <c r="M4276" s="1205"/>
      <c r="N4276" s="1054"/>
      <c r="O4276" s="1207"/>
      <c r="Q4276" s="1207"/>
    </row>
    <row r="4277" spans="3:17" s="700" customFormat="1" ht="70.5" hidden="1" customHeight="1">
      <c r="C4277" s="701"/>
      <c r="D4277" s="811"/>
      <c r="E4277" s="1276">
        <f>[11]building!Y4608</f>
        <v>0</v>
      </c>
      <c r="F4277" s="748">
        <f t="shared" si="305"/>
        <v>0</v>
      </c>
      <c r="G4277" s="1205"/>
      <c r="H4277" s="1055"/>
      <c r="I4277" s="1055"/>
      <c r="J4277" s="1055"/>
      <c r="K4277" s="1205"/>
      <c r="L4277" s="1055"/>
      <c r="M4277" s="1205"/>
      <c r="N4277" s="1054"/>
      <c r="O4277" s="1207"/>
      <c r="Q4277" s="1207"/>
    </row>
    <row r="4278" spans="3:17" s="700" customFormat="1" ht="70.5" hidden="1" customHeight="1">
      <c r="C4278" s="701"/>
      <c r="D4278" s="811"/>
      <c r="E4278" s="1276">
        <f>[11]building!Y4609</f>
        <v>0</v>
      </c>
      <c r="F4278" s="748">
        <f t="shared" si="305"/>
        <v>0</v>
      </c>
      <c r="G4278" s="1205"/>
      <c r="H4278" s="1055"/>
      <c r="I4278" s="1055"/>
      <c r="J4278" s="1055"/>
      <c r="K4278" s="1205"/>
      <c r="L4278" s="1055"/>
      <c r="M4278" s="1205"/>
      <c r="N4278" s="1054"/>
      <c r="O4278" s="1207"/>
      <c r="Q4278" s="1207"/>
    </row>
    <row r="4279" spans="3:17" s="700" customFormat="1" ht="70.5" hidden="1" customHeight="1">
      <c r="C4279" s="701"/>
      <c r="D4279" s="811"/>
      <c r="E4279" s="1276">
        <f>[11]building!Y4610</f>
        <v>0</v>
      </c>
      <c r="F4279" s="748">
        <f t="shared" si="305"/>
        <v>0</v>
      </c>
      <c r="G4279" s="1205"/>
      <c r="H4279" s="1055"/>
      <c r="I4279" s="1055"/>
      <c r="J4279" s="1055"/>
      <c r="K4279" s="1205"/>
      <c r="L4279" s="1055"/>
      <c r="M4279" s="1205"/>
      <c r="N4279" s="1054"/>
      <c r="O4279" s="1207"/>
      <c r="Q4279" s="1207"/>
    </row>
    <row r="4280" spans="3:17" s="700" customFormat="1" ht="70.5" hidden="1" customHeight="1">
      <c r="C4280" s="701"/>
      <c r="D4280" s="811"/>
      <c r="E4280" s="1276">
        <f>[11]building!Y4611</f>
        <v>0</v>
      </c>
      <c r="F4280" s="748">
        <f t="shared" si="305"/>
        <v>0</v>
      </c>
      <c r="G4280" s="1205"/>
      <c r="H4280" s="1055"/>
      <c r="I4280" s="1055"/>
      <c r="J4280" s="1055"/>
      <c r="K4280" s="1205"/>
      <c r="L4280" s="1055"/>
      <c r="M4280" s="1205"/>
      <c r="N4280" s="1054"/>
      <c r="O4280" s="1207"/>
      <c r="Q4280" s="1207"/>
    </row>
    <row r="4281" spans="3:17" s="700" customFormat="1" ht="70.5" hidden="1" customHeight="1">
      <c r="C4281" s="701"/>
      <c r="D4281" s="811"/>
      <c r="E4281" s="1276">
        <f>[11]building!Y4612</f>
        <v>0</v>
      </c>
      <c r="F4281" s="748">
        <f t="shared" si="305"/>
        <v>0</v>
      </c>
      <c r="G4281" s="1205"/>
      <c r="H4281" s="1055"/>
      <c r="I4281" s="1055"/>
      <c r="J4281" s="1055"/>
      <c r="K4281" s="1205"/>
      <c r="L4281" s="1055"/>
      <c r="M4281" s="1205"/>
      <c r="N4281" s="1054"/>
      <c r="O4281" s="1207"/>
      <c r="Q4281" s="1207"/>
    </row>
    <row r="4282" spans="3:17" s="700" customFormat="1" ht="70.5" hidden="1" customHeight="1">
      <c r="C4282" s="701"/>
      <c r="D4282" s="811"/>
      <c r="E4282" s="1276">
        <f>[11]building!Y4613</f>
        <v>0</v>
      </c>
      <c r="F4282" s="748">
        <f t="shared" si="305"/>
        <v>0</v>
      </c>
      <c r="G4282" s="1205"/>
      <c r="H4282" s="1055"/>
      <c r="I4282" s="1055"/>
      <c r="J4282" s="1055"/>
      <c r="K4282" s="1205"/>
      <c r="L4282" s="1055"/>
      <c r="M4282" s="1205"/>
      <c r="N4282" s="1054"/>
      <c r="O4282" s="1207"/>
      <c r="Q4282" s="1207"/>
    </row>
    <row r="4283" spans="3:17" s="700" customFormat="1" ht="70.5" hidden="1" customHeight="1">
      <c r="C4283" s="701"/>
      <c r="D4283" s="811"/>
      <c r="E4283" s="1276">
        <f>[11]building!Y4614</f>
        <v>0</v>
      </c>
      <c r="F4283" s="748">
        <f t="shared" si="305"/>
        <v>0</v>
      </c>
      <c r="G4283" s="1205"/>
      <c r="H4283" s="1055"/>
      <c r="I4283" s="1055"/>
      <c r="J4283" s="1055"/>
      <c r="K4283" s="1205"/>
      <c r="L4283" s="1055"/>
      <c r="M4283" s="1205"/>
      <c r="N4283" s="1054"/>
      <c r="O4283" s="1207"/>
      <c r="Q4283" s="1207"/>
    </row>
    <row r="4284" spans="3:17" s="700" customFormat="1" ht="70.5" hidden="1" customHeight="1">
      <c r="C4284" s="701"/>
      <c r="D4284" s="811"/>
      <c r="E4284" s="1276">
        <f>[11]building!Y4615</f>
        <v>0</v>
      </c>
      <c r="F4284" s="748">
        <f t="shared" si="305"/>
        <v>0</v>
      </c>
      <c r="G4284" s="1205"/>
      <c r="H4284" s="1055"/>
      <c r="I4284" s="1055"/>
      <c r="J4284" s="1055"/>
      <c r="K4284" s="1205"/>
      <c r="L4284" s="1055"/>
      <c r="M4284" s="1205"/>
      <c r="N4284" s="1054"/>
      <c r="O4284" s="1207"/>
      <c r="Q4284" s="1207"/>
    </row>
    <row r="4285" spans="3:17" s="700" customFormat="1" ht="70.5" hidden="1" customHeight="1">
      <c r="C4285" s="701"/>
      <c r="D4285" s="811"/>
      <c r="E4285" s="1276">
        <f>[11]building!Y4616</f>
        <v>0</v>
      </c>
      <c r="F4285" s="748">
        <f t="shared" si="305"/>
        <v>0</v>
      </c>
      <c r="G4285" s="1205"/>
      <c r="H4285" s="1055"/>
      <c r="I4285" s="1055"/>
      <c r="J4285" s="1055"/>
      <c r="K4285" s="1205"/>
      <c r="L4285" s="1055"/>
      <c r="M4285" s="1205"/>
      <c r="N4285" s="1054"/>
      <c r="O4285" s="1207"/>
      <c r="Q4285" s="1207"/>
    </row>
    <row r="4286" spans="3:17" s="700" customFormat="1" ht="70.5" hidden="1" customHeight="1">
      <c r="C4286" s="701"/>
      <c r="D4286" s="811"/>
      <c r="E4286" s="1276">
        <f>[11]building!Y4617</f>
        <v>0</v>
      </c>
      <c r="F4286" s="748">
        <f t="shared" si="305"/>
        <v>0</v>
      </c>
      <c r="G4286" s="1205"/>
      <c r="H4286" s="1055"/>
      <c r="I4286" s="1055"/>
      <c r="J4286" s="1055"/>
      <c r="K4286" s="1205"/>
      <c r="L4286" s="1055"/>
      <c r="M4286" s="1205"/>
      <c r="N4286" s="1054"/>
      <c r="O4286" s="1207"/>
      <c r="Q4286" s="1207"/>
    </row>
    <row r="4287" spans="3:17" s="700" customFormat="1" ht="70.5" hidden="1" customHeight="1">
      <c r="C4287" s="701"/>
      <c r="D4287" s="811"/>
      <c r="E4287" s="1276">
        <f>[11]building!Y4618</f>
        <v>0</v>
      </c>
      <c r="F4287" s="748">
        <f t="shared" si="305"/>
        <v>0</v>
      </c>
      <c r="G4287" s="1205"/>
      <c r="H4287" s="1055"/>
      <c r="I4287" s="1055"/>
      <c r="J4287" s="1055"/>
      <c r="K4287" s="1205"/>
      <c r="L4287" s="1055"/>
      <c r="M4287" s="1205"/>
      <c r="N4287" s="1054"/>
      <c r="O4287" s="1207"/>
      <c r="Q4287" s="1207"/>
    </row>
    <row r="4288" spans="3:17" s="700" customFormat="1" ht="70.5" hidden="1" customHeight="1">
      <c r="C4288" s="701"/>
      <c r="D4288" s="811"/>
      <c r="E4288" s="1276">
        <f>[11]building!Y4619</f>
        <v>0</v>
      </c>
      <c r="F4288" s="748">
        <f t="shared" ref="F4288:F4351" si="306">E4288*C4288</f>
        <v>0</v>
      </c>
      <c r="G4288" s="1205"/>
      <c r="H4288" s="1055"/>
      <c r="I4288" s="1055"/>
      <c r="J4288" s="1055"/>
      <c r="K4288" s="1205"/>
      <c r="L4288" s="1055"/>
      <c r="M4288" s="1205"/>
      <c r="N4288" s="1054"/>
      <c r="O4288" s="1207"/>
      <c r="Q4288" s="1207"/>
    </row>
    <row r="4289" spans="3:17" s="700" customFormat="1" ht="70.5" hidden="1" customHeight="1">
      <c r="C4289" s="701"/>
      <c r="D4289" s="811"/>
      <c r="E4289" s="1276">
        <f>[11]building!Y4620</f>
        <v>0</v>
      </c>
      <c r="F4289" s="748">
        <f t="shared" si="306"/>
        <v>0</v>
      </c>
      <c r="G4289" s="1205"/>
      <c r="H4289" s="1055"/>
      <c r="I4289" s="1055"/>
      <c r="J4289" s="1055"/>
      <c r="K4289" s="1205"/>
      <c r="L4289" s="1055"/>
      <c r="M4289" s="1205"/>
      <c r="N4289" s="1054"/>
      <c r="O4289" s="1207"/>
      <c r="Q4289" s="1207"/>
    </row>
    <row r="4290" spans="3:17" s="700" customFormat="1" ht="70.5" hidden="1" customHeight="1">
      <c r="C4290" s="701"/>
      <c r="D4290" s="811"/>
      <c r="E4290" s="1276">
        <f>[11]building!Y4621</f>
        <v>0</v>
      </c>
      <c r="F4290" s="748">
        <f t="shared" si="306"/>
        <v>0</v>
      </c>
      <c r="G4290" s="1205"/>
      <c r="H4290" s="1055"/>
      <c r="I4290" s="1055"/>
      <c r="J4290" s="1055"/>
      <c r="K4290" s="1205"/>
      <c r="L4290" s="1055"/>
      <c r="M4290" s="1205"/>
      <c r="N4290" s="1054"/>
      <c r="O4290" s="1207"/>
      <c r="Q4290" s="1207"/>
    </row>
    <row r="4291" spans="3:17" s="700" customFormat="1" ht="70.5" hidden="1" customHeight="1">
      <c r="C4291" s="701"/>
      <c r="D4291" s="811"/>
      <c r="E4291" s="1276">
        <f>[11]building!Y4622</f>
        <v>0</v>
      </c>
      <c r="F4291" s="748">
        <f t="shared" si="306"/>
        <v>0</v>
      </c>
      <c r="G4291" s="1205"/>
      <c r="H4291" s="1055"/>
      <c r="I4291" s="1055"/>
      <c r="J4291" s="1055"/>
      <c r="K4291" s="1205"/>
      <c r="L4291" s="1055"/>
      <c r="M4291" s="1205"/>
      <c r="N4291" s="1054"/>
      <c r="O4291" s="1207"/>
      <c r="Q4291" s="1207"/>
    </row>
    <row r="4292" spans="3:17" s="700" customFormat="1" ht="70.5" hidden="1" customHeight="1">
      <c r="C4292" s="701"/>
      <c r="D4292" s="811"/>
      <c r="E4292" s="1276">
        <f>[11]building!Y4623</f>
        <v>0</v>
      </c>
      <c r="F4292" s="748">
        <f t="shared" si="306"/>
        <v>0</v>
      </c>
      <c r="G4292" s="1205"/>
      <c r="H4292" s="1055"/>
      <c r="I4292" s="1055"/>
      <c r="J4292" s="1055"/>
      <c r="K4292" s="1205"/>
      <c r="L4292" s="1055"/>
      <c r="M4292" s="1205"/>
      <c r="N4292" s="1054"/>
      <c r="O4292" s="1207"/>
      <c r="Q4292" s="1207"/>
    </row>
    <row r="4293" spans="3:17" s="700" customFormat="1" ht="70.5" hidden="1" customHeight="1">
      <c r="C4293" s="701"/>
      <c r="D4293" s="811"/>
      <c r="E4293" s="1276">
        <f>[11]building!Y4624</f>
        <v>0</v>
      </c>
      <c r="F4293" s="748">
        <f t="shared" si="306"/>
        <v>0</v>
      </c>
      <c r="G4293" s="1205"/>
      <c r="H4293" s="1055"/>
      <c r="I4293" s="1055"/>
      <c r="J4293" s="1055"/>
      <c r="K4293" s="1205"/>
      <c r="L4293" s="1055"/>
      <c r="M4293" s="1205"/>
      <c r="N4293" s="1054"/>
      <c r="O4293" s="1207"/>
      <c r="Q4293" s="1207"/>
    </row>
    <row r="4294" spans="3:17" s="700" customFormat="1" ht="70.5" hidden="1" customHeight="1">
      <c r="C4294" s="701"/>
      <c r="D4294" s="811"/>
      <c r="E4294" s="1276">
        <f>[11]building!Y4625</f>
        <v>0</v>
      </c>
      <c r="F4294" s="748">
        <f t="shared" si="306"/>
        <v>0</v>
      </c>
      <c r="G4294" s="1205"/>
      <c r="H4294" s="1055"/>
      <c r="I4294" s="1055"/>
      <c r="J4294" s="1055"/>
      <c r="K4294" s="1205"/>
      <c r="L4294" s="1055"/>
      <c r="M4294" s="1205"/>
      <c r="N4294" s="1054"/>
      <c r="O4294" s="1207"/>
      <c r="Q4294" s="1207"/>
    </row>
    <row r="4295" spans="3:17" s="700" customFormat="1" ht="70.5" hidden="1" customHeight="1">
      <c r="C4295" s="701"/>
      <c r="D4295" s="811"/>
      <c r="E4295" s="1276">
        <f>[11]building!Y4626</f>
        <v>0</v>
      </c>
      <c r="F4295" s="748">
        <f t="shared" si="306"/>
        <v>0</v>
      </c>
      <c r="G4295" s="1205"/>
      <c r="H4295" s="1055"/>
      <c r="I4295" s="1055"/>
      <c r="J4295" s="1055"/>
      <c r="K4295" s="1205"/>
      <c r="L4295" s="1055"/>
      <c r="M4295" s="1205"/>
      <c r="N4295" s="1054"/>
      <c r="O4295" s="1207"/>
      <c r="Q4295" s="1207"/>
    </row>
    <row r="4296" spans="3:17" s="700" customFormat="1" ht="70.5" hidden="1" customHeight="1">
      <c r="C4296" s="701"/>
      <c r="D4296" s="811"/>
      <c r="E4296" s="1276">
        <f>[11]building!Y4627</f>
        <v>0</v>
      </c>
      <c r="F4296" s="748">
        <f t="shared" si="306"/>
        <v>0</v>
      </c>
      <c r="G4296" s="1205"/>
      <c r="H4296" s="1055"/>
      <c r="I4296" s="1055"/>
      <c r="J4296" s="1055"/>
      <c r="K4296" s="1205"/>
      <c r="L4296" s="1055"/>
      <c r="M4296" s="1205"/>
      <c r="N4296" s="1054"/>
      <c r="O4296" s="1207"/>
      <c r="Q4296" s="1207"/>
    </row>
    <row r="4297" spans="3:17" s="700" customFormat="1" ht="70.5" hidden="1" customHeight="1">
      <c r="C4297" s="701"/>
      <c r="D4297" s="811"/>
      <c r="E4297" s="1276">
        <f>[11]building!Y4628</f>
        <v>0</v>
      </c>
      <c r="F4297" s="748">
        <f t="shared" si="306"/>
        <v>0</v>
      </c>
      <c r="G4297" s="1205"/>
      <c r="H4297" s="1055"/>
      <c r="I4297" s="1055"/>
      <c r="J4297" s="1055"/>
      <c r="K4297" s="1205"/>
      <c r="L4297" s="1055"/>
      <c r="M4297" s="1205"/>
      <c r="N4297" s="1054"/>
      <c r="O4297" s="1207"/>
      <c r="Q4297" s="1207"/>
    </row>
    <row r="4298" spans="3:17" s="700" customFormat="1" ht="70.5" hidden="1" customHeight="1">
      <c r="C4298" s="701"/>
      <c r="D4298" s="811"/>
      <c r="E4298" s="1276">
        <f>[11]building!Y4629</f>
        <v>0</v>
      </c>
      <c r="F4298" s="748">
        <f t="shared" si="306"/>
        <v>0</v>
      </c>
      <c r="G4298" s="1205"/>
      <c r="H4298" s="1055"/>
      <c r="I4298" s="1055"/>
      <c r="J4298" s="1055"/>
      <c r="K4298" s="1205"/>
      <c r="L4298" s="1055"/>
      <c r="M4298" s="1205"/>
      <c r="N4298" s="1054"/>
      <c r="O4298" s="1207"/>
      <c r="Q4298" s="1207"/>
    </row>
    <row r="4299" spans="3:17" s="700" customFormat="1" ht="70.5" hidden="1" customHeight="1">
      <c r="C4299" s="701"/>
      <c r="D4299" s="811"/>
      <c r="E4299" s="1276">
        <f>[11]building!Y4630</f>
        <v>0</v>
      </c>
      <c r="F4299" s="748">
        <f t="shared" si="306"/>
        <v>0</v>
      </c>
      <c r="G4299" s="1205"/>
      <c r="H4299" s="1055"/>
      <c r="I4299" s="1055"/>
      <c r="J4299" s="1055"/>
      <c r="K4299" s="1205"/>
      <c r="L4299" s="1055"/>
      <c r="M4299" s="1205"/>
      <c r="N4299" s="1054"/>
      <c r="O4299" s="1207"/>
      <c r="Q4299" s="1207"/>
    </row>
    <row r="4300" spans="3:17" s="700" customFormat="1" ht="70.5" hidden="1" customHeight="1">
      <c r="C4300" s="701"/>
      <c r="D4300" s="811"/>
      <c r="E4300" s="1276">
        <f>[11]building!Y4631</f>
        <v>0</v>
      </c>
      <c r="F4300" s="748">
        <f t="shared" si="306"/>
        <v>0</v>
      </c>
      <c r="G4300" s="1205"/>
      <c r="H4300" s="1055"/>
      <c r="I4300" s="1055"/>
      <c r="J4300" s="1055"/>
      <c r="K4300" s="1205"/>
      <c r="L4300" s="1055"/>
      <c r="M4300" s="1205"/>
      <c r="N4300" s="1054"/>
      <c r="O4300" s="1207"/>
      <c r="Q4300" s="1207"/>
    </row>
    <row r="4301" spans="3:17" s="700" customFormat="1" ht="70.5" hidden="1" customHeight="1">
      <c r="C4301" s="701"/>
      <c r="D4301" s="811"/>
      <c r="E4301" s="1276">
        <f>[11]building!Y4632</f>
        <v>0</v>
      </c>
      <c r="F4301" s="748">
        <f t="shared" si="306"/>
        <v>0</v>
      </c>
      <c r="G4301" s="1205"/>
      <c r="H4301" s="1055"/>
      <c r="I4301" s="1055"/>
      <c r="J4301" s="1055"/>
      <c r="K4301" s="1205"/>
      <c r="L4301" s="1055"/>
      <c r="M4301" s="1205"/>
      <c r="N4301" s="1054"/>
      <c r="O4301" s="1207"/>
      <c r="Q4301" s="1207"/>
    </row>
    <row r="4302" spans="3:17" s="700" customFormat="1" ht="70.5" hidden="1" customHeight="1">
      <c r="C4302" s="701"/>
      <c r="D4302" s="811"/>
      <c r="E4302" s="1276">
        <f>[11]building!Y4633</f>
        <v>0</v>
      </c>
      <c r="F4302" s="748">
        <f t="shared" si="306"/>
        <v>0</v>
      </c>
      <c r="G4302" s="1205"/>
      <c r="H4302" s="1055"/>
      <c r="I4302" s="1055"/>
      <c r="J4302" s="1055"/>
      <c r="K4302" s="1205"/>
      <c r="L4302" s="1055"/>
      <c r="M4302" s="1205"/>
      <c r="N4302" s="1054"/>
      <c r="O4302" s="1207"/>
      <c r="Q4302" s="1207"/>
    </row>
    <row r="4303" spans="3:17" s="700" customFormat="1" ht="70.5" hidden="1" customHeight="1">
      <c r="C4303" s="701"/>
      <c r="D4303" s="811"/>
      <c r="E4303" s="1276">
        <f>[11]building!Y4634</f>
        <v>0</v>
      </c>
      <c r="F4303" s="748">
        <f t="shared" si="306"/>
        <v>0</v>
      </c>
      <c r="G4303" s="1205"/>
      <c r="H4303" s="1055"/>
      <c r="I4303" s="1055"/>
      <c r="J4303" s="1055"/>
      <c r="K4303" s="1205"/>
      <c r="L4303" s="1055"/>
      <c r="M4303" s="1205"/>
      <c r="N4303" s="1054"/>
      <c r="O4303" s="1207"/>
      <c r="Q4303" s="1207"/>
    </row>
    <row r="4304" spans="3:17" s="700" customFormat="1" ht="70.5" hidden="1" customHeight="1">
      <c r="C4304" s="701"/>
      <c r="D4304" s="811"/>
      <c r="E4304" s="1276">
        <f>[11]building!Y4635</f>
        <v>0</v>
      </c>
      <c r="F4304" s="748">
        <f t="shared" si="306"/>
        <v>0</v>
      </c>
      <c r="G4304" s="1205"/>
      <c r="H4304" s="1055"/>
      <c r="I4304" s="1055"/>
      <c r="J4304" s="1055"/>
      <c r="K4304" s="1205"/>
      <c r="L4304" s="1055"/>
      <c r="M4304" s="1205"/>
      <c r="N4304" s="1054"/>
      <c r="O4304" s="1207"/>
      <c r="Q4304" s="1207"/>
    </row>
    <row r="4305" spans="3:17" s="700" customFormat="1" ht="70.5" hidden="1" customHeight="1">
      <c r="C4305" s="701"/>
      <c r="D4305" s="811"/>
      <c r="E4305" s="1276">
        <f>[11]building!Y4636</f>
        <v>0</v>
      </c>
      <c r="F4305" s="748">
        <f t="shared" si="306"/>
        <v>0</v>
      </c>
      <c r="G4305" s="1205"/>
      <c r="H4305" s="1055"/>
      <c r="I4305" s="1055"/>
      <c r="J4305" s="1055"/>
      <c r="K4305" s="1205"/>
      <c r="L4305" s="1055"/>
      <c r="M4305" s="1205"/>
      <c r="N4305" s="1054"/>
      <c r="O4305" s="1207"/>
      <c r="Q4305" s="1207"/>
    </row>
    <row r="4306" spans="3:17" s="700" customFormat="1" ht="70.5" hidden="1" customHeight="1">
      <c r="C4306" s="701"/>
      <c r="D4306" s="811"/>
      <c r="E4306" s="1276">
        <f>[11]building!Y4637</f>
        <v>0</v>
      </c>
      <c r="F4306" s="748">
        <f t="shared" si="306"/>
        <v>0</v>
      </c>
      <c r="G4306" s="1205"/>
      <c r="H4306" s="1055"/>
      <c r="I4306" s="1055"/>
      <c r="J4306" s="1055"/>
      <c r="K4306" s="1205"/>
      <c r="L4306" s="1055"/>
      <c r="M4306" s="1205"/>
      <c r="N4306" s="1054"/>
      <c r="O4306" s="1207"/>
      <c r="Q4306" s="1207"/>
    </row>
    <row r="4307" spans="3:17" s="700" customFormat="1" ht="70.5" hidden="1" customHeight="1">
      <c r="C4307" s="701"/>
      <c r="D4307" s="811"/>
      <c r="E4307" s="1276">
        <f>[11]building!Y4638</f>
        <v>0</v>
      </c>
      <c r="F4307" s="748">
        <f t="shared" si="306"/>
        <v>0</v>
      </c>
      <c r="G4307" s="1205"/>
      <c r="H4307" s="1055"/>
      <c r="I4307" s="1055"/>
      <c r="J4307" s="1055"/>
      <c r="K4307" s="1205"/>
      <c r="L4307" s="1055"/>
      <c r="M4307" s="1205"/>
      <c r="N4307" s="1054"/>
      <c r="O4307" s="1207"/>
      <c r="Q4307" s="1207"/>
    </row>
    <row r="4308" spans="3:17" s="700" customFormat="1" ht="70.5" hidden="1" customHeight="1">
      <c r="C4308" s="701"/>
      <c r="D4308" s="811"/>
      <c r="E4308" s="1276">
        <f>[11]building!Y4639</f>
        <v>0</v>
      </c>
      <c r="F4308" s="748">
        <f t="shared" si="306"/>
        <v>0</v>
      </c>
      <c r="G4308" s="1205"/>
      <c r="H4308" s="1055"/>
      <c r="I4308" s="1055"/>
      <c r="J4308" s="1055"/>
      <c r="K4308" s="1205"/>
      <c r="L4308" s="1055"/>
      <c r="M4308" s="1205"/>
      <c r="N4308" s="1054"/>
      <c r="O4308" s="1207"/>
      <c r="Q4308" s="1207"/>
    </row>
    <row r="4309" spans="3:17" s="700" customFormat="1" ht="70.5" hidden="1" customHeight="1">
      <c r="C4309" s="701"/>
      <c r="D4309" s="811"/>
      <c r="E4309" s="1276">
        <f>[11]building!Y4640</f>
        <v>0</v>
      </c>
      <c r="F4309" s="748">
        <f t="shared" si="306"/>
        <v>0</v>
      </c>
      <c r="G4309" s="1205"/>
      <c r="H4309" s="1055"/>
      <c r="I4309" s="1055"/>
      <c r="J4309" s="1055"/>
      <c r="K4309" s="1205"/>
      <c r="L4309" s="1055"/>
      <c r="M4309" s="1205"/>
      <c r="N4309" s="1054"/>
      <c r="O4309" s="1207"/>
      <c r="Q4309" s="1207"/>
    </row>
    <row r="4310" spans="3:17" s="700" customFormat="1" ht="70.5" hidden="1" customHeight="1">
      <c r="C4310" s="701"/>
      <c r="D4310" s="811"/>
      <c r="E4310" s="1276">
        <f>[11]building!Y4641</f>
        <v>0</v>
      </c>
      <c r="F4310" s="748">
        <f t="shared" si="306"/>
        <v>0</v>
      </c>
      <c r="G4310" s="1205"/>
      <c r="H4310" s="1055"/>
      <c r="I4310" s="1055"/>
      <c r="J4310" s="1055"/>
      <c r="K4310" s="1205"/>
      <c r="L4310" s="1055"/>
      <c r="M4310" s="1205"/>
      <c r="N4310" s="1054"/>
      <c r="O4310" s="1207"/>
      <c r="Q4310" s="1207"/>
    </row>
    <row r="4311" spans="3:17" s="700" customFormat="1" ht="70.5" hidden="1" customHeight="1">
      <c r="C4311" s="701"/>
      <c r="D4311" s="811"/>
      <c r="E4311" s="1276">
        <f>[11]building!Y4642</f>
        <v>0</v>
      </c>
      <c r="F4311" s="748">
        <f t="shared" si="306"/>
        <v>0</v>
      </c>
      <c r="G4311" s="1205"/>
      <c r="H4311" s="1055"/>
      <c r="I4311" s="1055"/>
      <c r="J4311" s="1055"/>
      <c r="K4311" s="1205"/>
      <c r="L4311" s="1055"/>
      <c r="M4311" s="1205"/>
      <c r="N4311" s="1054"/>
      <c r="O4311" s="1207"/>
      <c r="Q4311" s="1207"/>
    </row>
    <row r="4312" spans="3:17" s="700" customFormat="1" ht="70.5" hidden="1" customHeight="1">
      <c r="C4312" s="701"/>
      <c r="D4312" s="811"/>
      <c r="E4312" s="1276">
        <f>[11]building!Y4643</f>
        <v>0</v>
      </c>
      <c r="F4312" s="748">
        <f t="shared" si="306"/>
        <v>0</v>
      </c>
      <c r="G4312" s="1205"/>
      <c r="H4312" s="1055"/>
      <c r="I4312" s="1055"/>
      <c r="J4312" s="1055"/>
      <c r="K4312" s="1205"/>
      <c r="L4312" s="1055"/>
      <c r="M4312" s="1205"/>
      <c r="N4312" s="1054"/>
      <c r="O4312" s="1207"/>
      <c r="Q4312" s="1207"/>
    </row>
    <row r="4313" spans="3:17" s="700" customFormat="1" ht="70.5" hidden="1" customHeight="1">
      <c r="C4313" s="701"/>
      <c r="D4313" s="811"/>
      <c r="E4313" s="1276">
        <f>[11]building!Y4644</f>
        <v>0</v>
      </c>
      <c r="F4313" s="748">
        <f t="shared" si="306"/>
        <v>0</v>
      </c>
      <c r="G4313" s="1205"/>
      <c r="H4313" s="1055"/>
      <c r="I4313" s="1055"/>
      <c r="J4313" s="1055"/>
      <c r="K4313" s="1205"/>
      <c r="L4313" s="1055"/>
      <c r="M4313" s="1205"/>
      <c r="N4313" s="1054"/>
      <c r="O4313" s="1207"/>
      <c r="Q4313" s="1207"/>
    </row>
    <row r="4314" spans="3:17" s="700" customFormat="1" ht="70.5" hidden="1" customHeight="1">
      <c r="C4314" s="701"/>
      <c r="D4314" s="811"/>
      <c r="E4314" s="1276">
        <f>[11]building!Y4645</f>
        <v>0</v>
      </c>
      <c r="F4314" s="748">
        <f t="shared" si="306"/>
        <v>0</v>
      </c>
      <c r="G4314" s="1205"/>
      <c r="H4314" s="1055"/>
      <c r="I4314" s="1055"/>
      <c r="J4314" s="1055"/>
      <c r="K4314" s="1205"/>
      <c r="L4314" s="1055"/>
      <c r="M4314" s="1205"/>
      <c r="N4314" s="1054"/>
      <c r="O4314" s="1207"/>
      <c r="Q4314" s="1207"/>
    </row>
    <row r="4315" spans="3:17" s="700" customFormat="1" ht="70.5" hidden="1" customHeight="1">
      <c r="C4315" s="701"/>
      <c r="D4315" s="811"/>
      <c r="E4315" s="1276">
        <f>[11]building!Y4646</f>
        <v>0</v>
      </c>
      <c r="F4315" s="748">
        <f t="shared" si="306"/>
        <v>0</v>
      </c>
      <c r="G4315" s="1205"/>
      <c r="H4315" s="1055"/>
      <c r="I4315" s="1055"/>
      <c r="J4315" s="1055"/>
      <c r="K4315" s="1205"/>
      <c r="L4315" s="1055"/>
      <c r="M4315" s="1205"/>
      <c r="N4315" s="1054"/>
      <c r="O4315" s="1207"/>
      <c r="Q4315" s="1207"/>
    </row>
    <row r="4316" spans="3:17" s="700" customFormat="1" ht="70.5" hidden="1" customHeight="1">
      <c r="C4316" s="701"/>
      <c r="D4316" s="811"/>
      <c r="E4316" s="1276">
        <f>[11]building!Y4647</f>
        <v>0</v>
      </c>
      <c r="F4316" s="748">
        <f t="shared" si="306"/>
        <v>0</v>
      </c>
      <c r="G4316" s="1205"/>
      <c r="H4316" s="1055"/>
      <c r="I4316" s="1055"/>
      <c r="J4316" s="1055"/>
      <c r="K4316" s="1205"/>
      <c r="L4316" s="1055"/>
      <c r="M4316" s="1205"/>
      <c r="N4316" s="1054"/>
      <c r="O4316" s="1207"/>
      <c r="Q4316" s="1207"/>
    </row>
    <row r="4317" spans="3:17" s="700" customFormat="1" ht="70.5" hidden="1" customHeight="1">
      <c r="C4317" s="701"/>
      <c r="D4317" s="811"/>
      <c r="E4317" s="1276">
        <f>[11]building!Y4648</f>
        <v>0</v>
      </c>
      <c r="F4317" s="748">
        <f t="shared" si="306"/>
        <v>0</v>
      </c>
      <c r="G4317" s="1205"/>
      <c r="H4317" s="1055"/>
      <c r="I4317" s="1055"/>
      <c r="J4317" s="1055"/>
      <c r="K4317" s="1205"/>
      <c r="L4317" s="1055"/>
      <c r="M4317" s="1205"/>
      <c r="N4317" s="1054"/>
      <c r="O4317" s="1207"/>
      <c r="Q4317" s="1207"/>
    </row>
    <row r="4318" spans="3:17" s="700" customFormat="1" ht="70.5" hidden="1" customHeight="1">
      <c r="C4318" s="701"/>
      <c r="D4318" s="811"/>
      <c r="E4318" s="1276">
        <f>[11]building!Y4649</f>
        <v>0</v>
      </c>
      <c r="F4318" s="748">
        <f t="shared" si="306"/>
        <v>0</v>
      </c>
      <c r="G4318" s="1205"/>
      <c r="H4318" s="1055"/>
      <c r="I4318" s="1055"/>
      <c r="J4318" s="1055"/>
      <c r="K4318" s="1205"/>
      <c r="L4318" s="1055"/>
      <c r="M4318" s="1205"/>
      <c r="N4318" s="1054"/>
      <c r="O4318" s="1207"/>
      <c r="Q4318" s="1207"/>
    </row>
    <row r="4319" spans="3:17" s="700" customFormat="1" ht="70.5" hidden="1" customHeight="1">
      <c r="C4319" s="701"/>
      <c r="D4319" s="811"/>
      <c r="E4319" s="1276">
        <f>[11]building!Y4650</f>
        <v>0</v>
      </c>
      <c r="F4319" s="748">
        <f t="shared" si="306"/>
        <v>0</v>
      </c>
      <c r="G4319" s="1205"/>
      <c r="H4319" s="1055"/>
      <c r="I4319" s="1055"/>
      <c r="J4319" s="1055"/>
      <c r="K4319" s="1205"/>
      <c r="L4319" s="1055"/>
      <c r="M4319" s="1205"/>
      <c r="N4319" s="1054"/>
      <c r="O4319" s="1207"/>
      <c r="Q4319" s="1207"/>
    </row>
    <row r="4320" spans="3:17" s="700" customFormat="1" ht="70.5" hidden="1" customHeight="1">
      <c r="C4320" s="701"/>
      <c r="D4320" s="811"/>
      <c r="E4320" s="1276">
        <f>[11]building!Y4651</f>
        <v>0</v>
      </c>
      <c r="F4320" s="748">
        <f t="shared" si="306"/>
        <v>0</v>
      </c>
      <c r="G4320" s="1205"/>
      <c r="H4320" s="1055"/>
      <c r="I4320" s="1055"/>
      <c r="J4320" s="1055"/>
      <c r="K4320" s="1205"/>
      <c r="L4320" s="1055"/>
      <c r="M4320" s="1205"/>
      <c r="N4320" s="1054"/>
      <c r="O4320" s="1207"/>
      <c r="Q4320" s="1207"/>
    </row>
    <row r="4321" spans="3:17" s="700" customFormat="1" ht="70.5" hidden="1" customHeight="1">
      <c r="C4321" s="701"/>
      <c r="D4321" s="811"/>
      <c r="E4321" s="1276">
        <f>[11]building!Y4652</f>
        <v>0</v>
      </c>
      <c r="F4321" s="748">
        <f t="shared" si="306"/>
        <v>0</v>
      </c>
      <c r="G4321" s="1205"/>
      <c r="H4321" s="1055"/>
      <c r="I4321" s="1055"/>
      <c r="J4321" s="1055"/>
      <c r="K4321" s="1205"/>
      <c r="L4321" s="1055"/>
      <c r="M4321" s="1205"/>
      <c r="N4321" s="1054"/>
      <c r="O4321" s="1207"/>
      <c r="Q4321" s="1207"/>
    </row>
    <row r="4322" spans="3:17" s="700" customFormat="1" ht="70.5" hidden="1" customHeight="1">
      <c r="C4322" s="701"/>
      <c r="D4322" s="811"/>
      <c r="E4322" s="1276">
        <f>[11]building!Y4653</f>
        <v>0</v>
      </c>
      <c r="F4322" s="748">
        <f t="shared" si="306"/>
        <v>0</v>
      </c>
      <c r="G4322" s="1205"/>
      <c r="H4322" s="1055"/>
      <c r="I4322" s="1055"/>
      <c r="J4322" s="1055"/>
      <c r="K4322" s="1205"/>
      <c r="L4322" s="1055"/>
      <c r="M4322" s="1205"/>
      <c r="N4322" s="1054"/>
      <c r="O4322" s="1207"/>
      <c r="Q4322" s="1207"/>
    </row>
    <row r="4323" spans="3:17" s="700" customFormat="1" ht="70.5" hidden="1" customHeight="1">
      <c r="C4323" s="701"/>
      <c r="D4323" s="811"/>
      <c r="E4323" s="1276">
        <f>[11]building!Y4654</f>
        <v>0</v>
      </c>
      <c r="F4323" s="748">
        <f t="shared" si="306"/>
        <v>0</v>
      </c>
      <c r="G4323" s="1205"/>
      <c r="H4323" s="1055"/>
      <c r="I4323" s="1055"/>
      <c r="J4323" s="1055"/>
      <c r="K4323" s="1205"/>
      <c r="L4323" s="1055"/>
      <c r="M4323" s="1205"/>
      <c r="N4323" s="1054"/>
      <c r="O4323" s="1207"/>
      <c r="Q4323" s="1207"/>
    </row>
    <row r="4324" spans="3:17" s="700" customFormat="1" ht="70.5" hidden="1" customHeight="1">
      <c r="C4324" s="701"/>
      <c r="D4324" s="811"/>
      <c r="E4324" s="1276">
        <f>[11]building!Y4655</f>
        <v>0</v>
      </c>
      <c r="F4324" s="748">
        <f t="shared" si="306"/>
        <v>0</v>
      </c>
      <c r="G4324" s="1205"/>
      <c r="H4324" s="1055"/>
      <c r="I4324" s="1055"/>
      <c r="J4324" s="1055"/>
      <c r="K4324" s="1205"/>
      <c r="L4324" s="1055"/>
      <c r="M4324" s="1205"/>
      <c r="N4324" s="1054"/>
      <c r="O4324" s="1207"/>
      <c r="Q4324" s="1207"/>
    </row>
    <row r="4325" spans="3:17" s="700" customFormat="1" ht="70.5" hidden="1" customHeight="1">
      <c r="C4325" s="701"/>
      <c r="D4325" s="811"/>
      <c r="E4325" s="1276">
        <f>[11]building!Y4656</f>
        <v>0</v>
      </c>
      <c r="F4325" s="748">
        <f t="shared" si="306"/>
        <v>0</v>
      </c>
      <c r="G4325" s="1205"/>
      <c r="H4325" s="1055"/>
      <c r="I4325" s="1055"/>
      <c r="J4325" s="1055"/>
      <c r="K4325" s="1205"/>
      <c r="L4325" s="1055"/>
      <c r="M4325" s="1205"/>
      <c r="N4325" s="1054"/>
      <c r="O4325" s="1207"/>
      <c r="Q4325" s="1207"/>
    </row>
    <row r="4326" spans="3:17" s="700" customFormat="1" ht="70.5" hidden="1" customHeight="1">
      <c r="C4326" s="701"/>
      <c r="D4326" s="811"/>
      <c r="E4326" s="1276">
        <f>[11]building!Y4657</f>
        <v>0</v>
      </c>
      <c r="F4326" s="748">
        <f t="shared" si="306"/>
        <v>0</v>
      </c>
      <c r="G4326" s="1205"/>
      <c r="H4326" s="1055"/>
      <c r="I4326" s="1055"/>
      <c r="J4326" s="1055"/>
      <c r="K4326" s="1205"/>
      <c r="L4326" s="1055"/>
      <c r="M4326" s="1205"/>
      <c r="N4326" s="1054"/>
      <c r="O4326" s="1207"/>
      <c r="Q4326" s="1207"/>
    </row>
    <row r="4327" spans="3:17" s="700" customFormat="1" ht="70.5" hidden="1" customHeight="1">
      <c r="C4327" s="701"/>
      <c r="D4327" s="811"/>
      <c r="E4327" s="1276">
        <f>[11]building!Y4658</f>
        <v>0</v>
      </c>
      <c r="F4327" s="748">
        <f t="shared" si="306"/>
        <v>0</v>
      </c>
      <c r="G4327" s="1205"/>
      <c r="H4327" s="1055"/>
      <c r="I4327" s="1055"/>
      <c r="J4327" s="1055"/>
      <c r="K4327" s="1205"/>
      <c r="L4327" s="1055"/>
      <c r="M4327" s="1205"/>
      <c r="N4327" s="1054"/>
      <c r="O4327" s="1207"/>
      <c r="Q4327" s="1207"/>
    </row>
    <row r="4328" spans="3:17" s="700" customFormat="1" ht="70.5" hidden="1" customHeight="1">
      <c r="C4328" s="701"/>
      <c r="D4328" s="811"/>
      <c r="E4328" s="1276">
        <f>[11]building!Y4659</f>
        <v>0</v>
      </c>
      <c r="F4328" s="748">
        <f t="shared" si="306"/>
        <v>0</v>
      </c>
      <c r="G4328" s="1205"/>
      <c r="H4328" s="1055"/>
      <c r="I4328" s="1055"/>
      <c r="J4328" s="1055"/>
      <c r="K4328" s="1205"/>
      <c r="L4328" s="1055"/>
      <c r="M4328" s="1205"/>
      <c r="N4328" s="1054"/>
      <c r="O4328" s="1207"/>
      <c r="Q4328" s="1207"/>
    </row>
    <row r="4329" spans="3:17" s="700" customFormat="1" ht="70.5" hidden="1" customHeight="1">
      <c r="C4329" s="701"/>
      <c r="D4329" s="811"/>
      <c r="E4329" s="1276">
        <f>[11]building!Y4660</f>
        <v>0</v>
      </c>
      <c r="F4329" s="748">
        <f t="shared" si="306"/>
        <v>0</v>
      </c>
      <c r="G4329" s="1205"/>
      <c r="H4329" s="1055"/>
      <c r="I4329" s="1055"/>
      <c r="J4329" s="1055"/>
      <c r="K4329" s="1205"/>
      <c r="L4329" s="1055"/>
      <c r="M4329" s="1205"/>
      <c r="N4329" s="1054"/>
      <c r="O4329" s="1207"/>
      <c r="Q4329" s="1207"/>
    </row>
    <row r="4330" spans="3:17" s="700" customFormat="1" ht="70.5" hidden="1" customHeight="1">
      <c r="C4330" s="701"/>
      <c r="D4330" s="811"/>
      <c r="E4330" s="1276">
        <f>[11]building!Y4661</f>
        <v>0</v>
      </c>
      <c r="F4330" s="748">
        <f t="shared" si="306"/>
        <v>0</v>
      </c>
      <c r="G4330" s="1205"/>
      <c r="H4330" s="1055"/>
      <c r="I4330" s="1055"/>
      <c r="J4330" s="1055"/>
      <c r="K4330" s="1205"/>
      <c r="L4330" s="1055"/>
      <c r="M4330" s="1205"/>
      <c r="N4330" s="1054"/>
      <c r="O4330" s="1207"/>
      <c r="Q4330" s="1207"/>
    </row>
    <row r="4331" spans="3:17" s="700" customFormat="1" ht="70.5" hidden="1" customHeight="1">
      <c r="C4331" s="701"/>
      <c r="D4331" s="811"/>
      <c r="E4331" s="1276">
        <f>[11]building!Y4662</f>
        <v>0</v>
      </c>
      <c r="F4331" s="748">
        <f t="shared" si="306"/>
        <v>0</v>
      </c>
      <c r="G4331" s="1205"/>
      <c r="H4331" s="1055"/>
      <c r="I4331" s="1055"/>
      <c r="J4331" s="1055"/>
      <c r="K4331" s="1205"/>
      <c r="L4331" s="1055"/>
      <c r="M4331" s="1205"/>
      <c r="N4331" s="1054"/>
      <c r="O4331" s="1207"/>
      <c r="Q4331" s="1207"/>
    </row>
    <row r="4332" spans="3:17" s="700" customFormat="1" ht="70.5" hidden="1" customHeight="1">
      <c r="C4332" s="701"/>
      <c r="D4332" s="811"/>
      <c r="E4332" s="1276">
        <f>[11]building!Y4663</f>
        <v>0</v>
      </c>
      <c r="F4332" s="748">
        <f t="shared" si="306"/>
        <v>0</v>
      </c>
      <c r="G4332" s="1205"/>
      <c r="H4332" s="1055"/>
      <c r="I4332" s="1055"/>
      <c r="J4332" s="1055"/>
      <c r="K4332" s="1205"/>
      <c r="L4332" s="1055"/>
      <c r="M4332" s="1205"/>
      <c r="N4332" s="1054"/>
      <c r="O4332" s="1207"/>
      <c r="Q4332" s="1207"/>
    </row>
    <row r="4333" spans="3:17" s="700" customFormat="1" ht="70.5" hidden="1" customHeight="1">
      <c r="C4333" s="701"/>
      <c r="D4333" s="811"/>
      <c r="E4333" s="1276">
        <f>[11]building!Y4664</f>
        <v>0</v>
      </c>
      <c r="F4333" s="748">
        <f t="shared" si="306"/>
        <v>0</v>
      </c>
      <c r="G4333" s="1205"/>
      <c r="H4333" s="1055"/>
      <c r="I4333" s="1055"/>
      <c r="J4333" s="1055"/>
      <c r="K4333" s="1205"/>
      <c r="L4333" s="1055"/>
      <c r="M4333" s="1205"/>
      <c r="N4333" s="1054"/>
      <c r="O4333" s="1207"/>
      <c r="Q4333" s="1207"/>
    </row>
    <row r="4334" spans="3:17" s="700" customFormat="1" ht="70.5" hidden="1" customHeight="1">
      <c r="C4334" s="701"/>
      <c r="D4334" s="811"/>
      <c r="E4334" s="1276">
        <f>[11]building!Y4665</f>
        <v>0</v>
      </c>
      <c r="F4334" s="748">
        <f t="shared" si="306"/>
        <v>0</v>
      </c>
      <c r="G4334" s="1205"/>
      <c r="H4334" s="1055"/>
      <c r="I4334" s="1055"/>
      <c r="J4334" s="1055"/>
      <c r="K4334" s="1205"/>
      <c r="L4334" s="1055"/>
      <c r="M4334" s="1205"/>
      <c r="N4334" s="1054"/>
      <c r="O4334" s="1207"/>
      <c r="Q4334" s="1207"/>
    </row>
    <row r="4335" spans="3:17" s="700" customFormat="1" ht="70.5" hidden="1" customHeight="1">
      <c r="C4335" s="701"/>
      <c r="D4335" s="811"/>
      <c r="E4335" s="1276">
        <f>[11]building!Y4666</f>
        <v>0</v>
      </c>
      <c r="F4335" s="748">
        <f t="shared" si="306"/>
        <v>0</v>
      </c>
      <c r="G4335" s="1205"/>
      <c r="H4335" s="1055"/>
      <c r="I4335" s="1055"/>
      <c r="J4335" s="1055"/>
      <c r="K4335" s="1205"/>
      <c r="L4335" s="1055"/>
      <c r="M4335" s="1205"/>
      <c r="N4335" s="1054"/>
      <c r="O4335" s="1207"/>
      <c r="Q4335" s="1207"/>
    </row>
    <row r="4336" spans="3:17" s="700" customFormat="1" ht="70.5" hidden="1" customHeight="1">
      <c r="C4336" s="701"/>
      <c r="D4336" s="811"/>
      <c r="E4336" s="1276">
        <f>[11]building!Y4667</f>
        <v>0</v>
      </c>
      <c r="F4336" s="748">
        <f t="shared" si="306"/>
        <v>0</v>
      </c>
      <c r="G4336" s="1205"/>
      <c r="H4336" s="1055"/>
      <c r="I4336" s="1055"/>
      <c r="J4336" s="1055"/>
      <c r="K4336" s="1205"/>
      <c r="L4336" s="1055"/>
      <c r="M4336" s="1205"/>
      <c r="N4336" s="1054"/>
      <c r="O4336" s="1207"/>
      <c r="Q4336" s="1207"/>
    </row>
    <row r="4337" spans="3:17" s="700" customFormat="1" ht="70.5" hidden="1" customHeight="1">
      <c r="C4337" s="701"/>
      <c r="D4337" s="811"/>
      <c r="E4337" s="1276">
        <f>[11]building!Y4668</f>
        <v>0</v>
      </c>
      <c r="F4337" s="748">
        <f t="shared" si="306"/>
        <v>0</v>
      </c>
      <c r="G4337" s="1205"/>
      <c r="H4337" s="1055"/>
      <c r="I4337" s="1055"/>
      <c r="J4337" s="1055"/>
      <c r="K4337" s="1205"/>
      <c r="L4337" s="1055"/>
      <c r="M4337" s="1205"/>
      <c r="N4337" s="1054"/>
      <c r="O4337" s="1207"/>
      <c r="Q4337" s="1207"/>
    </row>
    <row r="4338" spans="3:17" s="700" customFormat="1" ht="70.5" hidden="1" customHeight="1">
      <c r="C4338" s="701"/>
      <c r="D4338" s="811"/>
      <c r="E4338" s="1276">
        <f>[11]building!Y4669</f>
        <v>0</v>
      </c>
      <c r="F4338" s="748">
        <f t="shared" si="306"/>
        <v>0</v>
      </c>
      <c r="G4338" s="1205"/>
      <c r="H4338" s="1055"/>
      <c r="I4338" s="1055"/>
      <c r="J4338" s="1055"/>
      <c r="K4338" s="1205"/>
      <c r="L4338" s="1055"/>
      <c r="M4338" s="1205"/>
      <c r="N4338" s="1054"/>
      <c r="O4338" s="1207"/>
      <c r="Q4338" s="1207"/>
    </row>
    <row r="4339" spans="3:17" s="700" customFormat="1" ht="70.5" hidden="1" customHeight="1">
      <c r="C4339" s="701"/>
      <c r="D4339" s="811"/>
      <c r="E4339" s="1276">
        <f>[11]building!Y4670</f>
        <v>0</v>
      </c>
      <c r="F4339" s="748">
        <f t="shared" si="306"/>
        <v>0</v>
      </c>
      <c r="G4339" s="1205"/>
      <c r="H4339" s="1055"/>
      <c r="I4339" s="1055"/>
      <c r="J4339" s="1055"/>
      <c r="K4339" s="1205"/>
      <c r="L4339" s="1055"/>
      <c r="M4339" s="1205"/>
      <c r="N4339" s="1054"/>
      <c r="O4339" s="1207"/>
      <c r="Q4339" s="1207"/>
    </row>
    <row r="4340" spans="3:17" s="700" customFormat="1" ht="70.5" hidden="1" customHeight="1">
      <c r="C4340" s="701"/>
      <c r="D4340" s="811"/>
      <c r="E4340" s="1276">
        <f>[11]building!Y4671</f>
        <v>0</v>
      </c>
      <c r="F4340" s="748">
        <f t="shared" si="306"/>
        <v>0</v>
      </c>
      <c r="G4340" s="1205"/>
      <c r="H4340" s="1055"/>
      <c r="I4340" s="1055"/>
      <c r="J4340" s="1055"/>
      <c r="K4340" s="1205"/>
      <c r="L4340" s="1055"/>
      <c r="M4340" s="1205"/>
      <c r="N4340" s="1054"/>
      <c r="O4340" s="1207"/>
      <c r="Q4340" s="1207"/>
    </row>
    <row r="4341" spans="3:17" s="700" customFormat="1" ht="70.5" hidden="1" customHeight="1">
      <c r="C4341" s="701"/>
      <c r="D4341" s="811"/>
      <c r="E4341" s="1276">
        <f>[11]building!Y4672</f>
        <v>0</v>
      </c>
      <c r="F4341" s="748">
        <f t="shared" si="306"/>
        <v>0</v>
      </c>
      <c r="G4341" s="1205"/>
      <c r="H4341" s="1055"/>
      <c r="I4341" s="1055"/>
      <c r="J4341" s="1055"/>
      <c r="K4341" s="1205"/>
      <c r="L4341" s="1055"/>
      <c r="M4341" s="1205"/>
      <c r="N4341" s="1054"/>
      <c r="O4341" s="1207"/>
      <c r="Q4341" s="1207"/>
    </row>
    <row r="4342" spans="3:17" s="700" customFormat="1" ht="70.5" hidden="1" customHeight="1">
      <c r="C4342" s="701"/>
      <c r="D4342" s="811"/>
      <c r="E4342" s="1276">
        <f>[11]building!Y4673</f>
        <v>0</v>
      </c>
      <c r="F4342" s="748">
        <f t="shared" si="306"/>
        <v>0</v>
      </c>
      <c r="G4342" s="1205"/>
      <c r="H4342" s="1055"/>
      <c r="I4342" s="1055"/>
      <c r="J4342" s="1055"/>
      <c r="K4342" s="1205"/>
      <c r="L4342" s="1055"/>
      <c r="M4342" s="1205"/>
      <c r="N4342" s="1054"/>
      <c r="O4342" s="1207"/>
      <c r="Q4342" s="1207"/>
    </row>
    <row r="4343" spans="3:17" s="700" customFormat="1" ht="70.5" hidden="1" customHeight="1">
      <c r="C4343" s="701"/>
      <c r="D4343" s="811"/>
      <c r="E4343" s="1276">
        <f>[11]building!Y4674</f>
        <v>0</v>
      </c>
      <c r="F4343" s="748">
        <f t="shared" si="306"/>
        <v>0</v>
      </c>
      <c r="G4343" s="1205"/>
      <c r="H4343" s="1055"/>
      <c r="I4343" s="1055"/>
      <c r="J4343" s="1055"/>
      <c r="K4343" s="1205"/>
      <c r="L4343" s="1055"/>
      <c r="M4343" s="1205"/>
      <c r="N4343" s="1054"/>
      <c r="O4343" s="1207"/>
      <c r="Q4343" s="1207"/>
    </row>
    <row r="4344" spans="3:17" s="700" customFormat="1" ht="70.5" hidden="1" customHeight="1">
      <c r="C4344" s="701"/>
      <c r="D4344" s="811"/>
      <c r="E4344" s="1276">
        <f>[11]building!Y4675</f>
        <v>0</v>
      </c>
      <c r="F4344" s="748">
        <f t="shared" si="306"/>
        <v>0</v>
      </c>
      <c r="G4344" s="1205"/>
      <c r="H4344" s="1055"/>
      <c r="I4344" s="1055"/>
      <c r="J4344" s="1055"/>
      <c r="K4344" s="1205"/>
      <c r="L4344" s="1055"/>
      <c r="M4344" s="1205"/>
      <c r="N4344" s="1054"/>
      <c r="O4344" s="1207"/>
      <c r="Q4344" s="1207"/>
    </row>
    <row r="4345" spans="3:17" s="700" customFormat="1" ht="70.5" hidden="1" customHeight="1">
      <c r="C4345" s="701"/>
      <c r="D4345" s="811"/>
      <c r="E4345" s="1276">
        <f>[11]building!Y4676</f>
        <v>0</v>
      </c>
      <c r="F4345" s="748">
        <f t="shared" si="306"/>
        <v>0</v>
      </c>
      <c r="G4345" s="1205"/>
      <c r="H4345" s="1055"/>
      <c r="I4345" s="1055"/>
      <c r="J4345" s="1055"/>
      <c r="K4345" s="1205"/>
      <c r="L4345" s="1055"/>
      <c r="M4345" s="1205"/>
      <c r="N4345" s="1054"/>
      <c r="O4345" s="1207"/>
      <c r="Q4345" s="1207"/>
    </row>
    <row r="4346" spans="3:17" s="700" customFormat="1" ht="70.5" hidden="1" customHeight="1">
      <c r="C4346" s="701"/>
      <c r="D4346" s="811"/>
      <c r="E4346" s="1276">
        <f>[11]building!Y4677</f>
        <v>0</v>
      </c>
      <c r="F4346" s="748">
        <f t="shared" si="306"/>
        <v>0</v>
      </c>
      <c r="G4346" s="1205"/>
      <c r="H4346" s="1055"/>
      <c r="I4346" s="1055"/>
      <c r="J4346" s="1055"/>
      <c r="K4346" s="1205"/>
      <c r="L4346" s="1055"/>
      <c r="M4346" s="1205"/>
      <c r="N4346" s="1054"/>
      <c r="O4346" s="1207"/>
      <c r="Q4346" s="1207"/>
    </row>
    <row r="4347" spans="3:17" s="700" customFormat="1" ht="70.5" hidden="1" customHeight="1">
      <c r="C4347" s="701"/>
      <c r="D4347" s="811"/>
      <c r="E4347" s="1276">
        <f>[11]building!Y4678</f>
        <v>0</v>
      </c>
      <c r="F4347" s="748">
        <f t="shared" si="306"/>
        <v>0</v>
      </c>
      <c r="G4347" s="1205"/>
      <c r="H4347" s="1055"/>
      <c r="I4347" s="1055"/>
      <c r="J4347" s="1055"/>
      <c r="K4347" s="1205"/>
      <c r="L4347" s="1055"/>
      <c r="M4347" s="1205"/>
      <c r="N4347" s="1054"/>
      <c r="O4347" s="1207"/>
      <c r="Q4347" s="1207"/>
    </row>
    <row r="4348" spans="3:17" s="700" customFormat="1" ht="70.5" hidden="1" customHeight="1">
      <c r="C4348" s="701"/>
      <c r="D4348" s="811"/>
      <c r="E4348" s="1276">
        <f>[11]building!Y4679</f>
        <v>0</v>
      </c>
      <c r="F4348" s="748">
        <f t="shared" si="306"/>
        <v>0</v>
      </c>
      <c r="G4348" s="1205"/>
      <c r="H4348" s="1055"/>
      <c r="I4348" s="1055"/>
      <c r="J4348" s="1055"/>
      <c r="K4348" s="1205"/>
      <c r="L4348" s="1055"/>
      <c r="M4348" s="1205"/>
      <c r="N4348" s="1054"/>
      <c r="O4348" s="1207"/>
      <c r="Q4348" s="1207"/>
    </row>
    <row r="4349" spans="3:17" s="700" customFormat="1" ht="70.5" hidden="1" customHeight="1">
      <c r="C4349" s="701"/>
      <c r="D4349" s="811"/>
      <c r="E4349" s="1276">
        <f>[11]building!Y4680</f>
        <v>0</v>
      </c>
      <c r="F4349" s="748">
        <f t="shared" si="306"/>
        <v>0</v>
      </c>
      <c r="G4349" s="1205"/>
      <c r="H4349" s="1055"/>
      <c r="I4349" s="1055"/>
      <c r="J4349" s="1055"/>
      <c r="K4349" s="1205"/>
      <c r="L4349" s="1055"/>
      <c r="M4349" s="1205"/>
      <c r="N4349" s="1054"/>
      <c r="O4349" s="1207"/>
      <c r="Q4349" s="1207"/>
    </row>
    <row r="4350" spans="3:17" s="700" customFormat="1" ht="70.5" hidden="1" customHeight="1">
      <c r="C4350" s="701"/>
      <c r="D4350" s="811"/>
      <c r="E4350" s="1276">
        <f>[11]building!Y4681</f>
        <v>0</v>
      </c>
      <c r="F4350" s="748">
        <f t="shared" si="306"/>
        <v>0</v>
      </c>
      <c r="G4350" s="1205"/>
      <c r="H4350" s="1055"/>
      <c r="I4350" s="1055"/>
      <c r="J4350" s="1055"/>
      <c r="K4350" s="1205"/>
      <c r="L4350" s="1055"/>
      <c r="M4350" s="1205"/>
      <c r="N4350" s="1054"/>
      <c r="O4350" s="1207"/>
      <c r="Q4350" s="1207"/>
    </row>
    <row r="4351" spans="3:17" s="700" customFormat="1" ht="70.5" hidden="1" customHeight="1">
      <c r="C4351" s="701"/>
      <c r="D4351" s="811"/>
      <c r="E4351" s="1276">
        <f>[11]building!Y4682</f>
        <v>0</v>
      </c>
      <c r="F4351" s="748">
        <f t="shared" si="306"/>
        <v>0</v>
      </c>
      <c r="G4351" s="1205"/>
      <c r="H4351" s="1055"/>
      <c r="I4351" s="1055"/>
      <c r="J4351" s="1055"/>
      <c r="K4351" s="1205"/>
      <c r="L4351" s="1055"/>
      <c r="M4351" s="1205"/>
      <c r="N4351" s="1054"/>
      <c r="O4351" s="1207"/>
      <c r="Q4351" s="1207"/>
    </row>
    <row r="4352" spans="3:17" s="700" customFormat="1" ht="70.5" hidden="1" customHeight="1">
      <c r="C4352" s="701"/>
      <c r="D4352" s="811"/>
      <c r="E4352" s="1276">
        <f>[11]building!Y4683</f>
        <v>0</v>
      </c>
      <c r="F4352" s="748">
        <f t="shared" ref="F4352:F4415" si="307">E4352*C4352</f>
        <v>0</v>
      </c>
      <c r="G4352" s="1205"/>
      <c r="H4352" s="1055"/>
      <c r="I4352" s="1055"/>
      <c r="J4352" s="1055"/>
      <c r="K4352" s="1205"/>
      <c r="L4352" s="1055"/>
      <c r="M4352" s="1205"/>
      <c r="N4352" s="1054"/>
      <c r="O4352" s="1207"/>
      <c r="Q4352" s="1207"/>
    </row>
    <row r="4353" spans="3:17" s="700" customFormat="1" ht="70.5" hidden="1" customHeight="1">
      <c r="C4353" s="701"/>
      <c r="D4353" s="811"/>
      <c r="E4353" s="1276">
        <f>[11]building!Y4684</f>
        <v>0</v>
      </c>
      <c r="F4353" s="748">
        <f t="shared" si="307"/>
        <v>0</v>
      </c>
      <c r="G4353" s="1205"/>
      <c r="H4353" s="1055"/>
      <c r="I4353" s="1055"/>
      <c r="J4353" s="1055"/>
      <c r="K4353" s="1205"/>
      <c r="L4353" s="1055"/>
      <c r="M4353" s="1205"/>
      <c r="N4353" s="1054"/>
      <c r="O4353" s="1207"/>
      <c r="Q4353" s="1207"/>
    </row>
    <row r="4354" spans="3:17" s="700" customFormat="1" ht="70.5" hidden="1" customHeight="1">
      <c r="C4354" s="701"/>
      <c r="D4354" s="811"/>
      <c r="E4354" s="1276">
        <f>[11]building!Y4685</f>
        <v>0</v>
      </c>
      <c r="F4354" s="748">
        <f t="shared" si="307"/>
        <v>0</v>
      </c>
      <c r="G4354" s="1205"/>
      <c r="H4354" s="1055"/>
      <c r="I4354" s="1055"/>
      <c r="J4354" s="1055"/>
      <c r="K4354" s="1205"/>
      <c r="L4354" s="1055"/>
      <c r="M4354" s="1205"/>
      <c r="N4354" s="1054"/>
      <c r="O4354" s="1207"/>
      <c r="Q4354" s="1207"/>
    </row>
    <row r="4355" spans="3:17" s="700" customFormat="1" ht="70.5" hidden="1" customHeight="1">
      <c r="C4355" s="701"/>
      <c r="D4355" s="811"/>
      <c r="E4355" s="1276">
        <f>[11]building!Y4686</f>
        <v>0</v>
      </c>
      <c r="F4355" s="748">
        <f t="shared" si="307"/>
        <v>0</v>
      </c>
      <c r="G4355" s="1205"/>
      <c r="H4355" s="1055"/>
      <c r="I4355" s="1055"/>
      <c r="J4355" s="1055"/>
      <c r="K4355" s="1205"/>
      <c r="L4355" s="1055"/>
      <c r="M4355" s="1205"/>
      <c r="N4355" s="1054"/>
      <c r="O4355" s="1207"/>
      <c r="Q4355" s="1207"/>
    </row>
    <row r="4356" spans="3:17" s="700" customFormat="1" ht="70.5" hidden="1" customHeight="1">
      <c r="C4356" s="701"/>
      <c r="D4356" s="811"/>
      <c r="E4356" s="1276">
        <f>[11]building!Y4687</f>
        <v>0</v>
      </c>
      <c r="F4356" s="748">
        <f t="shared" si="307"/>
        <v>0</v>
      </c>
      <c r="G4356" s="1205"/>
      <c r="H4356" s="1055"/>
      <c r="I4356" s="1055"/>
      <c r="J4356" s="1055"/>
      <c r="K4356" s="1205"/>
      <c r="L4356" s="1055"/>
      <c r="M4356" s="1205"/>
      <c r="N4356" s="1054"/>
      <c r="O4356" s="1207"/>
      <c r="Q4356" s="1207"/>
    </row>
    <row r="4357" spans="3:17" s="700" customFormat="1" ht="70.5" hidden="1" customHeight="1">
      <c r="C4357" s="701"/>
      <c r="D4357" s="811"/>
      <c r="E4357" s="1276">
        <f>[11]building!Y4688</f>
        <v>0</v>
      </c>
      <c r="F4357" s="748">
        <f t="shared" si="307"/>
        <v>0</v>
      </c>
      <c r="G4357" s="1205"/>
      <c r="H4357" s="1055"/>
      <c r="I4357" s="1055"/>
      <c r="J4357" s="1055"/>
      <c r="K4357" s="1205"/>
      <c r="L4357" s="1055"/>
      <c r="M4357" s="1205"/>
      <c r="N4357" s="1054"/>
      <c r="O4357" s="1207"/>
      <c r="Q4357" s="1207"/>
    </row>
    <row r="4358" spans="3:17" s="700" customFormat="1" ht="70.5" hidden="1" customHeight="1">
      <c r="C4358" s="701"/>
      <c r="D4358" s="811"/>
      <c r="E4358" s="1276">
        <f>[11]building!Y4689</f>
        <v>0</v>
      </c>
      <c r="F4358" s="748">
        <f t="shared" si="307"/>
        <v>0</v>
      </c>
      <c r="G4358" s="1205"/>
      <c r="H4358" s="1055"/>
      <c r="I4358" s="1055"/>
      <c r="J4358" s="1055"/>
      <c r="K4358" s="1205"/>
      <c r="L4358" s="1055"/>
      <c r="M4358" s="1205"/>
      <c r="N4358" s="1054"/>
      <c r="O4358" s="1207"/>
      <c r="Q4358" s="1207"/>
    </row>
    <row r="4359" spans="3:17" s="700" customFormat="1" ht="70.5" hidden="1" customHeight="1">
      <c r="C4359" s="701"/>
      <c r="D4359" s="811"/>
      <c r="E4359" s="1276">
        <f>[11]building!Y4690</f>
        <v>0</v>
      </c>
      <c r="F4359" s="748">
        <f t="shared" si="307"/>
        <v>0</v>
      </c>
      <c r="G4359" s="1205"/>
      <c r="H4359" s="1055"/>
      <c r="I4359" s="1055"/>
      <c r="J4359" s="1055"/>
      <c r="K4359" s="1205"/>
      <c r="L4359" s="1055"/>
      <c r="M4359" s="1205"/>
      <c r="N4359" s="1054"/>
      <c r="O4359" s="1207"/>
      <c r="Q4359" s="1207"/>
    </row>
    <row r="4360" spans="3:17" s="700" customFormat="1" ht="70.5" hidden="1" customHeight="1">
      <c r="C4360" s="701"/>
      <c r="D4360" s="811"/>
      <c r="E4360" s="1276">
        <f>[11]building!Y4691</f>
        <v>0</v>
      </c>
      <c r="F4360" s="748">
        <f t="shared" si="307"/>
        <v>0</v>
      </c>
      <c r="G4360" s="1205"/>
      <c r="H4360" s="1055"/>
      <c r="I4360" s="1055"/>
      <c r="J4360" s="1055"/>
      <c r="K4360" s="1205"/>
      <c r="L4360" s="1055"/>
      <c r="M4360" s="1205"/>
      <c r="N4360" s="1054"/>
      <c r="O4360" s="1207"/>
      <c r="Q4360" s="1207"/>
    </row>
    <row r="4361" spans="3:17" s="700" customFormat="1" ht="70.5" hidden="1" customHeight="1">
      <c r="C4361" s="701"/>
      <c r="D4361" s="811"/>
      <c r="E4361" s="1276">
        <f>[11]building!Y4692</f>
        <v>0</v>
      </c>
      <c r="F4361" s="748">
        <f t="shared" si="307"/>
        <v>0</v>
      </c>
      <c r="G4361" s="1205"/>
      <c r="H4361" s="1055"/>
      <c r="I4361" s="1055"/>
      <c r="J4361" s="1055"/>
      <c r="K4361" s="1205"/>
      <c r="L4361" s="1055"/>
      <c r="M4361" s="1205"/>
      <c r="N4361" s="1054"/>
      <c r="O4361" s="1207"/>
      <c r="Q4361" s="1207"/>
    </row>
    <row r="4362" spans="3:17" s="700" customFormat="1" ht="70.5" hidden="1" customHeight="1">
      <c r="C4362" s="701"/>
      <c r="D4362" s="811"/>
      <c r="E4362" s="1276">
        <f>[11]building!Y4693</f>
        <v>0</v>
      </c>
      <c r="F4362" s="748">
        <f t="shared" si="307"/>
        <v>0</v>
      </c>
      <c r="G4362" s="1205"/>
      <c r="H4362" s="1055"/>
      <c r="I4362" s="1055"/>
      <c r="J4362" s="1055"/>
      <c r="K4362" s="1205"/>
      <c r="L4362" s="1055"/>
      <c r="M4362" s="1205"/>
      <c r="N4362" s="1054"/>
      <c r="O4362" s="1207"/>
      <c r="Q4362" s="1207"/>
    </row>
    <row r="4363" spans="3:17" s="700" customFormat="1" ht="70.5" hidden="1" customHeight="1">
      <c r="C4363" s="701"/>
      <c r="D4363" s="811"/>
      <c r="E4363" s="1276">
        <f>[11]building!Y4694</f>
        <v>0</v>
      </c>
      <c r="F4363" s="748">
        <f t="shared" si="307"/>
        <v>0</v>
      </c>
      <c r="G4363" s="1205"/>
      <c r="H4363" s="1055"/>
      <c r="I4363" s="1055"/>
      <c r="J4363" s="1055"/>
      <c r="K4363" s="1205"/>
      <c r="L4363" s="1055"/>
      <c r="M4363" s="1205"/>
      <c r="N4363" s="1054"/>
      <c r="O4363" s="1207"/>
      <c r="Q4363" s="1207"/>
    </row>
    <row r="4364" spans="3:17" s="700" customFormat="1" ht="70.5" hidden="1" customHeight="1">
      <c r="C4364" s="701"/>
      <c r="D4364" s="811"/>
      <c r="E4364" s="1276">
        <f>[11]building!Y4695</f>
        <v>0</v>
      </c>
      <c r="F4364" s="748">
        <f t="shared" si="307"/>
        <v>0</v>
      </c>
      <c r="G4364" s="1205"/>
      <c r="H4364" s="1055"/>
      <c r="I4364" s="1055"/>
      <c r="J4364" s="1055"/>
      <c r="K4364" s="1205"/>
      <c r="L4364" s="1055"/>
      <c r="M4364" s="1205"/>
      <c r="N4364" s="1054"/>
      <c r="O4364" s="1207"/>
      <c r="Q4364" s="1207"/>
    </row>
    <row r="4365" spans="3:17" s="700" customFormat="1" ht="70.5" hidden="1" customHeight="1">
      <c r="C4365" s="701"/>
      <c r="D4365" s="811"/>
      <c r="E4365" s="1276">
        <f>[11]building!Y4696</f>
        <v>0</v>
      </c>
      <c r="F4365" s="748">
        <f t="shared" si="307"/>
        <v>0</v>
      </c>
      <c r="G4365" s="1205"/>
      <c r="H4365" s="1055"/>
      <c r="I4365" s="1055"/>
      <c r="J4365" s="1055"/>
      <c r="K4365" s="1205"/>
      <c r="L4365" s="1055"/>
      <c r="M4365" s="1205"/>
      <c r="N4365" s="1054"/>
      <c r="O4365" s="1207"/>
      <c r="Q4365" s="1207"/>
    </row>
    <row r="4366" spans="3:17" s="700" customFormat="1" ht="70.5" hidden="1" customHeight="1">
      <c r="C4366" s="701"/>
      <c r="D4366" s="811"/>
      <c r="E4366" s="1276">
        <f>[11]building!Y4697</f>
        <v>0</v>
      </c>
      <c r="F4366" s="748">
        <f t="shared" si="307"/>
        <v>0</v>
      </c>
      <c r="G4366" s="1205"/>
      <c r="H4366" s="1055"/>
      <c r="I4366" s="1055"/>
      <c r="J4366" s="1055"/>
      <c r="K4366" s="1205"/>
      <c r="L4366" s="1055"/>
      <c r="M4366" s="1205"/>
      <c r="N4366" s="1054"/>
      <c r="O4366" s="1207"/>
      <c r="Q4366" s="1207"/>
    </row>
    <row r="4367" spans="3:17" s="700" customFormat="1" ht="70.5" hidden="1" customHeight="1">
      <c r="C4367" s="701"/>
      <c r="D4367" s="811"/>
      <c r="E4367" s="1276">
        <f>[11]building!Y4698</f>
        <v>0</v>
      </c>
      <c r="F4367" s="748">
        <f t="shared" si="307"/>
        <v>0</v>
      </c>
      <c r="G4367" s="1205"/>
      <c r="H4367" s="1055"/>
      <c r="I4367" s="1055"/>
      <c r="J4367" s="1055"/>
      <c r="K4367" s="1205"/>
      <c r="L4367" s="1055"/>
      <c r="M4367" s="1205"/>
      <c r="N4367" s="1054"/>
      <c r="O4367" s="1207"/>
      <c r="Q4367" s="1207"/>
    </row>
    <row r="4368" spans="3:17" s="700" customFormat="1" ht="70.5" hidden="1" customHeight="1">
      <c r="C4368" s="701"/>
      <c r="D4368" s="811"/>
      <c r="E4368" s="1276">
        <f>[11]building!Y4699</f>
        <v>0</v>
      </c>
      <c r="F4368" s="748">
        <f t="shared" si="307"/>
        <v>0</v>
      </c>
      <c r="G4368" s="1205"/>
      <c r="H4368" s="1055"/>
      <c r="I4368" s="1055"/>
      <c r="J4368" s="1055"/>
      <c r="K4368" s="1205"/>
      <c r="L4368" s="1055"/>
      <c r="M4368" s="1205"/>
      <c r="N4368" s="1054"/>
      <c r="O4368" s="1207"/>
      <c r="Q4368" s="1207"/>
    </row>
    <row r="4369" spans="3:17" s="700" customFormat="1" ht="70.5" hidden="1" customHeight="1">
      <c r="C4369" s="701"/>
      <c r="D4369" s="811"/>
      <c r="E4369" s="1276">
        <f>[11]building!Y4700</f>
        <v>0</v>
      </c>
      <c r="F4369" s="748">
        <f t="shared" si="307"/>
        <v>0</v>
      </c>
      <c r="G4369" s="1205"/>
      <c r="H4369" s="1055"/>
      <c r="I4369" s="1055"/>
      <c r="J4369" s="1055"/>
      <c r="K4369" s="1205"/>
      <c r="L4369" s="1055"/>
      <c r="M4369" s="1205"/>
      <c r="N4369" s="1054"/>
      <c r="O4369" s="1207"/>
      <c r="Q4369" s="1207"/>
    </row>
    <row r="4370" spans="3:17" s="700" customFormat="1" ht="70.5" hidden="1" customHeight="1">
      <c r="C4370" s="701"/>
      <c r="D4370" s="811"/>
      <c r="E4370" s="1276">
        <f>[11]building!Y4701</f>
        <v>0</v>
      </c>
      <c r="F4370" s="748">
        <f t="shared" si="307"/>
        <v>0</v>
      </c>
      <c r="G4370" s="1205"/>
      <c r="H4370" s="1055"/>
      <c r="I4370" s="1055"/>
      <c r="J4370" s="1055"/>
      <c r="K4370" s="1205"/>
      <c r="L4370" s="1055"/>
      <c r="M4370" s="1205"/>
      <c r="N4370" s="1054"/>
      <c r="O4370" s="1207"/>
      <c r="Q4370" s="1207"/>
    </row>
    <row r="4371" spans="3:17" s="700" customFormat="1" ht="70.5" hidden="1" customHeight="1">
      <c r="C4371" s="701"/>
      <c r="D4371" s="811"/>
      <c r="E4371" s="1276">
        <f>[11]building!Y4702</f>
        <v>0</v>
      </c>
      <c r="F4371" s="748">
        <f t="shared" si="307"/>
        <v>0</v>
      </c>
      <c r="G4371" s="1205"/>
      <c r="H4371" s="1055"/>
      <c r="I4371" s="1055"/>
      <c r="J4371" s="1055"/>
      <c r="K4371" s="1205"/>
      <c r="L4371" s="1055"/>
      <c r="M4371" s="1205"/>
      <c r="N4371" s="1054"/>
      <c r="O4371" s="1207"/>
      <c r="Q4371" s="1207"/>
    </row>
    <row r="4372" spans="3:17" s="700" customFormat="1" ht="70.5" hidden="1" customHeight="1">
      <c r="C4372" s="701"/>
      <c r="D4372" s="811"/>
      <c r="E4372" s="1276">
        <f>[11]building!Y4703</f>
        <v>0</v>
      </c>
      <c r="F4372" s="748">
        <f t="shared" si="307"/>
        <v>0</v>
      </c>
      <c r="G4372" s="1205"/>
      <c r="H4372" s="1055"/>
      <c r="I4372" s="1055"/>
      <c r="J4372" s="1055"/>
      <c r="K4372" s="1205"/>
      <c r="L4372" s="1055"/>
      <c r="M4372" s="1205"/>
      <c r="N4372" s="1054"/>
      <c r="O4372" s="1207"/>
      <c r="Q4372" s="1207"/>
    </row>
    <row r="4373" spans="3:17" s="700" customFormat="1" ht="70.5" hidden="1" customHeight="1">
      <c r="C4373" s="701"/>
      <c r="D4373" s="811"/>
      <c r="E4373" s="1276">
        <f>[11]building!Y4704</f>
        <v>0</v>
      </c>
      <c r="F4373" s="748">
        <f t="shared" si="307"/>
        <v>0</v>
      </c>
      <c r="G4373" s="1205"/>
      <c r="H4373" s="1055"/>
      <c r="I4373" s="1055"/>
      <c r="J4373" s="1055"/>
      <c r="K4373" s="1205"/>
      <c r="L4373" s="1055"/>
      <c r="M4373" s="1205"/>
      <c r="N4373" s="1054"/>
      <c r="O4373" s="1207"/>
      <c r="Q4373" s="1207"/>
    </row>
    <row r="4374" spans="3:17" s="700" customFormat="1" ht="70.5" hidden="1" customHeight="1">
      <c r="C4374" s="701"/>
      <c r="D4374" s="811"/>
      <c r="E4374" s="1276">
        <f>[11]building!Y4705</f>
        <v>0</v>
      </c>
      <c r="F4374" s="748">
        <f t="shared" si="307"/>
        <v>0</v>
      </c>
      <c r="G4374" s="1205"/>
      <c r="H4374" s="1055"/>
      <c r="I4374" s="1055"/>
      <c r="J4374" s="1055"/>
      <c r="K4374" s="1205"/>
      <c r="L4374" s="1055"/>
      <c r="M4374" s="1205"/>
      <c r="N4374" s="1054"/>
      <c r="O4374" s="1207"/>
      <c r="Q4374" s="1207"/>
    </row>
    <row r="4375" spans="3:17" s="700" customFormat="1" ht="70.5" hidden="1" customHeight="1">
      <c r="C4375" s="701"/>
      <c r="D4375" s="811"/>
      <c r="E4375" s="1276">
        <f>[11]building!Y4706</f>
        <v>0</v>
      </c>
      <c r="F4375" s="748">
        <f t="shared" si="307"/>
        <v>0</v>
      </c>
      <c r="G4375" s="1205"/>
      <c r="H4375" s="1055"/>
      <c r="I4375" s="1055"/>
      <c r="J4375" s="1055"/>
      <c r="K4375" s="1205"/>
      <c r="L4375" s="1055"/>
      <c r="M4375" s="1205"/>
      <c r="N4375" s="1054"/>
      <c r="O4375" s="1207"/>
      <c r="Q4375" s="1207"/>
    </row>
    <row r="4376" spans="3:17" s="700" customFormat="1" ht="70.5" hidden="1" customHeight="1">
      <c r="C4376" s="701"/>
      <c r="D4376" s="811"/>
      <c r="E4376" s="1276">
        <f>[11]building!Y4707</f>
        <v>0</v>
      </c>
      <c r="F4376" s="748">
        <f t="shared" si="307"/>
        <v>0</v>
      </c>
      <c r="G4376" s="1205"/>
      <c r="H4376" s="1055"/>
      <c r="I4376" s="1055"/>
      <c r="J4376" s="1055"/>
      <c r="K4376" s="1205"/>
      <c r="L4376" s="1055"/>
      <c r="M4376" s="1205"/>
      <c r="N4376" s="1054"/>
      <c r="O4376" s="1207"/>
      <c r="Q4376" s="1207"/>
    </row>
    <row r="4377" spans="3:17" s="700" customFormat="1" ht="70.5" hidden="1" customHeight="1">
      <c r="C4377" s="701"/>
      <c r="D4377" s="811"/>
      <c r="E4377" s="1276">
        <f>[11]building!Y4708</f>
        <v>0</v>
      </c>
      <c r="F4377" s="748">
        <f t="shared" si="307"/>
        <v>0</v>
      </c>
      <c r="G4377" s="1205"/>
      <c r="H4377" s="1055"/>
      <c r="I4377" s="1055"/>
      <c r="J4377" s="1055"/>
      <c r="K4377" s="1205"/>
      <c r="L4377" s="1055"/>
      <c r="M4377" s="1205"/>
      <c r="N4377" s="1054"/>
      <c r="O4377" s="1207"/>
      <c r="Q4377" s="1207"/>
    </row>
    <row r="4378" spans="3:17" s="700" customFormat="1" ht="70.5" hidden="1" customHeight="1">
      <c r="C4378" s="701"/>
      <c r="D4378" s="811"/>
      <c r="E4378" s="1276">
        <f>[11]building!Y4709</f>
        <v>0</v>
      </c>
      <c r="F4378" s="748">
        <f t="shared" si="307"/>
        <v>0</v>
      </c>
      <c r="G4378" s="1205"/>
      <c r="H4378" s="1055"/>
      <c r="I4378" s="1055"/>
      <c r="J4378" s="1055"/>
      <c r="K4378" s="1205"/>
      <c r="L4378" s="1055"/>
      <c r="M4378" s="1205"/>
      <c r="N4378" s="1054"/>
      <c r="O4378" s="1207"/>
      <c r="Q4378" s="1207"/>
    </row>
    <row r="4379" spans="3:17" s="700" customFormat="1" ht="70.5" hidden="1" customHeight="1">
      <c r="C4379" s="701"/>
      <c r="D4379" s="811"/>
      <c r="E4379" s="1276">
        <f>[11]building!Y4710</f>
        <v>0</v>
      </c>
      <c r="F4379" s="748">
        <f t="shared" si="307"/>
        <v>0</v>
      </c>
      <c r="G4379" s="1205"/>
      <c r="H4379" s="1055"/>
      <c r="I4379" s="1055"/>
      <c r="J4379" s="1055"/>
      <c r="K4379" s="1205"/>
      <c r="L4379" s="1055"/>
      <c r="M4379" s="1205"/>
      <c r="N4379" s="1054"/>
      <c r="O4379" s="1207"/>
      <c r="Q4379" s="1207"/>
    </row>
    <row r="4380" spans="3:17" s="700" customFormat="1" ht="70.5" hidden="1" customHeight="1">
      <c r="C4380" s="701"/>
      <c r="D4380" s="811"/>
      <c r="E4380" s="1276">
        <f>[11]building!Y4711</f>
        <v>0</v>
      </c>
      <c r="F4380" s="748">
        <f t="shared" si="307"/>
        <v>0</v>
      </c>
      <c r="G4380" s="1205"/>
      <c r="H4380" s="1055"/>
      <c r="I4380" s="1055"/>
      <c r="J4380" s="1055"/>
      <c r="K4380" s="1205"/>
      <c r="L4380" s="1055"/>
      <c r="M4380" s="1205"/>
      <c r="N4380" s="1054"/>
      <c r="O4380" s="1207"/>
      <c r="Q4380" s="1207"/>
    </row>
    <row r="4381" spans="3:17" s="700" customFormat="1" ht="70.5" hidden="1" customHeight="1">
      <c r="C4381" s="701"/>
      <c r="D4381" s="811"/>
      <c r="E4381" s="1276">
        <f>[11]building!Y4712</f>
        <v>0</v>
      </c>
      <c r="F4381" s="748">
        <f t="shared" si="307"/>
        <v>0</v>
      </c>
      <c r="G4381" s="1205"/>
      <c r="H4381" s="1055"/>
      <c r="I4381" s="1055"/>
      <c r="J4381" s="1055"/>
      <c r="K4381" s="1205"/>
      <c r="L4381" s="1055"/>
      <c r="M4381" s="1205"/>
      <c r="N4381" s="1054"/>
      <c r="O4381" s="1207"/>
      <c r="Q4381" s="1207"/>
    </row>
    <row r="4382" spans="3:17" s="700" customFormat="1" ht="70.5" hidden="1" customHeight="1">
      <c r="C4382" s="701"/>
      <c r="D4382" s="811"/>
      <c r="E4382" s="1276">
        <f>[11]building!Y4713</f>
        <v>0</v>
      </c>
      <c r="F4382" s="748">
        <f t="shared" si="307"/>
        <v>0</v>
      </c>
      <c r="G4382" s="1205"/>
      <c r="H4382" s="1055"/>
      <c r="I4382" s="1055"/>
      <c r="J4382" s="1055"/>
      <c r="K4382" s="1205"/>
      <c r="L4382" s="1055"/>
      <c r="M4382" s="1205"/>
      <c r="N4382" s="1054"/>
      <c r="O4382" s="1207"/>
      <c r="Q4382" s="1207"/>
    </row>
    <row r="4383" spans="3:17" s="700" customFormat="1" ht="70.5" hidden="1" customHeight="1">
      <c r="C4383" s="701"/>
      <c r="D4383" s="811"/>
      <c r="E4383" s="1276">
        <f>[11]building!Y4714</f>
        <v>0</v>
      </c>
      <c r="F4383" s="748">
        <f t="shared" si="307"/>
        <v>0</v>
      </c>
      <c r="G4383" s="1205"/>
      <c r="H4383" s="1055"/>
      <c r="I4383" s="1055"/>
      <c r="J4383" s="1055"/>
      <c r="K4383" s="1205"/>
      <c r="L4383" s="1055"/>
      <c r="M4383" s="1205"/>
      <c r="N4383" s="1054"/>
      <c r="O4383" s="1207"/>
      <c r="Q4383" s="1207"/>
    </row>
    <row r="4384" spans="3:17" s="700" customFormat="1" ht="70.5" hidden="1" customHeight="1">
      <c r="C4384" s="701"/>
      <c r="D4384" s="811"/>
      <c r="E4384" s="1276">
        <f>[11]building!Y4715</f>
        <v>0</v>
      </c>
      <c r="F4384" s="748">
        <f t="shared" si="307"/>
        <v>0</v>
      </c>
      <c r="G4384" s="1205"/>
      <c r="H4384" s="1055"/>
      <c r="I4384" s="1055"/>
      <c r="J4384" s="1055"/>
      <c r="K4384" s="1205"/>
      <c r="L4384" s="1055"/>
      <c r="M4384" s="1205"/>
      <c r="N4384" s="1054"/>
      <c r="O4384" s="1207"/>
      <c r="Q4384" s="1207"/>
    </row>
    <row r="4385" spans="3:17" s="700" customFormat="1" ht="70.5" hidden="1" customHeight="1">
      <c r="C4385" s="701"/>
      <c r="D4385" s="811"/>
      <c r="E4385" s="1276">
        <f>[11]building!Y4716</f>
        <v>0</v>
      </c>
      <c r="F4385" s="748">
        <f t="shared" si="307"/>
        <v>0</v>
      </c>
      <c r="G4385" s="1205"/>
      <c r="H4385" s="1055"/>
      <c r="I4385" s="1055"/>
      <c r="J4385" s="1055"/>
      <c r="K4385" s="1205"/>
      <c r="L4385" s="1055"/>
      <c r="M4385" s="1205"/>
      <c r="N4385" s="1054"/>
      <c r="O4385" s="1207"/>
      <c r="Q4385" s="1207"/>
    </row>
    <row r="4386" spans="3:17" s="700" customFormat="1" ht="70.5" hidden="1" customHeight="1">
      <c r="C4386" s="701"/>
      <c r="D4386" s="811"/>
      <c r="E4386" s="1276">
        <f>[11]building!Y4717</f>
        <v>0</v>
      </c>
      <c r="F4386" s="748">
        <f t="shared" si="307"/>
        <v>0</v>
      </c>
      <c r="G4386" s="1205"/>
      <c r="H4386" s="1055"/>
      <c r="I4386" s="1055"/>
      <c r="J4386" s="1055"/>
      <c r="K4386" s="1205"/>
      <c r="L4386" s="1055"/>
      <c r="M4386" s="1205"/>
      <c r="N4386" s="1054"/>
      <c r="O4386" s="1207"/>
      <c r="Q4386" s="1207"/>
    </row>
    <row r="4387" spans="3:17" s="700" customFormat="1" ht="70.5" hidden="1" customHeight="1">
      <c r="C4387" s="701"/>
      <c r="D4387" s="811"/>
      <c r="E4387" s="1276">
        <f>[11]building!Y4718</f>
        <v>0</v>
      </c>
      <c r="F4387" s="748">
        <f t="shared" si="307"/>
        <v>0</v>
      </c>
      <c r="G4387" s="1205"/>
      <c r="H4387" s="1055"/>
      <c r="I4387" s="1055"/>
      <c r="J4387" s="1055"/>
      <c r="K4387" s="1205"/>
      <c r="L4387" s="1055"/>
      <c r="M4387" s="1205"/>
      <c r="N4387" s="1054"/>
      <c r="O4387" s="1207"/>
      <c r="Q4387" s="1207"/>
    </row>
    <row r="4388" spans="3:17" s="700" customFormat="1" ht="70.5" hidden="1" customHeight="1">
      <c r="C4388" s="701"/>
      <c r="D4388" s="811"/>
      <c r="E4388" s="1276">
        <f>[11]building!Y4719</f>
        <v>0</v>
      </c>
      <c r="F4388" s="748">
        <f t="shared" si="307"/>
        <v>0</v>
      </c>
      <c r="G4388" s="1205"/>
      <c r="H4388" s="1055"/>
      <c r="I4388" s="1055"/>
      <c r="J4388" s="1055"/>
      <c r="K4388" s="1205"/>
      <c r="L4388" s="1055"/>
      <c r="M4388" s="1205"/>
      <c r="N4388" s="1054"/>
      <c r="O4388" s="1207"/>
      <c r="Q4388" s="1207"/>
    </row>
    <row r="4389" spans="3:17" s="700" customFormat="1" ht="70.5" hidden="1" customHeight="1">
      <c r="C4389" s="701"/>
      <c r="D4389" s="811"/>
      <c r="E4389" s="1276">
        <f>[11]building!Y4720</f>
        <v>0</v>
      </c>
      <c r="F4389" s="748">
        <f t="shared" si="307"/>
        <v>0</v>
      </c>
      <c r="G4389" s="1205"/>
      <c r="H4389" s="1055"/>
      <c r="I4389" s="1055"/>
      <c r="J4389" s="1055"/>
      <c r="K4389" s="1205"/>
      <c r="L4389" s="1055"/>
      <c r="M4389" s="1205"/>
      <c r="N4389" s="1054"/>
      <c r="O4389" s="1207"/>
      <c r="Q4389" s="1207"/>
    </row>
    <row r="4390" spans="3:17" s="700" customFormat="1" ht="70.5" hidden="1" customHeight="1">
      <c r="C4390" s="701"/>
      <c r="D4390" s="811"/>
      <c r="E4390" s="1276">
        <f>[11]building!Y4721</f>
        <v>0</v>
      </c>
      <c r="F4390" s="748">
        <f t="shared" si="307"/>
        <v>0</v>
      </c>
      <c r="G4390" s="1205"/>
      <c r="H4390" s="1055"/>
      <c r="I4390" s="1055"/>
      <c r="J4390" s="1055"/>
      <c r="K4390" s="1205"/>
      <c r="L4390" s="1055"/>
      <c r="M4390" s="1205"/>
      <c r="N4390" s="1054"/>
      <c r="O4390" s="1207"/>
      <c r="Q4390" s="1207"/>
    </row>
    <row r="4391" spans="3:17" s="700" customFormat="1" ht="70.5" hidden="1" customHeight="1">
      <c r="C4391" s="701"/>
      <c r="D4391" s="811"/>
      <c r="E4391" s="1276">
        <f>[11]building!Y4722</f>
        <v>0</v>
      </c>
      <c r="F4391" s="748">
        <f t="shared" si="307"/>
        <v>0</v>
      </c>
      <c r="G4391" s="1205"/>
      <c r="H4391" s="1055"/>
      <c r="I4391" s="1055"/>
      <c r="J4391" s="1055"/>
      <c r="K4391" s="1205"/>
      <c r="L4391" s="1055"/>
      <c r="M4391" s="1205"/>
      <c r="N4391" s="1054"/>
      <c r="O4391" s="1207"/>
      <c r="Q4391" s="1207"/>
    </row>
    <row r="4392" spans="3:17" s="700" customFormat="1" ht="70.5" hidden="1" customHeight="1">
      <c r="C4392" s="701"/>
      <c r="D4392" s="811"/>
      <c r="E4392" s="1276">
        <f>[11]building!Y4723</f>
        <v>0</v>
      </c>
      <c r="F4392" s="748">
        <f t="shared" si="307"/>
        <v>0</v>
      </c>
      <c r="G4392" s="1205"/>
      <c r="H4392" s="1055"/>
      <c r="I4392" s="1055"/>
      <c r="J4392" s="1055"/>
      <c r="K4392" s="1205"/>
      <c r="L4392" s="1055"/>
      <c r="M4392" s="1205"/>
      <c r="N4392" s="1054"/>
      <c r="O4392" s="1207"/>
      <c r="Q4392" s="1207"/>
    </row>
    <row r="4393" spans="3:17" s="700" customFormat="1" ht="70.5" hidden="1" customHeight="1">
      <c r="C4393" s="701"/>
      <c r="D4393" s="811"/>
      <c r="E4393" s="1276">
        <f>[11]building!Y4724</f>
        <v>0</v>
      </c>
      <c r="F4393" s="748">
        <f t="shared" si="307"/>
        <v>0</v>
      </c>
      <c r="G4393" s="1205"/>
      <c r="H4393" s="1055"/>
      <c r="I4393" s="1055"/>
      <c r="J4393" s="1055"/>
      <c r="K4393" s="1205"/>
      <c r="L4393" s="1055"/>
      <c r="M4393" s="1205"/>
      <c r="N4393" s="1054"/>
      <c r="O4393" s="1207"/>
      <c r="Q4393" s="1207"/>
    </row>
    <row r="4394" spans="3:17" s="700" customFormat="1" ht="70.5" hidden="1" customHeight="1">
      <c r="C4394" s="701"/>
      <c r="D4394" s="811"/>
      <c r="E4394" s="1276">
        <f>[11]building!Y4725</f>
        <v>0</v>
      </c>
      <c r="F4394" s="748">
        <f t="shared" si="307"/>
        <v>0</v>
      </c>
      <c r="G4394" s="1205"/>
      <c r="H4394" s="1055"/>
      <c r="I4394" s="1055"/>
      <c r="J4394" s="1055"/>
      <c r="K4394" s="1205"/>
      <c r="L4394" s="1055"/>
      <c r="M4394" s="1205"/>
      <c r="N4394" s="1054"/>
      <c r="O4394" s="1207"/>
      <c r="Q4394" s="1207"/>
    </row>
    <row r="4395" spans="3:17" s="700" customFormat="1" ht="70.5" hidden="1" customHeight="1">
      <c r="C4395" s="701"/>
      <c r="D4395" s="811"/>
      <c r="E4395" s="1276">
        <f>[11]building!Y4726</f>
        <v>0</v>
      </c>
      <c r="F4395" s="748">
        <f t="shared" si="307"/>
        <v>0</v>
      </c>
      <c r="G4395" s="1205"/>
      <c r="H4395" s="1055"/>
      <c r="I4395" s="1055"/>
      <c r="J4395" s="1055"/>
      <c r="K4395" s="1205"/>
      <c r="L4395" s="1055"/>
      <c r="M4395" s="1205"/>
      <c r="N4395" s="1054"/>
      <c r="O4395" s="1207"/>
      <c r="Q4395" s="1207"/>
    </row>
    <row r="4396" spans="3:17" s="700" customFormat="1" ht="70.5" hidden="1" customHeight="1">
      <c r="C4396" s="701"/>
      <c r="D4396" s="811"/>
      <c r="E4396" s="1276">
        <f>[11]building!Y4727</f>
        <v>0</v>
      </c>
      <c r="F4396" s="748">
        <f t="shared" si="307"/>
        <v>0</v>
      </c>
      <c r="G4396" s="1205"/>
      <c r="H4396" s="1055"/>
      <c r="I4396" s="1055"/>
      <c r="J4396" s="1055"/>
      <c r="K4396" s="1205"/>
      <c r="L4396" s="1055"/>
      <c r="M4396" s="1205"/>
      <c r="N4396" s="1054"/>
      <c r="O4396" s="1207"/>
      <c r="Q4396" s="1207"/>
    </row>
    <row r="4397" spans="3:17" s="700" customFormat="1" ht="70.5" hidden="1" customHeight="1">
      <c r="C4397" s="701"/>
      <c r="D4397" s="811"/>
      <c r="E4397" s="1276">
        <f>[11]building!Y4728</f>
        <v>0</v>
      </c>
      <c r="F4397" s="748">
        <f t="shared" si="307"/>
        <v>0</v>
      </c>
      <c r="G4397" s="1205"/>
      <c r="H4397" s="1055"/>
      <c r="I4397" s="1055"/>
      <c r="J4397" s="1055"/>
      <c r="K4397" s="1205"/>
      <c r="L4397" s="1055"/>
      <c r="M4397" s="1205"/>
      <c r="N4397" s="1054"/>
      <c r="O4397" s="1207"/>
      <c r="Q4397" s="1207"/>
    </row>
    <row r="4398" spans="3:17" s="700" customFormat="1" ht="70.5" hidden="1" customHeight="1">
      <c r="C4398" s="701"/>
      <c r="D4398" s="811"/>
      <c r="E4398" s="1276">
        <f>[11]building!Y4729</f>
        <v>0</v>
      </c>
      <c r="F4398" s="748">
        <f t="shared" si="307"/>
        <v>0</v>
      </c>
      <c r="G4398" s="1205"/>
      <c r="H4398" s="1055"/>
      <c r="I4398" s="1055"/>
      <c r="J4398" s="1055"/>
      <c r="K4398" s="1205"/>
      <c r="L4398" s="1055"/>
      <c r="M4398" s="1205"/>
      <c r="N4398" s="1054"/>
      <c r="O4398" s="1207"/>
      <c r="Q4398" s="1207"/>
    </row>
    <row r="4399" spans="3:17" s="700" customFormat="1" ht="70.5" hidden="1" customHeight="1">
      <c r="C4399" s="701"/>
      <c r="D4399" s="811"/>
      <c r="E4399" s="1276">
        <f>[11]building!Y4730</f>
        <v>0</v>
      </c>
      <c r="F4399" s="748">
        <f t="shared" si="307"/>
        <v>0</v>
      </c>
      <c r="G4399" s="1205"/>
      <c r="H4399" s="1055"/>
      <c r="I4399" s="1055"/>
      <c r="J4399" s="1055"/>
      <c r="K4399" s="1205"/>
      <c r="L4399" s="1055"/>
      <c r="M4399" s="1205"/>
      <c r="N4399" s="1054"/>
      <c r="O4399" s="1207"/>
      <c r="Q4399" s="1207"/>
    </row>
    <row r="4400" spans="3:17" s="700" customFormat="1" ht="70.5" hidden="1" customHeight="1">
      <c r="C4400" s="701"/>
      <c r="D4400" s="811"/>
      <c r="E4400" s="1276">
        <f>[11]building!Y4731</f>
        <v>0</v>
      </c>
      <c r="F4400" s="748">
        <f t="shared" si="307"/>
        <v>0</v>
      </c>
      <c r="G4400" s="1205"/>
      <c r="H4400" s="1055"/>
      <c r="I4400" s="1055"/>
      <c r="J4400" s="1055"/>
      <c r="K4400" s="1205"/>
      <c r="L4400" s="1055"/>
      <c r="M4400" s="1205"/>
      <c r="N4400" s="1054"/>
      <c r="O4400" s="1207"/>
      <c r="Q4400" s="1207"/>
    </row>
    <row r="4401" spans="3:17" s="700" customFormat="1" ht="70.5" hidden="1" customHeight="1">
      <c r="C4401" s="701"/>
      <c r="D4401" s="811"/>
      <c r="E4401" s="1276">
        <f>[11]building!Y4732</f>
        <v>0</v>
      </c>
      <c r="F4401" s="748">
        <f t="shared" si="307"/>
        <v>0</v>
      </c>
      <c r="G4401" s="1205"/>
      <c r="H4401" s="1055"/>
      <c r="I4401" s="1055"/>
      <c r="J4401" s="1055"/>
      <c r="K4401" s="1205"/>
      <c r="L4401" s="1055"/>
      <c r="M4401" s="1205"/>
      <c r="N4401" s="1054"/>
      <c r="O4401" s="1207"/>
      <c r="Q4401" s="1207"/>
    </row>
    <row r="4402" spans="3:17" s="700" customFormat="1" ht="70.5" hidden="1" customHeight="1">
      <c r="C4402" s="701"/>
      <c r="D4402" s="811"/>
      <c r="E4402" s="1276">
        <f>[11]building!Y4733</f>
        <v>0</v>
      </c>
      <c r="F4402" s="748">
        <f t="shared" si="307"/>
        <v>0</v>
      </c>
      <c r="G4402" s="1205"/>
      <c r="H4402" s="1055"/>
      <c r="I4402" s="1055"/>
      <c r="J4402" s="1055"/>
      <c r="K4402" s="1205"/>
      <c r="L4402" s="1055"/>
      <c r="M4402" s="1205"/>
      <c r="N4402" s="1054"/>
      <c r="O4402" s="1207"/>
      <c r="Q4402" s="1207"/>
    </row>
    <row r="4403" spans="3:17" s="700" customFormat="1" ht="70.5" hidden="1" customHeight="1">
      <c r="C4403" s="701"/>
      <c r="D4403" s="811"/>
      <c r="E4403" s="1276">
        <f>[11]building!Y4734</f>
        <v>0</v>
      </c>
      <c r="F4403" s="748">
        <f t="shared" si="307"/>
        <v>0</v>
      </c>
      <c r="G4403" s="1205"/>
      <c r="H4403" s="1055"/>
      <c r="I4403" s="1055"/>
      <c r="J4403" s="1055"/>
      <c r="K4403" s="1205"/>
      <c r="L4403" s="1055"/>
      <c r="M4403" s="1205"/>
      <c r="N4403" s="1054"/>
      <c r="O4403" s="1207"/>
      <c r="Q4403" s="1207"/>
    </row>
    <row r="4404" spans="3:17" s="700" customFormat="1" ht="70.5" hidden="1" customHeight="1">
      <c r="C4404" s="701"/>
      <c r="D4404" s="811"/>
      <c r="E4404" s="1276">
        <f>[11]building!Y4735</f>
        <v>0</v>
      </c>
      <c r="F4404" s="748">
        <f t="shared" si="307"/>
        <v>0</v>
      </c>
      <c r="G4404" s="1205"/>
      <c r="H4404" s="1055"/>
      <c r="I4404" s="1055"/>
      <c r="J4404" s="1055"/>
      <c r="K4404" s="1205"/>
      <c r="L4404" s="1055"/>
      <c r="M4404" s="1205"/>
      <c r="N4404" s="1054"/>
      <c r="O4404" s="1207"/>
      <c r="Q4404" s="1207"/>
    </row>
    <row r="4405" spans="3:17" s="700" customFormat="1" ht="70.5" hidden="1" customHeight="1">
      <c r="C4405" s="701"/>
      <c r="D4405" s="811"/>
      <c r="E4405" s="1276">
        <f>[11]building!Y4736</f>
        <v>0</v>
      </c>
      <c r="F4405" s="748">
        <f t="shared" si="307"/>
        <v>0</v>
      </c>
      <c r="G4405" s="1205"/>
      <c r="H4405" s="1055"/>
      <c r="I4405" s="1055"/>
      <c r="J4405" s="1055"/>
      <c r="K4405" s="1205"/>
      <c r="L4405" s="1055"/>
      <c r="M4405" s="1205"/>
      <c r="N4405" s="1054"/>
      <c r="O4405" s="1207"/>
      <c r="Q4405" s="1207"/>
    </row>
    <row r="4406" spans="3:17" s="700" customFormat="1" ht="70.5" hidden="1" customHeight="1">
      <c r="C4406" s="701"/>
      <c r="D4406" s="811"/>
      <c r="E4406" s="1276">
        <f>[11]building!Y4737</f>
        <v>0</v>
      </c>
      <c r="F4406" s="748">
        <f t="shared" si="307"/>
        <v>0</v>
      </c>
      <c r="G4406" s="1205"/>
      <c r="H4406" s="1055"/>
      <c r="I4406" s="1055"/>
      <c r="J4406" s="1055"/>
      <c r="K4406" s="1205"/>
      <c r="L4406" s="1055"/>
      <c r="M4406" s="1205"/>
      <c r="N4406" s="1054"/>
      <c r="O4406" s="1207"/>
      <c r="Q4406" s="1207"/>
    </row>
    <row r="4407" spans="3:17" s="700" customFormat="1" ht="70.5" hidden="1" customHeight="1">
      <c r="C4407" s="701"/>
      <c r="D4407" s="811"/>
      <c r="E4407" s="1276">
        <f>[11]building!Y4738</f>
        <v>0</v>
      </c>
      <c r="F4407" s="748">
        <f t="shared" si="307"/>
        <v>0</v>
      </c>
      <c r="G4407" s="1205"/>
      <c r="H4407" s="1055"/>
      <c r="I4407" s="1055"/>
      <c r="J4407" s="1055"/>
      <c r="K4407" s="1205"/>
      <c r="L4407" s="1055"/>
      <c r="M4407" s="1205"/>
      <c r="N4407" s="1054"/>
      <c r="O4407" s="1207"/>
      <c r="Q4407" s="1207"/>
    </row>
    <row r="4408" spans="3:17" s="700" customFormat="1" ht="70.5" hidden="1" customHeight="1">
      <c r="C4408" s="701"/>
      <c r="D4408" s="811"/>
      <c r="E4408" s="1276">
        <f>[11]building!Y4739</f>
        <v>0</v>
      </c>
      <c r="F4408" s="748">
        <f t="shared" si="307"/>
        <v>0</v>
      </c>
      <c r="G4408" s="1205"/>
      <c r="H4408" s="1055"/>
      <c r="I4408" s="1055"/>
      <c r="J4408" s="1055"/>
      <c r="K4408" s="1205"/>
      <c r="L4408" s="1055"/>
      <c r="M4408" s="1205"/>
      <c r="N4408" s="1054"/>
      <c r="O4408" s="1207"/>
      <c r="Q4408" s="1207"/>
    </row>
    <row r="4409" spans="3:17" s="700" customFormat="1" ht="70.5" hidden="1" customHeight="1">
      <c r="C4409" s="701"/>
      <c r="D4409" s="811"/>
      <c r="E4409" s="1276">
        <f>[11]building!Y4740</f>
        <v>0</v>
      </c>
      <c r="F4409" s="748">
        <f t="shared" si="307"/>
        <v>0</v>
      </c>
      <c r="G4409" s="1205"/>
      <c r="H4409" s="1055"/>
      <c r="I4409" s="1055"/>
      <c r="J4409" s="1055"/>
      <c r="K4409" s="1205"/>
      <c r="L4409" s="1055"/>
      <c r="M4409" s="1205"/>
      <c r="N4409" s="1054"/>
      <c r="O4409" s="1207"/>
      <c r="Q4409" s="1207"/>
    </row>
    <row r="4410" spans="3:17" s="700" customFormat="1" ht="70.5" hidden="1" customHeight="1">
      <c r="C4410" s="701"/>
      <c r="D4410" s="811"/>
      <c r="E4410" s="1276">
        <f>[11]building!Y4741</f>
        <v>0</v>
      </c>
      <c r="F4410" s="748">
        <f t="shared" si="307"/>
        <v>0</v>
      </c>
      <c r="G4410" s="1205"/>
      <c r="H4410" s="1055"/>
      <c r="I4410" s="1055"/>
      <c r="J4410" s="1055"/>
      <c r="K4410" s="1205"/>
      <c r="L4410" s="1055"/>
      <c r="M4410" s="1205"/>
      <c r="N4410" s="1054"/>
      <c r="O4410" s="1207"/>
      <c r="Q4410" s="1207"/>
    </row>
    <row r="4411" spans="3:17" s="700" customFormat="1" ht="70.5" hidden="1" customHeight="1">
      <c r="C4411" s="701"/>
      <c r="D4411" s="811"/>
      <c r="E4411" s="1276">
        <f>[11]building!Y4742</f>
        <v>0</v>
      </c>
      <c r="F4411" s="748">
        <f t="shared" si="307"/>
        <v>0</v>
      </c>
      <c r="G4411" s="1205"/>
      <c r="H4411" s="1055"/>
      <c r="I4411" s="1055"/>
      <c r="J4411" s="1055"/>
      <c r="K4411" s="1205"/>
      <c r="L4411" s="1055"/>
      <c r="M4411" s="1205"/>
      <c r="N4411" s="1054"/>
      <c r="O4411" s="1207"/>
      <c r="Q4411" s="1207"/>
    </row>
    <row r="4412" spans="3:17" s="700" customFormat="1" ht="70.5" hidden="1" customHeight="1">
      <c r="C4412" s="701"/>
      <c r="D4412" s="811"/>
      <c r="E4412" s="1276">
        <f>[11]building!Y4743</f>
        <v>0</v>
      </c>
      <c r="F4412" s="748">
        <f t="shared" si="307"/>
        <v>0</v>
      </c>
      <c r="G4412" s="1205"/>
      <c r="H4412" s="1055"/>
      <c r="I4412" s="1055"/>
      <c r="J4412" s="1055"/>
      <c r="K4412" s="1205"/>
      <c r="L4412" s="1055"/>
      <c r="M4412" s="1205"/>
      <c r="N4412" s="1054"/>
      <c r="O4412" s="1207"/>
      <c r="Q4412" s="1207"/>
    </row>
    <row r="4413" spans="3:17" s="700" customFormat="1" ht="70.5" hidden="1" customHeight="1">
      <c r="C4413" s="701"/>
      <c r="D4413" s="811"/>
      <c r="E4413" s="1276">
        <f>[11]building!Y4744</f>
        <v>0</v>
      </c>
      <c r="F4413" s="748">
        <f t="shared" si="307"/>
        <v>0</v>
      </c>
      <c r="G4413" s="1205"/>
      <c r="H4413" s="1055"/>
      <c r="I4413" s="1055"/>
      <c r="J4413" s="1055"/>
      <c r="K4413" s="1205"/>
      <c r="L4413" s="1055"/>
      <c r="M4413" s="1205"/>
      <c r="N4413" s="1054"/>
      <c r="O4413" s="1207"/>
      <c r="Q4413" s="1207"/>
    </row>
    <row r="4414" spans="3:17" s="700" customFormat="1" ht="70.5" hidden="1" customHeight="1">
      <c r="C4414" s="701"/>
      <c r="D4414" s="811"/>
      <c r="E4414" s="1276">
        <f>[11]building!Y4745</f>
        <v>0</v>
      </c>
      <c r="F4414" s="748">
        <f t="shared" si="307"/>
        <v>0</v>
      </c>
      <c r="G4414" s="1205"/>
      <c r="H4414" s="1055"/>
      <c r="I4414" s="1055"/>
      <c r="J4414" s="1055"/>
      <c r="K4414" s="1205"/>
      <c r="L4414" s="1055"/>
      <c r="M4414" s="1205"/>
      <c r="N4414" s="1054"/>
      <c r="O4414" s="1207"/>
      <c r="Q4414" s="1207"/>
    </row>
    <row r="4415" spans="3:17" s="700" customFormat="1" ht="70.5" hidden="1" customHeight="1">
      <c r="C4415" s="701"/>
      <c r="D4415" s="811"/>
      <c r="E4415" s="1276">
        <f>[11]building!Y4746</f>
        <v>0</v>
      </c>
      <c r="F4415" s="748">
        <f t="shared" si="307"/>
        <v>0</v>
      </c>
      <c r="G4415" s="1205"/>
      <c r="H4415" s="1055"/>
      <c r="I4415" s="1055"/>
      <c r="J4415" s="1055"/>
      <c r="K4415" s="1205"/>
      <c r="L4415" s="1055"/>
      <c r="M4415" s="1205"/>
      <c r="N4415" s="1054"/>
      <c r="O4415" s="1207"/>
      <c r="Q4415" s="1207"/>
    </row>
    <row r="4416" spans="3:17" s="700" customFormat="1" ht="70.5" hidden="1" customHeight="1">
      <c r="C4416" s="701"/>
      <c r="D4416" s="811"/>
      <c r="E4416" s="1276">
        <f>[11]building!Y4747</f>
        <v>0</v>
      </c>
      <c r="F4416" s="748">
        <f t="shared" ref="F4416:F4479" si="308">E4416*C4416</f>
        <v>0</v>
      </c>
      <c r="G4416" s="1205"/>
      <c r="H4416" s="1055"/>
      <c r="I4416" s="1055"/>
      <c r="J4416" s="1055"/>
      <c r="K4416" s="1205"/>
      <c r="L4416" s="1055"/>
      <c r="M4416" s="1205"/>
      <c r="N4416" s="1054"/>
      <c r="O4416" s="1207"/>
      <c r="Q4416" s="1207"/>
    </row>
    <row r="4417" spans="3:17" s="700" customFormat="1" ht="70.5" hidden="1" customHeight="1">
      <c r="C4417" s="701"/>
      <c r="D4417" s="811"/>
      <c r="E4417" s="1276">
        <f>[11]building!Y4748</f>
        <v>0</v>
      </c>
      <c r="F4417" s="748">
        <f t="shared" si="308"/>
        <v>0</v>
      </c>
      <c r="G4417" s="1205"/>
      <c r="H4417" s="1055"/>
      <c r="I4417" s="1055"/>
      <c r="J4417" s="1055"/>
      <c r="K4417" s="1205"/>
      <c r="L4417" s="1055"/>
      <c r="M4417" s="1205"/>
      <c r="N4417" s="1054"/>
      <c r="O4417" s="1207"/>
      <c r="Q4417" s="1207"/>
    </row>
    <row r="4418" spans="3:17" s="700" customFormat="1" ht="70.5" hidden="1" customHeight="1">
      <c r="C4418" s="701"/>
      <c r="D4418" s="811"/>
      <c r="E4418" s="1276">
        <f>[11]building!Y4749</f>
        <v>0</v>
      </c>
      <c r="F4418" s="748">
        <f t="shared" si="308"/>
        <v>0</v>
      </c>
      <c r="G4418" s="1205"/>
      <c r="H4418" s="1055"/>
      <c r="I4418" s="1055"/>
      <c r="J4418" s="1055"/>
      <c r="K4418" s="1205"/>
      <c r="L4418" s="1055"/>
      <c r="M4418" s="1205"/>
      <c r="N4418" s="1054"/>
      <c r="O4418" s="1207"/>
      <c r="Q4418" s="1207"/>
    </row>
    <row r="4419" spans="3:17" s="700" customFormat="1" ht="70.5" hidden="1" customHeight="1">
      <c r="C4419" s="701"/>
      <c r="D4419" s="811"/>
      <c r="E4419" s="1276">
        <f>[11]building!Y4750</f>
        <v>0</v>
      </c>
      <c r="F4419" s="748">
        <f t="shared" si="308"/>
        <v>0</v>
      </c>
      <c r="G4419" s="1205"/>
      <c r="H4419" s="1055"/>
      <c r="I4419" s="1055"/>
      <c r="J4419" s="1055"/>
      <c r="K4419" s="1205"/>
      <c r="L4419" s="1055"/>
      <c r="M4419" s="1205"/>
      <c r="N4419" s="1054"/>
      <c r="O4419" s="1207"/>
      <c r="Q4419" s="1207"/>
    </row>
    <row r="4420" spans="3:17" s="700" customFormat="1" ht="70.5" hidden="1" customHeight="1">
      <c r="C4420" s="701"/>
      <c r="D4420" s="811"/>
      <c r="E4420" s="1276">
        <f>[11]building!Y4751</f>
        <v>0</v>
      </c>
      <c r="F4420" s="748">
        <f t="shared" si="308"/>
        <v>0</v>
      </c>
      <c r="G4420" s="1205"/>
      <c r="H4420" s="1055"/>
      <c r="I4420" s="1055"/>
      <c r="J4420" s="1055"/>
      <c r="K4420" s="1205"/>
      <c r="L4420" s="1055"/>
      <c r="M4420" s="1205"/>
      <c r="N4420" s="1054"/>
      <c r="O4420" s="1207"/>
      <c r="Q4420" s="1207"/>
    </row>
    <row r="4421" spans="3:17" s="700" customFormat="1" ht="70.5" hidden="1" customHeight="1">
      <c r="C4421" s="701"/>
      <c r="D4421" s="811"/>
      <c r="E4421" s="1276">
        <f>[11]building!Y4752</f>
        <v>0</v>
      </c>
      <c r="F4421" s="748">
        <f t="shared" si="308"/>
        <v>0</v>
      </c>
      <c r="G4421" s="1205"/>
      <c r="H4421" s="1055"/>
      <c r="I4421" s="1055"/>
      <c r="J4421" s="1055"/>
      <c r="K4421" s="1205"/>
      <c r="L4421" s="1055"/>
      <c r="M4421" s="1205"/>
      <c r="N4421" s="1054"/>
      <c r="O4421" s="1207"/>
      <c r="Q4421" s="1207"/>
    </row>
    <row r="4422" spans="3:17" s="700" customFormat="1" ht="70.5" hidden="1" customHeight="1">
      <c r="C4422" s="701"/>
      <c r="D4422" s="811"/>
      <c r="E4422" s="1276">
        <f>[11]building!Y4753</f>
        <v>0</v>
      </c>
      <c r="F4422" s="748">
        <f t="shared" si="308"/>
        <v>0</v>
      </c>
      <c r="G4422" s="1205"/>
      <c r="H4422" s="1055"/>
      <c r="I4422" s="1055"/>
      <c r="J4422" s="1055"/>
      <c r="K4422" s="1205"/>
      <c r="L4422" s="1055"/>
      <c r="M4422" s="1205"/>
      <c r="N4422" s="1054"/>
      <c r="O4422" s="1207"/>
      <c r="Q4422" s="1207"/>
    </row>
    <row r="4423" spans="3:17" s="700" customFormat="1" ht="70.5" hidden="1" customHeight="1">
      <c r="C4423" s="701"/>
      <c r="D4423" s="811"/>
      <c r="E4423" s="1276">
        <f>[11]building!Y4754</f>
        <v>0</v>
      </c>
      <c r="F4423" s="748">
        <f t="shared" si="308"/>
        <v>0</v>
      </c>
      <c r="G4423" s="1205"/>
      <c r="H4423" s="1055"/>
      <c r="I4423" s="1055"/>
      <c r="J4423" s="1055"/>
      <c r="K4423" s="1205"/>
      <c r="L4423" s="1055"/>
      <c r="M4423" s="1205"/>
      <c r="N4423" s="1054"/>
      <c r="O4423" s="1207"/>
      <c r="Q4423" s="1207"/>
    </row>
    <row r="4424" spans="3:17" s="700" customFormat="1" ht="70.5" hidden="1" customHeight="1">
      <c r="C4424" s="701"/>
      <c r="D4424" s="811"/>
      <c r="E4424" s="1276">
        <f>[11]building!Y4755</f>
        <v>0</v>
      </c>
      <c r="F4424" s="748">
        <f t="shared" si="308"/>
        <v>0</v>
      </c>
      <c r="G4424" s="1205"/>
      <c r="H4424" s="1055"/>
      <c r="I4424" s="1055"/>
      <c r="J4424" s="1055"/>
      <c r="K4424" s="1205"/>
      <c r="L4424" s="1055"/>
      <c r="M4424" s="1205"/>
      <c r="N4424" s="1054"/>
      <c r="O4424" s="1207"/>
      <c r="Q4424" s="1207"/>
    </row>
    <row r="4425" spans="3:17" s="700" customFormat="1" ht="70.5" hidden="1" customHeight="1">
      <c r="C4425" s="701"/>
      <c r="D4425" s="811"/>
      <c r="E4425" s="1276">
        <f>[11]building!Y4756</f>
        <v>0</v>
      </c>
      <c r="F4425" s="748">
        <f t="shared" si="308"/>
        <v>0</v>
      </c>
      <c r="G4425" s="1205"/>
      <c r="H4425" s="1055"/>
      <c r="I4425" s="1055"/>
      <c r="J4425" s="1055"/>
      <c r="K4425" s="1205"/>
      <c r="L4425" s="1055"/>
      <c r="M4425" s="1205"/>
      <c r="N4425" s="1054"/>
      <c r="O4425" s="1207"/>
      <c r="Q4425" s="1207"/>
    </row>
    <row r="4426" spans="3:17" s="700" customFormat="1" ht="70.5" hidden="1" customHeight="1">
      <c r="C4426" s="701"/>
      <c r="D4426" s="811"/>
      <c r="E4426" s="1276">
        <f>[11]building!Y4757</f>
        <v>0</v>
      </c>
      <c r="F4426" s="748">
        <f t="shared" si="308"/>
        <v>0</v>
      </c>
      <c r="G4426" s="1205"/>
      <c r="H4426" s="1055"/>
      <c r="I4426" s="1055"/>
      <c r="J4426" s="1055"/>
      <c r="K4426" s="1205"/>
      <c r="L4426" s="1055"/>
      <c r="M4426" s="1205"/>
      <c r="N4426" s="1054"/>
      <c r="O4426" s="1207"/>
      <c r="Q4426" s="1207"/>
    </row>
    <row r="4427" spans="3:17" s="700" customFormat="1" ht="70.5" hidden="1" customHeight="1">
      <c r="C4427" s="701"/>
      <c r="D4427" s="811"/>
      <c r="E4427" s="1276">
        <f>[11]building!Y4758</f>
        <v>0</v>
      </c>
      <c r="F4427" s="748">
        <f t="shared" si="308"/>
        <v>0</v>
      </c>
      <c r="G4427" s="1205"/>
      <c r="H4427" s="1055"/>
      <c r="I4427" s="1055"/>
      <c r="J4427" s="1055"/>
      <c r="K4427" s="1205"/>
      <c r="L4427" s="1055"/>
      <c r="M4427" s="1205"/>
      <c r="N4427" s="1054"/>
      <c r="O4427" s="1207"/>
      <c r="Q4427" s="1207"/>
    </row>
    <row r="4428" spans="3:17" s="700" customFormat="1" ht="70.5" hidden="1" customHeight="1">
      <c r="C4428" s="701"/>
      <c r="D4428" s="811"/>
      <c r="E4428" s="1276">
        <f>[11]building!Y4759</f>
        <v>0</v>
      </c>
      <c r="F4428" s="748">
        <f t="shared" si="308"/>
        <v>0</v>
      </c>
      <c r="G4428" s="1205"/>
      <c r="H4428" s="1055"/>
      <c r="I4428" s="1055"/>
      <c r="J4428" s="1055"/>
      <c r="K4428" s="1205"/>
      <c r="L4428" s="1055"/>
      <c r="M4428" s="1205"/>
      <c r="N4428" s="1054"/>
      <c r="O4428" s="1207"/>
      <c r="Q4428" s="1207"/>
    </row>
    <row r="4429" spans="3:17" s="700" customFormat="1" ht="70.5" hidden="1" customHeight="1">
      <c r="C4429" s="701"/>
      <c r="D4429" s="811"/>
      <c r="E4429" s="1276">
        <f>[11]building!Y4760</f>
        <v>0</v>
      </c>
      <c r="F4429" s="748">
        <f t="shared" si="308"/>
        <v>0</v>
      </c>
      <c r="G4429" s="1205"/>
      <c r="H4429" s="1055"/>
      <c r="I4429" s="1055"/>
      <c r="J4429" s="1055"/>
      <c r="K4429" s="1205"/>
      <c r="L4429" s="1055"/>
      <c r="M4429" s="1205"/>
      <c r="N4429" s="1054"/>
      <c r="O4429" s="1207"/>
      <c r="Q4429" s="1207"/>
    </row>
    <row r="4430" spans="3:17" s="700" customFormat="1" ht="70.5" hidden="1" customHeight="1">
      <c r="C4430" s="701"/>
      <c r="D4430" s="811"/>
      <c r="E4430" s="1276">
        <f>[11]building!Y4761</f>
        <v>0</v>
      </c>
      <c r="F4430" s="748">
        <f t="shared" si="308"/>
        <v>0</v>
      </c>
      <c r="G4430" s="1205"/>
      <c r="H4430" s="1055"/>
      <c r="I4430" s="1055"/>
      <c r="J4430" s="1055"/>
      <c r="K4430" s="1205"/>
      <c r="L4430" s="1055"/>
      <c r="M4430" s="1205"/>
      <c r="N4430" s="1054"/>
      <c r="O4430" s="1207"/>
      <c r="Q4430" s="1207"/>
    </row>
    <row r="4431" spans="3:17" s="700" customFormat="1" ht="70.5" hidden="1" customHeight="1">
      <c r="C4431" s="701"/>
      <c r="D4431" s="811"/>
      <c r="E4431" s="1276">
        <f>[11]building!Y4762</f>
        <v>0</v>
      </c>
      <c r="F4431" s="748">
        <f t="shared" si="308"/>
        <v>0</v>
      </c>
      <c r="G4431" s="1205"/>
      <c r="H4431" s="1055"/>
      <c r="I4431" s="1055"/>
      <c r="J4431" s="1055"/>
      <c r="K4431" s="1205"/>
      <c r="L4431" s="1055"/>
      <c r="M4431" s="1205"/>
      <c r="N4431" s="1054"/>
      <c r="O4431" s="1207"/>
      <c r="Q4431" s="1207"/>
    </row>
    <row r="4432" spans="3:17" s="700" customFormat="1" ht="70.5" hidden="1" customHeight="1">
      <c r="C4432" s="701"/>
      <c r="D4432" s="811"/>
      <c r="E4432" s="1276">
        <f>[11]building!Y4763</f>
        <v>0</v>
      </c>
      <c r="F4432" s="748">
        <f t="shared" si="308"/>
        <v>0</v>
      </c>
      <c r="G4432" s="1205"/>
      <c r="H4432" s="1055"/>
      <c r="I4432" s="1055"/>
      <c r="J4432" s="1055"/>
      <c r="K4432" s="1205"/>
      <c r="L4432" s="1055"/>
      <c r="M4432" s="1205"/>
      <c r="N4432" s="1054"/>
      <c r="O4432" s="1207"/>
      <c r="Q4432" s="1207"/>
    </row>
    <row r="4433" spans="3:17" s="700" customFormat="1" ht="70.5" hidden="1" customHeight="1">
      <c r="C4433" s="701"/>
      <c r="D4433" s="811"/>
      <c r="E4433" s="1276">
        <f>[11]building!Y4764</f>
        <v>0</v>
      </c>
      <c r="F4433" s="748">
        <f t="shared" si="308"/>
        <v>0</v>
      </c>
      <c r="G4433" s="1205"/>
      <c r="H4433" s="1055"/>
      <c r="I4433" s="1055"/>
      <c r="J4433" s="1055"/>
      <c r="K4433" s="1205"/>
      <c r="L4433" s="1055"/>
      <c r="M4433" s="1205"/>
      <c r="N4433" s="1054"/>
      <c r="O4433" s="1207"/>
      <c r="Q4433" s="1207"/>
    </row>
    <row r="4434" spans="3:17" s="700" customFormat="1" ht="70.5" hidden="1" customHeight="1">
      <c r="C4434" s="701"/>
      <c r="D4434" s="811"/>
      <c r="E4434" s="1276">
        <f>[11]building!Y4765</f>
        <v>0</v>
      </c>
      <c r="F4434" s="748">
        <f t="shared" si="308"/>
        <v>0</v>
      </c>
      <c r="G4434" s="1205"/>
      <c r="H4434" s="1055"/>
      <c r="I4434" s="1055"/>
      <c r="J4434" s="1055"/>
      <c r="K4434" s="1205"/>
      <c r="L4434" s="1055"/>
      <c r="M4434" s="1205"/>
      <c r="N4434" s="1054"/>
      <c r="O4434" s="1207"/>
      <c r="Q4434" s="1207"/>
    </row>
    <row r="4435" spans="3:17" s="700" customFormat="1" ht="70.5" hidden="1" customHeight="1">
      <c r="C4435" s="701"/>
      <c r="D4435" s="811"/>
      <c r="E4435" s="1276">
        <f>[11]building!Y4766</f>
        <v>0</v>
      </c>
      <c r="F4435" s="748">
        <f t="shared" si="308"/>
        <v>0</v>
      </c>
      <c r="G4435" s="1205"/>
      <c r="H4435" s="1055"/>
      <c r="I4435" s="1055"/>
      <c r="J4435" s="1055"/>
      <c r="K4435" s="1205"/>
      <c r="L4435" s="1055"/>
      <c r="M4435" s="1205"/>
      <c r="N4435" s="1054"/>
      <c r="O4435" s="1207"/>
      <c r="Q4435" s="1207"/>
    </row>
    <row r="4436" spans="3:17" s="700" customFormat="1" ht="70.5" hidden="1" customHeight="1">
      <c r="C4436" s="701"/>
      <c r="D4436" s="811"/>
      <c r="E4436" s="1276">
        <f>[11]building!Y4767</f>
        <v>0</v>
      </c>
      <c r="F4436" s="748">
        <f t="shared" si="308"/>
        <v>0</v>
      </c>
      <c r="G4436" s="1205"/>
      <c r="H4436" s="1055"/>
      <c r="I4436" s="1055"/>
      <c r="J4436" s="1055"/>
      <c r="K4436" s="1205"/>
      <c r="L4436" s="1055"/>
      <c r="M4436" s="1205"/>
      <c r="N4436" s="1054"/>
      <c r="O4436" s="1207"/>
      <c r="Q4436" s="1207"/>
    </row>
    <row r="4437" spans="3:17" s="700" customFormat="1" ht="70.5" hidden="1" customHeight="1">
      <c r="C4437" s="701"/>
      <c r="D4437" s="811"/>
      <c r="E4437" s="1276">
        <f>[11]building!Y4768</f>
        <v>0</v>
      </c>
      <c r="F4437" s="748">
        <f t="shared" si="308"/>
        <v>0</v>
      </c>
      <c r="G4437" s="1205"/>
      <c r="H4437" s="1055"/>
      <c r="I4437" s="1055"/>
      <c r="J4437" s="1055"/>
      <c r="K4437" s="1205"/>
      <c r="L4437" s="1055"/>
      <c r="M4437" s="1205"/>
      <c r="N4437" s="1054"/>
      <c r="O4437" s="1207"/>
      <c r="Q4437" s="1207"/>
    </row>
    <row r="4438" spans="3:17" s="700" customFormat="1" ht="70.5" hidden="1" customHeight="1">
      <c r="C4438" s="701"/>
      <c r="D4438" s="811"/>
      <c r="E4438" s="1276">
        <f>[11]building!Y4769</f>
        <v>0</v>
      </c>
      <c r="F4438" s="748">
        <f t="shared" si="308"/>
        <v>0</v>
      </c>
      <c r="G4438" s="1205"/>
      <c r="H4438" s="1055"/>
      <c r="I4438" s="1055"/>
      <c r="J4438" s="1055"/>
      <c r="K4438" s="1205"/>
      <c r="L4438" s="1055"/>
      <c r="M4438" s="1205"/>
      <c r="N4438" s="1054"/>
      <c r="O4438" s="1207"/>
      <c r="Q4438" s="1207"/>
    </row>
    <row r="4439" spans="3:17" s="700" customFormat="1" ht="70.5" hidden="1" customHeight="1">
      <c r="C4439" s="701"/>
      <c r="D4439" s="811"/>
      <c r="E4439" s="1276">
        <f>[11]building!Y4770</f>
        <v>0</v>
      </c>
      <c r="F4439" s="748">
        <f t="shared" si="308"/>
        <v>0</v>
      </c>
      <c r="G4439" s="1205"/>
      <c r="H4439" s="1055"/>
      <c r="I4439" s="1055"/>
      <c r="J4439" s="1055"/>
      <c r="K4439" s="1205"/>
      <c r="L4439" s="1055"/>
      <c r="M4439" s="1205"/>
      <c r="N4439" s="1054"/>
      <c r="O4439" s="1207"/>
      <c r="Q4439" s="1207"/>
    </row>
    <row r="4440" spans="3:17" s="700" customFormat="1" ht="70.5" hidden="1" customHeight="1">
      <c r="C4440" s="701"/>
      <c r="D4440" s="811"/>
      <c r="E4440" s="1276">
        <f>[11]building!Y4771</f>
        <v>0</v>
      </c>
      <c r="F4440" s="748">
        <f t="shared" si="308"/>
        <v>0</v>
      </c>
      <c r="G4440" s="1205"/>
      <c r="H4440" s="1055"/>
      <c r="I4440" s="1055"/>
      <c r="J4440" s="1055"/>
      <c r="K4440" s="1205"/>
      <c r="L4440" s="1055"/>
      <c r="M4440" s="1205"/>
      <c r="N4440" s="1054"/>
      <c r="O4440" s="1207"/>
      <c r="Q4440" s="1207"/>
    </row>
    <row r="4441" spans="3:17" s="700" customFormat="1" ht="70.5" hidden="1" customHeight="1">
      <c r="C4441" s="701"/>
      <c r="D4441" s="811"/>
      <c r="E4441" s="1276">
        <f>[11]building!Y4772</f>
        <v>0</v>
      </c>
      <c r="F4441" s="748">
        <f t="shared" si="308"/>
        <v>0</v>
      </c>
      <c r="G4441" s="1205"/>
      <c r="H4441" s="1055"/>
      <c r="I4441" s="1055"/>
      <c r="J4441" s="1055"/>
      <c r="K4441" s="1205"/>
      <c r="L4441" s="1055"/>
      <c r="M4441" s="1205"/>
      <c r="N4441" s="1054"/>
      <c r="O4441" s="1207"/>
      <c r="Q4441" s="1207"/>
    </row>
    <row r="4442" spans="3:17" s="700" customFormat="1" ht="70.5" hidden="1" customHeight="1">
      <c r="C4442" s="701"/>
      <c r="D4442" s="811"/>
      <c r="E4442" s="1276">
        <f>[11]building!Y4773</f>
        <v>0</v>
      </c>
      <c r="F4442" s="748">
        <f t="shared" si="308"/>
        <v>0</v>
      </c>
      <c r="G4442" s="1205"/>
      <c r="H4442" s="1055"/>
      <c r="I4442" s="1055"/>
      <c r="J4442" s="1055"/>
      <c r="K4442" s="1205"/>
      <c r="L4442" s="1055"/>
      <c r="M4442" s="1205"/>
      <c r="N4442" s="1054"/>
      <c r="O4442" s="1207"/>
      <c r="Q4442" s="1207"/>
    </row>
    <row r="4443" spans="3:17" s="700" customFormat="1" ht="70.5" hidden="1" customHeight="1">
      <c r="C4443" s="701"/>
      <c r="D4443" s="811"/>
      <c r="E4443" s="1276">
        <f>[11]building!Y4774</f>
        <v>0</v>
      </c>
      <c r="F4443" s="748">
        <f t="shared" si="308"/>
        <v>0</v>
      </c>
      <c r="G4443" s="1205"/>
      <c r="H4443" s="1055"/>
      <c r="I4443" s="1055"/>
      <c r="J4443" s="1055"/>
      <c r="K4443" s="1205"/>
      <c r="L4443" s="1055"/>
      <c r="M4443" s="1205"/>
      <c r="N4443" s="1054"/>
      <c r="O4443" s="1207"/>
      <c r="Q4443" s="1207"/>
    </row>
    <row r="4444" spans="3:17" s="700" customFormat="1" ht="70.5" hidden="1" customHeight="1">
      <c r="C4444" s="701"/>
      <c r="D4444" s="811"/>
      <c r="E4444" s="1276">
        <f>[11]building!Y4775</f>
        <v>0</v>
      </c>
      <c r="F4444" s="748">
        <f t="shared" si="308"/>
        <v>0</v>
      </c>
      <c r="G4444" s="1205"/>
      <c r="H4444" s="1055"/>
      <c r="I4444" s="1055"/>
      <c r="J4444" s="1055"/>
      <c r="K4444" s="1205"/>
      <c r="L4444" s="1055"/>
      <c r="M4444" s="1205"/>
      <c r="N4444" s="1054"/>
      <c r="O4444" s="1207"/>
      <c r="Q4444" s="1207"/>
    </row>
    <row r="4445" spans="3:17" s="700" customFormat="1" ht="70.5" hidden="1" customHeight="1">
      <c r="C4445" s="701"/>
      <c r="D4445" s="811"/>
      <c r="E4445" s="1276">
        <f>[11]building!Y4776</f>
        <v>0</v>
      </c>
      <c r="F4445" s="748">
        <f t="shared" si="308"/>
        <v>0</v>
      </c>
      <c r="G4445" s="1205"/>
      <c r="H4445" s="1055"/>
      <c r="I4445" s="1055"/>
      <c r="J4445" s="1055"/>
      <c r="K4445" s="1205"/>
      <c r="L4445" s="1055"/>
      <c r="M4445" s="1205"/>
      <c r="N4445" s="1054"/>
      <c r="O4445" s="1207"/>
      <c r="Q4445" s="1207"/>
    </row>
    <row r="4446" spans="3:17" s="700" customFormat="1" ht="70.5" hidden="1" customHeight="1">
      <c r="C4446" s="701"/>
      <c r="D4446" s="811"/>
      <c r="E4446" s="1276">
        <f>[11]building!Y4777</f>
        <v>0</v>
      </c>
      <c r="F4446" s="748">
        <f t="shared" si="308"/>
        <v>0</v>
      </c>
      <c r="G4446" s="1205"/>
      <c r="H4446" s="1055"/>
      <c r="I4446" s="1055"/>
      <c r="J4446" s="1055"/>
      <c r="K4446" s="1205"/>
      <c r="L4446" s="1055"/>
      <c r="M4446" s="1205"/>
      <c r="N4446" s="1054"/>
      <c r="O4446" s="1207"/>
      <c r="Q4446" s="1207"/>
    </row>
    <row r="4447" spans="3:17" s="700" customFormat="1" ht="70.5" hidden="1" customHeight="1">
      <c r="C4447" s="701"/>
      <c r="D4447" s="811"/>
      <c r="E4447" s="1276">
        <f>[11]building!Y4778</f>
        <v>0</v>
      </c>
      <c r="F4447" s="748">
        <f t="shared" si="308"/>
        <v>0</v>
      </c>
      <c r="G4447" s="1205"/>
      <c r="H4447" s="1055"/>
      <c r="I4447" s="1055"/>
      <c r="J4447" s="1055"/>
      <c r="K4447" s="1205"/>
      <c r="L4447" s="1055"/>
      <c r="M4447" s="1205"/>
      <c r="N4447" s="1054"/>
      <c r="O4447" s="1207"/>
      <c r="Q4447" s="1207"/>
    </row>
    <row r="4448" spans="3:17" s="700" customFormat="1" ht="70.5" hidden="1" customHeight="1">
      <c r="C4448" s="701"/>
      <c r="D4448" s="811"/>
      <c r="E4448" s="1276">
        <f>[11]building!Y4779</f>
        <v>0</v>
      </c>
      <c r="F4448" s="748">
        <f t="shared" si="308"/>
        <v>0</v>
      </c>
      <c r="G4448" s="1205"/>
      <c r="H4448" s="1055"/>
      <c r="I4448" s="1055"/>
      <c r="J4448" s="1055"/>
      <c r="K4448" s="1205"/>
      <c r="L4448" s="1055"/>
      <c r="M4448" s="1205"/>
      <c r="N4448" s="1054"/>
      <c r="O4448" s="1207"/>
      <c r="Q4448" s="1207"/>
    </row>
    <row r="4449" spans="3:17" s="700" customFormat="1" ht="70.5" hidden="1" customHeight="1">
      <c r="C4449" s="701"/>
      <c r="D4449" s="811"/>
      <c r="E4449" s="1276">
        <f>[11]building!Y4780</f>
        <v>0</v>
      </c>
      <c r="F4449" s="748">
        <f t="shared" si="308"/>
        <v>0</v>
      </c>
      <c r="G4449" s="1205"/>
      <c r="H4449" s="1055"/>
      <c r="I4449" s="1055"/>
      <c r="J4449" s="1055"/>
      <c r="K4449" s="1205"/>
      <c r="L4449" s="1055"/>
      <c r="M4449" s="1205"/>
      <c r="N4449" s="1054"/>
      <c r="O4449" s="1207"/>
      <c r="Q4449" s="1207"/>
    </row>
    <row r="4450" spans="3:17" s="700" customFormat="1" ht="70.5" hidden="1" customHeight="1">
      <c r="C4450" s="701"/>
      <c r="D4450" s="811"/>
      <c r="E4450" s="1276">
        <f>[11]building!Y4781</f>
        <v>0</v>
      </c>
      <c r="F4450" s="748">
        <f t="shared" si="308"/>
        <v>0</v>
      </c>
      <c r="G4450" s="1205"/>
      <c r="H4450" s="1055"/>
      <c r="I4450" s="1055"/>
      <c r="J4450" s="1055"/>
      <c r="K4450" s="1205"/>
      <c r="L4450" s="1055"/>
      <c r="M4450" s="1205"/>
      <c r="N4450" s="1054"/>
      <c r="O4450" s="1207"/>
      <c r="Q4450" s="1207"/>
    </row>
    <row r="4451" spans="3:17" s="700" customFormat="1" ht="70.5" hidden="1" customHeight="1">
      <c r="C4451" s="701"/>
      <c r="D4451" s="811"/>
      <c r="E4451" s="1276">
        <f>[11]building!Y4782</f>
        <v>0</v>
      </c>
      <c r="F4451" s="748">
        <f t="shared" si="308"/>
        <v>0</v>
      </c>
      <c r="G4451" s="1205"/>
      <c r="H4451" s="1055"/>
      <c r="I4451" s="1055"/>
      <c r="J4451" s="1055"/>
      <c r="K4451" s="1205"/>
      <c r="L4451" s="1055"/>
      <c r="M4451" s="1205"/>
      <c r="N4451" s="1054"/>
      <c r="O4451" s="1207"/>
      <c r="Q4451" s="1207"/>
    </row>
    <row r="4452" spans="3:17" s="700" customFormat="1" ht="70.5" hidden="1" customHeight="1">
      <c r="C4452" s="701"/>
      <c r="D4452" s="811"/>
      <c r="E4452" s="1276">
        <f>[11]building!Y4783</f>
        <v>0</v>
      </c>
      <c r="F4452" s="748">
        <f t="shared" si="308"/>
        <v>0</v>
      </c>
      <c r="G4452" s="1205"/>
      <c r="H4452" s="1055"/>
      <c r="I4452" s="1055"/>
      <c r="J4452" s="1055"/>
      <c r="K4452" s="1205"/>
      <c r="L4452" s="1055"/>
      <c r="M4452" s="1205"/>
      <c r="N4452" s="1054"/>
      <c r="O4452" s="1207"/>
      <c r="Q4452" s="1207"/>
    </row>
    <row r="4453" spans="3:17" s="700" customFormat="1" ht="70.5" hidden="1" customHeight="1">
      <c r="C4453" s="701"/>
      <c r="D4453" s="811"/>
      <c r="E4453" s="1276">
        <f>[11]building!Y4784</f>
        <v>0</v>
      </c>
      <c r="F4453" s="748">
        <f t="shared" si="308"/>
        <v>0</v>
      </c>
      <c r="G4453" s="1205"/>
      <c r="H4453" s="1055"/>
      <c r="I4453" s="1055"/>
      <c r="J4453" s="1055"/>
      <c r="K4453" s="1205"/>
      <c r="L4453" s="1055"/>
      <c r="M4453" s="1205"/>
      <c r="N4453" s="1054"/>
      <c r="O4453" s="1207"/>
      <c r="Q4453" s="1207"/>
    </row>
    <row r="4454" spans="3:17" s="700" customFormat="1" ht="70.5" hidden="1" customHeight="1">
      <c r="C4454" s="701"/>
      <c r="D4454" s="811"/>
      <c r="E4454" s="1276">
        <f>[11]building!Y4785</f>
        <v>0</v>
      </c>
      <c r="F4454" s="748">
        <f t="shared" si="308"/>
        <v>0</v>
      </c>
      <c r="G4454" s="1205"/>
      <c r="H4454" s="1055"/>
      <c r="I4454" s="1055"/>
      <c r="J4454" s="1055"/>
      <c r="K4454" s="1205"/>
      <c r="L4454" s="1055"/>
      <c r="M4454" s="1205"/>
      <c r="N4454" s="1054"/>
      <c r="O4454" s="1207"/>
      <c r="Q4454" s="1207"/>
    </row>
    <row r="4455" spans="3:17" s="700" customFormat="1" ht="70.5" hidden="1" customHeight="1">
      <c r="C4455" s="701"/>
      <c r="D4455" s="811"/>
      <c r="E4455" s="1276">
        <f>[11]building!Y4786</f>
        <v>0</v>
      </c>
      <c r="F4455" s="748">
        <f t="shared" si="308"/>
        <v>0</v>
      </c>
      <c r="G4455" s="1205"/>
      <c r="H4455" s="1055"/>
      <c r="I4455" s="1055"/>
      <c r="J4455" s="1055"/>
      <c r="K4455" s="1205"/>
      <c r="L4455" s="1055"/>
      <c r="M4455" s="1205"/>
      <c r="N4455" s="1054"/>
      <c r="O4455" s="1207"/>
      <c r="Q4455" s="1207"/>
    </row>
    <row r="4456" spans="3:17" s="700" customFormat="1" ht="70.5" hidden="1" customHeight="1">
      <c r="C4456" s="701"/>
      <c r="D4456" s="811"/>
      <c r="E4456" s="1276">
        <f>[11]building!Y4787</f>
        <v>0</v>
      </c>
      <c r="F4456" s="748">
        <f t="shared" si="308"/>
        <v>0</v>
      </c>
      <c r="G4456" s="1205"/>
      <c r="H4456" s="1055"/>
      <c r="I4456" s="1055"/>
      <c r="J4456" s="1055"/>
      <c r="K4456" s="1205"/>
      <c r="L4456" s="1055"/>
      <c r="M4456" s="1205"/>
      <c r="N4456" s="1054"/>
      <c r="O4456" s="1207"/>
      <c r="Q4456" s="1207"/>
    </row>
    <row r="4457" spans="3:17" s="700" customFormat="1" ht="70.5" hidden="1" customHeight="1">
      <c r="C4457" s="701"/>
      <c r="D4457" s="811"/>
      <c r="E4457" s="1276">
        <f>[11]building!Y4788</f>
        <v>0</v>
      </c>
      <c r="F4457" s="748">
        <f t="shared" si="308"/>
        <v>0</v>
      </c>
      <c r="G4457" s="1205"/>
      <c r="H4457" s="1055"/>
      <c r="I4457" s="1055"/>
      <c r="J4457" s="1055"/>
      <c r="K4457" s="1205"/>
      <c r="L4457" s="1055"/>
      <c r="M4457" s="1205"/>
      <c r="N4457" s="1054"/>
      <c r="O4457" s="1207"/>
      <c r="Q4457" s="1207"/>
    </row>
    <row r="4458" spans="3:17" s="700" customFormat="1" ht="70.5" hidden="1" customHeight="1">
      <c r="C4458" s="701"/>
      <c r="D4458" s="811"/>
      <c r="E4458" s="1276">
        <f>[11]building!Y4789</f>
        <v>0</v>
      </c>
      <c r="F4458" s="748">
        <f t="shared" si="308"/>
        <v>0</v>
      </c>
      <c r="G4458" s="1205"/>
      <c r="H4458" s="1055"/>
      <c r="I4458" s="1055"/>
      <c r="J4458" s="1055"/>
      <c r="K4458" s="1205"/>
      <c r="L4458" s="1055"/>
      <c r="M4458" s="1205"/>
      <c r="N4458" s="1054"/>
      <c r="O4458" s="1207"/>
      <c r="Q4458" s="1207"/>
    </row>
    <row r="4459" spans="3:17" s="700" customFormat="1" ht="70.5" hidden="1" customHeight="1">
      <c r="C4459" s="701"/>
      <c r="D4459" s="811"/>
      <c r="E4459" s="1276">
        <f>[11]building!Y4790</f>
        <v>0</v>
      </c>
      <c r="F4459" s="748">
        <f t="shared" si="308"/>
        <v>0</v>
      </c>
      <c r="G4459" s="1205"/>
      <c r="H4459" s="1055"/>
      <c r="I4459" s="1055"/>
      <c r="J4459" s="1055"/>
      <c r="K4459" s="1205"/>
      <c r="L4459" s="1055"/>
      <c r="M4459" s="1205"/>
      <c r="N4459" s="1054"/>
      <c r="O4459" s="1207"/>
      <c r="Q4459" s="1207"/>
    </row>
    <row r="4460" spans="3:17" s="700" customFormat="1" ht="70.5" hidden="1" customHeight="1">
      <c r="C4460" s="701"/>
      <c r="D4460" s="811"/>
      <c r="E4460" s="1276">
        <f>[11]building!Y4791</f>
        <v>0</v>
      </c>
      <c r="F4460" s="748">
        <f t="shared" si="308"/>
        <v>0</v>
      </c>
      <c r="G4460" s="1205"/>
      <c r="H4460" s="1055"/>
      <c r="I4460" s="1055"/>
      <c r="J4460" s="1055"/>
      <c r="K4460" s="1205"/>
      <c r="L4460" s="1055"/>
      <c r="M4460" s="1205"/>
      <c r="N4460" s="1054"/>
      <c r="O4460" s="1207"/>
      <c r="Q4460" s="1207"/>
    </row>
    <row r="4461" spans="3:17" s="700" customFormat="1" ht="70.5" hidden="1" customHeight="1">
      <c r="C4461" s="701"/>
      <c r="D4461" s="811"/>
      <c r="E4461" s="1276">
        <f>[11]building!Y4792</f>
        <v>0</v>
      </c>
      <c r="F4461" s="748">
        <f t="shared" si="308"/>
        <v>0</v>
      </c>
      <c r="G4461" s="1205"/>
      <c r="H4461" s="1055"/>
      <c r="I4461" s="1055"/>
      <c r="J4461" s="1055"/>
      <c r="K4461" s="1205"/>
      <c r="L4461" s="1055"/>
      <c r="M4461" s="1205"/>
      <c r="N4461" s="1054"/>
      <c r="O4461" s="1207"/>
      <c r="Q4461" s="1207"/>
    </row>
    <row r="4462" spans="3:17" s="700" customFormat="1" ht="70.5" hidden="1" customHeight="1">
      <c r="C4462" s="701"/>
      <c r="D4462" s="811"/>
      <c r="E4462" s="1276">
        <f>[11]building!Y4793</f>
        <v>0</v>
      </c>
      <c r="F4462" s="748">
        <f t="shared" si="308"/>
        <v>0</v>
      </c>
      <c r="G4462" s="1205"/>
      <c r="H4462" s="1055"/>
      <c r="I4462" s="1055"/>
      <c r="J4462" s="1055"/>
      <c r="K4462" s="1205"/>
      <c r="L4462" s="1055"/>
      <c r="M4462" s="1205"/>
      <c r="N4462" s="1054"/>
      <c r="O4462" s="1207"/>
      <c r="Q4462" s="1207"/>
    </row>
    <row r="4463" spans="3:17" s="700" customFormat="1" ht="70.5" hidden="1" customHeight="1">
      <c r="C4463" s="701"/>
      <c r="D4463" s="811"/>
      <c r="E4463" s="1276">
        <f>[11]building!Y4794</f>
        <v>0</v>
      </c>
      <c r="F4463" s="748">
        <f t="shared" si="308"/>
        <v>0</v>
      </c>
      <c r="G4463" s="1205"/>
      <c r="H4463" s="1055"/>
      <c r="I4463" s="1055"/>
      <c r="J4463" s="1055"/>
      <c r="K4463" s="1205"/>
      <c r="L4463" s="1055"/>
      <c r="M4463" s="1205"/>
      <c r="N4463" s="1054"/>
      <c r="O4463" s="1207"/>
      <c r="Q4463" s="1207"/>
    </row>
    <row r="4464" spans="3:17" s="700" customFormat="1" ht="70.5" hidden="1" customHeight="1">
      <c r="C4464" s="701"/>
      <c r="D4464" s="811"/>
      <c r="E4464" s="1276">
        <f>[11]building!Y4795</f>
        <v>0</v>
      </c>
      <c r="F4464" s="748">
        <f t="shared" si="308"/>
        <v>0</v>
      </c>
      <c r="G4464" s="1205"/>
      <c r="H4464" s="1055"/>
      <c r="I4464" s="1055"/>
      <c r="J4464" s="1055"/>
      <c r="K4464" s="1205"/>
      <c r="L4464" s="1055"/>
      <c r="M4464" s="1205"/>
      <c r="N4464" s="1054"/>
      <c r="O4464" s="1207"/>
      <c r="Q4464" s="1207"/>
    </row>
    <row r="4465" spans="3:17" s="700" customFormat="1" ht="70.5" hidden="1" customHeight="1">
      <c r="C4465" s="701"/>
      <c r="D4465" s="811"/>
      <c r="E4465" s="1276">
        <f>[11]building!Y4796</f>
        <v>0</v>
      </c>
      <c r="F4465" s="748">
        <f t="shared" si="308"/>
        <v>0</v>
      </c>
      <c r="G4465" s="1205"/>
      <c r="H4465" s="1055"/>
      <c r="I4465" s="1055"/>
      <c r="J4465" s="1055"/>
      <c r="K4465" s="1205"/>
      <c r="L4465" s="1055"/>
      <c r="M4465" s="1205"/>
      <c r="N4465" s="1054"/>
      <c r="O4465" s="1207"/>
      <c r="Q4465" s="1207"/>
    </row>
    <row r="4466" spans="3:17" s="700" customFormat="1" ht="70.5" hidden="1" customHeight="1">
      <c r="C4466" s="701"/>
      <c r="D4466" s="811"/>
      <c r="E4466" s="1276">
        <f>[11]building!Y4797</f>
        <v>0</v>
      </c>
      <c r="F4466" s="748">
        <f t="shared" si="308"/>
        <v>0</v>
      </c>
      <c r="G4466" s="1205"/>
      <c r="H4466" s="1055"/>
      <c r="I4466" s="1055"/>
      <c r="J4466" s="1055"/>
      <c r="K4466" s="1205"/>
      <c r="L4466" s="1055"/>
      <c r="M4466" s="1205"/>
      <c r="N4466" s="1054"/>
      <c r="O4466" s="1207"/>
      <c r="Q4466" s="1207"/>
    </row>
    <row r="4467" spans="3:17" s="700" customFormat="1" ht="70.5" hidden="1" customHeight="1">
      <c r="C4467" s="701"/>
      <c r="D4467" s="811"/>
      <c r="E4467" s="1276">
        <f>[11]building!Y4798</f>
        <v>0</v>
      </c>
      <c r="F4467" s="748">
        <f t="shared" si="308"/>
        <v>0</v>
      </c>
      <c r="G4467" s="1205"/>
      <c r="H4467" s="1055"/>
      <c r="I4467" s="1055"/>
      <c r="J4467" s="1055"/>
      <c r="K4467" s="1205"/>
      <c r="L4467" s="1055"/>
      <c r="M4467" s="1205"/>
      <c r="N4467" s="1054"/>
      <c r="O4467" s="1207"/>
      <c r="Q4467" s="1207"/>
    </row>
    <row r="4468" spans="3:17" s="700" customFormat="1" ht="70.5" hidden="1" customHeight="1">
      <c r="C4468" s="701"/>
      <c r="D4468" s="811"/>
      <c r="E4468" s="1276">
        <f>[11]building!Y4799</f>
        <v>0</v>
      </c>
      <c r="F4468" s="748">
        <f t="shared" si="308"/>
        <v>0</v>
      </c>
      <c r="G4468" s="1205"/>
      <c r="H4468" s="1055"/>
      <c r="I4468" s="1055"/>
      <c r="J4468" s="1055"/>
      <c r="K4468" s="1205"/>
      <c r="L4468" s="1055"/>
      <c r="M4468" s="1205"/>
      <c r="N4468" s="1054"/>
      <c r="O4468" s="1207"/>
      <c r="Q4468" s="1207"/>
    </row>
    <row r="4469" spans="3:17" s="700" customFormat="1" ht="70.5" hidden="1" customHeight="1">
      <c r="C4469" s="701"/>
      <c r="D4469" s="811"/>
      <c r="E4469" s="1276">
        <f>[11]building!Y4800</f>
        <v>0</v>
      </c>
      <c r="F4469" s="748">
        <f t="shared" si="308"/>
        <v>0</v>
      </c>
      <c r="G4469" s="1205"/>
      <c r="H4469" s="1055"/>
      <c r="I4469" s="1055"/>
      <c r="J4469" s="1055"/>
      <c r="K4469" s="1205"/>
      <c r="L4469" s="1055"/>
      <c r="M4469" s="1205"/>
      <c r="N4469" s="1054"/>
      <c r="O4469" s="1207"/>
      <c r="Q4469" s="1207"/>
    </row>
    <row r="4470" spans="3:17" s="700" customFormat="1" ht="70.5" hidden="1" customHeight="1">
      <c r="C4470" s="701"/>
      <c r="D4470" s="811"/>
      <c r="E4470" s="1276">
        <f>[11]building!Y4801</f>
        <v>0</v>
      </c>
      <c r="F4470" s="748">
        <f t="shared" si="308"/>
        <v>0</v>
      </c>
      <c r="G4470" s="1205"/>
      <c r="H4470" s="1055"/>
      <c r="I4470" s="1055"/>
      <c r="J4470" s="1055"/>
      <c r="K4470" s="1205"/>
      <c r="L4470" s="1055"/>
      <c r="M4470" s="1205"/>
      <c r="N4470" s="1054"/>
      <c r="O4470" s="1207"/>
      <c r="Q4470" s="1207"/>
    </row>
    <row r="4471" spans="3:17" s="700" customFormat="1" ht="70.5" hidden="1" customHeight="1">
      <c r="C4471" s="701"/>
      <c r="D4471" s="811"/>
      <c r="E4471" s="1276">
        <f>[11]building!Y4802</f>
        <v>0</v>
      </c>
      <c r="F4471" s="748">
        <f t="shared" si="308"/>
        <v>0</v>
      </c>
      <c r="G4471" s="1205"/>
      <c r="H4471" s="1055"/>
      <c r="I4471" s="1055"/>
      <c r="J4471" s="1055"/>
      <c r="K4471" s="1205"/>
      <c r="L4471" s="1055"/>
      <c r="M4471" s="1205"/>
      <c r="N4471" s="1054"/>
      <c r="O4471" s="1207"/>
      <c r="Q4471" s="1207"/>
    </row>
    <row r="4472" spans="3:17" s="700" customFormat="1" ht="70.5" hidden="1" customHeight="1">
      <c r="C4472" s="701"/>
      <c r="D4472" s="811"/>
      <c r="E4472" s="1276">
        <f>[11]building!Y4803</f>
        <v>0</v>
      </c>
      <c r="F4472" s="748">
        <f t="shared" si="308"/>
        <v>0</v>
      </c>
      <c r="G4472" s="1205"/>
      <c r="H4472" s="1055"/>
      <c r="I4472" s="1055"/>
      <c r="J4472" s="1055"/>
      <c r="K4472" s="1205"/>
      <c r="L4472" s="1055"/>
      <c r="M4472" s="1205"/>
      <c r="N4472" s="1054"/>
      <c r="O4472" s="1207"/>
      <c r="Q4472" s="1207"/>
    </row>
    <row r="4473" spans="3:17" s="700" customFormat="1" ht="70.5" hidden="1" customHeight="1">
      <c r="C4473" s="701"/>
      <c r="D4473" s="811"/>
      <c r="E4473" s="1276">
        <f>[11]building!Y4804</f>
        <v>0</v>
      </c>
      <c r="F4473" s="748">
        <f t="shared" si="308"/>
        <v>0</v>
      </c>
      <c r="G4473" s="1205"/>
      <c r="H4473" s="1055"/>
      <c r="I4473" s="1055"/>
      <c r="J4473" s="1055"/>
      <c r="K4473" s="1205"/>
      <c r="L4473" s="1055"/>
      <c r="M4473" s="1205"/>
      <c r="N4473" s="1054"/>
      <c r="O4473" s="1207"/>
      <c r="Q4473" s="1207"/>
    </row>
    <row r="4474" spans="3:17" s="700" customFormat="1" ht="70.5" hidden="1" customHeight="1">
      <c r="C4474" s="701"/>
      <c r="D4474" s="811"/>
      <c r="E4474" s="1276">
        <f>[11]building!Y4805</f>
        <v>0</v>
      </c>
      <c r="F4474" s="748">
        <f t="shared" si="308"/>
        <v>0</v>
      </c>
      <c r="G4474" s="1205"/>
      <c r="H4474" s="1055"/>
      <c r="I4474" s="1055"/>
      <c r="J4474" s="1055"/>
      <c r="K4474" s="1205"/>
      <c r="L4474" s="1055"/>
      <c r="M4474" s="1205"/>
      <c r="N4474" s="1054"/>
      <c r="O4474" s="1207"/>
      <c r="Q4474" s="1207"/>
    </row>
    <row r="4475" spans="3:17" s="700" customFormat="1" ht="70.5" hidden="1" customHeight="1">
      <c r="C4475" s="701"/>
      <c r="D4475" s="811"/>
      <c r="E4475" s="1276">
        <f>[11]building!Y4806</f>
        <v>0</v>
      </c>
      <c r="F4475" s="748">
        <f t="shared" si="308"/>
        <v>0</v>
      </c>
      <c r="G4475" s="1205"/>
      <c r="H4475" s="1055"/>
      <c r="I4475" s="1055"/>
      <c r="J4475" s="1055"/>
      <c r="K4475" s="1205"/>
      <c r="L4475" s="1055"/>
      <c r="M4475" s="1205"/>
      <c r="N4475" s="1054"/>
      <c r="O4475" s="1207"/>
      <c r="Q4475" s="1207"/>
    </row>
    <row r="4476" spans="3:17" s="700" customFormat="1" ht="70.5" hidden="1" customHeight="1">
      <c r="C4476" s="701"/>
      <c r="D4476" s="811"/>
      <c r="E4476" s="1276">
        <f>[11]building!Y4807</f>
        <v>0</v>
      </c>
      <c r="F4476" s="748">
        <f t="shared" si="308"/>
        <v>0</v>
      </c>
      <c r="G4476" s="1205"/>
      <c r="H4476" s="1055"/>
      <c r="I4476" s="1055"/>
      <c r="J4476" s="1055"/>
      <c r="K4476" s="1205"/>
      <c r="L4476" s="1055"/>
      <c r="M4476" s="1205"/>
      <c r="N4476" s="1054"/>
      <c r="O4476" s="1207"/>
      <c r="Q4476" s="1207"/>
    </row>
    <row r="4477" spans="3:17" s="700" customFormat="1" ht="70.5" hidden="1" customHeight="1">
      <c r="C4477" s="701"/>
      <c r="D4477" s="811"/>
      <c r="E4477" s="1276">
        <f>[11]building!Y4808</f>
        <v>0</v>
      </c>
      <c r="F4477" s="748">
        <f t="shared" si="308"/>
        <v>0</v>
      </c>
      <c r="G4477" s="1205"/>
      <c r="H4477" s="1055"/>
      <c r="I4477" s="1055"/>
      <c r="J4477" s="1055"/>
      <c r="K4477" s="1205"/>
      <c r="L4477" s="1055"/>
      <c r="M4477" s="1205"/>
      <c r="N4477" s="1054"/>
      <c r="O4477" s="1207"/>
      <c r="Q4477" s="1207"/>
    </row>
    <row r="4478" spans="3:17" s="700" customFormat="1" ht="70.5" hidden="1" customHeight="1">
      <c r="C4478" s="701"/>
      <c r="D4478" s="811"/>
      <c r="E4478" s="1276">
        <f>[11]building!Y4809</f>
        <v>0</v>
      </c>
      <c r="F4478" s="748">
        <f t="shared" si="308"/>
        <v>0</v>
      </c>
      <c r="G4478" s="1205"/>
      <c r="H4478" s="1055"/>
      <c r="I4478" s="1055"/>
      <c r="J4478" s="1055"/>
      <c r="K4478" s="1205"/>
      <c r="L4478" s="1055"/>
      <c r="M4478" s="1205"/>
      <c r="N4478" s="1054"/>
      <c r="O4478" s="1207"/>
      <c r="Q4478" s="1207"/>
    </row>
    <row r="4479" spans="3:17" s="700" customFormat="1" ht="70.5" hidden="1" customHeight="1">
      <c r="C4479" s="701"/>
      <c r="D4479" s="811"/>
      <c r="E4479" s="1276">
        <f>[11]building!Y4810</f>
        <v>0</v>
      </c>
      <c r="F4479" s="748">
        <f t="shared" si="308"/>
        <v>0</v>
      </c>
      <c r="G4479" s="1205"/>
      <c r="H4479" s="1055"/>
      <c r="I4479" s="1055"/>
      <c r="J4479" s="1055"/>
      <c r="K4479" s="1205"/>
      <c r="L4479" s="1055"/>
      <c r="M4479" s="1205"/>
      <c r="N4479" s="1054"/>
      <c r="O4479" s="1207"/>
      <c r="Q4479" s="1207"/>
    </row>
    <row r="4480" spans="3:17" s="700" customFormat="1" ht="70.5" hidden="1" customHeight="1">
      <c r="C4480" s="701"/>
      <c r="D4480" s="811"/>
      <c r="E4480" s="1276">
        <f>[11]building!Y4811</f>
        <v>0</v>
      </c>
      <c r="F4480" s="748">
        <f t="shared" ref="F4480:F4543" si="309">E4480*C4480</f>
        <v>0</v>
      </c>
      <c r="G4480" s="1205"/>
      <c r="H4480" s="1055"/>
      <c r="I4480" s="1055"/>
      <c r="J4480" s="1055"/>
      <c r="K4480" s="1205"/>
      <c r="L4480" s="1055"/>
      <c r="M4480" s="1205"/>
      <c r="N4480" s="1054"/>
      <c r="O4480" s="1207"/>
      <c r="Q4480" s="1207"/>
    </row>
    <row r="4481" spans="3:17" s="700" customFormat="1" ht="70.5" hidden="1" customHeight="1">
      <c r="C4481" s="701"/>
      <c r="D4481" s="811"/>
      <c r="E4481" s="1276">
        <f>[11]building!Y4812</f>
        <v>0</v>
      </c>
      <c r="F4481" s="748">
        <f t="shared" si="309"/>
        <v>0</v>
      </c>
      <c r="G4481" s="1205"/>
      <c r="H4481" s="1055"/>
      <c r="I4481" s="1055"/>
      <c r="J4481" s="1055"/>
      <c r="K4481" s="1205"/>
      <c r="L4481" s="1055"/>
      <c r="M4481" s="1205"/>
      <c r="N4481" s="1054"/>
      <c r="O4481" s="1207"/>
      <c r="Q4481" s="1207"/>
    </row>
    <row r="4482" spans="3:17" s="700" customFormat="1" ht="70.5" hidden="1" customHeight="1">
      <c r="C4482" s="701"/>
      <c r="D4482" s="811"/>
      <c r="E4482" s="1276">
        <f>[11]building!Y4813</f>
        <v>0</v>
      </c>
      <c r="F4482" s="748">
        <f t="shared" si="309"/>
        <v>0</v>
      </c>
      <c r="G4482" s="1205"/>
      <c r="H4482" s="1055"/>
      <c r="I4482" s="1055"/>
      <c r="J4482" s="1055"/>
      <c r="K4482" s="1205"/>
      <c r="L4482" s="1055"/>
      <c r="M4482" s="1205"/>
      <c r="N4482" s="1054"/>
      <c r="O4482" s="1207"/>
      <c r="Q4482" s="1207"/>
    </row>
    <row r="4483" spans="3:17" s="700" customFormat="1" ht="70.5" hidden="1" customHeight="1">
      <c r="C4483" s="701"/>
      <c r="D4483" s="811"/>
      <c r="E4483" s="1276">
        <f>[11]building!Y4814</f>
        <v>0</v>
      </c>
      <c r="F4483" s="748">
        <f t="shared" si="309"/>
        <v>0</v>
      </c>
      <c r="G4483" s="1205"/>
      <c r="H4483" s="1055"/>
      <c r="I4483" s="1055"/>
      <c r="J4483" s="1055"/>
      <c r="K4483" s="1205"/>
      <c r="L4483" s="1055"/>
      <c r="M4483" s="1205"/>
      <c r="N4483" s="1054"/>
      <c r="O4483" s="1207"/>
      <c r="Q4483" s="1207"/>
    </row>
    <row r="4484" spans="3:17" s="700" customFormat="1" ht="70.5" hidden="1" customHeight="1">
      <c r="C4484" s="701"/>
      <c r="D4484" s="811"/>
      <c r="E4484" s="1276">
        <f>[11]building!Y4815</f>
        <v>0</v>
      </c>
      <c r="F4484" s="748">
        <f t="shared" si="309"/>
        <v>0</v>
      </c>
      <c r="G4484" s="1205"/>
      <c r="H4484" s="1055"/>
      <c r="I4484" s="1055"/>
      <c r="J4484" s="1055"/>
      <c r="K4484" s="1205"/>
      <c r="L4484" s="1055"/>
      <c r="M4484" s="1205"/>
      <c r="N4484" s="1054"/>
      <c r="O4484" s="1207"/>
      <c r="Q4484" s="1207"/>
    </row>
    <row r="4485" spans="3:17" s="700" customFormat="1" ht="70.5" hidden="1" customHeight="1">
      <c r="C4485" s="701"/>
      <c r="D4485" s="811"/>
      <c r="E4485" s="1276">
        <f>[11]building!Y4816</f>
        <v>0</v>
      </c>
      <c r="F4485" s="748">
        <f t="shared" si="309"/>
        <v>0</v>
      </c>
      <c r="G4485" s="1205"/>
      <c r="H4485" s="1055"/>
      <c r="I4485" s="1055"/>
      <c r="J4485" s="1055"/>
      <c r="K4485" s="1205"/>
      <c r="L4485" s="1055"/>
      <c r="M4485" s="1205"/>
      <c r="N4485" s="1054"/>
      <c r="O4485" s="1207"/>
      <c r="Q4485" s="1207"/>
    </row>
    <row r="4486" spans="3:17" s="700" customFormat="1" ht="70.5" hidden="1" customHeight="1">
      <c r="C4486" s="701"/>
      <c r="D4486" s="811"/>
      <c r="E4486" s="1276">
        <f>[11]building!Y4817</f>
        <v>0</v>
      </c>
      <c r="F4486" s="748">
        <f t="shared" si="309"/>
        <v>0</v>
      </c>
      <c r="G4486" s="1205"/>
      <c r="H4486" s="1055"/>
      <c r="I4486" s="1055"/>
      <c r="J4486" s="1055"/>
      <c r="K4486" s="1205"/>
      <c r="L4486" s="1055"/>
      <c r="M4486" s="1205"/>
      <c r="N4486" s="1054"/>
      <c r="O4486" s="1207"/>
      <c r="Q4486" s="1207"/>
    </row>
    <row r="4487" spans="3:17" s="700" customFormat="1" ht="70.5" hidden="1" customHeight="1">
      <c r="C4487" s="701"/>
      <c r="D4487" s="811"/>
      <c r="E4487" s="1276">
        <f>[11]building!Y4818</f>
        <v>0</v>
      </c>
      <c r="F4487" s="748">
        <f t="shared" si="309"/>
        <v>0</v>
      </c>
      <c r="G4487" s="1205"/>
      <c r="H4487" s="1055"/>
      <c r="I4487" s="1055"/>
      <c r="J4487" s="1055"/>
      <c r="K4487" s="1205"/>
      <c r="L4487" s="1055"/>
      <c r="M4487" s="1205"/>
      <c r="N4487" s="1054"/>
      <c r="O4487" s="1207"/>
      <c r="Q4487" s="1207"/>
    </row>
    <row r="4488" spans="3:17" s="700" customFormat="1" ht="70.5" hidden="1" customHeight="1">
      <c r="C4488" s="701"/>
      <c r="D4488" s="811"/>
      <c r="E4488" s="1276">
        <f>[11]building!Y4819</f>
        <v>0</v>
      </c>
      <c r="F4488" s="748">
        <f t="shared" si="309"/>
        <v>0</v>
      </c>
      <c r="G4488" s="1205"/>
      <c r="H4488" s="1055"/>
      <c r="I4488" s="1055"/>
      <c r="J4488" s="1055"/>
      <c r="K4488" s="1205"/>
      <c r="L4488" s="1055"/>
      <c r="M4488" s="1205"/>
      <c r="N4488" s="1054"/>
      <c r="O4488" s="1207"/>
      <c r="Q4488" s="1207"/>
    </row>
    <row r="4489" spans="3:17" s="700" customFormat="1" ht="70.5" hidden="1" customHeight="1">
      <c r="C4489" s="701"/>
      <c r="D4489" s="811"/>
      <c r="E4489" s="1276">
        <f>[11]building!Y4820</f>
        <v>0</v>
      </c>
      <c r="F4489" s="748">
        <f t="shared" si="309"/>
        <v>0</v>
      </c>
      <c r="G4489" s="1205"/>
      <c r="H4489" s="1055"/>
      <c r="I4489" s="1055"/>
      <c r="J4489" s="1055"/>
      <c r="K4489" s="1205"/>
      <c r="L4489" s="1055"/>
      <c r="M4489" s="1205"/>
      <c r="N4489" s="1054"/>
      <c r="O4489" s="1207"/>
      <c r="Q4489" s="1207"/>
    </row>
    <row r="4490" spans="3:17" s="700" customFormat="1" ht="70.5" hidden="1" customHeight="1">
      <c r="C4490" s="701"/>
      <c r="D4490" s="811"/>
      <c r="E4490" s="1276">
        <f>[11]building!Y4821</f>
        <v>0</v>
      </c>
      <c r="F4490" s="748">
        <f t="shared" si="309"/>
        <v>0</v>
      </c>
      <c r="G4490" s="1205"/>
      <c r="H4490" s="1055"/>
      <c r="I4490" s="1055"/>
      <c r="J4490" s="1055"/>
      <c r="K4490" s="1205"/>
      <c r="L4490" s="1055"/>
      <c r="M4490" s="1205"/>
      <c r="N4490" s="1054"/>
      <c r="O4490" s="1207"/>
      <c r="Q4490" s="1207"/>
    </row>
    <row r="4491" spans="3:17" s="700" customFormat="1" ht="70.5" hidden="1" customHeight="1">
      <c r="C4491" s="701"/>
      <c r="D4491" s="811"/>
      <c r="E4491" s="1276">
        <f>[11]building!Y4822</f>
        <v>0</v>
      </c>
      <c r="F4491" s="748">
        <f t="shared" si="309"/>
        <v>0</v>
      </c>
      <c r="G4491" s="1205"/>
      <c r="H4491" s="1055"/>
      <c r="I4491" s="1055"/>
      <c r="J4491" s="1055"/>
      <c r="K4491" s="1205"/>
      <c r="L4491" s="1055"/>
      <c r="M4491" s="1205"/>
      <c r="N4491" s="1054"/>
      <c r="O4491" s="1207"/>
      <c r="Q4491" s="1207"/>
    </row>
    <row r="4492" spans="3:17" s="700" customFormat="1" ht="70.5" hidden="1" customHeight="1">
      <c r="C4492" s="701"/>
      <c r="D4492" s="811"/>
      <c r="E4492" s="1276">
        <f>[11]building!Y4823</f>
        <v>0</v>
      </c>
      <c r="F4492" s="748">
        <f t="shared" si="309"/>
        <v>0</v>
      </c>
      <c r="G4492" s="1205"/>
      <c r="H4492" s="1055"/>
      <c r="I4492" s="1055"/>
      <c r="J4492" s="1055"/>
      <c r="K4492" s="1205"/>
      <c r="L4492" s="1055"/>
      <c r="M4492" s="1205"/>
      <c r="N4492" s="1054"/>
      <c r="O4492" s="1207"/>
      <c r="Q4492" s="1207"/>
    </row>
    <row r="4493" spans="3:17" s="700" customFormat="1" ht="70.5" hidden="1" customHeight="1">
      <c r="C4493" s="701"/>
      <c r="D4493" s="811"/>
      <c r="E4493" s="1276">
        <f>[11]building!Y4824</f>
        <v>0</v>
      </c>
      <c r="F4493" s="748">
        <f t="shared" si="309"/>
        <v>0</v>
      </c>
      <c r="G4493" s="1205"/>
      <c r="H4493" s="1055"/>
      <c r="I4493" s="1055"/>
      <c r="J4493" s="1055"/>
      <c r="K4493" s="1205"/>
      <c r="L4493" s="1055"/>
      <c r="M4493" s="1205"/>
      <c r="N4493" s="1054"/>
      <c r="O4493" s="1207"/>
      <c r="Q4493" s="1207"/>
    </row>
    <row r="4494" spans="3:17" s="700" customFormat="1" ht="70.5" hidden="1" customHeight="1">
      <c r="C4494" s="701"/>
      <c r="D4494" s="811"/>
      <c r="E4494" s="1276">
        <f>[11]building!Y4825</f>
        <v>0</v>
      </c>
      <c r="F4494" s="748">
        <f t="shared" si="309"/>
        <v>0</v>
      </c>
      <c r="G4494" s="1205"/>
      <c r="H4494" s="1055"/>
      <c r="I4494" s="1055"/>
      <c r="J4494" s="1055"/>
      <c r="K4494" s="1205"/>
      <c r="L4494" s="1055"/>
      <c r="M4494" s="1205"/>
      <c r="N4494" s="1054"/>
      <c r="O4494" s="1207"/>
      <c r="Q4494" s="1207"/>
    </row>
    <row r="4495" spans="3:17" s="700" customFormat="1" ht="70.5" hidden="1" customHeight="1">
      <c r="C4495" s="701"/>
      <c r="D4495" s="811"/>
      <c r="E4495" s="1276">
        <f>[11]building!Y4826</f>
        <v>0</v>
      </c>
      <c r="F4495" s="748">
        <f t="shared" si="309"/>
        <v>0</v>
      </c>
      <c r="G4495" s="1205"/>
      <c r="H4495" s="1055"/>
      <c r="I4495" s="1055"/>
      <c r="J4495" s="1055"/>
      <c r="K4495" s="1205"/>
      <c r="L4495" s="1055"/>
      <c r="M4495" s="1205"/>
      <c r="N4495" s="1054"/>
      <c r="O4495" s="1207"/>
      <c r="Q4495" s="1207"/>
    </row>
    <row r="4496" spans="3:17" s="700" customFormat="1" ht="70.5" hidden="1" customHeight="1">
      <c r="C4496" s="701"/>
      <c r="D4496" s="811"/>
      <c r="E4496" s="1276">
        <f>[11]building!Y4827</f>
        <v>0</v>
      </c>
      <c r="F4496" s="748">
        <f t="shared" si="309"/>
        <v>0</v>
      </c>
      <c r="G4496" s="1205"/>
      <c r="H4496" s="1055"/>
      <c r="I4496" s="1055"/>
      <c r="J4496" s="1055"/>
      <c r="K4496" s="1205"/>
      <c r="L4496" s="1055"/>
      <c r="M4496" s="1205"/>
      <c r="N4496" s="1054"/>
      <c r="O4496" s="1207"/>
      <c r="Q4496" s="1207"/>
    </row>
    <row r="4497" spans="3:17" s="700" customFormat="1" ht="70.5" hidden="1" customHeight="1">
      <c r="C4497" s="701"/>
      <c r="D4497" s="811"/>
      <c r="E4497" s="1276">
        <f>[11]building!Y4828</f>
        <v>0</v>
      </c>
      <c r="F4497" s="748">
        <f t="shared" si="309"/>
        <v>0</v>
      </c>
      <c r="G4497" s="1205"/>
      <c r="H4497" s="1055"/>
      <c r="I4497" s="1055"/>
      <c r="J4497" s="1055"/>
      <c r="K4497" s="1205"/>
      <c r="L4497" s="1055"/>
      <c r="M4497" s="1205"/>
      <c r="N4497" s="1054"/>
      <c r="O4497" s="1207"/>
      <c r="Q4497" s="1207"/>
    </row>
    <row r="4498" spans="3:17" s="700" customFormat="1" ht="70.5" hidden="1" customHeight="1">
      <c r="C4498" s="701"/>
      <c r="D4498" s="811"/>
      <c r="E4498" s="1276">
        <f>[11]building!Y4829</f>
        <v>0</v>
      </c>
      <c r="F4498" s="748">
        <f t="shared" si="309"/>
        <v>0</v>
      </c>
      <c r="G4498" s="1205"/>
      <c r="H4498" s="1055"/>
      <c r="I4498" s="1055"/>
      <c r="J4498" s="1055"/>
      <c r="K4498" s="1205"/>
      <c r="L4498" s="1055"/>
      <c r="M4498" s="1205"/>
      <c r="N4498" s="1054"/>
      <c r="O4498" s="1207"/>
      <c r="Q4498" s="1207"/>
    </row>
    <row r="4499" spans="3:17" s="700" customFormat="1" ht="70.5" hidden="1" customHeight="1">
      <c r="C4499" s="701"/>
      <c r="D4499" s="811"/>
      <c r="E4499" s="1276">
        <f>[11]building!Y4830</f>
        <v>0</v>
      </c>
      <c r="F4499" s="748">
        <f t="shared" si="309"/>
        <v>0</v>
      </c>
      <c r="G4499" s="1205"/>
      <c r="H4499" s="1055"/>
      <c r="I4499" s="1055"/>
      <c r="J4499" s="1055"/>
      <c r="K4499" s="1205"/>
      <c r="L4499" s="1055"/>
      <c r="M4499" s="1205"/>
      <c r="N4499" s="1054"/>
      <c r="O4499" s="1207"/>
      <c r="Q4499" s="1207"/>
    </row>
    <row r="4500" spans="3:17" s="700" customFormat="1" ht="70.5" hidden="1" customHeight="1">
      <c r="C4500" s="701"/>
      <c r="D4500" s="811"/>
      <c r="E4500" s="1276">
        <f>[11]building!Y4831</f>
        <v>0</v>
      </c>
      <c r="F4500" s="748">
        <f t="shared" si="309"/>
        <v>0</v>
      </c>
      <c r="G4500" s="1205"/>
      <c r="H4500" s="1055"/>
      <c r="I4500" s="1055"/>
      <c r="J4500" s="1055"/>
      <c r="K4500" s="1205"/>
      <c r="L4500" s="1055"/>
      <c r="M4500" s="1205"/>
      <c r="N4500" s="1054"/>
      <c r="O4500" s="1207"/>
      <c r="Q4500" s="1207"/>
    </row>
    <row r="4501" spans="3:17" s="700" customFormat="1" ht="70.5" hidden="1" customHeight="1">
      <c r="C4501" s="701"/>
      <c r="D4501" s="811"/>
      <c r="E4501" s="1276">
        <f>[11]building!Y4832</f>
        <v>0</v>
      </c>
      <c r="F4501" s="748">
        <f t="shared" si="309"/>
        <v>0</v>
      </c>
      <c r="G4501" s="1205"/>
      <c r="H4501" s="1055"/>
      <c r="I4501" s="1055"/>
      <c r="J4501" s="1055"/>
      <c r="K4501" s="1205"/>
      <c r="L4501" s="1055"/>
      <c r="M4501" s="1205"/>
      <c r="N4501" s="1054"/>
      <c r="O4501" s="1207"/>
      <c r="Q4501" s="1207"/>
    </row>
    <row r="4502" spans="3:17" s="700" customFormat="1" ht="70.5" hidden="1" customHeight="1">
      <c r="C4502" s="701"/>
      <c r="D4502" s="811"/>
      <c r="E4502" s="1276">
        <f>[11]building!Y4833</f>
        <v>0</v>
      </c>
      <c r="F4502" s="748">
        <f t="shared" si="309"/>
        <v>0</v>
      </c>
      <c r="G4502" s="1205"/>
      <c r="H4502" s="1055"/>
      <c r="I4502" s="1055"/>
      <c r="J4502" s="1055"/>
      <c r="K4502" s="1205"/>
      <c r="L4502" s="1055"/>
      <c r="M4502" s="1205"/>
      <c r="N4502" s="1054"/>
      <c r="O4502" s="1207"/>
      <c r="Q4502" s="1207"/>
    </row>
    <row r="4503" spans="3:17" s="700" customFormat="1" ht="70.5" hidden="1" customHeight="1">
      <c r="C4503" s="701"/>
      <c r="D4503" s="811"/>
      <c r="E4503" s="1276">
        <f>[11]building!Y4834</f>
        <v>0</v>
      </c>
      <c r="F4503" s="748">
        <f t="shared" si="309"/>
        <v>0</v>
      </c>
      <c r="G4503" s="1205"/>
      <c r="H4503" s="1055"/>
      <c r="I4503" s="1055"/>
      <c r="J4503" s="1055"/>
      <c r="K4503" s="1205"/>
      <c r="L4503" s="1055"/>
      <c r="M4503" s="1205"/>
      <c r="N4503" s="1054"/>
      <c r="O4503" s="1207"/>
      <c r="Q4503" s="1207"/>
    </row>
    <row r="4504" spans="3:17" s="700" customFormat="1" ht="70.5" hidden="1" customHeight="1">
      <c r="C4504" s="701"/>
      <c r="D4504" s="811"/>
      <c r="E4504" s="1276">
        <f>[11]building!Y4835</f>
        <v>0</v>
      </c>
      <c r="F4504" s="748">
        <f t="shared" si="309"/>
        <v>0</v>
      </c>
      <c r="G4504" s="1205"/>
      <c r="H4504" s="1055"/>
      <c r="I4504" s="1055"/>
      <c r="J4504" s="1055"/>
      <c r="K4504" s="1205"/>
      <c r="L4504" s="1055"/>
      <c r="M4504" s="1205"/>
      <c r="N4504" s="1054"/>
      <c r="O4504" s="1207"/>
      <c r="Q4504" s="1207"/>
    </row>
    <row r="4505" spans="3:17" s="700" customFormat="1" ht="70.5" hidden="1" customHeight="1">
      <c r="C4505" s="701"/>
      <c r="D4505" s="811"/>
      <c r="E4505" s="1276">
        <f>[11]building!Y4836</f>
        <v>0</v>
      </c>
      <c r="F4505" s="748">
        <f t="shared" si="309"/>
        <v>0</v>
      </c>
      <c r="G4505" s="1205"/>
      <c r="H4505" s="1055"/>
      <c r="I4505" s="1055"/>
      <c r="J4505" s="1055"/>
      <c r="K4505" s="1205"/>
      <c r="L4505" s="1055"/>
      <c r="M4505" s="1205"/>
      <c r="N4505" s="1054"/>
      <c r="O4505" s="1207"/>
      <c r="Q4505" s="1207"/>
    </row>
    <row r="4506" spans="3:17" s="700" customFormat="1" ht="70.5" hidden="1" customHeight="1">
      <c r="C4506" s="701"/>
      <c r="D4506" s="811"/>
      <c r="E4506" s="1276">
        <f>[11]building!Y4837</f>
        <v>0</v>
      </c>
      <c r="F4506" s="748">
        <f t="shared" si="309"/>
        <v>0</v>
      </c>
      <c r="G4506" s="1205"/>
      <c r="H4506" s="1055"/>
      <c r="I4506" s="1055"/>
      <c r="J4506" s="1055"/>
      <c r="K4506" s="1205"/>
      <c r="L4506" s="1055"/>
      <c r="M4506" s="1205"/>
      <c r="N4506" s="1054"/>
      <c r="O4506" s="1207"/>
      <c r="Q4506" s="1207"/>
    </row>
    <row r="4507" spans="3:17" s="700" customFormat="1" ht="70.5" hidden="1" customHeight="1">
      <c r="C4507" s="701"/>
      <c r="D4507" s="811"/>
      <c r="E4507" s="1276">
        <f>[11]building!Y4838</f>
        <v>0</v>
      </c>
      <c r="F4507" s="748">
        <f t="shared" si="309"/>
        <v>0</v>
      </c>
      <c r="G4507" s="1205"/>
      <c r="H4507" s="1055"/>
      <c r="I4507" s="1055"/>
      <c r="J4507" s="1055"/>
      <c r="K4507" s="1205"/>
      <c r="L4507" s="1055"/>
      <c r="M4507" s="1205"/>
      <c r="N4507" s="1054"/>
      <c r="O4507" s="1207"/>
      <c r="Q4507" s="1207"/>
    </row>
    <row r="4508" spans="3:17" s="700" customFormat="1" ht="70.5" hidden="1" customHeight="1">
      <c r="C4508" s="701"/>
      <c r="D4508" s="811"/>
      <c r="E4508" s="1276">
        <f>[11]building!Y4839</f>
        <v>0</v>
      </c>
      <c r="F4508" s="748">
        <f t="shared" si="309"/>
        <v>0</v>
      </c>
      <c r="G4508" s="1205"/>
      <c r="H4508" s="1055"/>
      <c r="I4508" s="1055"/>
      <c r="J4508" s="1055"/>
      <c r="K4508" s="1205"/>
      <c r="L4508" s="1055"/>
      <c r="M4508" s="1205"/>
      <c r="N4508" s="1054"/>
      <c r="O4508" s="1207"/>
      <c r="Q4508" s="1207"/>
    </row>
    <row r="4509" spans="3:17" s="700" customFormat="1" ht="70.5" hidden="1" customHeight="1">
      <c r="C4509" s="701"/>
      <c r="D4509" s="811"/>
      <c r="E4509" s="1276">
        <f>[11]building!Y4840</f>
        <v>0</v>
      </c>
      <c r="F4509" s="748">
        <f t="shared" si="309"/>
        <v>0</v>
      </c>
      <c r="G4509" s="1205"/>
      <c r="H4509" s="1055"/>
      <c r="I4509" s="1055"/>
      <c r="J4509" s="1055"/>
      <c r="K4509" s="1205"/>
      <c r="L4509" s="1055"/>
      <c r="M4509" s="1205"/>
      <c r="N4509" s="1054"/>
      <c r="O4509" s="1207"/>
      <c r="Q4509" s="1207"/>
    </row>
    <row r="4510" spans="3:17" s="700" customFormat="1" ht="70.5" hidden="1" customHeight="1">
      <c r="C4510" s="701"/>
      <c r="D4510" s="811"/>
      <c r="E4510" s="1276">
        <f>[11]building!Y4841</f>
        <v>0</v>
      </c>
      <c r="F4510" s="748">
        <f t="shared" si="309"/>
        <v>0</v>
      </c>
      <c r="G4510" s="1205"/>
      <c r="H4510" s="1055"/>
      <c r="I4510" s="1055"/>
      <c r="J4510" s="1055"/>
      <c r="K4510" s="1205"/>
      <c r="L4510" s="1055"/>
      <c r="M4510" s="1205"/>
      <c r="N4510" s="1054"/>
      <c r="O4510" s="1207"/>
      <c r="Q4510" s="1207"/>
    </row>
    <row r="4511" spans="3:17" s="700" customFormat="1" ht="70.5" hidden="1" customHeight="1">
      <c r="C4511" s="701"/>
      <c r="D4511" s="811"/>
      <c r="E4511" s="1276">
        <f>[11]building!Y4842</f>
        <v>0</v>
      </c>
      <c r="F4511" s="748">
        <f t="shared" si="309"/>
        <v>0</v>
      </c>
      <c r="G4511" s="1205"/>
      <c r="H4511" s="1055"/>
      <c r="I4511" s="1055"/>
      <c r="J4511" s="1055"/>
      <c r="K4511" s="1205"/>
      <c r="L4511" s="1055"/>
      <c r="M4511" s="1205"/>
      <c r="N4511" s="1054"/>
      <c r="O4511" s="1207"/>
      <c r="Q4511" s="1207"/>
    </row>
    <row r="4512" spans="3:17" s="700" customFormat="1" ht="70.5" hidden="1" customHeight="1">
      <c r="C4512" s="701"/>
      <c r="D4512" s="811"/>
      <c r="E4512" s="1276">
        <f>[11]building!Y4843</f>
        <v>0</v>
      </c>
      <c r="F4512" s="748">
        <f t="shared" si="309"/>
        <v>0</v>
      </c>
      <c r="G4512" s="1205"/>
      <c r="H4512" s="1055"/>
      <c r="I4512" s="1055"/>
      <c r="J4512" s="1055"/>
      <c r="K4512" s="1205"/>
      <c r="L4512" s="1055"/>
      <c r="M4512" s="1205"/>
      <c r="N4512" s="1054"/>
      <c r="O4512" s="1207"/>
      <c r="Q4512" s="1207"/>
    </row>
    <row r="4513" spans="3:17" s="700" customFormat="1" ht="70.5" hidden="1" customHeight="1">
      <c r="C4513" s="701"/>
      <c r="D4513" s="811"/>
      <c r="E4513" s="1276">
        <f>[11]building!Y4844</f>
        <v>0</v>
      </c>
      <c r="F4513" s="748">
        <f t="shared" si="309"/>
        <v>0</v>
      </c>
      <c r="G4513" s="1205"/>
      <c r="H4513" s="1055"/>
      <c r="I4513" s="1055"/>
      <c r="J4513" s="1055"/>
      <c r="K4513" s="1205"/>
      <c r="L4513" s="1055"/>
      <c r="M4513" s="1205"/>
      <c r="N4513" s="1054"/>
      <c r="O4513" s="1207"/>
      <c r="Q4513" s="1207"/>
    </row>
    <row r="4514" spans="3:17" s="700" customFormat="1" ht="70.5" hidden="1" customHeight="1">
      <c r="C4514" s="701"/>
      <c r="D4514" s="811"/>
      <c r="E4514" s="1276">
        <f>[11]building!Y4845</f>
        <v>0</v>
      </c>
      <c r="F4514" s="748">
        <f t="shared" si="309"/>
        <v>0</v>
      </c>
      <c r="G4514" s="1205"/>
      <c r="H4514" s="1055"/>
      <c r="I4514" s="1055"/>
      <c r="J4514" s="1055"/>
      <c r="K4514" s="1205"/>
      <c r="L4514" s="1055"/>
      <c r="M4514" s="1205"/>
      <c r="N4514" s="1054"/>
      <c r="O4514" s="1207"/>
      <c r="Q4514" s="1207"/>
    </row>
    <row r="4515" spans="3:17" s="700" customFormat="1" ht="70.5" hidden="1" customHeight="1">
      <c r="C4515" s="701"/>
      <c r="D4515" s="811"/>
      <c r="E4515" s="1276">
        <f>[11]building!Y4846</f>
        <v>0</v>
      </c>
      <c r="F4515" s="748">
        <f t="shared" si="309"/>
        <v>0</v>
      </c>
      <c r="G4515" s="1205"/>
      <c r="H4515" s="1055"/>
      <c r="I4515" s="1055"/>
      <c r="J4515" s="1055"/>
      <c r="K4515" s="1205"/>
      <c r="L4515" s="1055"/>
      <c r="M4515" s="1205"/>
      <c r="N4515" s="1054"/>
      <c r="O4515" s="1207"/>
      <c r="Q4515" s="1207"/>
    </row>
    <row r="4516" spans="3:17" s="700" customFormat="1" ht="70.5" hidden="1" customHeight="1">
      <c r="C4516" s="701"/>
      <c r="D4516" s="811"/>
      <c r="E4516" s="1276">
        <f>[11]building!Y4847</f>
        <v>0</v>
      </c>
      <c r="F4516" s="748">
        <f t="shared" si="309"/>
        <v>0</v>
      </c>
      <c r="G4516" s="1205"/>
      <c r="H4516" s="1055"/>
      <c r="I4516" s="1055"/>
      <c r="J4516" s="1055"/>
      <c r="K4516" s="1205"/>
      <c r="L4516" s="1055"/>
      <c r="M4516" s="1205"/>
      <c r="N4516" s="1054"/>
      <c r="O4516" s="1207"/>
      <c r="Q4516" s="1207"/>
    </row>
    <row r="4517" spans="3:17" s="700" customFormat="1" ht="70.5" hidden="1" customHeight="1">
      <c r="C4517" s="701"/>
      <c r="D4517" s="811"/>
      <c r="E4517" s="1276">
        <f>[11]building!Y4848</f>
        <v>0</v>
      </c>
      <c r="F4517" s="748">
        <f t="shared" si="309"/>
        <v>0</v>
      </c>
      <c r="G4517" s="1205"/>
      <c r="H4517" s="1055"/>
      <c r="I4517" s="1055"/>
      <c r="J4517" s="1055"/>
      <c r="K4517" s="1205"/>
      <c r="L4517" s="1055"/>
      <c r="M4517" s="1205"/>
      <c r="N4517" s="1054"/>
      <c r="O4517" s="1207"/>
      <c r="Q4517" s="1207"/>
    </row>
    <row r="4518" spans="3:17" s="700" customFormat="1" ht="70.5" hidden="1" customHeight="1">
      <c r="C4518" s="701"/>
      <c r="D4518" s="811"/>
      <c r="E4518" s="1276">
        <f>[11]building!Y4849</f>
        <v>0</v>
      </c>
      <c r="F4518" s="748">
        <f t="shared" si="309"/>
        <v>0</v>
      </c>
      <c r="G4518" s="1205"/>
      <c r="H4518" s="1055"/>
      <c r="I4518" s="1055"/>
      <c r="J4518" s="1055"/>
      <c r="K4518" s="1205"/>
      <c r="L4518" s="1055"/>
      <c r="M4518" s="1205"/>
      <c r="N4518" s="1054"/>
      <c r="O4518" s="1207"/>
      <c r="Q4518" s="1207"/>
    </row>
    <row r="4519" spans="3:17" s="700" customFormat="1" ht="70.5" hidden="1" customHeight="1">
      <c r="C4519" s="701"/>
      <c r="D4519" s="811"/>
      <c r="E4519" s="1276">
        <f>[11]building!Y4850</f>
        <v>0</v>
      </c>
      <c r="F4519" s="748">
        <f t="shared" si="309"/>
        <v>0</v>
      </c>
      <c r="G4519" s="1205"/>
      <c r="H4519" s="1055"/>
      <c r="I4519" s="1055"/>
      <c r="J4519" s="1055"/>
      <c r="K4519" s="1205"/>
      <c r="L4519" s="1055"/>
      <c r="M4519" s="1205"/>
      <c r="N4519" s="1054"/>
      <c r="O4519" s="1207"/>
      <c r="Q4519" s="1207"/>
    </row>
    <row r="4520" spans="3:17" s="700" customFormat="1" ht="70.5" hidden="1" customHeight="1">
      <c r="C4520" s="701"/>
      <c r="D4520" s="811"/>
      <c r="E4520" s="1276">
        <f>[11]building!Y4851</f>
        <v>0</v>
      </c>
      <c r="F4520" s="748">
        <f t="shared" si="309"/>
        <v>0</v>
      </c>
      <c r="G4520" s="1205"/>
      <c r="H4520" s="1055"/>
      <c r="I4520" s="1055"/>
      <c r="J4520" s="1055"/>
      <c r="K4520" s="1205"/>
      <c r="L4520" s="1055"/>
      <c r="M4520" s="1205"/>
      <c r="N4520" s="1054"/>
      <c r="O4520" s="1207"/>
      <c r="Q4520" s="1207"/>
    </row>
    <row r="4521" spans="3:17" s="700" customFormat="1" ht="70.5" hidden="1" customHeight="1">
      <c r="C4521" s="701"/>
      <c r="D4521" s="811"/>
      <c r="E4521" s="1276">
        <f>[11]building!Y4852</f>
        <v>0</v>
      </c>
      <c r="F4521" s="748">
        <f t="shared" si="309"/>
        <v>0</v>
      </c>
      <c r="G4521" s="1205"/>
      <c r="H4521" s="1055"/>
      <c r="I4521" s="1055"/>
      <c r="J4521" s="1055"/>
      <c r="K4521" s="1205"/>
      <c r="L4521" s="1055"/>
      <c r="M4521" s="1205"/>
      <c r="N4521" s="1054"/>
      <c r="O4521" s="1207"/>
      <c r="Q4521" s="1207"/>
    </row>
    <row r="4522" spans="3:17" s="700" customFormat="1" ht="70.5" hidden="1" customHeight="1">
      <c r="C4522" s="701"/>
      <c r="D4522" s="811"/>
      <c r="E4522" s="1276">
        <f>[11]building!Y4853</f>
        <v>0</v>
      </c>
      <c r="F4522" s="748">
        <f t="shared" si="309"/>
        <v>0</v>
      </c>
      <c r="G4522" s="1205"/>
      <c r="H4522" s="1055"/>
      <c r="I4522" s="1055"/>
      <c r="J4522" s="1055"/>
      <c r="K4522" s="1205"/>
      <c r="L4522" s="1055"/>
      <c r="M4522" s="1205"/>
      <c r="N4522" s="1054"/>
      <c r="O4522" s="1207"/>
      <c r="Q4522" s="1207"/>
    </row>
    <row r="4523" spans="3:17" s="700" customFormat="1" ht="70.5" hidden="1" customHeight="1">
      <c r="C4523" s="701"/>
      <c r="D4523" s="811"/>
      <c r="E4523" s="1276">
        <f>[11]building!Y4854</f>
        <v>0</v>
      </c>
      <c r="F4523" s="748">
        <f t="shared" si="309"/>
        <v>0</v>
      </c>
      <c r="G4523" s="1205"/>
      <c r="H4523" s="1055"/>
      <c r="I4523" s="1055"/>
      <c r="J4523" s="1055"/>
      <c r="K4523" s="1205"/>
      <c r="L4523" s="1055"/>
      <c r="M4523" s="1205"/>
      <c r="N4523" s="1054"/>
      <c r="O4523" s="1207"/>
      <c r="Q4523" s="1207"/>
    </row>
    <row r="4524" spans="3:17" s="700" customFormat="1" ht="70.5" hidden="1" customHeight="1">
      <c r="C4524" s="701"/>
      <c r="D4524" s="811"/>
      <c r="E4524" s="1276">
        <f>[11]building!Y4855</f>
        <v>0</v>
      </c>
      <c r="F4524" s="748">
        <f t="shared" si="309"/>
        <v>0</v>
      </c>
      <c r="G4524" s="1205"/>
      <c r="H4524" s="1055"/>
      <c r="I4524" s="1055"/>
      <c r="J4524" s="1055"/>
      <c r="K4524" s="1205"/>
      <c r="L4524" s="1055"/>
      <c r="M4524" s="1205"/>
      <c r="N4524" s="1054"/>
      <c r="O4524" s="1207"/>
      <c r="Q4524" s="1207"/>
    </row>
    <row r="4525" spans="3:17" s="700" customFormat="1" ht="70.5" hidden="1" customHeight="1">
      <c r="C4525" s="701"/>
      <c r="D4525" s="811"/>
      <c r="E4525" s="1276">
        <f>[11]building!Y4856</f>
        <v>0</v>
      </c>
      <c r="F4525" s="748">
        <f t="shared" si="309"/>
        <v>0</v>
      </c>
      <c r="G4525" s="1205"/>
      <c r="H4525" s="1055"/>
      <c r="I4525" s="1055"/>
      <c r="J4525" s="1055"/>
      <c r="K4525" s="1205"/>
      <c r="L4525" s="1055"/>
      <c r="M4525" s="1205"/>
      <c r="N4525" s="1054"/>
      <c r="O4525" s="1207"/>
      <c r="Q4525" s="1207"/>
    </row>
    <row r="4526" spans="3:17" s="700" customFormat="1" ht="70.5" hidden="1" customHeight="1">
      <c r="C4526" s="701"/>
      <c r="D4526" s="811"/>
      <c r="E4526" s="1276">
        <f>[11]building!Y4857</f>
        <v>0</v>
      </c>
      <c r="F4526" s="748">
        <f t="shared" si="309"/>
        <v>0</v>
      </c>
      <c r="G4526" s="1205"/>
      <c r="H4526" s="1055"/>
      <c r="I4526" s="1055"/>
      <c r="J4526" s="1055"/>
      <c r="K4526" s="1205"/>
      <c r="L4526" s="1055"/>
      <c r="M4526" s="1205"/>
      <c r="N4526" s="1054"/>
      <c r="O4526" s="1207"/>
      <c r="Q4526" s="1207"/>
    </row>
    <row r="4527" spans="3:17" s="700" customFormat="1" ht="70.5" hidden="1" customHeight="1">
      <c r="C4527" s="701"/>
      <c r="D4527" s="811"/>
      <c r="E4527" s="1276">
        <f>[11]building!Y4858</f>
        <v>0</v>
      </c>
      <c r="F4527" s="748">
        <f t="shared" si="309"/>
        <v>0</v>
      </c>
      <c r="G4527" s="1205"/>
      <c r="H4527" s="1055"/>
      <c r="I4527" s="1055"/>
      <c r="J4527" s="1055"/>
      <c r="K4527" s="1205"/>
      <c r="L4527" s="1055"/>
      <c r="M4527" s="1205"/>
      <c r="N4527" s="1054"/>
      <c r="O4527" s="1207"/>
      <c r="Q4527" s="1207"/>
    </row>
    <row r="4528" spans="3:17" s="700" customFormat="1" ht="70.5" hidden="1" customHeight="1">
      <c r="C4528" s="701"/>
      <c r="D4528" s="811"/>
      <c r="E4528" s="1276">
        <f>[11]building!Y4859</f>
        <v>0</v>
      </c>
      <c r="F4528" s="748">
        <f t="shared" si="309"/>
        <v>0</v>
      </c>
      <c r="G4528" s="1205"/>
      <c r="H4528" s="1055"/>
      <c r="I4528" s="1055"/>
      <c r="J4528" s="1055"/>
      <c r="K4528" s="1205"/>
      <c r="L4528" s="1055"/>
      <c r="M4528" s="1205"/>
      <c r="N4528" s="1054"/>
      <c r="O4528" s="1207"/>
      <c r="Q4528" s="1207"/>
    </row>
    <row r="4529" spans="3:17" s="700" customFormat="1" ht="70.5" hidden="1" customHeight="1">
      <c r="C4529" s="701"/>
      <c r="D4529" s="811"/>
      <c r="E4529" s="1276">
        <f>[11]building!Y4860</f>
        <v>0</v>
      </c>
      <c r="F4529" s="748">
        <f t="shared" si="309"/>
        <v>0</v>
      </c>
      <c r="G4529" s="1205"/>
      <c r="H4529" s="1055"/>
      <c r="I4529" s="1055"/>
      <c r="J4529" s="1055"/>
      <c r="K4529" s="1205"/>
      <c r="L4529" s="1055"/>
      <c r="M4529" s="1205"/>
      <c r="N4529" s="1054"/>
      <c r="O4529" s="1207"/>
      <c r="Q4529" s="1207"/>
    </row>
    <row r="4530" spans="3:17" s="700" customFormat="1" ht="70.5" hidden="1" customHeight="1">
      <c r="C4530" s="701"/>
      <c r="D4530" s="811"/>
      <c r="E4530" s="1276">
        <f>[11]building!Y4861</f>
        <v>0</v>
      </c>
      <c r="F4530" s="748">
        <f t="shared" si="309"/>
        <v>0</v>
      </c>
      <c r="G4530" s="1205"/>
      <c r="H4530" s="1055"/>
      <c r="I4530" s="1055"/>
      <c r="J4530" s="1055"/>
      <c r="K4530" s="1205"/>
      <c r="L4530" s="1055"/>
      <c r="M4530" s="1205"/>
      <c r="N4530" s="1054"/>
      <c r="O4530" s="1207"/>
      <c r="Q4530" s="1207"/>
    </row>
    <row r="4531" spans="3:17" s="700" customFormat="1" ht="70.5" hidden="1" customHeight="1">
      <c r="C4531" s="701"/>
      <c r="D4531" s="811"/>
      <c r="E4531" s="1276">
        <f>[11]building!Y4862</f>
        <v>0</v>
      </c>
      <c r="F4531" s="748">
        <f t="shared" si="309"/>
        <v>0</v>
      </c>
      <c r="G4531" s="1205"/>
      <c r="H4531" s="1055"/>
      <c r="I4531" s="1055"/>
      <c r="J4531" s="1055"/>
      <c r="K4531" s="1205"/>
      <c r="L4531" s="1055"/>
      <c r="M4531" s="1205"/>
      <c r="N4531" s="1054"/>
      <c r="O4531" s="1207"/>
      <c r="Q4531" s="1207"/>
    </row>
    <row r="4532" spans="3:17" s="700" customFormat="1" ht="70.5" hidden="1" customHeight="1">
      <c r="C4532" s="701"/>
      <c r="D4532" s="811"/>
      <c r="E4532" s="1276">
        <f>[11]building!Y4863</f>
        <v>0</v>
      </c>
      <c r="F4532" s="748">
        <f t="shared" si="309"/>
        <v>0</v>
      </c>
      <c r="G4532" s="1205"/>
      <c r="H4532" s="1055"/>
      <c r="I4532" s="1055"/>
      <c r="J4532" s="1055"/>
      <c r="K4532" s="1205"/>
      <c r="L4532" s="1055"/>
      <c r="M4532" s="1205"/>
      <c r="N4532" s="1054"/>
      <c r="O4532" s="1207"/>
      <c r="Q4532" s="1207"/>
    </row>
    <row r="4533" spans="3:17" s="700" customFormat="1" ht="70.5" hidden="1" customHeight="1">
      <c r="C4533" s="701"/>
      <c r="D4533" s="811"/>
      <c r="E4533" s="1276">
        <f>[11]building!Y4864</f>
        <v>0</v>
      </c>
      <c r="F4533" s="748">
        <f t="shared" si="309"/>
        <v>0</v>
      </c>
      <c r="G4533" s="1205"/>
      <c r="H4533" s="1055"/>
      <c r="I4533" s="1055"/>
      <c r="J4533" s="1055"/>
      <c r="K4533" s="1205"/>
      <c r="L4533" s="1055"/>
      <c r="M4533" s="1205"/>
      <c r="N4533" s="1054"/>
      <c r="O4533" s="1207"/>
      <c r="Q4533" s="1207"/>
    </row>
    <row r="4534" spans="3:17" s="700" customFormat="1" ht="70.5" hidden="1" customHeight="1">
      <c r="C4534" s="701"/>
      <c r="D4534" s="811"/>
      <c r="E4534" s="1276">
        <f>[11]building!Y4865</f>
        <v>0</v>
      </c>
      <c r="F4534" s="748">
        <f t="shared" si="309"/>
        <v>0</v>
      </c>
      <c r="G4534" s="1205"/>
      <c r="H4534" s="1055"/>
      <c r="I4534" s="1055"/>
      <c r="J4534" s="1055"/>
      <c r="K4534" s="1205"/>
      <c r="L4534" s="1055"/>
      <c r="M4534" s="1205"/>
      <c r="N4534" s="1054"/>
      <c r="O4534" s="1207"/>
      <c r="Q4534" s="1207"/>
    </row>
    <row r="4535" spans="3:17" s="700" customFormat="1" ht="70.5" hidden="1" customHeight="1">
      <c r="C4535" s="701"/>
      <c r="D4535" s="811"/>
      <c r="E4535" s="1276">
        <f>[11]building!Y4866</f>
        <v>0</v>
      </c>
      <c r="F4535" s="748">
        <f t="shared" si="309"/>
        <v>0</v>
      </c>
      <c r="G4535" s="1205"/>
      <c r="H4535" s="1055"/>
      <c r="I4535" s="1055"/>
      <c r="J4535" s="1055"/>
      <c r="K4535" s="1205"/>
      <c r="L4535" s="1055"/>
      <c r="M4535" s="1205"/>
      <c r="N4535" s="1054"/>
      <c r="O4535" s="1207"/>
      <c r="Q4535" s="1207"/>
    </row>
    <row r="4536" spans="3:17" s="700" customFormat="1" ht="70.5" hidden="1" customHeight="1">
      <c r="C4536" s="701"/>
      <c r="D4536" s="811"/>
      <c r="E4536" s="1276">
        <f>[11]building!Y4867</f>
        <v>0</v>
      </c>
      <c r="F4536" s="748">
        <f t="shared" si="309"/>
        <v>0</v>
      </c>
      <c r="G4536" s="1205"/>
      <c r="H4536" s="1055"/>
      <c r="I4536" s="1055"/>
      <c r="J4536" s="1055"/>
      <c r="K4536" s="1205"/>
      <c r="L4536" s="1055"/>
      <c r="M4536" s="1205"/>
      <c r="N4536" s="1054"/>
      <c r="O4536" s="1207"/>
      <c r="Q4536" s="1207"/>
    </row>
    <row r="4537" spans="3:17" s="700" customFormat="1" ht="70.5" hidden="1" customHeight="1">
      <c r="C4537" s="701"/>
      <c r="D4537" s="811"/>
      <c r="E4537" s="1276">
        <f>[11]building!Y4868</f>
        <v>0</v>
      </c>
      <c r="F4537" s="748">
        <f t="shared" si="309"/>
        <v>0</v>
      </c>
      <c r="G4537" s="1205"/>
      <c r="H4537" s="1055"/>
      <c r="I4537" s="1055"/>
      <c r="J4537" s="1055"/>
      <c r="K4537" s="1205"/>
      <c r="L4537" s="1055"/>
      <c r="M4537" s="1205"/>
      <c r="N4537" s="1054"/>
      <c r="O4537" s="1207"/>
      <c r="Q4537" s="1207"/>
    </row>
    <row r="4538" spans="3:17" s="700" customFormat="1" ht="70.5" hidden="1" customHeight="1">
      <c r="C4538" s="701"/>
      <c r="D4538" s="811"/>
      <c r="E4538" s="1276">
        <f>[11]building!Y4869</f>
        <v>0</v>
      </c>
      <c r="F4538" s="748">
        <f t="shared" si="309"/>
        <v>0</v>
      </c>
      <c r="G4538" s="1205"/>
      <c r="H4538" s="1055"/>
      <c r="I4538" s="1055"/>
      <c r="J4538" s="1055"/>
      <c r="K4538" s="1205"/>
      <c r="L4538" s="1055"/>
      <c r="M4538" s="1205"/>
      <c r="N4538" s="1054"/>
      <c r="O4538" s="1207"/>
      <c r="Q4538" s="1207"/>
    </row>
    <row r="4539" spans="3:17" s="700" customFormat="1" ht="70.5" hidden="1" customHeight="1">
      <c r="C4539" s="701"/>
      <c r="D4539" s="811"/>
      <c r="E4539" s="1276">
        <f>[11]building!Y4870</f>
        <v>0</v>
      </c>
      <c r="F4539" s="748">
        <f t="shared" si="309"/>
        <v>0</v>
      </c>
      <c r="G4539" s="1205"/>
      <c r="H4539" s="1055"/>
      <c r="I4539" s="1055"/>
      <c r="J4539" s="1055"/>
      <c r="K4539" s="1205"/>
      <c r="L4539" s="1055"/>
      <c r="M4539" s="1205"/>
      <c r="N4539" s="1054"/>
      <c r="O4539" s="1207"/>
      <c r="Q4539" s="1207"/>
    </row>
    <row r="4540" spans="3:17" s="700" customFormat="1" ht="70.5" hidden="1" customHeight="1">
      <c r="C4540" s="701"/>
      <c r="D4540" s="811"/>
      <c r="E4540" s="1276">
        <f>[11]building!Y4871</f>
        <v>0</v>
      </c>
      <c r="F4540" s="748">
        <f t="shared" si="309"/>
        <v>0</v>
      </c>
      <c r="G4540" s="1205"/>
      <c r="H4540" s="1055"/>
      <c r="I4540" s="1055"/>
      <c r="J4540" s="1055"/>
      <c r="K4540" s="1205"/>
      <c r="L4540" s="1055"/>
      <c r="M4540" s="1205"/>
      <c r="N4540" s="1054"/>
      <c r="O4540" s="1207"/>
      <c r="Q4540" s="1207"/>
    </row>
    <row r="4541" spans="3:17" s="700" customFormat="1" ht="70.5" hidden="1" customHeight="1">
      <c r="C4541" s="701"/>
      <c r="D4541" s="811"/>
      <c r="E4541" s="1276">
        <f>[11]building!Y4872</f>
        <v>0</v>
      </c>
      <c r="F4541" s="748">
        <f t="shared" si="309"/>
        <v>0</v>
      </c>
      <c r="G4541" s="1205"/>
      <c r="H4541" s="1055"/>
      <c r="I4541" s="1055"/>
      <c r="J4541" s="1055"/>
      <c r="K4541" s="1205"/>
      <c r="L4541" s="1055"/>
      <c r="M4541" s="1205"/>
      <c r="N4541" s="1054"/>
      <c r="O4541" s="1207"/>
      <c r="Q4541" s="1207"/>
    </row>
    <row r="4542" spans="3:17" s="700" customFormat="1" ht="70.5" hidden="1" customHeight="1">
      <c r="C4542" s="701"/>
      <c r="D4542" s="811"/>
      <c r="E4542" s="1276">
        <f>[11]building!Y4873</f>
        <v>0</v>
      </c>
      <c r="F4542" s="748">
        <f t="shared" si="309"/>
        <v>0</v>
      </c>
      <c r="G4542" s="1205"/>
      <c r="H4542" s="1055"/>
      <c r="I4542" s="1055"/>
      <c r="J4542" s="1055"/>
      <c r="K4542" s="1205"/>
      <c r="L4542" s="1055"/>
      <c r="M4542" s="1205"/>
      <c r="N4542" s="1054"/>
      <c r="O4542" s="1207"/>
      <c r="Q4542" s="1207"/>
    </row>
    <row r="4543" spans="3:17" s="700" customFormat="1" ht="70.5" hidden="1" customHeight="1">
      <c r="C4543" s="701"/>
      <c r="D4543" s="811"/>
      <c r="E4543" s="1276">
        <f>[11]building!Y4874</f>
        <v>0</v>
      </c>
      <c r="F4543" s="748">
        <f t="shared" si="309"/>
        <v>0</v>
      </c>
      <c r="G4543" s="1205"/>
      <c r="H4543" s="1055"/>
      <c r="I4543" s="1055"/>
      <c r="J4543" s="1055"/>
      <c r="K4543" s="1205"/>
      <c r="L4543" s="1055"/>
      <c r="M4543" s="1205"/>
      <c r="N4543" s="1054"/>
      <c r="O4543" s="1207"/>
      <c r="Q4543" s="1207"/>
    </row>
    <row r="4544" spans="3:17" s="700" customFormat="1" ht="70.5" hidden="1" customHeight="1">
      <c r="C4544" s="701"/>
      <c r="D4544" s="811"/>
      <c r="E4544" s="1276">
        <f>[11]building!Y4875</f>
        <v>0</v>
      </c>
      <c r="F4544" s="748">
        <f t="shared" ref="F4544:F4607" si="310">E4544*C4544</f>
        <v>0</v>
      </c>
      <c r="G4544" s="1205"/>
      <c r="H4544" s="1055"/>
      <c r="I4544" s="1055"/>
      <c r="J4544" s="1055"/>
      <c r="K4544" s="1205"/>
      <c r="L4544" s="1055"/>
      <c r="M4544" s="1205"/>
      <c r="N4544" s="1054"/>
      <c r="O4544" s="1207"/>
      <c r="Q4544" s="1207"/>
    </row>
    <row r="4545" spans="3:17" s="700" customFormat="1" ht="70.5" hidden="1" customHeight="1">
      <c r="C4545" s="701"/>
      <c r="D4545" s="811"/>
      <c r="E4545" s="1276">
        <f>[11]building!Y4876</f>
        <v>0</v>
      </c>
      <c r="F4545" s="748">
        <f t="shared" si="310"/>
        <v>0</v>
      </c>
      <c r="G4545" s="1205"/>
      <c r="H4545" s="1055"/>
      <c r="I4545" s="1055"/>
      <c r="J4545" s="1055"/>
      <c r="K4545" s="1205"/>
      <c r="L4545" s="1055"/>
      <c r="M4545" s="1205"/>
      <c r="N4545" s="1054"/>
      <c r="O4545" s="1207"/>
      <c r="Q4545" s="1207"/>
    </row>
    <row r="4546" spans="3:17" s="700" customFormat="1" ht="70.5" hidden="1" customHeight="1">
      <c r="C4546" s="701"/>
      <c r="D4546" s="811"/>
      <c r="E4546" s="1276">
        <f>[11]building!Y4877</f>
        <v>0</v>
      </c>
      <c r="F4546" s="748">
        <f t="shared" si="310"/>
        <v>0</v>
      </c>
      <c r="G4546" s="1205"/>
      <c r="H4546" s="1055"/>
      <c r="I4546" s="1055"/>
      <c r="J4546" s="1055"/>
      <c r="K4546" s="1205"/>
      <c r="L4546" s="1055"/>
      <c r="M4546" s="1205"/>
      <c r="N4546" s="1054"/>
      <c r="O4546" s="1207"/>
      <c r="Q4546" s="1207"/>
    </row>
    <row r="4547" spans="3:17" s="700" customFormat="1" ht="70.5" hidden="1" customHeight="1">
      <c r="C4547" s="701"/>
      <c r="D4547" s="811"/>
      <c r="E4547" s="1276">
        <f>[11]building!Y4878</f>
        <v>0</v>
      </c>
      <c r="F4547" s="748">
        <f t="shared" si="310"/>
        <v>0</v>
      </c>
      <c r="G4547" s="1205"/>
      <c r="H4547" s="1055"/>
      <c r="I4547" s="1055"/>
      <c r="J4547" s="1055"/>
      <c r="K4547" s="1205"/>
      <c r="L4547" s="1055"/>
      <c r="M4547" s="1205"/>
      <c r="N4547" s="1054"/>
      <c r="O4547" s="1207"/>
      <c r="Q4547" s="1207"/>
    </row>
    <row r="4548" spans="3:17" s="700" customFormat="1" ht="70.5" hidden="1" customHeight="1">
      <c r="C4548" s="701"/>
      <c r="D4548" s="811"/>
      <c r="E4548" s="1276">
        <f>[11]building!Y4879</f>
        <v>0</v>
      </c>
      <c r="F4548" s="748">
        <f t="shared" si="310"/>
        <v>0</v>
      </c>
      <c r="G4548" s="1205"/>
      <c r="H4548" s="1055"/>
      <c r="I4548" s="1055"/>
      <c r="J4548" s="1055"/>
      <c r="K4548" s="1205"/>
      <c r="L4548" s="1055"/>
      <c r="M4548" s="1205"/>
      <c r="N4548" s="1054"/>
      <c r="O4548" s="1207"/>
      <c r="Q4548" s="1207"/>
    </row>
    <row r="4549" spans="3:17" s="700" customFormat="1" ht="70.5" hidden="1" customHeight="1">
      <c r="C4549" s="701"/>
      <c r="D4549" s="811"/>
      <c r="E4549" s="1276">
        <f>[11]building!Y4880</f>
        <v>0</v>
      </c>
      <c r="F4549" s="748">
        <f t="shared" si="310"/>
        <v>0</v>
      </c>
      <c r="G4549" s="1205"/>
      <c r="H4549" s="1055"/>
      <c r="I4549" s="1055"/>
      <c r="J4549" s="1055"/>
      <c r="K4549" s="1205"/>
      <c r="L4549" s="1055"/>
      <c r="M4549" s="1205"/>
      <c r="N4549" s="1054"/>
      <c r="O4549" s="1207"/>
      <c r="Q4549" s="1207"/>
    </row>
    <row r="4550" spans="3:17" s="700" customFormat="1" ht="70.5" hidden="1" customHeight="1">
      <c r="C4550" s="701"/>
      <c r="D4550" s="811"/>
      <c r="E4550" s="1276">
        <f>[11]building!Y4881</f>
        <v>0</v>
      </c>
      <c r="F4550" s="748">
        <f t="shared" si="310"/>
        <v>0</v>
      </c>
      <c r="G4550" s="1205"/>
      <c r="H4550" s="1055"/>
      <c r="I4550" s="1055"/>
      <c r="J4550" s="1055"/>
      <c r="K4550" s="1205"/>
      <c r="L4550" s="1055"/>
      <c r="M4550" s="1205"/>
      <c r="N4550" s="1054"/>
      <c r="O4550" s="1207"/>
      <c r="Q4550" s="1207"/>
    </row>
    <row r="4551" spans="3:17" s="700" customFormat="1" ht="70.5" hidden="1" customHeight="1">
      <c r="C4551" s="701"/>
      <c r="D4551" s="811"/>
      <c r="E4551" s="1276">
        <f>[11]building!Y4882</f>
        <v>0</v>
      </c>
      <c r="F4551" s="748">
        <f t="shared" si="310"/>
        <v>0</v>
      </c>
      <c r="G4551" s="1205"/>
      <c r="H4551" s="1055"/>
      <c r="I4551" s="1055"/>
      <c r="J4551" s="1055"/>
      <c r="K4551" s="1205"/>
      <c r="L4551" s="1055"/>
      <c r="M4551" s="1205"/>
      <c r="N4551" s="1054"/>
      <c r="O4551" s="1207"/>
      <c r="Q4551" s="1207"/>
    </row>
    <row r="4552" spans="3:17" s="700" customFormat="1" ht="70.5" hidden="1" customHeight="1">
      <c r="C4552" s="701"/>
      <c r="D4552" s="811"/>
      <c r="E4552" s="1276">
        <f>[11]building!Y4883</f>
        <v>0</v>
      </c>
      <c r="F4552" s="748">
        <f t="shared" si="310"/>
        <v>0</v>
      </c>
      <c r="G4552" s="1205"/>
      <c r="H4552" s="1055"/>
      <c r="I4552" s="1055"/>
      <c r="J4552" s="1055"/>
      <c r="K4552" s="1205"/>
      <c r="L4552" s="1055"/>
      <c r="M4552" s="1205"/>
      <c r="N4552" s="1054"/>
      <c r="O4552" s="1207"/>
      <c r="Q4552" s="1207"/>
    </row>
    <row r="4553" spans="3:17" s="700" customFormat="1" ht="70.5" hidden="1" customHeight="1">
      <c r="C4553" s="701"/>
      <c r="D4553" s="811"/>
      <c r="E4553" s="1276">
        <f>[11]building!Y4884</f>
        <v>0</v>
      </c>
      <c r="F4553" s="748">
        <f t="shared" si="310"/>
        <v>0</v>
      </c>
      <c r="G4553" s="1205"/>
      <c r="H4553" s="1055"/>
      <c r="I4553" s="1055"/>
      <c r="J4553" s="1055"/>
      <c r="K4553" s="1205"/>
      <c r="L4553" s="1055"/>
      <c r="M4553" s="1205"/>
      <c r="N4553" s="1054"/>
      <c r="O4553" s="1207"/>
      <c r="Q4553" s="1207"/>
    </row>
    <row r="4554" spans="3:17" s="700" customFormat="1" ht="70.5" hidden="1" customHeight="1">
      <c r="C4554" s="701"/>
      <c r="D4554" s="811"/>
      <c r="E4554" s="1276">
        <f>[11]building!Y4885</f>
        <v>0</v>
      </c>
      <c r="F4554" s="748">
        <f t="shared" si="310"/>
        <v>0</v>
      </c>
      <c r="G4554" s="1205"/>
      <c r="H4554" s="1055"/>
      <c r="I4554" s="1055"/>
      <c r="J4554" s="1055"/>
      <c r="K4554" s="1205"/>
      <c r="L4554" s="1055"/>
      <c r="M4554" s="1205"/>
      <c r="N4554" s="1054"/>
      <c r="O4554" s="1207"/>
      <c r="Q4554" s="1207"/>
    </row>
    <row r="4555" spans="3:17" s="700" customFormat="1" ht="70.5" hidden="1" customHeight="1">
      <c r="C4555" s="701"/>
      <c r="D4555" s="811"/>
      <c r="E4555" s="1276">
        <f>[11]building!Y4886</f>
        <v>0</v>
      </c>
      <c r="F4555" s="748">
        <f t="shared" si="310"/>
        <v>0</v>
      </c>
      <c r="G4555" s="1205"/>
      <c r="H4555" s="1055"/>
      <c r="I4555" s="1055"/>
      <c r="J4555" s="1055"/>
      <c r="K4555" s="1205"/>
      <c r="L4555" s="1055"/>
      <c r="M4555" s="1205"/>
      <c r="N4555" s="1054"/>
      <c r="O4555" s="1207"/>
      <c r="Q4555" s="1207"/>
    </row>
    <row r="4556" spans="3:17" s="700" customFormat="1" ht="70.5" hidden="1" customHeight="1">
      <c r="C4556" s="701"/>
      <c r="D4556" s="811"/>
      <c r="E4556" s="1276">
        <f>[11]building!Y4887</f>
        <v>0</v>
      </c>
      <c r="F4556" s="748">
        <f t="shared" si="310"/>
        <v>0</v>
      </c>
      <c r="G4556" s="1205"/>
      <c r="H4556" s="1055"/>
      <c r="I4556" s="1055"/>
      <c r="J4556" s="1055"/>
      <c r="K4556" s="1205"/>
      <c r="L4556" s="1055"/>
      <c r="M4556" s="1205"/>
      <c r="N4556" s="1054"/>
      <c r="O4556" s="1207"/>
      <c r="Q4556" s="1207"/>
    </row>
    <row r="4557" spans="3:17" s="700" customFormat="1" ht="70.5" hidden="1" customHeight="1">
      <c r="C4557" s="701"/>
      <c r="D4557" s="811"/>
      <c r="E4557" s="1276">
        <f>[11]building!Y4888</f>
        <v>0</v>
      </c>
      <c r="F4557" s="748">
        <f t="shared" si="310"/>
        <v>0</v>
      </c>
      <c r="G4557" s="1205"/>
      <c r="H4557" s="1055"/>
      <c r="I4557" s="1055"/>
      <c r="J4557" s="1055"/>
      <c r="K4557" s="1205"/>
      <c r="L4557" s="1055"/>
      <c r="M4557" s="1205"/>
      <c r="N4557" s="1054"/>
      <c r="O4557" s="1207"/>
      <c r="Q4557" s="1207"/>
    </row>
    <row r="4558" spans="3:17" s="700" customFormat="1" ht="70.5" hidden="1" customHeight="1">
      <c r="C4558" s="701"/>
      <c r="D4558" s="811"/>
      <c r="E4558" s="1276">
        <f>[11]building!Y4889</f>
        <v>0</v>
      </c>
      <c r="F4558" s="748">
        <f t="shared" si="310"/>
        <v>0</v>
      </c>
      <c r="G4558" s="1205"/>
      <c r="H4558" s="1055"/>
      <c r="I4558" s="1055"/>
      <c r="J4558" s="1055"/>
      <c r="K4558" s="1205"/>
      <c r="L4558" s="1055"/>
      <c r="M4558" s="1205"/>
      <c r="N4558" s="1054"/>
      <c r="O4558" s="1207"/>
      <c r="Q4558" s="1207"/>
    </row>
    <row r="4559" spans="3:17" s="700" customFormat="1" ht="70.5" hidden="1" customHeight="1">
      <c r="C4559" s="701"/>
      <c r="D4559" s="811"/>
      <c r="E4559" s="1276">
        <f>[11]building!Y4890</f>
        <v>0</v>
      </c>
      <c r="F4559" s="748">
        <f t="shared" si="310"/>
        <v>0</v>
      </c>
      <c r="G4559" s="1205"/>
      <c r="H4559" s="1055"/>
      <c r="I4559" s="1055"/>
      <c r="J4559" s="1055"/>
      <c r="K4559" s="1205"/>
      <c r="L4559" s="1055"/>
      <c r="M4559" s="1205"/>
      <c r="N4559" s="1054"/>
      <c r="O4559" s="1207"/>
      <c r="Q4559" s="1207"/>
    </row>
    <row r="4560" spans="3:17" s="700" customFormat="1" ht="70.5" hidden="1" customHeight="1">
      <c r="C4560" s="701"/>
      <c r="D4560" s="811"/>
      <c r="E4560" s="1276">
        <f>[11]building!Y4891</f>
        <v>0</v>
      </c>
      <c r="F4560" s="748">
        <f t="shared" si="310"/>
        <v>0</v>
      </c>
      <c r="G4560" s="1205"/>
      <c r="H4560" s="1055"/>
      <c r="I4560" s="1055"/>
      <c r="J4560" s="1055"/>
      <c r="K4560" s="1205"/>
      <c r="L4560" s="1055"/>
      <c r="M4560" s="1205"/>
      <c r="N4560" s="1054"/>
      <c r="O4560" s="1207"/>
      <c r="Q4560" s="1207"/>
    </row>
    <row r="4561" spans="3:17" s="700" customFormat="1" ht="70.5" hidden="1" customHeight="1">
      <c r="C4561" s="701"/>
      <c r="D4561" s="811"/>
      <c r="E4561" s="1276">
        <f>[11]building!Y4892</f>
        <v>0</v>
      </c>
      <c r="F4561" s="748">
        <f t="shared" si="310"/>
        <v>0</v>
      </c>
      <c r="G4561" s="1205"/>
      <c r="H4561" s="1055"/>
      <c r="I4561" s="1055"/>
      <c r="J4561" s="1055"/>
      <c r="K4561" s="1205"/>
      <c r="L4561" s="1055"/>
      <c r="M4561" s="1205"/>
      <c r="N4561" s="1054"/>
      <c r="O4561" s="1207"/>
      <c r="Q4561" s="1207"/>
    </row>
    <row r="4562" spans="3:17" s="700" customFormat="1" ht="70.5" hidden="1" customHeight="1">
      <c r="C4562" s="701"/>
      <c r="D4562" s="811"/>
      <c r="E4562" s="1276">
        <f>[11]building!Y4893</f>
        <v>0</v>
      </c>
      <c r="F4562" s="748">
        <f t="shared" si="310"/>
        <v>0</v>
      </c>
      <c r="G4562" s="1205"/>
      <c r="H4562" s="1055"/>
      <c r="I4562" s="1055"/>
      <c r="J4562" s="1055"/>
      <c r="K4562" s="1205"/>
      <c r="L4562" s="1055"/>
      <c r="M4562" s="1205"/>
      <c r="N4562" s="1054"/>
      <c r="O4562" s="1207"/>
      <c r="Q4562" s="1207"/>
    </row>
    <row r="4563" spans="3:17" s="700" customFormat="1" ht="70.5" hidden="1" customHeight="1">
      <c r="C4563" s="701"/>
      <c r="D4563" s="811"/>
      <c r="E4563" s="1276">
        <f>[11]building!Y4894</f>
        <v>0</v>
      </c>
      <c r="F4563" s="748">
        <f t="shared" si="310"/>
        <v>0</v>
      </c>
      <c r="G4563" s="1205"/>
      <c r="H4563" s="1055"/>
      <c r="I4563" s="1055"/>
      <c r="J4563" s="1055"/>
      <c r="K4563" s="1205"/>
      <c r="L4563" s="1055"/>
      <c r="M4563" s="1205"/>
      <c r="N4563" s="1054"/>
      <c r="O4563" s="1207"/>
      <c r="Q4563" s="1207"/>
    </row>
    <row r="4564" spans="3:17" s="700" customFormat="1" ht="70.5" hidden="1" customHeight="1">
      <c r="C4564" s="701"/>
      <c r="D4564" s="811"/>
      <c r="E4564" s="1276">
        <f>[11]building!Y4895</f>
        <v>0</v>
      </c>
      <c r="F4564" s="748">
        <f t="shared" si="310"/>
        <v>0</v>
      </c>
      <c r="G4564" s="1205"/>
      <c r="H4564" s="1055"/>
      <c r="I4564" s="1055"/>
      <c r="J4564" s="1055"/>
      <c r="K4564" s="1205"/>
      <c r="L4564" s="1055"/>
      <c r="M4564" s="1205"/>
      <c r="N4564" s="1054"/>
      <c r="O4564" s="1207"/>
      <c r="Q4564" s="1207"/>
    </row>
    <row r="4565" spans="3:17" s="700" customFormat="1" ht="70.5" hidden="1" customHeight="1">
      <c r="C4565" s="701"/>
      <c r="D4565" s="811"/>
      <c r="E4565" s="1276">
        <f>[11]building!Y4896</f>
        <v>0</v>
      </c>
      <c r="F4565" s="748">
        <f t="shared" si="310"/>
        <v>0</v>
      </c>
      <c r="G4565" s="1205"/>
      <c r="H4565" s="1055"/>
      <c r="I4565" s="1055"/>
      <c r="J4565" s="1055"/>
      <c r="K4565" s="1205"/>
      <c r="L4565" s="1055"/>
      <c r="M4565" s="1205"/>
      <c r="N4565" s="1054"/>
      <c r="O4565" s="1207"/>
      <c r="Q4565" s="1207"/>
    </row>
    <row r="4566" spans="3:17" s="700" customFormat="1" ht="70.5" hidden="1" customHeight="1">
      <c r="C4566" s="701"/>
      <c r="D4566" s="811"/>
      <c r="E4566" s="1276">
        <f>[11]building!Y4897</f>
        <v>0</v>
      </c>
      <c r="F4566" s="748">
        <f t="shared" si="310"/>
        <v>0</v>
      </c>
      <c r="G4566" s="1205"/>
      <c r="H4566" s="1055"/>
      <c r="I4566" s="1055"/>
      <c r="J4566" s="1055"/>
      <c r="K4566" s="1205"/>
      <c r="L4566" s="1055"/>
      <c r="M4566" s="1205"/>
      <c r="N4566" s="1054"/>
      <c r="O4566" s="1207"/>
      <c r="Q4566" s="1207"/>
    </row>
    <row r="4567" spans="3:17" s="700" customFormat="1" ht="70.5" hidden="1" customHeight="1">
      <c r="C4567" s="701"/>
      <c r="D4567" s="811"/>
      <c r="E4567" s="1276">
        <f>[11]building!Y4898</f>
        <v>0</v>
      </c>
      <c r="F4567" s="748">
        <f t="shared" si="310"/>
        <v>0</v>
      </c>
      <c r="G4567" s="1205"/>
      <c r="H4567" s="1055"/>
      <c r="I4567" s="1055"/>
      <c r="J4567" s="1055"/>
      <c r="K4567" s="1205"/>
      <c r="L4567" s="1055"/>
      <c r="M4567" s="1205"/>
      <c r="N4567" s="1054"/>
      <c r="O4567" s="1207"/>
      <c r="Q4567" s="1207"/>
    </row>
    <row r="4568" spans="3:17" s="700" customFormat="1" ht="70.5" hidden="1" customHeight="1">
      <c r="C4568" s="701"/>
      <c r="D4568" s="811"/>
      <c r="E4568" s="1276">
        <f>[11]building!Y4899</f>
        <v>0</v>
      </c>
      <c r="F4568" s="748">
        <f t="shared" si="310"/>
        <v>0</v>
      </c>
      <c r="G4568" s="1205"/>
      <c r="H4568" s="1055"/>
      <c r="I4568" s="1055"/>
      <c r="J4568" s="1055"/>
      <c r="K4568" s="1205"/>
      <c r="L4568" s="1055"/>
      <c r="M4568" s="1205"/>
      <c r="N4568" s="1054"/>
      <c r="O4568" s="1207"/>
      <c r="Q4568" s="1207"/>
    </row>
    <row r="4569" spans="3:17" s="700" customFormat="1" ht="70.5" hidden="1" customHeight="1">
      <c r="C4569" s="701"/>
      <c r="D4569" s="811"/>
      <c r="E4569" s="1276">
        <f>[11]building!Y4900</f>
        <v>0</v>
      </c>
      <c r="F4569" s="748">
        <f t="shared" si="310"/>
        <v>0</v>
      </c>
      <c r="G4569" s="1205"/>
      <c r="H4569" s="1055"/>
      <c r="I4569" s="1055"/>
      <c r="J4569" s="1055"/>
      <c r="K4569" s="1205"/>
      <c r="L4569" s="1055"/>
      <c r="M4569" s="1205"/>
      <c r="N4569" s="1054"/>
      <c r="O4569" s="1207"/>
      <c r="Q4569" s="1207"/>
    </row>
    <row r="4570" spans="3:17" s="700" customFormat="1" ht="70.5" hidden="1" customHeight="1">
      <c r="C4570" s="701"/>
      <c r="D4570" s="811"/>
      <c r="E4570" s="1276">
        <f>[11]building!Y4901</f>
        <v>0</v>
      </c>
      <c r="F4570" s="748">
        <f t="shared" si="310"/>
        <v>0</v>
      </c>
      <c r="G4570" s="1205"/>
      <c r="H4570" s="1055"/>
      <c r="I4570" s="1055"/>
      <c r="J4570" s="1055"/>
      <c r="K4570" s="1205"/>
      <c r="L4570" s="1055"/>
      <c r="M4570" s="1205"/>
      <c r="N4570" s="1054"/>
      <c r="O4570" s="1207"/>
      <c r="Q4570" s="1207"/>
    </row>
    <row r="4571" spans="3:17" s="700" customFormat="1" ht="70.5" hidden="1" customHeight="1">
      <c r="C4571" s="701"/>
      <c r="D4571" s="811"/>
      <c r="E4571" s="1276">
        <f>[11]building!Y4902</f>
        <v>0</v>
      </c>
      <c r="F4571" s="748">
        <f t="shared" si="310"/>
        <v>0</v>
      </c>
      <c r="G4571" s="1205"/>
      <c r="H4571" s="1055"/>
      <c r="I4571" s="1055"/>
      <c r="J4571" s="1055"/>
      <c r="K4571" s="1205"/>
      <c r="L4571" s="1055"/>
      <c r="M4571" s="1205"/>
      <c r="N4571" s="1054"/>
      <c r="O4571" s="1207"/>
      <c r="Q4571" s="1207"/>
    </row>
    <row r="4572" spans="3:17" s="700" customFormat="1" ht="70.5" hidden="1" customHeight="1">
      <c r="C4572" s="701"/>
      <c r="D4572" s="811"/>
      <c r="E4572" s="1276">
        <f>[11]building!Y4903</f>
        <v>0</v>
      </c>
      <c r="F4572" s="748">
        <f t="shared" si="310"/>
        <v>0</v>
      </c>
      <c r="G4572" s="1205"/>
      <c r="H4572" s="1055"/>
      <c r="I4572" s="1055"/>
      <c r="J4572" s="1055"/>
      <c r="K4572" s="1205"/>
      <c r="L4572" s="1055"/>
      <c r="M4572" s="1205"/>
      <c r="N4572" s="1054"/>
      <c r="O4572" s="1207"/>
      <c r="Q4572" s="1207"/>
    </row>
    <row r="4573" spans="3:17" s="700" customFormat="1" ht="70.5" hidden="1" customHeight="1">
      <c r="C4573" s="701"/>
      <c r="D4573" s="811"/>
      <c r="E4573" s="1276">
        <f>[11]building!Y4904</f>
        <v>0</v>
      </c>
      <c r="F4573" s="748">
        <f t="shared" si="310"/>
        <v>0</v>
      </c>
      <c r="G4573" s="1205"/>
      <c r="H4573" s="1055"/>
      <c r="I4573" s="1055"/>
      <c r="J4573" s="1055"/>
      <c r="K4573" s="1205"/>
      <c r="L4573" s="1055"/>
      <c r="M4573" s="1205"/>
      <c r="N4573" s="1054"/>
      <c r="O4573" s="1207"/>
      <c r="Q4573" s="1207"/>
    </row>
    <row r="4574" spans="3:17" s="700" customFormat="1" ht="70.5" hidden="1" customHeight="1">
      <c r="C4574" s="701"/>
      <c r="D4574" s="811"/>
      <c r="E4574" s="1276">
        <f>[11]building!Y4905</f>
        <v>0</v>
      </c>
      <c r="F4574" s="748">
        <f t="shared" si="310"/>
        <v>0</v>
      </c>
      <c r="G4574" s="1205"/>
      <c r="H4574" s="1055"/>
      <c r="I4574" s="1055"/>
      <c r="J4574" s="1055"/>
      <c r="K4574" s="1205"/>
      <c r="L4574" s="1055"/>
      <c r="M4574" s="1205"/>
      <c r="N4574" s="1054"/>
      <c r="O4574" s="1207"/>
      <c r="Q4574" s="1207"/>
    </row>
    <row r="4575" spans="3:17" s="700" customFormat="1" ht="70.5" hidden="1" customHeight="1">
      <c r="C4575" s="701"/>
      <c r="D4575" s="811"/>
      <c r="E4575" s="1276">
        <f>[11]building!Y4906</f>
        <v>0</v>
      </c>
      <c r="F4575" s="748">
        <f t="shared" si="310"/>
        <v>0</v>
      </c>
      <c r="G4575" s="1205"/>
      <c r="H4575" s="1055"/>
      <c r="I4575" s="1055"/>
      <c r="J4575" s="1055"/>
      <c r="K4575" s="1205"/>
      <c r="L4575" s="1055"/>
      <c r="M4575" s="1205"/>
      <c r="N4575" s="1054"/>
      <c r="O4575" s="1207"/>
      <c r="Q4575" s="1207"/>
    </row>
    <row r="4576" spans="3:17" s="700" customFormat="1" ht="70.5" hidden="1" customHeight="1">
      <c r="C4576" s="701"/>
      <c r="D4576" s="811"/>
      <c r="E4576" s="1276">
        <f>[11]building!Y4907</f>
        <v>0</v>
      </c>
      <c r="F4576" s="748">
        <f t="shared" si="310"/>
        <v>0</v>
      </c>
      <c r="G4576" s="1205"/>
      <c r="H4576" s="1055"/>
      <c r="I4576" s="1055"/>
      <c r="J4576" s="1055"/>
      <c r="K4576" s="1205"/>
      <c r="L4576" s="1055"/>
      <c r="M4576" s="1205"/>
      <c r="N4576" s="1054"/>
      <c r="O4576" s="1207"/>
      <c r="Q4576" s="1207"/>
    </row>
    <row r="4577" spans="3:17" s="700" customFormat="1" ht="70.5" hidden="1" customHeight="1">
      <c r="C4577" s="701"/>
      <c r="D4577" s="811"/>
      <c r="E4577" s="1276">
        <f>[11]building!Y4908</f>
        <v>0</v>
      </c>
      <c r="F4577" s="748">
        <f t="shared" si="310"/>
        <v>0</v>
      </c>
      <c r="G4577" s="1205"/>
      <c r="H4577" s="1055"/>
      <c r="I4577" s="1055"/>
      <c r="J4577" s="1055"/>
      <c r="K4577" s="1205"/>
      <c r="L4577" s="1055"/>
      <c r="M4577" s="1205"/>
      <c r="N4577" s="1054"/>
      <c r="O4577" s="1207"/>
      <c r="Q4577" s="1207"/>
    </row>
    <row r="4578" spans="3:17" s="700" customFormat="1" ht="70.5" hidden="1" customHeight="1">
      <c r="C4578" s="701"/>
      <c r="D4578" s="811"/>
      <c r="E4578" s="1276">
        <f>[11]building!Y4909</f>
        <v>0</v>
      </c>
      <c r="F4578" s="748">
        <f t="shared" si="310"/>
        <v>0</v>
      </c>
      <c r="G4578" s="1205"/>
      <c r="H4578" s="1055"/>
      <c r="I4578" s="1055"/>
      <c r="J4578" s="1055"/>
      <c r="K4578" s="1205"/>
      <c r="L4578" s="1055"/>
      <c r="M4578" s="1205"/>
      <c r="N4578" s="1054"/>
      <c r="O4578" s="1207"/>
      <c r="Q4578" s="1207"/>
    </row>
    <row r="4579" spans="3:17" s="700" customFormat="1" ht="70.5" hidden="1" customHeight="1">
      <c r="C4579" s="701"/>
      <c r="D4579" s="811"/>
      <c r="E4579" s="1276">
        <f>[11]building!Y4910</f>
        <v>0</v>
      </c>
      <c r="F4579" s="748">
        <f t="shared" si="310"/>
        <v>0</v>
      </c>
      <c r="G4579" s="1205"/>
      <c r="H4579" s="1055"/>
      <c r="I4579" s="1055"/>
      <c r="J4579" s="1055"/>
      <c r="K4579" s="1205"/>
      <c r="L4579" s="1055"/>
      <c r="M4579" s="1205"/>
      <c r="N4579" s="1054"/>
      <c r="O4579" s="1207"/>
      <c r="Q4579" s="1207"/>
    </row>
    <row r="4580" spans="3:17" s="700" customFormat="1" ht="70.5" hidden="1" customHeight="1">
      <c r="C4580" s="701"/>
      <c r="D4580" s="811"/>
      <c r="E4580" s="1276">
        <f>[11]building!Y4911</f>
        <v>0</v>
      </c>
      <c r="F4580" s="748">
        <f t="shared" si="310"/>
        <v>0</v>
      </c>
      <c r="G4580" s="1205"/>
      <c r="H4580" s="1055"/>
      <c r="I4580" s="1055"/>
      <c r="J4580" s="1055"/>
      <c r="K4580" s="1205"/>
      <c r="L4580" s="1055"/>
      <c r="M4580" s="1205"/>
      <c r="N4580" s="1054"/>
      <c r="O4580" s="1207"/>
      <c r="Q4580" s="1207"/>
    </row>
    <row r="4581" spans="3:17" s="700" customFormat="1" ht="70.5" hidden="1" customHeight="1">
      <c r="C4581" s="701"/>
      <c r="D4581" s="811"/>
      <c r="E4581" s="1276">
        <f>[11]building!Y4912</f>
        <v>0</v>
      </c>
      <c r="F4581" s="748">
        <f t="shared" si="310"/>
        <v>0</v>
      </c>
      <c r="G4581" s="1205"/>
      <c r="H4581" s="1055"/>
      <c r="I4581" s="1055"/>
      <c r="J4581" s="1055"/>
      <c r="K4581" s="1205"/>
      <c r="L4581" s="1055"/>
      <c r="M4581" s="1205"/>
      <c r="N4581" s="1054"/>
      <c r="O4581" s="1207"/>
      <c r="Q4581" s="1207"/>
    </row>
    <row r="4582" spans="3:17" s="700" customFormat="1" ht="70.5" hidden="1" customHeight="1">
      <c r="C4582" s="701"/>
      <c r="D4582" s="811"/>
      <c r="E4582" s="1276">
        <f>[11]building!Y4913</f>
        <v>0</v>
      </c>
      <c r="F4582" s="748">
        <f t="shared" si="310"/>
        <v>0</v>
      </c>
      <c r="G4582" s="1205"/>
      <c r="H4582" s="1055"/>
      <c r="I4582" s="1055"/>
      <c r="J4582" s="1055"/>
      <c r="K4582" s="1205"/>
      <c r="L4582" s="1055"/>
      <c r="M4582" s="1205"/>
      <c r="N4582" s="1054"/>
      <c r="O4582" s="1207"/>
      <c r="Q4582" s="1207"/>
    </row>
    <row r="4583" spans="3:17" s="700" customFormat="1" ht="70.5" hidden="1" customHeight="1">
      <c r="C4583" s="701"/>
      <c r="D4583" s="811"/>
      <c r="E4583" s="1276">
        <f>[11]building!Y4914</f>
        <v>0</v>
      </c>
      <c r="F4583" s="748">
        <f t="shared" si="310"/>
        <v>0</v>
      </c>
      <c r="G4583" s="1205"/>
      <c r="H4583" s="1055"/>
      <c r="I4583" s="1055"/>
      <c r="J4583" s="1055"/>
      <c r="K4583" s="1205"/>
      <c r="L4583" s="1055"/>
      <c r="M4583" s="1205"/>
      <c r="N4583" s="1054"/>
      <c r="O4583" s="1207"/>
      <c r="Q4583" s="1207"/>
    </row>
    <row r="4584" spans="3:17" s="700" customFormat="1" ht="70.5" hidden="1" customHeight="1">
      <c r="C4584" s="701"/>
      <c r="D4584" s="811"/>
      <c r="E4584" s="1276">
        <f>[11]building!Y4915</f>
        <v>0</v>
      </c>
      <c r="F4584" s="748">
        <f t="shared" si="310"/>
        <v>0</v>
      </c>
      <c r="G4584" s="1205"/>
      <c r="H4584" s="1055"/>
      <c r="I4584" s="1055"/>
      <c r="J4584" s="1055"/>
      <c r="K4584" s="1205"/>
      <c r="L4584" s="1055"/>
      <c r="M4584" s="1205"/>
      <c r="N4584" s="1054"/>
      <c r="O4584" s="1207"/>
      <c r="Q4584" s="1207"/>
    </row>
    <row r="4585" spans="3:17" s="700" customFormat="1" ht="70.5" hidden="1" customHeight="1">
      <c r="C4585" s="701"/>
      <c r="D4585" s="811"/>
      <c r="E4585" s="1276">
        <f>[11]building!Y4916</f>
        <v>0</v>
      </c>
      <c r="F4585" s="748">
        <f t="shared" si="310"/>
        <v>0</v>
      </c>
      <c r="G4585" s="1205"/>
      <c r="H4585" s="1055"/>
      <c r="I4585" s="1055"/>
      <c r="J4585" s="1055"/>
      <c r="K4585" s="1205"/>
      <c r="L4585" s="1055"/>
      <c r="M4585" s="1205"/>
      <c r="N4585" s="1054"/>
      <c r="O4585" s="1207"/>
      <c r="Q4585" s="1207"/>
    </row>
    <row r="4586" spans="3:17" s="700" customFormat="1" ht="70.5" hidden="1" customHeight="1">
      <c r="C4586" s="701"/>
      <c r="D4586" s="811"/>
      <c r="E4586" s="1276">
        <f>[11]building!Y4917</f>
        <v>0</v>
      </c>
      <c r="F4586" s="748">
        <f t="shared" si="310"/>
        <v>0</v>
      </c>
      <c r="G4586" s="1205"/>
      <c r="H4586" s="1055"/>
      <c r="I4586" s="1055"/>
      <c r="J4586" s="1055"/>
      <c r="K4586" s="1205"/>
      <c r="L4586" s="1055"/>
      <c r="M4586" s="1205"/>
      <c r="N4586" s="1054"/>
      <c r="O4586" s="1207"/>
      <c r="Q4586" s="1207"/>
    </row>
    <row r="4587" spans="3:17" s="700" customFormat="1" ht="70.5" hidden="1" customHeight="1">
      <c r="C4587" s="701"/>
      <c r="D4587" s="811"/>
      <c r="E4587" s="1276">
        <f>[11]building!Y4918</f>
        <v>0</v>
      </c>
      <c r="F4587" s="748">
        <f t="shared" si="310"/>
        <v>0</v>
      </c>
      <c r="G4587" s="1205"/>
      <c r="H4587" s="1055"/>
      <c r="I4587" s="1055"/>
      <c r="J4587" s="1055"/>
      <c r="K4587" s="1205"/>
      <c r="L4587" s="1055"/>
      <c r="M4587" s="1205"/>
      <c r="N4587" s="1054"/>
      <c r="O4587" s="1207"/>
      <c r="Q4587" s="1207"/>
    </row>
    <row r="4588" spans="3:17" s="700" customFormat="1" ht="70.5" hidden="1" customHeight="1">
      <c r="C4588" s="701"/>
      <c r="D4588" s="811"/>
      <c r="E4588" s="1276">
        <f>[11]building!Y4919</f>
        <v>0</v>
      </c>
      <c r="F4588" s="748">
        <f t="shared" si="310"/>
        <v>0</v>
      </c>
      <c r="G4588" s="1205"/>
      <c r="H4588" s="1055"/>
      <c r="I4588" s="1055"/>
      <c r="J4588" s="1055"/>
      <c r="K4588" s="1205"/>
      <c r="L4588" s="1055"/>
      <c r="M4588" s="1205"/>
      <c r="N4588" s="1054"/>
      <c r="O4588" s="1207"/>
      <c r="Q4588" s="1207"/>
    </row>
    <row r="4589" spans="3:17" s="700" customFormat="1" ht="70.5" hidden="1" customHeight="1">
      <c r="C4589" s="701"/>
      <c r="D4589" s="811"/>
      <c r="E4589" s="1276">
        <f>[11]building!Y4920</f>
        <v>0</v>
      </c>
      <c r="F4589" s="748">
        <f t="shared" si="310"/>
        <v>0</v>
      </c>
      <c r="G4589" s="1205"/>
      <c r="H4589" s="1055"/>
      <c r="I4589" s="1055"/>
      <c r="J4589" s="1055"/>
      <c r="K4589" s="1205"/>
      <c r="L4589" s="1055"/>
      <c r="M4589" s="1205"/>
      <c r="N4589" s="1054"/>
      <c r="O4589" s="1207"/>
      <c r="Q4589" s="1207"/>
    </row>
    <row r="4590" spans="3:17" s="700" customFormat="1" ht="70.5" hidden="1" customHeight="1">
      <c r="C4590" s="701"/>
      <c r="D4590" s="811"/>
      <c r="E4590" s="1276">
        <f>[11]building!Y4921</f>
        <v>0</v>
      </c>
      <c r="F4590" s="748">
        <f t="shared" si="310"/>
        <v>0</v>
      </c>
      <c r="G4590" s="1205"/>
      <c r="H4590" s="1055"/>
      <c r="I4590" s="1055"/>
      <c r="J4590" s="1055"/>
      <c r="K4590" s="1205"/>
      <c r="L4590" s="1055"/>
      <c r="M4590" s="1205"/>
      <c r="N4590" s="1054"/>
      <c r="O4590" s="1207"/>
      <c r="Q4590" s="1207"/>
    </row>
    <row r="4591" spans="3:17" s="700" customFormat="1" ht="70.5" hidden="1" customHeight="1">
      <c r="C4591" s="701"/>
      <c r="D4591" s="811"/>
      <c r="E4591" s="1276">
        <f>[11]building!Y4922</f>
        <v>0</v>
      </c>
      <c r="F4591" s="748">
        <f t="shared" si="310"/>
        <v>0</v>
      </c>
      <c r="G4591" s="1205"/>
      <c r="H4591" s="1055"/>
      <c r="I4591" s="1055"/>
      <c r="J4591" s="1055"/>
      <c r="K4591" s="1205"/>
      <c r="L4591" s="1055"/>
      <c r="M4591" s="1205"/>
      <c r="N4591" s="1054"/>
      <c r="O4591" s="1207"/>
      <c r="Q4591" s="1207"/>
    </row>
    <row r="4592" spans="3:17" s="700" customFormat="1" ht="70.5" hidden="1" customHeight="1">
      <c r="C4592" s="701"/>
      <c r="D4592" s="811"/>
      <c r="E4592" s="1276">
        <f>[11]building!Y4923</f>
        <v>0</v>
      </c>
      <c r="F4592" s="748">
        <f t="shared" si="310"/>
        <v>0</v>
      </c>
      <c r="G4592" s="1205"/>
      <c r="H4592" s="1055"/>
      <c r="I4592" s="1055"/>
      <c r="J4592" s="1055"/>
      <c r="K4592" s="1205"/>
      <c r="L4592" s="1055"/>
      <c r="M4592" s="1205"/>
      <c r="N4592" s="1054"/>
      <c r="O4592" s="1207"/>
      <c r="Q4592" s="1207"/>
    </row>
    <row r="4593" spans="3:17" s="700" customFormat="1" ht="70.5" hidden="1" customHeight="1">
      <c r="C4593" s="701"/>
      <c r="D4593" s="811"/>
      <c r="E4593" s="1276">
        <f>[11]building!Y4924</f>
        <v>0</v>
      </c>
      <c r="F4593" s="748">
        <f t="shared" si="310"/>
        <v>0</v>
      </c>
      <c r="G4593" s="1205"/>
      <c r="H4593" s="1055"/>
      <c r="I4593" s="1055"/>
      <c r="J4593" s="1055"/>
      <c r="K4593" s="1205"/>
      <c r="L4593" s="1055"/>
      <c r="M4593" s="1205"/>
      <c r="N4593" s="1054"/>
      <c r="O4593" s="1207"/>
      <c r="Q4593" s="1207"/>
    </row>
    <row r="4594" spans="3:17" s="700" customFormat="1" ht="70.5" hidden="1" customHeight="1">
      <c r="C4594" s="701"/>
      <c r="D4594" s="811"/>
      <c r="E4594" s="1276">
        <f>[11]building!Y4925</f>
        <v>0</v>
      </c>
      <c r="F4594" s="748">
        <f t="shared" si="310"/>
        <v>0</v>
      </c>
      <c r="G4594" s="1205"/>
      <c r="H4594" s="1055"/>
      <c r="I4594" s="1055"/>
      <c r="J4594" s="1055"/>
      <c r="K4594" s="1205"/>
      <c r="L4594" s="1055"/>
      <c r="M4594" s="1205"/>
      <c r="N4594" s="1054"/>
      <c r="O4594" s="1207"/>
      <c r="Q4594" s="1207"/>
    </row>
    <row r="4595" spans="3:17" s="700" customFormat="1" ht="70.5" hidden="1" customHeight="1">
      <c r="C4595" s="701"/>
      <c r="D4595" s="811"/>
      <c r="E4595" s="1276">
        <f>[11]building!Y4926</f>
        <v>0</v>
      </c>
      <c r="F4595" s="748">
        <f t="shared" si="310"/>
        <v>0</v>
      </c>
      <c r="G4595" s="1205"/>
      <c r="H4595" s="1055"/>
      <c r="I4595" s="1055"/>
      <c r="J4595" s="1055"/>
      <c r="K4595" s="1205"/>
      <c r="L4595" s="1055"/>
      <c r="M4595" s="1205"/>
      <c r="N4595" s="1054"/>
      <c r="O4595" s="1207"/>
      <c r="Q4595" s="1207"/>
    </row>
    <row r="4596" spans="3:17" s="700" customFormat="1" ht="70.5" hidden="1" customHeight="1">
      <c r="C4596" s="701"/>
      <c r="D4596" s="811"/>
      <c r="E4596" s="1276">
        <f>[11]building!Y4927</f>
        <v>0</v>
      </c>
      <c r="F4596" s="748">
        <f t="shared" si="310"/>
        <v>0</v>
      </c>
      <c r="G4596" s="1205"/>
      <c r="H4596" s="1055"/>
      <c r="I4596" s="1055"/>
      <c r="J4596" s="1055"/>
      <c r="K4596" s="1205"/>
      <c r="L4596" s="1055"/>
      <c r="M4596" s="1205"/>
      <c r="N4596" s="1054"/>
      <c r="O4596" s="1207"/>
      <c r="Q4596" s="1207"/>
    </row>
    <row r="4597" spans="3:17" s="700" customFormat="1" ht="70.5" hidden="1" customHeight="1">
      <c r="C4597" s="701"/>
      <c r="D4597" s="811"/>
      <c r="E4597" s="1276">
        <f>[11]building!Y4928</f>
        <v>0</v>
      </c>
      <c r="F4597" s="748">
        <f t="shared" si="310"/>
        <v>0</v>
      </c>
      <c r="G4597" s="1205"/>
      <c r="H4597" s="1055"/>
      <c r="I4597" s="1055"/>
      <c r="J4597" s="1055"/>
      <c r="K4597" s="1205"/>
      <c r="L4597" s="1055"/>
      <c r="M4597" s="1205"/>
      <c r="N4597" s="1054"/>
      <c r="O4597" s="1207"/>
      <c r="Q4597" s="1207"/>
    </row>
    <row r="4598" spans="3:17" s="700" customFormat="1" ht="70.5" hidden="1" customHeight="1">
      <c r="C4598" s="701"/>
      <c r="D4598" s="811"/>
      <c r="E4598" s="1276">
        <f>[11]building!Y4929</f>
        <v>0</v>
      </c>
      <c r="F4598" s="748">
        <f t="shared" si="310"/>
        <v>0</v>
      </c>
      <c r="G4598" s="1205"/>
      <c r="H4598" s="1055"/>
      <c r="I4598" s="1055"/>
      <c r="J4598" s="1055"/>
      <c r="K4598" s="1205"/>
      <c r="L4598" s="1055"/>
      <c r="M4598" s="1205"/>
      <c r="N4598" s="1054"/>
      <c r="O4598" s="1207"/>
      <c r="Q4598" s="1207"/>
    </row>
    <row r="4599" spans="3:17" s="700" customFormat="1" ht="70.5" hidden="1" customHeight="1">
      <c r="C4599" s="701"/>
      <c r="D4599" s="811"/>
      <c r="E4599" s="1276">
        <f>[11]building!Y4930</f>
        <v>0</v>
      </c>
      <c r="F4599" s="748">
        <f t="shared" si="310"/>
        <v>0</v>
      </c>
      <c r="G4599" s="1205"/>
      <c r="H4599" s="1055"/>
      <c r="I4599" s="1055"/>
      <c r="J4599" s="1055"/>
      <c r="K4599" s="1205"/>
      <c r="L4599" s="1055"/>
      <c r="M4599" s="1205"/>
      <c r="N4599" s="1054"/>
      <c r="O4599" s="1207"/>
      <c r="Q4599" s="1207"/>
    </row>
    <row r="4600" spans="3:17" s="700" customFormat="1" ht="70.5" hidden="1" customHeight="1">
      <c r="C4600" s="701"/>
      <c r="D4600" s="811"/>
      <c r="E4600" s="1276">
        <f>[11]building!Y4931</f>
        <v>0</v>
      </c>
      <c r="F4600" s="748">
        <f t="shared" si="310"/>
        <v>0</v>
      </c>
      <c r="G4600" s="1205"/>
      <c r="H4600" s="1055"/>
      <c r="I4600" s="1055"/>
      <c r="J4600" s="1055"/>
      <c r="K4600" s="1205"/>
      <c r="L4600" s="1055"/>
      <c r="M4600" s="1205"/>
      <c r="N4600" s="1054"/>
      <c r="O4600" s="1207"/>
      <c r="Q4600" s="1207"/>
    </row>
    <row r="4601" spans="3:17" s="700" customFormat="1" ht="70.5" hidden="1" customHeight="1">
      <c r="C4601" s="701"/>
      <c r="D4601" s="811"/>
      <c r="E4601" s="1276">
        <f>[11]building!Y4932</f>
        <v>0</v>
      </c>
      <c r="F4601" s="748">
        <f t="shared" si="310"/>
        <v>0</v>
      </c>
      <c r="G4601" s="1205"/>
      <c r="H4601" s="1055"/>
      <c r="I4601" s="1055"/>
      <c r="J4601" s="1055"/>
      <c r="K4601" s="1205"/>
      <c r="L4601" s="1055"/>
      <c r="M4601" s="1205"/>
      <c r="N4601" s="1054"/>
      <c r="O4601" s="1207"/>
      <c r="Q4601" s="1207"/>
    </row>
    <row r="4602" spans="3:17" s="700" customFormat="1" ht="70.5" hidden="1" customHeight="1">
      <c r="C4602" s="701"/>
      <c r="D4602" s="811"/>
      <c r="E4602" s="1276">
        <f>[11]building!Y4933</f>
        <v>0</v>
      </c>
      <c r="F4602" s="748">
        <f t="shared" si="310"/>
        <v>0</v>
      </c>
      <c r="G4602" s="1205"/>
      <c r="H4602" s="1055"/>
      <c r="I4602" s="1055"/>
      <c r="J4602" s="1055"/>
      <c r="K4602" s="1205"/>
      <c r="L4602" s="1055"/>
      <c r="M4602" s="1205"/>
      <c r="N4602" s="1054"/>
      <c r="O4602" s="1207"/>
      <c r="Q4602" s="1207"/>
    </row>
    <row r="4603" spans="3:17" s="700" customFormat="1" ht="70.5" hidden="1" customHeight="1">
      <c r="C4603" s="701"/>
      <c r="D4603" s="811"/>
      <c r="E4603" s="1276">
        <f>[11]building!Y4934</f>
        <v>0</v>
      </c>
      <c r="F4603" s="748">
        <f t="shared" si="310"/>
        <v>0</v>
      </c>
      <c r="G4603" s="1205"/>
      <c r="H4603" s="1055"/>
      <c r="I4603" s="1055"/>
      <c r="J4603" s="1055"/>
      <c r="K4603" s="1205"/>
      <c r="L4603" s="1055"/>
      <c r="M4603" s="1205"/>
      <c r="N4603" s="1054"/>
      <c r="O4603" s="1207"/>
      <c r="Q4603" s="1207"/>
    </row>
    <row r="4604" spans="3:17" s="700" customFormat="1" ht="70.5" hidden="1" customHeight="1">
      <c r="C4604" s="701"/>
      <c r="D4604" s="811"/>
      <c r="E4604" s="1276">
        <f>[11]building!Y4935</f>
        <v>0</v>
      </c>
      <c r="F4604" s="748">
        <f t="shared" si="310"/>
        <v>0</v>
      </c>
      <c r="G4604" s="1205"/>
      <c r="H4604" s="1055"/>
      <c r="I4604" s="1055"/>
      <c r="J4604" s="1055"/>
      <c r="K4604" s="1205"/>
      <c r="L4604" s="1055"/>
      <c r="M4604" s="1205"/>
      <c r="N4604" s="1054"/>
      <c r="O4604" s="1207"/>
      <c r="Q4604" s="1207"/>
    </row>
    <row r="4605" spans="3:17" s="700" customFormat="1" ht="70.5" hidden="1" customHeight="1">
      <c r="C4605" s="701"/>
      <c r="D4605" s="811"/>
      <c r="E4605" s="1276">
        <f>[11]building!Y4936</f>
        <v>0</v>
      </c>
      <c r="F4605" s="748">
        <f t="shared" si="310"/>
        <v>0</v>
      </c>
      <c r="G4605" s="1205"/>
      <c r="H4605" s="1055"/>
      <c r="I4605" s="1055"/>
      <c r="J4605" s="1055"/>
      <c r="K4605" s="1205"/>
      <c r="L4605" s="1055"/>
      <c r="M4605" s="1205"/>
      <c r="N4605" s="1054"/>
      <c r="O4605" s="1207"/>
      <c r="Q4605" s="1207"/>
    </row>
    <row r="4606" spans="3:17" s="700" customFormat="1" ht="70.5" hidden="1" customHeight="1">
      <c r="C4606" s="701"/>
      <c r="D4606" s="811"/>
      <c r="E4606" s="1276">
        <f>[11]building!Y4937</f>
        <v>0</v>
      </c>
      <c r="F4606" s="748">
        <f t="shared" si="310"/>
        <v>0</v>
      </c>
      <c r="G4606" s="1205"/>
      <c r="H4606" s="1055"/>
      <c r="I4606" s="1055"/>
      <c r="J4606" s="1055"/>
      <c r="K4606" s="1205"/>
      <c r="L4606" s="1055"/>
      <c r="M4606" s="1205"/>
      <c r="N4606" s="1054"/>
      <c r="O4606" s="1207"/>
      <c r="Q4606" s="1207"/>
    </row>
    <row r="4607" spans="3:17" s="700" customFormat="1" ht="70.5" hidden="1" customHeight="1">
      <c r="C4607" s="701"/>
      <c r="D4607" s="811"/>
      <c r="E4607" s="1276">
        <f>[11]building!Y4938</f>
        <v>0</v>
      </c>
      <c r="F4607" s="748">
        <f t="shared" si="310"/>
        <v>0</v>
      </c>
      <c r="G4607" s="1205"/>
      <c r="H4607" s="1055"/>
      <c r="I4607" s="1055"/>
      <c r="J4607" s="1055"/>
      <c r="K4607" s="1205"/>
      <c r="L4607" s="1055"/>
      <c r="M4607" s="1205"/>
      <c r="N4607" s="1054"/>
      <c r="O4607" s="1207"/>
      <c r="Q4607" s="1207"/>
    </row>
    <row r="4608" spans="3:17" s="700" customFormat="1" ht="70.5" hidden="1" customHeight="1">
      <c r="C4608" s="701"/>
      <c r="D4608" s="811"/>
      <c r="E4608" s="1276">
        <f>[11]building!Y4939</f>
        <v>0</v>
      </c>
      <c r="F4608" s="748">
        <f t="shared" ref="F4608:F4671" si="311">E4608*C4608</f>
        <v>0</v>
      </c>
      <c r="G4608" s="1205"/>
      <c r="H4608" s="1055"/>
      <c r="I4608" s="1055"/>
      <c r="J4608" s="1055"/>
      <c r="K4608" s="1205"/>
      <c r="L4608" s="1055"/>
      <c r="M4608" s="1205"/>
      <c r="N4608" s="1054"/>
      <c r="O4608" s="1207"/>
      <c r="Q4608" s="1207"/>
    </row>
    <row r="4609" spans="3:17" s="700" customFormat="1" ht="70.5" hidden="1" customHeight="1">
      <c r="C4609" s="701"/>
      <c r="D4609" s="811"/>
      <c r="E4609" s="1276">
        <f>[11]building!Y4940</f>
        <v>0</v>
      </c>
      <c r="F4609" s="748">
        <f t="shared" si="311"/>
        <v>0</v>
      </c>
      <c r="G4609" s="1205"/>
      <c r="H4609" s="1055"/>
      <c r="I4609" s="1055"/>
      <c r="J4609" s="1055"/>
      <c r="K4609" s="1205"/>
      <c r="L4609" s="1055"/>
      <c r="M4609" s="1205"/>
      <c r="N4609" s="1054"/>
      <c r="O4609" s="1207"/>
      <c r="Q4609" s="1207"/>
    </row>
    <row r="4610" spans="3:17" s="700" customFormat="1" ht="70.5" hidden="1" customHeight="1">
      <c r="C4610" s="701"/>
      <c r="D4610" s="811"/>
      <c r="E4610" s="1276">
        <f>[11]building!Y4941</f>
        <v>0</v>
      </c>
      <c r="F4610" s="748">
        <f t="shared" si="311"/>
        <v>0</v>
      </c>
      <c r="G4610" s="1205"/>
      <c r="H4610" s="1055"/>
      <c r="I4610" s="1055"/>
      <c r="J4610" s="1055"/>
      <c r="K4610" s="1205"/>
      <c r="L4610" s="1055"/>
      <c r="M4610" s="1205"/>
      <c r="N4610" s="1054"/>
      <c r="O4610" s="1207"/>
      <c r="Q4610" s="1207"/>
    </row>
    <row r="4611" spans="3:17" s="700" customFormat="1" ht="70.5" hidden="1" customHeight="1">
      <c r="C4611" s="701"/>
      <c r="D4611" s="811"/>
      <c r="E4611" s="1276">
        <f>[11]building!Y4942</f>
        <v>0</v>
      </c>
      <c r="F4611" s="748">
        <f t="shared" si="311"/>
        <v>0</v>
      </c>
      <c r="G4611" s="1205"/>
      <c r="H4611" s="1055"/>
      <c r="I4611" s="1055"/>
      <c r="J4611" s="1055"/>
      <c r="K4611" s="1205"/>
      <c r="L4611" s="1055"/>
      <c r="M4611" s="1205"/>
      <c r="N4611" s="1054"/>
      <c r="O4611" s="1207"/>
      <c r="Q4611" s="1207"/>
    </row>
    <row r="4612" spans="3:17" s="700" customFormat="1" ht="70.5" hidden="1" customHeight="1">
      <c r="C4612" s="701"/>
      <c r="D4612" s="811"/>
      <c r="E4612" s="1276">
        <f>[11]building!Y4943</f>
        <v>0</v>
      </c>
      <c r="F4612" s="748">
        <f t="shared" si="311"/>
        <v>0</v>
      </c>
      <c r="G4612" s="1205"/>
      <c r="H4612" s="1055"/>
      <c r="I4612" s="1055"/>
      <c r="J4612" s="1055"/>
      <c r="K4612" s="1205"/>
      <c r="L4612" s="1055"/>
      <c r="M4612" s="1205"/>
      <c r="N4612" s="1054"/>
      <c r="O4612" s="1207"/>
      <c r="Q4612" s="1207"/>
    </row>
    <row r="4613" spans="3:17" s="700" customFormat="1" ht="70.5" hidden="1" customHeight="1">
      <c r="C4613" s="701"/>
      <c r="D4613" s="811"/>
      <c r="E4613" s="1276">
        <f>[11]building!Y4944</f>
        <v>0</v>
      </c>
      <c r="F4613" s="748">
        <f t="shared" si="311"/>
        <v>0</v>
      </c>
      <c r="G4613" s="1205"/>
      <c r="H4613" s="1055"/>
      <c r="I4613" s="1055"/>
      <c r="J4613" s="1055"/>
      <c r="K4613" s="1205"/>
      <c r="L4613" s="1055"/>
      <c r="M4613" s="1205"/>
      <c r="N4613" s="1054"/>
      <c r="O4613" s="1207"/>
      <c r="Q4613" s="1207"/>
    </row>
    <row r="4614" spans="3:17" s="700" customFormat="1" ht="70.5" hidden="1" customHeight="1">
      <c r="C4614" s="701"/>
      <c r="D4614" s="811"/>
      <c r="E4614" s="1276">
        <f>[11]building!Y4945</f>
        <v>0</v>
      </c>
      <c r="F4614" s="748">
        <f t="shared" si="311"/>
        <v>0</v>
      </c>
      <c r="G4614" s="1205"/>
      <c r="H4614" s="1055"/>
      <c r="I4614" s="1055"/>
      <c r="J4614" s="1055"/>
      <c r="K4614" s="1205"/>
      <c r="L4614" s="1055"/>
      <c r="M4614" s="1205"/>
      <c r="N4614" s="1054"/>
      <c r="O4614" s="1207"/>
      <c r="Q4614" s="1207"/>
    </row>
    <row r="4615" spans="3:17" s="700" customFormat="1" ht="70.5" hidden="1" customHeight="1">
      <c r="C4615" s="701"/>
      <c r="D4615" s="811"/>
      <c r="E4615" s="1276">
        <f>[11]building!Y4946</f>
        <v>0</v>
      </c>
      <c r="F4615" s="748">
        <f t="shared" si="311"/>
        <v>0</v>
      </c>
      <c r="G4615" s="1205"/>
      <c r="H4615" s="1055"/>
      <c r="I4615" s="1055"/>
      <c r="J4615" s="1055"/>
      <c r="K4615" s="1205"/>
      <c r="L4615" s="1055"/>
      <c r="M4615" s="1205"/>
      <c r="N4615" s="1054"/>
      <c r="O4615" s="1207"/>
      <c r="Q4615" s="1207"/>
    </row>
    <row r="4616" spans="3:17" s="700" customFormat="1" ht="70.5" hidden="1" customHeight="1">
      <c r="C4616" s="701"/>
      <c r="D4616" s="811"/>
      <c r="E4616" s="1276">
        <f>[11]building!Y4947</f>
        <v>0</v>
      </c>
      <c r="F4616" s="748">
        <f t="shared" si="311"/>
        <v>0</v>
      </c>
      <c r="G4616" s="1205"/>
      <c r="H4616" s="1055"/>
      <c r="I4616" s="1055"/>
      <c r="J4616" s="1055"/>
      <c r="K4616" s="1205"/>
      <c r="L4616" s="1055"/>
      <c r="M4616" s="1205"/>
      <c r="N4616" s="1054"/>
      <c r="O4616" s="1207"/>
      <c r="Q4616" s="1207"/>
    </row>
    <row r="4617" spans="3:17" s="700" customFormat="1" ht="70.5" hidden="1" customHeight="1">
      <c r="C4617" s="701"/>
      <c r="D4617" s="811"/>
      <c r="E4617" s="1276">
        <f>[11]building!Y4948</f>
        <v>0</v>
      </c>
      <c r="F4617" s="748">
        <f t="shared" si="311"/>
        <v>0</v>
      </c>
      <c r="G4617" s="1205"/>
      <c r="H4617" s="1055"/>
      <c r="I4617" s="1055"/>
      <c r="J4617" s="1055"/>
      <c r="K4617" s="1205"/>
      <c r="L4617" s="1055"/>
      <c r="M4617" s="1205"/>
      <c r="N4617" s="1054"/>
      <c r="O4617" s="1207"/>
      <c r="Q4617" s="1207"/>
    </row>
    <row r="4618" spans="3:17" s="700" customFormat="1" ht="70.5" hidden="1" customHeight="1">
      <c r="C4618" s="701"/>
      <c r="D4618" s="811"/>
      <c r="E4618" s="1276">
        <f>[11]building!Y4949</f>
        <v>0</v>
      </c>
      <c r="F4618" s="748">
        <f t="shared" si="311"/>
        <v>0</v>
      </c>
      <c r="G4618" s="1205"/>
      <c r="H4618" s="1055"/>
      <c r="I4618" s="1055"/>
      <c r="J4618" s="1055"/>
      <c r="K4618" s="1205"/>
      <c r="L4618" s="1055"/>
      <c r="M4618" s="1205"/>
      <c r="N4618" s="1054"/>
      <c r="O4618" s="1207"/>
      <c r="Q4618" s="1207"/>
    </row>
    <row r="4619" spans="3:17" s="700" customFormat="1" ht="70.5" hidden="1" customHeight="1">
      <c r="C4619" s="701"/>
      <c r="D4619" s="811"/>
      <c r="E4619" s="1276">
        <f>[11]building!Y4950</f>
        <v>0</v>
      </c>
      <c r="F4619" s="748">
        <f t="shared" si="311"/>
        <v>0</v>
      </c>
      <c r="G4619" s="1205"/>
      <c r="H4619" s="1055"/>
      <c r="I4619" s="1055"/>
      <c r="J4619" s="1055"/>
      <c r="K4619" s="1205"/>
      <c r="L4619" s="1055"/>
      <c r="M4619" s="1205"/>
      <c r="N4619" s="1054"/>
      <c r="O4619" s="1207"/>
      <c r="Q4619" s="1207"/>
    </row>
    <row r="4620" spans="3:17" s="700" customFormat="1" ht="70.5" hidden="1" customHeight="1">
      <c r="C4620" s="701"/>
      <c r="D4620" s="811"/>
      <c r="E4620" s="1276">
        <f>[11]building!Y4951</f>
        <v>0</v>
      </c>
      <c r="F4620" s="748">
        <f t="shared" si="311"/>
        <v>0</v>
      </c>
      <c r="G4620" s="1205"/>
      <c r="H4620" s="1055"/>
      <c r="I4620" s="1055"/>
      <c r="J4620" s="1055"/>
      <c r="K4620" s="1205"/>
      <c r="L4620" s="1055"/>
      <c r="M4620" s="1205"/>
      <c r="N4620" s="1054"/>
      <c r="O4620" s="1207"/>
      <c r="Q4620" s="1207"/>
    </row>
    <row r="4621" spans="3:17" s="700" customFormat="1" ht="70.5" hidden="1" customHeight="1">
      <c r="C4621" s="701"/>
      <c r="D4621" s="811"/>
      <c r="E4621" s="1276">
        <f>[11]building!Y4952</f>
        <v>0</v>
      </c>
      <c r="F4621" s="748">
        <f t="shared" si="311"/>
        <v>0</v>
      </c>
      <c r="G4621" s="1205"/>
      <c r="H4621" s="1055"/>
      <c r="I4621" s="1055"/>
      <c r="J4621" s="1055"/>
      <c r="K4621" s="1205"/>
      <c r="L4621" s="1055"/>
      <c r="M4621" s="1205"/>
      <c r="N4621" s="1054"/>
      <c r="O4621" s="1207"/>
      <c r="Q4621" s="1207"/>
    </row>
    <row r="4622" spans="3:17" s="700" customFormat="1" ht="70.5" hidden="1" customHeight="1">
      <c r="C4622" s="701"/>
      <c r="D4622" s="811"/>
      <c r="E4622" s="1276">
        <f>[11]building!Y4953</f>
        <v>0</v>
      </c>
      <c r="F4622" s="748">
        <f t="shared" si="311"/>
        <v>0</v>
      </c>
      <c r="G4622" s="1205"/>
      <c r="H4622" s="1055"/>
      <c r="I4622" s="1055"/>
      <c r="J4622" s="1055"/>
      <c r="K4622" s="1205"/>
      <c r="L4622" s="1055"/>
      <c r="M4622" s="1205"/>
      <c r="N4622" s="1054"/>
      <c r="O4622" s="1207"/>
      <c r="Q4622" s="1207"/>
    </row>
    <row r="4623" spans="3:17" s="700" customFormat="1" ht="70.5" hidden="1" customHeight="1">
      <c r="C4623" s="701"/>
      <c r="D4623" s="811"/>
      <c r="E4623" s="1276">
        <f>[11]building!Y4954</f>
        <v>0</v>
      </c>
      <c r="F4623" s="748">
        <f t="shared" si="311"/>
        <v>0</v>
      </c>
      <c r="G4623" s="1205"/>
      <c r="H4623" s="1055"/>
      <c r="I4623" s="1055"/>
      <c r="J4623" s="1055"/>
      <c r="K4623" s="1205"/>
      <c r="L4623" s="1055"/>
      <c r="M4623" s="1205"/>
      <c r="N4623" s="1054"/>
      <c r="O4623" s="1207"/>
      <c r="Q4623" s="1207"/>
    </row>
    <row r="4624" spans="3:17" s="700" customFormat="1" ht="70.5" hidden="1" customHeight="1">
      <c r="C4624" s="701"/>
      <c r="D4624" s="811"/>
      <c r="E4624" s="1276">
        <f>[11]building!Y4955</f>
        <v>0</v>
      </c>
      <c r="F4624" s="748">
        <f t="shared" si="311"/>
        <v>0</v>
      </c>
      <c r="G4624" s="1205"/>
      <c r="H4624" s="1055"/>
      <c r="I4624" s="1055"/>
      <c r="J4624" s="1055"/>
      <c r="K4624" s="1205"/>
      <c r="L4624" s="1055"/>
      <c r="M4624" s="1205"/>
      <c r="N4624" s="1054"/>
      <c r="O4624" s="1207"/>
      <c r="Q4624" s="1207"/>
    </row>
    <row r="4625" spans="3:17" s="700" customFormat="1" ht="70.5" hidden="1" customHeight="1">
      <c r="C4625" s="701"/>
      <c r="D4625" s="811"/>
      <c r="E4625" s="1276">
        <f>[11]building!Y4956</f>
        <v>0</v>
      </c>
      <c r="F4625" s="748">
        <f t="shared" si="311"/>
        <v>0</v>
      </c>
      <c r="G4625" s="1205"/>
      <c r="H4625" s="1055"/>
      <c r="I4625" s="1055"/>
      <c r="J4625" s="1055"/>
      <c r="K4625" s="1205"/>
      <c r="L4625" s="1055"/>
      <c r="M4625" s="1205"/>
      <c r="N4625" s="1054"/>
      <c r="O4625" s="1207"/>
      <c r="Q4625" s="1207"/>
    </row>
    <row r="4626" spans="3:17" s="700" customFormat="1" ht="70.5" hidden="1" customHeight="1">
      <c r="C4626" s="701"/>
      <c r="D4626" s="811"/>
      <c r="E4626" s="1276">
        <f>[11]building!Y4957</f>
        <v>0</v>
      </c>
      <c r="F4626" s="748">
        <f t="shared" si="311"/>
        <v>0</v>
      </c>
      <c r="G4626" s="1205"/>
      <c r="H4626" s="1055"/>
      <c r="I4626" s="1055"/>
      <c r="J4626" s="1055"/>
      <c r="K4626" s="1205"/>
      <c r="L4626" s="1055"/>
      <c r="M4626" s="1205"/>
      <c r="N4626" s="1054"/>
      <c r="O4626" s="1207"/>
      <c r="Q4626" s="1207"/>
    </row>
    <row r="4627" spans="3:17" s="700" customFormat="1" ht="70.5" hidden="1" customHeight="1">
      <c r="C4627" s="701"/>
      <c r="D4627" s="811"/>
      <c r="E4627" s="1276">
        <f>[11]building!Y4958</f>
        <v>0</v>
      </c>
      <c r="F4627" s="748">
        <f t="shared" si="311"/>
        <v>0</v>
      </c>
      <c r="G4627" s="1205"/>
      <c r="H4627" s="1055"/>
      <c r="I4627" s="1055"/>
      <c r="J4627" s="1055"/>
      <c r="K4627" s="1205"/>
      <c r="L4627" s="1055"/>
      <c r="M4627" s="1205"/>
      <c r="N4627" s="1054"/>
      <c r="O4627" s="1207"/>
      <c r="Q4627" s="1207"/>
    </row>
    <row r="4628" spans="3:17" s="700" customFormat="1" ht="70.5" hidden="1" customHeight="1">
      <c r="C4628" s="701"/>
      <c r="D4628" s="811"/>
      <c r="E4628" s="1276">
        <f>[11]building!Y4959</f>
        <v>0</v>
      </c>
      <c r="F4628" s="748">
        <f t="shared" si="311"/>
        <v>0</v>
      </c>
      <c r="G4628" s="1205"/>
      <c r="H4628" s="1055"/>
      <c r="I4628" s="1055"/>
      <c r="J4628" s="1055"/>
      <c r="K4628" s="1205"/>
      <c r="L4628" s="1055"/>
      <c r="M4628" s="1205"/>
      <c r="N4628" s="1054"/>
      <c r="O4628" s="1207"/>
      <c r="Q4628" s="1207"/>
    </row>
    <row r="4629" spans="3:17" s="700" customFormat="1" ht="70.5" hidden="1" customHeight="1">
      <c r="C4629" s="701"/>
      <c r="D4629" s="811"/>
      <c r="E4629" s="1276">
        <f>[11]building!Y4960</f>
        <v>0</v>
      </c>
      <c r="F4629" s="748">
        <f t="shared" si="311"/>
        <v>0</v>
      </c>
      <c r="G4629" s="1205"/>
      <c r="H4629" s="1055"/>
      <c r="I4629" s="1055"/>
      <c r="J4629" s="1055"/>
      <c r="K4629" s="1205"/>
      <c r="L4629" s="1055"/>
      <c r="M4629" s="1205"/>
      <c r="N4629" s="1054"/>
      <c r="O4629" s="1207"/>
      <c r="Q4629" s="1207"/>
    </row>
    <row r="4630" spans="3:17" s="700" customFormat="1" ht="70.5" hidden="1" customHeight="1">
      <c r="C4630" s="701"/>
      <c r="D4630" s="811"/>
      <c r="E4630" s="1276">
        <f>[11]building!Y4961</f>
        <v>0</v>
      </c>
      <c r="F4630" s="748">
        <f t="shared" si="311"/>
        <v>0</v>
      </c>
      <c r="G4630" s="1205"/>
      <c r="H4630" s="1055"/>
      <c r="I4630" s="1055"/>
      <c r="J4630" s="1055"/>
      <c r="K4630" s="1205"/>
      <c r="L4630" s="1055"/>
      <c r="M4630" s="1205"/>
      <c r="N4630" s="1054"/>
      <c r="O4630" s="1207"/>
      <c r="Q4630" s="1207"/>
    </row>
    <row r="4631" spans="3:17" s="700" customFormat="1" ht="70.5" hidden="1" customHeight="1">
      <c r="C4631" s="701"/>
      <c r="D4631" s="811"/>
      <c r="E4631" s="1276">
        <f>[11]building!Y4962</f>
        <v>0</v>
      </c>
      <c r="F4631" s="748">
        <f t="shared" si="311"/>
        <v>0</v>
      </c>
      <c r="G4631" s="1205"/>
      <c r="H4631" s="1055"/>
      <c r="I4631" s="1055"/>
      <c r="J4631" s="1055"/>
      <c r="K4631" s="1205"/>
      <c r="L4631" s="1055"/>
      <c r="M4631" s="1205"/>
      <c r="N4631" s="1054"/>
      <c r="O4631" s="1207"/>
      <c r="Q4631" s="1207"/>
    </row>
    <row r="4632" spans="3:17" s="700" customFormat="1" ht="70.5" hidden="1" customHeight="1">
      <c r="C4632" s="701"/>
      <c r="D4632" s="811"/>
      <c r="E4632" s="1276">
        <f>[11]building!Y4963</f>
        <v>0</v>
      </c>
      <c r="F4632" s="748">
        <f t="shared" si="311"/>
        <v>0</v>
      </c>
      <c r="G4632" s="1205"/>
      <c r="H4632" s="1055"/>
      <c r="I4632" s="1055"/>
      <c r="J4632" s="1055"/>
      <c r="K4632" s="1205"/>
      <c r="L4632" s="1055"/>
      <c r="M4632" s="1205"/>
      <c r="N4632" s="1054"/>
      <c r="O4632" s="1207"/>
      <c r="Q4632" s="1207"/>
    </row>
    <row r="4633" spans="3:17" s="700" customFormat="1" ht="70.5" hidden="1" customHeight="1">
      <c r="C4633" s="701"/>
      <c r="D4633" s="811"/>
      <c r="E4633" s="1276">
        <f>[11]building!Y4964</f>
        <v>0</v>
      </c>
      <c r="F4633" s="748">
        <f t="shared" si="311"/>
        <v>0</v>
      </c>
      <c r="G4633" s="1205"/>
      <c r="H4633" s="1055"/>
      <c r="I4633" s="1055"/>
      <c r="J4633" s="1055"/>
      <c r="K4633" s="1205"/>
      <c r="L4633" s="1055"/>
      <c r="M4633" s="1205"/>
      <c r="N4633" s="1054"/>
      <c r="O4633" s="1207"/>
      <c r="Q4633" s="1207"/>
    </row>
    <row r="4634" spans="3:17" s="700" customFormat="1" ht="70.5" hidden="1" customHeight="1">
      <c r="C4634" s="701"/>
      <c r="D4634" s="811"/>
      <c r="E4634" s="1276">
        <f>[11]building!Y4965</f>
        <v>0</v>
      </c>
      <c r="F4634" s="748">
        <f t="shared" si="311"/>
        <v>0</v>
      </c>
      <c r="G4634" s="1205"/>
      <c r="H4634" s="1055"/>
      <c r="I4634" s="1055"/>
      <c r="J4634" s="1055"/>
      <c r="K4634" s="1205"/>
      <c r="L4634" s="1055"/>
      <c r="M4634" s="1205"/>
      <c r="N4634" s="1054"/>
      <c r="O4634" s="1207"/>
      <c r="Q4634" s="1207"/>
    </row>
    <row r="4635" spans="3:17" s="700" customFormat="1" ht="70.5" hidden="1" customHeight="1">
      <c r="C4635" s="701"/>
      <c r="D4635" s="811"/>
      <c r="E4635" s="1276">
        <f>[11]building!Y4966</f>
        <v>0</v>
      </c>
      <c r="F4635" s="748">
        <f t="shared" si="311"/>
        <v>0</v>
      </c>
      <c r="G4635" s="1205"/>
      <c r="H4635" s="1055"/>
      <c r="I4635" s="1055"/>
      <c r="J4635" s="1055"/>
      <c r="K4635" s="1205"/>
      <c r="L4635" s="1055"/>
      <c r="M4635" s="1205"/>
      <c r="N4635" s="1054"/>
      <c r="O4635" s="1207"/>
      <c r="Q4635" s="1207"/>
    </row>
    <row r="4636" spans="3:17" s="700" customFormat="1" ht="70.5" hidden="1" customHeight="1">
      <c r="C4636" s="701"/>
      <c r="D4636" s="811"/>
      <c r="E4636" s="1276">
        <f>[11]building!Y4967</f>
        <v>0</v>
      </c>
      <c r="F4636" s="748">
        <f t="shared" si="311"/>
        <v>0</v>
      </c>
      <c r="G4636" s="1205"/>
      <c r="H4636" s="1055"/>
      <c r="I4636" s="1055"/>
      <c r="J4636" s="1055"/>
      <c r="K4636" s="1205"/>
      <c r="L4636" s="1055"/>
      <c r="M4636" s="1205"/>
      <c r="N4636" s="1054"/>
      <c r="O4636" s="1207"/>
      <c r="Q4636" s="1207"/>
    </row>
    <row r="4637" spans="3:17" s="700" customFormat="1" ht="70.5" hidden="1" customHeight="1">
      <c r="C4637" s="701"/>
      <c r="D4637" s="811"/>
      <c r="E4637" s="1276">
        <f>[11]building!Y4968</f>
        <v>0</v>
      </c>
      <c r="F4637" s="748">
        <f t="shared" si="311"/>
        <v>0</v>
      </c>
      <c r="G4637" s="1205"/>
      <c r="H4637" s="1055"/>
      <c r="I4637" s="1055"/>
      <c r="J4637" s="1055"/>
      <c r="K4637" s="1205"/>
      <c r="L4637" s="1055"/>
      <c r="M4637" s="1205"/>
      <c r="N4637" s="1054"/>
      <c r="O4637" s="1207"/>
      <c r="Q4637" s="1207"/>
    </row>
    <row r="4638" spans="3:17" s="700" customFormat="1" ht="70.5" hidden="1" customHeight="1">
      <c r="C4638" s="701"/>
      <c r="D4638" s="811"/>
      <c r="E4638" s="1276">
        <f>[11]building!Y4969</f>
        <v>0</v>
      </c>
      <c r="F4638" s="748">
        <f t="shared" si="311"/>
        <v>0</v>
      </c>
      <c r="G4638" s="1205"/>
      <c r="H4638" s="1055"/>
      <c r="I4638" s="1055"/>
      <c r="J4638" s="1055"/>
      <c r="K4638" s="1205"/>
      <c r="L4638" s="1055"/>
      <c r="M4638" s="1205"/>
      <c r="N4638" s="1054"/>
      <c r="O4638" s="1207"/>
      <c r="Q4638" s="1207"/>
    </row>
    <row r="4639" spans="3:17" s="700" customFormat="1" ht="70.5" hidden="1" customHeight="1">
      <c r="C4639" s="701"/>
      <c r="D4639" s="811"/>
      <c r="E4639" s="1276">
        <f>[11]building!Y4970</f>
        <v>0</v>
      </c>
      <c r="F4639" s="748">
        <f t="shared" si="311"/>
        <v>0</v>
      </c>
      <c r="G4639" s="1205"/>
      <c r="H4639" s="1055"/>
      <c r="I4639" s="1055"/>
      <c r="J4639" s="1055"/>
      <c r="K4639" s="1205"/>
      <c r="L4639" s="1055"/>
      <c r="M4639" s="1205"/>
      <c r="N4639" s="1054"/>
      <c r="O4639" s="1207"/>
      <c r="Q4639" s="1207"/>
    </row>
    <row r="4640" spans="3:17" s="700" customFormat="1" ht="70.5" hidden="1" customHeight="1">
      <c r="C4640" s="701"/>
      <c r="D4640" s="811"/>
      <c r="E4640" s="1276">
        <f>[11]building!Y4971</f>
        <v>0</v>
      </c>
      <c r="F4640" s="748">
        <f t="shared" si="311"/>
        <v>0</v>
      </c>
      <c r="G4640" s="1205"/>
      <c r="H4640" s="1055"/>
      <c r="I4640" s="1055"/>
      <c r="J4640" s="1055"/>
      <c r="K4640" s="1205"/>
      <c r="L4640" s="1055"/>
      <c r="M4640" s="1205"/>
      <c r="N4640" s="1054"/>
      <c r="O4640" s="1207"/>
      <c r="Q4640" s="1207"/>
    </row>
    <row r="4641" spans="3:17" s="700" customFormat="1" ht="70.5" hidden="1" customHeight="1">
      <c r="C4641" s="701"/>
      <c r="D4641" s="811"/>
      <c r="E4641" s="1276">
        <f>[11]building!Y4972</f>
        <v>0</v>
      </c>
      <c r="F4641" s="748">
        <f t="shared" si="311"/>
        <v>0</v>
      </c>
      <c r="G4641" s="1205"/>
      <c r="H4641" s="1055"/>
      <c r="I4641" s="1055"/>
      <c r="J4641" s="1055"/>
      <c r="K4641" s="1205"/>
      <c r="L4641" s="1055"/>
      <c r="M4641" s="1205"/>
      <c r="N4641" s="1054"/>
      <c r="O4641" s="1207"/>
      <c r="Q4641" s="1207"/>
    </row>
    <row r="4642" spans="3:17" s="700" customFormat="1" ht="70.5" hidden="1" customHeight="1">
      <c r="C4642" s="701"/>
      <c r="D4642" s="811"/>
      <c r="E4642" s="1276">
        <f>[11]building!Y4973</f>
        <v>0</v>
      </c>
      <c r="F4642" s="748">
        <f t="shared" si="311"/>
        <v>0</v>
      </c>
      <c r="G4642" s="1205"/>
      <c r="H4642" s="1055"/>
      <c r="I4642" s="1055"/>
      <c r="J4642" s="1055"/>
      <c r="K4642" s="1205"/>
      <c r="L4642" s="1055"/>
      <c r="M4642" s="1205"/>
      <c r="N4642" s="1054"/>
      <c r="O4642" s="1207"/>
      <c r="Q4642" s="1207"/>
    </row>
    <row r="4643" spans="3:17" s="700" customFormat="1" ht="70.5" hidden="1" customHeight="1">
      <c r="C4643" s="701"/>
      <c r="D4643" s="811"/>
      <c r="E4643" s="1276">
        <f>[11]building!Y4974</f>
        <v>0</v>
      </c>
      <c r="F4643" s="748">
        <f t="shared" si="311"/>
        <v>0</v>
      </c>
      <c r="G4643" s="1205"/>
      <c r="H4643" s="1055"/>
      <c r="I4643" s="1055"/>
      <c r="J4643" s="1055"/>
      <c r="K4643" s="1205"/>
      <c r="L4643" s="1055"/>
      <c r="M4643" s="1205"/>
      <c r="N4643" s="1054"/>
      <c r="O4643" s="1207"/>
      <c r="Q4643" s="1207"/>
    </row>
    <row r="4644" spans="3:17" s="700" customFormat="1" ht="70.5" hidden="1" customHeight="1">
      <c r="C4644" s="701"/>
      <c r="D4644" s="811"/>
      <c r="E4644" s="1276">
        <f>[11]building!Y4975</f>
        <v>0</v>
      </c>
      <c r="F4644" s="748">
        <f t="shared" si="311"/>
        <v>0</v>
      </c>
      <c r="G4644" s="1205"/>
      <c r="H4644" s="1055"/>
      <c r="I4644" s="1055"/>
      <c r="J4644" s="1055"/>
      <c r="K4644" s="1205"/>
      <c r="L4644" s="1055"/>
      <c r="M4644" s="1205"/>
      <c r="N4644" s="1054"/>
      <c r="O4644" s="1207"/>
      <c r="Q4644" s="1207"/>
    </row>
    <row r="4645" spans="3:17" s="700" customFormat="1" ht="70.5" hidden="1" customHeight="1">
      <c r="C4645" s="701"/>
      <c r="D4645" s="811"/>
      <c r="E4645" s="1276">
        <f>[11]building!Y4976</f>
        <v>0</v>
      </c>
      <c r="F4645" s="748">
        <f t="shared" si="311"/>
        <v>0</v>
      </c>
      <c r="G4645" s="1205"/>
      <c r="H4645" s="1055"/>
      <c r="I4645" s="1055"/>
      <c r="J4645" s="1055"/>
      <c r="K4645" s="1205"/>
      <c r="L4645" s="1055"/>
      <c r="M4645" s="1205"/>
      <c r="N4645" s="1054"/>
      <c r="O4645" s="1207"/>
      <c r="Q4645" s="1207"/>
    </row>
    <row r="4646" spans="3:17" s="700" customFormat="1" ht="70.5" hidden="1" customHeight="1">
      <c r="C4646" s="701"/>
      <c r="D4646" s="811"/>
      <c r="E4646" s="1276">
        <f>[11]building!Y4977</f>
        <v>0</v>
      </c>
      <c r="F4646" s="748">
        <f t="shared" si="311"/>
        <v>0</v>
      </c>
      <c r="G4646" s="1205"/>
      <c r="H4646" s="1055"/>
      <c r="I4646" s="1055"/>
      <c r="J4646" s="1055"/>
      <c r="K4646" s="1205"/>
      <c r="L4646" s="1055"/>
      <c r="M4646" s="1205"/>
      <c r="N4646" s="1054"/>
      <c r="O4646" s="1207"/>
      <c r="Q4646" s="1207"/>
    </row>
    <row r="4647" spans="3:17" s="700" customFormat="1" ht="70.5" hidden="1" customHeight="1">
      <c r="C4647" s="701"/>
      <c r="D4647" s="811"/>
      <c r="E4647" s="1276">
        <f>[11]building!Y4978</f>
        <v>0</v>
      </c>
      <c r="F4647" s="748">
        <f t="shared" si="311"/>
        <v>0</v>
      </c>
      <c r="G4647" s="1205"/>
      <c r="H4647" s="1055"/>
      <c r="I4647" s="1055"/>
      <c r="J4647" s="1055"/>
      <c r="K4647" s="1205"/>
      <c r="L4647" s="1055"/>
      <c r="M4647" s="1205"/>
      <c r="N4647" s="1054"/>
      <c r="O4647" s="1207"/>
      <c r="Q4647" s="1207"/>
    </row>
    <row r="4648" spans="3:17" s="700" customFormat="1" ht="70.5" hidden="1" customHeight="1">
      <c r="C4648" s="701"/>
      <c r="D4648" s="811"/>
      <c r="E4648" s="1276">
        <f>[11]building!Y4979</f>
        <v>0</v>
      </c>
      <c r="F4648" s="748">
        <f t="shared" si="311"/>
        <v>0</v>
      </c>
      <c r="G4648" s="1205"/>
      <c r="H4648" s="1055"/>
      <c r="I4648" s="1055"/>
      <c r="J4648" s="1055"/>
      <c r="K4648" s="1205"/>
      <c r="L4648" s="1055"/>
      <c r="M4648" s="1205"/>
      <c r="N4648" s="1054"/>
      <c r="O4648" s="1207"/>
      <c r="Q4648" s="1207"/>
    </row>
    <row r="4649" spans="3:17" s="700" customFormat="1" ht="70.5" hidden="1" customHeight="1">
      <c r="C4649" s="701"/>
      <c r="D4649" s="811"/>
      <c r="E4649" s="1276">
        <f>[11]building!Y4980</f>
        <v>0</v>
      </c>
      <c r="F4649" s="748">
        <f t="shared" si="311"/>
        <v>0</v>
      </c>
      <c r="G4649" s="1205"/>
      <c r="H4649" s="1055"/>
      <c r="I4649" s="1055"/>
      <c r="J4649" s="1055"/>
      <c r="K4649" s="1205"/>
      <c r="L4649" s="1055"/>
      <c r="M4649" s="1205"/>
      <c r="N4649" s="1054"/>
      <c r="O4649" s="1207"/>
      <c r="Q4649" s="1207"/>
    </row>
    <row r="4650" spans="3:17" s="700" customFormat="1" ht="70.5" hidden="1" customHeight="1">
      <c r="C4650" s="701"/>
      <c r="D4650" s="811"/>
      <c r="E4650" s="1276">
        <f>[11]building!Y4981</f>
        <v>0</v>
      </c>
      <c r="F4650" s="748">
        <f t="shared" si="311"/>
        <v>0</v>
      </c>
      <c r="G4650" s="1205"/>
      <c r="H4650" s="1055"/>
      <c r="I4650" s="1055"/>
      <c r="J4650" s="1055"/>
      <c r="K4650" s="1205"/>
      <c r="L4650" s="1055"/>
      <c r="M4650" s="1205"/>
      <c r="N4650" s="1054"/>
      <c r="O4650" s="1207"/>
      <c r="Q4650" s="1207"/>
    </row>
    <row r="4651" spans="3:17" s="700" customFormat="1" ht="70.5" hidden="1" customHeight="1">
      <c r="C4651" s="701"/>
      <c r="D4651" s="811"/>
      <c r="E4651" s="1276">
        <f>[11]building!Y4982</f>
        <v>0</v>
      </c>
      <c r="F4651" s="748">
        <f t="shared" si="311"/>
        <v>0</v>
      </c>
      <c r="G4651" s="1205"/>
      <c r="H4651" s="1055"/>
      <c r="I4651" s="1055"/>
      <c r="J4651" s="1055"/>
      <c r="K4651" s="1205"/>
      <c r="L4651" s="1055"/>
      <c r="M4651" s="1205"/>
      <c r="N4651" s="1054"/>
      <c r="O4651" s="1207"/>
      <c r="Q4651" s="1207"/>
    </row>
    <row r="4652" spans="3:17" s="700" customFormat="1" ht="70.5" hidden="1" customHeight="1">
      <c r="C4652" s="701"/>
      <c r="D4652" s="811"/>
      <c r="E4652" s="1276">
        <f>[11]building!Y4983</f>
        <v>0</v>
      </c>
      <c r="F4652" s="748">
        <f t="shared" si="311"/>
        <v>0</v>
      </c>
      <c r="G4652" s="1205"/>
      <c r="H4652" s="1055"/>
      <c r="I4652" s="1055"/>
      <c r="J4652" s="1055"/>
      <c r="K4652" s="1205"/>
      <c r="L4652" s="1055"/>
      <c r="M4652" s="1205"/>
      <c r="N4652" s="1054"/>
      <c r="O4652" s="1207"/>
      <c r="Q4652" s="1207"/>
    </row>
    <row r="4653" spans="3:17" s="700" customFormat="1" ht="70.5" hidden="1" customHeight="1">
      <c r="C4653" s="701"/>
      <c r="D4653" s="811"/>
      <c r="E4653" s="1276">
        <f>[11]building!Y4984</f>
        <v>0</v>
      </c>
      <c r="F4653" s="748">
        <f t="shared" si="311"/>
        <v>0</v>
      </c>
      <c r="G4653" s="1205"/>
      <c r="H4653" s="1055"/>
      <c r="I4653" s="1055"/>
      <c r="J4653" s="1055"/>
      <c r="K4653" s="1205"/>
      <c r="L4653" s="1055"/>
      <c r="M4653" s="1205"/>
      <c r="N4653" s="1054"/>
      <c r="O4653" s="1207"/>
      <c r="Q4653" s="1207"/>
    </row>
    <row r="4654" spans="3:17" s="700" customFormat="1" ht="70.5" hidden="1" customHeight="1">
      <c r="C4654" s="701"/>
      <c r="D4654" s="811"/>
      <c r="E4654" s="1276">
        <f>[11]building!Y4985</f>
        <v>0</v>
      </c>
      <c r="F4654" s="748">
        <f t="shared" si="311"/>
        <v>0</v>
      </c>
      <c r="G4654" s="1205"/>
      <c r="H4654" s="1055"/>
      <c r="I4654" s="1055"/>
      <c r="J4654" s="1055"/>
      <c r="K4654" s="1205"/>
      <c r="L4654" s="1055"/>
      <c r="M4654" s="1205"/>
      <c r="N4654" s="1054"/>
      <c r="O4654" s="1207"/>
      <c r="Q4654" s="1207"/>
    </row>
    <row r="4655" spans="3:17" s="700" customFormat="1" ht="70.5" hidden="1" customHeight="1">
      <c r="C4655" s="701"/>
      <c r="D4655" s="811"/>
      <c r="E4655" s="1276">
        <f>[11]building!Y4986</f>
        <v>0</v>
      </c>
      <c r="F4655" s="748">
        <f t="shared" si="311"/>
        <v>0</v>
      </c>
      <c r="G4655" s="1205"/>
      <c r="H4655" s="1055"/>
      <c r="I4655" s="1055"/>
      <c r="J4655" s="1055"/>
      <c r="K4655" s="1205"/>
      <c r="L4655" s="1055"/>
      <c r="M4655" s="1205"/>
      <c r="N4655" s="1054"/>
      <c r="O4655" s="1207"/>
      <c r="Q4655" s="1207"/>
    </row>
    <row r="4656" spans="3:17" s="700" customFormat="1" ht="70.5" hidden="1" customHeight="1">
      <c r="C4656" s="701"/>
      <c r="D4656" s="811"/>
      <c r="E4656" s="1276">
        <f>[11]building!Y4987</f>
        <v>0</v>
      </c>
      <c r="F4656" s="748">
        <f t="shared" si="311"/>
        <v>0</v>
      </c>
      <c r="G4656" s="1205"/>
      <c r="H4656" s="1055"/>
      <c r="I4656" s="1055"/>
      <c r="J4656" s="1055"/>
      <c r="K4656" s="1205"/>
      <c r="L4656" s="1055"/>
      <c r="M4656" s="1205"/>
      <c r="N4656" s="1054"/>
      <c r="O4656" s="1207"/>
      <c r="Q4656" s="1207"/>
    </row>
    <row r="4657" spans="3:17" s="700" customFormat="1" ht="70.5" hidden="1" customHeight="1">
      <c r="C4657" s="701"/>
      <c r="D4657" s="811"/>
      <c r="E4657" s="1276">
        <f>[11]building!Y4988</f>
        <v>0</v>
      </c>
      <c r="F4657" s="748">
        <f t="shared" si="311"/>
        <v>0</v>
      </c>
      <c r="G4657" s="1205"/>
      <c r="H4657" s="1055"/>
      <c r="I4657" s="1055"/>
      <c r="J4657" s="1055"/>
      <c r="K4657" s="1205"/>
      <c r="L4657" s="1055"/>
      <c r="M4657" s="1205"/>
      <c r="N4657" s="1054"/>
      <c r="O4657" s="1207"/>
      <c r="Q4657" s="1207"/>
    </row>
    <row r="4658" spans="3:17" s="700" customFormat="1" ht="70.5" hidden="1" customHeight="1">
      <c r="C4658" s="701"/>
      <c r="D4658" s="811"/>
      <c r="E4658" s="1276">
        <f>[11]building!Y4989</f>
        <v>0</v>
      </c>
      <c r="F4658" s="748">
        <f t="shared" si="311"/>
        <v>0</v>
      </c>
      <c r="G4658" s="1205"/>
      <c r="H4658" s="1055"/>
      <c r="I4658" s="1055"/>
      <c r="J4658" s="1055"/>
      <c r="K4658" s="1205"/>
      <c r="L4658" s="1055"/>
      <c r="M4658" s="1205"/>
      <c r="N4658" s="1054"/>
      <c r="O4658" s="1207"/>
      <c r="Q4658" s="1207"/>
    </row>
    <row r="4659" spans="3:17" s="700" customFormat="1" ht="70.5" hidden="1" customHeight="1">
      <c r="C4659" s="701"/>
      <c r="D4659" s="811"/>
      <c r="E4659" s="1276">
        <f>[11]building!Y4990</f>
        <v>0</v>
      </c>
      <c r="F4659" s="748">
        <f t="shared" si="311"/>
        <v>0</v>
      </c>
      <c r="G4659" s="1205"/>
      <c r="H4659" s="1055"/>
      <c r="I4659" s="1055"/>
      <c r="J4659" s="1055"/>
      <c r="K4659" s="1205"/>
      <c r="L4659" s="1055"/>
      <c r="M4659" s="1205"/>
      <c r="N4659" s="1054"/>
      <c r="O4659" s="1207"/>
      <c r="Q4659" s="1207"/>
    </row>
    <row r="4660" spans="3:17" s="700" customFormat="1" ht="70.5" hidden="1" customHeight="1">
      <c r="C4660" s="701"/>
      <c r="D4660" s="811"/>
      <c r="E4660" s="1276">
        <f>[11]building!Y4991</f>
        <v>0</v>
      </c>
      <c r="F4660" s="748">
        <f t="shared" si="311"/>
        <v>0</v>
      </c>
      <c r="G4660" s="1205"/>
      <c r="H4660" s="1055"/>
      <c r="I4660" s="1055"/>
      <c r="J4660" s="1055"/>
      <c r="K4660" s="1205"/>
      <c r="L4660" s="1055"/>
      <c r="M4660" s="1205"/>
      <c r="N4660" s="1054"/>
      <c r="O4660" s="1207"/>
      <c r="Q4660" s="1207"/>
    </row>
    <row r="4661" spans="3:17" s="700" customFormat="1" ht="70.5" hidden="1" customHeight="1">
      <c r="C4661" s="701"/>
      <c r="D4661" s="811"/>
      <c r="E4661" s="1276">
        <f>[11]building!Y4992</f>
        <v>0</v>
      </c>
      <c r="F4661" s="748">
        <f t="shared" si="311"/>
        <v>0</v>
      </c>
      <c r="G4661" s="1205"/>
      <c r="H4661" s="1055"/>
      <c r="I4661" s="1055"/>
      <c r="J4661" s="1055"/>
      <c r="K4661" s="1205"/>
      <c r="L4661" s="1055"/>
      <c r="M4661" s="1205"/>
      <c r="N4661" s="1054"/>
      <c r="O4661" s="1207"/>
      <c r="Q4661" s="1207"/>
    </row>
    <row r="4662" spans="3:17" s="700" customFormat="1" ht="70.5" hidden="1" customHeight="1">
      <c r="C4662" s="701"/>
      <c r="D4662" s="811"/>
      <c r="E4662" s="1276">
        <f>[11]building!Y4993</f>
        <v>0</v>
      </c>
      <c r="F4662" s="748">
        <f t="shared" si="311"/>
        <v>0</v>
      </c>
      <c r="G4662" s="1205"/>
      <c r="H4662" s="1055"/>
      <c r="I4662" s="1055"/>
      <c r="J4662" s="1055"/>
      <c r="K4662" s="1205"/>
      <c r="L4662" s="1055"/>
      <c r="M4662" s="1205"/>
      <c r="N4662" s="1054"/>
      <c r="O4662" s="1207"/>
      <c r="Q4662" s="1207"/>
    </row>
    <row r="4663" spans="3:17" s="700" customFormat="1" ht="70.5" hidden="1" customHeight="1">
      <c r="C4663" s="701"/>
      <c r="D4663" s="811"/>
      <c r="E4663" s="1276">
        <f>[11]building!Y4994</f>
        <v>0</v>
      </c>
      <c r="F4663" s="748">
        <f t="shared" si="311"/>
        <v>0</v>
      </c>
      <c r="G4663" s="1205"/>
      <c r="H4663" s="1055"/>
      <c r="I4663" s="1055"/>
      <c r="J4663" s="1055"/>
      <c r="K4663" s="1205"/>
      <c r="L4663" s="1055"/>
      <c r="M4663" s="1205"/>
      <c r="N4663" s="1054"/>
      <c r="O4663" s="1207"/>
      <c r="Q4663" s="1207"/>
    </row>
    <row r="4664" spans="3:17" s="700" customFormat="1" ht="70.5" hidden="1" customHeight="1">
      <c r="C4664" s="701"/>
      <c r="D4664" s="811"/>
      <c r="E4664" s="1276">
        <f>[11]building!Y4995</f>
        <v>0</v>
      </c>
      <c r="F4664" s="748">
        <f t="shared" si="311"/>
        <v>0</v>
      </c>
      <c r="G4664" s="1205"/>
      <c r="H4664" s="1055"/>
      <c r="I4664" s="1055"/>
      <c r="J4664" s="1055"/>
      <c r="K4664" s="1205"/>
      <c r="L4664" s="1055"/>
      <c r="M4664" s="1205"/>
      <c r="N4664" s="1054"/>
      <c r="O4664" s="1207"/>
      <c r="Q4664" s="1207"/>
    </row>
    <row r="4665" spans="3:17" s="700" customFormat="1" ht="70.5" hidden="1" customHeight="1">
      <c r="C4665" s="701"/>
      <c r="D4665" s="811"/>
      <c r="E4665" s="1276">
        <f>[11]building!Y4996</f>
        <v>0</v>
      </c>
      <c r="F4665" s="748">
        <f t="shared" si="311"/>
        <v>0</v>
      </c>
      <c r="G4665" s="1205"/>
      <c r="H4665" s="1055"/>
      <c r="I4665" s="1055"/>
      <c r="J4665" s="1055"/>
      <c r="K4665" s="1205"/>
      <c r="L4665" s="1055"/>
      <c r="M4665" s="1205"/>
      <c r="N4665" s="1054"/>
      <c r="O4665" s="1207"/>
      <c r="Q4665" s="1207"/>
    </row>
    <row r="4666" spans="3:17" s="700" customFormat="1" ht="70.5" hidden="1" customHeight="1">
      <c r="C4666" s="701"/>
      <c r="D4666" s="811"/>
      <c r="E4666" s="1276">
        <f>[11]building!Y4997</f>
        <v>0</v>
      </c>
      <c r="F4666" s="748">
        <f t="shared" si="311"/>
        <v>0</v>
      </c>
      <c r="G4666" s="1205"/>
      <c r="H4666" s="1055"/>
      <c r="I4666" s="1055"/>
      <c r="J4666" s="1055"/>
      <c r="K4666" s="1205"/>
      <c r="L4666" s="1055"/>
      <c r="M4666" s="1205"/>
      <c r="N4666" s="1054"/>
      <c r="O4666" s="1207"/>
      <c r="Q4666" s="1207"/>
    </row>
    <row r="4667" spans="3:17" s="700" customFormat="1" ht="70.5" hidden="1" customHeight="1">
      <c r="C4667" s="701"/>
      <c r="D4667" s="811"/>
      <c r="E4667" s="1276">
        <f>[11]building!Y4998</f>
        <v>0</v>
      </c>
      <c r="F4667" s="748">
        <f t="shared" si="311"/>
        <v>0</v>
      </c>
      <c r="G4667" s="1205"/>
      <c r="H4667" s="1055"/>
      <c r="I4667" s="1055"/>
      <c r="J4667" s="1055"/>
      <c r="K4667" s="1205"/>
      <c r="L4667" s="1055"/>
      <c r="M4667" s="1205"/>
      <c r="N4667" s="1054"/>
      <c r="O4667" s="1207"/>
      <c r="Q4667" s="1207"/>
    </row>
    <row r="4668" spans="3:17" s="700" customFormat="1" ht="70.5" hidden="1" customHeight="1">
      <c r="C4668" s="701"/>
      <c r="D4668" s="811"/>
      <c r="E4668" s="1276">
        <f>[11]building!Y4999</f>
        <v>0</v>
      </c>
      <c r="F4668" s="748">
        <f t="shared" si="311"/>
        <v>0</v>
      </c>
      <c r="G4668" s="1205"/>
      <c r="H4668" s="1055"/>
      <c r="I4668" s="1055"/>
      <c r="J4668" s="1055"/>
      <c r="K4668" s="1205"/>
      <c r="L4668" s="1055"/>
      <c r="M4668" s="1205"/>
      <c r="N4668" s="1054"/>
      <c r="O4668" s="1207"/>
      <c r="Q4668" s="1207"/>
    </row>
    <row r="4669" spans="3:17" s="700" customFormat="1" ht="70.5" hidden="1" customHeight="1">
      <c r="C4669" s="701"/>
      <c r="D4669" s="811"/>
      <c r="E4669" s="1276">
        <f>[11]building!Y5000</f>
        <v>0</v>
      </c>
      <c r="F4669" s="748">
        <f t="shared" si="311"/>
        <v>0</v>
      </c>
      <c r="G4669" s="1205"/>
      <c r="H4669" s="1055"/>
      <c r="I4669" s="1055"/>
      <c r="J4669" s="1055"/>
      <c r="K4669" s="1205"/>
      <c r="L4669" s="1055"/>
      <c r="M4669" s="1205"/>
      <c r="N4669" s="1054"/>
      <c r="O4669" s="1207"/>
      <c r="Q4669" s="1207"/>
    </row>
    <row r="4670" spans="3:17" s="700" customFormat="1" ht="70.5" hidden="1" customHeight="1">
      <c r="C4670" s="701"/>
      <c r="D4670" s="811"/>
      <c r="E4670" s="1276">
        <f>[11]building!Y5001</f>
        <v>0</v>
      </c>
      <c r="F4670" s="748">
        <f t="shared" si="311"/>
        <v>0</v>
      </c>
      <c r="G4670" s="1205"/>
      <c r="H4670" s="1055"/>
      <c r="I4670" s="1055"/>
      <c r="J4670" s="1055"/>
      <c r="K4670" s="1205"/>
      <c r="L4670" s="1055"/>
      <c r="M4670" s="1205"/>
      <c r="N4670" s="1054"/>
      <c r="O4670" s="1207"/>
      <c r="Q4670" s="1207"/>
    </row>
    <row r="4671" spans="3:17" s="700" customFormat="1" ht="70.5" hidden="1" customHeight="1">
      <c r="C4671" s="701"/>
      <c r="D4671" s="811"/>
      <c r="E4671" s="1276">
        <f>[11]building!Y5002</f>
        <v>0</v>
      </c>
      <c r="F4671" s="748">
        <f t="shared" si="311"/>
        <v>0</v>
      </c>
      <c r="G4671" s="1205"/>
      <c r="H4671" s="1055"/>
      <c r="I4671" s="1055"/>
      <c r="J4671" s="1055"/>
      <c r="K4671" s="1205"/>
      <c r="L4671" s="1055"/>
      <c r="M4671" s="1205"/>
      <c r="N4671" s="1054"/>
      <c r="O4671" s="1207"/>
      <c r="Q4671" s="1207"/>
    </row>
    <row r="4672" spans="3:17" s="700" customFormat="1" ht="70.5" hidden="1" customHeight="1">
      <c r="C4672" s="701"/>
      <c r="D4672" s="811"/>
      <c r="E4672" s="1276">
        <f>[11]building!Y5003</f>
        <v>0</v>
      </c>
      <c r="F4672" s="748">
        <f t="shared" ref="F4672:F4735" si="312">E4672*C4672</f>
        <v>0</v>
      </c>
      <c r="G4672" s="1205"/>
      <c r="H4672" s="1055"/>
      <c r="I4672" s="1055"/>
      <c r="J4672" s="1055"/>
      <c r="K4672" s="1205"/>
      <c r="L4672" s="1055"/>
      <c r="M4672" s="1205"/>
      <c r="N4672" s="1054"/>
      <c r="O4672" s="1207"/>
      <c r="Q4672" s="1207"/>
    </row>
    <row r="4673" spans="3:17" s="700" customFormat="1" ht="70.5" hidden="1" customHeight="1">
      <c r="C4673" s="701"/>
      <c r="D4673" s="811"/>
      <c r="E4673" s="1276">
        <f>[11]building!Y5004</f>
        <v>0</v>
      </c>
      <c r="F4673" s="748">
        <f t="shared" si="312"/>
        <v>0</v>
      </c>
      <c r="G4673" s="1205"/>
      <c r="H4673" s="1055"/>
      <c r="I4673" s="1055"/>
      <c r="J4673" s="1055"/>
      <c r="K4673" s="1205"/>
      <c r="L4673" s="1055"/>
      <c r="M4673" s="1205"/>
      <c r="N4673" s="1054"/>
      <c r="O4673" s="1207"/>
      <c r="Q4673" s="1207"/>
    </row>
    <row r="4674" spans="3:17" s="700" customFormat="1" ht="70.5" hidden="1" customHeight="1">
      <c r="C4674" s="701"/>
      <c r="D4674" s="811"/>
      <c r="E4674" s="1276">
        <f>[11]building!Y5005</f>
        <v>0</v>
      </c>
      <c r="F4674" s="748">
        <f t="shared" si="312"/>
        <v>0</v>
      </c>
      <c r="G4674" s="1205"/>
      <c r="H4674" s="1055"/>
      <c r="I4674" s="1055"/>
      <c r="J4674" s="1055"/>
      <c r="K4674" s="1205"/>
      <c r="L4674" s="1055"/>
      <c r="M4674" s="1205"/>
      <c r="N4674" s="1054"/>
      <c r="O4674" s="1207"/>
      <c r="Q4674" s="1207"/>
    </row>
    <row r="4675" spans="3:17" s="700" customFormat="1" ht="70.5" hidden="1" customHeight="1">
      <c r="C4675" s="701"/>
      <c r="D4675" s="811"/>
      <c r="E4675" s="1276">
        <f>[11]building!Y5006</f>
        <v>0</v>
      </c>
      <c r="F4675" s="748">
        <f t="shared" si="312"/>
        <v>0</v>
      </c>
      <c r="G4675" s="1205"/>
      <c r="H4675" s="1055"/>
      <c r="I4675" s="1055"/>
      <c r="J4675" s="1055"/>
      <c r="K4675" s="1205"/>
      <c r="L4675" s="1055"/>
      <c r="M4675" s="1205"/>
      <c r="N4675" s="1054"/>
      <c r="O4675" s="1207"/>
      <c r="Q4675" s="1207"/>
    </row>
    <row r="4676" spans="3:17" s="700" customFormat="1" ht="70.5" hidden="1" customHeight="1">
      <c r="C4676" s="701"/>
      <c r="D4676" s="811"/>
      <c r="E4676" s="1276">
        <f>[11]building!Y5007</f>
        <v>0</v>
      </c>
      <c r="F4676" s="748">
        <f t="shared" si="312"/>
        <v>0</v>
      </c>
      <c r="G4676" s="1205"/>
      <c r="H4676" s="1055"/>
      <c r="I4676" s="1055"/>
      <c r="J4676" s="1055"/>
      <c r="K4676" s="1205"/>
      <c r="L4676" s="1055"/>
      <c r="M4676" s="1205"/>
      <c r="N4676" s="1054"/>
      <c r="O4676" s="1207"/>
      <c r="Q4676" s="1207"/>
    </row>
    <row r="4677" spans="3:17" s="700" customFormat="1" ht="70.5" hidden="1" customHeight="1">
      <c r="C4677" s="701"/>
      <c r="D4677" s="811"/>
      <c r="E4677" s="1276">
        <f>[11]building!Y5008</f>
        <v>0</v>
      </c>
      <c r="F4677" s="748">
        <f t="shared" si="312"/>
        <v>0</v>
      </c>
      <c r="G4677" s="1205"/>
      <c r="H4677" s="1055"/>
      <c r="I4677" s="1055"/>
      <c r="J4677" s="1055"/>
      <c r="K4677" s="1205"/>
      <c r="L4677" s="1055"/>
      <c r="M4677" s="1205"/>
      <c r="N4677" s="1054"/>
      <c r="O4677" s="1207"/>
      <c r="Q4677" s="1207"/>
    </row>
    <row r="4678" spans="3:17" s="700" customFormat="1" ht="70.5" hidden="1" customHeight="1">
      <c r="C4678" s="701"/>
      <c r="D4678" s="811"/>
      <c r="E4678" s="1276">
        <f>[11]building!Y5009</f>
        <v>0</v>
      </c>
      <c r="F4678" s="748">
        <f t="shared" si="312"/>
        <v>0</v>
      </c>
      <c r="G4678" s="1205"/>
      <c r="H4678" s="1055"/>
      <c r="I4678" s="1055"/>
      <c r="J4678" s="1055"/>
      <c r="K4678" s="1205"/>
      <c r="L4678" s="1055"/>
      <c r="M4678" s="1205"/>
      <c r="N4678" s="1054"/>
      <c r="O4678" s="1207"/>
      <c r="Q4678" s="1207"/>
    </row>
    <row r="4679" spans="3:17" s="700" customFormat="1" ht="70.5" hidden="1" customHeight="1">
      <c r="C4679" s="701"/>
      <c r="D4679" s="811"/>
      <c r="E4679" s="1276">
        <f>[11]building!Y5010</f>
        <v>0</v>
      </c>
      <c r="F4679" s="748">
        <f t="shared" si="312"/>
        <v>0</v>
      </c>
      <c r="G4679" s="1205"/>
      <c r="H4679" s="1055"/>
      <c r="I4679" s="1055"/>
      <c r="J4679" s="1055"/>
      <c r="K4679" s="1205"/>
      <c r="L4679" s="1055"/>
      <c r="M4679" s="1205"/>
      <c r="N4679" s="1054"/>
      <c r="O4679" s="1207"/>
      <c r="Q4679" s="1207"/>
    </row>
    <row r="4680" spans="3:17" s="700" customFormat="1" ht="70.5" hidden="1" customHeight="1">
      <c r="C4680" s="701"/>
      <c r="D4680" s="811"/>
      <c r="E4680" s="1276">
        <f>[11]building!Y5011</f>
        <v>0</v>
      </c>
      <c r="F4680" s="748">
        <f t="shared" si="312"/>
        <v>0</v>
      </c>
      <c r="G4680" s="1205"/>
      <c r="H4680" s="1055"/>
      <c r="I4680" s="1055"/>
      <c r="J4680" s="1055"/>
      <c r="K4680" s="1205"/>
      <c r="L4680" s="1055"/>
      <c r="M4680" s="1205"/>
      <c r="N4680" s="1054"/>
      <c r="O4680" s="1207"/>
      <c r="Q4680" s="1207"/>
    </row>
    <row r="4681" spans="3:17" s="700" customFormat="1" ht="70.5" hidden="1" customHeight="1">
      <c r="C4681" s="701"/>
      <c r="D4681" s="811"/>
      <c r="E4681" s="1276">
        <f>[11]building!Y5012</f>
        <v>0</v>
      </c>
      <c r="F4681" s="748">
        <f t="shared" si="312"/>
        <v>0</v>
      </c>
      <c r="G4681" s="1205"/>
      <c r="H4681" s="1055"/>
      <c r="I4681" s="1055"/>
      <c r="J4681" s="1055"/>
      <c r="K4681" s="1205"/>
      <c r="L4681" s="1055"/>
      <c r="M4681" s="1205"/>
      <c r="N4681" s="1054"/>
      <c r="O4681" s="1207"/>
      <c r="Q4681" s="1207"/>
    </row>
    <row r="4682" spans="3:17" s="700" customFormat="1" ht="70.5" hidden="1" customHeight="1">
      <c r="C4682" s="701"/>
      <c r="D4682" s="811"/>
      <c r="E4682" s="1276">
        <f>[11]building!Y5013</f>
        <v>0</v>
      </c>
      <c r="F4682" s="748">
        <f t="shared" si="312"/>
        <v>0</v>
      </c>
      <c r="G4682" s="1205"/>
      <c r="H4682" s="1055"/>
      <c r="I4682" s="1055"/>
      <c r="J4682" s="1055"/>
      <c r="K4682" s="1205"/>
      <c r="L4682" s="1055"/>
      <c r="M4682" s="1205"/>
      <c r="N4682" s="1054"/>
      <c r="O4682" s="1207"/>
      <c r="Q4682" s="1207"/>
    </row>
    <row r="4683" spans="3:17" s="700" customFormat="1" ht="70.5" hidden="1" customHeight="1">
      <c r="C4683" s="701"/>
      <c r="D4683" s="811"/>
      <c r="E4683" s="1276">
        <f>[11]building!Y5014</f>
        <v>0</v>
      </c>
      <c r="F4683" s="748">
        <f t="shared" si="312"/>
        <v>0</v>
      </c>
      <c r="G4683" s="1205"/>
      <c r="H4683" s="1055"/>
      <c r="I4683" s="1055"/>
      <c r="J4683" s="1055"/>
      <c r="K4683" s="1205"/>
      <c r="L4683" s="1055"/>
      <c r="M4683" s="1205"/>
      <c r="N4683" s="1054"/>
      <c r="O4683" s="1207"/>
      <c r="Q4683" s="1207"/>
    </row>
    <row r="4684" spans="3:17" s="700" customFormat="1" ht="70.5" hidden="1" customHeight="1">
      <c r="C4684" s="701"/>
      <c r="D4684" s="811"/>
      <c r="E4684" s="1276">
        <f>[11]building!Y5015</f>
        <v>0</v>
      </c>
      <c r="F4684" s="748">
        <f t="shared" si="312"/>
        <v>0</v>
      </c>
      <c r="G4684" s="1205"/>
      <c r="H4684" s="1055"/>
      <c r="I4684" s="1055"/>
      <c r="J4684" s="1055"/>
      <c r="K4684" s="1205"/>
      <c r="L4684" s="1055"/>
      <c r="M4684" s="1205"/>
      <c r="N4684" s="1054"/>
      <c r="O4684" s="1207"/>
      <c r="Q4684" s="1207"/>
    </row>
    <row r="4685" spans="3:17" s="700" customFormat="1" ht="70.5" hidden="1" customHeight="1">
      <c r="C4685" s="701"/>
      <c r="D4685" s="811"/>
      <c r="E4685" s="1276">
        <f>[11]building!Y5016</f>
        <v>0</v>
      </c>
      <c r="F4685" s="748">
        <f t="shared" si="312"/>
        <v>0</v>
      </c>
      <c r="G4685" s="1205"/>
      <c r="H4685" s="1055"/>
      <c r="I4685" s="1055"/>
      <c r="J4685" s="1055"/>
      <c r="K4685" s="1205"/>
      <c r="L4685" s="1055"/>
      <c r="M4685" s="1205"/>
      <c r="N4685" s="1054"/>
      <c r="O4685" s="1207"/>
      <c r="Q4685" s="1207"/>
    </row>
    <row r="4686" spans="3:17" s="700" customFormat="1" ht="70.5" hidden="1" customHeight="1">
      <c r="C4686" s="701"/>
      <c r="D4686" s="811"/>
      <c r="E4686" s="1276">
        <f>[11]building!Y5017</f>
        <v>0</v>
      </c>
      <c r="F4686" s="748">
        <f t="shared" si="312"/>
        <v>0</v>
      </c>
      <c r="G4686" s="1205"/>
      <c r="H4686" s="1055"/>
      <c r="I4686" s="1055"/>
      <c r="J4686" s="1055"/>
      <c r="K4686" s="1205"/>
      <c r="L4686" s="1055"/>
      <c r="M4686" s="1205"/>
      <c r="N4686" s="1054"/>
      <c r="O4686" s="1207"/>
      <c r="Q4686" s="1207"/>
    </row>
    <row r="4687" spans="3:17" s="700" customFormat="1" ht="70.5" hidden="1" customHeight="1">
      <c r="C4687" s="701"/>
      <c r="D4687" s="811"/>
      <c r="E4687" s="1276">
        <f>[11]building!Y5018</f>
        <v>0</v>
      </c>
      <c r="F4687" s="748">
        <f t="shared" si="312"/>
        <v>0</v>
      </c>
      <c r="G4687" s="1205"/>
      <c r="H4687" s="1055"/>
      <c r="I4687" s="1055"/>
      <c r="J4687" s="1055"/>
      <c r="K4687" s="1205"/>
      <c r="L4687" s="1055"/>
      <c r="M4687" s="1205"/>
      <c r="N4687" s="1054"/>
      <c r="O4687" s="1207"/>
      <c r="Q4687" s="1207"/>
    </row>
    <row r="4688" spans="3:17" s="700" customFormat="1" ht="70.5" hidden="1" customHeight="1">
      <c r="C4688" s="701"/>
      <c r="D4688" s="811"/>
      <c r="E4688" s="1276">
        <f>[11]building!Y5019</f>
        <v>0</v>
      </c>
      <c r="F4688" s="748">
        <f t="shared" si="312"/>
        <v>0</v>
      </c>
      <c r="G4688" s="1205"/>
      <c r="H4688" s="1055"/>
      <c r="I4688" s="1055"/>
      <c r="J4688" s="1055"/>
      <c r="K4688" s="1205"/>
      <c r="L4688" s="1055"/>
      <c r="M4688" s="1205"/>
      <c r="N4688" s="1054"/>
      <c r="O4688" s="1207"/>
      <c r="Q4688" s="1207"/>
    </row>
    <row r="4689" spans="3:17" s="700" customFormat="1" ht="70.5" hidden="1" customHeight="1">
      <c r="C4689" s="701"/>
      <c r="D4689" s="811"/>
      <c r="E4689" s="1276">
        <f>[11]building!Y5020</f>
        <v>0</v>
      </c>
      <c r="F4689" s="748">
        <f t="shared" si="312"/>
        <v>0</v>
      </c>
      <c r="G4689" s="1205"/>
      <c r="H4689" s="1055"/>
      <c r="I4689" s="1055"/>
      <c r="J4689" s="1055"/>
      <c r="K4689" s="1205"/>
      <c r="L4689" s="1055"/>
      <c r="M4689" s="1205"/>
      <c r="N4689" s="1054"/>
      <c r="O4689" s="1207"/>
      <c r="Q4689" s="1207"/>
    </row>
    <row r="4690" spans="3:17" s="700" customFormat="1" ht="70.5" hidden="1" customHeight="1">
      <c r="C4690" s="701"/>
      <c r="D4690" s="811"/>
      <c r="E4690" s="1276">
        <f>[11]building!Y5021</f>
        <v>0</v>
      </c>
      <c r="F4690" s="748">
        <f t="shared" si="312"/>
        <v>0</v>
      </c>
      <c r="G4690" s="1205"/>
      <c r="H4690" s="1055"/>
      <c r="I4690" s="1055"/>
      <c r="J4690" s="1055"/>
      <c r="K4690" s="1205"/>
      <c r="L4690" s="1055"/>
      <c r="M4690" s="1205"/>
      <c r="N4690" s="1054"/>
      <c r="O4690" s="1207"/>
      <c r="Q4690" s="1207"/>
    </row>
    <row r="4691" spans="3:17" s="700" customFormat="1" ht="70.5" hidden="1" customHeight="1">
      <c r="C4691" s="701"/>
      <c r="D4691" s="811"/>
      <c r="E4691" s="1276">
        <f>[11]building!Y5022</f>
        <v>0</v>
      </c>
      <c r="F4691" s="748">
        <f t="shared" si="312"/>
        <v>0</v>
      </c>
      <c r="G4691" s="1205"/>
      <c r="H4691" s="1055"/>
      <c r="I4691" s="1055"/>
      <c r="J4691" s="1055"/>
      <c r="K4691" s="1205"/>
      <c r="L4691" s="1055"/>
      <c r="M4691" s="1205"/>
      <c r="N4691" s="1054"/>
      <c r="O4691" s="1207"/>
      <c r="Q4691" s="1207"/>
    </row>
    <row r="4692" spans="3:17" s="700" customFormat="1" ht="70.5" hidden="1" customHeight="1">
      <c r="C4692" s="701"/>
      <c r="D4692" s="811"/>
      <c r="E4692" s="1276">
        <f>[11]building!Y5023</f>
        <v>0</v>
      </c>
      <c r="F4692" s="748">
        <f t="shared" si="312"/>
        <v>0</v>
      </c>
      <c r="G4692" s="1205"/>
      <c r="H4692" s="1055"/>
      <c r="I4692" s="1055"/>
      <c r="J4692" s="1055"/>
      <c r="K4692" s="1205"/>
      <c r="L4692" s="1055"/>
      <c r="M4692" s="1205"/>
      <c r="N4692" s="1054"/>
      <c r="O4692" s="1207"/>
      <c r="Q4692" s="1207"/>
    </row>
    <row r="4693" spans="3:17" s="700" customFormat="1" ht="70.5" hidden="1" customHeight="1">
      <c r="C4693" s="701"/>
      <c r="D4693" s="811"/>
      <c r="E4693" s="1276">
        <f>[11]building!Y5024</f>
        <v>0</v>
      </c>
      <c r="F4693" s="748">
        <f t="shared" si="312"/>
        <v>0</v>
      </c>
      <c r="G4693" s="1205"/>
      <c r="H4693" s="1055"/>
      <c r="I4693" s="1055"/>
      <c r="J4693" s="1055"/>
      <c r="K4693" s="1205"/>
      <c r="L4693" s="1055"/>
      <c r="M4693" s="1205"/>
      <c r="N4693" s="1054"/>
      <c r="O4693" s="1207"/>
      <c r="Q4693" s="1207"/>
    </row>
    <row r="4694" spans="3:17" s="700" customFormat="1" ht="70.5" hidden="1" customHeight="1">
      <c r="C4694" s="701"/>
      <c r="D4694" s="811"/>
      <c r="E4694" s="1276">
        <f>[11]building!Y5025</f>
        <v>0</v>
      </c>
      <c r="F4694" s="748">
        <f t="shared" si="312"/>
        <v>0</v>
      </c>
      <c r="G4694" s="1205"/>
      <c r="H4694" s="1055"/>
      <c r="I4694" s="1055"/>
      <c r="J4694" s="1055"/>
      <c r="K4694" s="1205"/>
      <c r="L4694" s="1055"/>
      <c r="M4694" s="1205"/>
      <c r="N4694" s="1054"/>
      <c r="O4694" s="1207"/>
      <c r="Q4694" s="1207"/>
    </row>
    <row r="4695" spans="3:17" s="700" customFormat="1" ht="70.5" hidden="1" customHeight="1">
      <c r="C4695" s="701"/>
      <c r="D4695" s="811"/>
      <c r="E4695" s="1276">
        <f>[11]building!Y5026</f>
        <v>0</v>
      </c>
      <c r="F4695" s="748">
        <f t="shared" si="312"/>
        <v>0</v>
      </c>
      <c r="G4695" s="1205"/>
      <c r="H4695" s="1055"/>
      <c r="I4695" s="1055"/>
      <c r="J4695" s="1055"/>
      <c r="K4695" s="1205"/>
      <c r="L4695" s="1055"/>
      <c r="M4695" s="1205"/>
      <c r="N4695" s="1054"/>
      <c r="O4695" s="1207"/>
      <c r="Q4695" s="1207"/>
    </row>
    <row r="4696" spans="3:17" s="700" customFormat="1" ht="70.5" hidden="1" customHeight="1">
      <c r="C4696" s="701"/>
      <c r="D4696" s="811"/>
      <c r="E4696" s="1276">
        <f>[11]building!Y5027</f>
        <v>0</v>
      </c>
      <c r="F4696" s="748">
        <f t="shared" si="312"/>
        <v>0</v>
      </c>
      <c r="G4696" s="1205"/>
      <c r="H4696" s="1055"/>
      <c r="I4696" s="1055"/>
      <c r="J4696" s="1055"/>
      <c r="K4696" s="1205"/>
      <c r="L4696" s="1055"/>
      <c r="M4696" s="1205"/>
      <c r="N4696" s="1054"/>
      <c r="O4696" s="1207"/>
      <c r="Q4696" s="1207"/>
    </row>
    <row r="4697" spans="3:17" s="700" customFormat="1" ht="70.5" hidden="1" customHeight="1">
      <c r="C4697" s="701"/>
      <c r="D4697" s="811"/>
      <c r="E4697" s="1276">
        <f>[11]building!Y5028</f>
        <v>0</v>
      </c>
      <c r="F4697" s="748">
        <f t="shared" si="312"/>
        <v>0</v>
      </c>
      <c r="G4697" s="1205"/>
      <c r="H4697" s="1055"/>
      <c r="I4697" s="1055"/>
      <c r="J4697" s="1055"/>
      <c r="K4697" s="1205"/>
      <c r="L4697" s="1055"/>
      <c r="M4697" s="1205"/>
      <c r="N4697" s="1054"/>
      <c r="O4697" s="1207"/>
      <c r="Q4697" s="1207"/>
    </row>
    <row r="4698" spans="3:17" s="700" customFormat="1" ht="70.5" hidden="1" customHeight="1">
      <c r="C4698" s="701"/>
      <c r="D4698" s="811"/>
      <c r="E4698" s="1276">
        <f>[11]building!Y5029</f>
        <v>0</v>
      </c>
      <c r="F4698" s="748">
        <f t="shared" si="312"/>
        <v>0</v>
      </c>
      <c r="G4698" s="1205"/>
      <c r="H4698" s="1055"/>
      <c r="I4698" s="1055"/>
      <c r="J4698" s="1055"/>
      <c r="K4698" s="1205"/>
      <c r="L4698" s="1055"/>
      <c r="M4698" s="1205"/>
      <c r="N4698" s="1054"/>
      <c r="O4698" s="1207"/>
      <c r="Q4698" s="1207"/>
    </row>
    <row r="4699" spans="3:17" s="700" customFormat="1" ht="70.5" hidden="1" customHeight="1">
      <c r="C4699" s="701"/>
      <c r="D4699" s="811"/>
      <c r="E4699" s="1276">
        <f>[11]building!Y5030</f>
        <v>0</v>
      </c>
      <c r="F4699" s="748">
        <f t="shared" si="312"/>
        <v>0</v>
      </c>
      <c r="G4699" s="1205"/>
      <c r="H4699" s="1055"/>
      <c r="I4699" s="1055"/>
      <c r="J4699" s="1055"/>
      <c r="K4699" s="1205"/>
      <c r="L4699" s="1055"/>
      <c r="M4699" s="1205"/>
      <c r="N4699" s="1054"/>
      <c r="O4699" s="1207"/>
      <c r="Q4699" s="1207"/>
    </row>
    <row r="4700" spans="3:17" s="700" customFormat="1" ht="70.5" hidden="1" customHeight="1">
      <c r="C4700" s="701"/>
      <c r="D4700" s="811"/>
      <c r="E4700" s="1276">
        <f>[11]building!Y5031</f>
        <v>0</v>
      </c>
      <c r="F4700" s="748">
        <f t="shared" si="312"/>
        <v>0</v>
      </c>
      <c r="G4700" s="1205"/>
      <c r="H4700" s="1055"/>
      <c r="I4700" s="1055"/>
      <c r="J4700" s="1055"/>
      <c r="K4700" s="1205"/>
      <c r="L4700" s="1055"/>
      <c r="M4700" s="1205"/>
      <c r="N4700" s="1054"/>
      <c r="O4700" s="1207"/>
      <c r="Q4700" s="1207"/>
    </row>
    <row r="4701" spans="3:17" s="700" customFormat="1" ht="70.5" hidden="1" customHeight="1">
      <c r="C4701" s="701"/>
      <c r="D4701" s="811"/>
      <c r="E4701" s="1276">
        <f>[11]building!Y5032</f>
        <v>0</v>
      </c>
      <c r="F4701" s="748">
        <f t="shared" si="312"/>
        <v>0</v>
      </c>
      <c r="G4701" s="1205"/>
      <c r="H4701" s="1055"/>
      <c r="I4701" s="1055"/>
      <c r="J4701" s="1055"/>
      <c r="K4701" s="1205"/>
      <c r="L4701" s="1055"/>
      <c r="M4701" s="1205"/>
      <c r="N4701" s="1054"/>
      <c r="O4701" s="1207"/>
      <c r="Q4701" s="1207"/>
    </row>
    <row r="4702" spans="3:17" s="700" customFormat="1" ht="70.5" hidden="1" customHeight="1">
      <c r="C4702" s="701"/>
      <c r="D4702" s="811"/>
      <c r="E4702" s="1276">
        <f>[11]building!Y5033</f>
        <v>0</v>
      </c>
      <c r="F4702" s="748">
        <f t="shared" si="312"/>
        <v>0</v>
      </c>
      <c r="G4702" s="1205"/>
      <c r="H4702" s="1055"/>
      <c r="I4702" s="1055"/>
      <c r="J4702" s="1055"/>
      <c r="K4702" s="1205"/>
      <c r="L4702" s="1055"/>
      <c r="M4702" s="1205"/>
      <c r="N4702" s="1054"/>
      <c r="O4702" s="1207"/>
      <c r="Q4702" s="1207"/>
    </row>
    <row r="4703" spans="3:17" s="700" customFormat="1" ht="70.5" hidden="1" customHeight="1">
      <c r="C4703" s="701"/>
      <c r="D4703" s="811"/>
      <c r="E4703" s="1276">
        <f>[11]building!Y5034</f>
        <v>0</v>
      </c>
      <c r="F4703" s="748">
        <f t="shared" si="312"/>
        <v>0</v>
      </c>
      <c r="G4703" s="1205"/>
      <c r="H4703" s="1055"/>
      <c r="I4703" s="1055"/>
      <c r="J4703" s="1055"/>
      <c r="K4703" s="1205"/>
      <c r="L4703" s="1055"/>
      <c r="M4703" s="1205"/>
      <c r="N4703" s="1054"/>
      <c r="O4703" s="1207"/>
      <c r="Q4703" s="1207"/>
    </row>
    <row r="4704" spans="3:17" s="700" customFormat="1" ht="70.5" hidden="1" customHeight="1">
      <c r="C4704" s="701"/>
      <c r="D4704" s="811"/>
      <c r="E4704" s="1276">
        <f>[11]building!Y5035</f>
        <v>0</v>
      </c>
      <c r="F4704" s="748">
        <f t="shared" si="312"/>
        <v>0</v>
      </c>
      <c r="G4704" s="1205"/>
      <c r="H4704" s="1055"/>
      <c r="I4704" s="1055"/>
      <c r="J4704" s="1055"/>
      <c r="K4704" s="1205"/>
      <c r="L4704" s="1055"/>
      <c r="M4704" s="1205"/>
      <c r="N4704" s="1054"/>
      <c r="O4704" s="1207"/>
      <c r="Q4704" s="1207"/>
    </row>
    <row r="4705" spans="3:17" s="700" customFormat="1" ht="70.5" hidden="1" customHeight="1">
      <c r="C4705" s="701"/>
      <c r="D4705" s="811"/>
      <c r="E4705" s="1276">
        <f>[11]building!Y5036</f>
        <v>0</v>
      </c>
      <c r="F4705" s="748">
        <f t="shared" si="312"/>
        <v>0</v>
      </c>
      <c r="G4705" s="1205"/>
      <c r="H4705" s="1055"/>
      <c r="I4705" s="1055"/>
      <c r="J4705" s="1055"/>
      <c r="K4705" s="1205"/>
      <c r="L4705" s="1055"/>
      <c r="M4705" s="1205"/>
      <c r="N4705" s="1054"/>
      <c r="O4705" s="1207"/>
      <c r="Q4705" s="1207"/>
    </row>
    <row r="4706" spans="3:17" s="700" customFormat="1" ht="70.5" hidden="1" customHeight="1">
      <c r="C4706" s="701"/>
      <c r="D4706" s="811"/>
      <c r="E4706" s="1276">
        <f>[11]building!Y5037</f>
        <v>0</v>
      </c>
      <c r="F4706" s="748">
        <f t="shared" si="312"/>
        <v>0</v>
      </c>
      <c r="G4706" s="1205"/>
      <c r="H4706" s="1055"/>
      <c r="I4706" s="1055"/>
      <c r="J4706" s="1055"/>
      <c r="K4706" s="1205"/>
      <c r="L4706" s="1055"/>
      <c r="M4706" s="1205"/>
      <c r="N4706" s="1054"/>
      <c r="O4706" s="1207"/>
      <c r="Q4706" s="1207"/>
    </row>
    <row r="4707" spans="3:17" s="700" customFormat="1" ht="70.5" hidden="1" customHeight="1">
      <c r="C4707" s="701"/>
      <c r="D4707" s="811"/>
      <c r="E4707" s="1276">
        <f>[11]building!Y5038</f>
        <v>0</v>
      </c>
      <c r="F4707" s="748">
        <f t="shared" si="312"/>
        <v>0</v>
      </c>
      <c r="G4707" s="1205"/>
      <c r="H4707" s="1055"/>
      <c r="I4707" s="1055"/>
      <c r="J4707" s="1055"/>
      <c r="K4707" s="1205"/>
      <c r="L4707" s="1055"/>
      <c r="M4707" s="1205"/>
      <c r="N4707" s="1054"/>
      <c r="O4707" s="1207"/>
      <c r="Q4707" s="1207"/>
    </row>
    <row r="4708" spans="3:17" s="700" customFormat="1" ht="70.5" hidden="1" customHeight="1">
      <c r="C4708" s="701"/>
      <c r="D4708" s="811"/>
      <c r="E4708" s="1276">
        <f>[11]building!Y5039</f>
        <v>0</v>
      </c>
      <c r="F4708" s="748">
        <f t="shared" si="312"/>
        <v>0</v>
      </c>
      <c r="G4708" s="1205"/>
      <c r="H4708" s="1055"/>
      <c r="I4708" s="1055"/>
      <c r="J4708" s="1055"/>
      <c r="K4708" s="1205"/>
      <c r="L4708" s="1055"/>
      <c r="M4708" s="1205"/>
      <c r="N4708" s="1054"/>
      <c r="O4708" s="1207"/>
      <c r="Q4708" s="1207"/>
    </row>
    <row r="4709" spans="3:17" s="700" customFormat="1" ht="70.5" hidden="1" customHeight="1">
      <c r="C4709" s="701"/>
      <c r="D4709" s="811"/>
      <c r="E4709" s="1276">
        <f>[11]building!Y5040</f>
        <v>0</v>
      </c>
      <c r="F4709" s="748">
        <f t="shared" si="312"/>
        <v>0</v>
      </c>
      <c r="G4709" s="1205"/>
      <c r="H4709" s="1055"/>
      <c r="I4709" s="1055"/>
      <c r="J4709" s="1055"/>
      <c r="K4709" s="1205"/>
      <c r="L4709" s="1055"/>
      <c r="M4709" s="1205"/>
      <c r="N4709" s="1054"/>
      <c r="O4709" s="1207"/>
      <c r="Q4709" s="1207"/>
    </row>
    <row r="4710" spans="3:17" s="700" customFormat="1" ht="70.5" hidden="1" customHeight="1">
      <c r="C4710" s="701"/>
      <c r="D4710" s="811"/>
      <c r="E4710" s="1276">
        <f>[11]building!Y5041</f>
        <v>0</v>
      </c>
      <c r="F4710" s="748">
        <f t="shared" si="312"/>
        <v>0</v>
      </c>
      <c r="G4710" s="1205"/>
      <c r="H4710" s="1055"/>
      <c r="I4710" s="1055"/>
      <c r="J4710" s="1055"/>
      <c r="K4710" s="1205"/>
      <c r="L4710" s="1055"/>
      <c r="M4710" s="1205"/>
      <c r="N4710" s="1054"/>
      <c r="O4710" s="1207"/>
      <c r="Q4710" s="1207"/>
    </row>
    <row r="4711" spans="3:17" s="700" customFormat="1" ht="70.5" hidden="1" customHeight="1">
      <c r="C4711" s="701"/>
      <c r="D4711" s="811"/>
      <c r="E4711" s="1276">
        <f>[11]building!Y5042</f>
        <v>0</v>
      </c>
      <c r="F4711" s="748">
        <f t="shared" si="312"/>
        <v>0</v>
      </c>
      <c r="G4711" s="1205"/>
      <c r="H4711" s="1055"/>
      <c r="I4711" s="1055"/>
      <c r="J4711" s="1055"/>
      <c r="K4711" s="1205"/>
      <c r="L4711" s="1055"/>
      <c r="M4711" s="1205"/>
      <c r="N4711" s="1054"/>
      <c r="O4711" s="1207"/>
      <c r="Q4711" s="1207"/>
    </row>
    <row r="4712" spans="3:17" s="700" customFormat="1" ht="70.5" hidden="1" customHeight="1">
      <c r="C4712" s="701"/>
      <c r="D4712" s="811"/>
      <c r="E4712" s="1276">
        <f>[11]building!Y5043</f>
        <v>0</v>
      </c>
      <c r="F4712" s="748">
        <f t="shared" si="312"/>
        <v>0</v>
      </c>
      <c r="G4712" s="1205"/>
      <c r="H4712" s="1055"/>
      <c r="I4712" s="1055"/>
      <c r="J4712" s="1055"/>
      <c r="K4712" s="1205"/>
      <c r="L4712" s="1055"/>
      <c r="M4712" s="1205"/>
      <c r="N4712" s="1054"/>
      <c r="O4712" s="1207"/>
      <c r="Q4712" s="1207"/>
    </row>
    <row r="4713" spans="3:17" s="700" customFormat="1" ht="70.5" hidden="1" customHeight="1">
      <c r="C4713" s="701"/>
      <c r="D4713" s="811"/>
      <c r="E4713" s="1276">
        <f>[11]building!Y5044</f>
        <v>0</v>
      </c>
      <c r="F4713" s="748">
        <f t="shared" si="312"/>
        <v>0</v>
      </c>
      <c r="G4713" s="1205"/>
      <c r="H4713" s="1055"/>
      <c r="I4713" s="1055"/>
      <c r="J4713" s="1055"/>
      <c r="K4713" s="1205"/>
      <c r="L4713" s="1055"/>
      <c r="M4713" s="1205"/>
      <c r="N4713" s="1054"/>
      <c r="O4713" s="1207"/>
      <c r="Q4713" s="1207"/>
    </row>
    <row r="4714" spans="3:17" s="700" customFormat="1" ht="70.5" hidden="1" customHeight="1">
      <c r="C4714" s="701"/>
      <c r="D4714" s="811"/>
      <c r="E4714" s="1276">
        <f>[11]building!Y5045</f>
        <v>0</v>
      </c>
      <c r="F4714" s="748">
        <f t="shared" si="312"/>
        <v>0</v>
      </c>
      <c r="G4714" s="1205"/>
      <c r="H4714" s="1055"/>
      <c r="I4714" s="1055"/>
      <c r="J4714" s="1055"/>
      <c r="K4714" s="1205"/>
      <c r="L4714" s="1055"/>
      <c r="M4714" s="1205"/>
      <c r="N4714" s="1054"/>
      <c r="O4714" s="1207"/>
      <c r="Q4714" s="1207"/>
    </row>
    <row r="4715" spans="3:17" s="700" customFormat="1" ht="70.5" hidden="1" customHeight="1">
      <c r="C4715" s="701"/>
      <c r="D4715" s="811"/>
      <c r="E4715" s="1276">
        <f>[11]building!Y5046</f>
        <v>0</v>
      </c>
      <c r="F4715" s="748">
        <f t="shared" si="312"/>
        <v>0</v>
      </c>
      <c r="G4715" s="1205"/>
      <c r="H4715" s="1055"/>
      <c r="I4715" s="1055"/>
      <c r="J4715" s="1055"/>
      <c r="K4715" s="1205"/>
      <c r="L4715" s="1055"/>
      <c r="M4715" s="1205"/>
      <c r="N4715" s="1054"/>
      <c r="O4715" s="1207"/>
      <c r="Q4715" s="1207"/>
    </row>
    <row r="4716" spans="3:17" s="700" customFormat="1" ht="70.5" hidden="1" customHeight="1">
      <c r="C4716" s="701"/>
      <c r="D4716" s="811"/>
      <c r="E4716" s="1276">
        <f>[11]building!Y5047</f>
        <v>0</v>
      </c>
      <c r="F4716" s="748">
        <f t="shared" si="312"/>
        <v>0</v>
      </c>
      <c r="G4716" s="1205"/>
      <c r="H4716" s="1055"/>
      <c r="I4716" s="1055"/>
      <c r="J4716" s="1055"/>
      <c r="K4716" s="1205"/>
      <c r="L4716" s="1055"/>
      <c r="M4716" s="1205"/>
      <c r="N4716" s="1054"/>
      <c r="O4716" s="1207"/>
      <c r="Q4716" s="1207"/>
    </row>
    <row r="4717" spans="3:17" s="700" customFormat="1" ht="70.5" hidden="1" customHeight="1">
      <c r="C4717" s="701"/>
      <c r="D4717" s="811"/>
      <c r="E4717" s="1276">
        <f>[11]building!Y5048</f>
        <v>0</v>
      </c>
      <c r="F4717" s="748">
        <f t="shared" si="312"/>
        <v>0</v>
      </c>
      <c r="G4717" s="1205"/>
      <c r="H4717" s="1055"/>
      <c r="I4717" s="1055"/>
      <c r="J4717" s="1055"/>
      <c r="K4717" s="1205"/>
      <c r="L4717" s="1055"/>
      <c r="M4717" s="1205"/>
      <c r="N4717" s="1054"/>
      <c r="O4717" s="1207"/>
      <c r="Q4717" s="1207"/>
    </row>
    <row r="4718" spans="3:17" s="700" customFormat="1" ht="70.5" hidden="1" customHeight="1">
      <c r="C4718" s="701"/>
      <c r="D4718" s="811"/>
      <c r="E4718" s="1276">
        <f>[11]building!Y5049</f>
        <v>0</v>
      </c>
      <c r="F4718" s="748">
        <f t="shared" si="312"/>
        <v>0</v>
      </c>
      <c r="G4718" s="1205"/>
      <c r="H4718" s="1055"/>
      <c r="I4718" s="1055"/>
      <c r="J4718" s="1055"/>
      <c r="K4718" s="1205"/>
      <c r="L4718" s="1055"/>
      <c r="M4718" s="1205"/>
      <c r="N4718" s="1054"/>
      <c r="O4718" s="1207"/>
      <c r="Q4718" s="1207"/>
    </row>
    <row r="4719" spans="3:17" s="700" customFormat="1" ht="70.5" hidden="1" customHeight="1">
      <c r="C4719" s="701"/>
      <c r="D4719" s="811"/>
      <c r="E4719" s="1276">
        <f>[11]building!Y5050</f>
        <v>0</v>
      </c>
      <c r="F4719" s="748">
        <f t="shared" si="312"/>
        <v>0</v>
      </c>
      <c r="G4719" s="1205"/>
      <c r="H4719" s="1055"/>
      <c r="I4719" s="1055"/>
      <c r="J4719" s="1055"/>
      <c r="K4719" s="1205"/>
      <c r="L4719" s="1055"/>
      <c r="M4719" s="1205"/>
      <c r="N4719" s="1054"/>
      <c r="O4719" s="1207"/>
      <c r="Q4719" s="1207"/>
    </row>
    <row r="4720" spans="3:17" s="700" customFormat="1" ht="70.5" hidden="1" customHeight="1">
      <c r="C4720" s="701"/>
      <c r="D4720" s="811"/>
      <c r="E4720" s="1276">
        <f>[11]building!Y5051</f>
        <v>0</v>
      </c>
      <c r="F4720" s="748">
        <f t="shared" si="312"/>
        <v>0</v>
      </c>
      <c r="G4720" s="1205"/>
      <c r="H4720" s="1055"/>
      <c r="I4720" s="1055"/>
      <c r="J4720" s="1055"/>
      <c r="K4720" s="1205"/>
      <c r="L4720" s="1055"/>
      <c r="M4720" s="1205"/>
      <c r="N4720" s="1054"/>
      <c r="O4720" s="1207"/>
      <c r="Q4720" s="1207"/>
    </row>
    <row r="4721" spans="3:17" s="700" customFormat="1" ht="70.5" hidden="1" customHeight="1">
      <c r="C4721" s="701"/>
      <c r="D4721" s="811"/>
      <c r="E4721" s="1276">
        <f>[11]building!Y5052</f>
        <v>0</v>
      </c>
      <c r="F4721" s="748">
        <f t="shared" si="312"/>
        <v>0</v>
      </c>
      <c r="G4721" s="1205"/>
      <c r="H4721" s="1055"/>
      <c r="I4721" s="1055"/>
      <c r="J4721" s="1055"/>
      <c r="K4721" s="1205"/>
      <c r="L4721" s="1055"/>
      <c r="M4721" s="1205"/>
      <c r="N4721" s="1054"/>
      <c r="O4721" s="1207"/>
      <c r="Q4721" s="1207"/>
    </row>
    <row r="4722" spans="3:17" s="700" customFormat="1" ht="70.5" hidden="1" customHeight="1">
      <c r="C4722" s="701"/>
      <c r="D4722" s="811"/>
      <c r="E4722" s="1276">
        <f>[11]building!Y5053</f>
        <v>0</v>
      </c>
      <c r="F4722" s="748">
        <f t="shared" si="312"/>
        <v>0</v>
      </c>
      <c r="G4722" s="1205"/>
      <c r="H4722" s="1055"/>
      <c r="I4722" s="1055"/>
      <c r="J4722" s="1055"/>
      <c r="K4722" s="1205"/>
      <c r="L4722" s="1055"/>
      <c r="M4722" s="1205"/>
      <c r="N4722" s="1054"/>
      <c r="O4722" s="1207"/>
      <c r="Q4722" s="1207"/>
    </row>
    <row r="4723" spans="3:17" s="700" customFormat="1" ht="70.5" hidden="1" customHeight="1">
      <c r="C4723" s="701"/>
      <c r="D4723" s="811"/>
      <c r="E4723" s="1276">
        <f>[11]building!Y5054</f>
        <v>0</v>
      </c>
      <c r="F4723" s="748">
        <f t="shared" si="312"/>
        <v>0</v>
      </c>
      <c r="G4723" s="1205"/>
      <c r="H4723" s="1055"/>
      <c r="I4723" s="1055"/>
      <c r="J4723" s="1055"/>
      <c r="K4723" s="1205"/>
      <c r="L4723" s="1055"/>
      <c r="M4723" s="1205"/>
      <c r="N4723" s="1054"/>
      <c r="O4723" s="1207"/>
      <c r="Q4723" s="1207"/>
    </row>
    <row r="4724" spans="3:17" s="700" customFormat="1" ht="70.5" hidden="1" customHeight="1">
      <c r="C4724" s="701"/>
      <c r="D4724" s="811"/>
      <c r="E4724" s="1276">
        <f>[11]building!Y5055</f>
        <v>0</v>
      </c>
      <c r="F4724" s="748">
        <f t="shared" si="312"/>
        <v>0</v>
      </c>
      <c r="G4724" s="1205"/>
      <c r="H4724" s="1055"/>
      <c r="I4724" s="1055"/>
      <c r="J4724" s="1055"/>
      <c r="K4724" s="1205"/>
      <c r="L4724" s="1055"/>
      <c r="M4724" s="1205"/>
      <c r="N4724" s="1054"/>
      <c r="O4724" s="1207"/>
      <c r="Q4724" s="1207"/>
    </row>
    <row r="4725" spans="3:17" s="700" customFormat="1" ht="70.5" hidden="1" customHeight="1">
      <c r="C4725" s="701"/>
      <c r="D4725" s="811"/>
      <c r="E4725" s="1276">
        <f>[11]building!Y5056</f>
        <v>0</v>
      </c>
      <c r="F4725" s="748">
        <f t="shared" si="312"/>
        <v>0</v>
      </c>
      <c r="G4725" s="1205"/>
      <c r="H4725" s="1055"/>
      <c r="I4725" s="1055"/>
      <c r="J4725" s="1055"/>
      <c r="K4725" s="1205"/>
      <c r="L4725" s="1055"/>
      <c r="M4725" s="1205"/>
      <c r="N4725" s="1054"/>
      <c r="O4725" s="1207"/>
      <c r="Q4725" s="1207"/>
    </row>
    <row r="4726" spans="3:17" s="700" customFormat="1" ht="70.5" hidden="1" customHeight="1">
      <c r="C4726" s="701"/>
      <c r="D4726" s="811"/>
      <c r="E4726" s="1276">
        <f>[11]building!Y5057</f>
        <v>0</v>
      </c>
      <c r="F4726" s="748">
        <f t="shared" si="312"/>
        <v>0</v>
      </c>
      <c r="G4726" s="1205"/>
      <c r="H4726" s="1055"/>
      <c r="I4726" s="1055"/>
      <c r="J4726" s="1055"/>
      <c r="K4726" s="1205"/>
      <c r="L4726" s="1055"/>
      <c r="M4726" s="1205"/>
      <c r="N4726" s="1054"/>
      <c r="O4726" s="1207"/>
      <c r="Q4726" s="1207"/>
    </row>
    <row r="4727" spans="3:17" s="700" customFormat="1" ht="70.5" hidden="1" customHeight="1">
      <c r="C4727" s="701"/>
      <c r="D4727" s="811"/>
      <c r="E4727" s="1276">
        <f>[11]building!Y5058</f>
        <v>0</v>
      </c>
      <c r="F4727" s="748">
        <f t="shared" si="312"/>
        <v>0</v>
      </c>
      <c r="G4727" s="1205"/>
      <c r="H4727" s="1055"/>
      <c r="I4727" s="1055"/>
      <c r="J4727" s="1055"/>
      <c r="K4727" s="1205"/>
      <c r="L4727" s="1055"/>
      <c r="M4727" s="1205"/>
      <c r="N4727" s="1054"/>
      <c r="O4727" s="1207"/>
      <c r="Q4727" s="1207"/>
    </row>
    <row r="4728" spans="3:17" s="700" customFormat="1" ht="70.5" hidden="1" customHeight="1">
      <c r="C4728" s="701"/>
      <c r="D4728" s="811"/>
      <c r="E4728" s="1276">
        <f>[11]building!Y5059</f>
        <v>0</v>
      </c>
      <c r="F4728" s="748">
        <f t="shared" si="312"/>
        <v>0</v>
      </c>
      <c r="G4728" s="1205"/>
      <c r="H4728" s="1055"/>
      <c r="I4728" s="1055"/>
      <c r="J4728" s="1055"/>
      <c r="K4728" s="1205"/>
      <c r="L4728" s="1055"/>
      <c r="M4728" s="1205"/>
      <c r="N4728" s="1054"/>
      <c r="O4728" s="1207"/>
      <c r="Q4728" s="1207"/>
    </row>
    <row r="4729" spans="3:17" s="700" customFormat="1" ht="70.5" hidden="1" customHeight="1">
      <c r="C4729" s="701"/>
      <c r="D4729" s="811"/>
      <c r="E4729" s="1276">
        <f>[11]building!Y5060</f>
        <v>0</v>
      </c>
      <c r="F4729" s="748">
        <f t="shared" si="312"/>
        <v>0</v>
      </c>
      <c r="G4729" s="1205"/>
      <c r="H4729" s="1055"/>
      <c r="I4729" s="1055"/>
      <c r="J4729" s="1055"/>
      <c r="K4729" s="1205"/>
      <c r="L4729" s="1055"/>
      <c r="M4729" s="1205"/>
      <c r="N4729" s="1054"/>
      <c r="O4729" s="1207"/>
      <c r="Q4729" s="1207"/>
    </row>
    <row r="4730" spans="3:17" s="700" customFormat="1" ht="70.5" hidden="1" customHeight="1">
      <c r="C4730" s="701"/>
      <c r="D4730" s="811"/>
      <c r="E4730" s="1276">
        <f>[11]building!Y5061</f>
        <v>0</v>
      </c>
      <c r="F4730" s="748">
        <f t="shared" si="312"/>
        <v>0</v>
      </c>
      <c r="G4730" s="1205"/>
      <c r="H4730" s="1055"/>
      <c r="I4730" s="1055"/>
      <c r="J4730" s="1055"/>
      <c r="K4730" s="1205"/>
      <c r="L4730" s="1055"/>
      <c r="M4730" s="1205"/>
      <c r="N4730" s="1054"/>
      <c r="O4730" s="1207"/>
      <c r="Q4730" s="1207"/>
    </row>
    <row r="4731" spans="3:17" s="700" customFormat="1" ht="70.5" hidden="1" customHeight="1">
      <c r="C4731" s="701"/>
      <c r="D4731" s="811"/>
      <c r="E4731" s="1276">
        <f>[11]building!Y5062</f>
        <v>0</v>
      </c>
      <c r="F4731" s="748">
        <f t="shared" si="312"/>
        <v>0</v>
      </c>
      <c r="G4731" s="1205"/>
      <c r="H4731" s="1055"/>
      <c r="I4731" s="1055"/>
      <c r="J4731" s="1055"/>
      <c r="K4731" s="1205"/>
      <c r="L4731" s="1055"/>
      <c r="M4731" s="1205"/>
      <c r="N4731" s="1054"/>
      <c r="O4731" s="1207"/>
      <c r="Q4731" s="1207"/>
    </row>
    <row r="4732" spans="3:17" s="700" customFormat="1" ht="70.5" hidden="1" customHeight="1">
      <c r="C4732" s="701"/>
      <c r="D4732" s="811"/>
      <c r="E4732" s="1276">
        <f>[11]building!Y5063</f>
        <v>0</v>
      </c>
      <c r="F4732" s="748">
        <f t="shared" si="312"/>
        <v>0</v>
      </c>
      <c r="G4732" s="1205"/>
      <c r="H4732" s="1055"/>
      <c r="I4732" s="1055"/>
      <c r="J4732" s="1055"/>
      <c r="K4732" s="1205"/>
      <c r="L4732" s="1055"/>
      <c r="M4732" s="1205"/>
      <c r="N4732" s="1054"/>
      <c r="O4732" s="1207"/>
      <c r="Q4732" s="1207"/>
    </row>
    <row r="4733" spans="3:17" s="700" customFormat="1" ht="70.5" hidden="1" customHeight="1">
      <c r="C4733" s="701"/>
      <c r="D4733" s="811"/>
      <c r="E4733" s="1276">
        <f>[11]building!Y5064</f>
        <v>0</v>
      </c>
      <c r="F4733" s="748">
        <f t="shared" si="312"/>
        <v>0</v>
      </c>
      <c r="G4733" s="1205"/>
      <c r="H4733" s="1055"/>
      <c r="I4733" s="1055"/>
      <c r="J4733" s="1055"/>
      <c r="K4733" s="1205"/>
      <c r="L4733" s="1055"/>
      <c r="M4733" s="1205"/>
      <c r="N4733" s="1054"/>
      <c r="O4733" s="1207"/>
      <c r="Q4733" s="1207"/>
    </row>
    <row r="4734" spans="3:17" s="700" customFormat="1" ht="70.5" hidden="1" customHeight="1">
      <c r="C4734" s="701"/>
      <c r="D4734" s="811"/>
      <c r="E4734" s="1276">
        <f>[11]building!Y5065</f>
        <v>0</v>
      </c>
      <c r="F4734" s="748">
        <f t="shared" si="312"/>
        <v>0</v>
      </c>
      <c r="G4734" s="1205"/>
      <c r="H4734" s="1055"/>
      <c r="I4734" s="1055"/>
      <c r="J4734" s="1055"/>
      <c r="K4734" s="1205"/>
      <c r="L4734" s="1055"/>
      <c r="M4734" s="1205"/>
      <c r="N4734" s="1054"/>
      <c r="O4734" s="1207"/>
      <c r="Q4734" s="1207"/>
    </row>
    <row r="4735" spans="3:17" s="700" customFormat="1" ht="70.5" hidden="1" customHeight="1">
      <c r="C4735" s="701"/>
      <c r="D4735" s="811"/>
      <c r="E4735" s="1276">
        <f>[11]building!Y5066</f>
        <v>0</v>
      </c>
      <c r="F4735" s="748">
        <f t="shared" si="312"/>
        <v>0</v>
      </c>
      <c r="G4735" s="1205"/>
      <c r="H4735" s="1055"/>
      <c r="I4735" s="1055"/>
      <c r="J4735" s="1055"/>
      <c r="K4735" s="1205"/>
      <c r="L4735" s="1055"/>
      <c r="M4735" s="1205"/>
      <c r="N4735" s="1054"/>
      <c r="O4735" s="1207"/>
      <c r="Q4735" s="1207"/>
    </row>
    <row r="4736" spans="3:17" s="700" customFormat="1" ht="70.5" hidden="1" customHeight="1">
      <c r="C4736" s="701"/>
      <c r="D4736" s="811"/>
      <c r="E4736" s="1276">
        <f>[11]building!Y5067</f>
        <v>0</v>
      </c>
      <c r="F4736" s="748">
        <f t="shared" ref="F4736:F4799" si="313">E4736*C4736</f>
        <v>0</v>
      </c>
      <c r="G4736" s="1205"/>
      <c r="H4736" s="1055"/>
      <c r="I4736" s="1055"/>
      <c r="J4736" s="1055"/>
      <c r="K4736" s="1205"/>
      <c r="L4736" s="1055"/>
      <c r="M4736" s="1205"/>
      <c r="N4736" s="1054"/>
      <c r="O4736" s="1207"/>
      <c r="Q4736" s="1207"/>
    </row>
    <row r="4737" spans="3:17" s="700" customFormat="1" ht="70.5" hidden="1" customHeight="1">
      <c r="C4737" s="701"/>
      <c r="D4737" s="811"/>
      <c r="E4737" s="1276">
        <f>[11]building!Y5068</f>
        <v>0</v>
      </c>
      <c r="F4737" s="748">
        <f t="shared" si="313"/>
        <v>0</v>
      </c>
      <c r="G4737" s="1205"/>
      <c r="H4737" s="1055"/>
      <c r="I4737" s="1055"/>
      <c r="J4737" s="1055"/>
      <c r="K4737" s="1205"/>
      <c r="L4737" s="1055"/>
      <c r="M4737" s="1205"/>
      <c r="N4737" s="1054"/>
      <c r="O4737" s="1207"/>
      <c r="Q4737" s="1207"/>
    </row>
    <row r="4738" spans="3:17" s="700" customFormat="1" ht="70.5" hidden="1" customHeight="1">
      <c r="C4738" s="701"/>
      <c r="D4738" s="811"/>
      <c r="E4738" s="1276">
        <f>[11]building!Y5069</f>
        <v>0</v>
      </c>
      <c r="F4738" s="748">
        <f t="shared" si="313"/>
        <v>0</v>
      </c>
      <c r="G4738" s="1205"/>
      <c r="H4738" s="1055"/>
      <c r="I4738" s="1055"/>
      <c r="J4738" s="1055"/>
      <c r="K4738" s="1205"/>
      <c r="L4738" s="1055"/>
      <c r="M4738" s="1205"/>
      <c r="N4738" s="1054"/>
      <c r="O4738" s="1207"/>
      <c r="Q4738" s="1207"/>
    </row>
    <row r="4739" spans="3:17" s="700" customFormat="1" ht="70.5" hidden="1" customHeight="1">
      <c r="C4739" s="701"/>
      <c r="D4739" s="811"/>
      <c r="E4739" s="1276">
        <f>[11]building!Y5070</f>
        <v>0</v>
      </c>
      <c r="F4739" s="748">
        <f t="shared" si="313"/>
        <v>0</v>
      </c>
      <c r="G4739" s="1205"/>
      <c r="H4739" s="1055"/>
      <c r="I4739" s="1055"/>
      <c r="J4739" s="1055"/>
      <c r="K4739" s="1205"/>
      <c r="L4739" s="1055"/>
      <c r="M4739" s="1205"/>
      <c r="N4739" s="1054"/>
      <c r="O4739" s="1207"/>
      <c r="Q4739" s="1207"/>
    </row>
    <row r="4740" spans="3:17" s="700" customFormat="1" ht="70.5" hidden="1" customHeight="1">
      <c r="C4740" s="701"/>
      <c r="D4740" s="811"/>
      <c r="E4740" s="1276">
        <f>[11]building!Y5071</f>
        <v>0</v>
      </c>
      <c r="F4740" s="748">
        <f t="shared" si="313"/>
        <v>0</v>
      </c>
      <c r="G4740" s="1205"/>
      <c r="H4740" s="1055"/>
      <c r="I4740" s="1055"/>
      <c r="J4740" s="1055"/>
      <c r="K4740" s="1205"/>
      <c r="L4740" s="1055"/>
      <c r="M4740" s="1205"/>
      <c r="N4740" s="1054"/>
      <c r="O4740" s="1207"/>
      <c r="Q4740" s="1207"/>
    </row>
    <row r="4741" spans="3:17" s="700" customFormat="1" ht="70.5" hidden="1" customHeight="1">
      <c r="C4741" s="701"/>
      <c r="D4741" s="811"/>
      <c r="E4741" s="1276">
        <f>[11]building!Y5072</f>
        <v>0</v>
      </c>
      <c r="F4741" s="748">
        <f t="shared" si="313"/>
        <v>0</v>
      </c>
      <c r="G4741" s="1205"/>
      <c r="H4741" s="1055"/>
      <c r="I4741" s="1055"/>
      <c r="J4741" s="1055"/>
      <c r="K4741" s="1205"/>
      <c r="L4741" s="1055"/>
      <c r="M4741" s="1205"/>
      <c r="N4741" s="1054"/>
      <c r="O4741" s="1207"/>
      <c r="Q4741" s="1207"/>
    </row>
    <row r="4742" spans="3:17" s="700" customFormat="1" ht="70.5" hidden="1" customHeight="1">
      <c r="C4742" s="701"/>
      <c r="D4742" s="811"/>
      <c r="E4742" s="1276">
        <f>[11]building!Y5073</f>
        <v>0</v>
      </c>
      <c r="F4742" s="748">
        <f t="shared" si="313"/>
        <v>0</v>
      </c>
      <c r="G4742" s="1205"/>
      <c r="H4742" s="1055"/>
      <c r="I4742" s="1055"/>
      <c r="J4742" s="1055"/>
      <c r="K4742" s="1205"/>
      <c r="L4742" s="1055"/>
      <c r="M4742" s="1205"/>
      <c r="N4742" s="1054"/>
      <c r="O4742" s="1207"/>
      <c r="Q4742" s="1207"/>
    </row>
    <row r="4743" spans="3:17" s="700" customFormat="1" ht="70.5" hidden="1" customHeight="1">
      <c r="C4743" s="701"/>
      <c r="D4743" s="811"/>
      <c r="E4743" s="1276">
        <f>[11]building!Y5074</f>
        <v>0</v>
      </c>
      <c r="F4743" s="748">
        <f t="shared" si="313"/>
        <v>0</v>
      </c>
      <c r="G4743" s="1205"/>
      <c r="H4743" s="1055"/>
      <c r="I4743" s="1055"/>
      <c r="J4743" s="1055"/>
      <c r="K4743" s="1205"/>
      <c r="L4743" s="1055"/>
      <c r="M4743" s="1205"/>
      <c r="N4743" s="1054"/>
      <c r="O4743" s="1207"/>
      <c r="Q4743" s="1207"/>
    </row>
    <row r="4744" spans="3:17" s="700" customFormat="1" ht="70.5" hidden="1" customHeight="1">
      <c r="C4744" s="701"/>
      <c r="D4744" s="811"/>
      <c r="E4744" s="1276">
        <f>[11]building!Y5075</f>
        <v>0</v>
      </c>
      <c r="F4744" s="748">
        <f t="shared" si="313"/>
        <v>0</v>
      </c>
      <c r="G4744" s="1205"/>
      <c r="H4744" s="1055"/>
      <c r="I4744" s="1055"/>
      <c r="J4744" s="1055"/>
      <c r="K4744" s="1205"/>
      <c r="L4744" s="1055"/>
      <c r="M4744" s="1205"/>
      <c r="N4744" s="1054"/>
      <c r="O4744" s="1207"/>
      <c r="Q4744" s="1207"/>
    </row>
    <row r="4745" spans="3:17" s="700" customFormat="1" ht="70.5" hidden="1" customHeight="1">
      <c r="C4745" s="701"/>
      <c r="D4745" s="811"/>
      <c r="E4745" s="1276">
        <f>[11]building!Y5076</f>
        <v>0</v>
      </c>
      <c r="F4745" s="748">
        <f t="shared" si="313"/>
        <v>0</v>
      </c>
      <c r="G4745" s="1205"/>
      <c r="H4745" s="1055"/>
      <c r="I4745" s="1055"/>
      <c r="J4745" s="1055"/>
      <c r="K4745" s="1205"/>
      <c r="L4745" s="1055"/>
      <c r="M4745" s="1205"/>
      <c r="N4745" s="1054"/>
      <c r="O4745" s="1207"/>
      <c r="Q4745" s="1207"/>
    </row>
    <row r="4746" spans="3:17" s="700" customFormat="1" ht="70.5" hidden="1" customHeight="1">
      <c r="C4746" s="701"/>
      <c r="D4746" s="811"/>
      <c r="E4746" s="1276">
        <f>[11]building!Y5077</f>
        <v>0</v>
      </c>
      <c r="F4746" s="748">
        <f t="shared" si="313"/>
        <v>0</v>
      </c>
      <c r="G4746" s="1205"/>
      <c r="H4746" s="1055"/>
      <c r="I4746" s="1055"/>
      <c r="J4746" s="1055"/>
      <c r="K4746" s="1205"/>
      <c r="L4746" s="1055"/>
      <c r="M4746" s="1205"/>
      <c r="N4746" s="1054"/>
      <c r="O4746" s="1207"/>
      <c r="Q4746" s="1207"/>
    </row>
    <row r="4747" spans="3:17" s="700" customFormat="1" ht="70.5" hidden="1" customHeight="1">
      <c r="C4747" s="701"/>
      <c r="D4747" s="811"/>
      <c r="E4747" s="1276">
        <f>[11]building!Y5078</f>
        <v>0</v>
      </c>
      <c r="F4747" s="748">
        <f t="shared" si="313"/>
        <v>0</v>
      </c>
      <c r="G4747" s="1205"/>
      <c r="H4747" s="1055"/>
      <c r="I4747" s="1055"/>
      <c r="J4747" s="1055"/>
      <c r="K4747" s="1205"/>
      <c r="L4747" s="1055"/>
      <c r="M4747" s="1205"/>
      <c r="N4747" s="1054"/>
      <c r="O4747" s="1207"/>
      <c r="Q4747" s="1207"/>
    </row>
    <row r="4748" spans="3:17" s="700" customFormat="1" ht="70.5" hidden="1" customHeight="1">
      <c r="C4748" s="701"/>
      <c r="D4748" s="811"/>
      <c r="E4748" s="1276">
        <f>[11]building!Y5079</f>
        <v>0</v>
      </c>
      <c r="F4748" s="748">
        <f t="shared" si="313"/>
        <v>0</v>
      </c>
      <c r="G4748" s="1205"/>
      <c r="H4748" s="1055"/>
      <c r="I4748" s="1055"/>
      <c r="J4748" s="1055"/>
      <c r="K4748" s="1205"/>
      <c r="L4748" s="1055"/>
      <c r="M4748" s="1205"/>
      <c r="N4748" s="1054"/>
      <c r="O4748" s="1207"/>
      <c r="Q4748" s="1207"/>
    </row>
    <row r="4749" spans="3:17" s="700" customFormat="1" ht="70.5" hidden="1" customHeight="1">
      <c r="C4749" s="701"/>
      <c r="D4749" s="811"/>
      <c r="E4749" s="1276">
        <f>[11]building!Y5080</f>
        <v>0</v>
      </c>
      <c r="F4749" s="748">
        <f t="shared" si="313"/>
        <v>0</v>
      </c>
      <c r="G4749" s="1205"/>
      <c r="H4749" s="1055"/>
      <c r="I4749" s="1055"/>
      <c r="J4749" s="1055"/>
      <c r="K4749" s="1205"/>
      <c r="L4749" s="1055"/>
      <c r="M4749" s="1205"/>
      <c r="N4749" s="1054"/>
      <c r="O4749" s="1207"/>
      <c r="Q4749" s="1207"/>
    </row>
    <row r="4750" spans="3:17" s="700" customFormat="1" ht="70.5" hidden="1" customHeight="1">
      <c r="C4750" s="701"/>
      <c r="D4750" s="811"/>
      <c r="E4750" s="1276">
        <f>[11]building!Y5081</f>
        <v>0</v>
      </c>
      <c r="F4750" s="748">
        <f t="shared" si="313"/>
        <v>0</v>
      </c>
      <c r="G4750" s="1205"/>
      <c r="H4750" s="1055"/>
      <c r="I4750" s="1055"/>
      <c r="J4750" s="1055"/>
      <c r="K4750" s="1205"/>
      <c r="L4750" s="1055"/>
      <c r="M4750" s="1205"/>
      <c r="N4750" s="1054"/>
      <c r="O4750" s="1207"/>
      <c r="Q4750" s="1207"/>
    </row>
    <row r="4751" spans="3:17" s="700" customFormat="1" ht="70.5" hidden="1" customHeight="1">
      <c r="C4751" s="701"/>
      <c r="D4751" s="811"/>
      <c r="E4751" s="1276">
        <f>[11]building!Y5082</f>
        <v>0</v>
      </c>
      <c r="F4751" s="748">
        <f t="shared" si="313"/>
        <v>0</v>
      </c>
      <c r="G4751" s="1205"/>
      <c r="H4751" s="1055"/>
      <c r="I4751" s="1055"/>
      <c r="J4751" s="1055"/>
      <c r="K4751" s="1205"/>
      <c r="L4751" s="1055"/>
      <c r="M4751" s="1205"/>
      <c r="N4751" s="1054"/>
      <c r="O4751" s="1207"/>
      <c r="Q4751" s="1207"/>
    </row>
    <row r="4752" spans="3:17" s="700" customFormat="1" ht="70.5" hidden="1" customHeight="1">
      <c r="C4752" s="701"/>
      <c r="D4752" s="811"/>
      <c r="E4752" s="1276">
        <f>[11]building!Y5083</f>
        <v>0</v>
      </c>
      <c r="F4752" s="748">
        <f t="shared" si="313"/>
        <v>0</v>
      </c>
      <c r="G4752" s="1205"/>
      <c r="H4752" s="1055"/>
      <c r="I4752" s="1055"/>
      <c r="J4752" s="1055"/>
      <c r="K4752" s="1205"/>
      <c r="L4752" s="1055"/>
      <c r="M4752" s="1205"/>
      <c r="N4752" s="1054"/>
      <c r="O4752" s="1207"/>
      <c r="Q4752" s="1207"/>
    </row>
    <row r="4753" spans="3:17" s="700" customFormat="1" ht="70.5" hidden="1" customHeight="1">
      <c r="C4753" s="701"/>
      <c r="D4753" s="811"/>
      <c r="E4753" s="1276">
        <f>[11]building!Y5084</f>
        <v>0</v>
      </c>
      <c r="F4753" s="748">
        <f t="shared" si="313"/>
        <v>0</v>
      </c>
      <c r="G4753" s="1205"/>
      <c r="H4753" s="1055"/>
      <c r="I4753" s="1055"/>
      <c r="J4753" s="1055"/>
      <c r="K4753" s="1205"/>
      <c r="L4753" s="1055"/>
      <c r="M4753" s="1205"/>
      <c r="N4753" s="1054"/>
      <c r="O4753" s="1207"/>
      <c r="Q4753" s="1207"/>
    </row>
    <row r="4754" spans="3:17" s="700" customFormat="1" ht="70.5" hidden="1" customHeight="1">
      <c r="C4754" s="701"/>
      <c r="D4754" s="811"/>
      <c r="E4754" s="1276">
        <f>[11]building!Y5085</f>
        <v>0</v>
      </c>
      <c r="F4754" s="748">
        <f t="shared" si="313"/>
        <v>0</v>
      </c>
      <c r="G4754" s="1205"/>
      <c r="H4754" s="1055"/>
      <c r="I4754" s="1055"/>
      <c r="J4754" s="1055"/>
      <c r="K4754" s="1205"/>
      <c r="L4754" s="1055"/>
      <c r="M4754" s="1205"/>
      <c r="N4754" s="1054"/>
      <c r="O4754" s="1207"/>
      <c r="Q4754" s="1207"/>
    </row>
    <row r="4755" spans="3:17" s="700" customFormat="1" ht="70.5" hidden="1" customHeight="1">
      <c r="C4755" s="701"/>
      <c r="D4755" s="811"/>
      <c r="E4755" s="1276">
        <f>[11]building!Y5086</f>
        <v>0</v>
      </c>
      <c r="F4755" s="748">
        <f t="shared" si="313"/>
        <v>0</v>
      </c>
      <c r="G4755" s="1205"/>
      <c r="H4755" s="1055"/>
      <c r="I4755" s="1055"/>
      <c r="J4755" s="1055"/>
      <c r="K4755" s="1205"/>
      <c r="L4755" s="1055"/>
      <c r="M4755" s="1205"/>
      <c r="N4755" s="1054"/>
      <c r="O4755" s="1207"/>
      <c r="Q4755" s="1207"/>
    </row>
    <row r="4756" spans="3:17" s="700" customFormat="1" ht="70.5" hidden="1" customHeight="1">
      <c r="C4756" s="701"/>
      <c r="D4756" s="811"/>
      <c r="E4756" s="1276">
        <f>[11]building!Y5087</f>
        <v>0</v>
      </c>
      <c r="F4756" s="748">
        <f t="shared" si="313"/>
        <v>0</v>
      </c>
      <c r="G4756" s="1205"/>
      <c r="H4756" s="1055"/>
      <c r="I4756" s="1055"/>
      <c r="J4756" s="1055"/>
      <c r="K4756" s="1205"/>
      <c r="L4756" s="1055"/>
      <c r="M4756" s="1205"/>
      <c r="N4756" s="1054"/>
      <c r="O4756" s="1207"/>
      <c r="Q4756" s="1207"/>
    </row>
    <row r="4757" spans="3:17" s="700" customFormat="1" ht="70.5" hidden="1" customHeight="1">
      <c r="C4757" s="701"/>
      <c r="D4757" s="811"/>
      <c r="E4757" s="1276">
        <f>[11]building!Y5088</f>
        <v>0</v>
      </c>
      <c r="F4757" s="748">
        <f t="shared" si="313"/>
        <v>0</v>
      </c>
      <c r="G4757" s="1205"/>
      <c r="H4757" s="1055"/>
      <c r="I4757" s="1055"/>
      <c r="J4757" s="1055"/>
      <c r="K4757" s="1205"/>
      <c r="L4757" s="1055"/>
      <c r="M4757" s="1205"/>
      <c r="N4757" s="1054"/>
      <c r="O4757" s="1207"/>
      <c r="Q4757" s="1207"/>
    </row>
    <row r="4758" spans="3:17" s="700" customFormat="1" ht="70.5" hidden="1" customHeight="1">
      <c r="C4758" s="701"/>
      <c r="D4758" s="811"/>
      <c r="E4758" s="1276">
        <f>[11]building!Y5089</f>
        <v>0</v>
      </c>
      <c r="F4758" s="748">
        <f t="shared" si="313"/>
        <v>0</v>
      </c>
      <c r="G4758" s="1205"/>
      <c r="H4758" s="1055"/>
      <c r="I4758" s="1055"/>
      <c r="J4758" s="1055"/>
      <c r="K4758" s="1205"/>
      <c r="L4758" s="1055"/>
      <c r="M4758" s="1205"/>
      <c r="N4758" s="1054"/>
      <c r="O4758" s="1207"/>
      <c r="Q4758" s="1207"/>
    </row>
    <row r="4759" spans="3:17" s="700" customFormat="1" ht="70.5" hidden="1" customHeight="1">
      <c r="C4759" s="701"/>
      <c r="D4759" s="811"/>
      <c r="E4759" s="1276">
        <f>[11]building!Y5090</f>
        <v>0</v>
      </c>
      <c r="F4759" s="748">
        <f t="shared" si="313"/>
        <v>0</v>
      </c>
      <c r="G4759" s="1205"/>
      <c r="H4759" s="1055"/>
      <c r="I4759" s="1055"/>
      <c r="J4759" s="1055"/>
      <c r="K4759" s="1205"/>
      <c r="L4759" s="1055"/>
      <c r="M4759" s="1205"/>
      <c r="N4759" s="1054"/>
      <c r="O4759" s="1207"/>
      <c r="Q4759" s="1207"/>
    </row>
    <row r="4760" spans="3:17" s="700" customFormat="1" ht="70.5" hidden="1" customHeight="1">
      <c r="C4760" s="701"/>
      <c r="D4760" s="811"/>
      <c r="E4760" s="1276">
        <f>[11]building!Y5091</f>
        <v>0</v>
      </c>
      <c r="F4760" s="748">
        <f t="shared" si="313"/>
        <v>0</v>
      </c>
      <c r="G4760" s="1205"/>
      <c r="H4760" s="1055"/>
      <c r="I4760" s="1055"/>
      <c r="J4760" s="1055"/>
      <c r="K4760" s="1205"/>
      <c r="L4760" s="1055"/>
      <c r="M4760" s="1205"/>
      <c r="N4760" s="1054"/>
      <c r="O4760" s="1207"/>
      <c r="Q4760" s="1207"/>
    </row>
    <row r="4761" spans="3:17" s="700" customFormat="1" ht="70.5" hidden="1" customHeight="1">
      <c r="C4761" s="701"/>
      <c r="D4761" s="811"/>
      <c r="E4761" s="1276">
        <f>[11]building!Y5092</f>
        <v>0</v>
      </c>
      <c r="F4761" s="748">
        <f t="shared" si="313"/>
        <v>0</v>
      </c>
      <c r="G4761" s="1205"/>
      <c r="H4761" s="1055"/>
      <c r="I4761" s="1055"/>
      <c r="J4761" s="1055"/>
      <c r="K4761" s="1205"/>
      <c r="L4761" s="1055"/>
      <c r="M4761" s="1205"/>
      <c r="N4761" s="1054"/>
      <c r="O4761" s="1207"/>
      <c r="Q4761" s="1207"/>
    </row>
    <row r="4762" spans="3:17" s="700" customFormat="1" ht="70.5" hidden="1" customHeight="1">
      <c r="C4762" s="701"/>
      <c r="D4762" s="811"/>
      <c r="E4762" s="1276">
        <f>[11]building!Y5093</f>
        <v>0</v>
      </c>
      <c r="F4762" s="748">
        <f t="shared" si="313"/>
        <v>0</v>
      </c>
      <c r="G4762" s="1205"/>
      <c r="H4762" s="1055"/>
      <c r="I4762" s="1055"/>
      <c r="J4762" s="1055"/>
      <c r="K4762" s="1205"/>
      <c r="L4762" s="1055"/>
      <c r="M4762" s="1205"/>
      <c r="N4762" s="1054"/>
      <c r="O4762" s="1207"/>
      <c r="Q4762" s="1207"/>
    </row>
    <row r="4763" spans="3:17" s="700" customFormat="1" ht="70.5" hidden="1" customHeight="1">
      <c r="C4763" s="701"/>
      <c r="D4763" s="811"/>
      <c r="E4763" s="1276">
        <f>[11]building!Y5094</f>
        <v>0</v>
      </c>
      <c r="F4763" s="748">
        <f t="shared" si="313"/>
        <v>0</v>
      </c>
      <c r="G4763" s="1205"/>
      <c r="H4763" s="1055"/>
      <c r="I4763" s="1055"/>
      <c r="J4763" s="1055"/>
      <c r="K4763" s="1205"/>
      <c r="L4763" s="1055"/>
      <c r="M4763" s="1205"/>
      <c r="N4763" s="1054"/>
      <c r="O4763" s="1207"/>
      <c r="Q4763" s="1207"/>
    </row>
    <row r="4764" spans="3:17" s="700" customFormat="1" ht="70.5" hidden="1" customHeight="1">
      <c r="C4764" s="701"/>
      <c r="D4764" s="811"/>
      <c r="E4764" s="1276">
        <f>[11]building!Y5095</f>
        <v>0</v>
      </c>
      <c r="F4764" s="748">
        <f t="shared" si="313"/>
        <v>0</v>
      </c>
      <c r="G4764" s="1205"/>
      <c r="H4764" s="1055"/>
      <c r="I4764" s="1055"/>
      <c r="J4764" s="1055"/>
      <c r="K4764" s="1205"/>
      <c r="L4764" s="1055"/>
      <c r="M4764" s="1205"/>
      <c r="N4764" s="1054"/>
      <c r="O4764" s="1207"/>
      <c r="Q4764" s="1207"/>
    </row>
    <row r="4765" spans="3:17" s="700" customFormat="1" ht="70.5" hidden="1" customHeight="1">
      <c r="C4765" s="701"/>
      <c r="D4765" s="811"/>
      <c r="E4765" s="1276">
        <f>[11]building!Y5096</f>
        <v>0</v>
      </c>
      <c r="F4765" s="748">
        <f t="shared" si="313"/>
        <v>0</v>
      </c>
      <c r="G4765" s="1205"/>
      <c r="H4765" s="1055"/>
      <c r="I4765" s="1055"/>
      <c r="J4765" s="1055"/>
      <c r="K4765" s="1205"/>
      <c r="L4765" s="1055"/>
      <c r="M4765" s="1205"/>
      <c r="N4765" s="1054"/>
      <c r="O4765" s="1207"/>
      <c r="Q4765" s="1207"/>
    </row>
    <row r="4766" spans="3:17" s="700" customFormat="1" ht="70.5" hidden="1" customHeight="1">
      <c r="C4766" s="701"/>
      <c r="D4766" s="811"/>
      <c r="E4766" s="1276">
        <f>[11]building!Y5097</f>
        <v>0</v>
      </c>
      <c r="F4766" s="748">
        <f t="shared" si="313"/>
        <v>0</v>
      </c>
      <c r="G4766" s="1205"/>
      <c r="H4766" s="1055"/>
      <c r="I4766" s="1055"/>
      <c r="J4766" s="1055"/>
      <c r="K4766" s="1205"/>
      <c r="L4766" s="1055"/>
      <c r="M4766" s="1205"/>
      <c r="N4766" s="1054"/>
      <c r="O4766" s="1207"/>
      <c r="Q4766" s="1207"/>
    </row>
    <row r="4767" spans="3:17" s="700" customFormat="1" ht="70.5" hidden="1" customHeight="1">
      <c r="C4767" s="701"/>
      <c r="D4767" s="811"/>
      <c r="E4767" s="1276">
        <f>[11]building!Y5098</f>
        <v>0</v>
      </c>
      <c r="F4767" s="748">
        <f t="shared" si="313"/>
        <v>0</v>
      </c>
      <c r="G4767" s="1205"/>
      <c r="H4767" s="1055"/>
      <c r="I4767" s="1055"/>
      <c r="J4767" s="1055"/>
      <c r="K4767" s="1205"/>
      <c r="L4767" s="1055"/>
      <c r="M4767" s="1205"/>
      <c r="N4767" s="1054"/>
      <c r="O4767" s="1207"/>
      <c r="Q4767" s="1207"/>
    </row>
    <row r="4768" spans="3:17" s="700" customFormat="1" ht="70.5" hidden="1" customHeight="1">
      <c r="C4768" s="701"/>
      <c r="D4768" s="811"/>
      <c r="E4768" s="1276">
        <f>[11]building!Y5099</f>
        <v>0</v>
      </c>
      <c r="F4768" s="748">
        <f t="shared" si="313"/>
        <v>0</v>
      </c>
      <c r="G4768" s="1205"/>
      <c r="H4768" s="1055"/>
      <c r="I4768" s="1055"/>
      <c r="J4768" s="1055"/>
      <c r="K4768" s="1205"/>
      <c r="L4768" s="1055"/>
      <c r="M4768" s="1205"/>
      <c r="N4768" s="1054"/>
      <c r="O4768" s="1207"/>
      <c r="Q4768" s="1207"/>
    </row>
    <row r="4769" spans="3:17" s="700" customFormat="1" ht="70.5" hidden="1" customHeight="1">
      <c r="C4769" s="701"/>
      <c r="D4769" s="811"/>
      <c r="E4769" s="1276">
        <f>[11]building!Y5100</f>
        <v>0</v>
      </c>
      <c r="F4769" s="748">
        <f t="shared" si="313"/>
        <v>0</v>
      </c>
      <c r="G4769" s="1205"/>
      <c r="H4769" s="1055"/>
      <c r="I4769" s="1055"/>
      <c r="J4769" s="1055"/>
      <c r="K4769" s="1205"/>
      <c r="L4769" s="1055"/>
      <c r="M4769" s="1205"/>
      <c r="N4769" s="1054"/>
      <c r="O4769" s="1207"/>
      <c r="Q4769" s="1207"/>
    </row>
    <row r="4770" spans="3:17" s="700" customFormat="1" ht="70.5" hidden="1" customHeight="1">
      <c r="C4770" s="701"/>
      <c r="D4770" s="811"/>
      <c r="E4770" s="1276">
        <f>[11]building!Y5101</f>
        <v>0</v>
      </c>
      <c r="F4770" s="748">
        <f t="shared" si="313"/>
        <v>0</v>
      </c>
      <c r="G4770" s="1205"/>
      <c r="H4770" s="1055"/>
      <c r="I4770" s="1055"/>
      <c r="J4770" s="1055"/>
      <c r="K4770" s="1205"/>
      <c r="L4770" s="1055"/>
      <c r="M4770" s="1205"/>
      <c r="N4770" s="1054"/>
      <c r="O4770" s="1207"/>
      <c r="Q4770" s="1207"/>
    </row>
    <row r="4771" spans="3:17" s="700" customFormat="1" ht="70.5" hidden="1" customHeight="1">
      <c r="C4771" s="701"/>
      <c r="D4771" s="811"/>
      <c r="E4771" s="1276">
        <f>[11]building!Y5102</f>
        <v>0</v>
      </c>
      <c r="F4771" s="748">
        <f t="shared" si="313"/>
        <v>0</v>
      </c>
      <c r="G4771" s="1205"/>
      <c r="H4771" s="1055"/>
      <c r="I4771" s="1055"/>
      <c r="J4771" s="1055"/>
      <c r="K4771" s="1205"/>
      <c r="L4771" s="1055"/>
      <c r="M4771" s="1205"/>
      <c r="N4771" s="1054"/>
      <c r="O4771" s="1207"/>
      <c r="Q4771" s="1207"/>
    </row>
    <row r="4772" spans="3:17" s="700" customFormat="1" ht="70.5" hidden="1" customHeight="1">
      <c r="C4772" s="701"/>
      <c r="D4772" s="811"/>
      <c r="E4772" s="1276">
        <f>[11]building!Y5103</f>
        <v>0</v>
      </c>
      <c r="F4772" s="748">
        <f t="shared" si="313"/>
        <v>0</v>
      </c>
      <c r="G4772" s="1205"/>
      <c r="H4772" s="1055"/>
      <c r="I4772" s="1055"/>
      <c r="J4772" s="1055"/>
      <c r="K4772" s="1205"/>
      <c r="L4772" s="1055"/>
      <c r="M4772" s="1205"/>
      <c r="N4772" s="1054"/>
      <c r="O4772" s="1207"/>
      <c r="Q4772" s="1207"/>
    </row>
    <row r="4773" spans="3:17" s="700" customFormat="1" ht="70.5" hidden="1" customHeight="1">
      <c r="C4773" s="701"/>
      <c r="D4773" s="811"/>
      <c r="E4773" s="1276">
        <f>[11]building!Y5104</f>
        <v>0</v>
      </c>
      <c r="F4773" s="748">
        <f t="shared" si="313"/>
        <v>0</v>
      </c>
      <c r="G4773" s="1205"/>
      <c r="H4773" s="1055"/>
      <c r="I4773" s="1055"/>
      <c r="J4773" s="1055"/>
      <c r="K4773" s="1205"/>
      <c r="L4773" s="1055"/>
      <c r="M4773" s="1205"/>
      <c r="N4773" s="1054"/>
      <c r="O4773" s="1207"/>
      <c r="Q4773" s="1207"/>
    </row>
    <row r="4774" spans="3:17" s="700" customFormat="1" ht="70.5" hidden="1" customHeight="1">
      <c r="C4774" s="701"/>
      <c r="D4774" s="811"/>
      <c r="E4774" s="1276">
        <f>[11]building!Y5105</f>
        <v>0</v>
      </c>
      <c r="F4774" s="748">
        <f t="shared" si="313"/>
        <v>0</v>
      </c>
      <c r="G4774" s="1205"/>
      <c r="H4774" s="1055"/>
      <c r="I4774" s="1055"/>
      <c r="J4774" s="1055"/>
      <c r="K4774" s="1205"/>
      <c r="L4774" s="1055"/>
      <c r="M4774" s="1205"/>
      <c r="N4774" s="1054"/>
      <c r="O4774" s="1207"/>
      <c r="Q4774" s="1207"/>
    </row>
    <row r="4775" spans="3:17" s="700" customFormat="1" ht="70.5" hidden="1" customHeight="1">
      <c r="C4775" s="701"/>
      <c r="D4775" s="811"/>
      <c r="E4775" s="1276">
        <f>[11]building!Y5106</f>
        <v>0</v>
      </c>
      <c r="F4775" s="748">
        <f t="shared" si="313"/>
        <v>0</v>
      </c>
      <c r="G4775" s="1205"/>
      <c r="H4775" s="1055"/>
      <c r="I4775" s="1055"/>
      <c r="J4775" s="1055"/>
      <c r="K4775" s="1205"/>
      <c r="L4775" s="1055"/>
      <c r="M4775" s="1205"/>
      <c r="N4775" s="1054"/>
      <c r="O4775" s="1207"/>
      <c r="Q4775" s="1207"/>
    </row>
    <row r="4776" spans="3:17" s="700" customFormat="1" ht="70.5" hidden="1" customHeight="1">
      <c r="C4776" s="701"/>
      <c r="D4776" s="811"/>
      <c r="E4776" s="1276">
        <f>[11]building!Y5107</f>
        <v>0</v>
      </c>
      <c r="F4776" s="748">
        <f t="shared" si="313"/>
        <v>0</v>
      </c>
      <c r="G4776" s="1205"/>
      <c r="H4776" s="1055"/>
      <c r="I4776" s="1055"/>
      <c r="J4776" s="1055"/>
      <c r="K4776" s="1205"/>
      <c r="L4776" s="1055"/>
      <c r="M4776" s="1205"/>
      <c r="N4776" s="1054"/>
      <c r="O4776" s="1207"/>
      <c r="Q4776" s="1207"/>
    </row>
    <row r="4777" spans="3:17" s="700" customFormat="1" ht="70.5" hidden="1" customHeight="1">
      <c r="C4777" s="701"/>
      <c r="D4777" s="811"/>
      <c r="E4777" s="1276">
        <f>[11]building!Y5108</f>
        <v>0</v>
      </c>
      <c r="F4777" s="748">
        <f t="shared" si="313"/>
        <v>0</v>
      </c>
      <c r="G4777" s="1205"/>
      <c r="H4777" s="1055"/>
      <c r="I4777" s="1055"/>
      <c r="J4777" s="1055"/>
      <c r="K4777" s="1205"/>
      <c r="L4777" s="1055"/>
      <c r="M4777" s="1205"/>
      <c r="N4777" s="1054"/>
      <c r="O4777" s="1207"/>
      <c r="Q4777" s="1207"/>
    </row>
    <row r="4778" spans="3:17" s="700" customFormat="1" ht="70.5" hidden="1" customHeight="1">
      <c r="C4778" s="701"/>
      <c r="D4778" s="811"/>
      <c r="E4778" s="1276">
        <f>[11]building!Y5109</f>
        <v>0</v>
      </c>
      <c r="F4778" s="748">
        <f t="shared" si="313"/>
        <v>0</v>
      </c>
      <c r="G4778" s="1205"/>
      <c r="H4778" s="1055"/>
      <c r="I4778" s="1055"/>
      <c r="J4778" s="1055"/>
      <c r="K4778" s="1205"/>
      <c r="L4778" s="1055"/>
      <c r="M4778" s="1205"/>
      <c r="N4778" s="1054"/>
      <c r="O4778" s="1207"/>
      <c r="Q4778" s="1207"/>
    </row>
    <row r="4779" spans="3:17" s="700" customFormat="1" ht="70.5" hidden="1" customHeight="1">
      <c r="C4779" s="701"/>
      <c r="D4779" s="811"/>
      <c r="E4779" s="1276">
        <f>[11]building!Y5110</f>
        <v>0</v>
      </c>
      <c r="F4779" s="748">
        <f t="shared" si="313"/>
        <v>0</v>
      </c>
      <c r="G4779" s="1205"/>
      <c r="H4779" s="1055"/>
      <c r="I4779" s="1055"/>
      <c r="J4779" s="1055"/>
      <c r="K4779" s="1205"/>
      <c r="L4779" s="1055"/>
      <c r="M4779" s="1205"/>
      <c r="N4779" s="1054"/>
      <c r="O4779" s="1207"/>
      <c r="Q4779" s="1207"/>
    </row>
    <row r="4780" spans="3:17" s="700" customFormat="1" ht="70.5" hidden="1" customHeight="1">
      <c r="C4780" s="701"/>
      <c r="D4780" s="811"/>
      <c r="E4780" s="1276">
        <f>[11]building!Y5111</f>
        <v>0</v>
      </c>
      <c r="F4780" s="748">
        <f t="shared" si="313"/>
        <v>0</v>
      </c>
      <c r="G4780" s="1205"/>
      <c r="H4780" s="1055"/>
      <c r="I4780" s="1055"/>
      <c r="J4780" s="1055"/>
      <c r="K4780" s="1205"/>
      <c r="L4780" s="1055"/>
      <c r="M4780" s="1205"/>
      <c r="N4780" s="1054"/>
      <c r="O4780" s="1207"/>
      <c r="Q4780" s="1207"/>
    </row>
    <row r="4781" spans="3:17" s="700" customFormat="1" ht="70.5" hidden="1" customHeight="1">
      <c r="C4781" s="701"/>
      <c r="D4781" s="811"/>
      <c r="E4781" s="1276">
        <f>[11]building!Y5112</f>
        <v>0</v>
      </c>
      <c r="F4781" s="748">
        <f t="shared" si="313"/>
        <v>0</v>
      </c>
      <c r="G4781" s="1205"/>
      <c r="H4781" s="1055"/>
      <c r="I4781" s="1055"/>
      <c r="J4781" s="1055"/>
      <c r="K4781" s="1205"/>
      <c r="L4781" s="1055"/>
      <c r="M4781" s="1205"/>
      <c r="N4781" s="1054"/>
      <c r="O4781" s="1207"/>
      <c r="Q4781" s="1207"/>
    </row>
    <row r="4782" spans="3:17" s="700" customFormat="1" ht="70.5" hidden="1" customHeight="1">
      <c r="C4782" s="701"/>
      <c r="D4782" s="811"/>
      <c r="E4782" s="1276">
        <f>[11]building!Y5113</f>
        <v>0</v>
      </c>
      <c r="F4782" s="748">
        <f t="shared" si="313"/>
        <v>0</v>
      </c>
      <c r="G4782" s="1205"/>
      <c r="H4782" s="1055"/>
      <c r="I4782" s="1055"/>
      <c r="J4782" s="1055"/>
      <c r="K4782" s="1205"/>
      <c r="L4782" s="1055"/>
      <c r="M4782" s="1205"/>
      <c r="N4782" s="1054"/>
      <c r="O4782" s="1207"/>
      <c r="Q4782" s="1207"/>
    </row>
    <row r="4783" spans="3:17" s="700" customFormat="1" ht="70.5" hidden="1" customHeight="1">
      <c r="C4783" s="701"/>
      <c r="D4783" s="811"/>
      <c r="E4783" s="1276">
        <f>[11]building!Y5114</f>
        <v>0</v>
      </c>
      <c r="F4783" s="748">
        <f t="shared" si="313"/>
        <v>0</v>
      </c>
      <c r="G4783" s="1205"/>
      <c r="H4783" s="1055"/>
      <c r="I4783" s="1055"/>
      <c r="J4783" s="1055"/>
      <c r="K4783" s="1205"/>
      <c r="L4783" s="1055"/>
      <c r="M4783" s="1205"/>
      <c r="N4783" s="1054"/>
      <c r="O4783" s="1207"/>
      <c r="Q4783" s="1207"/>
    </row>
    <row r="4784" spans="3:17" s="700" customFormat="1" ht="70.5" hidden="1" customHeight="1">
      <c r="C4784" s="701"/>
      <c r="D4784" s="811"/>
      <c r="E4784" s="1276">
        <f>[11]building!Y5115</f>
        <v>0</v>
      </c>
      <c r="F4784" s="748">
        <f t="shared" si="313"/>
        <v>0</v>
      </c>
      <c r="G4784" s="1205"/>
      <c r="H4784" s="1055"/>
      <c r="I4784" s="1055"/>
      <c r="J4784" s="1055"/>
      <c r="K4784" s="1205"/>
      <c r="L4784" s="1055"/>
      <c r="M4784" s="1205"/>
      <c r="N4784" s="1054"/>
      <c r="O4784" s="1207"/>
      <c r="Q4784" s="1207"/>
    </row>
    <row r="4785" spans="3:17" s="700" customFormat="1" ht="70.5" hidden="1" customHeight="1">
      <c r="C4785" s="701"/>
      <c r="D4785" s="811"/>
      <c r="E4785" s="1276">
        <f>[11]building!Y5116</f>
        <v>0</v>
      </c>
      <c r="F4785" s="748">
        <f t="shared" si="313"/>
        <v>0</v>
      </c>
      <c r="G4785" s="1205"/>
      <c r="H4785" s="1055"/>
      <c r="I4785" s="1055"/>
      <c r="J4785" s="1055"/>
      <c r="K4785" s="1205"/>
      <c r="L4785" s="1055"/>
      <c r="M4785" s="1205"/>
      <c r="N4785" s="1054"/>
      <c r="O4785" s="1207"/>
      <c r="Q4785" s="1207"/>
    </row>
    <row r="4786" spans="3:17" s="700" customFormat="1" ht="70.5" hidden="1" customHeight="1">
      <c r="C4786" s="701"/>
      <c r="D4786" s="811"/>
      <c r="E4786" s="1276">
        <f>[11]building!Y5117</f>
        <v>0</v>
      </c>
      <c r="F4786" s="748">
        <f t="shared" si="313"/>
        <v>0</v>
      </c>
      <c r="G4786" s="1205"/>
      <c r="H4786" s="1055"/>
      <c r="I4786" s="1055"/>
      <c r="J4786" s="1055"/>
      <c r="K4786" s="1205"/>
      <c r="L4786" s="1055"/>
      <c r="M4786" s="1205"/>
      <c r="N4786" s="1054"/>
      <c r="O4786" s="1207"/>
      <c r="Q4786" s="1207"/>
    </row>
    <row r="4787" spans="3:17" s="700" customFormat="1" ht="70.5" hidden="1" customHeight="1">
      <c r="C4787" s="701"/>
      <c r="D4787" s="811"/>
      <c r="E4787" s="1276">
        <f>[11]building!Y5118</f>
        <v>0</v>
      </c>
      <c r="F4787" s="748">
        <f t="shared" si="313"/>
        <v>0</v>
      </c>
      <c r="G4787" s="1205"/>
      <c r="H4787" s="1055"/>
      <c r="I4787" s="1055"/>
      <c r="J4787" s="1055"/>
      <c r="K4787" s="1205"/>
      <c r="L4787" s="1055"/>
      <c r="M4787" s="1205"/>
      <c r="N4787" s="1054"/>
      <c r="O4787" s="1207"/>
      <c r="Q4787" s="1207"/>
    </row>
    <row r="4788" spans="3:17" s="700" customFormat="1" ht="70.5" hidden="1" customHeight="1">
      <c r="C4788" s="701"/>
      <c r="D4788" s="811"/>
      <c r="E4788" s="1276">
        <f>[11]building!Y5119</f>
        <v>0</v>
      </c>
      <c r="F4788" s="748">
        <f t="shared" si="313"/>
        <v>0</v>
      </c>
      <c r="G4788" s="1205"/>
      <c r="H4788" s="1055"/>
      <c r="I4788" s="1055"/>
      <c r="J4788" s="1055"/>
      <c r="K4788" s="1205"/>
      <c r="L4788" s="1055"/>
      <c r="M4788" s="1205"/>
      <c r="N4788" s="1054"/>
      <c r="O4788" s="1207"/>
      <c r="Q4788" s="1207"/>
    </row>
    <row r="4789" spans="3:17" s="700" customFormat="1" ht="70.5" hidden="1" customHeight="1">
      <c r="C4789" s="701"/>
      <c r="D4789" s="811"/>
      <c r="E4789" s="1276">
        <f>[11]building!Y5120</f>
        <v>0</v>
      </c>
      <c r="F4789" s="748">
        <f t="shared" si="313"/>
        <v>0</v>
      </c>
      <c r="G4789" s="1205"/>
      <c r="H4789" s="1055"/>
      <c r="I4789" s="1055"/>
      <c r="J4789" s="1055"/>
      <c r="K4789" s="1205"/>
      <c r="L4789" s="1055"/>
      <c r="M4789" s="1205"/>
      <c r="N4789" s="1054"/>
      <c r="O4789" s="1207"/>
      <c r="Q4789" s="1207"/>
    </row>
    <row r="4790" spans="3:17" s="700" customFormat="1" ht="70.5" hidden="1" customHeight="1">
      <c r="C4790" s="701"/>
      <c r="D4790" s="811"/>
      <c r="E4790" s="1276">
        <f>[11]building!Y5121</f>
        <v>0</v>
      </c>
      <c r="F4790" s="748">
        <f t="shared" si="313"/>
        <v>0</v>
      </c>
      <c r="G4790" s="1205"/>
      <c r="H4790" s="1055"/>
      <c r="I4790" s="1055"/>
      <c r="J4790" s="1055"/>
      <c r="K4790" s="1205"/>
      <c r="L4790" s="1055"/>
      <c r="M4790" s="1205"/>
      <c r="N4790" s="1054"/>
      <c r="O4790" s="1207"/>
      <c r="Q4790" s="1207"/>
    </row>
    <row r="4791" spans="3:17" s="700" customFormat="1" ht="70.5" hidden="1" customHeight="1">
      <c r="C4791" s="701"/>
      <c r="D4791" s="811"/>
      <c r="E4791" s="1276">
        <f>[11]building!Y5122</f>
        <v>0</v>
      </c>
      <c r="F4791" s="748">
        <f t="shared" si="313"/>
        <v>0</v>
      </c>
      <c r="G4791" s="1205"/>
      <c r="H4791" s="1055"/>
      <c r="I4791" s="1055"/>
      <c r="J4791" s="1055"/>
      <c r="K4791" s="1205"/>
      <c r="L4791" s="1055"/>
      <c r="M4791" s="1205"/>
      <c r="N4791" s="1054"/>
      <c r="O4791" s="1207"/>
      <c r="Q4791" s="1207"/>
    </row>
    <row r="4792" spans="3:17" s="700" customFormat="1" ht="70.5" hidden="1" customHeight="1">
      <c r="C4792" s="701"/>
      <c r="D4792" s="811"/>
      <c r="E4792" s="1276">
        <f>[11]building!Y5123</f>
        <v>0</v>
      </c>
      <c r="F4792" s="748">
        <f t="shared" si="313"/>
        <v>0</v>
      </c>
      <c r="G4792" s="1205"/>
      <c r="H4792" s="1055"/>
      <c r="I4792" s="1055"/>
      <c r="J4792" s="1055"/>
      <c r="K4792" s="1205"/>
      <c r="L4792" s="1055"/>
      <c r="M4792" s="1205"/>
      <c r="N4792" s="1054"/>
      <c r="O4792" s="1207"/>
      <c r="Q4792" s="1207"/>
    </row>
    <row r="4793" spans="3:17" s="700" customFormat="1" ht="70.5" hidden="1" customHeight="1">
      <c r="C4793" s="701"/>
      <c r="D4793" s="811"/>
      <c r="E4793" s="1276">
        <f>[11]building!Y5124</f>
        <v>0</v>
      </c>
      <c r="F4793" s="748">
        <f t="shared" si="313"/>
        <v>0</v>
      </c>
      <c r="G4793" s="1205"/>
      <c r="H4793" s="1055"/>
      <c r="I4793" s="1055"/>
      <c r="J4793" s="1055"/>
      <c r="K4793" s="1205"/>
      <c r="L4793" s="1055"/>
      <c r="M4793" s="1205"/>
      <c r="N4793" s="1054"/>
      <c r="O4793" s="1207"/>
      <c r="Q4793" s="1207"/>
    </row>
    <row r="4794" spans="3:17" s="700" customFormat="1" ht="70.5" hidden="1" customHeight="1">
      <c r="C4794" s="701"/>
      <c r="D4794" s="811"/>
      <c r="E4794" s="1276">
        <f>[11]building!Y5125</f>
        <v>0</v>
      </c>
      <c r="F4794" s="748">
        <f t="shared" si="313"/>
        <v>0</v>
      </c>
      <c r="G4794" s="1205"/>
      <c r="H4794" s="1055"/>
      <c r="I4794" s="1055"/>
      <c r="J4794" s="1055"/>
      <c r="K4794" s="1205"/>
      <c r="L4794" s="1055"/>
      <c r="M4794" s="1205"/>
      <c r="N4794" s="1054"/>
      <c r="O4794" s="1207"/>
      <c r="Q4794" s="1207"/>
    </row>
    <row r="4795" spans="3:17" s="700" customFormat="1" ht="70.5" hidden="1" customHeight="1">
      <c r="C4795" s="701"/>
      <c r="D4795" s="811"/>
      <c r="E4795" s="1276">
        <f>[11]building!Y5126</f>
        <v>0</v>
      </c>
      <c r="F4795" s="748">
        <f t="shared" si="313"/>
        <v>0</v>
      </c>
      <c r="G4795" s="1205"/>
      <c r="H4795" s="1055"/>
      <c r="I4795" s="1055"/>
      <c r="J4795" s="1055"/>
      <c r="K4795" s="1205"/>
      <c r="L4795" s="1055"/>
      <c r="M4795" s="1205"/>
      <c r="N4795" s="1054"/>
      <c r="O4795" s="1207"/>
      <c r="Q4795" s="1207"/>
    </row>
    <row r="4796" spans="3:17" s="700" customFormat="1" ht="70.5" hidden="1" customHeight="1">
      <c r="C4796" s="701"/>
      <c r="D4796" s="811"/>
      <c r="E4796" s="1276">
        <f>[11]building!Y5127</f>
        <v>0</v>
      </c>
      <c r="F4796" s="748">
        <f t="shared" si="313"/>
        <v>0</v>
      </c>
      <c r="G4796" s="1205"/>
      <c r="H4796" s="1055"/>
      <c r="I4796" s="1055"/>
      <c r="J4796" s="1055"/>
      <c r="K4796" s="1205"/>
      <c r="L4796" s="1055"/>
      <c r="M4796" s="1205"/>
      <c r="N4796" s="1054"/>
      <c r="O4796" s="1207"/>
      <c r="Q4796" s="1207"/>
    </row>
    <row r="4797" spans="3:17" s="700" customFormat="1" ht="70.5" hidden="1" customHeight="1">
      <c r="C4797" s="701"/>
      <c r="D4797" s="811"/>
      <c r="E4797" s="1276">
        <f>[11]building!Y5128</f>
        <v>0</v>
      </c>
      <c r="F4797" s="748">
        <f t="shared" si="313"/>
        <v>0</v>
      </c>
      <c r="G4797" s="1205"/>
      <c r="H4797" s="1055"/>
      <c r="I4797" s="1055"/>
      <c r="J4797" s="1055"/>
      <c r="K4797" s="1205"/>
      <c r="L4797" s="1055"/>
      <c r="M4797" s="1205"/>
      <c r="N4797" s="1054"/>
      <c r="O4797" s="1207"/>
      <c r="Q4797" s="1207"/>
    </row>
    <row r="4798" spans="3:17" s="700" customFormat="1" ht="70.5" hidden="1" customHeight="1">
      <c r="C4798" s="701"/>
      <c r="D4798" s="811"/>
      <c r="E4798" s="1276">
        <f>[11]building!Y5129</f>
        <v>0</v>
      </c>
      <c r="F4798" s="748">
        <f t="shared" si="313"/>
        <v>0</v>
      </c>
      <c r="G4798" s="1205"/>
      <c r="H4798" s="1055"/>
      <c r="I4798" s="1055"/>
      <c r="J4798" s="1055"/>
      <c r="K4798" s="1205"/>
      <c r="L4798" s="1055"/>
      <c r="M4798" s="1205"/>
      <c r="N4798" s="1054"/>
      <c r="O4798" s="1207"/>
      <c r="Q4798" s="1207"/>
    </row>
    <row r="4799" spans="3:17" s="700" customFormat="1" ht="70.5" hidden="1" customHeight="1">
      <c r="C4799" s="701"/>
      <c r="D4799" s="811"/>
      <c r="E4799" s="1276">
        <f>[11]building!Y5130</f>
        <v>0</v>
      </c>
      <c r="F4799" s="748">
        <f t="shared" si="313"/>
        <v>0</v>
      </c>
      <c r="G4799" s="1205"/>
      <c r="H4799" s="1055"/>
      <c r="I4799" s="1055"/>
      <c r="J4799" s="1055"/>
      <c r="K4799" s="1205"/>
      <c r="L4799" s="1055"/>
      <c r="M4799" s="1205"/>
      <c r="N4799" s="1054"/>
      <c r="O4799" s="1207"/>
      <c r="Q4799" s="1207"/>
    </row>
    <row r="4800" spans="3:17" s="700" customFormat="1" ht="70.5" hidden="1" customHeight="1">
      <c r="C4800" s="701"/>
      <c r="D4800" s="811"/>
      <c r="E4800" s="1276">
        <f>[11]building!Y5131</f>
        <v>0</v>
      </c>
      <c r="F4800" s="748">
        <f t="shared" ref="F4800:F4863" si="314">E4800*C4800</f>
        <v>0</v>
      </c>
      <c r="G4800" s="1205"/>
      <c r="H4800" s="1055"/>
      <c r="I4800" s="1055"/>
      <c r="J4800" s="1055"/>
      <c r="K4800" s="1205"/>
      <c r="L4800" s="1055"/>
      <c r="M4800" s="1205"/>
      <c r="N4800" s="1054"/>
      <c r="O4800" s="1207"/>
      <c r="Q4800" s="1207"/>
    </row>
    <row r="4801" spans="3:17" s="700" customFormat="1" ht="70.5" hidden="1" customHeight="1">
      <c r="C4801" s="701"/>
      <c r="D4801" s="811"/>
      <c r="E4801" s="1276">
        <f>[11]building!Y5132</f>
        <v>0</v>
      </c>
      <c r="F4801" s="748">
        <f t="shared" si="314"/>
        <v>0</v>
      </c>
      <c r="G4801" s="1205"/>
      <c r="H4801" s="1055"/>
      <c r="I4801" s="1055"/>
      <c r="J4801" s="1055"/>
      <c r="K4801" s="1205"/>
      <c r="L4801" s="1055"/>
      <c r="M4801" s="1205"/>
      <c r="N4801" s="1054"/>
      <c r="O4801" s="1207"/>
      <c r="Q4801" s="1207"/>
    </row>
    <row r="4802" spans="3:17" s="700" customFormat="1" ht="70.5" hidden="1" customHeight="1">
      <c r="C4802" s="701"/>
      <c r="D4802" s="811"/>
      <c r="E4802" s="1276">
        <f>[11]building!Y5133</f>
        <v>0</v>
      </c>
      <c r="F4802" s="748">
        <f t="shared" si="314"/>
        <v>0</v>
      </c>
      <c r="G4802" s="1205"/>
      <c r="H4802" s="1055"/>
      <c r="I4802" s="1055"/>
      <c r="J4802" s="1055"/>
      <c r="K4802" s="1205"/>
      <c r="L4802" s="1055"/>
      <c r="M4802" s="1205"/>
      <c r="N4802" s="1054"/>
      <c r="O4802" s="1207"/>
      <c r="Q4802" s="1207"/>
    </row>
    <row r="4803" spans="3:17" s="700" customFormat="1" ht="70.5" hidden="1" customHeight="1">
      <c r="C4803" s="701"/>
      <c r="D4803" s="811"/>
      <c r="E4803" s="1276">
        <f>[11]building!Y5134</f>
        <v>0</v>
      </c>
      <c r="F4803" s="748">
        <f t="shared" si="314"/>
        <v>0</v>
      </c>
      <c r="G4803" s="1205"/>
      <c r="H4803" s="1055"/>
      <c r="I4803" s="1055"/>
      <c r="J4803" s="1055"/>
      <c r="K4803" s="1205"/>
      <c r="L4803" s="1055"/>
      <c r="M4803" s="1205"/>
      <c r="N4803" s="1054"/>
      <c r="O4803" s="1207"/>
      <c r="Q4803" s="1207"/>
    </row>
    <row r="4804" spans="3:17" s="700" customFormat="1" ht="70.5" hidden="1" customHeight="1">
      <c r="C4804" s="701"/>
      <c r="D4804" s="811"/>
      <c r="E4804" s="1276">
        <f>[11]building!Y5135</f>
        <v>0</v>
      </c>
      <c r="F4804" s="748">
        <f t="shared" si="314"/>
        <v>0</v>
      </c>
      <c r="G4804" s="1205"/>
      <c r="H4804" s="1055"/>
      <c r="I4804" s="1055"/>
      <c r="J4804" s="1055"/>
      <c r="K4804" s="1205"/>
      <c r="L4804" s="1055"/>
      <c r="M4804" s="1205"/>
      <c r="N4804" s="1054"/>
      <c r="O4804" s="1207"/>
      <c r="Q4804" s="1207"/>
    </row>
    <row r="4805" spans="3:17" s="700" customFormat="1" ht="70.5" hidden="1" customHeight="1">
      <c r="C4805" s="701"/>
      <c r="D4805" s="811"/>
      <c r="E4805" s="1276">
        <f>[11]building!Y5136</f>
        <v>0</v>
      </c>
      <c r="F4805" s="748">
        <f t="shared" si="314"/>
        <v>0</v>
      </c>
      <c r="G4805" s="1205"/>
      <c r="H4805" s="1055"/>
      <c r="I4805" s="1055"/>
      <c r="J4805" s="1055"/>
      <c r="K4805" s="1205"/>
      <c r="L4805" s="1055"/>
      <c r="M4805" s="1205"/>
      <c r="N4805" s="1054"/>
      <c r="O4805" s="1207"/>
      <c r="Q4805" s="1207"/>
    </row>
    <row r="4806" spans="3:17" s="700" customFormat="1" ht="70.5" hidden="1" customHeight="1">
      <c r="C4806" s="701"/>
      <c r="D4806" s="811"/>
      <c r="E4806" s="1276">
        <f>[11]building!Y5137</f>
        <v>0</v>
      </c>
      <c r="F4806" s="748">
        <f t="shared" si="314"/>
        <v>0</v>
      </c>
      <c r="G4806" s="1205"/>
      <c r="H4806" s="1055"/>
      <c r="I4806" s="1055"/>
      <c r="J4806" s="1055"/>
      <c r="K4806" s="1205"/>
      <c r="L4806" s="1055"/>
      <c r="M4806" s="1205"/>
      <c r="N4806" s="1054"/>
      <c r="O4806" s="1207"/>
      <c r="Q4806" s="1207"/>
    </row>
    <row r="4807" spans="3:17" s="700" customFormat="1" ht="70.5" hidden="1" customHeight="1">
      <c r="C4807" s="701"/>
      <c r="D4807" s="811"/>
      <c r="E4807" s="1276">
        <f>[11]building!Y5138</f>
        <v>0</v>
      </c>
      <c r="F4807" s="748">
        <f t="shared" si="314"/>
        <v>0</v>
      </c>
      <c r="G4807" s="1205"/>
      <c r="H4807" s="1055"/>
      <c r="I4807" s="1055"/>
      <c r="J4807" s="1055"/>
      <c r="K4807" s="1205"/>
      <c r="L4807" s="1055"/>
      <c r="M4807" s="1205"/>
      <c r="N4807" s="1054"/>
      <c r="O4807" s="1207"/>
      <c r="Q4807" s="1207"/>
    </row>
    <row r="4808" spans="3:17" s="700" customFormat="1" ht="70.5" hidden="1" customHeight="1">
      <c r="C4808" s="701"/>
      <c r="D4808" s="811"/>
      <c r="E4808" s="1276">
        <f>[11]building!Y5139</f>
        <v>0</v>
      </c>
      <c r="F4808" s="748">
        <f t="shared" si="314"/>
        <v>0</v>
      </c>
      <c r="G4808" s="1205"/>
      <c r="H4808" s="1055"/>
      <c r="I4808" s="1055"/>
      <c r="J4808" s="1055"/>
      <c r="K4808" s="1205"/>
      <c r="L4808" s="1055"/>
      <c r="M4808" s="1205"/>
      <c r="N4808" s="1054"/>
      <c r="O4808" s="1207"/>
      <c r="Q4808" s="1207"/>
    </row>
    <row r="4809" spans="3:17" s="700" customFormat="1" ht="70.5" hidden="1" customHeight="1">
      <c r="C4809" s="701"/>
      <c r="D4809" s="811"/>
      <c r="E4809" s="1276">
        <f>[11]building!Y5140</f>
        <v>0</v>
      </c>
      <c r="F4809" s="748">
        <f t="shared" si="314"/>
        <v>0</v>
      </c>
      <c r="G4809" s="1205"/>
      <c r="H4809" s="1055"/>
      <c r="I4809" s="1055"/>
      <c r="J4809" s="1055"/>
      <c r="K4809" s="1205"/>
      <c r="L4809" s="1055"/>
      <c r="M4809" s="1205"/>
      <c r="N4809" s="1054"/>
      <c r="O4809" s="1207"/>
      <c r="Q4809" s="1207"/>
    </row>
    <row r="4810" spans="3:17" s="700" customFormat="1" ht="70.5" hidden="1" customHeight="1">
      <c r="C4810" s="701"/>
      <c r="D4810" s="811"/>
      <c r="E4810" s="1276">
        <f>[11]building!Y5141</f>
        <v>0</v>
      </c>
      <c r="F4810" s="748">
        <f t="shared" si="314"/>
        <v>0</v>
      </c>
      <c r="G4810" s="1205"/>
      <c r="H4810" s="1055"/>
      <c r="I4810" s="1055"/>
      <c r="J4810" s="1055"/>
      <c r="K4810" s="1205"/>
      <c r="L4810" s="1055"/>
      <c r="M4810" s="1205"/>
      <c r="N4810" s="1054"/>
      <c r="O4810" s="1207"/>
      <c r="Q4810" s="1207"/>
    </row>
    <row r="4811" spans="3:17" s="700" customFormat="1" ht="70.5" hidden="1" customHeight="1">
      <c r="C4811" s="701"/>
      <c r="D4811" s="811"/>
      <c r="E4811" s="1276">
        <f>[11]building!Y5142</f>
        <v>0</v>
      </c>
      <c r="F4811" s="748">
        <f t="shared" si="314"/>
        <v>0</v>
      </c>
      <c r="G4811" s="1205"/>
      <c r="H4811" s="1055"/>
      <c r="I4811" s="1055"/>
      <c r="J4811" s="1055"/>
      <c r="K4811" s="1205"/>
      <c r="L4811" s="1055"/>
      <c r="M4811" s="1205"/>
      <c r="N4811" s="1054"/>
      <c r="O4811" s="1207"/>
      <c r="Q4811" s="1207"/>
    </row>
    <row r="4812" spans="3:17" s="700" customFormat="1" ht="70.5" hidden="1" customHeight="1">
      <c r="C4812" s="701"/>
      <c r="D4812" s="811"/>
      <c r="E4812" s="1276">
        <f>[11]building!Y5143</f>
        <v>0</v>
      </c>
      <c r="F4812" s="748">
        <f t="shared" si="314"/>
        <v>0</v>
      </c>
      <c r="G4812" s="1205"/>
      <c r="H4812" s="1055"/>
      <c r="I4812" s="1055"/>
      <c r="J4812" s="1055"/>
      <c r="K4812" s="1205"/>
      <c r="L4812" s="1055"/>
      <c r="M4812" s="1205"/>
      <c r="N4812" s="1054"/>
      <c r="O4812" s="1207"/>
      <c r="Q4812" s="1207"/>
    </row>
    <row r="4813" spans="3:17" s="700" customFormat="1" ht="70.5" hidden="1" customHeight="1">
      <c r="C4813" s="701"/>
      <c r="D4813" s="811"/>
      <c r="E4813" s="1276">
        <f>[11]building!Y5144</f>
        <v>0</v>
      </c>
      <c r="F4813" s="748">
        <f t="shared" si="314"/>
        <v>0</v>
      </c>
      <c r="G4813" s="1205"/>
      <c r="H4813" s="1055"/>
      <c r="I4813" s="1055"/>
      <c r="J4813" s="1055"/>
      <c r="K4813" s="1205"/>
      <c r="L4813" s="1055"/>
      <c r="M4813" s="1205"/>
      <c r="N4813" s="1054"/>
      <c r="O4813" s="1207"/>
      <c r="Q4813" s="1207"/>
    </row>
    <row r="4814" spans="3:17" s="700" customFormat="1" ht="70.5" hidden="1" customHeight="1">
      <c r="C4814" s="701"/>
      <c r="D4814" s="811"/>
      <c r="E4814" s="1276">
        <f>[11]building!Y5145</f>
        <v>0</v>
      </c>
      <c r="F4814" s="748">
        <f t="shared" si="314"/>
        <v>0</v>
      </c>
      <c r="G4814" s="1205"/>
      <c r="H4814" s="1055"/>
      <c r="I4814" s="1055"/>
      <c r="J4814" s="1055"/>
      <c r="K4814" s="1205"/>
      <c r="L4814" s="1055"/>
      <c r="M4814" s="1205"/>
      <c r="N4814" s="1054"/>
      <c r="O4814" s="1207"/>
      <c r="Q4814" s="1207"/>
    </row>
    <row r="4815" spans="3:17" s="700" customFormat="1" ht="70.5" hidden="1" customHeight="1">
      <c r="C4815" s="701"/>
      <c r="D4815" s="811"/>
      <c r="E4815" s="1276">
        <f>[11]building!Y5146</f>
        <v>0</v>
      </c>
      <c r="F4815" s="748">
        <f t="shared" si="314"/>
        <v>0</v>
      </c>
      <c r="G4815" s="1205"/>
      <c r="H4815" s="1055"/>
      <c r="I4815" s="1055"/>
      <c r="J4815" s="1055"/>
      <c r="K4815" s="1205"/>
      <c r="L4815" s="1055"/>
      <c r="M4815" s="1205"/>
      <c r="N4815" s="1054"/>
      <c r="O4815" s="1207"/>
      <c r="Q4815" s="1207"/>
    </row>
    <row r="4816" spans="3:17" s="700" customFormat="1" ht="70.5" hidden="1" customHeight="1">
      <c r="C4816" s="701"/>
      <c r="D4816" s="811"/>
      <c r="E4816" s="1276">
        <f>[11]building!Y5147</f>
        <v>0</v>
      </c>
      <c r="F4816" s="748">
        <f t="shared" si="314"/>
        <v>0</v>
      </c>
      <c r="G4816" s="1205"/>
      <c r="H4816" s="1055"/>
      <c r="I4816" s="1055"/>
      <c r="J4816" s="1055"/>
      <c r="K4816" s="1205"/>
      <c r="L4816" s="1055"/>
      <c r="M4816" s="1205"/>
      <c r="N4816" s="1054"/>
      <c r="O4816" s="1207"/>
      <c r="Q4816" s="1207"/>
    </row>
    <row r="4817" spans="3:17" s="700" customFormat="1" ht="70.5" hidden="1" customHeight="1">
      <c r="C4817" s="701"/>
      <c r="D4817" s="811"/>
      <c r="E4817" s="1276">
        <f>[11]building!Y5148</f>
        <v>0</v>
      </c>
      <c r="F4817" s="748">
        <f t="shared" si="314"/>
        <v>0</v>
      </c>
      <c r="G4817" s="1205"/>
      <c r="H4817" s="1055"/>
      <c r="I4817" s="1055"/>
      <c r="J4817" s="1055"/>
      <c r="K4817" s="1205"/>
      <c r="L4817" s="1055"/>
      <c r="M4817" s="1205"/>
      <c r="N4817" s="1054"/>
      <c r="O4817" s="1207"/>
      <c r="Q4817" s="1207"/>
    </row>
    <row r="4818" spans="3:17" s="700" customFormat="1" ht="70.5" hidden="1" customHeight="1">
      <c r="C4818" s="701"/>
      <c r="D4818" s="811"/>
      <c r="E4818" s="1276">
        <f>[11]building!Y5149</f>
        <v>0</v>
      </c>
      <c r="F4818" s="748">
        <f t="shared" si="314"/>
        <v>0</v>
      </c>
      <c r="G4818" s="1205"/>
      <c r="H4818" s="1055"/>
      <c r="I4818" s="1055"/>
      <c r="J4818" s="1055"/>
      <c r="K4818" s="1205"/>
      <c r="L4818" s="1055"/>
      <c r="M4818" s="1205"/>
      <c r="N4818" s="1054"/>
      <c r="O4818" s="1207"/>
      <c r="Q4818" s="1207"/>
    </row>
    <row r="4819" spans="3:17" s="700" customFormat="1" ht="70.5" hidden="1" customHeight="1">
      <c r="C4819" s="701"/>
      <c r="D4819" s="811"/>
      <c r="E4819" s="1276">
        <f>[11]building!Y5150</f>
        <v>0</v>
      </c>
      <c r="F4819" s="748">
        <f t="shared" si="314"/>
        <v>0</v>
      </c>
      <c r="G4819" s="1205"/>
      <c r="H4819" s="1055"/>
      <c r="I4819" s="1055"/>
      <c r="J4819" s="1055"/>
      <c r="K4819" s="1205"/>
      <c r="L4819" s="1055"/>
      <c r="M4819" s="1205"/>
      <c r="N4819" s="1054"/>
      <c r="O4819" s="1207"/>
      <c r="Q4819" s="1207"/>
    </row>
    <row r="4820" spans="3:17" s="700" customFormat="1" ht="70.5" hidden="1" customHeight="1">
      <c r="C4820" s="701"/>
      <c r="D4820" s="811"/>
      <c r="E4820" s="1276">
        <f>[11]building!Y5151</f>
        <v>0</v>
      </c>
      <c r="F4820" s="748">
        <f t="shared" si="314"/>
        <v>0</v>
      </c>
      <c r="G4820" s="1205"/>
      <c r="H4820" s="1055"/>
      <c r="I4820" s="1055"/>
      <c r="J4820" s="1055"/>
      <c r="K4820" s="1205"/>
      <c r="L4820" s="1055"/>
      <c r="M4820" s="1205"/>
      <c r="N4820" s="1054"/>
      <c r="O4820" s="1207"/>
      <c r="Q4820" s="1207"/>
    </row>
    <row r="4821" spans="3:17" s="700" customFormat="1" ht="70.5" hidden="1" customHeight="1">
      <c r="C4821" s="701"/>
      <c r="D4821" s="811"/>
      <c r="E4821" s="1276">
        <f>[11]building!Y5152</f>
        <v>0</v>
      </c>
      <c r="F4821" s="748">
        <f t="shared" si="314"/>
        <v>0</v>
      </c>
      <c r="G4821" s="1205"/>
      <c r="H4821" s="1055"/>
      <c r="I4821" s="1055"/>
      <c r="J4821" s="1055"/>
      <c r="K4821" s="1205"/>
      <c r="L4821" s="1055"/>
      <c r="M4821" s="1205"/>
      <c r="N4821" s="1054"/>
      <c r="O4821" s="1207"/>
      <c r="Q4821" s="1207"/>
    </row>
    <row r="4822" spans="3:17" s="700" customFormat="1" ht="70.5" hidden="1" customHeight="1">
      <c r="C4822" s="701"/>
      <c r="D4822" s="811"/>
      <c r="E4822" s="1276">
        <f>[11]building!Y5153</f>
        <v>0</v>
      </c>
      <c r="F4822" s="748">
        <f t="shared" si="314"/>
        <v>0</v>
      </c>
      <c r="G4822" s="1205"/>
      <c r="H4822" s="1055"/>
      <c r="I4822" s="1055"/>
      <c r="J4822" s="1055"/>
      <c r="K4822" s="1205"/>
      <c r="L4822" s="1055"/>
      <c r="M4822" s="1205"/>
      <c r="N4822" s="1054"/>
      <c r="O4822" s="1207"/>
      <c r="Q4822" s="1207"/>
    </row>
    <row r="4823" spans="3:17" s="700" customFormat="1" ht="70.5" hidden="1" customHeight="1">
      <c r="C4823" s="701"/>
      <c r="D4823" s="811"/>
      <c r="E4823" s="1276">
        <f>[11]building!Y5154</f>
        <v>0</v>
      </c>
      <c r="F4823" s="748">
        <f t="shared" si="314"/>
        <v>0</v>
      </c>
      <c r="G4823" s="1205"/>
      <c r="H4823" s="1055"/>
      <c r="I4823" s="1055"/>
      <c r="J4823" s="1055"/>
      <c r="K4823" s="1205"/>
      <c r="L4823" s="1055"/>
      <c r="M4823" s="1205"/>
      <c r="N4823" s="1054"/>
      <c r="O4823" s="1207"/>
      <c r="Q4823" s="1207"/>
    </row>
    <row r="4824" spans="3:17" s="700" customFormat="1" ht="70.5" hidden="1" customHeight="1">
      <c r="C4824" s="701"/>
      <c r="D4824" s="811"/>
      <c r="E4824" s="1276">
        <f>[11]building!Y5155</f>
        <v>0</v>
      </c>
      <c r="F4824" s="748">
        <f t="shared" si="314"/>
        <v>0</v>
      </c>
      <c r="G4824" s="1205"/>
      <c r="H4824" s="1055"/>
      <c r="I4824" s="1055"/>
      <c r="J4824" s="1055"/>
      <c r="K4824" s="1205"/>
      <c r="L4824" s="1055"/>
      <c r="M4824" s="1205"/>
      <c r="N4824" s="1054"/>
      <c r="O4824" s="1207"/>
      <c r="Q4824" s="1207"/>
    </row>
    <row r="4825" spans="3:17" s="700" customFormat="1" ht="70.5" hidden="1" customHeight="1">
      <c r="C4825" s="701"/>
      <c r="D4825" s="811"/>
      <c r="E4825" s="1276">
        <f>[11]building!Y5156</f>
        <v>0</v>
      </c>
      <c r="F4825" s="748">
        <f t="shared" si="314"/>
        <v>0</v>
      </c>
      <c r="G4825" s="1205"/>
      <c r="H4825" s="1055"/>
      <c r="I4825" s="1055"/>
      <c r="J4825" s="1055"/>
      <c r="K4825" s="1205"/>
      <c r="L4825" s="1055"/>
      <c r="M4825" s="1205"/>
      <c r="N4825" s="1054"/>
      <c r="O4825" s="1207"/>
      <c r="Q4825" s="1207"/>
    </row>
    <row r="4826" spans="3:17" s="700" customFormat="1" ht="70.5" hidden="1" customHeight="1">
      <c r="C4826" s="701"/>
      <c r="D4826" s="811"/>
      <c r="E4826" s="1276">
        <f>[11]building!Y5157</f>
        <v>0</v>
      </c>
      <c r="F4826" s="748">
        <f t="shared" si="314"/>
        <v>0</v>
      </c>
      <c r="G4826" s="1205"/>
      <c r="H4826" s="1055"/>
      <c r="I4826" s="1055"/>
      <c r="J4826" s="1055"/>
      <c r="K4826" s="1205"/>
      <c r="L4826" s="1055"/>
      <c r="M4826" s="1205"/>
      <c r="N4826" s="1054"/>
      <c r="O4826" s="1207"/>
      <c r="Q4826" s="1207"/>
    </row>
    <row r="4827" spans="3:17" s="700" customFormat="1" ht="70.5" hidden="1" customHeight="1">
      <c r="C4827" s="701"/>
      <c r="D4827" s="811"/>
      <c r="E4827" s="1276">
        <f>[11]building!Y5158</f>
        <v>0</v>
      </c>
      <c r="F4827" s="748">
        <f t="shared" si="314"/>
        <v>0</v>
      </c>
      <c r="G4827" s="1205"/>
      <c r="H4827" s="1055"/>
      <c r="I4827" s="1055"/>
      <c r="J4827" s="1055"/>
      <c r="K4827" s="1205"/>
      <c r="L4827" s="1055"/>
      <c r="M4827" s="1205"/>
      <c r="N4827" s="1054"/>
      <c r="O4827" s="1207"/>
      <c r="Q4827" s="1207"/>
    </row>
    <row r="4828" spans="3:17" s="700" customFormat="1" ht="70.5" hidden="1" customHeight="1">
      <c r="C4828" s="701"/>
      <c r="D4828" s="811"/>
      <c r="E4828" s="1276">
        <f>[11]building!Y5159</f>
        <v>0</v>
      </c>
      <c r="F4828" s="748">
        <f t="shared" si="314"/>
        <v>0</v>
      </c>
      <c r="G4828" s="1205"/>
      <c r="H4828" s="1055"/>
      <c r="I4828" s="1055"/>
      <c r="J4828" s="1055"/>
      <c r="K4828" s="1205"/>
      <c r="L4828" s="1055"/>
      <c r="M4828" s="1205"/>
      <c r="N4828" s="1054"/>
      <c r="O4828" s="1207"/>
      <c r="Q4828" s="1207"/>
    </row>
    <row r="4829" spans="3:17" s="700" customFormat="1" ht="70.5" hidden="1" customHeight="1">
      <c r="C4829" s="701"/>
      <c r="D4829" s="811"/>
      <c r="E4829" s="1276">
        <f>[11]building!Y5160</f>
        <v>0</v>
      </c>
      <c r="F4829" s="748">
        <f t="shared" si="314"/>
        <v>0</v>
      </c>
      <c r="G4829" s="1205"/>
      <c r="H4829" s="1055"/>
      <c r="I4829" s="1055"/>
      <c r="J4829" s="1055"/>
      <c r="K4829" s="1205"/>
      <c r="L4829" s="1055"/>
      <c r="M4829" s="1205"/>
      <c r="N4829" s="1054"/>
      <c r="O4829" s="1207"/>
      <c r="Q4829" s="1207"/>
    </row>
    <row r="4830" spans="3:17" s="700" customFormat="1" ht="70.5" hidden="1" customHeight="1">
      <c r="C4830" s="701"/>
      <c r="D4830" s="811"/>
      <c r="E4830" s="1276">
        <f>[11]building!Y5161</f>
        <v>0</v>
      </c>
      <c r="F4830" s="748">
        <f t="shared" si="314"/>
        <v>0</v>
      </c>
      <c r="G4830" s="1205"/>
      <c r="H4830" s="1055"/>
      <c r="I4830" s="1055"/>
      <c r="J4830" s="1055"/>
      <c r="K4830" s="1205"/>
      <c r="L4830" s="1055"/>
      <c r="M4830" s="1205"/>
      <c r="N4830" s="1054"/>
      <c r="O4830" s="1207"/>
      <c r="Q4830" s="1207"/>
    </row>
    <row r="4831" spans="3:17" s="700" customFormat="1" ht="70.5" hidden="1" customHeight="1">
      <c r="C4831" s="701"/>
      <c r="D4831" s="811"/>
      <c r="E4831" s="1276">
        <f>[11]building!Y5162</f>
        <v>0</v>
      </c>
      <c r="F4831" s="748">
        <f t="shared" si="314"/>
        <v>0</v>
      </c>
      <c r="G4831" s="1205"/>
      <c r="H4831" s="1055"/>
      <c r="I4831" s="1055"/>
      <c r="J4831" s="1055"/>
      <c r="K4831" s="1205"/>
      <c r="L4831" s="1055"/>
      <c r="M4831" s="1205"/>
      <c r="N4831" s="1054"/>
      <c r="O4831" s="1207"/>
      <c r="Q4831" s="1207"/>
    </row>
    <row r="4832" spans="3:17" s="700" customFormat="1" ht="70.5" hidden="1" customHeight="1">
      <c r="C4832" s="701"/>
      <c r="D4832" s="811"/>
      <c r="E4832" s="1276">
        <f>[11]building!Y5163</f>
        <v>0</v>
      </c>
      <c r="F4832" s="748">
        <f t="shared" si="314"/>
        <v>0</v>
      </c>
      <c r="G4832" s="1205"/>
      <c r="H4832" s="1055"/>
      <c r="I4832" s="1055"/>
      <c r="J4832" s="1055"/>
      <c r="K4832" s="1205"/>
      <c r="L4832" s="1055"/>
      <c r="M4832" s="1205"/>
      <c r="N4832" s="1054"/>
      <c r="O4832" s="1207"/>
      <c r="Q4832" s="1207"/>
    </row>
    <row r="4833" spans="3:17" s="700" customFormat="1" ht="70.5" hidden="1" customHeight="1">
      <c r="C4833" s="701"/>
      <c r="D4833" s="811"/>
      <c r="E4833" s="1276">
        <f>[11]building!Y5164</f>
        <v>0</v>
      </c>
      <c r="F4833" s="748">
        <f t="shared" si="314"/>
        <v>0</v>
      </c>
      <c r="G4833" s="1205"/>
      <c r="H4833" s="1055"/>
      <c r="I4833" s="1055"/>
      <c r="J4833" s="1055"/>
      <c r="K4833" s="1205"/>
      <c r="L4833" s="1055"/>
      <c r="M4833" s="1205"/>
      <c r="N4833" s="1054"/>
      <c r="O4833" s="1207"/>
      <c r="Q4833" s="1207"/>
    </row>
    <row r="4834" spans="3:17" s="700" customFormat="1" ht="70.5" hidden="1" customHeight="1">
      <c r="C4834" s="701"/>
      <c r="D4834" s="811"/>
      <c r="E4834" s="1276">
        <f>[11]building!Y5165</f>
        <v>0</v>
      </c>
      <c r="F4834" s="748">
        <f t="shared" si="314"/>
        <v>0</v>
      </c>
      <c r="G4834" s="1205"/>
      <c r="H4834" s="1055"/>
      <c r="I4834" s="1055"/>
      <c r="J4834" s="1055"/>
      <c r="K4834" s="1205"/>
      <c r="L4834" s="1055"/>
      <c r="M4834" s="1205"/>
      <c r="N4834" s="1054"/>
      <c r="O4834" s="1207"/>
      <c r="Q4834" s="1207"/>
    </row>
    <row r="4835" spans="3:17" s="700" customFormat="1" ht="70.5" hidden="1" customHeight="1">
      <c r="C4835" s="701"/>
      <c r="D4835" s="811"/>
      <c r="E4835" s="1276">
        <f>[11]building!Y5166</f>
        <v>0</v>
      </c>
      <c r="F4835" s="748">
        <f t="shared" si="314"/>
        <v>0</v>
      </c>
      <c r="G4835" s="1205"/>
      <c r="H4835" s="1055"/>
      <c r="I4835" s="1055"/>
      <c r="J4835" s="1055"/>
      <c r="K4835" s="1205"/>
      <c r="L4835" s="1055"/>
      <c r="M4835" s="1205"/>
      <c r="N4835" s="1054"/>
      <c r="O4835" s="1207"/>
      <c r="Q4835" s="1207"/>
    </row>
    <row r="4836" spans="3:17" s="700" customFormat="1" ht="70.5" hidden="1" customHeight="1">
      <c r="C4836" s="701"/>
      <c r="D4836" s="811"/>
      <c r="E4836" s="1276">
        <f>[11]building!Y5167</f>
        <v>0</v>
      </c>
      <c r="F4836" s="748">
        <f t="shared" si="314"/>
        <v>0</v>
      </c>
      <c r="G4836" s="1205"/>
      <c r="H4836" s="1055"/>
      <c r="I4836" s="1055"/>
      <c r="J4836" s="1055"/>
      <c r="K4836" s="1205"/>
      <c r="L4836" s="1055"/>
      <c r="M4836" s="1205"/>
      <c r="N4836" s="1054"/>
      <c r="O4836" s="1207"/>
      <c r="Q4836" s="1207"/>
    </row>
    <row r="4837" spans="3:17" s="700" customFormat="1" ht="70.5" hidden="1" customHeight="1">
      <c r="C4837" s="701"/>
      <c r="D4837" s="811"/>
      <c r="E4837" s="1276">
        <f>[11]building!Y5168</f>
        <v>0</v>
      </c>
      <c r="F4837" s="748">
        <f t="shared" si="314"/>
        <v>0</v>
      </c>
      <c r="G4837" s="1205"/>
      <c r="H4837" s="1055"/>
      <c r="I4837" s="1055"/>
      <c r="J4837" s="1055"/>
      <c r="K4837" s="1205"/>
      <c r="L4837" s="1055"/>
      <c r="M4837" s="1205"/>
      <c r="N4837" s="1054"/>
      <c r="O4837" s="1207"/>
      <c r="Q4837" s="1207"/>
    </row>
    <row r="4838" spans="3:17" s="700" customFormat="1" ht="70.5" hidden="1" customHeight="1">
      <c r="C4838" s="701"/>
      <c r="D4838" s="811"/>
      <c r="E4838" s="1276">
        <f>[11]building!Y5169</f>
        <v>0</v>
      </c>
      <c r="F4838" s="748">
        <f t="shared" si="314"/>
        <v>0</v>
      </c>
      <c r="G4838" s="1205"/>
      <c r="H4838" s="1055"/>
      <c r="I4838" s="1055"/>
      <c r="J4838" s="1055"/>
      <c r="K4838" s="1205"/>
      <c r="L4838" s="1055"/>
      <c r="M4838" s="1205"/>
      <c r="N4838" s="1054"/>
      <c r="O4838" s="1207"/>
      <c r="Q4838" s="1207"/>
    </row>
    <row r="4839" spans="3:17" s="700" customFormat="1" ht="70.5" hidden="1" customHeight="1">
      <c r="C4839" s="701"/>
      <c r="D4839" s="811"/>
      <c r="E4839" s="1276">
        <f>[11]building!Y5170</f>
        <v>0</v>
      </c>
      <c r="F4839" s="748">
        <f t="shared" si="314"/>
        <v>0</v>
      </c>
      <c r="G4839" s="1205"/>
      <c r="H4839" s="1055"/>
      <c r="I4839" s="1055"/>
      <c r="J4839" s="1055"/>
      <c r="K4839" s="1205"/>
      <c r="L4839" s="1055"/>
      <c r="M4839" s="1205"/>
      <c r="N4839" s="1054"/>
      <c r="O4839" s="1207"/>
      <c r="Q4839" s="1207"/>
    </row>
    <row r="4840" spans="3:17" s="700" customFormat="1" ht="70.5" hidden="1" customHeight="1">
      <c r="C4840" s="701"/>
      <c r="D4840" s="811"/>
      <c r="E4840" s="1276">
        <f>[11]building!Y5171</f>
        <v>0</v>
      </c>
      <c r="F4840" s="748">
        <f t="shared" si="314"/>
        <v>0</v>
      </c>
      <c r="G4840" s="1205"/>
      <c r="H4840" s="1055"/>
      <c r="I4840" s="1055"/>
      <c r="J4840" s="1055"/>
      <c r="K4840" s="1205"/>
      <c r="L4840" s="1055"/>
      <c r="M4840" s="1205"/>
      <c r="N4840" s="1054"/>
      <c r="O4840" s="1207"/>
      <c r="Q4840" s="1207"/>
    </row>
    <row r="4841" spans="3:17" s="700" customFormat="1" ht="70.5" hidden="1" customHeight="1">
      <c r="C4841" s="701"/>
      <c r="D4841" s="811"/>
      <c r="E4841" s="1276">
        <f>[11]building!Y5172</f>
        <v>0</v>
      </c>
      <c r="F4841" s="748">
        <f t="shared" si="314"/>
        <v>0</v>
      </c>
      <c r="G4841" s="1205"/>
      <c r="H4841" s="1055"/>
      <c r="I4841" s="1055"/>
      <c r="J4841" s="1055"/>
      <c r="K4841" s="1205"/>
      <c r="L4841" s="1055"/>
      <c r="M4841" s="1205"/>
      <c r="N4841" s="1054"/>
      <c r="O4841" s="1207"/>
      <c r="Q4841" s="1207"/>
    </row>
    <row r="4842" spans="3:17" s="700" customFormat="1" ht="70.5" hidden="1" customHeight="1">
      <c r="C4842" s="701"/>
      <c r="D4842" s="811"/>
      <c r="E4842" s="1276">
        <f>[11]building!Y5173</f>
        <v>0</v>
      </c>
      <c r="F4842" s="748">
        <f t="shared" si="314"/>
        <v>0</v>
      </c>
      <c r="G4842" s="1205"/>
      <c r="H4842" s="1055"/>
      <c r="I4842" s="1055"/>
      <c r="J4842" s="1055"/>
      <c r="K4842" s="1205"/>
      <c r="L4842" s="1055"/>
      <c r="M4842" s="1205"/>
      <c r="N4842" s="1054"/>
      <c r="O4842" s="1207"/>
      <c r="Q4842" s="1207"/>
    </row>
    <row r="4843" spans="3:17" s="700" customFormat="1" ht="70.5" hidden="1" customHeight="1">
      <c r="C4843" s="701"/>
      <c r="D4843" s="811"/>
      <c r="E4843" s="1276">
        <f>[11]building!Y5174</f>
        <v>0</v>
      </c>
      <c r="F4843" s="748">
        <f t="shared" si="314"/>
        <v>0</v>
      </c>
      <c r="G4843" s="1205"/>
      <c r="H4843" s="1055"/>
      <c r="I4843" s="1055"/>
      <c r="J4843" s="1055"/>
      <c r="K4843" s="1205"/>
      <c r="L4843" s="1055"/>
      <c r="M4843" s="1205"/>
      <c r="N4843" s="1054"/>
      <c r="O4843" s="1207"/>
      <c r="Q4843" s="1207"/>
    </row>
    <row r="4844" spans="3:17" s="700" customFormat="1" ht="70.5" hidden="1" customHeight="1">
      <c r="C4844" s="701"/>
      <c r="D4844" s="811"/>
      <c r="E4844" s="1276">
        <f>[11]building!Y5175</f>
        <v>0</v>
      </c>
      <c r="F4844" s="748">
        <f t="shared" si="314"/>
        <v>0</v>
      </c>
      <c r="G4844" s="1205"/>
      <c r="H4844" s="1055"/>
      <c r="I4844" s="1055"/>
      <c r="J4844" s="1055"/>
      <c r="K4844" s="1205"/>
      <c r="L4844" s="1055"/>
      <c r="M4844" s="1205"/>
      <c r="N4844" s="1054"/>
      <c r="O4844" s="1207"/>
      <c r="Q4844" s="1207"/>
    </row>
    <row r="4845" spans="3:17" s="700" customFormat="1" ht="70.5" hidden="1" customHeight="1">
      <c r="C4845" s="701"/>
      <c r="D4845" s="811"/>
      <c r="E4845" s="1276">
        <f>[11]building!Y5176</f>
        <v>0</v>
      </c>
      <c r="F4845" s="748">
        <f t="shared" si="314"/>
        <v>0</v>
      </c>
      <c r="G4845" s="1205"/>
      <c r="H4845" s="1055"/>
      <c r="I4845" s="1055"/>
      <c r="J4845" s="1055"/>
      <c r="K4845" s="1205"/>
      <c r="L4845" s="1055"/>
      <c r="M4845" s="1205"/>
      <c r="N4845" s="1054"/>
      <c r="O4845" s="1207"/>
      <c r="Q4845" s="1207"/>
    </row>
    <row r="4846" spans="3:17" s="700" customFormat="1" ht="70.5" hidden="1" customHeight="1">
      <c r="C4846" s="701"/>
      <c r="D4846" s="811"/>
      <c r="E4846" s="1276">
        <f>[11]building!Y5177</f>
        <v>0</v>
      </c>
      <c r="F4846" s="748">
        <f t="shared" si="314"/>
        <v>0</v>
      </c>
      <c r="G4846" s="1205"/>
      <c r="H4846" s="1055"/>
      <c r="I4846" s="1055"/>
      <c r="J4846" s="1055"/>
      <c r="K4846" s="1205"/>
      <c r="L4846" s="1055"/>
      <c r="M4846" s="1205"/>
      <c r="N4846" s="1054"/>
      <c r="O4846" s="1207"/>
      <c r="Q4846" s="1207"/>
    </row>
    <row r="4847" spans="3:17" s="700" customFormat="1" ht="70.5" hidden="1" customHeight="1">
      <c r="C4847" s="701"/>
      <c r="D4847" s="811"/>
      <c r="E4847" s="1276">
        <f>[11]building!Y5178</f>
        <v>0</v>
      </c>
      <c r="F4847" s="748">
        <f t="shared" si="314"/>
        <v>0</v>
      </c>
      <c r="G4847" s="1205"/>
      <c r="H4847" s="1055"/>
      <c r="I4847" s="1055"/>
      <c r="J4847" s="1055"/>
      <c r="K4847" s="1205"/>
      <c r="L4847" s="1055"/>
      <c r="M4847" s="1205"/>
      <c r="N4847" s="1054"/>
      <c r="O4847" s="1207"/>
      <c r="Q4847" s="1207"/>
    </row>
    <row r="4848" spans="3:17" s="700" customFormat="1" ht="70.5" hidden="1" customHeight="1">
      <c r="C4848" s="701"/>
      <c r="D4848" s="811"/>
      <c r="E4848" s="1276">
        <f>[11]building!Y5179</f>
        <v>0</v>
      </c>
      <c r="F4848" s="748">
        <f t="shared" si="314"/>
        <v>0</v>
      </c>
      <c r="G4848" s="1205"/>
      <c r="H4848" s="1055"/>
      <c r="I4848" s="1055"/>
      <c r="J4848" s="1055"/>
      <c r="K4848" s="1205"/>
      <c r="L4848" s="1055"/>
      <c r="M4848" s="1205"/>
      <c r="N4848" s="1054"/>
      <c r="O4848" s="1207"/>
      <c r="Q4848" s="1207"/>
    </row>
    <row r="4849" spans="3:17" s="700" customFormat="1" ht="70.5" hidden="1" customHeight="1">
      <c r="C4849" s="701"/>
      <c r="D4849" s="811"/>
      <c r="E4849" s="1276">
        <f>[11]building!Y5180</f>
        <v>0</v>
      </c>
      <c r="F4849" s="748">
        <f t="shared" si="314"/>
        <v>0</v>
      </c>
      <c r="G4849" s="1205"/>
      <c r="H4849" s="1055"/>
      <c r="I4849" s="1055"/>
      <c r="J4849" s="1055"/>
      <c r="K4849" s="1205"/>
      <c r="L4849" s="1055"/>
      <c r="M4849" s="1205"/>
      <c r="N4849" s="1054"/>
      <c r="O4849" s="1207"/>
      <c r="Q4849" s="1207"/>
    </row>
    <row r="4850" spans="3:17" s="700" customFormat="1" ht="70.5" hidden="1" customHeight="1">
      <c r="C4850" s="701"/>
      <c r="D4850" s="811"/>
      <c r="E4850" s="1276">
        <f>[11]building!Y5181</f>
        <v>0</v>
      </c>
      <c r="F4850" s="748">
        <f t="shared" si="314"/>
        <v>0</v>
      </c>
      <c r="G4850" s="1205"/>
      <c r="H4850" s="1055"/>
      <c r="I4850" s="1055"/>
      <c r="J4850" s="1055"/>
      <c r="K4850" s="1205"/>
      <c r="L4850" s="1055"/>
      <c r="M4850" s="1205"/>
      <c r="N4850" s="1054"/>
      <c r="O4850" s="1207"/>
      <c r="Q4850" s="1207"/>
    </row>
    <row r="4851" spans="3:17" s="700" customFormat="1" ht="70.5" hidden="1" customHeight="1">
      <c r="C4851" s="701"/>
      <c r="D4851" s="811"/>
      <c r="E4851" s="1276">
        <f>[11]building!Y5182</f>
        <v>0</v>
      </c>
      <c r="F4851" s="748">
        <f t="shared" si="314"/>
        <v>0</v>
      </c>
      <c r="G4851" s="1205"/>
      <c r="H4851" s="1055"/>
      <c r="I4851" s="1055"/>
      <c r="J4851" s="1055"/>
      <c r="K4851" s="1205"/>
      <c r="L4851" s="1055"/>
      <c r="M4851" s="1205"/>
      <c r="N4851" s="1054"/>
      <c r="O4851" s="1207"/>
      <c r="Q4851" s="1207"/>
    </row>
    <row r="4852" spans="3:17" s="700" customFormat="1" ht="70.5" hidden="1" customHeight="1">
      <c r="C4852" s="701"/>
      <c r="D4852" s="811"/>
      <c r="E4852" s="1276">
        <f>[11]building!Y5183</f>
        <v>0</v>
      </c>
      <c r="F4852" s="748">
        <f t="shared" si="314"/>
        <v>0</v>
      </c>
      <c r="G4852" s="1205"/>
      <c r="H4852" s="1055"/>
      <c r="I4852" s="1055"/>
      <c r="J4852" s="1055"/>
      <c r="K4852" s="1205"/>
      <c r="L4852" s="1055"/>
      <c r="M4852" s="1205"/>
      <c r="N4852" s="1054"/>
      <c r="O4852" s="1207"/>
      <c r="Q4852" s="1207"/>
    </row>
    <row r="4853" spans="3:17" s="700" customFormat="1" ht="70.5" hidden="1" customHeight="1">
      <c r="C4853" s="701"/>
      <c r="D4853" s="811"/>
      <c r="E4853" s="1276">
        <f>[11]building!Y5184</f>
        <v>0</v>
      </c>
      <c r="F4853" s="748">
        <f t="shared" si="314"/>
        <v>0</v>
      </c>
      <c r="G4853" s="1205"/>
      <c r="H4853" s="1055"/>
      <c r="I4853" s="1055"/>
      <c r="J4853" s="1055"/>
      <c r="K4853" s="1205"/>
      <c r="L4853" s="1055"/>
      <c r="M4853" s="1205"/>
      <c r="N4853" s="1054"/>
      <c r="O4853" s="1207"/>
      <c r="Q4853" s="1207"/>
    </row>
    <row r="4854" spans="3:17" s="700" customFormat="1" ht="70.5" hidden="1" customHeight="1">
      <c r="C4854" s="701"/>
      <c r="D4854" s="811"/>
      <c r="E4854" s="1276">
        <f>[11]building!Y5185</f>
        <v>0</v>
      </c>
      <c r="F4854" s="748">
        <f t="shared" si="314"/>
        <v>0</v>
      </c>
      <c r="G4854" s="1205"/>
      <c r="H4854" s="1055"/>
      <c r="I4854" s="1055"/>
      <c r="J4854" s="1055"/>
      <c r="K4854" s="1205"/>
      <c r="L4854" s="1055"/>
      <c r="M4854" s="1205"/>
      <c r="N4854" s="1054"/>
      <c r="O4854" s="1207"/>
      <c r="Q4854" s="1207"/>
    </row>
    <row r="4855" spans="3:17" s="700" customFormat="1" ht="70.5" hidden="1" customHeight="1">
      <c r="C4855" s="701"/>
      <c r="D4855" s="811"/>
      <c r="E4855" s="1276">
        <f>[11]building!Y5186</f>
        <v>0</v>
      </c>
      <c r="F4855" s="748">
        <f t="shared" si="314"/>
        <v>0</v>
      </c>
      <c r="G4855" s="1205"/>
      <c r="H4855" s="1055"/>
      <c r="I4855" s="1055"/>
      <c r="J4855" s="1055"/>
      <c r="K4855" s="1205"/>
      <c r="L4855" s="1055"/>
      <c r="M4855" s="1205"/>
      <c r="N4855" s="1054"/>
      <c r="O4855" s="1207"/>
      <c r="Q4855" s="1207"/>
    </row>
    <row r="4856" spans="3:17" s="700" customFormat="1" ht="70.5" hidden="1" customHeight="1">
      <c r="C4856" s="701"/>
      <c r="D4856" s="811"/>
      <c r="E4856" s="1276">
        <f>[11]building!Y5187</f>
        <v>0</v>
      </c>
      <c r="F4856" s="748">
        <f t="shared" si="314"/>
        <v>0</v>
      </c>
      <c r="G4856" s="1205"/>
      <c r="H4856" s="1055"/>
      <c r="I4856" s="1055"/>
      <c r="J4856" s="1055"/>
      <c r="K4856" s="1205"/>
      <c r="L4856" s="1055"/>
      <c r="M4856" s="1205"/>
      <c r="N4856" s="1054"/>
      <c r="O4856" s="1207"/>
      <c r="Q4856" s="1207"/>
    </row>
    <row r="4857" spans="3:17" s="700" customFormat="1" ht="70.5" hidden="1" customHeight="1">
      <c r="C4857" s="701"/>
      <c r="D4857" s="811"/>
      <c r="E4857" s="1276">
        <f>[11]building!Y5188</f>
        <v>0</v>
      </c>
      <c r="F4857" s="748">
        <f t="shared" si="314"/>
        <v>0</v>
      </c>
      <c r="G4857" s="1205"/>
      <c r="H4857" s="1055"/>
      <c r="I4857" s="1055"/>
      <c r="J4857" s="1055"/>
      <c r="K4857" s="1205"/>
      <c r="L4857" s="1055"/>
      <c r="M4857" s="1205"/>
      <c r="N4857" s="1054"/>
      <c r="O4857" s="1207"/>
      <c r="Q4857" s="1207"/>
    </row>
    <row r="4858" spans="3:17" s="700" customFormat="1" ht="70.5" hidden="1" customHeight="1">
      <c r="C4858" s="701"/>
      <c r="D4858" s="811"/>
      <c r="E4858" s="1276">
        <f>[11]building!Y5189</f>
        <v>0</v>
      </c>
      <c r="F4858" s="748">
        <f t="shared" si="314"/>
        <v>0</v>
      </c>
      <c r="G4858" s="1205"/>
      <c r="H4858" s="1055"/>
      <c r="I4858" s="1055"/>
      <c r="J4858" s="1055"/>
      <c r="K4858" s="1205"/>
      <c r="L4858" s="1055"/>
      <c r="M4858" s="1205"/>
      <c r="N4858" s="1054"/>
      <c r="O4858" s="1207"/>
      <c r="Q4858" s="1207"/>
    </row>
    <row r="4859" spans="3:17" s="700" customFormat="1" ht="70.5" hidden="1" customHeight="1">
      <c r="C4859" s="701"/>
      <c r="D4859" s="811"/>
      <c r="E4859" s="1276">
        <f>[11]building!Y5190</f>
        <v>0</v>
      </c>
      <c r="F4859" s="748">
        <f t="shared" si="314"/>
        <v>0</v>
      </c>
      <c r="G4859" s="1205"/>
      <c r="H4859" s="1055"/>
      <c r="I4859" s="1055"/>
      <c r="J4859" s="1055"/>
      <c r="K4859" s="1205"/>
      <c r="L4859" s="1055"/>
      <c r="M4859" s="1205"/>
      <c r="N4859" s="1054"/>
      <c r="O4859" s="1207"/>
      <c r="Q4859" s="1207"/>
    </row>
    <row r="4860" spans="3:17" s="700" customFormat="1" ht="70.5" hidden="1" customHeight="1">
      <c r="C4860" s="701"/>
      <c r="D4860" s="811"/>
      <c r="E4860" s="1276">
        <f>[11]building!Y5191</f>
        <v>0</v>
      </c>
      <c r="F4860" s="748">
        <f t="shared" si="314"/>
        <v>0</v>
      </c>
      <c r="G4860" s="1205"/>
      <c r="H4860" s="1055"/>
      <c r="I4860" s="1055"/>
      <c r="J4860" s="1055"/>
      <c r="K4860" s="1205"/>
      <c r="L4860" s="1055"/>
      <c r="M4860" s="1205"/>
      <c r="N4860" s="1054"/>
      <c r="O4860" s="1207"/>
      <c r="Q4860" s="1207"/>
    </row>
    <row r="4861" spans="3:17" s="700" customFormat="1" ht="70.5" hidden="1" customHeight="1">
      <c r="C4861" s="701"/>
      <c r="D4861" s="811"/>
      <c r="E4861" s="1276">
        <f>[11]building!Y5192</f>
        <v>0</v>
      </c>
      <c r="F4861" s="748">
        <f t="shared" si="314"/>
        <v>0</v>
      </c>
      <c r="G4861" s="1205"/>
      <c r="H4861" s="1055"/>
      <c r="I4861" s="1055"/>
      <c r="J4861" s="1055"/>
      <c r="K4861" s="1205"/>
      <c r="L4861" s="1055"/>
      <c r="M4861" s="1205"/>
      <c r="N4861" s="1054"/>
      <c r="O4861" s="1207"/>
      <c r="Q4861" s="1207"/>
    </row>
    <row r="4862" spans="3:17" s="700" customFormat="1" ht="70.5" hidden="1" customHeight="1">
      <c r="C4862" s="701"/>
      <c r="D4862" s="811"/>
      <c r="E4862" s="1276">
        <f>[11]building!Y5193</f>
        <v>0</v>
      </c>
      <c r="F4862" s="748">
        <f t="shared" si="314"/>
        <v>0</v>
      </c>
      <c r="G4862" s="1205"/>
      <c r="H4862" s="1055"/>
      <c r="I4862" s="1055"/>
      <c r="J4862" s="1055"/>
      <c r="K4862" s="1205"/>
      <c r="L4862" s="1055"/>
      <c r="M4862" s="1205"/>
      <c r="N4862" s="1054"/>
      <c r="O4862" s="1207"/>
      <c r="Q4862" s="1207"/>
    </row>
    <row r="4863" spans="3:17" s="700" customFormat="1" ht="70.5" hidden="1" customHeight="1">
      <c r="C4863" s="701"/>
      <c r="D4863" s="811"/>
      <c r="E4863" s="1276">
        <f>[11]building!Y5194</f>
        <v>0</v>
      </c>
      <c r="F4863" s="748">
        <f t="shared" si="314"/>
        <v>0</v>
      </c>
      <c r="G4863" s="1205"/>
      <c r="H4863" s="1055"/>
      <c r="I4863" s="1055"/>
      <c r="J4863" s="1055"/>
      <c r="K4863" s="1205"/>
      <c r="L4863" s="1055"/>
      <c r="M4863" s="1205"/>
      <c r="N4863" s="1054"/>
      <c r="O4863" s="1207"/>
      <c r="Q4863" s="1207"/>
    </row>
    <row r="4864" spans="3:17" s="700" customFormat="1" ht="70.5" hidden="1" customHeight="1">
      <c r="C4864" s="701"/>
      <c r="D4864" s="811"/>
      <c r="E4864" s="1276">
        <f>[11]building!Y5195</f>
        <v>0</v>
      </c>
      <c r="F4864" s="748">
        <f t="shared" ref="F4864:F4927" si="315">E4864*C4864</f>
        <v>0</v>
      </c>
      <c r="G4864" s="1205"/>
      <c r="H4864" s="1055"/>
      <c r="I4864" s="1055"/>
      <c r="J4864" s="1055"/>
      <c r="K4864" s="1205"/>
      <c r="L4864" s="1055"/>
      <c r="M4864" s="1205"/>
      <c r="N4864" s="1054"/>
      <c r="O4864" s="1207"/>
      <c r="Q4864" s="1207"/>
    </row>
    <row r="4865" spans="3:17" s="700" customFormat="1" ht="70.5" hidden="1" customHeight="1">
      <c r="C4865" s="701"/>
      <c r="D4865" s="811"/>
      <c r="E4865" s="1276">
        <f>[11]building!Y5196</f>
        <v>0</v>
      </c>
      <c r="F4865" s="748">
        <f t="shared" si="315"/>
        <v>0</v>
      </c>
      <c r="G4865" s="1205"/>
      <c r="H4865" s="1055"/>
      <c r="I4865" s="1055"/>
      <c r="J4865" s="1055"/>
      <c r="K4865" s="1205"/>
      <c r="L4865" s="1055"/>
      <c r="M4865" s="1205"/>
      <c r="N4865" s="1054"/>
      <c r="O4865" s="1207"/>
      <c r="Q4865" s="1207"/>
    </row>
    <row r="4866" spans="3:17" s="700" customFormat="1" ht="70.5" hidden="1" customHeight="1">
      <c r="C4866" s="701"/>
      <c r="D4866" s="811"/>
      <c r="E4866" s="1276">
        <f>[11]building!Y5197</f>
        <v>0</v>
      </c>
      <c r="F4866" s="748">
        <f t="shared" si="315"/>
        <v>0</v>
      </c>
      <c r="G4866" s="1205"/>
      <c r="H4866" s="1055"/>
      <c r="I4866" s="1055"/>
      <c r="J4866" s="1055"/>
      <c r="K4866" s="1205"/>
      <c r="L4866" s="1055"/>
      <c r="M4866" s="1205"/>
      <c r="N4866" s="1054"/>
      <c r="O4866" s="1207"/>
      <c r="Q4866" s="1207"/>
    </row>
    <row r="4867" spans="3:17" s="700" customFormat="1" ht="70.5" hidden="1" customHeight="1">
      <c r="C4867" s="701"/>
      <c r="D4867" s="811"/>
      <c r="E4867" s="1276">
        <f>[11]building!Y5198</f>
        <v>0</v>
      </c>
      <c r="F4867" s="748">
        <f t="shared" si="315"/>
        <v>0</v>
      </c>
      <c r="G4867" s="1205"/>
      <c r="H4867" s="1055"/>
      <c r="I4867" s="1055"/>
      <c r="J4867" s="1055"/>
      <c r="K4867" s="1205"/>
      <c r="L4867" s="1055"/>
      <c r="M4867" s="1205"/>
      <c r="N4867" s="1054"/>
      <c r="O4867" s="1207"/>
      <c r="Q4867" s="1207"/>
    </row>
    <row r="4868" spans="3:17" s="700" customFormat="1" ht="70.5" hidden="1" customHeight="1">
      <c r="C4868" s="701"/>
      <c r="D4868" s="811"/>
      <c r="E4868" s="1276">
        <f>[11]building!Y5199</f>
        <v>0</v>
      </c>
      <c r="F4868" s="748">
        <f t="shared" si="315"/>
        <v>0</v>
      </c>
      <c r="G4868" s="1205"/>
      <c r="H4868" s="1055"/>
      <c r="I4868" s="1055"/>
      <c r="J4868" s="1055"/>
      <c r="K4868" s="1205"/>
      <c r="L4868" s="1055"/>
      <c r="M4868" s="1205"/>
      <c r="N4868" s="1054"/>
      <c r="O4868" s="1207"/>
      <c r="Q4868" s="1207"/>
    </row>
    <row r="4869" spans="3:17" s="700" customFormat="1" ht="70.5" hidden="1" customHeight="1">
      <c r="C4869" s="701"/>
      <c r="D4869" s="811"/>
      <c r="E4869" s="1276">
        <f>[11]building!Y5200</f>
        <v>0</v>
      </c>
      <c r="F4869" s="748">
        <f t="shared" si="315"/>
        <v>0</v>
      </c>
      <c r="G4869" s="1205"/>
      <c r="H4869" s="1055"/>
      <c r="I4869" s="1055"/>
      <c r="J4869" s="1055"/>
      <c r="K4869" s="1205"/>
      <c r="L4869" s="1055"/>
      <c r="M4869" s="1205"/>
      <c r="N4869" s="1054"/>
      <c r="O4869" s="1207"/>
      <c r="Q4869" s="1207"/>
    </row>
    <row r="4870" spans="3:17" s="700" customFormat="1" ht="70.5" hidden="1" customHeight="1">
      <c r="C4870" s="701"/>
      <c r="D4870" s="811"/>
      <c r="E4870" s="1276">
        <f>[11]building!Y5201</f>
        <v>0</v>
      </c>
      <c r="F4870" s="748">
        <f t="shared" si="315"/>
        <v>0</v>
      </c>
      <c r="G4870" s="1205"/>
      <c r="H4870" s="1055"/>
      <c r="I4870" s="1055"/>
      <c r="J4870" s="1055"/>
      <c r="K4870" s="1205"/>
      <c r="L4870" s="1055"/>
      <c r="M4870" s="1205"/>
      <c r="N4870" s="1054"/>
      <c r="O4870" s="1207"/>
      <c r="Q4870" s="1207"/>
    </row>
    <row r="4871" spans="3:17" s="700" customFormat="1" ht="70.5" hidden="1" customHeight="1">
      <c r="C4871" s="701"/>
      <c r="D4871" s="811"/>
      <c r="E4871" s="1276">
        <f>[11]building!Y5202</f>
        <v>0</v>
      </c>
      <c r="F4871" s="748">
        <f t="shared" si="315"/>
        <v>0</v>
      </c>
      <c r="G4871" s="1205"/>
      <c r="H4871" s="1055"/>
      <c r="I4871" s="1055"/>
      <c r="J4871" s="1055"/>
      <c r="K4871" s="1205"/>
      <c r="L4871" s="1055"/>
      <c r="M4871" s="1205"/>
      <c r="N4871" s="1054"/>
      <c r="O4871" s="1207"/>
      <c r="Q4871" s="1207"/>
    </row>
    <row r="4872" spans="3:17" s="700" customFormat="1" ht="70.5" hidden="1" customHeight="1">
      <c r="C4872" s="701"/>
      <c r="D4872" s="811"/>
      <c r="E4872" s="1276">
        <f>[11]building!Y5203</f>
        <v>0</v>
      </c>
      <c r="F4872" s="748">
        <f t="shared" si="315"/>
        <v>0</v>
      </c>
      <c r="G4872" s="1205"/>
      <c r="H4872" s="1055"/>
      <c r="I4872" s="1055"/>
      <c r="J4872" s="1055"/>
      <c r="K4872" s="1205"/>
      <c r="L4872" s="1055"/>
      <c r="M4872" s="1205"/>
      <c r="N4872" s="1054"/>
      <c r="O4872" s="1207"/>
      <c r="Q4872" s="1207"/>
    </row>
    <row r="4873" spans="3:17" s="700" customFormat="1" ht="70.5" hidden="1" customHeight="1">
      <c r="C4873" s="701"/>
      <c r="D4873" s="811"/>
      <c r="E4873" s="1276">
        <f>[11]building!Y5204</f>
        <v>0</v>
      </c>
      <c r="F4873" s="748">
        <f t="shared" si="315"/>
        <v>0</v>
      </c>
      <c r="G4873" s="1205"/>
      <c r="H4873" s="1055"/>
      <c r="I4873" s="1055"/>
      <c r="J4873" s="1055"/>
      <c r="K4873" s="1205"/>
      <c r="L4873" s="1055"/>
      <c r="M4873" s="1205"/>
      <c r="N4873" s="1054"/>
      <c r="O4873" s="1207"/>
      <c r="Q4873" s="1207"/>
    </row>
    <row r="4874" spans="3:17" s="700" customFormat="1" ht="70.5" hidden="1" customHeight="1">
      <c r="C4874" s="701"/>
      <c r="D4874" s="811"/>
      <c r="E4874" s="1276">
        <f>[11]building!Y5205</f>
        <v>0</v>
      </c>
      <c r="F4874" s="748">
        <f t="shared" si="315"/>
        <v>0</v>
      </c>
      <c r="G4874" s="1205"/>
      <c r="H4874" s="1055"/>
      <c r="I4874" s="1055"/>
      <c r="J4874" s="1055"/>
      <c r="K4874" s="1205"/>
      <c r="L4874" s="1055"/>
      <c r="M4874" s="1205"/>
      <c r="N4874" s="1054"/>
      <c r="O4874" s="1207"/>
      <c r="Q4874" s="1207"/>
    </row>
    <row r="4875" spans="3:17" s="700" customFormat="1" ht="70.5" hidden="1" customHeight="1">
      <c r="C4875" s="701"/>
      <c r="D4875" s="811"/>
      <c r="E4875" s="1276">
        <f>[11]building!Y5206</f>
        <v>0</v>
      </c>
      <c r="F4875" s="748">
        <f t="shared" si="315"/>
        <v>0</v>
      </c>
      <c r="G4875" s="1205"/>
      <c r="H4875" s="1055"/>
      <c r="I4875" s="1055"/>
      <c r="J4875" s="1055"/>
      <c r="K4875" s="1205"/>
      <c r="L4875" s="1055"/>
      <c r="M4875" s="1205"/>
      <c r="N4875" s="1054"/>
      <c r="O4875" s="1207"/>
      <c r="Q4875" s="1207"/>
    </row>
    <row r="4876" spans="3:17" s="700" customFormat="1" ht="70.5" hidden="1" customHeight="1">
      <c r="C4876" s="701"/>
      <c r="D4876" s="811"/>
      <c r="E4876" s="1276">
        <f>[11]building!Y5207</f>
        <v>0</v>
      </c>
      <c r="F4876" s="748">
        <f t="shared" si="315"/>
        <v>0</v>
      </c>
      <c r="G4876" s="1205"/>
      <c r="H4876" s="1055"/>
      <c r="I4876" s="1055"/>
      <c r="J4876" s="1055"/>
      <c r="K4876" s="1205"/>
      <c r="L4876" s="1055"/>
      <c r="M4876" s="1205"/>
      <c r="N4876" s="1054"/>
      <c r="O4876" s="1207"/>
      <c r="Q4876" s="1207"/>
    </row>
    <row r="4877" spans="3:17" s="700" customFormat="1" ht="70.5" hidden="1" customHeight="1">
      <c r="C4877" s="701"/>
      <c r="D4877" s="811"/>
      <c r="E4877" s="1276">
        <f>[11]building!Y5208</f>
        <v>0</v>
      </c>
      <c r="F4877" s="748">
        <f t="shared" si="315"/>
        <v>0</v>
      </c>
      <c r="G4877" s="1205"/>
      <c r="H4877" s="1055"/>
      <c r="I4877" s="1055"/>
      <c r="J4877" s="1055"/>
      <c r="K4877" s="1205"/>
      <c r="L4877" s="1055"/>
      <c r="M4877" s="1205"/>
      <c r="N4877" s="1054"/>
      <c r="O4877" s="1207"/>
      <c r="Q4877" s="1207"/>
    </row>
    <row r="4878" spans="3:17" s="700" customFormat="1" ht="70.5" hidden="1" customHeight="1">
      <c r="C4878" s="701"/>
      <c r="D4878" s="811"/>
      <c r="E4878" s="1276">
        <f>[11]building!Y5209</f>
        <v>0</v>
      </c>
      <c r="F4878" s="748">
        <f t="shared" si="315"/>
        <v>0</v>
      </c>
      <c r="G4878" s="1205"/>
      <c r="H4878" s="1055"/>
      <c r="I4878" s="1055"/>
      <c r="J4878" s="1055"/>
      <c r="K4878" s="1205"/>
      <c r="L4878" s="1055"/>
      <c r="M4878" s="1205"/>
      <c r="N4878" s="1054"/>
      <c r="O4878" s="1207"/>
      <c r="Q4878" s="1207"/>
    </row>
    <row r="4879" spans="3:17" s="700" customFormat="1" ht="70.5" hidden="1" customHeight="1">
      <c r="C4879" s="701"/>
      <c r="D4879" s="811"/>
      <c r="E4879" s="1276">
        <f>[11]building!Y5210</f>
        <v>0</v>
      </c>
      <c r="F4879" s="748">
        <f t="shared" si="315"/>
        <v>0</v>
      </c>
      <c r="G4879" s="1205"/>
      <c r="H4879" s="1055"/>
      <c r="I4879" s="1055"/>
      <c r="J4879" s="1055"/>
      <c r="K4879" s="1205"/>
      <c r="L4879" s="1055"/>
      <c r="M4879" s="1205"/>
      <c r="N4879" s="1054"/>
      <c r="O4879" s="1207"/>
      <c r="Q4879" s="1207"/>
    </row>
    <row r="4880" spans="3:17" s="700" customFormat="1" ht="70.5" hidden="1" customHeight="1">
      <c r="C4880" s="701"/>
      <c r="D4880" s="811"/>
      <c r="E4880" s="1276">
        <f>[11]building!Y5211</f>
        <v>0</v>
      </c>
      <c r="F4880" s="748">
        <f t="shared" si="315"/>
        <v>0</v>
      </c>
      <c r="G4880" s="1205"/>
      <c r="H4880" s="1055"/>
      <c r="I4880" s="1055"/>
      <c r="J4880" s="1055"/>
      <c r="K4880" s="1205"/>
      <c r="L4880" s="1055"/>
      <c r="M4880" s="1205"/>
      <c r="N4880" s="1054"/>
      <c r="O4880" s="1207"/>
      <c r="Q4880" s="1207"/>
    </row>
    <row r="4881" spans="3:17" s="700" customFormat="1" ht="70.5" hidden="1" customHeight="1">
      <c r="C4881" s="701"/>
      <c r="D4881" s="811"/>
      <c r="E4881" s="1276">
        <f>[11]building!Y5212</f>
        <v>0</v>
      </c>
      <c r="F4881" s="748">
        <f t="shared" si="315"/>
        <v>0</v>
      </c>
      <c r="G4881" s="1205"/>
      <c r="H4881" s="1055"/>
      <c r="I4881" s="1055"/>
      <c r="J4881" s="1055"/>
      <c r="K4881" s="1205"/>
      <c r="L4881" s="1055"/>
      <c r="M4881" s="1205"/>
      <c r="N4881" s="1054"/>
      <c r="O4881" s="1207"/>
      <c r="Q4881" s="1207"/>
    </row>
    <row r="4882" spans="3:17" s="700" customFormat="1" ht="70.5" hidden="1" customHeight="1">
      <c r="C4882" s="701"/>
      <c r="D4882" s="811"/>
      <c r="E4882" s="1276">
        <f>[11]building!Y5213</f>
        <v>0</v>
      </c>
      <c r="F4882" s="748">
        <f t="shared" si="315"/>
        <v>0</v>
      </c>
      <c r="G4882" s="1205"/>
      <c r="H4882" s="1055"/>
      <c r="I4882" s="1055"/>
      <c r="J4882" s="1055"/>
      <c r="K4882" s="1205"/>
      <c r="L4882" s="1055"/>
      <c r="M4882" s="1205"/>
      <c r="N4882" s="1054"/>
      <c r="O4882" s="1207"/>
      <c r="Q4882" s="1207"/>
    </row>
    <row r="4883" spans="3:17" s="700" customFormat="1" ht="70.5" hidden="1" customHeight="1">
      <c r="C4883" s="701"/>
      <c r="D4883" s="811"/>
      <c r="E4883" s="1276">
        <f>[11]building!Y5214</f>
        <v>0</v>
      </c>
      <c r="F4883" s="748">
        <f t="shared" si="315"/>
        <v>0</v>
      </c>
      <c r="G4883" s="1205"/>
      <c r="H4883" s="1055"/>
      <c r="I4883" s="1055"/>
      <c r="J4883" s="1055"/>
      <c r="K4883" s="1205"/>
      <c r="L4883" s="1055"/>
      <c r="M4883" s="1205"/>
      <c r="N4883" s="1054"/>
      <c r="O4883" s="1207"/>
      <c r="Q4883" s="1207"/>
    </row>
    <row r="4884" spans="3:17" s="700" customFormat="1" ht="70.5" hidden="1" customHeight="1">
      <c r="C4884" s="701"/>
      <c r="D4884" s="811"/>
      <c r="E4884" s="1276">
        <f>[11]building!Y5215</f>
        <v>0</v>
      </c>
      <c r="F4884" s="748">
        <f t="shared" si="315"/>
        <v>0</v>
      </c>
      <c r="G4884" s="1205"/>
      <c r="H4884" s="1055"/>
      <c r="I4884" s="1055"/>
      <c r="J4884" s="1055"/>
      <c r="K4884" s="1205"/>
      <c r="L4884" s="1055"/>
      <c r="M4884" s="1205"/>
      <c r="N4884" s="1054"/>
      <c r="O4884" s="1207"/>
      <c r="Q4884" s="1207"/>
    </row>
    <row r="4885" spans="3:17" s="700" customFormat="1" ht="70.5" hidden="1" customHeight="1">
      <c r="C4885" s="701"/>
      <c r="D4885" s="811"/>
      <c r="E4885" s="1276">
        <f>[11]building!Y5216</f>
        <v>0</v>
      </c>
      <c r="F4885" s="748">
        <f t="shared" si="315"/>
        <v>0</v>
      </c>
      <c r="G4885" s="1205"/>
      <c r="H4885" s="1055"/>
      <c r="I4885" s="1055"/>
      <c r="J4885" s="1055"/>
      <c r="K4885" s="1205"/>
      <c r="L4885" s="1055"/>
      <c r="M4885" s="1205"/>
      <c r="N4885" s="1054"/>
      <c r="O4885" s="1207"/>
      <c r="Q4885" s="1207"/>
    </row>
    <row r="4886" spans="3:17" s="700" customFormat="1" ht="70.5" hidden="1" customHeight="1">
      <c r="C4886" s="701"/>
      <c r="D4886" s="811"/>
      <c r="E4886" s="1276">
        <f>[11]building!Y5217</f>
        <v>0</v>
      </c>
      <c r="F4886" s="748">
        <f t="shared" si="315"/>
        <v>0</v>
      </c>
      <c r="G4886" s="1205"/>
      <c r="H4886" s="1055"/>
      <c r="I4886" s="1055"/>
      <c r="J4886" s="1055"/>
      <c r="K4886" s="1205"/>
      <c r="L4886" s="1055"/>
      <c r="M4886" s="1205"/>
      <c r="N4886" s="1054"/>
      <c r="O4886" s="1207"/>
      <c r="Q4886" s="1207"/>
    </row>
    <row r="4887" spans="3:17" s="700" customFormat="1" ht="70.5" hidden="1" customHeight="1">
      <c r="C4887" s="701"/>
      <c r="D4887" s="811"/>
      <c r="E4887" s="1276">
        <f>[11]building!Y5218</f>
        <v>0</v>
      </c>
      <c r="F4887" s="748">
        <f t="shared" si="315"/>
        <v>0</v>
      </c>
      <c r="G4887" s="1205"/>
      <c r="H4887" s="1055"/>
      <c r="I4887" s="1055"/>
      <c r="J4887" s="1055"/>
      <c r="K4887" s="1205"/>
      <c r="L4887" s="1055"/>
      <c r="M4887" s="1205"/>
      <c r="N4887" s="1054"/>
      <c r="O4887" s="1207"/>
      <c r="Q4887" s="1207"/>
    </row>
    <row r="4888" spans="3:17" s="700" customFormat="1" ht="70.5" hidden="1" customHeight="1">
      <c r="C4888" s="701"/>
      <c r="D4888" s="811"/>
      <c r="E4888" s="1276">
        <f>[11]building!Y5219</f>
        <v>0</v>
      </c>
      <c r="F4888" s="748">
        <f t="shared" si="315"/>
        <v>0</v>
      </c>
      <c r="G4888" s="1205"/>
      <c r="H4888" s="1055"/>
      <c r="I4888" s="1055"/>
      <c r="J4888" s="1055"/>
      <c r="K4888" s="1205"/>
      <c r="L4888" s="1055"/>
      <c r="M4888" s="1205"/>
      <c r="N4888" s="1054"/>
      <c r="O4888" s="1207"/>
      <c r="Q4888" s="1207"/>
    </row>
    <row r="4889" spans="3:17" s="700" customFormat="1" ht="70.5" hidden="1" customHeight="1">
      <c r="C4889" s="701"/>
      <c r="D4889" s="811"/>
      <c r="E4889" s="1276">
        <f>[11]building!Y5220</f>
        <v>0</v>
      </c>
      <c r="F4889" s="748">
        <f t="shared" si="315"/>
        <v>0</v>
      </c>
      <c r="G4889" s="1205"/>
      <c r="H4889" s="1055"/>
      <c r="I4889" s="1055"/>
      <c r="J4889" s="1055"/>
      <c r="K4889" s="1205"/>
      <c r="L4889" s="1055"/>
      <c r="M4889" s="1205"/>
      <c r="N4889" s="1054"/>
      <c r="O4889" s="1207"/>
      <c r="Q4889" s="1207"/>
    </row>
    <row r="4890" spans="3:17" s="700" customFormat="1" ht="70.5" hidden="1" customHeight="1">
      <c r="C4890" s="701"/>
      <c r="D4890" s="811"/>
      <c r="E4890" s="1276">
        <f>[11]building!Y5221</f>
        <v>0</v>
      </c>
      <c r="F4890" s="748">
        <f t="shared" si="315"/>
        <v>0</v>
      </c>
      <c r="G4890" s="1205"/>
      <c r="H4890" s="1055"/>
      <c r="I4890" s="1055"/>
      <c r="J4890" s="1055"/>
      <c r="K4890" s="1205"/>
      <c r="L4890" s="1055"/>
      <c r="M4890" s="1205"/>
      <c r="N4890" s="1054"/>
      <c r="O4890" s="1207"/>
      <c r="Q4890" s="1207"/>
    </row>
    <row r="4891" spans="3:17" s="700" customFormat="1" ht="70.5" hidden="1" customHeight="1">
      <c r="C4891" s="701"/>
      <c r="D4891" s="811"/>
      <c r="E4891" s="1276">
        <f>[11]building!Y5222</f>
        <v>0</v>
      </c>
      <c r="F4891" s="748">
        <f t="shared" si="315"/>
        <v>0</v>
      </c>
      <c r="G4891" s="1205"/>
      <c r="H4891" s="1055"/>
      <c r="I4891" s="1055"/>
      <c r="J4891" s="1055"/>
      <c r="K4891" s="1205"/>
      <c r="L4891" s="1055"/>
      <c r="M4891" s="1205"/>
      <c r="N4891" s="1054"/>
      <c r="O4891" s="1207"/>
      <c r="Q4891" s="1207"/>
    </row>
    <row r="4892" spans="3:17" s="700" customFormat="1" ht="70.5" hidden="1" customHeight="1">
      <c r="C4892" s="701"/>
      <c r="D4892" s="811"/>
      <c r="E4892" s="1276">
        <f>[11]building!Y5223</f>
        <v>0</v>
      </c>
      <c r="F4892" s="748">
        <f t="shared" si="315"/>
        <v>0</v>
      </c>
      <c r="G4892" s="1205"/>
      <c r="H4892" s="1055"/>
      <c r="I4892" s="1055"/>
      <c r="J4892" s="1055"/>
      <c r="K4892" s="1205"/>
      <c r="L4892" s="1055"/>
      <c r="M4892" s="1205"/>
      <c r="N4892" s="1054"/>
      <c r="O4892" s="1207"/>
      <c r="Q4892" s="1207"/>
    </row>
    <row r="4893" spans="3:17" s="700" customFormat="1" ht="70.5" hidden="1" customHeight="1">
      <c r="C4893" s="701"/>
      <c r="D4893" s="811"/>
      <c r="E4893" s="1276">
        <f>[11]building!Y5224</f>
        <v>0</v>
      </c>
      <c r="F4893" s="748">
        <f t="shared" si="315"/>
        <v>0</v>
      </c>
      <c r="G4893" s="1205"/>
      <c r="H4893" s="1055"/>
      <c r="I4893" s="1055"/>
      <c r="J4893" s="1055"/>
      <c r="K4893" s="1205"/>
      <c r="L4893" s="1055"/>
      <c r="M4893" s="1205"/>
      <c r="N4893" s="1054"/>
      <c r="O4893" s="1207"/>
      <c r="Q4893" s="1207"/>
    </row>
    <row r="4894" spans="3:17" s="700" customFormat="1" ht="70.5" hidden="1" customHeight="1">
      <c r="C4894" s="701"/>
      <c r="D4894" s="811"/>
      <c r="E4894" s="1276">
        <f>[11]building!Y5225</f>
        <v>0</v>
      </c>
      <c r="F4894" s="748">
        <f t="shared" si="315"/>
        <v>0</v>
      </c>
      <c r="G4894" s="1205"/>
      <c r="H4894" s="1055"/>
      <c r="I4894" s="1055"/>
      <c r="J4894" s="1055"/>
      <c r="K4894" s="1205"/>
      <c r="L4894" s="1055"/>
      <c r="M4894" s="1205"/>
      <c r="N4894" s="1054"/>
      <c r="O4894" s="1207"/>
      <c r="Q4894" s="1207"/>
    </row>
    <row r="4895" spans="3:17" s="700" customFormat="1" ht="70.5" hidden="1" customHeight="1">
      <c r="C4895" s="701"/>
      <c r="D4895" s="811"/>
      <c r="E4895" s="1276">
        <f>[11]building!Y5226</f>
        <v>0</v>
      </c>
      <c r="F4895" s="748">
        <f t="shared" si="315"/>
        <v>0</v>
      </c>
      <c r="G4895" s="1205"/>
      <c r="H4895" s="1055"/>
      <c r="I4895" s="1055"/>
      <c r="J4895" s="1055"/>
      <c r="K4895" s="1205"/>
      <c r="L4895" s="1055"/>
      <c r="M4895" s="1205"/>
      <c r="N4895" s="1054"/>
      <c r="O4895" s="1207"/>
      <c r="Q4895" s="1207"/>
    </row>
    <row r="4896" spans="3:17" s="700" customFormat="1" ht="70.5" hidden="1" customHeight="1">
      <c r="C4896" s="701"/>
      <c r="D4896" s="811"/>
      <c r="E4896" s="1276">
        <f>[11]building!Y5227</f>
        <v>0</v>
      </c>
      <c r="F4896" s="748">
        <f t="shared" si="315"/>
        <v>0</v>
      </c>
      <c r="G4896" s="1205"/>
      <c r="H4896" s="1055"/>
      <c r="I4896" s="1055"/>
      <c r="J4896" s="1055"/>
      <c r="K4896" s="1205"/>
      <c r="L4896" s="1055"/>
      <c r="M4896" s="1205"/>
      <c r="N4896" s="1054"/>
      <c r="O4896" s="1207"/>
      <c r="Q4896" s="1207"/>
    </row>
    <row r="4897" spans="3:17" s="700" customFormat="1" ht="70.5" hidden="1" customHeight="1">
      <c r="C4897" s="701"/>
      <c r="D4897" s="811"/>
      <c r="E4897" s="1276">
        <f>[11]building!Y5228</f>
        <v>0</v>
      </c>
      <c r="F4897" s="748">
        <f t="shared" si="315"/>
        <v>0</v>
      </c>
      <c r="G4897" s="1205"/>
      <c r="H4897" s="1055"/>
      <c r="I4897" s="1055"/>
      <c r="J4897" s="1055"/>
      <c r="K4897" s="1205"/>
      <c r="L4897" s="1055"/>
      <c r="M4897" s="1205"/>
      <c r="N4897" s="1054"/>
      <c r="O4897" s="1207"/>
      <c r="Q4897" s="1207"/>
    </row>
    <row r="4898" spans="3:17" s="700" customFormat="1" ht="70.5" hidden="1" customHeight="1">
      <c r="C4898" s="701"/>
      <c r="D4898" s="811"/>
      <c r="E4898" s="1276">
        <f>[11]building!Y5229</f>
        <v>0</v>
      </c>
      <c r="F4898" s="748">
        <f t="shared" si="315"/>
        <v>0</v>
      </c>
      <c r="G4898" s="1205"/>
      <c r="H4898" s="1055"/>
      <c r="I4898" s="1055"/>
      <c r="J4898" s="1055"/>
      <c r="K4898" s="1205"/>
      <c r="L4898" s="1055"/>
      <c r="M4898" s="1205"/>
      <c r="N4898" s="1054"/>
      <c r="O4898" s="1207"/>
      <c r="Q4898" s="1207"/>
    </row>
    <row r="4899" spans="3:17" s="700" customFormat="1" ht="70.5" hidden="1" customHeight="1">
      <c r="C4899" s="701"/>
      <c r="D4899" s="811"/>
      <c r="E4899" s="1276">
        <f>[11]building!Y5230</f>
        <v>0</v>
      </c>
      <c r="F4899" s="748">
        <f t="shared" si="315"/>
        <v>0</v>
      </c>
      <c r="G4899" s="1205"/>
      <c r="H4899" s="1055"/>
      <c r="I4899" s="1055"/>
      <c r="J4899" s="1055"/>
      <c r="K4899" s="1205"/>
      <c r="L4899" s="1055"/>
      <c r="M4899" s="1205"/>
      <c r="N4899" s="1054"/>
      <c r="O4899" s="1207"/>
      <c r="Q4899" s="1207"/>
    </row>
    <row r="4900" spans="3:17" s="700" customFormat="1" ht="70.5" hidden="1" customHeight="1">
      <c r="C4900" s="701"/>
      <c r="D4900" s="811"/>
      <c r="E4900" s="1276">
        <f>[11]building!Y5231</f>
        <v>0</v>
      </c>
      <c r="F4900" s="748">
        <f t="shared" si="315"/>
        <v>0</v>
      </c>
      <c r="G4900" s="1205"/>
      <c r="H4900" s="1055"/>
      <c r="I4900" s="1055"/>
      <c r="J4900" s="1055"/>
      <c r="K4900" s="1205"/>
      <c r="L4900" s="1055"/>
      <c r="M4900" s="1205"/>
      <c r="N4900" s="1054"/>
      <c r="O4900" s="1207"/>
      <c r="Q4900" s="1207"/>
    </row>
    <row r="4901" spans="3:17" s="700" customFormat="1" ht="70.5" hidden="1" customHeight="1">
      <c r="C4901" s="701"/>
      <c r="D4901" s="811"/>
      <c r="E4901" s="1276">
        <f>[11]building!Y5232</f>
        <v>0</v>
      </c>
      <c r="F4901" s="748">
        <f t="shared" si="315"/>
        <v>0</v>
      </c>
      <c r="G4901" s="1205"/>
      <c r="H4901" s="1055"/>
      <c r="I4901" s="1055"/>
      <c r="J4901" s="1055"/>
      <c r="K4901" s="1205"/>
      <c r="L4901" s="1055"/>
      <c r="M4901" s="1205"/>
      <c r="N4901" s="1054"/>
      <c r="O4901" s="1207"/>
      <c r="Q4901" s="1207"/>
    </row>
    <row r="4902" spans="3:17" s="700" customFormat="1" ht="70.5" hidden="1" customHeight="1">
      <c r="C4902" s="701"/>
      <c r="D4902" s="811"/>
      <c r="E4902" s="1276">
        <f>[11]building!Y5233</f>
        <v>0</v>
      </c>
      <c r="F4902" s="748">
        <f t="shared" si="315"/>
        <v>0</v>
      </c>
      <c r="G4902" s="1205"/>
      <c r="H4902" s="1055"/>
      <c r="I4902" s="1055"/>
      <c r="J4902" s="1055"/>
      <c r="K4902" s="1205"/>
      <c r="L4902" s="1055"/>
      <c r="M4902" s="1205"/>
      <c r="N4902" s="1054"/>
      <c r="O4902" s="1207"/>
      <c r="Q4902" s="1207"/>
    </row>
    <row r="4903" spans="3:17" s="700" customFormat="1" ht="70.5" hidden="1" customHeight="1">
      <c r="C4903" s="701"/>
      <c r="D4903" s="811"/>
      <c r="E4903" s="1276">
        <f>[11]building!Y5234</f>
        <v>0</v>
      </c>
      <c r="F4903" s="748">
        <f t="shared" si="315"/>
        <v>0</v>
      </c>
      <c r="G4903" s="1205"/>
      <c r="H4903" s="1055"/>
      <c r="I4903" s="1055"/>
      <c r="J4903" s="1055"/>
      <c r="K4903" s="1205"/>
      <c r="L4903" s="1055"/>
      <c r="M4903" s="1205"/>
      <c r="N4903" s="1054"/>
      <c r="O4903" s="1207"/>
      <c r="Q4903" s="1207"/>
    </row>
    <row r="4904" spans="3:17" s="700" customFormat="1" ht="70.5" hidden="1" customHeight="1">
      <c r="C4904" s="701"/>
      <c r="D4904" s="811"/>
      <c r="E4904" s="1276">
        <f>[11]building!Y5235</f>
        <v>0</v>
      </c>
      <c r="F4904" s="748">
        <f t="shared" si="315"/>
        <v>0</v>
      </c>
      <c r="G4904" s="1205"/>
      <c r="H4904" s="1055"/>
      <c r="I4904" s="1055"/>
      <c r="J4904" s="1055"/>
      <c r="K4904" s="1205"/>
      <c r="L4904" s="1055"/>
      <c r="M4904" s="1205"/>
      <c r="N4904" s="1054"/>
      <c r="O4904" s="1207"/>
      <c r="Q4904" s="1207"/>
    </row>
    <row r="4905" spans="3:17" s="700" customFormat="1" ht="70.5" hidden="1" customHeight="1">
      <c r="C4905" s="701"/>
      <c r="D4905" s="811"/>
      <c r="E4905" s="1276">
        <f>[11]building!Y5236</f>
        <v>0</v>
      </c>
      <c r="F4905" s="748">
        <f t="shared" si="315"/>
        <v>0</v>
      </c>
      <c r="G4905" s="1205"/>
      <c r="H4905" s="1055"/>
      <c r="I4905" s="1055"/>
      <c r="J4905" s="1055"/>
      <c r="K4905" s="1205"/>
      <c r="L4905" s="1055"/>
      <c r="M4905" s="1205"/>
      <c r="N4905" s="1054"/>
      <c r="O4905" s="1207"/>
      <c r="Q4905" s="1207"/>
    </row>
    <row r="4906" spans="3:17" s="700" customFormat="1" ht="70.5" hidden="1" customHeight="1">
      <c r="C4906" s="701"/>
      <c r="D4906" s="811"/>
      <c r="E4906" s="1276">
        <f>[11]building!Y5237</f>
        <v>0</v>
      </c>
      <c r="F4906" s="748">
        <f t="shared" si="315"/>
        <v>0</v>
      </c>
      <c r="G4906" s="1205"/>
      <c r="H4906" s="1055"/>
      <c r="I4906" s="1055"/>
      <c r="J4906" s="1055"/>
      <c r="K4906" s="1205"/>
      <c r="L4906" s="1055"/>
      <c r="M4906" s="1205"/>
      <c r="N4906" s="1054"/>
      <c r="O4906" s="1207"/>
      <c r="Q4906" s="1207"/>
    </row>
    <row r="4907" spans="3:17" s="700" customFormat="1" ht="70.5" hidden="1" customHeight="1">
      <c r="C4907" s="701"/>
      <c r="D4907" s="811"/>
      <c r="E4907" s="1276">
        <f>[11]building!Y5238</f>
        <v>0</v>
      </c>
      <c r="F4907" s="748">
        <f t="shared" si="315"/>
        <v>0</v>
      </c>
      <c r="G4907" s="1205"/>
      <c r="H4907" s="1055"/>
      <c r="I4907" s="1055"/>
      <c r="J4907" s="1055"/>
      <c r="K4907" s="1205"/>
      <c r="L4907" s="1055"/>
      <c r="M4907" s="1205"/>
      <c r="N4907" s="1054"/>
      <c r="O4907" s="1207"/>
      <c r="Q4907" s="1207"/>
    </row>
    <row r="4908" spans="3:17" s="700" customFormat="1" ht="70.5" hidden="1" customHeight="1">
      <c r="C4908" s="701"/>
      <c r="D4908" s="811"/>
      <c r="E4908" s="1276">
        <f>[11]building!Y5239</f>
        <v>0</v>
      </c>
      <c r="F4908" s="748">
        <f t="shared" si="315"/>
        <v>0</v>
      </c>
      <c r="G4908" s="1205"/>
      <c r="H4908" s="1055"/>
      <c r="I4908" s="1055"/>
      <c r="J4908" s="1055"/>
      <c r="K4908" s="1205"/>
      <c r="L4908" s="1055"/>
      <c r="M4908" s="1205"/>
      <c r="N4908" s="1054"/>
      <c r="O4908" s="1207"/>
      <c r="Q4908" s="1207"/>
    </row>
    <row r="4909" spans="3:17" s="700" customFormat="1" ht="70.5" hidden="1" customHeight="1">
      <c r="C4909" s="701"/>
      <c r="D4909" s="811"/>
      <c r="E4909" s="1276">
        <f>[11]building!Y5240</f>
        <v>0</v>
      </c>
      <c r="F4909" s="748">
        <f t="shared" si="315"/>
        <v>0</v>
      </c>
      <c r="G4909" s="1205"/>
      <c r="H4909" s="1055"/>
      <c r="I4909" s="1055"/>
      <c r="J4909" s="1055"/>
      <c r="K4909" s="1205"/>
      <c r="L4909" s="1055"/>
      <c r="M4909" s="1205"/>
      <c r="N4909" s="1054"/>
      <c r="O4909" s="1207"/>
      <c r="Q4909" s="1207"/>
    </row>
    <row r="4910" spans="3:17" s="700" customFormat="1" ht="70.5" hidden="1" customHeight="1">
      <c r="C4910" s="701"/>
      <c r="D4910" s="811"/>
      <c r="E4910" s="1276">
        <f>[11]building!Y5241</f>
        <v>0</v>
      </c>
      <c r="F4910" s="748">
        <f t="shared" si="315"/>
        <v>0</v>
      </c>
      <c r="G4910" s="1205"/>
      <c r="H4910" s="1055"/>
      <c r="I4910" s="1055"/>
      <c r="J4910" s="1055"/>
      <c r="K4910" s="1205"/>
      <c r="L4910" s="1055"/>
      <c r="M4910" s="1205"/>
      <c r="N4910" s="1054"/>
      <c r="O4910" s="1207"/>
      <c r="Q4910" s="1207"/>
    </row>
    <row r="4911" spans="3:17" s="700" customFormat="1" ht="70.5" hidden="1" customHeight="1">
      <c r="C4911" s="701"/>
      <c r="D4911" s="811"/>
      <c r="E4911" s="1276">
        <f>[11]building!Y5242</f>
        <v>0</v>
      </c>
      <c r="F4911" s="748">
        <f t="shared" si="315"/>
        <v>0</v>
      </c>
      <c r="G4911" s="1205"/>
      <c r="H4911" s="1055"/>
      <c r="I4911" s="1055"/>
      <c r="J4911" s="1055"/>
      <c r="K4911" s="1205"/>
      <c r="L4911" s="1055"/>
      <c r="M4911" s="1205"/>
      <c r="N4911" s="1054"/>
      <c r="O4911" s="1207"/>
      <c r="Q4911" s="1207"/>
    </row>
    <row r="4912" spans="3:17" s="700" customFormat="1" ht="70.5" hidden="1" customHeight="1">
      <c r="C4912" s="701"/>
      <c r="D4912" s="811"/>
      <c r="E4912" s="1276">
        <f>[11]building!Y5243</f>
        <v>0</v>
      </c>
      <c r="F4912" s="748">
        <f t="shared" si="315"/>
        <v>0</v>
      </c>
      <c r="G4912" s="1205"/>
      <c r="H4912" s="1055"/>
      <c r="I4912" s="1055"/>
      <c r="J4912" s="1055"/>
      <c r="K4912" s="1205"/>
      <c r="L4912" s="1055"/>
      <c r="M4912" s="1205"/>
      <c r="N4912" s="1054"/>
      <c r="O4912" s="1207"/>
      <c r="Q4912" s="1207"/>
    </row>
    <row r="4913" spans="3:17" s="700" customFormat="1" ht="70.5" hidden="1" customHeight="1">
      <c r="C4913" s="701"/>
      <c r="D4913" s="811"/>
      <c r="E4913" s="1276">
        <f>[11]building!Y5244</f>
        <v>0</v>
      </c>
      <c r="F4913" s="748">
        <f t="shared" si="315"/>
        <v>0</v>
      </c>
      <c r="G4913" s="1205"/>
      <c r="H4913" s="1055"/>
      <c r="I4913" s="1055"/>
      <c r="J4913" s="1055"/>
      <c r="K4913" s="1205"/>
      <c r="L4913" s="1055"/>
      <c r="M4913" s="1205"/>
      <c r="N4913" s="1054"/>
      <c r="O4913" s="1207"/>
      <c r="Q4913" s="1207"/>
    </row>
    <row r="4914" spans="3:17" s="700" customFormat="1" ht="70.5" hidden="1" customHeight="1">
      <c r="C4914" s="701"/>
      <c r="D4914" s="811"/>
      <c r="E4914" s="1276">
        <f>[11]building!Y5245</f>
        <v>0</v>
      </c>
      <c r="F4914" s="748">
        <f t="shared" si="315"/>
        <v>0</v>
      </c>
      <c r="G4914" s="1205"/>
      <c r="H4914" s="1055"/>
      <c r="I4914" s="1055"/>
      <c r="J4914" s="1055"/>
      <c r="K4914" s="1205"/>
      <c r="L4914" s="1055"/>
      <c r="M4914" s="1205"/>
      <c r="N4914" s="1054"/>
      <c r="O4914" s="1207"/>
      <c r="Q4914" s="1207"/>
    </row>
    <row r="4915" spans="3:17" s="700" customFormat="1" ht="70.5" hidden="1" customHeight="1">
      <c r="C4915" s="701"/>
      <c r="D4915" s="811"/>
      <c r="E4915" s="1276">
        <f>[11]building!Y5246</f>
        <v>0</v>
      </c>
      <c r="F4915" s="748">
        <f t="shared" si="315"/>
        <v>0</v>
      </c>
      <c r="G4915" s="1205"/>
      <c r="H4915" s="1055"/>
      <c r="I4915" s="1055"/>
      <c r="J4915" s="1055"/>
      <c r="K4915" s="1205"/>
      <c r="L4915" s="1055"/>
      <c r="M4915" s="1205"/>
      <c r="N4915" s="1054"/>
      <c r="O4915" s="1207"/>
      <c r="Q4915" s="1207"/>
    </row>
    <row r="4916" spans="3:17" s="700" customFormat="1" ht="70.5" hidden="1" customHeight="1">
      <c r="C4916" s="701"/>
      <c r="D4916" s="811"/>
      <c r="E4916" s="1276">
        <f>[11]building!Y5247</f>
        <v>0</v>
      </c>
      <c r="F4916" s="748">
        <f t="shared" si="315"/>
        <v>0</v>
      </c>
      <c r="G4916" s="1205"/>
      <c r="H4916" s="1055"/>
      <c r="I4916" s="1055"/>
      <c r="J4916" s="1055"/>
      <c r="K4916" s="1205"/>
      <c r="L4916" s="1055"/>
      <c r="M4916" s="1205"/>
      <c r="N4916" s="1054"/>
      <c r="O4916" s="1207"/>
      <c r="Q4916" s="1207"/>
    </row>
    <row r="4917" spans="3:17" s="700" customFormat="1" ht="70.5" hidden="1" customHeight="1">
      <c r="C4917" s="701"/>
      <c r="D4917" s="811"/>
      <c r="E4917" s="1276">
        <f>[11]building!Y5248</f>
        <v>0</v>
      </c>
      <c r="F4917" s="748">
        <f t="shared" si="315"/>
        <v>0</v>
      </c>
      <c r="G4917" s="1205"/>
      <c r="H4917" s="1055"/>
      <c r="I4917" s="1055"/>
      <c r="J4917" s="1055"/>
      <c r="K4917" s="1205"/>
      <c r="L4917" s="1055"/>
      <c r="M4917" s="1205"/>
      <c r="N4917" s="1054"/>
      <c r="O4917" s="1207"/>
      <c r="Q4917" s="1207"/>
    </row>
    <row r="4918" spans="3:17" s="700" customFormat="1" ht="70.5" hidden="1" customHeight="1">
      <c r="C4918" s="701"/>
      <c r="D4918" s="811"/>
      <c r="E4918" s="1276">
        <f>[11]building!Y5249</f>
        <v>0</v>
      </c>
      <c r="F4918" s="748">
        <f t="shared" si="315"/>
        <v>0</v>
      </c>
      <c r="G4918" s="1205"/>
      <c r="H4918" s="1055"/>
      <c r="I4918" s="1055"/>
      <c r="J4918" s="1055"/>
      <c r="K4918" s="1205"/>
      <c r="L4918" s="1055"/>
      <c r="M4918" s="1205"/>
      <c r="N4918" s="1054"/>
      <c r="O4918" s="1207"/>
      <c r="Q4918" s="1207"/>
    </row>
    <row r="4919" spans="3:17" s="700" customFormat="1" ht="70.5" hidden="1" customHeight="1">
      <c r="C4919" s="701"/>
      <c r="D4919" s="811"/>
      <c r="E4919" s="1276">
        <f>[11]building!Y5250</f>
        <v>0</v>
      </c>
      <c r="F4919" s="748">
        <f t="shared" si="315"/>
        <v>0</v>
      </c>
      <c r="G4919" s="1205"/>
      <c r="H4919" s="1055"/>
      <c r="I4919" s="1055"/>
      <c r="J4919" s="1055"/>
      <c r="K4919" s="1205"/>
      <c r="L4919" s="1055"/>
      <c r="M4919" s="1205"/>
      <c r="N4919" s="1054"/>
      <c r="O4919" s="1207"/>
      <c r="Q4919" s="1207"/>
    </row>
    <row r="4920" spans="3:17" s="700" customFormat="1" ht="70.5" hidden="1" customHeight="1">
      <c r="C4920" s="701"/>
      <c r="D4920" s="811"/>
      <c r="E4920" s="1276">
        <f>[11]building!Y5251</f>
        <v>0</v>
      </c>
      <c r="F4920" s="748">
        <f t="shared" si="315"/>
        <v>0</v>
      </c>
      <c r="G4920" s="1205"/>
      <c r="H4920" s="1055"/>
      <c r="I4920" s="1055"/>
      <c r="J4920" s="1055"/>
      <c r="K4920" s="1205"/>
      <c r="L4920" s="1055"/>
      <c r="M4920" s="1205"/>
      <c r="N4920" s="1054"/>
      <c r="O4920" s="1207"/>
      <c r="Q4920" s="1207"/>
    </row>
    <row r="4921" spans="3:17" s="700" customFormat="1" ht="70.5" hidden="1" customHeight="1">
      <c r="C4921" s="701"/>
      <c r="D4921" s="811"/>
      <c r="E4921" s="1276">
        <f>[11]building!Y5252</f>
        <v>0</v>
      </c>
      <c r="F4921" s="748">
        <f t="shared" si="315"/>
        <v>0</v>
      </c>
      <c r="G4921" s="1205"/>
      <c r="H4921" s="1055"/>
      <c r="I4921" s="1055"/>
      <c r="J4921" s="1055"/>
      <c r="K4921" s="1205"/>
      <c r="L4921" s="1055"/>
      <c r="M4921" s="1205"/>
      <c r="N4921" s="1054"/>
      <c r="O4921" s="1207"/>
      <c r="Q4921" s="1207"/>
    </row>
    <row r="4922" spans="3:17" s="700" customFormat="1" ht="70.5" hidden="1" customHeight="1">
      <c r="C4922" s="701"/>
      <c r="D4922" s="811"/>
      <c r="E4922" s="1276">
        <f>[11]building!Y5253</f>
        <v>0</v>
      </c>
      <c r="F4922" s="748">
        <f t="shared" si="315"/>
        <v>0</v>
      </c>
      <c r="G4922" s="1205"/>
      <c r="H4922" s="1055"/>
      <c r="I4922" s="1055"/>
      <c r="J4922" s="1055"/>
      <c r="K4922" s="1205"/>
      <c r="L4922" s="1055"/>
      <c r="M4922" s="1205"/>
      <c r="N4922" s="1054"/>
      <c r="O4922" s="1207"/>
      <c r="Q4922" s="1207"/>
    </row>
    <row r="4923" spans="3:17" s="700" customFormat="1" ht="70.5" hidden="1" customHeight="1">
      <c r="C4923" s="701"/>
      <c r="D4923" s="811"/>
      <c r="E4923" s="1276">
        <f>[11]building!Y5254</f>
        <v>0</v>
      </c>
      <c r="F4923" s="748">
        <f t="shared" si="315"/>
        <v>0</v>
      </c>
      <c r="G4923" s="1205"/>
      <c r="H4923" s="1055"/>
      <c r="I4923" s="1055"/>
      <c r="J4923" s="1055"/>
      <c r="K4923" s="1205"/>
      <c r="L4923" s="1055"/>
      <c r="M4923" s="1205"/>
      <c r="N4923" s="1054"/>
      <c r="O4923" s="1207"/>
      <c r="Q4923" s="1207"/>
    </row>
    <row r="4924" spans="3:17" s="700" customFormat="1" ht="70.5" hidden="1" customHeight="1">
      <c r="C4924" s="701"/>
      <c r="D4924" s="811"/>
      <c r="E4924" s="1276">
        <f>[11]building!Y5255</f>
        <v>0</v>
      </c>
      <c r="F4924" s="748">
        <f t="shared" si="315"/>
        <v>0</v>
      </c>
      <c r="G4924" s="1205"/>
      <c r="H4924" s="1055"/>
      <c r="I4924" s="1055"/>
      <c r="J4924" s="1055"/>
      <c r="K4924" s="1205"/>
      <c r="L4924" s="1055"/>
      <c r="M4924" s="1205"/>
      <c r="N4924" s="1054"/>
      <c r="O4924" s="1207"/>
      <c r="Q4924" s="1207"/>
    </row>
    <row r="4925" spans="3:17" s="700" customFormat="1" ht="70.5" hidden="1" customHeight="1">
      <c r="C4925" s="701"/>
      <c r="D4925" s="811"/>
      <c r="E4925" s="1276">
        <f>[11]building!Y5256</f>
        <v>0</v>
      </c>
      <c r="F4925" s="748">
        <f t="shared" si="315"/>
        <v>0</v>
      </c>
      <c r="G4925" s="1205"/>
      <c r="H4925" s="1055"/>
      <c r="I4925" s="1055"/>
      <c r="J4925" s="1055"/>
      <c r="K4925" s="1205"/>
      <c r="L4925" s="1055"/>
      <c r="M4925" s="1205"/>
      <c r="N4925" s="1054"/>
      <c r="O4925" s="1207"/>
      <c r="Q4925" s="1207"/>
    </row>
    <row r="4926" spans="3:17" s="700" customFormat="1" ht="70.5" hidden="1" customHeight="1">
      <c r="C4926" s="701"/>
      <c r="D4926" s="811"/>
      <c r="E4926" s="1276">
        <f>[11]building!Y5257</f>
        <v>0</v>
      </c>
      <c r="F4926" s="748">
        <f t="shared" si="315"/>
        <v>0</v>
      </c>
      <c r="G4926" s="1205"/>
      <c r="H4926" s="1055"/>
      <c r="I4926" s="1055"/>
      <c r="J4926" s="1055"/>
      <c r="K4926" s="1205"/>
      <c r="L4926" s="1055"/>
      <c r="M4926" s="1205"/>
      <c r="N4926" s="1054"/>
      <c r="O4926" s="1207"/>
      <c r="Q4926" s="1207"/>
    </row>
    <row r="4927" spans="3:17" s="700" customFormat="1" ht="70.5" hidden="1" customHeight="1">
      <c r="C4927" s="701"/>
      <c r="D4927" s="811"/>
      <c r="E4927" s="1276">
        <f>[11]building!Y5258</f>
        <v>0</v>
      </c>
      <c r="F4927" s="748">
        <f t="shared" si="315"/>
        <v>0</v>
      </c>
      <c r="G4927" s="1205"/>
      <c r="H4927" s="1055"/>
      <c r="I4927" s="1055"/>
      <c r="J4927" s="1055"/>
      <c r="K4927" s="1205"/>
      <c r="L4927" s="1055"/>
      <c r="M4927" s="1205"/>
      <c r="N4927" s="1054"/>
      <c r="O4927" s="1207"/>
      <c r="Q4927" s="1207"/>
    </row>
    <row r="4928" spans="3:17" s="700" customFormat="1" ht="70.5" hidden="1" customHeight="1">
      <c r="C4928" s="701"/>
      <c r="D4928" s="811"/>
      <c r="E4928" s="1276">
        <f>[11]building!Y5259</f>
        <v>0</v>
      </c>
      <c r="F4928" s="748">
        <f t="shared" ref="F4928:F4991" si="316">E4928*C4928</f>
        <v>0</v>
      </c>
      <c r="G4928" s="1205"/>
      <c r="H4928" s="1055"/>
      <c r="I4928" s="1055"/>
      <c r="J4928" s="1055"/>
      <c r="K4928" s="1205"/>
      <c r="L4928" s="1055"/>
      <c r="M4928" s="1205"/>
      <c r="N4928" s="1054"/>
      <c r="O4928" s="1207"/>
      <c r="Q4928" s="1207"/>
    </row>
    <row r="4929" spans="3:17" s="700" customFormat="1" ht="70.5" hidden="1" customHeight="1">
      <c r="C4929" s="701"/>
      <c r="D4929" s="811"/>
      <c r="E4929" s="1276">
        <f>[11]building!Y5260</f>
        <v>0</v>
      </c>
      <c r="F4929" s="748">
        <f t="shared" si="316"/>
        <v>0</v>
      </c>
      <c r="G4929" s="1205"/>
      <c r="H4929" s="1055"/>
      <c r="I4929" s="1055"/>
      <c r="J4929" s="1055"/>
      <c r="K4929" s="1205"/>
      <c r="L4929" s="1055"/>
      <c r="M4929" s="1205"/>
      <c r="N4929" s="1054"/>
      <c r="O4929" s="1207"/>
      <c r="Q4929" s="1207"/>
    </row>
    <row r="4930" spans="3:17" s="700" customFormat="1" ht="70.5" hidden="1" customHeight="1">
      <c r="C4930" s="701"/>
      <c r="D4930" s="811"/>
      <c r="E4930" s="1276">
        <f>[11]building!Y5261</f>
        <v>0</v>
      </c>
      <c r="F4930" s="748">
        <f t="shared" si="316"/>
        <v>0</v>
      </c>
      <c r="G4930" s="1205"/>
      <c r="H4930" s="1055"/>
      <c r="I4930" s="1055"/>
      <c r="J4930" s="1055"/>
      <c r="K4930" s="1205"/>
      <c r="L4930" s="1055"/>
      <c r="M4930" s="1205"/>
      <c r="N4930" s="1054"/>
      <c r="O4930" s="1207"/>
      <c r="Q4930" s="1207"/>
    </row>
    <row r="4931" spans="3:17" s="700" customFormat="1" ht="70.5" hidden="1" customHeight="1">
      <c r="C4931" s="701"/>
      <c r="D4931" s="811"/>
      <c r="E4931" s="1276">
        <f>[11]building!Y5262</f>
        <v>0</v>
      </c>
      <c r="F4931" s="748">
        <f t="shared" si="316"/>
        <v>0</v>
      </c>
      <c r="G4931" s="1205"/>
      <c r="H4931" s="1055"/>
      <c r="I4931" s="1055"/>
      <c r="J4931" s="1055"/>
      <c r="K4931" s="1205"/>
      <c r="L4931" s="1055"/>
      <c r="M4931" s="1205"/>
      <c r="N4931" s="1054"/>
      <c r="O4931" s="1207"/>
      <c r="Q4931" s="1207"/>
    </row>
    <row r="4932" spans="3:17" s="700" customFormat="1" ht="70.5" hidden="1" customHeight="1">
      <c r="C4932" s="701"/>
      <c r="D4932" s="811"/>
      <c r="E4932" s="1276">
        <f>[11]building!Y5263</f>
        <v>0</v>
      </c>
      <c r="F4932" s="748">
        <f t="shared" si="316"/>
        <v>0</v>
      </c>
      <c r="G4932" s="1205"/>
      <c r="H4932" s="1055"/>
      <c r="I4932" s="1055"/>
      <c r="J4932" s="1055"/>
      <c r="K4932" s="1205"/>
      <c r="L4932" s="1055"/>
      <c r="M4932" s="1205"/>
      <c r="N4932" s="1054"/>
      <c r="O4932" s="1207"/>
      <c r="Q4932" s="1207"/>
    </row>
    <row r="4933" spans="3:17" s="700" customFormat="1" ht="70.5" hidden="1" customHeight="1">
      <c r="C4933" s="701"/>
      <c r="D4933" s="811"/>
      <c r="E4933" s="1276">
        <f>[11]building!Y5264</f>
        <v>0</v>
      </c>
      <c r="F4933" s="748">
        <f t="shared" si="316"/>
        <v>0</v>
      </c>
      <c r="G4933" s="1205"/>
      <c r="H4933" s="1055"/>
      <c r="I4933" s="1055"/>
      <c r="J4933" s="1055"/>
      <c r="K4933" s="1205"/>
      <c r="L4933" s="1055"/>
      <c r="M4933" s="1205"/>
      <c r="N4933" s="1054"/>
      <c r="O4933" s="1207"/>
      <c r="Q4933" s="1207"/>
    </row>
    <row r="4934" spans="3:17" s="700" customFormat="1" ht="70.5" hidden="1" customHeight="1">
      <c r="C4934" s="701"/>
      <c r="D4934" s="811"/>
      <c r="E4934" s="1276">
        <f>[11]building!Y5265</f>
        <v>0</v>
      </c>
      <c r="F4934" s="748">
        <f t="shared" si="316"/>
        <v>0</v>
      </c>
      <c r="G4934" s="1205"/>
      <c r="H4934" s="1055"/>
      <c r="I4934" s="1055"/>
      <c r="J4934" s="1055"/>
      <c r="K4934" s="1205"/>
      <c r="L4934" s="1055"/>
      <c r="M4934" s="1205"/>
      <c r="N4934" s="1054"/>
      <c r="O4934" s="1207"/>
      <c r="Q4934" s="1207"/>
    </row>
    <row r="4935" spans="3:17" s="700" customFormat="1" ht="70.5" hidden="1" customHeight="1">
      <c r="C4935" s="701"/>
      <c r="D4935" s="811"/>
      <c r="E4935" s="1276">
        <f>[11]building!Y5266</f>
        <v>0</v>
      </c>
      <c r="F4935" s="748">
        <f t="shared" si="316"/>
        <v>0</v>
      </c>
      <c r="G4935" s="1205"/>
      <c r="H4935" s="1055"/>
      <c r="I4935" s="1055"/>
      <c r="J4935" s="1055"/>
      <c r="K4935" s="1205"/>
      <c r="L4935" s="1055"/>
      <c r="M4935" s="1205"/>
      <c r="N4935" s="1054"/>
      <c r="O4935" s="1207"/>
      <c r="Q4935" s="1207"/>
    </row>
    <row r="4936" spans="3:17" s="700" customFormat="1" ht="70.5" hidden="1" customHeight="1">
      <c r="C4936" s="701"/>
      <c r="D4936" s="811"/>
      <c r="E4936" s="1276">
        <f>[11]building!Y5267</f>
        <v>0</v>
      </c>
      <c r="F4936" s="748">
        <f t="shared" si="316"/>
        <v>0</v>
      </c>
      <c r="G4936" s="1205"/>
      <c r="H4936" s="1055"/>
      <c r="I4936" s="1055"/>
      <c r="J4936" s="1055"/>
      <c r="K4936" s="1205"/>
      <c r="L4936" s="1055"/>
      <c r="M4936" s="1205"/>
      <c r="N4936" s="1054"/>
      <c r="O4936" s="1207"/>
      <c r="Q4936" s="1207"/>
    </row>
    <row r="4937" spans="3:17" s="700" customFormat="1" ht="70.5" hidden="1" customHeight="1">
      <c r="C4937" s="701"/>
      <c r="D4937" s="811"/>
      <c r="E4937" s="1276">
        <f>[11]building!Y5268</f>
        <v>0</v>
      </c>
      <c r="F4937" s="748">
        <f t="shared" si="316"/>
        <v>0</v>
      </c>
      <c r="G4937" s="1205"/>
      <c r="H4937" s="1055"/>
      <c r="I4937" s="1055"/>
      <c r="J4937" s="1055"/>
      <c r="K4937" s="1205"/>
      <c r="L4937" s="1055"/>
      <c r="M4937" s="1205"/>
      <c r="N4937" s="1054"/>
      <c r="O4937" s="1207"/>
      <c r="Q4937" s="1207"/>
    </row>
    <row r="4938" spans="3:17" s="700" customFormat="1" ht="70.5" hidden="1" customHeight="1">
      <c r="C4938" s="701"/>
      <c r="D4938" s="811"/>
      <c r="E4938" s="1276">
        <f>[11]building!Y5269</f>
        <v>0</v>
      </c>
      <c r="F4938" s="748">
        <f t="shared" si="316"/>
        <v>0</v>
      </c>
      <c r="G4938" s="1205"/>
      <c r="H4938" s="1055"/>
      <c r="I4938" s="1055"/>
      <c r="J4938" s="1055"/>
      <c r="K4938" s="1205"/>
      <c r="L4938" s="1055"/>
      <c r="M4938" s="1205"/>
      <c r="N4938" s="1054"/>
      <c r="O4938" s="1207"/>
      <c r="Q4938" s="1207"/>
    </row>
    <row r="4939" spans="3:17" s="700" customFormat="1" ht="70.5" hidden="1" customHeight="1">
      <c r="C4939" s="701"/>
      <c r="D4939" s="811"/>
      <c r="E4939" s="1276">
        <f>[11]building!Y5270</f>
        <v>0</v>
      </c>
      <c r="F4939" s="748">
        <f t="shared" si="316"/>
        <v>0</v>
      </c>
      <c r="G4939" s="1205"/>
      <c r="H4939" s="1055"/>
      <c r="I4939" s="1055"/>
      <c r="J4939" s="1055"/>
      <c r="K4939" s="1205"/>
      <c r="L4939" s="1055"/>
      <c r="M4939" s="1205"/>
      <c r="N4939" s="1054"/>
      <c r="O4939" s="1207"/>
      <c r="Q4939" s="1207"/>
    </row>
    <row r="4940" spans="3:17" s="700" customFormat="1" ht="70.5" hidden="1" customHeight="1">
      <c r="C4940" s="701"/>
      <c r="D4940" s="811"/>
      <c r="E4940" s="1276">
        <f>[11]building!Y5271</f>
        <v>0</v>
      </c>
      <c r="F4940" s="748">
        <f t="shared" si="316"/>
        <v>0</v>
      </c>
      <c r="G4940" s="1205"/>
      <c r="H4940" s="1055"/>
      <c r="I4940" s="1055"/>
      <c r="J4940" s="1055"/>
      <c r="K4940" s="1205"/>
      <c r="L4940" s="1055"/>
      <c r="M4940" s="1205"/>
      <c r="N4940" s="1054"/>
      <c r="O4940" s="1207"/>
      <c r="Q4940" s="1207"/>
    </row>
    <row r="4941" spans="3:17" s="700" customFormat="1" ht="70.5" hidden="1" customHeight="1">
      <c r="C4941" s="701"/>
      <c r="D4941" s="811"/>
      <c r="E4941" s="1276">
        <f>[11]building!Y5272</f>
        <v>0</v>
      </c>
      <c r="F4941" s="748">
        <f t="shared" si="316"/>
        <v>0</v>
      </c>
      <c r="G4941" s="1205"/>
      <c r="H4941" s="1055"/>
      <c r="I4941" s="1055"/>
      <c r="J4941" s="1055"/>
      <c r="K4941" s="1205"/>
      <c r="L4941" s="1055"/>
      <c r="M4941" s="1205"/>
      <c r="N4941" s="1054"/>
      <c r="O4941" s="1207"/>
      <c r="Q4941" s="1207"/>
    </row>
    <row r="4942" spans="3:17" s="700" customFormat="1" ht="70.5" hidden="1" customHeight="1">
      <c r="C4942" s="701"/>
      <c r="D4942" s="811"/>
      <c r="E4942" s="1276">
        <f>[11]building!Y5273</f>
        <v>0</v>
      </c>
      <c r="F4942" s="748">
        <f t="shared" si="316"/>
        <v>0</v>
      </c>
      <c r="G4942" s="1205"/>
      <c r="H4942" s="1055"/>
      <c r="I4942" s="1055"/>
      <c r="J4942" s="1055"/>
      <c r="K4942" s="1205"/>
      <c r="L4942" s="1055"/>
      <c r="M4942" s="1205"/>
      <c r="N4942" s="1054"/>
      <c r="O4942" s="1207"/>
      <c r="Q4942" s="1207"/>
    </row>
    <row r="4943" spans="3:17" s="700" customFormat="1" ht="70.5" hidden="1" customHeight="1">
      <c r="C4943" s="701"/>
      <c r="D4943" s="811"/>
      <c r="E4943" s="1276">
        <f>[11]building!Y5274</f>
        <v>0</v>
      </c>
      <c r="F4943" s="748">
        <f t="shared" si="316"/>
        <v>0</v>
      </c>
      <c r="G4943" s="1205"/>
      <c r="H4943" s="1055"/>
      <c r="I4943" s="1055"/>
      <c r="J4943" s="1055"/>
      <c r="K4943" s="1205"/>
      <c r="L4943" s="1055"/>
      <c r="M4943" s="1205"/>
      <c r="N4943" s="1054"/>
      <c r="O4943" s="1207"/>
      <c r="Q4943" s="1207"/>
    </row>
    <row r="4944" spans="3:17" s="700" customFormat="1" ht="70.5" hidden="1" customHeight="1">
      <c r="C4944" s="701"/>
      <c r="D4944" s="811"/>
      <c r="E4944" s="1276">
        <f>[11]building!Y5275</f>
        <v>0</v>
      </c>
      <c r="F4944" s="748">
        <f t="shared" si="316"/>
        <v>0</v>
      </c>
      <c r="G4944" s="1205"/>
      <c r="H4944" s="1055"/>
      <c r="I4944" s="1055"/>
      <c r="J4944" s="1055"/>
      <c r="K4944" s="1205"/>
      <c r="L4944" s="1055"/>
      <c r="M4944" s="1205"/>
      <c r="N4944" s="1054"/>
      <c r="O4944" s="1207"/>
      <c r="Q4944" s="1207"/>
    </row>
    <row r="4945" spans="3:17" s="700" customFormat="1" ht="70.5" hidden="1" customHeight="1">
      <c r="C4945" s="701"/>
      <c r="D4945" s="811"/>
      <c r="E4945" s="1276">
        <f>[11]building!Y5276</f>
        <v>0</v>
      </c>
      <c r="F4945" s="748">
        <f t="shared" si="316"/>
        <v>0</v>
      </c>
      <c r="G4945" s="1205"/>
      <c r="H4945" s="1055"/>
      <c r="I4945" s="1055"/>
      <c r="J4945" s="1055"/>
      <c r="K4945" s="1205"/>
      <c r="L4945" s="1055"/>
      <c r="M4945" s="1205"/>
      <c r="N4945" s="1054"/>
      <c r="O4945" s="1207"/>
      <c r="Q4945" s="1207"/>
    </row>
    <row r="4946" spans="3:17" s="700" customFormat="1" ht="70.5" hidden="1" customHeight="1">
      <c r="C4946" s="701"/>
      <c r="D4946" s="811"/>
      <c r="E4946" s="1276">
        <f>[11]building!Y5277</f>
        <v>0</v>
      </c>
      <c r="F4946" s="748">
        <f t="shared" si="316"/>
        <v>0</v>
      </c>
      <c r="G4946" s="1205"/>
      <c r="H4946" s="1055"/>
      <c r="I4946" s="1055"/>
      <c r="J4946" s="1055"/>
      <c r="K4946" s="1205"/>
      <c r="L4946" s="1055"/>
      <c r="M4946" s="1205"/>
      <c r="N4946" s="1054"/>
      <c r="O4946" s="1207"/>
      <c r="Q4946" s="1207"/>
    </row>
    <row r="4947" spans="3:17" s="700" customFormat="1" ht="70.5" hidden="1" customHeight="1">
      <c r="C4947" s="701"/>
      <c r="D4947" s="811"/>
      <c r="E4947" s="1276">
        <f>[11]building!Y5278</f>
        <v>0</v>
      </c>
      <c r="F4947" s="748">
        <f t="shared" si="316"/>
        <v>0</v>
      </c>
      <c r="G4947" s="1205"/>
      <c r="H4947" s="1055"/>
      <c r="I4947" s="1055"/>
      <c r="J4947" s="1055"/>
      <c r="K4947" s="1205"/>
      <c r="L4947" s="1055"/>
      <c r="M4947" s="1205"/>
      <c r="N4947" s="1054"/>
      <c r="O4947" s="1207"/>
      <c r="Q4947" s="1207"/>
    </row>
    <row r="4948" spans="3:17" s="700" customFormat="1" ht="70.5" hidden="1" customHeight="1">
      <c r="C4948" s="701"/>
      <c r="D4948" s="811"/>
      <c r="E4948" s="1276">
        <f>[11]building!Y5279</f>
        <v>0</v>
      </c>
      <c r="F4948" s="748">
        <f t="shared" si="316"/>
        <v>0</v>
      </c>
      <c r="G4948" s="1205"/>
      <c r="H4948" s="1055"/>
      <c r="I4948" s="1055"/>
      <c r="J4948" s="1055"/>
      <c r="K4948" s="1205"/>
      <c r="L4948" s="1055"/>
      <c r="M4948" s="1205"/>
      <c r="N4948" s="1054"/>
      <c r="O4948" s="1207"/>
      <c r="Q4948" s="1207"/>
    </row>
    <row r="4949" spans="3:17" s="700" customFormat="1" ht="70.5" hidden="1" customHeight="1">
      <c r="C4949" s="701"/>
      <c r="D4949" s="811"/>
      <c r="E4949" s="1276">
        <f>[11]building!Y5280</f>
        <v>0</v>
      </c>
      <c r="F4949" s="748">
        <f t="shared" si="316"/>
        <v>0</v>
      </c>
      <c r="G4949" s="1205"/>
      <c r="H4949" s="1055"/>
      <c r="I4949" s="1055"/>
      <c r="J4949" s="1055"/>
      <c r="K4949" s="1205"/>
      <c r="L4949" s="1055"/>
      <c r="M4949" s="1205"/>
      <c r="N4949" s="1054"/>
      <c r="O4949" s="1207"/>
      <c r="Q4949" s="1207"/>
    </row>
    <row r="4950" spans="3:17" s="700" customFormat="1" ht="70.5" hidden="1" customHeight="1">
      <c r="C4950" s="701"/>
      <c r="D4950" s="811"/>
      <c r="E4950" s="1276">
        <f>[11]building!Y5281</f>
        <v>0</v>
      </c>
      <c r="F4950" s="748">
        <f t="shared" si="316"/>
        <v>0</v>
      </c>
      <c r="G4950" s="1205"/>
      <c r="H4950" s="1055"/>
      <c r="I4950" s="1055"/>
      <c r="J4950" s="1055"/>
      <c r="K4950" s="1205"/>
      <c r="L4950" s="1055"/>
      <c r="M4950" s="1205"/>
      <c r="N4950" s="1054"/>
      <c r="O4950" s="1207"/>
      <c r="Q4950" s="1207"/>
    </row>
    <row r="4951" spans="3:17" s="700" customFormat="1" ht="70.5" hidden="1" customHeight="1">
      <c r="C4951" s="701"/>
      <c r="D4951" s="811"/>
      <c r="E4951" s="1276">
        <f>[11]building!Y5282</f>
        <v>0</v>
      </c>
      <c r="F4951" s="748">
        <f t="shared" si="316"/>
        <v>0</v>
      </c>
      <c r="G4951" s="1205"/>
      <c r="H4951" s="1055"/>
      <c r="I4951" s="1055"/>
      <c r="J4951" s="1055"/>
      <c r="K4951" s="1205"/>
      <c r="L4951" s="1055"/>
      <c r="M4951" s="1205"/>
      <c r="N4951" s="1054"/>
      <c r="O4951" s="1207"/>
      <c r="Q4951" s="1207"/>
    </row>
    <row r="4952" spans="3:17" s="700" customFormat="1" ht="70.5" hidden="1" customHeight="1">
      <c r="C4952" s="701"/>
      <c r="D4952" s="811"/>
      <c r="E4952" s="1276">
        <f>[11]building!Y5283</f>
        <v>0</v>
      </c>
      <c r="F4952" s="748">
        <f t="shared" si="316"/>
        <v>0</v>
      </c>
      <c r="G4952" s="1205"/>
      <c r="H4952" s="1055"/>
      <c r="I4952" s="1055"/>
      <c r="J4952" s="1055"/>
      <c r="K4952" s="1205"/>
      <c r="L4952" s="1055"/>
      <c r="M4952" s="1205"/>
      <c r="N4952" s="1054"/>
      <c r="O4952" s="1207"/>
      <c r="Q4952" s="1207"/>
    </row>
    <row r="4953" spans="3:17" s="700" customFormat="1" ht="70.5" hidden="1" customHeight="1">
      <c r="C4953" s="701"/>
      <c r="D4953" s="811"/>
      <c r="E4953" s="1276">
        <f>[11]building!Y5284</f>
        <v>0</v>
      </c>
      <c r="F4953" s="748">
        <f t="shared" si="316"/>
        <v>0</v>
      </c>
      <c r="G4953" s="1205"/>
      <c r="H4953" s="1055"/>
      <c r="I4953" s="1055"/>
      <c r="J4953" s="1055"/>
      <c r="K4953" s="1205"/>
      <c r="L4953" s="1055"/>
      <c r="M4953" s="1205"/>
      <c r="N4953" s="1054"/>
      <c r="O4953" s="1207"/>
      <c r="Q4953" s="1207"/>
    </row>
    <row r="4954" spans="3:17" s="700" customFormat="1" ht="70.5" hidden="1" customHeight="1">
      <c r="C4954" s="701"/>
      <c r="D4954" s="811"/>
      <c r="E4954" s="1276">
        <f>[11]building!Y5285</f>
        <v>0</v>
      </c>
      <c r="F4954" s="748">
        <f t="shared" si="316"/>
        <v>0</v>
      </c>
      <c r="G4954" s="1205"/>
      <c r="H4954" s="1055"/>
      <c r="I4954" s="1055"/>
      <c r="J4954" s="1055"/>
      <c r="K4954" s="1205"/>
      <c r="L4954" s="1055"/>
      <c r="M4954" s="1205"/>
      <c r="N4954" s="1054"/>
      <c r="O4954" s="1207"/>
      <c r="Q4954" s="1207"/>
    </row>
    <row r="4955" spans="3:17" s="700" customFormat="1" ht="70.5" hidden="1" customHeight="1">
      <c r="C4955" s="701"/>
      <c r="D4955" s="811"/>
      <c r="E4955" s="1276">
        <f>[11]building!Y5286</f>
        <v>0</v>
      </c>
      <c r="F4955" s="748">
        <f t="shared" si="316"/>
        <v>0</v>
      </c>
      <c r="G4955" s="1205"/>
      <c r="H4955" s="1055"/>
      <c r="I4955" s="1055"/>
      <c r="J4955" s="1055"/>
      <c r="K4955" s="1205"/>
      <c r="L4955" s="1055"/>
      <c r="M4955" s="1205"/>
      <c r="N4955" s="1054"/>
      <c r="O4955" s="1207"/>
      <c r="Q4955" s="1207"/>
    </row>
    <row r="4956" spans="3:17" s="700" customFormat="1" ht="70.5" hidden="1" customHeight="1">
      <c r="C4956" s="701"/>
      <c r="D4956" s="811"/>
      <c r="E4956" s="1276">
        <f>[11]building!Y5287</f>
        <v>0</v>
      </c>
      <c r="F4956" s="748">
        <f t="shared" si="316"/>
        <v>0</v>
      </c>
      <c r="G4956" s="1205"/>
      <c r="H4956" s="1055"/>
      <c r="I4956" s="1055"/>
      <c r="J4956" s="1055"/>
      <c r="K4956" s="1205"/>
      <c r="L4956" s="1055"/>
      <c r="M4956" s="1205"/>
      <c r="N4956" s="1054"/>
      <c r="O4956" s="1207"/>
      <c r="Q4956" s="1207"/>
    </row>
    <row r="4957" spans="3:17" s="700" customFormat="1" ht="70.5" hidden="1" customHeight="1">
      <c r="C4957" s="701"/>
      <c r="D4957" s="811"/>
      <c r="E4957" s="1276">
        <f>[11]building!Y5288</f>
        <v>0</v>
      </c>
      <c r="F4957" s="748">
        <f t="shared" si="316"/>
        <v>0</v>
      </c>
      <c r="G4957" s="1205"/>
      <c r="H4957" s="1055"/>
      <c r="I4957" s="1055"/>
      <c r="J4957" s="1055"/>
      <c r="K4957" s="1205"/>
      <c r="L4957" s="1055"/>
      <c r="M4957" s="1205"/>
      <c r="N4957" s="1054"/>
      <c r="O4957" s="1207"/>
      <c r="Q4957" s="1207"/>
    </row>
    <row r="4958" spans="3:17" s="700" customFormat="1" ht="70.5" hidden="1" customHeight="1">
      <c r="C4958" s="701"/>
      <c r="D4958" s="811"/>
      <c r="E4958" s="1276">
        <f>[11]building!Y5289</f>
        <v>0</v>
      </c>
      <c r="F4958" s="748">
        <f t="shared" si="316"/>
        <v>0</v>
      </c>
      <c r="G4958" s="1205"/>
      <c r="H4958" s="1055"/>
      <c r="I4958" s="1055"/>
      <c r="J4958" s="1055"/>
      <c r="K4958" s="1205"/>
      <c r="L4958" s="1055"/>
      <c r="M4958" s="1205"/>
      <c r="N4958" s="1054"/>
      <c r="O4958" s="1207"/>
      <c r="Q4958" s="1207"/>
    </row>
    <row r="4959" spans="3:17" s="700" customFormat="1" ht="70.5" hidden="1" customHeight="1">
      <c r="C4959" s="701"/>
      <c r="D4959" s="811"/>
      <c r="E4959" s="1276">
        <f>[11]building!Y5290</f>
        <v>0</v>
      </c>
      <c r="F4959" s="748">
        <f t="shared" si="316"/>
        <v>0</v>
      </c>
      <c r="G4959" s="1205"/>
      <c r="H4959" s="1055"/>
      <c r="I4959" s="1055"/>
      <c r="J4959" s="1055"/>
      <c r="K4959" s="1205"/>
      <c r="L4959" s="1055"/>
      <c r="M4959" s="1205"/>
      <c r="N4959" s="1054"/>
      <c r="O4959" s="1207"/>
      <c r="Q4959" s="1207"/>
    </row>
    <row r="4960" spans="3:17" s="700" customFormat="1" ht="70.5" hidden="1" customHeight="1">
      <c r="C4960" s="701"/>
      <c r="D4960" s="811"/>
      <c r="E4960" s="1276">
        <f>[11]building!Y5291</f>
        <v>0</v>
      </c>
      <c r="F4960" s="748">
        <f t="shared" si="316"/>
        <v>0</v>
      </c>
      <c r="G4960" s="1205"/>
      <c r="H4960" s="1055"/>
      <c r="I4960" s="1055"/>
      <c r="J4960" s="1055"/>
      <c r="K4960" s="1205"/>
      <c r="L4960" s="1055"/>
      <c r="M4960" s="1205"/>
      <c r="N4960" s="1054"/>
      <c r="O4960" s="1207"/>
      <c r="Q4960" s="1207"/>
    </row>
    <row r="4961" spans="3:17" s="700" customFormat="1" ht="70.5" hidden="1" customHeight="1">
      <c r="C4961" s="701"/>
      <c r="D4961" s="811"/>
      <c r="E4961" s="1276">
        <f>[11]building!Y5292</f>
        <v>0</v>
      </c>
      <c r="F4961" s="748">
        <f t="shared" si="316"/>
        <v>0</v>
      </c>
      <c r="G4961" s="1205"/>
      <c r="H4961" s="1055"/>
      <c r="I4961" s="1055"/>
      <c r="J4961" s="1055"/>
      <c r="K4961" s="1205"/>
      <c r="L4961" s="1055"/>
      <c r="M4961" s="1205"/>
      <c r="N4961" s="1054"/>
      <c r="O4961" s="1207"/>
      <c r="Q4961" s="1207"/>
    </row>
    <row r="4962" spans="3:17" s="700" customFormat="1" ht="70.5" hidden="1" customHeight="1">
      <c r="C4962" s="701"/>
      <c r="D4962" s="811"/>
      <c r="E4962" s="1276">
        <f>[11]building!Y5293</f>
        <v>0</v>
      </c>
      <c r="F4962" s="748">
        <f t="shared" si="316"/>
        <v>0</v>
      </c>
      <c r="G4962" s="1205"/>
      <c r="H4962" s="1055"/>
      <c r="I4962" s="1055"/>
      <c r="J4962" s="1055"/>
      <c r="K4962" s="1205"/>
      <c r="L4962" s="1055"/>
      <c r="M4962" s="1205"/>
      <c r="N4962" s="1054"/>
      <c r="O4962" s="1207"/>
      <c r="Q4962" s="1207"/>
    </row>
    <row r="4963" spans="3:17" s="700" customFormat="1" ht="70.5" hidden="1" customHeight="1">
      <c r="C4963" s="701"/>
      <c r="D4963" s="811"/>
      <c r="E4963" s="1276">
        <f>[11]building!Y5294</f>
        <v>0</v>
      </c>
      <c r="F4963" s="748">
        <f t="shared" si="316"/>
        <v>0</v>
      </c>
      <c r="G4963" s="1205"/>
      <c r="H4963" s="1055"/>
      <c r="I4963" s="1055"/>
      <c r="J4963" s="1055"/>
      <c r="K4963" s="1205"/>
      <c r="L4963" s="1055"/>
      <c r="M4963" s="1205"/>
      <c r="N4963" s="1054"/>
      <c r="O4963" s="1207"/>
      <c r="Q4963" s="1207"/>
    </row>
    <row r="4964" spans="3:17" s="700" customFormat="1" ht="70.5" hidden="1" customHeight="1">
      <c r="C4964" s="701"/>
      <c r="D4964" s="811"/>
      <c r="E4964" s="1276">
        <f>[11]building!Y5295</f>
        <v>0</v>
      </c>
      <c r="F4964" s="748">
        <f t="shared" si="316"/>
        <v>0</v>
      </c>
      <c r="G4964" s="1205"/>
      <c r="H4964" s="1055"/>
      <c r="I4964" s="1055"/>
      <c r="J4964" s="1055"/>
      <c r="K4964" s="1205"/>
      <c r="L4964" s="1055"/>
      <c r="M4964" s="1205"/>
      <c r="N4964" s="1054"/>
      <c r="O4964" s="1207"/>
      <c r="Q4964" s="1207"/>
    </row>
    <row r="4965" spans="3:17" s="700" customFormat="1" ht="70.5" hidden="1" customHeight="1">
      <c r="C4965" s="701"/>
      <c r="D4965" s="811"/>
      <c r="E4965" s="1276">
        <f>[11]building!Y5296</f>
        <v>0</v>
      </c>
      <c r="F4965" s="748">
        <f t="shared" si="316"/>
        <v>0</v>
      </c>
      <c r="G4965" s="1205"/>
      <c r="H4965" s="1055"/>
      <c r="I4965" s="1055"/>
      <c r="J4965" s="1055"/>
      <c r="K4965" s="1205"/>
      <c r="L4965" s="1055"/>
      <c r="M4965" s="1205"/>
      <c r="N4965" s="1054"/>
      <c r="O4965" s="1207"/>
      <c r="Q4965" s="1207"/>
    </row>
    <row r="4966" spans="3:17" s="700" customFormat="1" ht="70.5" hidden="1" customHeight="1">
      <c r="C4966" s="701"/>
      <c r="D4966" s="811"/>
      <c r="E4966" s="1276">
        <f>[11]building!Y5297</f>
        <v>0</v>
      </c>
      <c r="F4966" s="748">
        <f t="shared" si="316"/>
        <v>0</v>
      </c>
      <c r="G4966" s="1205"/>
      <c r="H4966" s="1055"/>
      <c r="I4966" s="1055"/>
      <c r="J4966" s="1055"/>
      <c r="K4966" s="1205"/>
      <c r="L4966" s="1055"/>
      <c r="M4966" s="1205"/>
      <c r="N4966" s="1054"/>
      <c r="O4966" s="1207"/>
      <c r="Q4966" s="1207"/>
    </row>
    <row r="4967" spans="3:17" s="700" customFormat="1" ht="70.5" hidden="1" customHeight="1">
      <c r="C4967" s="701"/>
      <c r="D4967" s="811"/>
      <c r="E4967" s="1276">
        <f>[11]building!Y5298</f>
        <v>0</v>
      </c>
      <c r="F4967" s="748">
        <f t="shared" si="316"/>
        <v>0</v>
      </c>
      <c r="G4967" s="1205"/>
      <c r="H4967" s="1055"/>
      <c r="I4967" s="1055"/>
      <c r="J4967" s="1055"/>
      <c r="K4967" s="1205"/>
      <c r="L4967" s="1055"/>
      <c r="M4967" s="1205"/>
      <c r="N4967" s="1054"/>
      <c r="O4967" s="1207"/>
      <c r="Q4967" s="1207"/>
    </row>
    <row r="4968" spans="3:17" s="700" customFormat="1" ht="70.5" hidden="1" customHeight="1">
      <c r="C4968" s="701"/>
      <c r="D4968" s="811"/>
      <c r="E4968" s="1276">
        <f>[11]building!Y5299</f>
        <v>0</v>
      </c>
      <c r="F4968" s="748">
        <f t="shared" si="316"/>
        <v>0</v>
      </c>
      <c r="G4968" s="1205"/>
      <c r="H4968" s="1055"/>
      <c r="I4968" s="1055"/>
      <c r="J4968" s="1055"/>
      <c r="K4968" s="1205"/>
      <c r="L4968" s="1055"/>
      <c r="M4968" s="1205"/>
      <c r="N4968" s="1054"/>
      <c r="O4968" s="1207"/>
      <c r="Q4968" s="1207"/>
    </row>
    <row r="4969" spans="3:17" s="700" customFormat="1" ht="70.5" hidden="1" customHeight="1">
      <c r="C4969" s="701"/>
      <c r="D4969" s="811"/>
      <c r="E4969" s="1276">
        <f>[11]building!Y5300</f>
        <v>0</v>
      </c>
      <c r="F4969" s="748">
        <f t="shared" si="316"/>
        <v>0</v>
      </c>
      <c r="G4969" s="1205"/>
      <c r="H4969" s="1055"/>
      <c r="I4969" s="1055"/>
      <c r="J4969" s="1055"/>
      <c r="K4969" s="1205"/>
      <c r="L4969" s="1055"/>
      <c r="M4969" s="1205"/>
      <c r="N4969" s="1054"/>
      <c r="O4969" s="1207"/>
      <c r="Q4969" s="1207"/>
    </row>
    <row r="4970" spans="3:17" s="700" customFormat="1" ht="70.5" hidden="1" customHeight="1">
      <c r="C4970" s="701"/>
      <c r="D4970" s="811"/>
      <c r="E4970" s="1276">
        <f>[11]building!Y5301</f>
        <v>0</v>
      </c>
      <c r="F4970" s="748">
        <f t="shared" si="316"/>
        <v>0</v>
      </c>
      <c r="G4970" s="1205"/>
      <c r="H4970" s="1055"/>
      <c r="I4970" s="1055"/>
      <c r="J4970" s="1055"/>
      <c r="K4970" s="1205"/>
      <c r="L4970" s="1055"/>
      <c r="M4970" s="1205"/>
      <c r="N4970" s="1054"/>
      <c r="O4970" s="1207"/>
      <c r="Q4970" s="1207"/>
    </row>
    <row r="4971" spans="3:17" s="700" customFormat="1" ht="70.5" hidden="1" customHeight="1">
      <c r="C4971" s="701"/>
      <c r="D4971" s="811"/>
      <c r="E4971" s="1276">
        <f>[11]building!Y5302</f>
        <v>0</v>
      </c>
      <c r="F4971" s="748">
        <f t="shared" si="316"/>
        <v>0</v>
      </c>
      <c r="G4971" s="1205"/>
      <c r="H4971" s="1055"/>
      <c r="I4971" s="1055"/>
      <c r="J4971" s="1055"/>
      <c r="K4971" s="1205"/>
      <c r="L4971" s="1055"/>
      <c r="M4971" s="1205"/>
      <c r="N4971" s="1054"/>
      <c r="O4971" s="1207"/>
      <c r="Q4971" s="1207"/>
    </row>
    <row r="4972" spans="3:17" s="700" customFormat="1" ht="70.5" hidden="1" customHeight="1">
      <c r="C4972" s="701"/>
      <c r="D4972" s="811"/>
      <c r="E4972" s="1276">
        <f>[11]building!Y5303</f>
        <v>0</v>
      </c>
      <c r="F4972" s="748">
        <f t="shared" si="316"/>
        <v>0</v>
      </c>
      <c r="G4972" s="1205"/>
      <c r="H4972" s="1055"/>
      <c r="I4972" s="1055"/>
      <c r="J4972" s="1055"/>
      <c r="K4972" s="1205"/>
      <c r="L4972" s="1055"/>
      <c r="M4972" s="1205"/>
      <c r="N4972" s="1054"/>
      <c r="O4972" s="1207"/>
      <c r="Q4972" s="1207"/>
    </row>
    <row r="4973" spans="3:17" s="700" customFormat="1" ht="70.5" hidden="1" customHeight="1">
      <c r="C4973" s="701"/>
      <c r="D4973" s="811"/>
      <c r="E4973" s="1276">
        <f>[11]building!Y5304</f>
        <v>0</v>
      </c>
      <c r="F4973" s="748">
        <f t="shared" si="316"/>
        <v>0</v>
      </c>
      <c r="G4973" s="1205"/>
      <c r="H4973" s="1055"/>
      <c r="I4973" s="1055"/>
      <c r="J4973" s="1055"/>
      <c r="K4973" s="1205"/>
      <c r="L4973" s="1055"/>
      <c r="M4973" s="1205"/>
      <c r="N4973" s="1054"/>
      <c r="O4973" s="1207"/>
      <c r="Q4973" s="1207"/>
    </row>
    <row r="4974" spans="3:17" s="700" customFormat="1" ht="70.5" hidden="1" customHeight="1">
      <c r="C4974" s="701"/>
      <c r="D4974" s="811"/>
      <c r="E4974" s="1276">
        <f>[11]building!Y5305</f>
        <v>0</v>
      </c>
      <c r="F4974" s="748">
        <f t="shared" si="316"/>
        <v>0</v>
      </c>
      <c r="G4974" s="1205"/>
      <c r="H4974" s="1055"/>
      <c r="I4974" s="1055"/>
      <c r="J4974" s="1055"/>
      <c r="K4974" s="1205"/>
      <c r="L4974" s="1055"/>
      <c r="M4974" s="1205"/>
      <c r="N4974" s="1054"/>
      <c r="O4974" s="1207"/>
      <c r="Q4974" s="1207"/>
    </row>
    <row r="4975" spans="3:17" s="700" customFormat="1" ht="70.5" hidden="1" customHeight="1">
      <c r="C4975" s="701"/>
      <c r="D4975" s="811"/>
      <c r="E4975" s="1276">
        <f>[11]building!Y5306</f>
        <v>0</v>
      </c>
      <c r="F4975" s="748">
        <f t="shared" si="316"/>
        <v>0</v>
      </c>
      <c r="G4975" s="1205"/>
      <c r="H4975" s="1055"/>
      <c r="I4975" s="1055"/>
      <c r="J4975" s="1055"/>
      <c r="K4975" s="1205"/>
      <c r="L4975" s="1055"/>
      <c r="M4975" s="1205"/>
      <c r="N4975" s="1054"/>
      <c r="O4975" s="1207"/>
      <c r="Q4975" s="1207"/>
    </row>
    <row r="4976" spans="3:17" s="700" customFormat="1" ht="70.5" hidden="1" customHeight="1">
      <c r="C4976" s="701"/>
      <c r="D4976" s="811"/>
      <c r="E4976" s="1276">
        <f>[11]building!Y5307</f>
        <v>0</v>
      </c>
      <c r="F4976" s="748">
        <f t="shared" si="316"/>
        <v>0</v>
      </c>
      <c r="G4976" s="1205"/>
      <c r="H4976" s="1055"/>
      <c r="I4976" s="1055"/>
      <c r="J4976" s="1055"/>
      <c r="K4976" s="1205"/>
      <c r="L4976" s="1055"/>
      <c r="M4976" s="1205"/>
      <c r="N4976" s="1054"/>
      <c r="O4976" s="1207"/>
      <c r="Q4976" s="1207"/>
    </row>
    <row r="4977" spans="3:17" s="700" customFormat="1" ht="70.5" hidden="1" customHeight="1">
      <c r="C4977" s="701"/>
      <c r="D4977" s="811"/>
      <c r="E4977" s="1276">
        <f>[11]building!Y5308</f>
        <v>0</v>
      </c>
      <c r="F4977" s="748">
        <f t="shared" si="316"/>
        <v>0</v>
      </c>
      <c r="G4977" s="1205"/>
      <c r="H4977" s="1055"/>
      <c r="I4977" s="1055"/>
      <c r="J4977" s="1055"/>
      <c r="K4977" s="1205"/>
      <c r="L4977" s="1055"/>
      <c r="M4977" s="1205"/>
      <c r="N4977" s="1054"/>
      <c r="O4977" s="1207"/>
      <c r="Q4977" s="1207"/>
    </row>
    <row r="4978" spans="3:17" s="700" customFormat="1" ht="70.5" hidden="1" customHeight="1">
      <c r="C4978" s="701"/>
      <c r="D4978" s="811"/>
      <c r="E4978" s="1276">
        <f>[11]building!Y5309</f>
        <v>0</v>
      </c>
      <c r="F4978" s="748">
        <f t="shared" si="316"/>
        <v>0</v>
      </c>
      <c r="G4978" s="1205"/>
      <c r="H4978" s="1055"/>
      <c r="I4978" s="1055"/>
      <c r="J4978" s="1055"/>
      <c r="K4978" s="1205"/>
      <c r="L4978" s="1055"/>
      <c r="M4978" s="1205"/>
      <c r="N4978" s="1054"/>
      <c r="O4978" s="1207"/>
      <c r="Q4978" s="1207"/>
    </row>
    <row r="4979" spans="3:17" s="700" customFormat="1" ht="70.5" hidden="1" customHeight="1">
      <c r="C4979" s="701"/>
      <c r="D4979" s="811"/>
      <c r="E4979" s="1276">
        <f>[11]building!Y5310</f>
        <v>0</v>
      </c>
      <c r="F4979" s="748">
        <f t="shared" si="316"/>
        <v>0</v>
      </c>
      <c r="G4979" s="1205"/>
      <c r="H4979" s="1055"/>
      <c r="I4979" s="1055"/>
      <c r="J4979" s="1055"/>
      <c r="K4979" s="1205"/>
      <c r="L4979" s="1055"/>
      <c r="M4979" s="1205"/>
      <c r="N4979" s="1054"/>
      <c r="O4979" s="1207"/>
      <c r="Q4979" s="1207"/>
    </row>
    <row r="4980" spans="3:17" s="700" customFormat="1" ht="70.5" hidden="1" customHeight="1">
      <c r="C4980" s="701"/>
      <c r="D4980" s="811"/>
      <c r="E4980" s="1276">
        <f>[11]building!Y5311</f>
        <v>0</v>
      </c>
      <c r="F4980" s="748">
        <f t="shared" si="316"/>
        <v>0</v>
      </c>
      <c r="G4980" s="1205"/>
      <c r="H4980" s="1055"/>
      <c r="I4980" s="1055"/>
      <c r="J4980" s="1055"/>
      <c r="K4980" s="1205"/>
      <c r="L4980" s="1055"/>
      <c r="M4980" s="1205"/>
      <c r="N4980" s="1054"/>
      <c r="O4980" s="1207"/>
      <c r="Q4980" s="1207"/>
    </row>
    <row r="4981" spans="3:17" s="700" customFormat="1" ht="70.5" hidden="1" customHeight="1">
      <c r="C4981" s="701"/>
      <c r="D4981" s="811"/>
      <c r="E4981" s="1276">
        <f>[11]building!Y5312</f>
        <v>0</v>
      </c>
      <c r="F4981" s="748">
        <f t="shared" si="316"/>
        <v>0</v>
      </c>
      <c r="G4981" s="1205"/>
      <c r="H4981" s="1055"/>
      <c r="I4981" s="1055"/>
      <c r="J4981" s="1055"/>
      <c r="K4981" s="1205"/>
      <c r="L4981" s="1055"/>
      <c r="M4981" s="1205"/>
      <c r="N4981" s="1054"/>
      <c r="O4981" s="1207"/>
      <c r="Q4981" s="1207"/>
    </row>
    <row r="4982" spans="3:17" s="700" customFormat="1" ht="70.5" hidden="1" customHeight="1">
      <c r="C4982" s="701"/>
      <c r="D4982" s="811"/>
      <c r="E4982" s="1276">
        <f>[11]building!Y5313</f>
        <v>0</v>
      </c>
      <c r="F4982" s="748">
        <f t="shared" si="316"/>
        <v>0</v>
      </c>
      <c r="G4982" s="1205"/>
      <c r="H4982" s="1055"/>
      <c r="I4982" s="1055"/>
      <c r="J4982" s="1055"/>
      <c r="K4982" s="1205"/>
      <c r="L4982" s="1055"/>
      <c r="M4982" s="1205"/>
      <c r="N4982" s="1054"/>
      <c r="O4982" s="1207"/>
      <c r="Q4982" s="1207"/>
    </row>
    <row r="4983" spans="3:17" s="700" customFormat="1" ht="70.5" hidden="1" customHeight="1">
      <c r="C4983" s="701"/>
      <c r="D4983" s="811"/>
      <c r="E4983" s="1276">
        <f>[11]building!Y5314</f>
        <v>0</v>
      </c>
      <c r="F4983" s="748">
        <f t="shared" si="316"/>
        <v>0</v>
      </c>
      <c r="G4983" s="1205"/>
      <c r="H4983" s="1055"/>
      <c r="I4983" s="1055"/>
      <c r="J4983" s="1055"/>
      <c r="K4983" s="1205"/>
      <c r="L4983" s="1055"/>
      <c r="M4983" s="1205"/>
      <c r="N4983" s="1054"/>
      <c r="O4983" s="1207"/>
      <c r="Q4983" s="1207"/>
    </row>
    <row r="4984" spans="3:17" s="700" customFormat="1" ht="70.5" hidden="1" customHeight="1">
      <c r="C4984" s="701"/>
      <c r="D4984" s="811"/>
      <c r="E4984" s="1276">
        <f>[11]building!Y5315</f>
        <v>0</v>
      </c>
      <c r="F4984" s="748">
        <f t="shared" si="316"/>
        <v>0</v>
      </c>
      <c r="G4984" s="1205"/>
      <c r="H4984" s="1055"/>
      <c r="I4984" s="1055"/>
      <c r="J4984" s="1055"/>
      <c r="K4984" s="1205"/>
      <c r="L4984" s="1055"/>
      <c r="M4984" s="1205"/>
      <c r="N4984" s="1054"/>
      <c r="O4984" s="1207"/>
      <c r="Q4984" s="1207"/>
    </row>
    <row r="4985" spans="3:17" s="700" customFormat="1" ht="70.5" hidden="1" customHeight="1">
      <c r="C4985" s="701"/>
      <c r="D4985" s="811"/>
      <c r="E4985" s="1276">
        <f>[11]building!Y5316</f>
        <v>0</v>
      </c>
      <c r="F4985" s="748">
        <f t="shared" si="316"/>
        <v>0</v>
      </c>
      <c r="G4985" s="1205"/>
      <c r="H4985" s="1055"/>
      <c r="I4985" s="1055"/>
      <c r="J4985" s="1055"/>
      <c r="K4985" s="1205"/>
      <c r="L4985" s="1055"/>
      <c r="M4985" s="1205"/>
      <c r="N4985" s="1054"/>
      <c r="O4985" s="1207"/>
      <c r="Q4985" s="1207"/>
    </row>
    <row r="4986" spans="3:17" s="700" customFormat="1" ht="70.5" hidden="1" customHeight="1">
      <c r="C4986" s="701"/>
      <c r="D4986" s="811"/>
      <c r="E4986" s="1276">
        <f>[11]building!Y5317</f>
        <v>0</v>
      </c>
      <c r="F4986" s="748">
        <f t="shared" si="316"/>
        <v>0</v>
      </c>
      <c r="G4986" s="1205"/>
      <c r="H4986" s="1055"/>
      <c r="I4986" s="1055"/>
      <c r="J4986" s="1055"/>
      <c r="K4986" s="1205"/>
      <c r="L4986" s="1055"/>
      <c r="M4986" s="1205"/>
      <c r="N4986" s="1054"/>
      <c r="O4986" s="1207"/>
      <c r="Q4986" s="1207"/>
    </row>
    <row r="4987" spans="3:17" s="700" customFormat="1" ht="70.5" hidden="1" customHeight="1">
      <c r="C4987" s="701"/>
      <c r="D4987" s="811"/>
      <c r="E4987" s="1276">
        <f>[11]building!Y5318</f>
        <v>0</v>
      </c>
      <c r="F4987" s="748">
        <f t="shared" si="316"/>
        <v>0</v>
      </c>
      <c r="G4987" s="1205"/>
      <c r="H4987" s="1055"/>
      <c r="I4987" s="1055"/>
      <c r="J4987" s="1055"/>
      <c r="K4987" s="1205"/>
      <c r="L4987" s="1055"/>
      <c r="M4987" s="1205"/>
      <c r="N4987" s="1054"/>
      <c r="O4987" s="1207"/>
      <c r="Q4987" s="1207"/>
    </row>
    <row r="4988" spans="3:17" s="700" customFormat="1" ht="70.5" hidden="1" customHeight="1">
      <c r="C4988" s="701"/>
      <c r="D4988" s="811"/>
      <c r="E4988" s="1276">
        <f>[11]building!Y5319</f>
        <v>0</v>
      </c>
      <c r="F4988" s="748">
        <f t="shared" si="316"/>
        <v>0</v>
      </c>
      <c r="G4988" s="1205"/>
      <c r="H4988" s="1055"/>
      <c r="I4988" s="1055"/>
      <c r="J4988" s="1055"/>
      <c r="K4988" s="1205"/>
      <c r="L4988" s="1055"/>
      <c r="M4988" s="1205"/>
      <c r="N4988" s="1054"/>
      <c r="O4988" s="1207"/>
      <c r="Q4988" s="1207"/>
    </row>
    <row r="4989" spans="3:17" s="700" customFormat="1" ht="70.5" hidden="1" customHeight="1">
      <c r="C4989" s="701"/>
      <c r="D4989" s="811"/>
      <c r="E4989" s="1276">
        <f>[11]building!Y5320</f>
        <v>0</v>
      </c>
      <c r="F4989" s="748">
        <f t="shared" si="316"/>
        <v>0</v>
      </c>
      <c r="G4989" s="1205"/>
      <c r="H4989" s="1055"/>
      <c r="I4989" s="1055"/>
      <c r="J4989" s="1055"/>
      <c r="K4989" s="1205"/>
      <c r="L4989" s="1055"/>
      <c r="M4989" s="1205"/>
      <c r="N4989" s="1054"/>
      <c r="O4989" s="1207"/>
      <c r="Q4989" s="1207"/>
    </row>
    <row r="4990" spans="3:17" s="700" customFormat="1" ht="70.5" hidden="1" customHeight="1">
      <c r="C4990" s="701"/>
      <c r="D4990" s="811"/>
      <c r="E4990" s="1276">
        <f>[11]building!Y5321</f>
        <v>0</v>
      </c>
      <c r="F4990" s="748">
        <f t="shared" si="316"/>
        <v>0</v>
      </c>
      <c r="G4990" s="1205"/>
      <c r="H4990" s="1055"/>
      <c r="I4990" s="1055"/>
      <c r="J4990" s="1055"/>
      <c r="K4990" s="1205"/>
      <c r="L4990" s="1055"/>
      <c r="M4990" s="1205"/>
      <c r="N4990" s="1054"/>
      <c r="O4990" s="1207"/>
      <c r="Q4990" s="1207"/>
    </row>
    <row r="4991" spans="3:17" s="700" customFormat="1" ht="70.5" hidden="1" customHeight="1">
      <c r="C4991" s="701"/>
      <c r="D4991" s="811"/>
      <c r="E4991" s="1276">
        <f>[11]building!Y5322</f>
        <v>0</v>
      </c>
      <c r="F4991" s="748">
        <f t="shared" si="316"/>
        <v>0</v>
      </c>
      <c r="G4991" s="1205"/>
      <c r="H4991" s="1055"/>
      <c r="I4991" s="1055"/>
      <c r="J4991" s="1055"/>
      <c r="K4991" s="1205"/>
      <c r="L4991" s="1055"/>
      <c r="M4991" s="1205"/>
      <c r="N4991" s="1054"/>
      <c r="O4991" s="1207"/>
      <c r="Q4991" s="1207"/>
    </row>
    <row r="4992" spans="3:17" s="700" customFormat="1" ht="70.5" hidden="1" customHeight="1">
      <c r="C4992" s="701"/>
      <c r="D4992" s="811"/>
      <c r="E4992" s="1276">
        <f>[11]building!Y5323</f>
        <v>0</v>
      </c>
      <c r="F4992" s="748">
        <f t="shared" ref="F4992:F5055" si="317">E4992*C4992</f>
        <v>0</v>
      </c>
      <c r="G4992" s="1205"/>
      <c r="H4992" s="1055"/>
      <c r="I4992" s="1055"/>
      <c r="J4992" s="1055"/>
      <c r="K4992" s="1205"/>
      <c r="L4992" s="1055"/>
      <c r="M4992" s="1205"/>
      <c r="N4992" s="1054"/>
      <c r="O4992" s="1207"/>
      <c r="Q4992" s="1207"/>
    </row>
    <row r="4993" spans="3:17" s="700" customFormat="1" ht="70.5" hidden="1" customHeight="1">
      <c r="C4993" s="701"/>
      <c r="D4993" s="811"/>
      <c r="E4993" s="1276">
        <f>[11]building!Y5324</f>
        <v>0</v>
      </c>
      <c r="F4993" s="748">
        <f t="shared" si="317"/>
        <v>0</v>
      </c>
      <c r="G4993" s="1205"/>
      <c r="H4993" s="1055"/>
      <c r="I4993" s="1055"/>
      <c r="J4993" s="1055"/>
      <c r="K4993" s="1205"/>
      <c r="L4993" s="1055"/>
      <c r="M4993" s="1205"/>
      <c r="N4993" s="1054"/>
      <c r="O4993" s="1207"/>
      <c r="Q4993" s="1207"/>
    </row>
    <row r="4994" spans="3:17" s="700" customFormat="1" ht="70.5" hidden="1" customHeight="1">
      <c r="C4994" s="701"/>
      <c r="D4994" s="811"/>
      <c r="E4994" s="1276">
        <f>[11]building!Y5325</f>
        <v>0</v>
      </c>
      <c r="F4994" s="748">
        <f t="shared" si="317"/>
        <v>0</v>
      </c>
      <c r="G4994" s="1205"/>
      <c r="H4994" s="1055"/>
      <c r="I4994" s="1055"/>
      <c r="J4994" s="1055"/>
      <c r="K4994" s="1205"/>
      <c r="L4994" s="1055"/>
      <c r="M4994" s="1205"/>
      <c r="N4994" s="1054"/>
      <c r="O4994" s="1207"/>
      <c r="Q4994" s="1207"/>
    </row>
    <row r="4995" spans="3:17" s="700" customFormat="1" ht="70.5" hidden="1" customHeight="1">
      <c r="C4995" s="701"/>
      <c r="D4995" s="811"/>
      <c r="E4995" s="1276">
        <f>[11]building!Y5326</f>
        <v>0</v>
      </c>
      <c r="F4995" s="748">
        <f t="shared" si="317"/>
        <v>0</v>
      </c>
      <c r="G4995" s="1205"/>
      <c r="H4995" s="1055"/>
      <c r="I4995" s="1055"/>
      <c r="J4995" s="1055"/>
      <c r="K4995" s="1205"/>
      <c r="L4995" s="1055"/>
      <c r="M4995" s="1205"/>
      <c r="N4995" s="1054"/>
      <c r="O4995" s="1207"/>
      <c r="Q4995" s="1207"/>
    </row>
    <row r="4996" spans="3:17" s="700" customFormat="1" ht="70.5" hidden="1" customHeight="1">
      <c r="C4996" s="701"/>
      <c r="D4996" s="811"/>
      <c r="E4996" s="1276">
        <f>[11]building!Y5327</f>
        <v>0</v>
      </c>
      <c r="F4996" s="748">
        <f t="shared" si="317"/>
        <v>0</v>
      </c>
      <c r="G4996" s="1205"/>
      <c r="H4996" s="1055"/>
      <c r="I4996" s="1055"/>
      <c r="J4996" s="1055"/>
      <c r="K4996" s="1205"/>
      <c r="L4996" s="1055"/>
      <c r="M4996" s="1205"/>
      <c r="N4996" s="1054"/>
      <c r="O4996" s="1207"/>
      <c r="Q4996" s="1207"/>
    </row>
    <row r="4997" spans="3:17" s="700" customFormat="1" ht="70.5" hidden="1" customHeight="1">
      <c r="C4997" s="701"/>
      <c r="D4997" s="811"/>
      <c r="E4997" s="1276">
        <f>[11]building!Y5328</f>
        <v>0</v>
      </c>
      <c r="F4997" s="748">
        <f t="shared" si="317"/>
        <v>0</v>
      </c>
      <c r="G4997" s="1205"/>
      <c r="H4997" s="1055"/>
      <c r="I4997" s="1055"/>
      <c r="J4997" s="1055"/>
      <c r="K4997" s="1205"/>
      <c r="L4997" s="1055"/>
      <c r="M4997" s="1205"/>
      <c r="N4997" s="1054"/>
      <c r="O4997" s="1207"/>
      <c r="Q4997" s="1207"/>
    </row>
    <row r="4998" spans="3:17" s="700" customFormat="1" ht="70.5" hidden="1" customHeight="1">
      <c r="C4998" s="701"/>
      <c r="D4998" s="811"/>
      <c r="E4998" s="1276">
        <f>[11]building!Y5329</f>
        <v>0</v>
      </c>
      <c r="F4998" s="748">
        <f t="shared" si="317"/>
        <v>0</v>
      </c>
      <c r="G4998" s="1205"/>
      <c r="H4998" s="1055"/>
      <c r="I4998" s="1055"/>
      <c r="J4998" s="1055"/>
      <c r="K4998" s="1205"/>
      <c r="L4998" s="1055"/>
      <c r="M4998" s="1205"/>
      <c r="N4998" s="1054"/>
      <c r="O4998" s="1207"/>
      <c r="Q4998" s="1207"/>
    </row>
    <row r="4999" spans="3:17" s="700" customFormat="1" ht="70.5" hidden="1" customHeight="1">
      <c r="C4999" s="701"/>
      <c r="D4999" s="811"/>
      <c r="E4999" s="1276">
        <f>[11]building!Y5330</f>
        <v>0</v>
      </c>
      <c r="F4999" s="748">
        <f t="shared" si="317"/>
        <v>0</v>
      </c>
      <c r="G4999" s="1205"/>
      <c r="H4999" s="1055"/>
      <c r="I4999" s="1055"/>
      <c r="J4999" s="1055"/>
      <c r="K4999" s="1205"/>
      <c r="L4999" s="1055"/>
      <c r="M4999" s="1205"/>
      <c r="N4999" s="1054"/>
      <c r="O4999" s="1207"/>
      <c r="Q4999" s="1207"/>
    </row>
    <row r="5000" spans="3:17" s="700" customFormat="1" ht="70.5" hidden="1" customHeight="1">
      <c r="C5000" s="701"/>
      <c r="D5000" s="811"/>
      <c r="E5000" s="1276">
        <f>[11]building!Y5331</f>
        <v>0</v>
      </c>
      <c r="F5000" s="748">
        <f t="shared" si="317"/>
        <v>0</v>
      </c>
      <c r="G5000" s="1205"/>
      <c r="H5000" s="1055"/>
      <c r="I5000" s="1055"/>
      <c r="J5000" s="1055"/>
      <c r="K5000" s="1205"/>
      <c r="L5000" s="1055"/>
      <c r="M5000" s="1205"/>
      <c r="N5000" s="1054"/>
      <c r="O5000" s="1207"/>
      <c r="Q5000" s="1207"/>
    </row>
    <row r="5001" spans="3:17" s="700" customFormat="1" ht="70.5" hidden="1" customHeight="1">
      <c r="C5001" s="701"/>
      <c r="D5001" s="811"/>
      <c r="E5001" s="1276">
        <f>[11]building!Y5332</f>
        <v>0</v>
      </c>
      <c r="F5001" s="748">
        <f t="shared" si="317"/>
        <v>0</v>
      </c>
      <c r="G5001" s="1205"/>
      <c r="H5001" s="1055"/>
      <c r="I5001" s="1055"/>
      <c r="J5001" s="1055"/>
      <c r="K5001" s="1205"/>
      <c r="L5001" s="1055"/>
      <c r="M5001" s="1205"/>
      <c r="N5001" s="1054"/>
      <c r="O5001" s="1207"/>
      <c r="Q5001" s="1207"/>
    </row>
    <row r="5002" spans="3:17" s="700" customFormat="1" ht="70.5" hidden="1" customHeight="1">
      <c r="C5002" s="701"/>
      <c r="D5002" s="811"/>
      <c r="E5002" s="1276">
        <f>[11]building!Y5333</f>
        <v>0</v>
      </c>
      <c r="F5002" s="748">
        <f t="shared" si="317"/>
        <v>0</v>
      </c>
      <c r="G5002" s="1205"/>
      <c r="H5002" s="1055"/>
      <c r="I5002" s="1055"/>
      <c r="J5002" s="1055"/>
      <c r="K5002" s="1205"/>
      <c r="L5002" s="1055"/>
      <c r="M5002" s="1205"/>
      <c r="N5002" s="1054"/>
      <c r="O5002" s="1207"/>
      <c r="Q5002" s="1207"/>
    </row>
    <row r="5003" spans="3:17" s="700" customFormat="1" ht="70.5" hidden="1" customHeight="1">
      <c r="C5003" s="701"/>
      <c r="D5003" s="811"/>
      <c r="E5003" s="1276">
        <f>[11]building!Y5334</f>
        <v>0</v>
      </c>
      <c r="F5003" s="748">
        <f t="shared" si="317"/>
        <v>0</v>
      </c>
      <c r="G5003" s="1205"/>
      <c r="H5003" s="1055"/>
      <c r="I5003" s="1055"/>
      <c r="J5003" s="1055"/>
      <c r="K5003" s="1205"/>
      <c r="L5003" s="1055"/>
      <c r="M5003" s="1205"/>
      <c r="N5003" s="1054"/>
      <c r="O5003" s="1207"/>
      <c r="Q5003" s="1207"/>
    </row>
    <row r="5004" spans="3:17" s="700" customFormat="1" ht="70.5" hidden="1" customHeight="1">
      <c r="C5004" s="701"/>
      <c r="D5004" s="811"/>
      <c r="E5004" s="1276">
        <f>[11]building!Y5335</f>
        <v>0</v>
      </c>
      <c r="F5004" s="748">
        <f t="shared" si="317"/>
        <v>0</v>
      </c>
      <c r="G5004" s="1205"/>
      <c r="H5004" s="1055"/>
      <c r="I5004" s="1055"/>
      <c r="J5004" s="1055"/>
      <c r="K5004" s="1205"/>
      <c r="L5004" s="1055"/>
      <c r="M5004" s="1205"/>
      <c r="N5004" s="1054"/>
      <c r="O5004" s="1207"/>
      <c r="Q5004" s="1207"/>
    </row>
    <row r="5005" spans="3:17" s="700" customFormat="1" ht="70.5" hidden="1" customHeight="1">
      <c r="C5005" s="701"/>
      <c r="D5005" s="811"/>
      <c r="E5005" s="1276">
        <f>[11]building!Y5336</f>
        <v>0</v>
      </c>
      <c r="F5005" s="748">
        <f t="shared" si="317"/>
        <v>0</v>
      </c>
      <c r="G5005" s="1205"/>
      <c r="H5005" s="1055"/>
      <c r="I5005" s="1055"/>
      <c r="J5005" s="1055"/>
      <c r="K5005" s="1205"/>
      <c r="L5005" s="1055"/>
      <c r="M5005" s="1205"/>
      <c r="N5005" s="1054"/>
      <c r="O5005" s="1207"/>
      <c r="Q5005" s="1207"/>
    </row>
    <row r="5006" spans="3:17" s="700" customFormat="1" ht="70.5" hidden="1" customHeight="1">
      <c r="C5006" s="701"/>
      <c r="D5006" s="811"/>
      <c r="E5006" s="1276">
        <f>[11]building!Y5337</f>
        <v>0</v>
      </c>
      <c r="F5006" s="748">
        <f t="shared" si="317"/>
        <v>0</v>
      </c>
      <c r="G5006" s="1205"/>
      <c r="H5006" s="1055"/>
      <c r="I5006" s="1055"/>
      <c r="J5006" s="1055"/>
      <c r="K5006" s="1205"/>
      <c r="L5006" s="1055"/>
      <c r="M5006" s="1205"/>
      <c r="N5006" s="1054"/>
      <c r="O5006" s="1207"/>
      <c r="Q5006" s="1207"/>
    </row>
    <row r="5007" spans="3:17" s="700" customFormat="1" ht="70.5" hidden="1" customHeight="1">
      <c r="C5007" s="701"/>
      <c r="D5007" s="811"/>
      <c r="E5007" s="1276">
        <f>[11]building!Y5338</f>
        <v>0</v>
      </c>
      <c r="F5007" s="748">
        <f t="shared" si="317"/>
        <v>0</v>
      </c>
      <c r="G5007" s="1205"/>
      <c r="H5007" s="1055"/>
      <c r="I5007" s="1055"/>
      <c r="J5007" s="1055"/>
      <c r="K5007" s="1205"/>
      <c r="L5007" s="1055"/>
      <c r="M5007" s="1205"/>
      <c r="N5007" s="1054"/>
      <c r="O5007" s="1207"/>
      <c r="Q5007" s="1207"/>
    </row>
    <row r="5008" spans="3:17" s="700" customFormat="1" ht="70.5" hidden="1" customHeight="1">
      <c r="C5008" s="701"/>
      <c r="D5008" s="811"/>
      <c r="E5008" s="1276">
        <f>[11]building!Y5339</f>
        <v>0</v>
      </c>
      <c r="F5008" s="748">
        <f t="shared" si="317"/>
        <v>0</v>
      </c>
      <c r="G5008" s="1205"/>
      <c r="H5008" s="1055"/>
      <c r="I5008" s="1055"/>
      <c r="J5008" s="1055"/>
      <c r="K5008" s="1205"/>
      <c r="L5008" s="1055"/>
      <c r="M5008" s="1205"/>
      <c r="N5008" s="1054"/>
      <c r="O5008" s="1207"/>
      <c r="Q5008" s="1207"/>
    </row>
    <row r="5009" spans="3:17" s="700" customFormat="1" ht="70.5" hidden="1" customHeight="1">
      <c r="C5009" s="701"/>
      <c r="D5009" s="811"/>
      <c r="E5009" s="1276">
        <f>[11]building!Y5340</f>
        <v>0</v>
      </c>
      <c r="F5009" s="748">
        <f t="shared" si="317"/>
        <v>0</v>
      </c>
      <c r="G5009" s="1205"/>
      <c r="H5009" s="1055"/>
      <c r="I5009" s="1055"/>
      <c r="J5009" s="1055"/>
      <c r="K5009" s="1205"/>
      <c r="L5009" s="1055"/>
      <c r="M5009" s="1205"/>
      <c r="N5009" s="1054"/>
      <c r="O5009" s="1207"/>
      <c r="Q5009" s="1207"/>
    </row>
    <row r="5010" spans="3:17" s="700" customFormat="1" ht="70.5" hidden="1" customHeight="1">
      <c r="C5010" s="701"/>
      <c r="D5010" s="811"/>
      <c r="E5010" s="1276">
        <f>[11]building!Y5341</f>
        <v>0</v>
      </c>
      <c r="F5010" s="748">
        <f t="shared" si="317"/>
        <v>0</v>
      </c>
      <c r="G5010" s="1205"/>
      <c r="H5010" s="1055"/>
      <c r="I5010" s="1055"/>
      <c r="J5010" s="1055"/>
      <c r="K5010" s="1205"/>
      <c r="L5010" s="1055"/>
      <c r="M5010" s="1205"/>
      <c r="N5010" s="1054"/>
      <c r="O5010" s="1207"/>
      <c r="Q5010" s="1207"/>
    </row>
    <row r="5011" spans="3:17" s="700" customFormat="1" ht="70.5" hidden="1" customHeight="1">
      <c r="C5011" s="701"/>
      <c r="D5011" s="811"/>
      <c r="E5011" s="1276">
        <f>[11]building!Y5342</f>
        <v>0</v>
      </c>
      <c r="F5011" s="748">
        <f t="shared" si="317"/>
        <v>0</v>
      </c>
      <c r="G5011" s="1205"/>
      <c r="H5011" s="1055"/>
      <c r="I5011" s="1055"/>
      <c r="J5011" s="1055"/>
      <c r="K5011" s="1205"/>
      <c r="L5011" s="1055"/>
      <c r="M5011" s="1205"/>
      <c r="N5011" s="1054"/>
      <c r="O5011" s="1207"/>
      <c r="Q5011" s="1207"/>
    </row>
    <row r="5012" spans="3:17" s="700" customFormat="1" ht="70.5" hidden="1" customHeight="1">
      <c r="C5012" s="701"/>
      <c r="D5012" s="811"/>
      <c r="E5012" s="1276">
        <f>[11]building!Y5343</f>
        <v>0</v>
      </c>
      <c r="F5012" s="748">
        <f t="shared" si="317"/>
        <v>0</v>
      </c>
      <c r="G5012" s="1205"/>
      <c r="H5012" s="1055"/>
      <c r="I5012" s="1055"/>
      <c r="J5012" s="1055"/>
      <c r="K5012" s="1205"/>
      <c r="L5012" s="1055"/>
      <c r="M5012" s="1205"/>
      <c r="N5012" s="1054"/>
      <c r="O5012" s="1207"/>
      <c r="Q5012" s="1207"/>
    </row>
    <row r="5013" spans="3:17" s="700" customFormat="1" ht="70.5" hidden="1" customHeight="1">
      <c r="C5013" s="701"/>
      <c r="D5013" s="811"/>
      <c r="E5013" s="1276">
        <f>[11]building!Y5344</f>
        <v>0</v>
      </c>
      <c r="F5013" s="748">
        <f t="shared" si="317"/>
        <v>0</v>
      </c>
      <c r="G5013" s="1205"/>
      <c r="H5013" s="1055"/>
      <c r="I5013" s="1055"/>
      <c r="J5013" s="1055"/>
      <c r="K5013" s="1205"/>
      <c r="L5013" s="1055"/>
      <c r="M5013" s="1205"/>
      <c r="N5013" s="1054"/>
      <c r="O5013" s="1207"/>
      <c r="Q5013" s="1207"/>
    </row>
    <row r="5014" spans="3:17" s="700" customFormat="1" ht="70.5" hidden="1" customHeight="1">
      <c r="C5014" s="701"/>
      <c r="D5014" s="811"/>
      <c r="E5014" s="1276">
        <f>[11]building!Y5345</f>
        <v>0</v>
      </c>
      <c r="F5014" s="748">
        <f t="shared" si="317"/>
        <v>0</v>
      </c>
      <c r="G5014" s="1205"/>
      <c r="H5014" s="1055"/>
      <c r="I5014" s="1055"/>
      <c r="J5014" s="1055"/>
      <c r="K5014" s="1205"/>
      <c r="L5014" s="1055"/>
      <c r="M5014" s="1205"/>
      <c r="N5014" s="1054"/>
      <c r="O5014" s="1207"/>
      <c r="Q5014" s="1207"/>
    </row>
    <row r="5015" spans="3:17" s="700" customFormat="1" ht="70.5" hidden="1" customHeight="1">
      <c r="C5015" s="701"/>
      <c r="D5015" s="811"/>
      <c r="E5015" s="1276">
        <f>[11]building!Y5346</f>
        <v>0</v>
      </c>
      <c r="F5015" s="748">
        <f t="shared" si="317"/>
        <v>0</v>
      </c>
      <c r="G5015" s="1205"/>
      <c r="H5015" s="1055"/>
      <c r="I5015" s="1055"/>
      <c r="J5015" s="1055"/>
      <c r="K5015" s="1205"/>
      <c r="L5015" s="1055"/>
      <c r="M5015" s="1205"/>
      <c r="N5015" s="1054"/>
      <c r="O5015" s="1207"/>
      <c r="Q5015" s="1207"/>
    </row>
    <row r="5016" spans="3:17" s="700" customFormat="1" ht="70.5" hidden="1" customHeight="1">
      <c r="C5016" s="701"/>
      <c r="D5016" s="811"/>
      <c r="E5016" s="1276">
        <f>[11]building!Y5347</f>
        <v>0</v>
      </c>
      <c r="F5016" s="748">
        <f t="shared" si="317"/>
        <v>0</v>
      </c>
      <c r="G5016" s="1205"/>
      <c r="H5016" s="1055"/>
      <c r="I5016" s="1055"/>
      <c r="J5016" s="1055"/>
      <c r="K5016" s="1205"/>
      <c r="L5016" s="1055"/>
      <c r="M5016" s="1205"/>
      <c r="N5016" s="1054"/>
      <c r="O5016" s="1207"/>
      <c r="Q5016" s="1207"/>
    </row>
    <row r="5017" spans="3:17" s="700" customFormat="1" ht="70.5" hidden="1" customHeight="1">
      <c r="C5017" s="701"/>
      <c r="D5017" s="811"/>
      <c r="E5017" s="1276">
        <f>[11]building!Y5348</f>
        <v>0</v>
      </c>
      <c r="F5017" s="748">
        <f t="shared" si="317"/>
        <v>0</v>
      </c>
      <c r="G5017" s="1205"/>
      <c r="H5017" s="1055"/>
      <c r="I5017" s="1055"/>
      <c r="J5017" s="1055"/>
      <c r="K5017" s="1205"/>
      <c r="L5017" s="1055"/>
      <c r="M5017" s="1205"/>
      <c r="N5017" s="1054"/>
      <c r="O5017" s="1207"/>
      <c r="Q5017" s="1207"/>
    </row>
    <row r="5018" spans="3:17" s="700" customFormat="1" ht="70.5" hidden="1" customHeight="1">
      <c r="C5018" s="701"/>
      <c r="D5018" s="811"/>
      <c r="E5018" s="1276">
        <f>[11]building!Y5349</f>
        <v>0</v>
      </c>
      <c r="F5018" s="748">
        <f t="shared" si="317"/>
        <v>0</v>
      </c>
      <c r="G5018" s="1205"/>
      <c r="H5018" s="1055"/>
      <c r="I5018" s="1055"/>
      <c r="J5018" s="1055"/>
      <c r="K5018" s="1205"/>
      <c r="L5018" s="1055"/>
      <c r="M5018" s="1205"/>
      <c r="N5018" s="1054"/>
      <c r="O5018" s="1207"/>
      <c r="Q5018" s="1207"/>
    </row>
    <row r="5019" spans="3:17" s="700" customFormat="1" ht="70.5" hidden="1" customHeight="1">
      <c r="C5019" s="701"/>
      <c r="D5019" s="811"/>
      <c r="E5019" s="1276">
        <f>[11]building!Y5350</f>
        <v>0</v>
      </c>
      <c r="F5019" s="748">
        <f t="shared" si="317"/>
        <v>0</v>
      </c>
      <c r="G5019" s="1205"/>
      <c r="H5019" s="1055"/>
      <c r="I5019" s="1055"/>
      <c r="J5019" s="1055"/>
      <c r="K5019" s="1205"/>
      <c r="L5019" s="1055"/>
      <c r="M5019" s="1205"/>
      <c r="N5019" s="1054"/>
      <c r="O5019" s="1207"/>
      <c r="Q5019" s="1207"/>
    </row>
    <row r="5020" spans="3:17" s="700" customFormat="1" ht="70.5" hidden="1" customHeight="1">
      <c r="C5020" s="701"/>
      <c r="D5020" s="811"/>
      <c r="E5020" s="1276">
        <f>[11]building!Y5351</f>
        <v>0</v>
      </c>
      <c r="F5020" s="748">
        <f t="shared" si="317"/>
        <v>0</v>
      </c>
      <c r="G5020" s="1205"/>
      <c r="H5020" s="1055"/>
      <c r="I5020" s="1055"/>
      <c r="J5020" s="1055"/>
      <c r="K5020" s="1205"/>
      <c r="L5020" s="1055"/>
      <c r="M5020" s="1205"/>
      <c r="N5020" s="1054"/>
      <c r="O5020" s="1207"/>
      <c r="Q5020" s="1207"/>
    </row>
    <row r="5021" spans="3:17" s="700" customFormat="1" ht="70.5" hidden="1" customHeight="1">
      <c r="C5021" s="701"/>
      <c r="D5021" s="811"/>
      <c r="E5021" s="1276">
        <f>[11]building!Y5352</f>
        <v>0</v>
      </c>
      <c r="F5021" s="748">
        <f t="shared" si="317"/>
        <v>0</v>
      </c>
      <c r="G5021" s="1205"/>
      <c r="H5021" s="1055"/>
      <c r="I5021" s="1055"/>
      <c r="J5021" s="1055"/>
      <c r="K5021" s="1205"/>
      <c r="L5021" s="1055"/>
      <c r="M5021" s="1205"/>
      <c r="N5021" s="1054"/>
      <c r="O5021" s="1207"/>
      <c r="Q5021" s="1207"/>
    </row>
    <row r="5022" spans="3:17" s="700" customFormat="1" ht="70.5" hidden="1" customHeight="1">
      <c r="C5022" s="701"/>
      <c r="D5022" s="811"/>
      <c r="E5022" s="1276">
        <f>[11]building!Y5353</f>
        <v>0</v>
      </c>
      <c r="F5022" s="748">
        <f t="shared" si="317"/>
        <v>0</v>
      </c>
      <c r="G5022" s="1205"/>
      <c r="H5022" s="1055"/>
      <c r="I5022" s="1055"/>
      <c r="J5022" s="1055"/>
      <c r="K5022" s="1205"/>
      <c r="L5022" s="1055"/>
      <c r="M5022" s="1205"/>
      <c r="N5022" s="1054"/>
      <c r="O5022" s="1207"/>
      <c r="Q5022" s="1207"/>
    </row>
    <row r="5023" spans="3:17" s="700" customFormat="1" ht="70.5" hidden="1" customHeight="1">
      <c r="C5023" s="701"/>
      <c r="D5023" s="811"/>
      <c r="E5023" s="1276">
        <f>[11]building!Y5354</f>
        <v>0</v>
      </c>
      <c r="F5023" s="748">
        <f t="shared" si="317"/>
        <v>0</v>
      </c>
      <c r="G5023" s="1205"/>
      <c r="H5023" s="1055"/>
      <c r="I5023" s="1055"/>
      <c r="J5023" s="1055"/>
      <c r="K5023" s="1205"/>
      <c r="L5023" s="1055"/>
      <c r="M5023" s="1205"/>
      <c r="N5023" s="1054"/>
      <c r="O5023" s="1207"/>
      <c r="Q5023" s="1207"/>
    </row>
    <row r="5024" spans="3:17" s="700" customFormat="1" ht="70.5" hidden="1" customHeight="1">
      <c r="C5024" s="701"/>
      <c r="D5024" s="811"/>
      <c r="E5024" s="1276">
        <f>[11]building!Y5355</f>
        <v>0</v>
      </c>
      <c r="F5024" s="748">
        <f t="shared" si="317"/>
        <v>0</v>
      </c>
      <c r="G5024" s="1205"/>
      <c r="H5024" s="1055"/>
      <c r="I5024" s="1055"/>
      <c r="J5024" s="1055"/>
      <c r="K5024" s="1205"/>
      <c r="L5024" s="1055"/>
      <c r="M5024" s="1205"/>
      <c r="N5024" s="1054"/>
      <c r="O5024" s="1207"/>
      <c r="Q5024" s="1207"/>
    </row>
    <row r="5025" spans="3:17" s="700" customFormat="1" ht="70.5" hidden="1" customHeight="1">
      <c r="C5025" s="701"/>
      <c r="D5025" s="811"/>
      <c r="E5025" s="1276">
        <f>[11]building!Y5356</f>
        <v>0</v>
      </c>
      <c r="F5025" s="748">
        <f t="shared" si="317"/>
        <v>0</v>
      </c>
      <c r="G5025" s="1205"/>
      <c r="H5025" s="1055"/>
      <c r="I5025" s="1055"/>
      <c r="J5025" s="1055"/>
      <c r="K5025" s="1205"/>
      <c r="L5025" s="1055"/>
      <c r="M5025" s="1205"/>
      <c r="N5025" s="1054"/>
      <c r="O5025" s="1207"/>
      <c r="Q5025" s="1207"/>
    </row>
    <row r="5026" spans="3:17" s="700" customFormat="1" ht="70.5" hidden="1" customHeight="1">
      <c r="C5026" s="701"/>
      <c r="D5026" s="811"/>
      <c r="E5026" s="1276">
        <f>[11]building!Y5357</f>
        <v>0</v>
      </c>
      <c r="F5026" s="748">
        <f t="shared" si="317"/>
        <v>0</v>
      </c>
      <c r="G5026" s="1205"/>
      <c r="H5026" s="1055"/>
      <c r="I5026" s="1055"/>
      <c r="J5026" s="1055"/>
      <c r="K5026" s="1205"/>
      <c r="L5026" s="1055"/>
      <c r="M5026" s="1205"/>
      <c r="N5026" s="1054"/>
      <c r="O5026" s="1207"/>
      <c r="Q5026" s="1207"/>
    </row>
    <row r="5027" spans="3:17" s="700" customFormat="1" ht="70.5" hidden="1" customHeight="1">
      <c r="C5027" s="701"/>
      <c r="D5027" s="811"/>
      <c r="E5027" s="1276">
        <f>[11]building!Y5358</f>
        <v>0</v>
      </c>
      <c r="F5027" s="748">
        <f t="shared" si="317"/>
        <v>0</v>
      </c>
      <c r="G5027" s="1205"/>
      <c r="H5027" s="1055"/>
      <c r="I5027" s="1055"/>
      <c r="J5027" s="1055"/>
      <c r="K5027" s="1205"/>
      <c r="L5027" s="1055"/>
      <c r="M5027" s="1205"/>
      <c r="N5027" s="1054"/>
      <c r="O5027" s="1207"/>
      <c r="Q5027" s="1207"/>
    </row>
    <row r="5028" spans="3:17" s="700" customFormat="1" ht="70.5" hidden="1" customHeight="1">
      <c r="C5028" s="701"/>
      <c r="D5028" s="811"/>
      <c r="E5028" s="1276">
        <f>[11]building!Y5359</f>
        <v>0</v>
      </c>
      <c r="F5028" s="748">
        <f t="shared" si="317"/>
        <v>0</v>
      </c>
      <c r="G5028" s="1205"/>
      <c r="H5028" s="1055"/>
      <c r="I5028" s="1055"/>
      <c r="J5028" s="1055"/>
      <c r="K5028" s="1205"/>
      <c r="L5028" s="1055"/>
      <c r="M5028" s="1205"/>
      <c r="N5028" s="1054"/>
      <c r="O5028" s="1207"/>
      <c r="Q5028" s="1207"/>
    </row>
    <row r="5029" spans="3:17" s="700" customFormat="1" ht="70.5" hidden="1" customHeight="1">
      <c r="C5029" s="701"/>
      <c r="D5029" s="811"/>
      <c r="E5029" s="1276">
        <f>[11]building!Y5360</f>
        <v>0</v>
      </c>
      <c r="F5029" s="748">
        <f t="shared" si="317"/>
        <v>0</v>
      </c>
      <c r="G5029" s="1205"/>
      <c r="H5029" s="1055"/>
      <c r="I5029" s="1055"/>
      <c r="J5029" s="1055"/>
      <c r="K5029" s="1205"/>
      <c r="L5029" s="1055"/>
      <c r="M5029" s="1205"/>
      <c r="N5029" s="1054"/>
      <c r="O5029" s="1207"/>
      <c r="Q5029" s="1207"/>
    </row>
    <row r="5030" spans="3:17" s="700" customFormat="1" ht="70.5" hidden="1" customHeight="1">
      <c r="C5030" s="701"/>
      <c r="D5030" s="811"/>
      <c r="E5030" s="1276">
        <f>[11]building!Y5361</f>
        <v>0</v>
      </c>
      <c r="F5030" s="748">
        <f t="shared" si="317"/>
        <v>0</v>
      </c>
      <c r="G5030" s="1205"/>
      <c r="H5030" s="1055"/>
      <c r="I5030" s="1055"/>
      <c r="J5030" s="1055"/>
      <c r="K5030" s="1205"/>
      <c r="L5030" s="1055"/>
      <c r="M5030" s="1205"/>
      <c r="N5030" s="1054"/>
      <c r="O5030" s="1207"/>
      <c r="Q5030" s="1207"/>
    </row>
    <row r="5031" spans="3:17" s="700" customFormat="1" ht="70.5" hidden="1" customHeight="1">
      <c r="C5031" s="701"/>
      <c r="D5031" s="811"/>
      <c r="E5031" s="1276">
        <f>[11]building!Y5362</f>
        <v>0</v>
      </c>
      <c r="F5031" s="748">
        <f t="shared" si="317"/>
        <v>0</v>
      </c>
      <c r="G5031" s="1205"/>
      <c r="H5031" s="1055"/>
      <c r="I5031" s="1055"/>
      <c r="J5031" s="1055"/>
      <c r="K5031" s="1205"/>
      <c r="L5031" s="1055"/>
      <c r="M5031" s="1205"/>
      <c r="N5031" s="1054"/>
      <c r="O5031" s="1207"/>
      <c r="Q5031" s="1207"/>
    </row>
    <row r="5032" spans="3:17" s="700" customFormat="1" ht="70.5" hidden="1" customHeight="1">
      <c r="C5032" s="701"/>
      <c r="D5032" s="811"/>
      <c r="E5032" s="1276">
        <f>[11]building!Y5363</f>
        <v>0</v>
      </c>
      <c r="F5032" s="748">
        <f t="shared" si="317"/>
        <v>0</v>
      </c>
      <c r="G5032" s="1205"/>
      <c r="H5032" s="1055"/>
      <c r="I5032" s="1055"/>
      <c r="J5032" s="1055"/>
      <c r="K5032" s="1205"/>
      <c r="L5032" s="1055"/>
      <c r="M5032" s="1205"/>
      <c r="N5032" s="1054"/>
      <c r="O5032" s="1207"/>
      <c r="Q5032" s="1207"/>
    </row>
    <row r="5033" spans="3:17" s="700" customFormat="1" ht="70.5" hidden="1" customHeight="1">
      <c r="C5033" s="701"/>
      <c r="D5033" s="811"/>
      <c r="E5033" s="1276">
        <f>[11]building!Y5364</f>
        <v>0</v>
      </c>
      <c r="F5033" s="748">
        <f t="shared" si="317"/>
        <v>0</v>
      </c>
      <c r="G5033" s="1205"/>
      <c r="H5033" s="1055"/>
      <c r="I5033" s="1055"/>
      <c r="J5033" s="1055"/>
      <c r="K5033" s="1205"/>
      <c r="L5033" s="1055"/>
      <c r="M5033" s="1205"/>
      <c r="N5033" s="1054"/>
      <c r="O5033" s="1207"/>
      <c r="Q5033" s="1207"/>
    </row>
    <row r="5034" spans="3:17" s="700" customFormat="1" ht="70.5" hidden="1" customHeight="1">
      <c r="C5034" s="701"/>
      <c r="D5034" s="811"/>
      <c r="E5034" s="1276">
        <f>[11]building!Y5365</f>
        <v>0</v>
      </c>
      <c r="F5034" s="748">
        <f t="shared" si="317"/>
        <v>0</v>
      </c>
      <c r="G5034" s="1205"/>
      <c r="H5034" s="1055"/>
      <c r="I5034" s="1055"/>
      <c r="J5034" s="1055"/>
      <c r="K5034" s="1205"/>
      <c r="L5034" s="1055"/>
      <c r="M5034" s="1205"/>
      <c r="N5034" s="1054"/>
      <c r="O5034" s="1207"/>
      <c r="Q5034" s="1207"/>
    </row>
    <row r="5035" spans="3:17" s="700" customFormat="1" ht="70.5" hidden="1" customHeight="1">
      <c r="C5035" s="701"/>
      <c r="D5035" s="811"/>
      <c r="E5035" s="1276">
        <f>[11]building!Y5366</f>
        <v>0</v>
      </c>
      <c r="F5035" s="748">
        <f t="shared" si="317"/>
        <v>0</v>
      </c>
      <c r="G5035" s="1205"/>
      <c r="H5035" s="1055"/>
      <c r="I5035" s="1055"/>
      <c r="J5035" s="1055"/>
      <c r="K5035" s="1205"/>
      <c r="L5035" s="1055"/>
      <c r="M5035" s="1205"/>
      <c r="N5035" s="1054"/>
      <c r="O5035" s="1207"/>
      <c r="Q5035" s="1207"/>
    </row>
    <row r="5036" spans="3:17" s="700" customFormat="1" ht="70.5" hidden="1" customHeight="1">
      <c r="C5036" s="701"/>
      <c r="D5036" s="811"/>
      <c r="E5036" s="1276">
        <f>[11]building!Y5367</f>
        <v>0</v>
      </c>
      <c r="F5036" s="748">
        <f t="shared" si="317"/>
        <v>0</v>
      </c>
      <c r="G5036" s="1205"/>
      <c r="H5036" s="1055"/>
      <c r="I5036" s="1055"/>
      <c r="J5036" s="1055"/>
      <c r="K5036" s="1205"/>
      <c r="L5036" s="1055"/>
      <c r="M5036" s="1205"/>
      <c r="N5036" s="1054"/>
      <c r="O5036" s="1207"/>
      <c r="Q5036" s="1207"/>
    </row>
    <row r="5037" spans="3:17" s="700" customFormat="1" ht="70.5" hidden="1" customHeight="1">
      <c r="C5037" s="701"/>
      <c r="D5037" s="811"/>
      <c r="E5037" s="1276">
        <f>[11]building!Y5368</f>
        <v>0</v>
      </c>
      <c r="F5037" s="748">
        <f t="shared" si="317"/>
        <v>0</v>
      </c>
      <c r="G5037" s="1205"/>
      <c r="H5037" s="1055"/>
      <c r="I5037" s="1055"/>
      <c r="J5037" s="1055"/>
      <c r="K5037" s="1205"/>
      <c r="L5037" s="1055"/>
      <c r="M5037" s="1205"/>
      <c r="N5037" s="1054"/>
      <c r="O5037" s="1207"/>
      <c r="Q5037" s="1207"/>
    </row>
    <row r="5038" spans="3:17" s="700" customFormat="1" ht="70.5" hidden="1" customHeight="1">
      <c r="C5038" s="701"/>
      <c r="D5038" s="811"/>
      <c r="E5038" s="1276">
        <f>[11]building!Y5369</f>
        <v>0</v>
      </c>
      <c r="F5038" s="748">
        <f t="shared" si="317"/>
        <v>0</v>
      </c>
      <c r="G5038" s="1205"/>
      <c r="H5038" s="1055"/>
      <c r="I5038" s="1055"/>
      <c r="J5038" s="1055"/>
      <c r="K5038" s="1205"/>
      <c r="L5038" s="1055"/>
      <c r="M5038" s="1205"/>
      <c r="N5038" s="1054"/>
      <c r="O5038" s="1207"/>
      <c r="Q5038" s="1207"/>
    </row>
    <row r="5039" spans="3:17" s="700" customFormat="1" ht="70.5" hidden="1" customHeight="1">
      <c r="C5039" s="701"/>
      <c r="D5039" s="811"/>
      <c r="E5039" s="1276">
        <f>[11]building!Y5370</f>
        <v>0</v>
      </c>
      <c r="F5039" s="748">
        <f t="shared" si="317"/>
        <v>0</v>
      </c>
      <c r="G5039" s="1205"/>
      <c r="H5039" s="1055"/>
      <c r="I5039" s="1055"/>
      <c r="J5039" s="1055"/>
      <c r="K5039" s="1205"/>
      <c r="L5039" s="1055"/>
      <c r="M5039" s="1205"/>
      <c r="N5039" s="1054"/>
      <c r="O5039" s="1207"/>
      <c r="Q5039" s="1207"/>
    </row>
    <row r="5040" spans="3:17" s="700" customFormat="1" ht="70.5" hidden="1" customHeight="1">
      <c r="C5040" s="701"/>
      <c r="D5040" s="811"/>
      <c r="E5040" s="1276">
        <f>[11]building!Y5371</f>
        <v>0</v>
      </c>
      <c r="F5040" s="748">
        <f t="shared" si="317"/>
        <v>0</v>
      </c>
      <c r="G5040" s="1205"/>
      <c r="H5040" s="1055"/>
      <c r="I5040" s="1055"/>
      <c r="J5040" s="1055"/>
      <c r="K5040" s="1205"/>
      <c r="L5040" s="1055"/>
      <c r="M5040" s="1205"/>
      <c r="N5040" s="1054"/>
      <c r="O5040" s="1207"/>
      <c r="Q5040" s="1207"/>
    </row>
    <row r="5041" spans="3:17" s="700" customFormat="1" ht="70.5" hidden="1" customHeight="1">
      <c r="C5041" s="701"/>
      <c r="D5041" s="811"/>
      <c r="E5041" s="1276">
        <f>[11]building!Y5372</f>
        <v>0</v>
      </c>
      <c r="F5041" s="748">
        <f t="shared" si="317"/>
        <v>0</v>
      </c>
      <c r="G5041" s="1205"/>
      <c r="H5041" s="1055"/>
      <c r="I5041" s="1055"/>
      <c r="J5041" s="1055"/>
      <c r="K5041" s="1205"/>
      <c r="L5041" s="1055"/>
      <c r="M5041" s="1205"/>
      <c r="N5041" s="1054"/>
      <c r="O5041" s="1207"/>
      <c r="Q5041" s="1207"/>
    </row>
    <row r="5042" spans="3:17" s="700" customFormat="1" ht="70.5" hidden="1" customHeight="1">
      <c r="C5042" s="701"/>
      <c r="D5042" s="811"/>
      <c r="E5042" s="1276">
        <f>[11]building!Y5373</f>
        <v>0</v>
      </c>
      <c r="F5042" s="748">
        <f t="shared" si="317"/>
        <v>0</v>
      </c>
      <c r="G5042" s="1205"/>
      <c r="H5042" s="1055"/>
      <c r="I5042" s="1055"/>
      <c r="J5042" s="1055"/>
      <c r="K5042" s="1205"/>
      <c r="L5042" s="1055"/>
      <c r="M5042" s="1205"/>
      <c r="N5042" s="1054"/>
      <c r="O5042" s="1207"/>
      <c r="Q5042" s="1207"/>
    </row>
    <row r="5043" spans="3:17" s="700" customFormat="1" ht="70.5" hidden="1" customHeight="1">
      <c r="C5043" s="701"/>
      <c r="D5043" s="811"/>
      <c r="E5043" s="1276">
        <f>[11]building!Y5374</f>
        <v>0</v>
      </c>
      <c r="F5043" s="748">
        <f t="shared" si="317"/>
        <v>0</v>
      </c>
      <c r="G5043" s="1205"/>
      <c r="H5043" s="1055"/>
      <c r="I5043" s="1055"/>
      <c r="J5043" s="1055"/>
      <c r="K5043" s="1205"/>
      <c r="L5043" s="1055"/>
      <c r="M5043" s="1205"/>
      <c r="N5043" s="1054"/>
      <c r="O5043" s="1207"/>
      <c r="Q5043" s="1207"/>
    </row>
    <row r="5044" spans="3:17" s="700" customFormat="1" ht="70.5" hidden="1" customHeight="1">
      <c r="C5044" s="701"/>
      <c r="D5044" s="811"/>
      <c r="E5044" s="1276">
        <f>[11]building!Y5375</f>
        <v>0</v>
      </c>
      <c r="F5044" s="748">
        <f t="shared" si="317"/>
        <v>0</v>
      </c>
      <c r="G5044" s="1205"/>
      <c r="H5044" s="1055"/>
      <c r="I5044" s="1055"/>
      <c r="J5044" s="1055"/>
      <c r="K5044" s="1205"/>
      <c r="L5044" s="1055"/>
      <c r="M5044" s="1205"/>
      <c r="N5044" s="1054"/>
      <c r="O5044" s="1207"/>
      <c r="Q5044" s="1207"/>
    </row>
    <row r="5045" spans="3:17" s="700" customFormat="1" ht="70.5" hidden="1" customHeight="1">
      <c r="C5045" s="701"/>
      <c r="D5045" s="811"/>
      <c r="E5045" s="1276">
        <f>[11]building!Y5376</f>
        <v>0</v>
      </c>
      <c r="F5045" s="748">
        <f t="shared" si="317"/>
        <v>0</v>
      </c>
      <c r="G5045" s="1205"/>
      <c r="H5045" s="1055"/>
      <c r="I5045" s="1055"/>
      <c r="J5045" s="1055"/>
      <c r="K5045" s="1205"/>
      <c r="L5045" s="1055"/>
      <c r="M5045" s="1205"/>
      <c r="N5045" s="1054"/>
      <c r="O5045" s="1207"/>
      <c r="Q5045" s="1207"/>
    </row>
    <row r="5046" spans="3:17" s="700" customFormat="1" ht="70.5" hidden="1" customHeight="1">
      <c r="C5046" s="701"/>
      <c r="D5046" s="811"/>
      <c r="E5046" s="1276">
        <f>[11]building!Y5377</f>
        <v>0</v>
      </c>
      <c r="F5046" s="748">
        <f t="shared" si="317"/>
        <v>0</v>
      </c>
      <c r="G5046" s="1205"/>
      <c r="H5046" s="1055"/>
      <c r="I5046" s="1055"/>
      <c r="J5046" s="1055"/>
      <c r="K5046" s="1205"/>
      <c r="L5046" s="1055"/>
      <c r="M5046" s="1205"/>
      <c r="N5046" s="1054"/>
      <c r="O5046" s="1207"/>
      <c r="Q5046" s="1207"/>
    </row>
    <row r="5047" spans="3:17" s="700" customFormat="1" ht="70.5" hidden="1" customHeight="1">
      <c r="C5047" s="701"/>
      <c r="D5047" s="811"/>
      <c r="E5047" s="1276">
        <f>[11]building!Y5378</f>
        <v>0</v>
      </c>
      <c r="F5047" s="748">
        <f t="shared" si="317"/>
        <v>0</v>
      </c>
      <c r="G5047" s="1205"/>
      <c r="H5047" s="1055"/>
      <c r="I5047" s="1055"/>
      <c r="J5047" s="1055"/>
      <c r="K5047" s="1205"/>
      <c r="L5047" s="1055"/>
      <c r="M5047" s="1205"/>
      <c r="N5047" s="1054"/>
      <c r="O5047" s="1207"/>
      <c r="Q5047" s="1207"/>
    </row>
    <row r="5048" spans="3:17" s="700" customFormat="1" ht="70.5" hidden="1" customHeight="1">
      <c r="C5048" s="701"/>
      <c r="D5048" s="811"/>
      <c r="E5048" s="1276">
        <f>[11]building!Y5379</f>
        <v>0</v>
      </c>
      <c r="F5048" s="748">
        <f t="shared" si="317"/>
        <v>0</v>
      </c>
      <c r="G5048" s="1205"/>
      <c r="H5048" s="1055"/>
      <c r="I5048" s="1055"/>
      <c r="J5048" s="1055"/>
      <c r="K5048" s="1205"/>
      <c r="L5048" s="1055"/>
      <c r="M5048" s="1205"/>
      <c r="N5048" s="1054"/>
      <c r="O5048" s="1207"/>
      <c r="Q5048" s="1207"/>
    </row>
    <row r="5049" spans="3:17" s="700" customFormat="1" ht="70.5" hidden="1" customHeight="1">
      <c r="C5049" s="701"/>
      <c r="D5049" s="811"/>
      <c r="E5049" s="1276">
        <f>[11]building!Y5380</f>
        <v>0</v>
      </c>
      <c r="F5049" s="748">
        <f t="shared" si="317"/>
        <v>0</v>
      </c>
      <c r="G5049" s="1205"/>
      <c r="H5049" s="1055"/>
      <c r="I5049" s="1055"/>
      <c r="J5049" s="1055"/>
      <c r="K5049" s="1205"/>
      <c r="L5049" s="1055"/>
      <c r="M5049" s="1205"/>
      <c r="N5049" s="1054"/>
      <c r="O5049" s="1207"/>
      <c r="Q5049" s="1207"/>
    </row>
    <row r="5050" spans="3:17" s="700" customFormat="1" ht="70.5" hidden="1" customHeight="1">
      <c r="C5050" s="701"/>
      <c r="D5050" s="811"/>
      <c r="E5050" s="1276">
        <f>[11]building!Y5381</f>
        <v>0</v>
      </c>
      <c r="F5050" s="748">
        <f t="shared" si="317"/>
        <v>0</v>
      </c>
      <c r="G5050" s="1205"/>
      <c r="H5050" s="1055"/>
      <c r="I5050" s="1055"/>
      <c r="J5050" s="1055"/>
      <c r="K5050" s="1205"/>
      <c r="L5050" s="1055"/>
      <c r="M5050" s="1205"/>
      <c r="N5050" s="1054"/>
      <c r="O5050" s="1207"/>
      <c r="Q5050" s="1207"/>
    </row>
    <row r="5051" spans="3:17" s="700" customFormat="1" ht="70.5" hidden="1" customHeight="1">
      <c r="C5051" s="701"/>
      <c r="D5051" s="811"/>
      <c r="E5051" s="1276">
        <f>[11]building!Y5382</f>
        <v>0</v>
      </c>
      <c r="F5051" s="748">
        <f t="shared" si="317"/>
        <v>0</v>
      </c>
      <c r="G5051" s="1205"/>
      <c r="H5051" s="1055"/>
      <c r="I5051" s="1055"/>
      <c r="J5051" s="1055"/>
      <c r="K5051" s="1205"/>
      <c r="L5051" s="1055"/>
      <c r="M5051" s="1205"/>
      <c r="N5051" s="1054"/>
      <c r="O5051" s="1207"/>
      <c r="Q5051" s="1207"/>
    </row>
    <row r="5052" spans="3:17" s="700" customFormat="1" ht="70.5" hidden="1" customHeight="1">
      <c r="C5052" s="701"/>
      <c r="D5052" s="811"/>
      <c r="E5052" s="1276">
        <f>[11]building!Y5383</f>
        <v>0</v>
      </c>
      <c r="F5052" s="748">
        <f t="shared" si="317"/>
        <v>0</v>
      </c>
      <c r="G5052" s="1205"/>
      <c r="H5052" s="1055"/>
      <c r="I5052" s="1055"/>
      <c r="J5052" s="1055"/>
      <c r="K5052" s="1205"/>
      <c r="L5052" s="1055"/>
      <c r="M5052" s="1205"/>
      <c r="N5052" s="1054"/>
      <c r="O5052" s="1207"/>
      <c r="Q5052" s="1207"/>
    </row>
    <row r="5053" spans="3:17" s="700" customFormat="1" ht="70.5" hidden="1" customHeight="1">
      <c r="C5053" s="701"/>
      <c r="D5053" s="811"/>
      <c r="E5053" s="1276">
        <f>[11]building!Y5384</f>
        <v>0</v>
      </c>
      <c r="F5053" s="748">
        <f t="shared" si="317"/>
        <v>0</v>
      </c>
      <c r="G5053" s="1205"/>
      <c r="H5053" s="1055"/>
      <c r="I5053" s="1055"/>
      <c r="J5053" s="1055"/>
      <c r="K5053" s="1205"/>
      <c r="L5053" s="1055"/>
      <c r="M5053" s="1205"/>
      <c r="N5053" s="1054"/>
      <c r="O5053" s="1207"/>
      <c r="Q5053" s="1207"/>
    </row>
    <row r="5054" spans="3:17" s="700" customFormat="1" ht="70.5" hidden="1" customHeight="1">
      <c r="C5054" s="701"/>
      <c r="D5054" s="811"/>
      <c r="E5054" s="1276">
        <f>[11]building!Y5385</f>
        <v>0</v>
      </c>
      <c r="F5054" s="748">
        <f t="shared" si="317"/>
        <v>0</v>
      </c>
      <c r="G5054" s="1205"/>
      <c r="H5054" s="1055"/>
      <c r="I5054" s="1055"/>
      <c r="J5054" s="1055"/>
      <c r="K5054" s="1205"/>
      <c r="L5054" s="1055"/>
      <c r="M5054" s="1205"/>
      <c r="N5054" s="1054"/>
      <c r="O5054" s="1207"/>
      <c r="Q5054" s="1207"/>
    </row>
    <row r="5055" spans="3:17" s="700" customFormat="1" ht="70.5" hidden="1" customHeight="1">
      <c r="C5055" s="701"/>
      <c r="D5055" s="811"/>
      <c r="E5055" s="1276">
        <f>[11]building!Y5386</f>
        <v>0</v>
      </c>
      <c r="F5055" s="748">
        <f t="shared" si="317"/>
        <v>0</v>
      </c>
      <c r="G5055" s="1205"/>
      <c r="H5055" s="1055"/>
      <c r="I5055" s="1055"/>
      <c r="J5055" s="1055"/>
      <c r="K5055" s="1205"/>
      <c r="L5055" s="1055"/>
      <c r="M5055" s="1205"/>
      <c r="N5055" s="1054"/>
      <c r="O5055" s="1207"/>
      <c r="Q5055" s="1207"/>
    </row>
    <row r="5056" spans="3:17" s="700" customFormat="1" ht="70.5" hidden="1" customHeight="1">
      <c r="C5056" s="701"/>
      <c r="D5056" s="811"/>
      <c r="E5056" s="1276">
        <f>[11]building!Y5387</f>
        <v>0</v>
      </c>
      <c r="F5056" s="748">
        <f t="shared" ref="F5056:F5119" si="318">E5056*C5056</f>
        <v>0</v>
      </c>
      <c r="G5056" s="1205"/>
      <c r="H5056" s="1055"/>
      <c r="I5056" s="1055"/>
      <c r="J5056" s="1055"/>
      <c r="K5056" s="1205"/>
      <c r="L5056" s="1055"/>
      <c r="M5056" s="1205"/>
      <c r="N5056" s="1054"/>
      <c r="O5056" s="1207"/>
      <c r="Q5056" s="1207"/>
    </row>
    <row r="5057" spans="3:17" s="700" customFormat="1" ht="70.5" hidden="1" customHeight="1">
      <c r="C5057" s="701"/>
      <c r="D5057" s="811"/>
      <c r="E5057" s="1276">
        <f>[11]building!Y5388</f>
        <v>0</v>
      </c>
      <c r="F5057" s="748">
        <f t="shared" si="318"/>
        <v>0</v>
      </c>
      <c r="G5057" s="1205"/>
      <c r="H5057" s="1055"/>
      <c r="I5057" s="1055"/>
      <c r="J5057" s="1055"/>
      <c r="K5057" s="1205"/>
      <c r="L5057" s="1055"/>
      <c r="M5057" s="1205"/>
      <c r="N5057" s="1054"/>
      <c r="O5057" s="1207"/>
      <c r="Q5057" s="1207"/>
    </row>
    <row r="5058" spans="3:17" s="700" customFormat="1" ht="70.5" hidden="1" customHeight="1">
      <c r="C5058" s="701"/>
      <c r="D5058" s="811"/>
      <c r="E5058" s="1276">
        <f>[11]building!Y5389</f>
        <v>0</v>
      </c>
      <c r="F5058" s="748">
        <f t="shared" si="318"/>
        <v>0</v>
      </c>
      <c r="G5058" s="1205"/>
      <c r="H5058" s="1055"/>
      <c r="I5058" s="1055"/>
      <c r="J5058" s="1055"/>
      <c r="K5058" s="1205"/>
      <c r="L5058" s="1055"/>
      <c r="M5058" s="1205"/>
      <c r="N5058" s="1054"/>
      <c r="O5058" s="1207"/>
      <c r="Q5058" s="1207"/>
    </row>
    <row r="5059" spans="3:17" s="700" customFormat="1" ht="70.5" hidden="1" customHeight="1">
      <c r="C5059" s="701"/>
      <c r="D5059" s="811"/>
      <c r="E5059" s="1276">
        <f>[11]building!Y5390</f>
        <v>0</v>
      </c>
      <c r="F5059" s="748">
        <f t="shared" si="318"/>
        <v>0</v>
      </c>
      <c r="G5059" s="1205"/>
      <c r="H5059" s="1055"/>
      <c r="I5059" s="1055"/>
      <c r="J5059" s="1055"/>
      <c r="K5059" s="1205"/>
      <c r="L5059" s="1055"/>
      <c r="M5059" s="1205"/>
      <c r="N5059" s="1054"/>
      <c r="O5059" s="1207"/>
      <c r="Q5059" s="1207"/>
    </row>
    <row r="5060" spans="3:17" s="700" customFormat="1" ht="70.5" hidden="1" customHeight="1">
      <c r="C5060" s="701"/>
      <c r="D5060" s="811"/>
      <c r="E5060" s="1276">
        <f>[11]building!Y5391</f>
        <v>0</v>
      </c>
      <c r="F5060" s="748">
        <f t="shared" si="318"/>
        <v>0</v>
      </c>
      <c r="G5060" s="1205"/>
      <c r="H5060" s="1055"/>
      <c r="I5060" s="1055"/>
      <c r="J5060" s="1055"/>
      <c r="K5060" s="1205"/>
      <c r="L5060" s="1055"/>
      <c r="M5060" s="1205"/>
      <c r="N5060" s="1054"/>
      <c r="O5060" s="1207"/>
      <c r="Q5060" s="1207"/>
    </row>
    <row r="5061" spans="3:17" s="700" customFormat="1" ht="70.5" hidden="1" customHeight="1">
      <c r="C5061" s="701"/>
      <c r="D5061" s="811"/>
      <c r="E5061" s="1276">
        <f>[11]building!Y5392</f>
        <v>0</v>
      </c>
      <c r="F5061" s="748">
        <f t="shared" si="318"/>
        <v>0</v>
      </c>
      <c r="G5061" s="1205"/>
      <c r="H5061" s="1055"/>
      <c r="I5061" s="1055"/>
      <c r="J5061" s="1055"/>
      <c r="K5061" s="1205"/>
      <c r="L5061" s="1055"/>
      <c r="M5061" s="1205"/>
      <c r="N5061" s="1054"/>
      <c r="O5061" s="1207"/>
      <c r="Q5061" s="1207"/>
    </row>
    <row r="5062" spans="3:17" s="700" customFormat="1" ht="70.5" hidden="1" customHeight="1">
      <c r="C5062" s="701"/>
      <c r="D5062" s="811"/>
      <c r="E5062" s="1276">
        <f>[11]building!Y5393</f>
        <v>0</v>
      </c>
      <c r="F5062" s="748">
        <f t="shared" si="318"/>
        <v>0</v>
      </c>
      <c r="G5062" s="1205"/>
      <c r="H5062" s="1055"/>
      <c r="I5062" s="1055"/>
      <c r="J5062" s="1055"/>
      <c r="K5062" s="1205"/>
      <c r="L5062" s="1055"/>
      <c r="M5062" s="1205"/>
      <c r="N5062" s="1054"/>
      <c r="O5062" s="1207"/>
      <c r="Q5062" s="1207"/>
    </row>
    <row r="5063" spans="3:17" s="700" customFormat="1" ht="70.5" hidden="1" customHeight="1">
      <c r="C5063" s="701"/>
      <c r="D5063" s="811"/>
      <c r="E5063" s="1276">
        <f>[11]building!Y5394</f>
        <v>0</v>
      </c>
      <c r="F5063" s="748">
        <f t="shared" si="318"/>
        <v>0</v>
      </c>
      <c r="G5063" s="1205"/>
      <c r="H5063" s="1055"/>
      <c r="I5063" s="1055"/>
      <c r="J5063" s="1055"/>
      <c r="K5063" s="1205"/>
      <c r="L5063" s="1055"/>
      <c r="M5063" s="1205"/>
      <c r="N5063" s="1054"/>
      <c r="O5063" s="1207"/>
      <c r="Q5063" s="1207"/>
    </row>
    <row r="5064" spans="3:17" s="700" customFormat="1" ht="70.5" hidden="1" customHeight="1">
      <c r="C5064" s="701"/>
      <c r="D5064" s="811"/>
      <c r="E5064" s="1276">
        <f>[11]building!Y5395</f>
        <v>0</v>
      </c>
      <c r="F5064" s="748">
        <f t="shared" si="318"/>
        <v>0</v>
      </c>
      <c r="G5064" s="1205"/>
      <c r="H5064" s="1055"/>
      <c r="I5064" s="1055"/>
      <c r="J5064" s="1055"/>
      <c r="K5064" s="1205"/>
      <c r="L5064" s="1055"/>
      <c r="M5064" s="1205"/>
      <c r="N5064" s="1054"/>
      <c r="O5064" s="1207"/>
      <c r="Q5064" s="1207"/>
    </row>
    <row r="5065" spans="3:17" s="700" customFormat="1" ht="70.5" hidden="1" customHeight="1">
      <c r="C5065" s="701"/>
      <c r="D5065" s="811"/>
      <c r="E5065" s="1276">
        <f>[11]building!Y5396</f>
        <v>0</v>
      </c>
      <c r="F5065" s="748">
        <f t="shared" si="318"/>
        <v>0</v>
      </c>
      <c r="G5065" s="1205"/>
      <c r="H5065" s="1055"/>
      <c r="I5065" s="1055"/>
      <c r="J5065" s="1055"/>
      <c r="K5065" s="1205"/>
      <c r="L5065" s="1055"/>
      <c r="M5065" s="1205"/>
      <c r="N5065" s="1054"/>
      <c r="O5065" s="1207"/>
      <c r="Q5065" s="1207"/>
    </row>
    <row r="5066" spans="3:17" s="700" customFormat="1" ht="70.5" hidden="1" customHeight="1">
      <c r="C5066" s="701"/>
      <c r="D5066" s="811"/>
      <c r="E5066" s="1276">
        <f>[11]building!Y5397</f>
        <v>0</v>
      </c>
      <c r="F5066" s="748">
        <f t="shared" si="318"/>
        <v>0</v>
      </c>
      <c r="G5066" s="1205"/>
      <c r="H5066" s="1055"/>
      <c r="I5066" s="1055"/>
      <c r="J5066" s="1055"/>
      <c r="K5066" s="1205"/>
      <c r="L5066" s="1055"/>
      <c r="M5066" s="1205"/>
      <c r="N5066" s="1054"/>
      <c r="O5066" s="1207"/>
      <c r="Q5066" s="1207"/>
    </row>
    <row r="5067" spans="3:17" s="700" customFormat="1" ht="70.5" hidden="1" customHeight="1">
      <c r="C5067" s="701"/>
      <c r="D5067" s="811"/>
      <c r="E5067" s="1276">
        <f>[11]building!Y5398</f>
        <v>0</v>
      </c>
      <c r="F5067" s="748">
        <f t="shared" si="318"/>
        <v>0</v>
      </c>
      <c r="G5067" s="1205"/>
      <c r="H5067" s="1055"/>
      <c r="I5067" s="1055"/>
      <c r="J5067" s="1055"/>
      <c r="K5067" s="1205"/>
      <c r="L5067" s="1055"/>
      <c r="M5067" s="1205"/>
      <c r="N5067" s="1054"/>
      <c r="O5067" s="1207"/>
      <c r="Q5067" s="1207"/>
    </row>
    <row r="5068" spans="3:17" s="700" customFormat="1" ht="70.5" hidden="1" customHeight="1">
      <c r="C5068" s="701"/>
      <c r="D5068" s="811"/>
      <c r="E5068" s="1276">
        <f>[11]building!Y5399</f>
        <v>0</v>
      </c>
      <c r="F5068" s="748">
        <f t="shared" si="318"/>
        <v>0</v>
      </c>
      <c r="G5068" s="1205"/>
      <c r="H5068" s="1055"/>
      <c r="I5068" s="1055"/>
      <c r="J5068" s="1055"/>
      <c r="K5068" s="1205"/>
      <c r="L5068" s="1055"/>
      <c r="M5068" s="1205"/>
      <c r="N5068" s="1054"/>
      <c r="O5068" s="1207"/>
      <c r="Q5068" s="1207"/>
    </row>
    <row r="5069" spans="3:17" s="700" customFormat="1" ht="70.5" hidden="1" customHeight="1">
      <c r="C5069" s="701"/>
      <c r="D5069" s="811"/>
      <c r="E5069" s="1276">
        <f>[11]building!Y5400</f>
        <v>0</v>
      </c>
      <c r="F5069" s="748">
        <f t="shared" si="318"/>
        <v>0</v>
      </c>
      <c r="G5069" s="1205"/>
      <c r="H5069" s="1055"/>
      <c r="I5069" s="1055"/>
      <c r="J5069" s="1055"/>
      <c r="K5069" s="1205"/>
      <c r="L5069" s="1055"/>
      <c r="M5069" s="1205"/>
      <c r="N5069" s="1054"/>
      <c r="O5069" s="1207"/>
      <c r="Q5069" s="1207"/>
    </row>
    <row r="5070" spans="3:17" s="700" customFormat="1" ht="70.5" hidden="1" customHeight="1">
      <c r="C5070" s="701"/>
      <c r="D5070" s="811"/>
      <c r="E5070" s="1276">
        <f>[11]building!Y5401</f>
        <v>0</v>
      </c>
      <c r="F5070" s="748">
        <f t="shared" si="318"/>
        <v>0</v>
      </c>
      <c r="G5070" s="1205"/>
      <c r="H5070" s="1055"/>
      <c r="I5070" s="1055"/>
      <c r="J5070" s="1055"/>
      <c r="K5070" s="1205"/>
      <c r="L5070" s="1055"/>
      <c r="M5070" s="1205"/>
      <c r="N5070" s="1054"/>
      <c r="O5070" s="1207"/>
      <c r="Q5070" s="1207"/>
    </row>
    <row r="5071" spans="3:17" s="700" customFormat="1" ht="70.5" hidden="1" customHeight="1">
      <c r="C5071" s="701"/>
      <c r="D5071" s="811"/>
      <c r="E5071" s="1276">
        <f>[11]building!Y5402</f>
        <v>0</v>
      </c>
      <c r="F5071" s="748">
        <f t="shared" si="318"/>
        <v>0</v>
      </c>
      <c r="G5071" s="1205"/>
      <c r="H5071" s="1055"/>
      <c r="I5071" s="1055"/>
      <c r="J5071" s="1055"/>
      <c r="K5071" s="1205"/>
      <c r="L5071" s="1055"/>
      <c r="M5071" s="1205"/>
      <c r="N5071" s="1054"/>
      <c r="O5071" s="1207"/>
      <c r="Q5071" s="1207"/>
    </row>
    <row r="5072" spans="3:17" s="700" customFormat="1" ht="70.5" hidden="1" customHeight="1">
      <c r="C5072" s="701"/>
      <c r="D5072" s="811"/>
      <c r="E5072" s="1276">
        <f>[11]building!Y5403</f>
        <v>0</v>
      </c>
      <c r="F5072" s="748">
        <f t="shared" si="318"/>
        <v>0</v>
      </c>
      <c r="G5072" s="1205"/>
      <c r="H5072" s="1055"/>
      <c r="I5072" s="1055"/>
      <c r="J5072" s="1055"/>
      <c r="K5072" s="1205"/>
      <c r="L5072" s="1055"/>
      <c r="M5072" s="1205"/>
      <c r="N5072" s="1054"/>
      <c r="O5072" s="1207"/>
      <c r="Q5072" s="1207"/>
    </row>
    <row r="5073" spans="3:17" s="700" customFormat="1" ht="70.5" hidden="1" customHeight="1">
      <c r="C5073" s="701"/>
      <c r="D5073" s="811"/>
      <c r="E5073" s="1276">
        <f>[11]building!Y5404</f>
        <v>0</v>
      </c>
      <c r="F5073" s="748">
        <f t="shared" si="318"/>
        <v>0</v>
      </c>
      <c r="G5073" s="1205"/>
      <c r="H5073" s="1055"/>
      <c r="I5073" s="1055"/>
      <c r="J5073" s="1055"/>
      <c r="K5073" s="1205"/>
      <c r="L5073" s="1055"/>
      <c r="M5073" s="1205"/>
      <c r="N5073" s="1054"/>
      <c r="O5073" s="1207"/>
      <c r="Q5073" s="1207"/>
    </row>
    <row r="5074" spans="3:17" s="700" customFormat="1" ht="70.5" hidden="1" customHeight="1">
      <c r="C5074" s="701"/>
      <c r="D5074" s="811"/>
      <c r="E5074" s="1276">
        <f>[11]building!Y5405</f>
        <v>0</v>
      </c>
      <c r="F5074" s="748">
        <f t="shared" si="318"/>
        <v>0</v>
      </c>
      <c r="G5074" s="1205"/>
      <c r="H5074" s="1055"/>
      <c r="I5074" s="1055"/>
      <c r="J5074" s="1055"/>
      <c r="K5074" s="1205"/>
      <c r="L5074" s="1055"/>
      <c r="M5074" s="1205"/>
      <c r="N5074" s="1054"/>
      <c r="O5074" s="1207"/>
      <c r="Q5074" s="1207"/>
    </row>
    <row r="5075" spans="3:17" s="700" customFormat="1" ht="70.5" hidden="1" customHeight="1">
      <c r="C5075" s="701"/>
      <c r="D5075" s="811"/>
      <c r="E5075" s="1276">
        <f>[11]building!Y5406</f>
        <v>0</v>
      </c>
      <c r="F5075" s="748">
        <f t="shared" si="318"/>
        <v>0</v>
      </c>
      <c r="G5075" s="1205"/>
      <c r="H5075" s="1055"/>
      <c r="I5075" s="1055"/>
      <c r="J5075" s="1055"/>
      <c r="K5075" s="1205"/>
      <c r="L5075" s="1055"/>
      <c r="M5075" s="1205"/>
      <c r="N5075" s="1054"/>
      <c r="O5075" s="1207"/>
      <c r="Q5075" s="1207"/>
    </row>
    <row r="5076" spans="3:17" s="700" customFormat="1" ht="70.5" hidden="1" customHeight="1">
      <c r="C5076" s="701"/>
      <c r="D5076" s="811"/>
      <c r="E5076" s="1276">
        <f>[11]building!Y5407</f>
        <v>0</v>
      </c>
      <c r="F5076" s="748">
        <f t="shared" si="318"/>
        <v>0</v>
      </c>
      <c r="G5076" s="1205"/>
      <c r="H5076" s="1055"/>
      <c r="I5076" s="1055"/>
      <c r="J5076" s="1055"/>
      <c r="K5076" s="1205"/>
      <c r="L5076" s="1055"/>
      <c r="M5076" s="1205"/>
      <c r="N5076" s="1054"/>
      <c r="O5076" s="1207"/>
      <c r="Q5076" s="1207"/>
    </row>
    <row r="5077" spans="3:17" s="700" customFormat="1" ht="70.5" hidden="1" customHeight="1">
      <c r="C5077" s="701"/>
      <c r="D5077" s="811"/>
      <c r="E5077" s="1276">
        <f>[11]building!Y5408</f>
        <v>0</v>
      </c>
      <c r="F5077" s="748">
        <f t="shared" si="318"/>
        <v>0</v>
      </c>
      <c r="G5077" s="1205"/>
      <c r="H5077" s="1055"/>
      <c r="I5077" s="1055"/>
      <c r="J5077" s="1055"/>
      <c r="K5077" s="1205"/>
      <c r="L5077" s="1055"/>
      <c r="M5077" s="1205"/>
      <c r="N5077" s="1054"/>
      <c r="O5077" s="1207"/>
      <c r="Q5077" s="1207"/>
    </row>
    <row r="5078" spans="3:17" s="700" customFormat="1" ht="70.5" hidden="1" customHeight="1">
      <c r="C5078" s="701"/>
      <c r="D5078" s="811"/>
      <c r="E5078" s="1276">
        <f>[11]building!Y5409</f>
        <v>0</v>
      </c>
      <c r="F5078" s="748">
        <f t="shared" si="318"/>
        <v>0</v>
      </c>
      <c r="G5078" s="1205"/>
      <c r="H5078" s="1055"/>
      <c r="I5078" s="1055"/>
      <c r="J5078" s="1055"/>
      <c r="K5078" s="1205"/>
      <c r="L5078" s="1055"/>
      <c r="M5078" s="1205"/>
      <c r="N5078" s="1054"/>
      <c r="O5078" s="1207"/>
      <c r="Q5078" s="1207"/>
    </row>
    <row r="5079" spans="3:17" s="700" customFormat="1" ht="70.5" hidden="1" customHeight="1">
      <c r="C5079" s="701"/>
      <c r="D5079" s="811"/>
      <c r="E5079" s="1276">
        <f>[11]building!Y5410</f>
        <v>0</v>
      </c>
      <c r="F5079" s="748">
        <f t="shared" si="318"/>
        <v>0</v>
      </c>
      <c r="G5079" s="1205"/>
      <c r="H5079" s="1055"/>
      <c r="I5079" s="1055"/>
      <c r="J5079" s="1055"/>
      <c r="K5079" s="1205"/>
      <c r="L5079" s="1055"/>
      <c r="M5079" s="1205"/>
      <c r="N5079" s="1054"/>
      <c r="O5079" s="1207"/>
      <c r="Q5079" s="1207"/>
    </row>
    <row r="5080" spans="3:17" s="700" customFormat="1" ht="70.5" hidden="1" customHeight="1">
      <c r="C5080" s="701"/>
      <c r="D5080" s="811"/>
      <c r="E5080" s="1276">
        <f>[11]building!Y5411</f>
        <v>0</v>
      </c>
      <c r="F5080" s="748">
        <f t="shared" si="318"/>
        <v>0</v>
      </c>
      <c r="G5080" s="1205"/>
      <c r="H5080" s="1055"/>
      <c r="I5080" s="1055"/>
      <c r="J5080" s="1055"/>
      <c r="K5080" s="1205"/>
      <c r="L5080" s="1055"/>
      <c r="M5080" s="1205"/>
      <c r="N5080" s="1054"/>
      <c r="O5080" s="1207"/>
      <c r="Q5080" s="1207"/>
    </row>
    <row r="5081" spans="3:17" s="700" customFormat="1" ht="70.5" hidden="1" customHeight="1">
      <c r="C5081" s="701"/>
      <c r="D5081" s="811"/>
      <c r="E5081" s="1276">
        <f>[11]building!Y5412</f>
        <v>0</v>
      </c>
      <c r="F5081" s="748">
        <f t="shared" si="318"/>
        <v>0</v>
      </c>
      <c r="G5081" s="1205"/>
      <c r="H5081" s="1055"/>
      <c r="I5081" s="1055"/>
      <c r="J5081" s="1055"/>
      <c r="K5081" s="1205"/>
      <c r="L5081" s="1055"/>
      <c r="M5081" s="1205"/>
      <c r="N5081" s="1054"/>
      <c r="O5081" s="1207"/>
      <c r="Q5081" s="1207"/>
    </row>
    <row r="5082" spans="3:17" s="700" customFormat="1" ht="70.5" hidden="1" customHeight="1">
      <c r="C5082" s="701"/>
      <c r="D5082" s="811"/>
      <c r="E5082" s="1276">
        <f>[11]building!Y5413</f>
        <v>0</v>
      </c>
      <c r="F5082" s="748">
        <f t="shared" si="318"/>
        <v>0</v>
      </c>
      <c r="G5082" s="1205"/>
      <c r="H5082" s="1055"/>
      <c r="I5082" s="1055"/>
      <c r="J5082" s="1055"/>
      <c r="K5082" s="1205"/>
      <c r="L5082" s="1055"/>
      <c r="M5082" s="1205"/>
      <c r="N5082" s="1054"/>
      <c r="O5082" s="1207"/>
      <c r="Q5082" s="1207"/>
    </row>
    <row r="5083" spans="3:17" s="700" customFormat="1" ht="70.5" hidden="1" customHeight="1">
      <c r="C5083" s="701"/>
      <c r="D5083" s="811"/>
      <c r="E5083" s="1276">
        <f>[11]building!Y5414</f>
        <v>0</v>
      </c>
      <c r="F5083" s="748">
        <f t="shared" si="318"/>
        <v>0</v>
      </c>
      <c r="G5083" s="1205"/>
      <c r="H5083" s="1055"/>
      <c r="I5083" s="1055"/>
      <c r="J5083" s="1055"/>
      <c r="K5083" s="1205"/>
      <c r="L5083" s="1055"/>
      <c r="M5083" s="1205"/>
      <c r="N5083" s="1054"/>
      <c r="O5083" s="1207"/>
      <c r="Q5083" s="1207"/>
    </row>
    <row r="5084" spans="3:17" s="700" customFormat="1" ht="70.5" hidden="1" customHeight="1">
      <c r="C5084" s="701"/>
      <c r="D5084" s="811"/>
      <c r="E5084" s="1276">
        <f>[11]building!Y5415</f>
        <v>0</v>
      </c>
      <c r="F5084" s="748">
        <f t="shared" si="318"/>
        <v>0</v>
      </c>
      <c r="G5084" s="1205"/>
      <c r="H5084" s="1055"/>
      <c r="I5084" s="1055"/>
      <c r="J5084" s="1055"/>
      <c r="K5084" s="1205"/>
      <c r="L5084" s="1055"/>
      <c r="M5084" s="1205"/>
      <c r="N5084" s="1054"/>
      <c r="O5084" s="1207"/>
      <c r="Q5084" s="1207"/>
    </row>
    <row r="5085" spans="3:17" s="700" customFormat="1" ht="70.5" hidden="1" customHeight="1">
      <c r="C5085" s="701"/>
      <c r="D5085" s="811"/>
      <c r="E5085" s="1276">
        <f>[11]building!Y5416</f>
        <v>0</v>
      </c>
      <c r="F5085" s="748">
        <f t="shared" si="318"/>
        <v>0</v>
      </c>
      <c r="G5085" s="1205"/>
      <c r="H5085" s="1055"/>
      <c r="I5085" s="1055"/>
      <c r="J5085" s="1055"/>
      <c r="K5085" s="1205"/>
      <c r="L5085" s="1055"/>
      <c r="M5085" s="1205"/>
      <c r="N5085" s="1054"/>
      <c r="O5085" s="1207"/>
      <c r="Q5085" s="1207"/>
    </row>
    <row r="5086" spans="3:17" s="700" customFormat="1" ht="70.5" hidden="1" customHeight="1">
      <c r="C5086" s="701"/>
      <c r="D5086" s="811"/>
      <c r="E5086" s="1276">
        <f>[11]building!Y5417</f>
        <v>0</v>
      </c>
      <c r="F5086" s="748">
        <f t="shared" si="318"/>
        <v>0</v>
      </c>
      <c r="G5086" s="1205"/>
      <c r="H5086" s="1055"/>
      <c r="I5086" s="1055"/>
      <c r="J5086" s="1055"/>
      <c r="K5086" s="1205"/>
      <c r="L5086" s="1055"/>
      <c r="M5086" s="1205"/>
      <c r="N5086" s="1054"/>
      <c r="O5086" s="1207"/>
      <c r="Q5086" s="1207"/>
    </row>
    <row r="5087" spans="3:17" s="700" customFormat="1" ht="70.5" hidden="1" customHeight="1">
      <c r="C5087" s="701"/>
      <c r="D5087" s="811"/>
      <c r="E5087" s="1276">
        <f>[11]building!Y5418</f>
        <v>0</v>
      </c>
      <c r="F5087" s="748">
        <f t="shared" si="318"/>
        <v>0</v>
      </c>
      <c r="G5087" s="1205"/>
      <c r="H5087" s="1055"/>
      <c r="I5087" s="1055"/>
      <c r="J5087" s="1055"/>
      <c r="K5087" s="1205"/>
      <c r="L5087" s="1055"/>
      <c r="M5087" s="1205"/>
      <c r="N5087" s="1054"/>
      <c r="O5087" s="1207"/>
      <c r="Q5087" s="1207"/>
    </row>
    <row r="5088" spans="3:17" s="700" customFormat="1" ht="70.5" hidden="1" customHeight="1">
      <c r="C5088" s="701"/>
      <c r="D5088" s="811"/>
      <c r="E5088" s="1276">
        <f>[11]building!Y5419</f>
        <v>0</v>
      </c>
      <c r="F5088" s="748">
        <f t="shared" si="318"/>
        <v>0</v>
      </c>
      <c r="G5088" s="1205"/>
      <c r="H5088" s="1055"/>
      <c r="I5088" s="1055"/>
      <c r="J5088" s="1055"/>
      <c r="K5088" s="1205"/>
      <c r="L5088" s="1055"/>
      <c r="M5088" s="1205"/>
      <c r="N5088" s="1054"/>
      <c r="O5088" s="1207"/>
      <c r="Q5088" s="1207"/>
    </row>
    <row r="5089" spans="3:17" s="700" customFormat="1" ht="70.5" hidden="1" customHeight="1">
      <c r="C5089" s="701"/>
      <c r="D5089" s="811"/>
      <c r="E5089" s="1276">
        <f>[11]building!Y5420</f>
        <v>0</v>
      </c>
      <c r="F5089" s="748">
        <f t="shared" si="318"/>
        <v>0</v>
      </c>
      <c r="G5089" s="1205"/>
      <c r="H5089" s="1055"/>
      <c r="I5089" s="1055"/>
      <c r="J5089" s="1055"/>
      <c r="K5089" s="1205"/>
      <c r="L5089" s="1055"/>
      <c r="M5089" s="1205"/>
      <c r="N5089" s="1054"/>
      <c r="O5089" s="1207"/>
      <c r="Q5089" s="1207"/>
    </row>
    <row r="5090" spans="3:17" s="700" customFormat="1" ht="70.5" hidden="1" customHeight="1">
      <c r="C5090" s="701"/>
      <c r="D5090" s="811"/>
      <c r="E5090" s="1276">
        <f>[11]building!Y5421</f>
        <v>0</v>
      </c>
      <c r="F5090" s="748">
        <f t="shared" si="318"/>
        <v>0</v>
      </c>
      <c r="G5090" s="1205"/>
      <c r="H5090" s="1055"/>
      <c r="I5090" s="1055"/>
      <c r="J5090" s="1055"/>
      <c r="K5090" s="1205"/>
      <c r="L5090" s="1055"/>
      <c r="M5090" s="1205"/>
      <c r="N5090" s="1054"/>
      <c r="O5090" s="1207"/>
      <c r="Q5090" s="1207"/>
    </row>
    <row r="5091" spans="3:17" s="700" customFormat="1" ht="70.5" hidden="1" customHeight="1">
      <c r="C5091" s="701"/>
      <c r="D5091" s="811"/>
      <c r="E5091" s="1276">
        <f>[11]building!Y5422</f>
        <v>0</v>
      </c>
      <c r="F5091" s="748">
        <f t="shared" si="318"/>
        <v>0</v>
      </c>
      <c r="G5091" s="1205"/>
      <c r="H5091" s="1055"/>
      <c r="I5091" s="1055"/>
      <c r="J5091" s="1055"/>
      <c r="K5091" s="1205"/>
      <c r="L5091" s="1055"/>
      <c r="M5091" s="1205"/>
      <c r="N5091" s="1054"/>
      <c r="O5091" s="1207"/>
      <c r="Q5091" s="1207"/>
    </row>
    <row r="5092" spans="3:17" s="700" customFormat="1" ht="70.5" hidden="1" customHeight="1">
      <c r="C5092" s="701"/>
      <c r="D5092" s="811"/>
      <c r="E5092" s="1276">
        <f>[11]building!Y5423</f>
        <v>0</v>
      </c>
      <c r="F5092" s="748">
        <f t="shared" si="318"/>
        <v>0</v>
      </c>
      <c r="G5092" s="1205"/>
      <c r="H5092" s="1055"/>
      <c r="I5092" s="1055"/>
      <c r="J5092" s="1055"/>
      <c r="K5092" s="1205"/>
      <c r="L5092" s="1055"/>
      <c r="M5092" s="1205"/>
      <c r="N5092" s="1054"/>
      <c r="O5092" s="1207"/>
      <c r="Q5092" s="1207"/>
    </row>
    <row r="5093" spans="3:17" s="700" customFormat="1" ht="70.5" hidden="1" customHeight="1">
      <c r="C5093" s="701"/>
      <c r="D5093" s="811"/>
      <c r="E5093" s="1276">
        <f>[11]building!Y5424</f>
        <v>0</v>
      </c>
      <c r="F5093" s="748">
        <f t="shared" si="318"/>
        <v>0</v>
      </c>
      <c r="G5093" s="1205"/>
      <c r="H5093" s="1055"/>
      <c r="I5093" s="1055"/>
      <c r="J5093" s="1055"/>
      <c r="K5093" s="1205"/>
      <c r="L5093" s="1055"/>
      <c r="M5093" s="1205"/>
      <c r="N5093" s="1054"/>
      <c r="O5093" s="1207"/>
      <c r="Q5093" s="1207"/>
    </row>
    <row r="5094" spans="3:17" s="700" customFormat="1" ht="70.5" hidden="1" customHeight="1">
      <c r="C5094" s="701"/>
      <c r="D5094" s="811"/>
      <c r="E5094" s="1276">
        <f>[11]building!Y5425</f>
        <v>0</v>
      </c>
      <c r="F5094" s="748">
        <f t="shared" si="318"/>
        <v>0</v>
      </c>
      <c r="G5094" s="1205"/>
      <c r="H5094" s="1055"/>
      <c r="I5094" s="1055"/>
      <c r="J5094" s="1055"/>
      <c r="K5094" s="1205"/>
      <c r="L5094" s="1055"/>
      <c r="M5094" s="1205"/>
      <c r="N5094" s="1054"/>
      <c r="O5094" s="1207"/>
      <c r="Q5094" s="1207"/>
    </row>
    <row r="5095" spans="3:17" s="700" customFormat="1" ht="70.5" hidden="1" customHeight="1">
      <c r="C5095" s="701"/>
      <c r="D5095" s="811"/>
      <c r="E5095" s="1276">
        <f>[11]building!Y5426</f>
        <v>0</v>
      </c>
      <c r="F5095" s="748">
        <f t="shared" si="318"/>
        <v>0</v>
      </c>
      <c r="G5095" s="1205"/>
      <c r="H5095" s="1055"/>
      <c r="I5095" s="1055"/>
      <c r="J5095" s="1055"/>
      <c r="K5095" s="1205"/>
      <c r="L5095" s="1055"/>
      <c r="M5095" s="1205"/>
      <c r="N5095" s="1054"/>
      <c r="O5095" s="1207"/>
      <c r="Q5095" s="1207"/>
    </row>
    <row r="5096" spans="3:17" s="700" customFormat="1" ht="70.5" hidden="1" customHeight="1">
      <c r="C5096" s="701"/>
      <c r="D5096" s="811"/>
      <c r="E5096" s="1276">
        <f>[11]building!Y5427</f>
        <v>0</v>
      </c>
      <c r="F5096" s="748">
        <f t="shared" si="318"/>
        <v>0</v>
      </c>
      <c r="G5096" s="1205"/>
      <c r="H5096" s="1055"/>
      <c r="I5096" s="1055"/>
      <c r="J5096" s="1055"/>
      <c r="K5096" s="1205"/>
      <c r="L5096" s="1055"/>
      <c r="M5096" s="1205"/>
      <c r="N5096" s="1054"/>
      <c r="O5096" s="1207"/>
      <c r="Q5096" s="1207"/>
    </row>
    <row r="5097" spans="3:17" s="700" customFormat="1" ht="70.5" hidden="1" customHeight="1">
      <c r="C5097" s="701"/>
      <c r="D5097" s="811"/>
      <c r="E5097" s="1276">
        <f>[11]building!Y5428</f>
        <v>0</v>
      </c>
      <c r="F5097" s="748">
        <f t="shared" si="318"/>
        <v>0</v>
      </c>
      <c r="G5097" s="1205"/>
      <c r="H5097" s="1055"/>
      <c r="I5097" s="1055"/>
      <c r="J5097" s="1055"/>
      <c r="K5097" s="1205"/>
      <c r="L5097" s="1055"/>
      <c r="M5097" s="1205"/>
      <c r="N5097" s="1054"/>
      <c r="O5097" s="1207"/>
      <c r="Q5097" s="1207"/>
    </row>
    <row r="5098" spans="3:17" s="700" customFormat="1" ht="70.5" hidden="1" customHeight="1">
      <c r="C5098" s="701"/>
      <c r="D5098" s="811"/>
      <c r="E5098" s="1276">
        <f>[11]building!Y5429</f>
        <v>0</v>
      </c>
      <c r="F5098" s="748">
        <f t="shared" si="318"/>
        <v>0</v>
      </c>
      <c r="G5098" s="1205"/>
      <c r="H5098" s="1055"/>
      <c r="I5098" s="1055"/>
      <c r="J5098" s="1055"/>
      <c r="K5098" s="1205"/>
      <c r="L5098" s="1055"/>
      <c r="M5098" s="1205"/>
      <c r="N5098" s="1054"/>
      <c r="O5098" s="1207"/>
      <c r="Q5098" s="1207"/>
    </row>
    <row r="5099" spans="3:17" s="700" customFormat="1" ht="70.5" hidden="1" customHeight="1">
      <c r="C5099" s="701"/>
      <c r="D5099" s="811"/>
      <c r="E5099" s="1276">
        <f>[11]building!Y5430</f>
        <v>0</v>
      </c>
      <c r="F5099" s="748">
        <f t="shared" si="318"/>
        <v>0</v>
      </c>
      <c r="G5099" s="1205"/>
      <c r="H5099" s="1055"/>
      <c r="I5099" s="1055"/>
      <c r="J5099" s="1055"/>
      <c r="K5099" s="1205"/>
      <c r="L5099" s="1055"/>
      <c r="M5099" s="1205"/>
      <c r="N5099" s="1054"/>
      <c r="O5099" s="1207"/>
      <c r="Q5099" s="1207"/>
    </row>
    <row r="5100" spans="3:17" s="700" customFormat="1" ht="70.5" hidden="1" customHeight="1">
      <c r="C5100" s="701"/>
      <c r="D5100" s="811"/>
      <c r="E5100" s="1276">
        <f>[11]building!Y5431</f>
        <v>0</v>
      </c>
      <c r="F5100" s="748">
        <f t="shared" si="318"/>
        <v>0</v>
      </c>
      <c r="G5100" s="1205"/>
      <c r="H5100" s="1055"/>
      <c r="I5100" s="1055"/>
      <c r="J5100" s="1055"/>
      <c r="K5100" s="1205"/>
      <c r="L5100" s="1055"/>
      <c r="M5100" s="1205"/>
      <c r="N5100" s="1054"/>
      <c r="O5100" s="1207"/>
      <c r="Q5100" s="1207"/>
    </row>
    <row r="5101" spans="3:17" s="700" customFormat="1" ht="70.5" hidden="1" customHeight="1">
      <c r="C5101" s="701"/>
      <c r="D5101" s="811"/>
      <c r="E5101" s="1276">
        <f>[11]building!Y5432</f>
        <v>0</v>
      </c>
      <c r="F5101" s="748">
        <f t="shared" si="318"/>
        <v>0</v>
      </c>
      <c r="G5101" s="1205"/>
      <c r="H5101" s="1055"/>
      <c r="I5101" s="1055"/>
      <c r="J5101" s="1055"/>
      <c r="K5101" s="1205"/>
      <c r="L5101" s="1055"/>
      <c r="M5101" s="1205"/>
      <c r="N5101" s="1054"/>
      <c r="O5101" s="1207"/>
      <c r="Q5101" s="1207"/>
    </row>
    <row r="5102" spans="3:17" s="700" customFormat="1" ht="70.5" hidden="1" customHeight="1">
      <c r="C5102" s="701"/>
      <c r="D5102" s="811"/>
      <c r="E5102" s="1276">
        <f>[11]building!Y5433</f>
        <v>0</v>
      </c>
      <c r="F5102" s="748">
        <f t="shared" si="318"/>
        <v>0</v>
      </c>
      <c r="G5102" s="1205"/>
      <c r="H5102" s="1055"/>
      <c r="I5102" s="1055"/>
      <c r="J5102" s="1055"/>
      <c r="K5102" s="1205"/>
      <c r="L5102" s="1055"/>
      <c r="M5102" s="1205"/>
      <c r="N5102" s="1054"/>
      <c r="O5102" s="1207"/>
      <c r="Q5102" s="1207"/>
    </row>
    <row r="5103" spans="3:17" s="700" customFormat="1" ht="70.5" hidden="1" customHeight="1">
      <c r="C5103" s="701"/>
      <c r="D5103" s="811"/>
      <c r="E5103" s="1276">
        <f>[11]building!Y5434</f>
        <v>0</v>
      </c>
      <c r="F5103" s="748">
        <f t="shared" si="318"/>
        <v>0</v>
      </c>
      <c r="G5103" s="1205"/>
      <c r="H5103" s="1055"/>
      <c r="I5103" s="1055"/>
      <c r="J5103" s="1055"/>
      <c r="K5103" s="1205"/>
      <c r="L5103" s="1055"/>
      <c r="M5103" s="1205"/>
      <c r="N5103" s="1054"/>
      <c r="O5103" s="1207"/>
      <c r="Q5103" s="1207"/>
    </row>
    <row r="5104" spans="3:17" s="700" customFormat="1" ht="70.5" hidden="1" customHeight="1">
      <c r="C5104" s="701"/>
      <c r="D5104" s="811"/>
      <c r="E5104" s="1276">
        <f>[11]building!Y5435</f>
        <v>0</v>
      </c>
      <c r="F5104" s="748">
        <f t="shared" si="318"/>
        <v>0</v>
      </c>
      <c r="G5104" s="1205"/>
      <c r="H5104" s="1055"/>
      <c r="I5104" s="1055"/>
      <c r="J5104" s="1055"/>
      <c r="K5104" s="1205"/>
      <c r="L5104" s="1055"/>
      <c r="M5104" s="1205"/>
      <c r="N5104" s="1054"/>
      <c r="O5104" s="1207"/>
      <c r="Q5104" s="1207"/>
    </row>
    <row r="5105" spans="3:17" s="700" customFormat="1" ht="70.5" hidden="1" customHeight="1">
      <c r="C5105" s="701"/>
      <c r="D5105" s="811"/>
      <c r="E5105" s="1276">
        <f>[11]building!Y5436</f>
        <v>0</v>
      </c>
      <c r="F5105" s="748">
        <f t="shared" si="318"/>
        <v>0</v>
      </c>
      <c r="G5105" s="1205"/>
      <c r="H5105" s="1055"/>
      <c r="I5105" s="1055"/>
      <c r="J5105" s="1055"/>
      <c r="K5105" s="1205"/>
      <c r="L5105" s="1055"/>
      <c r="M5105" s="1205"/>
      <c r="N5105" s="1054"/>
      <c r="O5105" s="1207"/>
      <c r="Q5105" s="1207"/>
    </row>
    <row r="5106" spans="3:17" s="700" customFormat="1" ht="70.5" hidden="1" customHeight="1">
      <c r="C5106" s="701"/>
      <c r="D5106" s="811"/>
      <c r="E5106" s="1276">
        <f>[11]building!Y5437</f>
        <v>0</v>
      </c>
      <c r="F5106" s="748">
        <f t="shared" si="318"/>
        <v>0</v>
      </c>
      <c r="G5106" s="1205"/>
      <c r="H5106" s="1055"/>
      <c r="I5106" s="1055"/>
      <c r="J5106" s="1055"/>
      <c r="K5106" s="1205"/>
      <c r="L5106" s="1055"/>
      <c r="M5106" s="1205"/>
      <c r="N5106" s="1054"/>
      <c r="O5106" s="1207"/>
      <c r="Q5106" s="1207"/>
    </row>
    <row r="5107" spans="3:17" s="700" customFormat="1" ht="70.5" hidden="1" customHeight="1">
      <c r="C5107" s="701"/>
      <c r="D5107" s="811"/>
      <c r="E5107" s="1276">
        <f>[11]building!Y5438</f>
        <v>0</v>
      </c>
      <c r="F5107" s="748">
        <f t="shared" si="318"/>
        <v>0</v>
      </c>
      <c r="G5107" s="1205"/>
      <c r="H5107" s="1055"/>
      <c r="I5107" s="1055"/>
      <c r="J5107" s="1055"/>
      <c r="K5107" s="1205"/>
      <c r="L5107" s="1055"/>
      <c r="M5107" s="1205"/>
      <c r="N5107" s="1054"/>
      <c r="O5107" s="1207"/>
      <c r="Q5107" s="1207"/>
    </row>
    <row r="5108" spans="3:17" s="700" customFormat="1" ht="70.5" hidden="1" customHeight="1">
      <c r="C5108" s="701"/>
      <c r="D5108" s="811"/>
      <c r="E5108" s="1276">
        <f>[11]building!Y5439</f>
        <v>0</v>
      </c>
      <c r="F5108" s="748">
        <f t="shared" si="318"/>
        <v>0</v>
      </c>
      <c r="G5108" s="1205"/>
      <c r="H5108" s="1055"/>
      <c r="I5108" s="1055"/>
      <c r="J5108" s="1055"/>
      <c r="K5108" s="1205"/>
      <c r="L5108" s="1055"/>
      <c r="M5108" s="1205"/>
      <c r="N5108" s="1054"/>
      <c r="O5108" s="1207"/>
      <c r="Q5108" s="1207"/>
    </row>
    <row r="5109" spans="3:17" s="700" customFormat="1" ht="70.5" hidden="1" customHeight="1">
      <c r="C5109" s="701"/>
      <c r="D5109" s="811"/>
      <c r="E5109" s="1276">
        <f>[11]building!Y5440</f>
        <v>0</v>
      </c>
      <c r="F5109" s="748">
        <f t="shared" si="318"/>
        <v>0</v>
      </c>
      <c r="G5109" s="1205"/>
      <c r="H5109" s="1055"/>
      <c r="I5109" s="1055"/>
      <c r="J5109" s="1055"/>
      <c r="K5109" s="1205"/>
      <c r="L5109" s="1055"/>
      <c r="M5109" s="1205"/>
      <c r="N5109" s="1054"/>
      <c r="O5109" s="1207"/>
      <c r="Q5109" s="1207"/>
    </row>
    <row r="5110" spans="3:17" s="700" customFormat="1" ht="70.5" hidden="1" customHeight="1">
      <c r="C5110" s="701"/>
      <c r="D5110" s="811"/>
      <c r="E5110" s="1276">
        <f>[11]building!Y5441</f>
        <v>0</v>
      </c>
      <c r="F5110" s="748">
        <f t="shared" si="318"/>
        <v>0</v>
      </c>
      <c r="G5110" s="1205"/>
      <c r="H5110" s="1055"/>
      <c r="I5110" s="1055"/>
      <c r="J5110" s="1055"/>
      <c r="K5110" s="1205"/>
      <c r="L5110" s="1055"/>
      <c r="M5110" s="1205"/>
      <c r="N5110" s="1054"/>
      <c r="O5110" s="1207"/>
      <c r="Q5110" s="1207"/>
    </row>
    <row r="5111" spans="3:17" s="700" customFormat="1" ht="70.5" hidden="1" customHeight="1">
      <c r="C5111" s="701"/>
      <c r="D5111" s="811"/>
      <c r="E5111" s="1276">
        <f>[11]building!Y5442</f>
        <v>0</v>
      </c>
      <c r="F5111" s="748">
        <f t="shared" si="318"/>
        <v>0</v>
      </c>
      <c r="G5111" s="1205"/>
      <c r="H5111" s="1055"/>
      <c r="I5111" s="1055"/>
      <c r="J5111" s="1055"/>
      <c r="K5111" s="1205"/>
      <c r="L5111" s="1055"/>
      <c r="M5111" s="1205"/>
      <c r="N5111" s="1054"/>
      <c r="O5111" s="1207"/>
      <c r="Q5111" s="1207"/>
    </row>
    <row r="5112" spans="3:17" s="700" customFormat="1" ht="70.5" hidden="1" customHeight="1">
      <c r="C5112" s="701"/>
      <c r="D5112" s="811"/>
      <c r="E5112" s="1276">
        <f>[11]building!Y5443</f>
        <v>0</v>
      </c>
      <c r="F5112" s="748">
        <f t="shared" si="318"/>
        <v>0</v>
      </c>
      <c r="G5112" s="1205"/>
      <c r="H5112" s="1055"/>
      <c r="I5112" s="1055"/>
      <c r="J5112" s="1055"/>
      <c r="K5112" s="1205"/>
      <c r="L5112" s="1055"/>
      <c r="M5112" s="1205"/>
      <c r="N5112" s="1054"/>
      <c r="O5112" s="1207"/>
      <c r="Q5112" s="1207"/>
    </row>
    <row r="5113" spans="3:17" s="700" customFormat="1" ht="70.5" hidden="1" customHeight="1">
      <c r="C5113" s="701"/>
      <c r="D5113" s="811"/>
      <c r="E5113" s="1276">
        <f>[11]building!Y5444</f>
        <v>0</v>
      </c>
      <c r="F5113" s="748">
        <f t="shared" si="318"/>
        <v>0</v>
      </c>
      <c r="G5113" s="1205"/>
      <c r="H5113" s="1055"/>
      <c r="I5113" s="1055"/>
      <c r="J5113" s="1055"/>
      <c r="K5113" s="1205"/>
      <c r="L5113" s="1055"/>
      <c r="M5113" s="1205"/>
      <c r="N5113" s="1054"/>
      <c r="O5113" s="1207"/>
      <c r="Q5113" s="1207"/>
    </row>
    <row r="5114" spans="3:17" s="700" customFormat="1" ht="70.5" hidden="1" customHeight="1">
      <c r="C5114" s="701"/>
      <c r="D5114" s="811"/>
      <c r="E5114" s="1276">
        <f>[11]building!Y5445</f>
        <v>0</v>
      </c>
      <c r="F5114" s="748">
        <f t="shared" si="318"/>
        <v>0</v>
      </c>
      <c r="G5114" s="1205"/>
      <c r="H5114" s="1055"/>
      <c r="I5114" s="1055"/>
      <c r="J5114" s="1055"/>
      <c r="K5114" s="1205"/>
      <c r="L5114" s="1055"/>
      <c r="M5114" s="1205"/>
      <c r="N5114" s="1054"/>
      <c r="O5114" s="1207"/>
      <c r="Q5114" s="1207"/>
    </row>
    <row r="5115" spans="3:17" s="700" customFormat="1" ht="70.5" hidden="1" customHeight="1">
      <c r="C5115" s="701"/>
      <c r="D5115" s="811"/>
      <c r="E5115" s="1276">
        <f>[11]building!Y5446</f>
        <v>0</v>
      </c>
      <c r="F5115" s="748">
        <f t="shared" si="318"/>
        <v>0</v>
      </c>
      <c r="G5115" s="1205"/>
      <c r="H5115" s="1055"/>
      <c r="I5115" s="1055"/>
      <c r="J5115" s="1055"/>
      <c r="K5115" s="1205"/>
      <c r="L5115" s="1055"/>
      <c r="M5115" s="1205"/>
      <c r="N5115" s="1054"/>
      <c r="O5115" s="1207"/>
      <c r="Q5115" s="1207"/>
    </row>
    <row r="5116" spans="3:17" s="700" customFormat="1" ht="70.5" hidden="1" customHeight="1">
      <c r="C5116" s="701"/>
      <c r="D5116" s="811"/>
      <c r="E5116" s="1276">
        <f>[11]building!Y5447</f>
        <v>0</v>
      </c>
      <c r="F5116" s="748">
        <f t="shared" si="318"/>
        <v>0</v>
      </c>
      <c r="G5116" s="1205"/>
      <c r="H5116" s="1055"/>
      <c r="I5116" s="1055"/>
      <c r="J5116" s="1055"/>
      <c r="K5116" s="1205"/>
      <c r="L5116" s="1055"/>
      <c r="M5116" s="1205"/>
      <c r="N5116" s="1054"/>
      <c r="O5116" s="1207"/>
      <c r="Q5116" s="1207"/>
    </row>
    <row r="5117" spans="3:17" s="700" customFormat="1" ht="70.5" hidden="1" customHeight="1">
      <c r="C5117" s="701"/>
      <c r="D5117" s="811"/>
      <c r="E5117" s="1276">
        <f>[11]building!Y5448</f>
        <v>0</v>
      </c>
      <c r="F5117" s="748">
        <f t="shared" si="318"/>
        <v>0</v>
      </c>
      <c r="G5117" s="1205"/>
      <c r="H5117" s="1055"/>
      <c r="I5117" s="1055"/>
      <c r="J5117" s="1055"/>
      <c r="K5117" s="1205"/>
      <c r="L5117" s="1055"/>
      <c r="M5117" s="1205"/>
      <c r="N5117" s="1054"/>
      <c r="O5117" s="1207"/>
      <c r="Q5117" s="1207"/>
    </row>
    <row r="5118" spans="3:17" s="700" customFormat="1" ht="70.5" hidden="1" customHeight="1">
      <c r="C5118" s="701"/>
      <c r="D5118" s="811"/>
      <c r="E5118" s="1276">
        <f>[11]building!Y5449</f>
        <v>0</v>
      </c>
      <c r="F5118" s="748">
        <f t="shared" si="318"/>
        <v>0</v>
      </c>
      <c r="G5118" s="1205"/>
      <c r="H5118" s="1055"/>
      <c r="I5118" s="1055"/>
      <c r="J5118" s="1055"/>
      <c r="K5118" s="1205"/>
      <c r="L5118" s="1055"/>
      <c r="M5118" s="1205"/>
      <c r="N5118" s="1054"/>
      <c r="O5118" s="1207"/>
      <c r="Q5118" s="1207"/>
    </row>
    <row r="5119" spans="3:17" s="700" customFormat="1" ht="70.5" hidden="1" customHeight="1">
      <c r="C5119" s="701"/>
      <c r="D5119" s="811"/>
      <c r="E5119" s="1276">
        <f>[11]building!Y5450</f>
        <v>0</v>
      </c>
      <c r="F5119" s="748">
        <f t="shared" si="318"/>
        <v>0</v>
      </c>
      <c r="G5119" s="1205"/>
      <c r="H5119" s="1055"/>
      <c r="I5119" s="1055"/>
      <c r="J5119" s="1055"/>
      <c r="K5119" s="1205"/>
      <c r="L5119" s="1055"/>
      <c r="M5119" s="1205"/>
      <c r="N5119" s="1054"/>
      <c r="O5119" s="1207"/>
      <c r="Q5119" s="1207"/>
    </row>
    <row r="5120" spans="3:17" s="700" customFormat="1" ht="70.5" hidden="1" customHeight="1">
      <c r="C5120" s="701"/>
      <c r="D5120" s="811"/>
      <c r="E5120" s="1276">
        <f>[11]building!Y5451</f>
        <v>0</v>
      </c>
      <c r="F5120" s="748">
        <f t="shared" ref="F5120:F5183" si="319">E5120*C5120</f>
        <v>0</v>
      </c>
      <c r="G5120" s="1205"/>
      <c r="H5120" s="1055"/>
      <c r="I5120" s="1055"/>
      <c r="J5120" s="1055"/>
      <c r="K5120" s="1205"/>
      <c r="L5120" s="1055"/>
      <c r="M5120" s="1205"/>
      <c r="N5120" s="1054"/>
      <c r="O5120" s="1207"/>
      <c r="Q5120" s="1207"/>
    </row>
    <row r="5121" spans="3:17" s="700" customFormat="1" ht="70.5" hidden="1" customHeight="1">
      <c r="C5121" s="701"/>
      <c r="D5121" s="811"/>
      <c r="E5121" s="1276">
        <f>[11]building!Y5452</f>
        <v>0</v>
      </c>
      <c r="F5121" s="748">
        <f t="shared" si="319"/>
        <v>0</v>
      </c>
      <c r="G5121" s="1205"/>
      <c r="H5121" s="1055"/>
      <c r="I5121" s="1055"/>
      <c r="J5121" s="1055"/>
      <c r="K5121" s="1205"/>
      <c r="L5121" s="1055"/>
      <c r="M5121" s="1205"/>
      <c r="N5121" s="1054"/>
      <c r="O5121" s="1207"/>
      <c r="Q5121" s="1207"/>
    </row>
    <row r="5122" spans="3:17" s="700" customFormat="1" ht="70.5" hidden="1" customHeight="1">
      <c r="C5122" s="701"/>
      <c r="D5122" s="811"/>
      <c r="E5122" s="1276">
        <f>[11]building!Y5453</f>
        <v>0</v>
      </c>
      <c r="F5122" s="748">
        <f t="shared" si="319"/>
        <v>0</v>
      </c>
      <c r="G5122" s="1205"/>
      <c r="H5122" s="1055"/>
      <c r="I5122" s="1055"/>
      <c r="J5122" s="1055"/>
      <c r="K5122" s="1205"/>
      <c r="L5122" s="1055"/>
      <c r="M5122" s="1205"/>
      <c r="N5122" s="1054"/>
      <c r="O5122" s="1207"/>
      <c r="Q5122" s="1207"/>
    </row>
    <row r="5123" spans="3:17" s="700" customFormat="1" ht="70.5" hidden="1" customHeight="1">
      <c r="C5123" s="701"/>
      <c r="D5123" s="811"/>
      <c r="E5123" s="1276">
        <f>[11]building!Y5454</f>
        <v>0</v>
      </c>
      <c r="F5123" s="748">
        <f t="shared" si="319"/>
        <v>0</v>
      </c>
      <c r="G5123" s="1205"/>
      <c r="H5123" s="1055"/>
      <c r="I5123" s="1055"/>
      <c r="J5123" s="1055"/>
      <c r="K5123" s="1205"/>
      <c r="L5123" s="1055"/>
      <c r="M5123" s="1205"/>
      <c r="N5123" s="1054"/>
      <c r="O5123" s="1207"/>
      <c r="Q5123" s="1207"/>
    </row>
    <row r="5124" spans="3:17" s="700" customFormat="1" ht="70.5" hidden="1" customHeight="1">
      <c r="C5124" s="701"/>
      <c r="D5124" s="811"/>
      <c r="E5124" s="1276">
        <f>[11]building!Y5455</f>
        <v>0</v>
      </c>
      <c r="F5124" s="748">
        <f t="shared" si="319"/>
        <v>0</v>
      </c>
      <c r="G5124" s="1205"/>
      <c r="H5124" s="1055"/>
      <c r="I5124" s="1055"/>
      <c r="J5124" s="1055"/>
      <c r="K5124" s="1205"/>
      <c r="L5124" s="1055"/>
      <c r="M5124" s="1205"/>
      <c r="N5124" s="1054"/>
      <c r="O5124" s="1207"/>
      <c r="Q5124" s="1207"/>
    </row>
    <row r="5125" spans="3:17" s="700" customFormat="1" ht="70.5" hidden="1" customHeight="1">
      <c r="C5125" s="701"/>
      <c r="D5125" s="811"/>
      <c r="E5125" s="1276">
        <f>[11]building!Y5456</f>
        <v>0</v>
      </c>
      <c r="F5125" s="748">
        <f t="shared" si="319"/>
        <v>0</v>
      </c>
      <c r="G5125" s="1205"/>
      <c r="H5125" s="1055"/>
      <c r="I5125" s="1055"/>
      <c r="J5125" s="1055"/>
      <c r="K5125" s="1205"/>
      <c r="L5125" s="1055"/>
      <c r="M5125" s="1205"/>
      <c r="N5125" s="1054"/>
      <c r="O5125" s="1207"/>
      <c r="Q5125" s="1207"/>
    </row>
    <row r="5126" spans="3:17" s="700" customFormat="1" ht="70.5" hidden="1" customHeight="1">
      <c r="C5126" s="701"/>
      <c r="D5126" s="811"/>
      <c r="E5126" s="1276">
        <f>[11]building!Y5457</f>
        <v>0</v>
      </c>
      <c r="F5126" s="748">
        <f t="shared" si="319"/>
        <v>0</v>
      </c>
      <c r="G5126" s="1205"/>
      <c r="H5126" s="1055"/>
      <c r="I5126" s="1055"/>
      <c r="J5126" s="1055"/>
      <c r="K5126" s="1205"/>
      <c r="L5126" s="1055"/>
      <c r="M5126" s="1205"/>
      <c r="N5126" s="1054"/>
      <c r="O5126" s="1207"/>
      <c r="Q5126" s="1207"/>
    </row>
    <row r="5127" spans="3:17" s="700" customFormat="1" ht="70.5" hidden="1" customHeight="1">
      <c r="C5127" s="701"/>
      <c r="D5127" s="811"/>
      <c r="E5127" s="1276">
        <f>[11]building!Y5458</f>
        <v>0</v>
      </c>
      <c r="F5127" s="748">
        <f t="shared" si="319"/>
        <v>0</v>
      </c>
      <c r="G5127" s="1205"/>
      <c r="H5127" s="1055"/>
      <c r="I5127" s="1055"/>
      <c r="J5127" s="1055"/>
      <c r="K5127" s="1205"/>
      <c r="L5127" s="1055"/>
      <c r="M5127" s="1205"/>
      <c r="N5127" s="1054"/>
      <c r="O5127" s="1207"/>
      <c r="Q5127" s="1207"/>
    </row>
    <row r="5128" spans="3:17" s="700" customFormat="1" ht="70.5" hidden="1" customHeight="1">
      <c r="C5128" s="701"/>
      <c r="D5128" s="811"/>
      <c r="E5128" s="1276">
        <f>[11]building!Y5459</f>
        <v>0</v>
      </c>
      <c r="F5128" s="748">
        <f t="shared" si="319"/>
        <v>0</v>
      </c>
      <c r="G5128" s="1205"/>
      <c r="H5128" s="1055"/>
      <c r="I5128" s="1055"/>
      <c r="J5128" s="1055"/>
      <c r="K5128" s="1205"/>
      <c r="L5128" s="1055"/>
      <c r="M5128" s="1205"/>
      <c r="N5128" s="1054"/>
      <c r="O5128" s="1207"/>
      <c r="Q5128" s="1207"/>
    </row>
    <row r="5129" spans="3:17" s="700" customFormat="1" ht="70.5" hidden="1" customHeight="1">
      <c r="C5129" s="701"/>
      <c r="D5129" s="811"/>
      <c r="E5129" s="1276">
        <f>[11]building!Y5460</f>
        <v>0</v>
      </c>
      <c r="F5129" s="748">
        <f t="shared" si="319"/>
        <v>0</v>
      </c>
      <c r="G5129" s="1205"/>
      <c r="H5129" s="1055"/>
      <c r="I5129" s="1055"/>
      <c r="J5129" s="1055"/>
      <c r="K5129" s="1205"/>
      <c r="L5129" s="1055"/>
      <c r="M5129" s="1205"/>
      <c r="N5129" s="1054"/>
      <c r="O5129" s="1207"/>
      <c r="Q5129" s="1207"/>
    </row>
    <row r="5130" spans="3:17" s="700" customFormat="1" ht="70.5" hidden="1" customHeight="1">
      <c r="C5130" s="701"/>
      <c r="D5130" s="811"/>
      <c r="E5130" s="1276">
        <f>[11]building!Y5461</f>
        <v>0</v>
      </c>
      <c r="F5130" s="748">
        <f t="shared" si="319"/>
        <v>0</v>
      </c>
      <c r="G5130" s="1205"/>
      <c r="H5130" s="1055"/>
      <c r="I5130" s="1055"/>
      <c r="J5130" s="1055"/>
      <c r="K5130" s="1205"/>
      <c r="L5130" s="1055"/>
      <c r="M5130" s="1205"/>
      <c r="N5130" s="1054"/>
      <c r="O5130" s="1207"/>
      <c r="Q5130" s="1207"/>
    </row>
    <row r="5131" spans="3:17" s="700" customFormat="1" ht="70.5" hidden="1" customHeight="1">
      <c r="C5131" s="701"/>
      <c r="D5131" s="811"/>
      <c r="E5131" s="1276">
        <f>[11]building!Y5462</f>
        <v>0</v>
      </c>
      <c r="F5131" s="748">
        <f t="shared" si="319"/>
        <v>0</v>
      </c>
      <c r="G5131" s="1205"/>
      <c r="H5131" s="1055"/>
      <c r="I5131" s="1055"/>
      <c r="J5131" s="1055"/>
      <c r="K5131" s="1205"/>
      <c r="L5131" s="1055"/>
      <c r="M5131" s="1205"/>
      <c r="N5131" s="1054"/>
      <c r="O5131" s="1207"/>
      <c r="Q5131" s="1207"/>
    </row>
    <row r="5132" spans="3:17" s="700" customFormat="1" ht="70.5" hidden="1" customHeight="1">
      <c r="C5132" s="701"/>
      <c r="D5132" s="811"/>
      <c r="E5132" s="1276">
        <f>[11]building!Y5463</f>
        <v>0</v>
      </c>
      <c r="F5132" s="748">
        <f t="shared" si="319"/>
        <v>0</v>
      </c>
      <c r="G5132" s="1205"/>
      <c r="H5132" s="1055"/>
      <c r="I5132" s="1055"/>
      <c r="J5132" s="1055"/>
      <c r="K5132" s="1205"/>
      <c r="L5132" s="1055"/>
      <c r="M5132" s="1205"/>
      <c r="N5132" s="1054"/>
      <c r="O5132" s="1207"/>
      <c r="Q5132" s="1207"/>
    </row>
    <row r="5133" spans="3:17" s="700" customFormat="1" ht="70.5" hidden="1" customHeight="1">
      <c r="C5133" s="701"/>
      <c r="D5133" s="811"/>
      <c r="E5133" s="1276">
        <f>[11]building!Y5464</f>
        <v>0</v>
      </c>
      <c r="F5133" s="748">
        <f t="shared" si="319"/>
        <v>0</v>
      </c>
      <c r="G5133" s="1205"/>
      <c r="H5133" s="1055"/>
      <c r="I5133" s="1055"/>
      <c r="J5133" s="1055"/>
      <c r="K5133" s="1205"/>
      <c r="L5133" s="1055"/>
      <c r="M5133" s="1205"/>
      <c r="N5133" s="1054"/>
      <c r="O5133" s="1207"/>
      <c r="Q5133" s="1207"/>
    </row>
    <row r="5134" spans="3:17" s="700" customFormat="1" ht="70.5" hidden="1" customHeight="1">
      <c r="C5134" s="701"/>
      <c r="D5134" s="811"/>
      <c r="E5134" s="1276">
        <f>[11]building!Y5465</f>
        <v>0</v>
      </c>
      <c r="F5134" s="748">
        <f t="shared" si="319"/>
        <v>0</v>
      </c>
      <c r="G5134" s="1205"/>
      <c r="H5134" s="1055"/>
      <c r="I5134" s="1055"/>
      <c r="J5134" s="1055"/>
      <c r="K5134" s="1205"/>
      <c r="L5134" s="1055"/>
      <c r="M5134" s="1205"/>
      <c r="N5134" s="1054"/>
      <c r="O5134" s="1207"/>
      <c r="Q5134" s="1207"/>
    </row>
    <row r="5135" spans="3:17" s="700" customFormat="1" ht="70.5" hidden="1" customHeight="1">
      <c r="C5135" s="701"/>
      <c r="D5135" s="811"/>
      <c r="E5135" s="1276">
        <f>[11]building!Y5466</f>
        <v>0</v>
      </c>
      <c r="F5135" s="748">
        <f t="shared" si="319"/>
        <v>0</v>
      </c>
      <c r="G5135" s="1205"/>
      <c r="H5135" s="1055"/>
      <c r="I5135" s="1055"/>
      <c r="J5135" s="1055"/>
      <c r="K5135" s="1205"/>
      <c r="L5135" s="1055"/>
      <c r="M5135" s="1205"/>
      <c r="N5135" s="1054"/>
      <c r="O5135" s="1207"/>
      <c r="Q5135" s="1207"/>
    </row>
    <row r="5136" spans="3:17" s="700" customFormat="1" ht="70.5" hidden="1" customHeight="1">
      <c r="C5136" s="701"/>
      <c r="D5136" s="811"/>
      <c r="E5136" s="1276">
        <f>[11]building!Y5467</f>
        <v>0</v>
      </c>
      <c r="F5136" s="748">
        <f t="shared" si="319"/>
        <v>0</v>
      </c>
      <c r="G5136" s="1205"/>
      <c r="H5136" s="1055"/>
      <c r="I5136" s="1055"/>
      <c r="J5136" s="1055"/>
      <c r="K5136" s="1205"/>
      <c r="L5136" s="1055"/>
      <c r="M5136" s="1205"/>
      <c r="N5136" s="1054"/>
      <c r="O5136" s="1207"/>
      <c r="Q5136" s="1207"/>
    </row>
    <row r="5137" spans="3:17" s="700" customFormat="1" ht="70.5" hidden="1" customHeight="1">
      <c r="C5137" s="701"/>
      <c r="D5137" s="811"/>
      <c r="E5137" s="1276">
        <f>[11]building!Y5468</f>
        <v>0</v>
      </c>
      <c r="F5137" s="748">
        <f t="shared" si="319"/>
        <v>0</v>
      </c>
      <c r="G5137" s="1205"/>
      <c r="H5137" s="1055"/>
      <c r="I5137" s="1055"/>
      <c r="J5137" s="1055"/>
      <c r="K5137" s="1205"/>
      <c r="L5137" s="1055"/>
      <c r="M5137" s="1205"/>
      <c r="N5137" s="1054"/>
      <c r="O5137" s="1207"/>
      <c r="Q5137" s="1207"/>
    </row>
    <row r="5138" spans="3:17" s="700" customFormat="1" ht="70.5" hidden="1" customHeight="1">
      <c r="C5138" s="701"/>
      <c r="D5138" s="811"/>
      <c r="E5138" s="1276">
        <f>[11]building!Y5469</f>
        <v>0</v>
      </c>
      <c r="F5138" s="748">
        <f t="shared" si="319"/>
        <v>0</v>
      </c>
      <c r="G5138" s="1205"/>
      <c r="H5138" s="1055"/>
      <c r="I5138" s="1055"/>
      <c r="J5138" s="1055"/>
      <c r="K5138" s="1205"/>
      <c r="L5138" s="1055"/>
      <c r="M5138" s="1205"/>
      <c r="N5138" s="1054"/>
      <c r="O5138" s="1207"/>
      <c r="Q5138" s="1207"/>
    </row>
    <row r="5139" spans="3:17" s="700" customFormat="1" ht="70.5" hidden="1" customHeight="1">
      <c r="C5139" s="701"/>
      <c r="D5139" s="811"/>
      <c r="E5139" s="1276">
        <f>[11]building!Y5470</f>
        <v>0</v>
      </c>
      <c r="F5139" s="748">
        <f t="shared" si="319"/>
        <v>0</v>
      </c>
      <c r="G5139" s="1205"/>
      <c r="H5139" s="1055"/>
      <c r="I5139" s="1055"/>
      <c r="J5139" s="1055"/>
      <c r="K5139" s="1205"/>
      <c r="L5139" s="1055"/>
      <c r="M5139" s="1205"/>
      <c r="N5139" s="1054"/>
      <c r="O5139" s="1207"/>
      <c r="Q5139" s="1207"/>
    </row>
    <row r="5140" spans="3:17" s="700" customFormat="1" ht="70.5" hidden="1" customHeight="1">
      <c r="C5140" s="701"/>
      <c r="D5140" s="811"/>
      <c r="E5140" s="1276">
        <f>[11]building!Y5471</f>
        <v>0</v>
      </c>
      <c r="F5140" s="748">
        <f t="shared" si="319"/>
        <v>0</v>
      </c>
      <c r="G5140" s="1205"/>
      <c r="H5140" s="1055"/>
      <c r="I5140" s="1055"/>
      <c r="J5140" s="1055"/>
      <c r="K5140" s="1205"/>
      <c r="L5140" s="1055"/>
      <c r="M5140" s="1205"/>
      <c r="N5140" s="1054"/>
      <c r="O5140" s="1207"/>
      <c r="Q5140" s="1207"/>
    </row>
    <row r="5141" spans="3:17" s="700" customFormat="1" ht="70.5" hidden="1" customHeight="1">
      <c r="C5141" s="701"/>
      <c r="D5141" s="811"/>
      <c r="E5141" s="1276">
        <f>[11]building!Y5472</f>
        <v>0</v>
      </c>
      <c r="F5141" s="748">
        <f t="shared" si="319"/>
        <v>0</v>
      </c>
      <c r="G5141" s="1205"/>
      <c r="H5141" s="1055"/>
      <c r="I5141" s="1055"/>
      <c r="J5141" s="1055"/>
      <c r="K5141" s="1205"/>
      <c r="L5141" s="1055"/>
      <c r="M5141" s="1205"/>
      <c r="N5141" s="1054"/>
      <c r="O5141" s="1207"/>
      <c r="Q5141" s="1207"/>
    </row>
    <row r="5142" spans="3:17" s="700" customFormat="1" ht="70.5" hidden="1" customHeight="1">
      <c r="C5142" s="701"/>
      <c r="D5142" s="811"/>
      <c r="E5142" s="1276">
        <f>[11]building!Y5473</f>
        <v>0</v>
      </c>
      <c r="F5142" s="748">
        <f t="shared" si="319"/>
        <v>0</v>
      </c>
      <c r="G5142" s="1205"/>
      <c r="H5142" s="1055"/>
      <c r="I5142" s="1055"/>
      <c r="J5142" s="1055"/>
      <c r="K5142" s="1205"/>
      <c r="L5142" s="1055"/>
      <c r="M5142" s="1205"/>
      <c r="N5142" s="1054"/>
      <c r="O5142" s="1207"/>
      <c r="Q5142" s="1207"/>
    </row>
    <row r="5143" spans="3:17" s="700" customFormat="1" ht="70.5" hidden="1" customHeight="1">
      <c r="C5143" s="701"/>
      <c r="D5143" s="811"/>
      <c r="E5143" s="1276">
        <f>[11]building!Y5474</f>
        <v>0</v>
      </c>
      <c r="F5143" s="748">
        <f t="shared" si="319"/>
        <v>0</v>
      </c>
      <c r="G5143" s="1205"/>
      <c r="H5143" s="1055"/>
      <c r="I5143" s="1055"/>
      <c r="J5143" s="1055"/>
      <c r="K5143" s="1205"/>
      <c r="L5143" s="1055"/>
      <c r="M5143" s="1205"/>
      <c r="N5143" s="1054"/>
      <c r="O5143" s="1207"/>
      <c r="Q5143" s="1207"/>
    </row>
    <row r="5144" spans="3:17" s="700" customFormat="1" ht="70.5" hidden="1" customHeight="1">
      <c r="C5144" s="701"/>
      <c r="D5144" s="811"/>
      <c r="E5144" s="1276">
        <f>[11]building!Y5475</f>
        <v>0</v>
      </c>
      <c r="F5144" s="748">
        <f t="shared" si="319"/>
        <v>0</v>
      </c>
      <c r="G5144" s="1205"/>
      <c r="H5144" s="1055"/>
      <c r="I5144" s="1055"/>
      <c r="J5144" s="1055"/>
      <c r="K5144" s="1205"/>
      <c r="L5144" s="1055"/>
      <c r="M5144" s="1205"/>
      <c r="N5144" s="1054"/>
      <c r="O5144" s="1207"/>
      <c r="Q5144" s="1207"/>
    </row>
    <row r="5145" spans="3:17" s="700" customFormat="1" ht="70.5" hidden="1" customHeight="1">
      <c r="C5145" s="701"/>
      <c r="D5145" s="811"/>
      <c r="E5145" s="1276">
        <f>[11]building!Y5476</f>
        <v>0</v>
      </c>
      <c r="F5145" s="748">
        <f t="shared" si="319"/>
        <v>0</v>
      </c>
      <c r="G5145" s="1205"/>
      <c r="H5145" s="1055"/>
      <c r="I5145" s="1055"/>
      <c r="J5145" s="1055"/>
      <c r="K5145" s="1205"/>
      <c r="L5145" s="1055"/>
      <c r="M5145" s="1205"/>
      <c r="N5145" s="1054"/>
      <c r="O5145" s="1207"/>
      <c r="Q5145" s="1207"/>
    </row>
    <row r="5146" spans="3:17" s="700" customFormat="1" ht="70.5" hidden="1" customHeight="1">
      <c r="C5146" s="701"/>
      <c r="D5146" s="811"/>
      <c r="E5146" s="1276">
        <f>[11]building!Y5477</f>
        <v>0</v>
      </c>
      <c r="F5146" s="748">
        <f t="shared" si="319"/>
        <v>0</v>
      </c>
      <c r="G5146" s="1205"/>
      <c r="H5146" s="1055"/>
      <c r="I5146" s="1055"/>
      <c r="J5146" s="1055"/>
      <c r="K5146" s="1205"/>
      <c r="L5146" s="1055"/>
      <c r="M5146" s="1205"/>
      <c r="N5146" s="1054"/>
      <c r="O5146" s="1207"/>
      <c r="Q5146" s="1207"/>
    </row>
    <row r="5147" spans="3:17" s="700" customFormat="1" ht="70.5" hidden="1" customHeight="1">
      <c r="C5147" s="701"/>
      <c r="D5147" s="811"/>
      <c r="E5147" s="1276">
        <f>[11]building!Y5478</f>
        <v>0</v>
      </c>
      <c r="F5147" s="748">
        <f t="shared" si="319"/>
        <v>0</v>
      </c>
      <c r="G5147" s="1205"/>
      <c r="H5147" s="1055"/>
      <c r="I5147" s="1055"/>
      <c r="J5147" s="1055"/>
      <c r="K5147" s="1205"/>
      <c r="L5147" s="1055"/>
      <c r="M5147" s="1205"/>
      <c r="N5147" s="1054"/>
      <c r="O5147" s="1207"/>
      <c r="Q5147" s="1207"/>
    </row>
    <row r="5148" spans="3:17" s="700" customFormat="1" ht="70.5" hidden="1" customHeight="1">
      <c r="C5148" s="701"/>
      <c r="D5148" s="811"/>
      <c r="E5148" s="1276">
        <f>[11]building!Y5479</f>
        <v>0</v>
      </c>
      <c r="F5148" s="748">
        <f t="shared" si="319"/>
        <v>0</v>
      </c>
      <c r="G5148" s="1205"/>
      <c r="H5148" s="1055"/>
      <c r="I5148" s="1055"/>
      <c r="J5148" s="1055"/>
      <c r="K5148" s="1205"/>
      <c r="L5148" s="1055"/>
      <c r="M5148" s="1205"/>
      <c r="N5148" s="1054"/>
      <c r="O5148" s="1207"/>
      <c r="Q5148" s="1207"/>
    </row>
    <row r="5149" spans="3:17" s="700" customFormat="1" ht="70.5" hidden="1" customHeight="1">
      <c r="C5149" s="701"/>
      <c r="D5149" s="811"/>
      <c r="E5149" s="1276">
        <f>[11]building!Y5480</f>
        <v>0</v>
      </c>
      <c r="F5149" s="748">
        <f t="shared" si="319"/>
        <v>0</v>
      </c>
      <c r="G5149" s="1205"/>
      <c r="H5149" s="1055"/>
      <c r="I5149" s="1055"/>
      <c r="J5149" s="1055"/>
      <c r="K5149" s="1205"/>
      <c r="L5149" s="1055"/>
      <c r="M5149" s="1205"/>
      <c r="N5149" s="1054"/>
      <c r="O5149" s="1207"/>
      <c r="Q5149" s="1207"/>
    </row>
    <row r="5150" spans="3:17" s="700" customFormat="1" ht="70.5" hidden="1" customHeight="1">
      <c r="C5150" s="701"/>
      <c r="D5150" s="811"/>
      <c r="E5150" s="1276">
        <f>[11]building!Y5481</f>
        <v>0</v>
      </c>
      <c r="F5150" s="748">
        <f t="shared" si="319"/>
        <v>0</v>
      </c>
      <c r="G5150" s="1205"/>
      <c r="H5150" s="1055"/>
      <c r="I5150" s="1055"/>
      <c r="J5150" s="1055"/>
      <c r="K5150" s="1205"/>
      <c r="L5150" s="1055"/>
      <c r="M5150" s="1205"/>
      <c r="N5150" s="1054"/>
      <c r="O5150" s="1207"/>
      <c r="Q5150" s="1207"/>
    </row>
    <row r="5151" spans="3:17" s="700" customFormat="1" ht="70.5" hidden="1" customHeight="1">
      <c r="C5151" s="701"/>
      <c r="D5151" s="811"/>
      <c r="E5151" s="1276">
        <f>[11]building!Y5482</f>
        <v>0</v>
      </c>
      <c r="F5151" s="748">
        <f t="shared" si="319"/>
        <v>0</v>
      </c>
      <c r="G5151" s="1205"/>
      <c r="H5151" s="1055"/>
      <c r="I5151" s="1055"/>
      <c r="J5151" s="1055"/>
      <c r="K5151" s="1205"/>
      <c r="L5151" s="1055"/>
      <c r="M5151" s="1205"/>
      <c r="N5151" s="1054"/>
      <c r="O5151" s="1207"/>
      <c r="Q5151" s="1207"/>
    </row>
    <row r="5152" spans="3:17" s="700" customFormat="1" ht="70.5" hidden="1" customHeight="1">
      <c r="C5152" s="701"/>
      <c r="D5152" s="811"/>
      <c r="E5152" s="1276">
        <f>[11]building!Y5483</f>
        <v>0</v>
      </c>
      <c r="F5152" s="748">
        <f t="shared" si="319"/>
        <v>0</v>
      </c>
      <c r="G5152" s="1205"/>
      <c r="H5152" s="1055"/>
      <c r="I5152" s="1055"/>
      <c r="J5152" s="1055"/>
      <c r="K5152" s="1205"/>
      <c r="L5152" s="1055"/>
      <c r="M5152" s="1205"/>
      <c r="N5152" s="1054"/>
      <c r="O5152" s="1207"/>
      <c r="Q5152" s="1207"/>
    </row>
    <row r="5153" spans="3:17" s="700" customFormat="1" ht="70.5" hidden="1" customHeight="1">
      <c r="C5153" s="701"/>
      <c r="D5153" s="811"/>
      <c r="E5153" s="1276">
        <f>[11]building!Y5484</f>
        <v>0</v>
      </c>
      <c r="F5153" s="748">
        <f t="shared" si="319"/>
        <v>0</v>
      </c>
      <c r="G5153" s="1205"/>
      <c r="H5153" s="1055"/>
      <c r="I5153" s="1055"/>
      <c r="J5153" s="1055"/>
      <c r="K5153" s="1205"/>
      <c r="L5153" s="1055"/>
      <c r="M5153" s="1205"/>
      <c r="N5153" s="1054"/>
      <c r="O5153" s="1207"/>
      <c r="Q5153" s="1207"/>
    </row>
    <row r="5154" spans="3:17" s="700" customFormat="1" ht="70.5" hidden="1" customHeight="1">
      <c r="C5154" s="701"/>
      <c r="D5154" s="811"/>
      <c r="E5154" s="1276">
        <f>[11]building!Y5485</f>
        <v>0</v>
      </c>
      <c r="F5154" s="748">
        <f t="shared" si="319"/>
        <v>0</v>
      </c>
      <c r="G5154" s="1205"/>
      <c r="H5154" s="1055"/>
      <c r="I5154" s="1055"/>
      <c r="J5154" s="1055"/>
      <c r="K5154" s="1205"/>
      <c r="L5154" s="1055"/>
      <c r="M5154" s="1205"/>
      <c r="N5154" s="1054"/>
      <c r="O5154" s="1207"/>
      <c r="Q5154" s="1207"/>
    </row>
    <row r="5155" spans="3:17" s="700" customFormat="1" ht="70.5" hidden="1" customHeight="1">
      <c r="C5155" s="701"/>
      <c r="D5155" s="811"/>
      <c r="E5155" s="1276">
        <f>[11]building!Y5486</f>
        <v>0</v>
      </c>
      <c r="F5155" s="748">
        <f t="shared" si="319"/>
        <v>0</v>
      </c>
      <c r="G5155" s="1205"/>
      <c r="H5155" s="1055"/>
      <c r="I5155" s="1055"/>
      <c r="J5155" s="1055"/>
      <c r="K5155" s="1205"/>
      <c r="L5155" s="1055"/>
      <c r="M5155" s="1205"/>
      <c r="N5155" s="1054"/>
      <c r="O5155" s="1207"/>
      <c r="Q5155" s="1207"/>
    </row>
    <row r="5156" spans="3:17" s="700" customFormat="1" ht="70.5" hidden="1" customHeight="1">
      <c r="C5156" s="701"/>
      <c r="D5156" s="811"/>
      <c r="E5156" s="1276">
        <f>[11]building!Y5487</f>
        <v>0</v>
      </c>
      <c r="F5156" s="748">
        <f t="shared" si="319"/>
        <v>0</v>
      </c>
      <c r="G5156" s="1205"/>
      <c r="H5156" s="1055"/>
      <c r="I5156" s="1055"/>
      <c r="J5156" s="1055"/>
      <c r="K5156" s="1205"/>
      <c r="L5156" s="1055"/>
      <c r="M5156" s="1205"/>
      <c r="N5156" s="1054"/>
      <c r="O5156" s="1207"/>
      <c r="Q5156" s="1207"/>
    </row>
    <row r="5157" spans="3:17" s="700" customFormat="1" ht="70.5" hidden="1" customHeight="1">
      <c r="C5157" s="701"/>
      <c r="D5157" s="811"/>
      <c r="E5157" s="1276">
        <f>[11]building!Y5488</f>
        <v>0</v>
      </c>
      <c r="F5157" s="748">
        <f t="shared" si="319"/>
        <v>0</v>
      </c>
      <c r="G5157" s="1205"/>
      <c r="H5157" s="1055"/>
      <c r="I5157" s="1055"/>
      <c r="J5157" s="1055"/>
      <c r="K5157" s="1205"/>
      <c r="L5157" s="1055"/>
      <c r="M5157" s="1205"/>
      <c r="N5157" s="1054"/>
      <c r="O5157" s="1207"/>
      <c r="Q5157" s="1207"/>
    </row>
    <row r="5158" spans="3:17" s="700" customFormat="1" ht="70.5" hidden="1" customHeight="1">
      <c r="C5158" s="701"/>
      <c r="D5158" s="811"/>
      <c r="E5158" s="1276">
        <f>[11]building!Y5489</f>
        <v>0</v>
      </c>
      <c r="F5158" s="748">
        <f t="shared" si="319"/>
        <v>0</v>
      </c>
      <c r="G5158" s="1205"/>
      <c r="H5158" s="1055"/>
      <c r="I5158" s="1055"/>
      <c r="J5158" s="1055"/>
      <c r="K5158" s="1205"/>
      <c r="L5158" s="1055"/>
      <c r="M5158" s="1205"/>
      <c r="N5158" s="1054"/>
      <c r="O5158" s="1207"/>
      <c r="Q5158" s="1207"/>
    </row>
    <row r="5159" spans="3:17" s="700" customFormat="1" ht="70.5" hidden="1" customHeight="1">
      <c r="C5159" s="701"/>
      <c r="D5159" s="811"/>
      <c r="E5159" s="1276">
        <f>[11]building!Y5490</f>
        <v>0</v>
      </c>
      <c r="F5159" s="748">
        <f t="shared" si="319"/>
        <v>0</v>
      </c>
      <c r="G5159" s="1205"/>
      <c r="H5159" s="1055"/>
      <c r="I5159" s="1055"/>
      <c r="J5159" s="1055"/>
      <c r="K5159" s="1205"/>
      <c r="L5159" s="1055"/>
      <c r="M5159" s="1205"/>
      <c r="N5159" s="1054"/>
      <c r="O5159" s="1207"/>
      <c r="Q5159" s="1207"/>
    </row>
    <row r="5160" spans="3:17" s="700" customFormat="1" ht="70.5" hidden="1" customHeight="1">
      <c r="C5160" s="701"/>
      <c r="D5160" s="811"/>
      <c r="E5160" s="1276">
        <f>[11]building!Y5491</f>
        <v>0</v>
      </c>
      <c r="F5160" s="748">
        <f t="shared" si="319"/>
        <v>0</v>
      </c>
      <c r="G5160" s="1205"/>
      <c r="H5160" s="1055"/>
      <c r="I5160" s="1055"/>
      <c r="J5160" s="1055"/>
      <c r="K5160" s="1205"/>
      <c r="L5160" s="1055"/>
      <c r="M5160" s="1205"/>
      <c r="N5160" s="1054"/>
      <c r="O5160" s="1207"/>
      <c r="Q5160" s="1207"/>
    </row>
    <row r="5161" spans="3:17" s="700" customFormat="1" ht="70.5" hidden="1" customHeight="1">
      <c r="C5161" s="701"/>
      <c r="D5161" s="811"/>
      <c r="E5161" s="1276">
        <f>[11]building!Y5492</f>
        <v>0</v>
      </c>
      <c r="F5161" s="748">
        <f t="shared" si="319"/>
        <v>0</v>
      </c>
      <c r="G5161" s="1205"/>
      <c r="H5161" s="1055"/>
      <c r="I5161" s="1055"/>
      <c r="J5161" s="1055"/>
      <c r="K5161" s="1205"/>
      <c r="L5161" s="1055"/>
      <c r="M5161" s="1205"/>
      <c r="N5161" s="1054"/>
      <c r="O5161" s="1207"/>
      <c r="Q5161" s="1207"/>
    </row>
    <row r="5162" spans="3:17" s="700" customFormat="1" ht="70.5" hidden="1" customHeight="1">
      <c r="C5162" s="701"/>
      <c r="D5162" s="811"/>
      <c r="E5162" s="1276">
        <f>[11]building!Y5493</f>
        <v>0</v>
      </c>
      <c r="F5162" s="748">
        <f t="shared" si="319"/>
        <v>0</v>
      </c>
      <c r="G5162" s="1205"/>
      <c r="H5162" s="1055"/>
      <c r="I5162" s="1055"/>
      <c r="J5162" s="1055"/>
      <c r="K5162" s="1205"/>
      <c r="L5162" s="1055"/>
      <c r="M5162" s="1205"/>
      <c r="N5162" s="1054"/>
      <c r="O5162" s="1207"/>
      <c r="Q5162" s="1207"/>
    </row>
    <row r="5163" spans="3:17" s="700" customFormat="1" ht="70.5" hidden="1" customHeight="1">
      <c r="C5163" s="701"/>
      <c r="D5163" s="811"/>
      <c r="E5163" s="1276">
        <f>[11]building!Y5494</f>
        <v>0</v>
      </c>
      <c r="F5163" s="748">
        <f t="shared" si="319"/>
        <v>0</v>
      </c>
      <c r="G5163" s="1205"/>
      <c r="H5163" s="1055"/>
      <c r="I5163" s="1055"/>
      <c r="J5163" s="1055"/>
      <c r="K5163" s="1205"/>
      <c r="L5163" s="1055"/>
      <c r="M5163" s="1205"/>
      <c r="N5163" s="1054"/>
      <c r="O5163" s="1207"/>
      <c r="Q5163" s="1207"/>
    </row>
    <row r="5164" spans="3:17" s="700" customFormat="1" ht="70.5" hidden="1" customHeight="1">
      <c r="C5164" s="701"/>
      <c r="D5164" s="811"/>
      <c r="E5164" s="1276">
        <f>[11]building!Y5495</f>
        <v>0</v>
      </c>
      <c r="F5164" s="748">
        <f t="shared" si="319"/>
        <v>0</v>
      </c>
      <c r="G5164" s="1205"/>
      <c r="H5164" s="1055"/>
      <c r="I5164" s="1055"/>
      <c r="J5164" s="1055"/>
      <c r="K5164" s="1205"/>
      <c r="L5164" s="1055"/>
      <c r="M5164" s="1205"/>
      <c r="N5164" s="1054"/>
      <c r="O5164" s="1207"/>
      <c r="Q5164" s="1207"/>
    </row>
    <row r="5165" spans="3:17" s="700" customFormat="1" ht="70.5" hidden="1" customHeight="1">
      <c r="C5165" s="701"/>
      <c r="D5165" s="811"/>
      <c r="E5165" s="1276">
        <f>[11]building!Y5496</f>
        <v>0</v>
      </c>
      <c r="F5165" s="748">
        <f t="shared" si="319"/>
        <v>0</v>
      </c>
      <c r="G5165" s="1205"/>
      <c r="H5165" s="1055"/>
      <c r="I5165" s="1055"/>
      <c r="J5165" s="1055"/>
      <c r="K5165" s="1205"/>
      <c r="L5165" s="1055"/>
      <c r="M5165" s="1205"/>
      <c r="N5165" s="1054"/>
      <c r="O5165" s="1207"/>
      <c r="Q5165" s="1207"/>
    </row>
    <row r="5166" spans="3:17" s="700" customFormat="1" ht="70.5" hidden="1" customHeight="1">
      <c r="C5166" s="701"/>
      <c r="D5166" s="811"/>
      <c r="E5166" s="1276">
        <f>[11]building!Y5497</f>
        <v>0</v>
      </c>
      <c r="F5166" s="748">
        <f t="shared" si="319"/>
        <v>0</v>
      </c>
      <c r="G5166" s="1205"/>
      <c r="H5166" s="1055"/>
      <c r="I5166" s="1055"/>
      <c r="J5166" s="1055"/>
      <c r="K5166" s="1205"/>
      <c r="L5166" s="1055"/>
      <c r="M5166" s="1205"/>
      <c r="N5166" s="1054"/>
      <c r="O5166" s="1207"/>
      <c r="Q5166" s="1207"/>
    </row>
    <row r="5167" spans="3:17" s="700" customFormat="1" ht="70.5" hidden="1" customHeight="1">
      <c r="C5167" s="701"/>
      <c r="D5167" s="811"/>
      <c r="E5167" s="1276">
        <f>[11]building!Y5498</f>
        <v>0</v>
      </c>
      <c r="F5167" s="748">
        <f t="shared" si="319"/>
        <v>0</v>
      </c>
      <c r="G5167" s="1205"/>
      <c r="H5167" s="1055"/>
      <c r="I5167" s="1055"/>
      <c r="J5167" s="1055"/>
      <c r="K5167" s="1205"/>
      <c r="L5167" s="1055"/>
      <c r="M5167" s="1205"/>
      <c r="N5167" s="1054"/>
      <c r="O5167" s="1207"/>
      <c r="Q5167" s="1207"/>
    </row>
    <row r="5168" spans="3:17" s="700" customFormat="1" ht="70.5" hidden="1" customHeight="1">
      <c r="C5168" s="701"/>
      <c r="D5168" s="811"/>
      <c r="E5168" s="1276">
        <f>[11]building!Y5499</f>
        <v>0</v>
      </c>
      <c r="F5168" s="748">
        <f t="shared" si="319"/>
        <v>0</v>
      </c>
      <c r="G5168" s="1205"/>
      <c r="H5168" s="1055"/>
      <c r="I5168" s="1055"/>
      <c r="J5168" s="1055"/>
      <c r="K5168" s="1205"/>
      <c r="L5168" s="1055"/>
      <c r="M5168" s="1205"/>
      <c r="N5168" s="1054"/>
      <c r="O5168" s="1207"/>
      <c r="Q5168" s="1207"/>
    </row>
    <row r="5169" spans="3:17" s="700" customFormat="1" ht="70.5" hidden="1" customHeight="1">
      <c r="C5169" s="701"/>
      <c r="D5169" s="811"/>
      <c r="E5169" s="1276">
        <f>[11]building!Y5500</f>
        <v>0</v>
      </c>
      <c r="F5169" s="748">
        <f t="shared" si="319"/>
        <v>0</v>
      </c>
      <c r="G5169" s="1205"/>
      <c r="H5169" s="1055"/>
      <c r="I5169" s="1055"/>
      <c r="J5169" s="1055"/>
      <c r="K5169" s="1205"/>
      <c r="L5169" s="1055"/>
      <c r="M5169" s="1205"/>
      <c r="N5169" s="1054"/>
      <c r="O5169" s="1207"/>
      <c r="Q5169" s="1207"/>
    </row>
    <row r="5170" spans="3:17" s="700" customFormat="1" ht="70.5" hidden="1" customHeight="1">
      <c r="C5170" s="701"/>
      <c r="D5170" s="811"/>
      <c r="E5170" s="1276">
        <f>[11]building!Y5501</f>
        <v>0</v>
      </c>
      <c r="F5170" s="748">
        <f t="shared" si="319"/>
        <v>0</v>
      </c>
      <c r="G5170" s="1205"/>
      <c r="H5170" s="1055"/>
      <c r="I5170" s="1055"/>
      <c r="J5170" s="1055"/>
      <c r="K5170" s="1205"/>
      <c r="L5170" s="1055"/>
      <c r="M5170" s="1205"/>
      <c r="N5170" s="1054"/>
      <c r="O5170" s="1207"/>
      <c r="Q5170" s="1207"/>
    </row>
    <row r="5171" spans="3:17" s="700" customFormat="1" ht="70.5" hidden="1" customHeight="1">
      <c r="C5171" s="701"/>
      <c r="D5171" s="811"/>
      <c r="E5171" s="1276">
        <f>[11]building!Y5502</f>
        <v>0</v>
      </c>
      <c r="F5171" s="748">
        <f t="shared" si="319"/>
        <v>0</v>
      </c>
      <c r="G5171" s="1205"/>
      <c r="H5171" s="1055"/>
      <c r="I5171" s="1055"/>
      <c r="J5171" s="1055"/>
      <c r="K5171" s="1205"/>
      <c r="L5171" s="1055"/>
      <c r="M5171" s="1205"/>
      <c r="N5171" s="1054"/>
      <c r="O5171" s="1207"/>
      <c r="Q5171" s="1207"/>
    </row>
    <row r="5172" spans="3:17" s="700" customFormat="1" ht="70.5" hidden="1" customHeight="1">
      <c r="C5172" s="701"/>
      <c r="D5172" s="811"/>
      <c r="E5172" s="1276">
        <f>[11]building!Y5503</f>
        <v>0</v>
      </c>
      <c r="F5172" s="748">
        <f t="shared" si="319"/>
        <v>0</v>
      </c>
      <c r="G5172" s="1205"/>
      <c r="H5172" s="1055"/>
      <c r="I5172" s="1055"/>
      <c r="J5172" s="1055"/>
      <c r="K5172" s="1205"/>
      <c r="L5172" s="1055"/>
      <c r="M5172" s="1205"/>
      <c r="N5172" s="1054"/>
      <c r="O5172" s="1207"/>
      <c r="Q5172" s="1207"/>
    </row>
    <row r="5173" spans="3:17" s="700" customFormat="1" ht="70.5" hidden="1" customHeight="1">
      <c r="C5173" s="701"/>
      <c r="D5173" s="811"/>
      <c r="E5173" s="1276">
        <f>[11]building!Y5504</f>
        <v>0</v>
      </c>
      <c r="F5173" s="748">
        <f t="shared" si="319"/>
        <v>0</v>
      </c>
      <c r="G5173" s="1205"/>
      <c r="H5173" s="1055"/>
      <c r="I5173" s="1055"/>
      <c r="J5173" s="1055"/>
      <c r="K5173" s="1205"/>
      <c r="L5173" s="1055"/>
      <c r="M5173" s="1205"/>
      <c r="N5173" s="1054"/>
      <c r="O5173" s="1207"/>
      <c r="Q5173" s="1207"/>
    </row>
    <row r="5174" spans="3:17" s="700" customFormat="1" ht="70.5" hidden="1" customHeight="1">
      <c r="C5174" s="701"/>
      <c r="D5174" s="811"/>
      <c r="E5174" s="1276">
        <f>[11]building!Y5505</f>
        <v>0</v>
      </c>
      <c r="F5174" s="748">
        <f t="shared" si="319"/>
        <v>0</v>
      </c>
      <c r="G5174" s="1205"/>
      <c r="H5174" s="1055"/>
      <c r="I5174" s="1055"/>
      <c r="J5174" s="1055"/>
      <c r="K5174" s="1205"/>
      <c r="L5174" s="1055"/>
      <c r="M5174" s="1205"/>
      <c r="N5174" s="1054"/>
      <c r="O5174" s="1207"/>
      <c r="Q5174" s="1207"/>
    </row>
    <row r="5175" spans="3:17" s="700" customFormat="1" ht="70.5" hidden="1" customHeight="1">
      <c r="C5175" s="701"/>
      <c r="D5175" s="811"/>
      <c r="E5175" s="1276">
        <f>[11]building!Y5506</f>
        <v>0</v>
      </c>
      <c r="F5175" s="748">
        <f t="shared" si="319"/>
        <v>0</v>
      </c>
      <c r="G5175" s="1205"/>
      <c r="H5175" s="1055"/>
      <c r="I5175" s="1055"/>
      <c r="J5175" s="1055"/>
      <c r="K5175" s="1205"/>
      <c r="L5175" s="1055"/>
      <c r="M5175" s="1205"/>
      <c r="N5175" s="1054"/>
      <c r="O5175" s="1207"/>
      <c r="Q5175" s="1207"/>
    </row>
    <row r="5176" spans="3:17" s="700" customFormat="1" ht="70.5" hidden="1" customHeight="1">
      <c r="C5176" s="701"/>
      <c r="D5176" s="811"/>
      <c r="E5176" s="1276">
        <f>[11]building!Y5507</f>
        <v>0</v>
      </c>
      <c r="F5176" s="748">
        <f t="shared" si="319"/>
        <v>0</v>
      </c>
      <c r="G5176" s="1205"/>
      <c r="H5176" s="1055"/>
      <c r="I5176" s="1055"/>
      <c r="J5176" s="1055"/>
      <c r="K5176" s="1205"/>
      <c r="L5176" s="1055"/>
      <c r="M5176" s="1205"/>
      <c r="N5176" s="1054"/>
      <c r="O5176" s="1207"/>
      <c r="Q5176" s="1207"/>
    </row>
    <row r="5177" spans="3:17" s="700" customFormat="1" ht="70.5" hidden="1" customHeight="1">
      <c r="C5177" s="701"/>
      <c r="D5177" s="811"/>
      <c r="E5177" s="1276">
        <f>[11]building!Y5508</f>
        <v>0</v>
      </c>
      <c r="F5177" s="748">
        <f t="shared" si="319"/>
        <v>0</v>
      </c>
      <c r="G5177" s="1205"/>
      <c r="H5177" s="1055"/>
      <c r="I5177" s="1055"/>
      <c r="J5177" s="1055"/>
      <c r="K5177" s="1205"/>
      <c r="L5177" s="1055"/>
      <c r="M5177" s="1205"/>
      <c r="N5177" s="1054"/>
      <c r="O5177" s="1207"/>
      <c r="Q5177" s="1207"/>
    </row>
    <row r="5178" spans="3:17" s="700" customFormat="1" ht="70.5" hidden="1" customHeight="1">
      <c r="C5178" s="701"/>
      <c r="D5178" s="811"/>
      <c r="E5178" s="1276">
        <f>[11]building!Y5509</f>
        <v>0</v>
      </c>
      <c r="F5178" s="748">
        <f t="shared" si="319"/>
        <v>0</v>
      </c>
      <c r="G5178" s="1205"/>
      <c r="H5178" s="1055"/>
      <c r="I5178" s="1055"/>
      <c r="J5178" s="1055"/>
      <c r="K5178" s="1205"/>
      <c r="L5178" s="1055"/>
      <c r="M5178" s="1205"/>
      <c r="N5178" s="1054"/>
      <c r="O5178" s="1207"/>
      <c r="Q5178" s="1207"/>
    </row>
    <row r="5179" spans="3:17" s="700" customFormat="1" ht="70.5" hidden="1" customHeight="1">
      <c r="C5179" s="701"/>
      <c r="D5179" s="811"/>
      <c r="E5179" s="1276">
        <f>[11]building!Y5510</f>
        <v>0</v>
      </c>
      <c r="F5179" s="748">
        <f t="shared" si="319"/>
        <v>0</v>
      </c>
      <c r="G5179" s="1205"/>
      <c r="H5179" s="1055"/>
      <c r="I5179" s="1055"/>
      <c r="J5179" s="1055"/>
      <c r="K5179" s="1205"/>
      <c r="L5179" s="1055"/>
      <c r="M5179" s="1205"/>
      <c r="N5179" s="1054"/>
      <c r="O5179" s="1207"/>
      <c r="Q5179" s="1207"/>
    </row>
    <row r="5180" spans="3:17" s="700" customFormat="1" ht="70.5" hidden="1" customHeight="1">
      <c r="C5180" s="701"/>
      <c r="D5180" s="811"/>
      <c r="E5180" s="1276">
        <f>[11]building!Y5511</f>
        <v>0</v>
      </c>
      <c r="F5180" s="748">
        <f t="shared" si="319"/>
        <v>0</v>
      </c>
      <c r="G5180" s="1205"/>
      <c r="H5180" s="1055"/>
      <c r="I5180" s="1055"/>
      <c r="J5180" s="1055"/>
      <c r="K5180" s="1205"/>
      <c r="L5180" s="1055"/>
      <c r="M5180" s="1205"/>
      <c r="N5180" s="1054"/>
      <c r="O5180" s="1207"/>
      <c r="Q5180" s="1207"/>
    </row>
    <row r="5181" spans="3:17" s="700" customFormat="1" ht="70.5" hidden="1" customHeight="1">
      <c r="C5181" s="701"/>
      <c r="D5181" s="811"/>
      <c r="E5181" s="1276">
        <f>[11]building!Y5512</f>
        <v>0</v>
      </c>
      <c r="F5181" s="748">
        <f t="shared" si="319"/>
        <v>0</v>
      </c>
      <c r="G5181" s="1205"/>
      <c r="H5181" s="1055"/>
      <c r="I5181" s="1055"/>
      <c r="J5181" s="1055"/>
      <c r="K5181" s="1205"/>
      <c r="L5181" s="1055"/>
      <c r="M5181" s="1205"/>
      <c r="N5181" s="1054"/>
      <c r="O5181" s="1207"/>
      <c r="Q5181" s="1207"/>
    </row>
    <row r="5182" spans="3:17" s="700" customFormat="1" ht="70.5" hidden="1" customHeight="1">
      <c r="C5182" s="701"/>
      <c r="D5182" s="811"/>
      <c r="E5182" s="1276">
        <f>[11]building!Y5513</f>
        <v>0</v>
      </c>
      <c r="F5182" s="748">
        <f t="shared" si="319"/>
        <v>0</v>
      </c>
      <c r="G5182" s="1205"/>
      <c r="H5182" s="1055"/>
      <c r="I5182" s="1055"/>
      <c r="J5182" s="1055"/>
      <c r="K5182" s="1205"/>
      <c r="L5182" s="1055"/>
      <c r="M5182" s="1205"/>
      <c r="N5182" s="1054"/>
      <c r="O5182" s="1207"/>
      <c r="Q5182" s="1207"/>
    </row>
    <row r="5183" spans="3:17" s="700" customFormat="1" ht="70.5" hidden="1" customHeight="1">
      <c r="C5183" s="701"/>
      <c r="D5183" s="811"/>
      <c r="E5183" s="1276">
        <f>[11]building!Y5514</f>
        <v>0</v>
      </c>
      <c r="F5183" s="748">
        <f t="shared" si="319"/>
        <v>0</v>
      </c>
      <c r="G5183" s="1205"/>
      <c r="H5183" s="1055"/>
      <c r="I5183" s="1055"/>
      <c r="J5183" s="1055"/>
      <c r="K5183" s="1205"/>
      <c r="L5183" s="1055"/>
      <c r="M5183" s="1205"/>
      <c r="N5183" s="1054"/>
      <c r="O5183" s="1207"/>
      <c r="Q5183" s="1207"/>
    </row>
    <row r="5184" spans="3:17" s="700" customFormat="1" ht="70.5" hidden="1" customHeight="1">
      <c r="C5184" s="701"/>
      <c r="D5184" s="811"/>
      <c r="E5184" s="1276">
        <f>[11]building!Y5515</f>
        <v>0</v>
      </c>
      <c r="F5184" s="748">
        <f t="shared" ref="F5184:F5247" si="320">E5184*C5184</f>
        <v>0</v>
      </c>
      <c r="G5184" s="1205"/>
      <c r="H5184" s="1055"/>
      <c r="I5184" s="1055"/>
      <c r="J5184" s="1055"/>
      <c r="K5184" s="1205"/>
      <c r="L5184" s="1055"/>
      <c r="M5184" s="1205"/>
      <c r="N5184" s="1054"/>
      <c r="O5184" s="1207"/>
      <c r="Q5184" s="1207"/>
    </row>
    <row r="5185" spans="3:17" s="700" customFormat="1" ht="70.5" hidden="1" customHeight="1">
      <c r="C5185" s="701"/>
      <c r="D5185" s="811"/>
      <c r="E5185" s="1276">
        <f>[11]building!Y5516</f>
        <v>0</v>
      </c>
      <c r="F5185" s="748">
        <f t="shared" si="320"/>
        <v>0</v>
      </c>
      <c r="G5185" s="1205"/>
      <c r="H5185" s="1055"/>
      <c r="I5185" s="1055"/>
      <c r="J5185" s="1055"/>
      <c r="K5185" s="1205"/>
      <c r="L5185" s="1055"/>
      <c r="M5185" s="1205"/>
      <c r="N5185" s="1054"/>
      <c r="O5185" s="1207"/>
      <c r="Q5185" s="1207"/>
    </row>
    <row r="5186" spans="3:17" s="700" customFormat="1" ht="70.5" hidden="1" customHeight="1">
      <c r="C5186" s="701"/>
      <c r="D5186" s="811"/>
      <c r="E5186" s="1276">
        <f>[11]building!Y5517</f>
        <v>0</v>
      </c>
      <c r="F5186" s="748">
        <f t="shared" si="320"/>
        <v>0</v>
      </c>
      <c r="G5186" s="1205"/>
      <c r="H5186" s="1055"/>
      <c r="I5186" s="1055"/>
      <c r="J5186" s="1055"/>
      <c r="K5186" s="1205"/>
      <c r="L5186" s="1055"/>
      <c r="M5186" s="1205"/>
      <c r="N5186" s="1054"/>
      <c r="O5186" s="1207"/>
      <c r="Q5186" s="1207"/>
    </row>
    <row r="5187" spans="3:17" s="700" customFormat="1" ht="70.5" hidden="1" customHeight="1">
      <c r="C5187" s="701"/>
      <c r="D5187" s="811"/>
      <c r="E5187" s="1276">
        <f>[11]building!Y5518</f>
        <v>0</v>
      </c>
      <c r="F5187" s="748">
        <f t="shared" si="320"/>
        <v>0</v>
      </c>
      <c r="G5187" s="1205"/>
      <c r="H5187" s="1055"/>
      <c r="I5187" s="1055"/>
      <c r="J5187" s="1055"/>
      <c r="K5187" s="1205"/>
      <c r="L5187" s="1055"/>
      <c r="M5187" s="1205"/>
      <c r="N5187" s="1054"/>
      <c r="O5187" s="1207"/>
      <c r="Q5187" s="1207"/>
    </row>
    <row r="5188" spans="3:17" s="700" customFormat="1" ht="70.5" hidden="1" customHeight="1">
      <c r="C5188" s="701"/>
      <c r="D5188" s="811"/>
      <c r="E5188" s="1276">
        <f>[11]building!Y5519</f>
        <v>0</v>
      </c>
      <c r="F5188" s="748">
        <f t="shared" si="320"/>
        <v>0</v>
      </c>
      <c r="G5188" s="1205"/>
      <c r="H5188" s="1055"/>
      <c r="I5188" s="1055"/>
      <c r="J5188" s="1055"/>
      <c r="K5188" s="1205"/>
      <c r="L5188" s="1055"/>
      <c r="M5188" s="1205"/>
      <c r="N5188" s="1054"/>
      <c r="O5188" s="1207"/>
      <c r="Q5188" s="1207"/>
    </row>
    <row r="5189" spans="3:17" s="700" customFormat="1" ht="70.5" hidden="1" customHeight="1">
      <c r="C5189" s="701"/>
      <c r="D5189" s="811"/>
      <c r="E5189" s="1276">
        <f>[11]building!Y5520</f>
        <v>0</v>
      </c>
      <c r="F5189" s="748">
        <f t="shared" si="320"/>
        <v>0</v>
      </c>
      <c r="G5189" s="1205"/>
      <c r="H5189" s="1055"/>
      <c r="I5189" s="1055"/>
      <c r="J5189" s="1055"/>
      <c r="K5189" s="1205"/>
      <c r="L5189" s="1055"/>
      <c r="M5189" s="1205"/>
      <c r="N5189" s="1054"/>
      <c r="O5189" s="1207"/>
      <c r="Q5189" s="1207"/>
    </row>
    <row r="5190" spans="3:17" s="700" customFormat="1" ht="70.5" hidden="1" customHeight="1">
      <c r="C5190" s="701"/>
      <c r="D5190" s="811"/>
      <c r="E5190" s="1276">
        <f>[11]building!Y5521</f>
        <v>0</v>
      </c>
      <c r="F5190" s="748">
        <f t="shared" si="320"/>
        <v>0</v>
      </c>
      <c r="G5190" s="1205"/>
      <c r="H5190" s="1055"/>
      <c r="I5190" s="1055"/>
      <c r="J5190" s="1055"/>
      <c r="K5190" s="1205"/>
      <c r="L5190" s="1055"/>
      <c r="M5190" s="1205"/>
      <c r="N5190" s="1054"/>
      <c r="O5190" s="1207"/>
      <c r="Q5190" s="1207"/>
    </row>
    <row r="5191" spans="3:17" s="700" customFormat="1" ht="70.5" hidden="1" customHeight="1">
      <c r="C5191" s="701"/>
      <c r="D5191" s="811"/>
      <c r="E5191" s="1276">
        <f>[11]building!Y5522</f>
        <v>0</v>
      </c>
      <c r="F5191" s="748">
        <f t="shared" si="320"/>
        <v>0</v>
      </c>
      <c r="G5191" s="1205"/>
      <c r="H5191" s="1055"/>
      <c r="I5191" s="1055"/>
      <c r="J5191" s="1055"/>
      <c r="K5191" s="1205"/>
      <c r="L5191" s="1055"/>
      <c r="M5191" s="1205"/>
      <c r="N5191" s="1054"/>
      <c r="O5191" s="1207"/>
      <c r="Q5191" s="1207"/>
    </row>
    <row r="5192" spans="3:17" s="700" customFormat="1" ht="70.5" hidden="1" customHeight="1">
      <c r="C5192" s="701"/>
      <c r="D5192" s="811"/>
      <c r="E5192" s="1276">
        <f>[11]building!Y5523</f>
        <v>0</v>
      </c>
      <c r="F5192" s="748">
        <f t="shared" si="320"/>
        <v>0</v>
      </c>
      <c r="G5192" s="1205"/>
      <c r="H5192" s="1055"/>
      <c r="I5192" s="1055"/>
      <c r="J5192" s="1055"/>
      <c r="K5192" s="1205"/>
      <c r="L5192" s="1055"/>
      <c r="M5192" s="1205"/>
      <c r="N5192" s="1054"/>
      <c r="O5192" s="1207"/>
      <c r="Q5192" s="1207"/>
    </row>
    <row r="5193" spans="3:17" s="700" customFormat="1" ht="70.5" hidden="1" customHeight="1">
      <c r="C5193" s="701"/>
      <c r="D5193" s="811"/>
      <c r="E5193" s="1276">
        <f>[11]building!Y5524</f>
        <v>0</v>
      </c>
      <c r="F5193" s="748">
        <f t="shared" si="320"/>
        <v>0</v>
      </c>
      <c r="G5193" s="1205"/>
      <c r="H5193" s="1055"/>
      <c r="I5193" s="1055"/>
      <c r="J5193" s="1055"/>
      <c r="K5193" s="1205"/>
      <c r="L5193" s="1055"/>
      <c r="M5193" s="1205"/>
      <c r="N5193" s="1054"/>
      <c r="O5193" s="1207"/>
      <c r="Q5193" s="1207"/>
    </row>
    <row r="5194" spans="3:17" s="700" customFormat="1" ht="70.5" hidden="1" customHeight="1">
      <c r="C5194" s="701"/>
      <c r="D5194" s="811"/>
      <c r="E5194" s="1276">
        <f>[11]building!Y5525</f>
        <v>0</v>
      </c>
      <c r="F5194" s="748">
        <f t="shared" si="320"/>
        <v>0</v>
      </c>
      <c r="G5194" s="1205"/>
      <c r="H5194" s="1055"/>
      <c r="I5194" s="1055"/>
      <c r="J5194" s="1055"/>
      <c r="K5194" s="1205"/>
      <c r="L5194" s="1055"/>
      <c r="M5194" s="1205"/>
      <c r="N5194" s="1054"/>
      <c r="O5194" s="1207"/>
      <c r="Q5194" s="1207"/>
    </row>
    <row r="5195" spans="3:17" s="700" customFormat="1" ht="70.5" hidden="1" customHeight="1">
      <c r="C5195" s="701"/>
      <c r="D5195" s="811"/>
      <c r="E5195" s="1276">
        <f>[11]building!Y5526</f>
        <v>0</v>
      </c>
      <c r="F5195" s="748">
        <f t="shared" si="320"/>
        <v>0</v>
      </c>
      <c r="G5195" s="1205"/>
      <c r="H5195" s="1055"/>
      <c r="I5195" s="1055"/>
      <c r="J5195" s="1055"/>
      <c r="K5195" s="1205"/>
      <c r="L5195" s="1055"/>
      <c r="M5195" s="1205"/>
      <c r="N5195" s="1054"/>
      <c r="O5195" s="1207"/>
      <c r="Q5195" s="1207"/>
    </row>
    <row r="5196" spans="3:17" s="700" customFormat="1" ht="70.5" hidden="1" customHeight="1">
      <c r="C5196" s="701"/>
      <c r="D5196" s="811"/>
      <c r="E5196" s="1276">
        <f>[11]building!Y5527</f>
        <v>0</v>
      </c>
      <c r="F5196" s="748">
        <f t="shared" si="320"/>
        <v>0</v>
      </c>
      <c r="G5196" s="1205"/>
      <c r="H5196" s="1055"/>
      <c r="I5196" s="1055"/>
      <c r="J5196" s="1055"/>
      <c r="K5196" s="1205"/>
      <c r="L5196" s="1055"/>
      <c r="M5196" s="1205"/>
      <c r="N5196" s="1054"/>
      <c r="O5196" s="1207"/>
      <c r="Q5196" s="1207"/>
    </row>
    <row r="5197" spans="3:17" s="700" customFormat="1" ht="70.5" hidden="1" customHeight="1">
      <c r="C5197" s="701"/>
      <c r="D5197" s="811"/>
      <c r="E5197" s="1276">
        <f>[11]building!Y5528</f>
        <v>0</v>
      </c>
      <c r="F5197" s="748">
        <f t="shared" si="320"/>
        <v>0</v>
      </c>
      <c r="G5197" s="1205"/>
      <c r="H5197" s="1055"/>
      <c r="I5197" s="1055"/>
      <c r="J5197" s="1055"/>
      <c r="K5197" s="1205"/>
      <c r="L5197" s="1055"/>
      <c r="M5197" s="1205"/>
      <c r="N5197" s="1054"/>
      <c r="O5197" s="1207"/>
      <c r="Q5197" s="1207"/>
    </row>
    <row r="5198" spans="3:17" s="700" customFormat="1" ht="70.5" hidden="1" customHeight="1">
      <c r="C5198" s="701"/>
      <c r="D5198" s="811"/>
      <c r="E5198" s="1276">
        <f>[11]building!Y5529</f>
        <v>0</v>
      </c>
      <c r="F5198" s="748">
        <f t="shared" si="320"/>
        <v>0</v>
      </c>
      <c r="G5198" s="1205"/>
      <c r="H5198" s="1055"/>
      <c r="I5198" s="1055"/>
      <c r="J5198" s="1055"/>
      <c r="K5198" s="1205"/>
      <c r="L5198" s="1055"/>
      <c r="M5198" s="1205"/>
      <c r="N5198" s="1054"/>
      <c r="O5198" s="1207"/>
      <c r="Q5198" s="1207"/>
    </row>
    <row r="5199" spans="3:17" s="700" customFormat="1" ht="70.5" hidden="1" customHeight="1">
      <c r="C5199" s="701"/>
      <c r="D5199" s="811"/>
      <c r="E5199" s="1276">
        <f>[11]building!Y5530</f>
        <v>0</v>
      </c>
      <c r="F5199" s="748">
        <f t="shared" si="320"/>
        <v>0</v>
      </c>
      <c r="G5199" s="1205"/>
      <c r="H5199" s="1055"/>
      <c r="I5199" s="1055"/>
      <c r="J5199" s="1055"/>
      <c r="K5199" s="1205"/>
      <c r="L5199" s="1055"/>
      <c r="M5199" s="1205"/>
      <c r="N5199" s="1054"/>
      <c r="O5199" s="1207"/>
      <c r="Q5199" s="1207"/>
    </row>
    <row r="5200" spans="3:17" s="700" customFormat="1" ht="70.5" hidden="1" customHeight="1">
      <c r="C5200" s="701"/>
      <c r="D5200" s="811"/>
      <c r="E5200" s="1276">
        <f>[11]building!Y5531</f>
        <v>0</v>
      </c>
      <c r="F5200" s="748">
        <f t="shared" si="320"/>
        <v>0</v>
      </c>
      <c r="G5200" s="1205"/>
      <c r="H5200" s="1055"/>
      <c r="I5200" s="1055"/>
      <c r="J5200" s="1055"/>
      <c r="K5200" s="1205"/>
      <c r="L5200" s="1055"/>
      <c r="M5200" s="1205"/>
      <c r="N5200" s="1054"/>
      <c r="O5200" s="1207"/>
      <c r="Q5200" s="1207"/>
    </row>
    <row r="5201" spans="3:17" s="700" customFormat="1" ht="70.5" hidden="1" customHeight="1">
      <c r="C5201" s="701"/>
      <c r="D5201" s="811"/>
      <c r="E5201" s="1276">
        <f>[11]building!Y5532</f>
        <v>0</v>
      </c>
      <c r="F5201" s="748">
        <f t="shared" si="320"/>
        <v>0</v>
      </c>
      <c r="G5201" s="1205"/>
      <c r="H5201" s="1055"/>
      <c r="I5201" s="1055"/>
      <c r="J5201" s="1055"/>
      <c r="K5201" s="1205"/>
      <c r="L5201" s="1055"/>
      <c r="M5201" s="1205"/>
      <c r="N5201" s="1054"/>
      <c r="O5201" s="1207"/>
      <c r="Q5201" s="1207"/>
    </row>
    <row r="5202" spans="3:17" s="700" customFormat="1" ht="70.5" hidden="1" customHeight="1">
      <c r="C5202" s="701"/>
      <c r="D5202" s="811"/>
      <c r="E5202" s="1276">
        <f>[11]building!Y5533</f>
        <v>0</v>
      </c>
      <c r="F5202" s="748">
        <f t="shared" si="320"/>
        <v>0</v>
      </c>
      <c r="G5202" s="1205"/>
      <c r="H5202" s="1055"/>
      <c r="I5202" s="1055"/>
      <c r="J5202" s="1055"/>
      <c r="K5202" s="1205"/>
      <c r="L5202" s="1055"/>
      <c r="M5202" s="1205"/>
      <c r="N5202" s="1054"/>
      <c r="O5202" s="1207"/>
      <c r="Q5202" s="1207"/>
    </row>
    <row r="5203" spans="3:17" s="700" customFormat="1" ht="70.5" hidden="1" customHeight="1">
      <c r="C5203" s="701"/>
      <c r="D5203" s="811"/>
      <c r="E5203" s="1276">
        <f>[11]building!Y5534</f>
        <v>0</v>
      </c>
      <c r="F5203" s="748">
        <f t="shared" si="320"/>
        <v>0</v>
      </c>
      <c r="G5203" s="1205"/>
      <c r="H5203" s="1055"/>
      <c r="I5203" s="1055"/>
      <c r="J5203" s="1055"/>
      <c r="K5203" s="1205"/>
      <c r="L5203" s="1055"/>
      <c r="M5203" s="1205"/>
      <c r="N5203" s="1054"/>
      <c r="O5203" s="1207"/>
      <c r="Q5203" s="1207"/>
    </row>
    <row r="5204" spans="3:17" s="700" customFormat="1" ht="70.5" hidden="1" customHeight="1">
      <c r="C5204" s="701"/>
      <c r="D5204" s="811"/>
      <c r="E5204" s="1276">
        <f>[11]building!Y5535</f>
        <v>0</v>
      </c>
      <c r="F5204" s="748">
        <f t="shared" si="320"/>
        <v>0</v>
      </c>
      <c r="G5204" s="1205"/>
      <c r="H5204" s="1055"/>
      <c r="I5204" s="1055"/>
      <c r="J5204" s="1055"/>
      <c r="K5204" s="1205"/>
      <c r="L5204" s="1055"/>
      <c r="M5204" s="1205"/>
      <c r="N5204" s="1054"/>
      <c r="O5204" s="1207"/>
      <c r="Q5204" s="1207"/>
    </row>
    <row r="5205" spans="3:17" s="700" customFormat="1" ht="70.5" hidden="1" customHeight="1">
      <c r="C5205" s="701"/>
      <c r="D5205" s="811"/>
      <c r="E5205" s="1276">
        <f>[11]building!Y5536</f>
        <v>0</v>
      </c>
      <c r="F5205" s="748">
        <f t="shared" si="320"/>
        <v>0</v>
      </c>
      <c r="G5205" s="1205"/>
      <c r="H5205" s="1055"/>
      <c r="I5205" s="1055"/>
      <c r="J5205" s="1055"/>
      <c r="K5205" s="1205"/>
      <c r="L5205" s="1055"/>
      <c r="M5205" s="1205"/>
      <c r="N5205" s="1054"/>
      <c r="O5205" s="1207"/>
      <c r="Q5205" s="1207"/>
    </row>
    <row r="5206" spans="3:17" s="700" customFormat="1" ht="70.5" hidden="1" customHeight="1">
      <c r="C5206" s="701"/>
      <c r="D5206" s="811"/>
      <c r="E5206" s="1276">
        <f>[11]building!Y5537</f>
        <v>0</v>
      </c>
      <c r="F5206" s="748">
        <f t="shared" si="320"/>
        <v>0</v>
      </c>
      <c r="G5206" s="1205"/>
      <c r="H5206" s="1055"/>
      <c r="I5206" s="1055"/>
      <c r="J5206" s="1055"/>
      <c r="K5206" s="1205"/>
      <c r="L5206" s="1055"/>
      <c r="M5206" s="1205"/>
      <c r="N5206" s="1054"/>
      <c r="O5206" s="1207"/>
      <c r="Q5206" s="1207"/>
    </row>
    <row r="5207" spans="3:17" s="700" customFormat="1" ht="70.5" hidden="1" customHeight="1">
      <c r="C5207" s="701"/>
      <c r="D5207" s="811"/>
      <c r="E5207" s="1276">
        <f>[11]building!Y5538</f>
        <v>0</v>
      </c>
      <c r="F5207" s="748">
        <f t="shared" si="320"/>
        <v>0</v>
      </c>
      <c r="G5207" s="1205"/>
      <c r="H5207" s="1055"/>
      <c r="I5207" s="1055"/>
      <c r="J5207" s="1055"/>
      <c r="K5207" s="1205"/>
      <c r="L5207" s="1055"/>
      <c r="M5207" s="1205"/>
      <c r="N5207" s="1054"/>
      <c r="O5207" s="1207"/>
      <c r="Q5207" s="1207"/>
    </row>
    <row r="5208" spans="3:17" s="700" customFormat="1" ht="70.5" hidden="1" customHeight="1">
      <c r="C5208" s="701"/>
      <c r="D5208" s="811"/>
      <c r="E5208" s="1276">
        <f>[11]building!Y5539</f>
        <v>0</v>
      </c>
      <c r="F5208" s="748">
        <f t="shared" si="320"/>
        <v>0</v>
      </c>
      <c r="G5208" s="1205"/>
      <c r="H5208" s="1055"/>
      <c r="I5208" s="1055"/>
      <c r="J5208" s="1055"/>
      <c r="K5208" s="1205"/>
      <c r="L5208" s="1055"/>
      <c r="M5208" s="1205"/>
      <c r="N5208" s="1054"/>
      <c r="O5208" s="1207"/>
      <c r="Q5208" s="1207"/>
    </row>
    <row r="5209" spans="3:17" s="700" customFormat="1" ht="70.5" hidden="1" customHeight="1">
      <c r="C5209" s="701"/>
      <c r="D5209" s="811"/>
      <c r="E5209" s="1276">
        <f>[11]building!Y5540</f>
        <v>0</v>
      </c>
      <c r="F5209" s="748">
        <f t="shared" si="320"/>
        <v>0</v>
      </c>
      <c r="G5209" s="1205"/>
      <c r="H5209" s="1055"/>
      <c r="I5209" s="1055"/>
      <c r="J5209" s="1055"/>
      <c r="K5209" s="1205"/>
      <c r="L5209" s="1055"/>
      <c r="M5209" s="1205"/>
      <c r="N5209" s="1054"/>
      <c r="O5209" s="1207"/>
      <c r="Q5209" s="1207"/>
    </row>
    <row r="5210" spans="3:17" s="700" customFormat="1" ht="70.5" hidden="1" customHeight="1">
      <c r="C5210" s="701"/>
      <c r="D5210" s="811"/>
      <c r="E5210" s="1276">
        <f>[11]building!Y5541</f>
        <v>0</v>
      </c>
      <c r="F5210" s="748">
        <f t="shared" si="320"/>
        <v>0</v>
      </c>
      <c r="G5210" s="1205"/>
      <c r="H5210" s="1055"/>
      <c r="I5210" s="1055"/>
      <c r="J5210" s="1055"/>
      <c r="K5210" s="1205"/>
      <c r="L5210" s="1055"/>
      <c r="M5210" s="1205"/>
      <c r="N5210" s="1054"/>
      <c r="O5210" s="1207"/>
      <c r="Q5210" s="1207"/>
    </row>
    <row r="5211" spans="3:17" s="700" customFormat="1" ht="70.5" hidden="1" customHeight="1">
      <c r="C5211" s="701"/>
      <c r="D5211" s="811"/>
      <c r="E5211" s="1276">
        <f>[11]building!Y5542</f>
        <v>0</v>
      </c>
      <c r="F5211" s="748">
        <f t="shared" si="320"/>
        <v>0</v>
      </c>
      <c r="G5211" s="1205"/>
      <c r="H5211" s="1055"/>
      <c r="I5211" s="1055"/>
      <c r="J5211" s="1055"/>
      <c r="K5211" s="1205"/>
      <c r="L5211" s="1055"/>
      <c r="M5211" s="1205"/>
      <c r="N5211" s="1054"/>
      <c r="O5211" s="1207"/>
      <c r="Q5211" s="1207"/>
    </row>
    <row r="5212" spans="3:17" s="700" customFormat="1" ht="70.5" hidden="1" customHeight="1">
      <c r="C5212" s="701"/>
      <c r="D5212" s="811"/>
      <c r="E5212" s="1276">
        <f>[11]building!Y5543</f>
        <v>0</v>
      </c>
      <c r="F5212" s="748">
        <f t="shared" si="320"/>
        <v>0</v>
      </c>
      <c r="G5212" s="1205"/>
      <c r="H5212" s="1055"/>
      <c r="I5212" s="1055"/>
      <c r="J5212" s="1055"/>
      <c r="K5212" s="1205"/>
      <c r="L5212" s="1055"/>
      <c r="M5212" s="1205"/>
      <c r="N5212" s="1054"/>
      <c r="O5212" s="1207"/>
      <c r="Q5212" s="1207"/>
    </row>
    <row r="5213" spans="3:17" s="700" customFormat="1" ht="70.5" hidden="1" customHeight="1">
      <c r="C5213" s="701"/>
      <c r="D5213" s="811"/>
      <c r="E5213" s="1276">
        <f>[11]building!Y5544</f>
        <v>0</v>
      </c>
      <c r="F5213" s="748">
        <f t="shared" si="320"/>
        <v>0</v>
      </c>
      <c r="G5213" s="1205"/>
      <c r="H5213" s="1055"/>
      <c r="I5213" s="1055"/>
      <c r="J5213" s="1055"/>
      <c r="K5213" s="1205"/>
      <c r="L5213" s="1055"/>
      <c r="M5213" s="1205"/>
      <c r="N5213" s="1054"/>
      <c r="O5213" s="1207"/>
      <c r="Q5213" s="1207"/>
    </row>
    <row r="5214" spans="3:17" s="700" customFormat="1" ht="70.5" hidden="1" customHeight="1">
      <c r="C5214" s="701"/>
      <c r="D5214" s="811"/>
      <c r="E5214" s="1276">
        <f>[11]building!Y5545</f>
        <v>0</v>
      </c>
      <c r="F5214" s="748">
        <f t="shared" si="320"/>
        <v>0</v>
      </c>
      <c r="G5214" s="1205"/>
      <c r="H5214" s="1055"/>
      <c r="I5214" s="1055"/>
      <c r="J5214" s="1055"/>
      <c r="K5214" s="1205"/>
      <c r="L5214" s="1055"/>
      <c r="M5214" s="1205"/>
      <c r="N5214" s="1054"/>
      <c r="O5214" s="1207"/>
      <c r="Q5214" s="1207"/>
    </row>
    <row r="5215" spans="3:17" s="700" customFormat="1" ht="70.5" hidden="1" customHeight="1">
      <c r="C5215" s="701"/>
      <c r="D5215" s="811"/>
      <c r="E5215" s="1276">
        <f>[11]building!Y5546</f>
        <v>0</v>
      </c>
      <c r="F5215" s="748">
        <f t="shared" si="320"/>
        <v>0</v>
      </c>
      <c r="G5215" s="1205"/>
      <c r="H5215" s="1055"/>
      <c r="I5215" s="1055"/>
      <c r="J5215" s="1055"/>
      <c r="K5215" s="1205"/>
      <c r="L5215" s="1055"/>
      <c r="M5215" s="1205"/>
      <c r="N5215" s="1054"/>
      <c r="O5215" s="1207"/>
      <c r="Q5215" s="1207"/>
    </row>
    <row r="5216" spans="3:17" s="700" customFormat="1" ht="70.5" hidden="1" customHeight="1">
      <c r="C5216" s="701"/>
      <c r="D5216" s="811"/>
      <c r="E5216" s="1276">
        <f>[11]building!Y5547</f>
        <v>0</v>
      </c>
      <c r="F5216" s="748">
        <f t="shared" si="320"/>
        <v>0</v>
      </c>
      <c r="G5216" s="1205"/>
      <c r="H5216" s="1055"/>
      <c r="I5216" s="1055"/>
      <c r="J5216" s="1055"/>
      <c r="K5216" s="1205"/>
      <c r="L5216" s="1055"/>
      <c r="M5216" s="1205"/>
      <c r="N5216" s="1054"/>
      <c r="O5216" s="1207"/>
      <c r="Q5216" s="1207"/>
    </row>
    <row r="5217" spans="3:17" s="700" customFormat="1" ht="70.5" hidden="1" customHeight="1">
      <c r="C5217" s="701"/>
      <c r="D5217" s="811"/>
      <c r="E5217" s="1276">
        <f>[11]building!Y5548</f>
        <v>0</v>
      </c>
      <c r="F5217" s="748">
        <f t="shared" si="320"/>
        <v>0</v>
      </c>
      <c r="G5217" s="1205"/>
      <c r="H5217" s="1055"/>
      <c r="I5217" s="1055"/>
      <c r="J5217" s="1055"/>
      <c r="K5217" s="1205"/>
      <c r="L5217" s="1055"/>
      <c r="M5217" s="1205"/>
      <c r="N5217" s="1054"/>
      <c r="O5217" s="1207"/>
      <c r="Q5217" s="1207"/>
    </row>
    <row r="5218" spans="3:17" s="700" customFormat="1" ht="70.5" hidden="1" customHeight="1">
      <c r="C5218" s="701"/>
      <c r="D5218" s="811"/>
      <c r="E5218" s="1276">
        <f>[11]building!Y5549</f>
        <v>0</v>
      </c>
      <c r="F5218" s="748">
        <f t="shared" si="320"/>
        <v>0</v>
      </c>
      <c r="G5218" s="1205"/>
      <c r="H5218" s="1055"/>
      <c r="I5218" s="1055"/>
      <c r="J5218" s="1055"/>
      <c r="K5218" s="1205"/>
      <c r="L5218" s="1055"/>
      <c r="M5218" s="1205"/>
      <c r="N5218" s="1054"/>
      <c r="O5218" s="1207"/>
      <c r="Q5218" s="1207"/>
    </row>
    <row r="5219" spans="3:17" s="700" customFormat="1" ht="70.5" hidden="1" customHeight="1">
      <c r="C5219" s="701"/>
      <c r="D5219" s="811"/>
      <c r="E5219" s="1276">
        <f>[11]building!Y5550</f>
        <v>0</v>
      </c>
      <c r="F5219" s="748">
        <f t="shared" si="320"/>
        <v>0</v>
      </c>
      <c r="G5219" s="1205"/>
      <c r="H5219" s="1055"/>
      <c r="I5219" s="1055"/>
      <c r="J5219" s="1055"/>
      <c r="K5219" s="1205"/>
      <c r="L5219" s="1055"/>
      <c r="M5219" s="1205"/>
      <c r="N5219" s="1054"/>
      <c r="O5219" s="1207"/>
      <c r="Q5219" s="1207"/>
    </row>
    <row r="5220" spans="3:17" s="700" customFormat="1" ht="70.5" hidden="1" customHeight="1">
      <c r="C5220" s="701"/>
      <c r="D5220" s="811"/>
      <c r="E5220" s="1276">
        <f>[11]building!Y5551</f>
        <v>0</v>
      </c>
      <c r="F5220" s="748">
        <f t="shared" si="320"/>
        <v>0</v>
      </c>
      <c r="G5220" s="1205"/>
      <c r="H5220" s="1055"/>
      <c r="I5220" s="1055"/>
      <c r="J5220" s="1055"/>
      <c r="K5220" s="1205"/>
      <c r="L5220" s="1055"/>
      <c r="M5220" s="1205"/>
      <c r="N5220" s="1054"/>
      <c r="O5220" s="1207"/>
      <c r="Q5220" s="1207"/>
    </row>
    <row r="5221" spans="3:17" s="700" customFormat="1" ht="70.5" hidden="1" customHeight="1">
      <c r="C5221" s="701"/>
      <c r="D5221" s="811"/>
      <c r="E5221" s="1276">
        <f>[11]building!Y5552</f>
        <v>0</v>
      </c>
      <c r="F5221" s="748">
        <f t="shared" si="320"/>
        <v>0</v>
      </c>
      <c r="G5221" s="1205"/>
      <c r="H5221" s="1055"/>
      <c r="I5221" s="1055"/>
      <c r="J5221" s="1055"/>
      <c r="K5221" s="1205"/>
      <c r="L5221" s="1055"/>
      <c r="M5221" s="1205"/>
      <c r="N5221" s="1054"/>
      <c r="O5221" s="1207"/>
      <c r="Q5221" s="1207"/>
    </row>
    <row r="5222" spans="3:17" s="700" customFormat="1" ht="70.5" hidden="1" customHeight="1">
      <c r="C5222" s="701"/>
      <c r="D5222" s="811"/>
      <c r="E5222" s="1276">
        <f>[11]building!Y5553</f>
        <v>0</v>
      </c>
      <c r="F5222" s="748">
        <f t="shared" si="320"/>
        <v>0</v>
      </c>
      <c r="G5222" s="1205"/>
      <c r="H5222" s="1055"/>
      <c r="I5222" s="1055"/>
      <c r="J5222" s="1055"/>
      <c r="K5222" s="1205"/>
      <c r="L5222" s="1055"/>
      <c r="M5222" s="1205"/>
      <c r="N5222" s="1054"/>
      <c r="O5222" s="1207"/>
      <c r="Q5222" s="1207"/>
    </row>
    <row r="5223" spans="3:17" s="700" customFormat="1" ht="70.5" hidden="1" customHeight="1">
      <c r="C5223" s="701"/>
      <c r="D5223" s="811"/>
      <c r="E5223" s="1276">
        <f>[11]building!Y5554</f>
        <v>0</v>
      </c>
      <c r="F5223" s="748">
        <f t="shared" si="320"/>
        <v>0</v>
      </c>
      <c r="G5223" s="1205"/>
      <c r="H5223" s="1055"/>
      <c r="I5223" s="1055"/>
      <c r="J5223" s="1055"/>
      <c r="K5223" s="1205"/>
      <c r="L5223" s="1055"/>
      <c r="M5223" s="1205"/>
      <c r="N5223" s="1054"/>
      <c r="O5223" s="1207"/>
      <c r="Q5223" s="1207"/>
    </row>
    <row r="5224" spans="3:17" s="700" customFormat="1" ht="70.5" hidden="1" customHeight="1">
      <c r="C5224" s="701"/>
      <c r="D5224" s="811"/>
      <c r="E5224" s="1276">
        <f>[11]building!Y5555</f>
        <v>0</v>
      </c>
      <c r="F5224" s="748">
        <f t="shared" si="320"/>
        <v>0</v>
      </c>
      <c r="G5224" s="1205"/>
      <c r="H5224" s="1055"/>
      <c r="I5224" s="1055"/>
      <c r="J5224" s="1055"/>
      <c r="K5224" s="1205"/>
      <c r="L5224" s="1055"/>
      <c r="M5224" s="1205"/>
      <c r="N5224" s="1054"/>
      <c r="O5224" s="1207"/>
      <c r="Q5224" s="1207"/>
    </row>
    <row r="5225" spans="3:17" s="700" customFormat="1" ht="70.5" hidden="1" customHeight="1">
      <c r="C5225" s="701"/>
      <c r="D5225" s="811"/>
      <c r="E5225" s="1276">
        <f>[11]building!Y5556</f>
        <v>0</v>
      </c>
      <c r="F5225" s="748">
        <f t="shared" si="320"/>
        <v>0</v>
      </c>
      <c r="G5225" s="1205"/>
      <c r="H5225" s="1055"/>
      <c r="I5225" s="1055"/>
      <c r="J5225" s="1055"/>
      <c r="K5225" s="1205"/>
      <c r="L5225" s="1055"/>
      <c r="M5225" s="1205"/>
      <c r="N5225" s="1054"/>
      <c r="O5225" s="1207"/>
      <c r="Q5225" s="1207"/>
    </row>
    <row r="5226" spans="3:17" s="700" customFormat="1" ht="70.5" hidden="1" customHeight="1">
      <c r="C5226" s="701"/>
      <c r="D5226" s="811"/>
      <c r="E5226" s="1276">
        <f>[11]building!Y5557</f>
        <v>0</v>
      </c>
      <c r="F5226" s="748">
        <f t="shared" si="320"/>
        <v>0</v>
      </c>
      <c r="G5226" s="1205"/>
      <c r="H5226" s="1055"/>
      <c r="I5226" s="1055"/>
      <c r="J5226" s="1055"/>
      <c r="K5226" s="1205"/>
      <c r="L5226" s="1055"/>
      <c r="M5226" s="1205"/>
      <c r="N5226" s="1054"/>
      <c r="O5226" s="1207"/>
      <c r="Q5226" s="1207"/>
    </row>
    <row r="5227" spans="3:17" s="700" customFormat="1" ht="70.5" hidden="1" customHeight="1">
      <c r="C5227" s="701"/>
      <c r="D5227" s="811"/>
      <c r="E5227" s="1276">
        <f>[11]building!Y5558</f>
        <v>0</v>
      </c>
      <c r="F5227" s="748">
        <f t="shared" si="320"/>
        <v>0</v>
      </c>
      <c r="G5227" s="1205"/>
      <c r="H5227" s="1055"/>
      <c r="I5227" s="1055"/>
      <c r="J5227" s="1055"/>
      <c r="K5227" s="1205"/>
      <c r="L5227" s="1055"/>
      <c r="M5227" s="1205"/>
      <c r="N5227" s="1054"/>
      <c r="O5227" s="1207"/>
      <c r="Q5227" s="1207"/>
    </row>
    <row r="5228" spans="3:17" s="700" customFormat="1" ht="70.5" hidden="1" customHeight="1">
      <c r="C5228" s="701"/>
      <c r="D5228" s="811"/>
      <c r="E5228" s="1276">
        <f>[11]building!Y5559</f>
        <v>0</v>
      </c>
      <c r="F5228" s="748">
        <f t="shared" si="320"/>
        <v>0</v>
      </c>
      <c r="G5228" s="1205"/>
      <c r="H5228" s="1055"/>
      <c r="I5228" s="1055"/>
      <c r="J5228" s="1055"/>
      <c r="K5228" s="1205"/>
      <c r="L5228" s="1055"/>
      <c r="M5228" s="1205"/>
      <c r="N5228" s="1054"/>
      <c r="O5228" s="1207"/>
      <c r="Q5228" s="1207"/>
    </row>
    <row r="5229" spans="3:17" s="700" customFormat="1" ht="70.5" hidden="1" customHeight="1">
      <c r="C5229" s="701"/>
      <c r="D5229" s="811"/>
      <c r="E5229" s="1276">
        <f>[11]building!Y5560</f>
        <v>0</v>
      </c>
      <c r="F5229" s="748">
        <f t="shared" si="320"/>
        <v>0</v>
      </c>
      <c r="G5229" s="1205"/>
      <c r="H5229" s="1055"/>
      <c r="I5229" s="1055"/>
      <c r="J5229" s="1055"/>
      <c r="K5229" s="1205"/>
      <c r="L5229" s="1055"/>
      <c r="M5229" s="1205"/>
      <c r="N5229" s="1054"/>
      <c r="O5229" s="1207"/>
      <c r="Q5229" s="1207"/>
    </row>
    <row r="5230" spans="3:17" s="700" customFormat="1" ht="70.5" hidden="1" customHeight="1">
      <c r="C5230" s="701"/>
      <c r="D5230" s="811"/>
      <c r="E5230" s="1276">
        <f>[11]building!Y5561</f>
        <v>0</v>
      </c>
      <c r="F5230" s="748">
        <f t="shared" si="320"/>
        <v>0</v>
      </c>
      <c r="G5230" s="1205"/>
      <c r="H5230" s="1055"/>
      <c r="I5230" s="1055"/>
      <c r="J5230" s="1055"/>
      <c r="K5230" s="1205"/>
      <c r="L5230" s="1055"/>
      <c r="M5230" s="1205"/>
      <c r="N5230" s="1054"/>
      <c r="O5230" s="1207"/>
      <c r="Q5230" s="1207"/>
    </row>
    <row r="5231" spans="3:17" s="700" customFormat="1" ht="70.5" hidden="1" customHeight="1">
      <c r="C5231" s="701"/>
      <c r="D5231" s="811"/>
      <c r="E5231" s="1276">
        <f>[11]building!Y5562</f>
        <v>0</v>
      </c>
      <c r="F5231" s="748">
        <f t="shared" si="320"/>
        <v>0</v>
      </c>
      <c r="G5231" s="1205"/>
      <c r="H5231" s="1055"/>
      <c r="I5231" s="1055"/>
      <c r="J5231" s="1055"/>
      <c r="K5231" s="1205"/>
      <c r="L5231" s="1055"/>
      <c r="M5231" s="1205"/>
      <c r="N5231" s="1054"/>
      <c r="O5231" s="1207"/>
      <c r="Q5231" s="1207"/>
    </row>
    <row r="5232" spans="3:17" s="700" customFormat="1" ht="70.5" hidden="1" customHeight="1">
      <c r="C5232" s="701"/>
      <c r="D5232" s="811"/>
      <c r="E5232" s="1276">
        <f>[11]building!Y5563</f>
        <v>0</v>
      </c>
      <c r="F5232" s="748">
        <f t="shared" si="320"/>
        <v>0</v>
      </c>
      <c r="G5232" s="1205"/>
      <c r="H5232" s="1055"/>
      <c r="I5232" s="1055"/>
      <c r="J5232" s="1055"/>
      <c r="K5232" s="1205"/>
      <c r="L5232" s="1055"/>
      <c r="M5232" s="1205"/>
      <c r="N5232" s="1054"/>
      <c r="O5232" s="1207"/>
      <c r="Q5232" s="1207"/>
    </row>
    <row r="5233" spans="3:17" s="700" customFormat="1" ht="70.5" hidden="1" customHeight="1">
      <c r="C5233" s="701"/>
      <c r="D5233" s="811"/>
      <c r="E5233" s="1276">
        <f>[11]building!Y5564</f>
        <v>0</v>
      </c>
      <c r="F5233" s="748">
        <f t="shared" si="320"/>
        <v>0</v>
      </c>
      <c r="G5233" s="1205"/>
      <c r="H5233" s="1055"/>
      <c r="I5233" s="1055"/>
      <c r="J5233" s="1055"/>
      <c r="K5233" s="1205"/>
      <c r="L5233" s="1055"/>
      <c r="M5233" s="1205"/>
      <c r="N5233" s="1054"/>
      <c r="O5233" s="1207"/>
      <c r="Q5233" s="1207"/>
    </row>
    <row r="5234" spans="3:17" s="700" customFormat="1" ht="70.5" hidden="1" customHeight="1">
      <c r="C5234" s="701"/>
      <c r="D5234" s="811"/>
      <c r="E5234" s="1276">
        <f>[11]building!Y5565</f>
        <v>0</v>
      </c>
      <c r="F5234" s="748">
        <f t="shared" si="320"/>
        <v>0</v>
      </c>
      <c r="G5234" s="1205"/>
      <c r="H5234" s="1055"/>
      <c r="I5234" s="1055"/>
      <c r="J5234" s="1055"/>
      <c r="K5234" s="1205"/>
      <c r="L5234" s="1055"/>
      <c r="M5234" s="1205"/>
      <c r="N5234" s="1054"/>
      <c r="O5234" s="1207"/>
      <c r="Q5234" s="1207"/>
    </row>
    <row r="5235" spans="3:17" s="700" customFormat="1" ht="70.5" hidden="1" customHeight="1">
      <c r="C5235" s="701"/>
      <c r="D5235" s="811"/>
      <c r="E5235" s="1276">
        <f>[11]building!Y5566</f>
        <v>0</v>
      </c>
      <c r="F5235" s="748">
        <f t="shared" si="320"/>
        <v>0</v>
      </c>
      <c r="G5235" s="1205"/>
      <c r="H5235" s="1055"/>
      <c r="I5235" s="1055"/>
      <c r="J5235" s="1055"/>
      <c r="K5235" s="1205"/>
      <c r="L5235" s="1055"/>
      <c r="M5235" s="1205"/>
      <c r="N5235" s="1054"/>
      <c r="O5235" s="1207"/>
      <c r="Q5235" s="1207"/>
    </row>
    <row r="5236" spans="3:17" s="700" customFormat="1" ht="70.5" hidden="1" customHeight="1">
      <c r="C5236" s="701"/>
      <c r="D5236" s="811"/>
      <c r="E5236" s="1276">
        <f>[11]building!Y5567</f>
        <v>0</v>
      </c>
      <c r="F5236" s="748">
        <f t="shared" si="320"/>
        <v>0</v>
      </c>
      <c r="G5236" s="1205"/>
      <c r="H5236" s="1055"/>
      <c r="I5236" s="1055"/>
      <c r="J5236" s="1055"/>
      <c r="K5236" s="1205"/>
      <c r="L5236" s="1055"/>
      <c r="M5236" s="1205"/>
      <c r="N5236" s="1054"/>
      <c r="O5236" s="1207"/>
      <c r="Q5236" s="1207"/>
    </row>
    <row r="5237" spans="3:17" s="700" customFormat="1" ht="70.5" hidden="1" customHeight="1">
      <c r="C5237" s="701"/>
      <c r="D5237" s="811"/>
      <c r="E5237" s="1276">
        <f>[11]building!Y5568</f>
        <v>0</v>
      </c>
      <c r="F5237" s="748">
        <f t="shared" si="320"/>
        <v>0</v>
      </c>
      <c r="G5237" s="1205"/>
      <c r="H5237" s="1055"/>
      <c r="I5237" s="1055"/>
      <c r="J5237" s="1055"/>
      <c r="K5237" s="1205"/>
      <c r="L5237" s="1055"/>
      <c r="M5237" s="1205"/>
      <c r="N5237" s="1054"/>
      <c r="O5237" s="1207"/>
      <c r="Q5237" s="1207"/>
    </row>
    <row r="5238" spans="3:17" s="700" customFormat="1" ht="70.5" hidden="1" customHeight="1">
      <c r="C5238" s="701"/>
      <c r="D5238" s="811"/>
      <c r="E5238" s="1276">
        <f>[11]building!Y5569</f>
        <v>0</v>
      </c>
      <c r="F5238" s="748">
        <f t="shared" si="320"/>
        <v>0</v>
      </c>
      <c r="G5238" s="1205"/>
      <c r="H5238" s="1055"/>
      <c r="I5238" s="1055"/>
      <c r="J5238" s="1055"/>
      <c r="K5238" s="1205"/>
      <c r="L5238" s="1055"/>
      <c r="M5238" s="1205"/>
      <c r="N5238" s="1054"/>
      <c r="O5238" s="1207"/>
      <c r="Q5238" s="1207"/>
    </row>
    <row r="5239" spans="3:17" s="700" customFormat="1" ht="70.5" hidden="1" customHeight="1">
      <c r="C5239" s="701"/>
      <c r="D5239" s="811"/>
      <c r="E5239" s="1276">
        <f>[11]building!Y5570</f>
        <v>0</v>
      </c>
      <c r="F5239" s="748">
        <f t="shared" si="320"/>
        <v>0</v>
      </c>
      <c r="G5239" s="1205"/>
      <c r="H5239" s="1055"/>
      <c r="I5239" s="1055"/>
      <c r="J5239" s="1055"/>
      <c r="K5239" s="1205"/>
      <c r="L5239" s="1055"/>
      <c r="M5239" s="1205"/>
      <c r="N5239" s="1054"/>
      <c r="O5239" s="1207"/>
      <c r="Q5239" s="1207"/>
    </row>
    <row r="5240" spans="3:17" s="700" customFormat="1" ht="70.5" hidden="1" customHeight="1">
      <c r="C5240" s="701"/>
      <c r="D5240" s="811"/>
      <c r="E5240" s="1276">
        <f>[11]building!Y5571</f>
        <v>0</v>
      </c>
      <c r="F5240" s="748">
        <f t="shared" si="320"/>
        <v>0</v>
      </c>
      <c r="G5240" s="1205"/>
      <c r="H5240" s="1055"/>
      <c r="I5240" s="1055"/>
      <c r="J5240" s="1055"/>
      <c r="K5240" s="1205"/>
      <c r="L5240" s="1055"/>
      <c r="M5240" s="1205"/>
      <c r="N5240" s="1054"/>
      <c r="O5240" s="1207"/>
      <c r="Q5240" s="1207"/>
    </row>
    <row r="5241" spans="3:17" s="700" customFormat="1" ht="70.5" hidden="1" customHeight="1">
      <c r="C5241" s="701"/>
      <c r="D5241" s="811"/>
      <c r="E5241" s="1276">
        <f>[11]building!Y5572</f>
        <v>0</v>
      </c>
      <c r="F5241" s="748">
        <f t="shared" si="320"/>
        <v>0</v>
      </c>
      <c r="G5241" s="1205"/>
      <c r="H5241" s="1055"/>
      <c r="I5241" s="1055"/>
      <c r="J5241" s="1055"/>
      <c r="K5241" s="1205"/>
      <c r="L5241" s="1055"/>
      <c r="M5241" s="1205"/>
      <c r="N5241" s="1054"/>
      <c r="O5241" s="1207"/>
      <c r="Q5241" s="1207"/>
    </row>
    <row r="5242" spans="3:17" s="700" customFormat="1" ht="70.5" hidden="1" customHeight="1">
      <c r="C5242" s="701"/>
      <c r="D5242" s="811"/>
      <c r="E5242" s="1276">
        <f>[11]building!Y5573</f>
        <v>0</v>
      </c>
      <c r="F5242" s="748">
        <f t="shared" si="320"/>
        <v>0</v>
      </c>
      <c r="G5242" s="1205"/>
      <c r="H5242" s="1055"/>
      <c r="I5242" s="1055"/>
      <c r="J5242" s="1055"/>
      <c r="K5242" s="1205"/>
      <c r="L5242" s="1055"/>
      <c r="M5242" s="1205"/>
      <c r="N5242" s="1054"/>
      <c r="O5242" s="1207"/>
      <c r="Q5242" s="1207"/>
    </row>
    <row r="5243" spans="3:17" s="700" customFormat="1" ht="70.5" hidden="1" customHeight="1">
      <c r="C5243" s="701"/>
      <c r="D5243" s="811"/>
      <c r="E5243" s="1276">
        <f>[11]building!Y5574</f>
        <v>0</v>
      </c>
      <c r="F5243" s="748">
        <f t="shared" si="320"/>
        <v>0</v>
      </c>
      <c r="G5243" s="1205"/>
      <c r="H5243" s="1055"/>
      <c r="I5243" s="1055"/>
      <c r="J5243" s="1055"/>
      <c r="K5243" s="1205"/>
      <c r="L5243" s="1055"/>
      <c r="M5243" s="1205"/>
      <c r="N5243" s="1054"/>
      <c r="O5243" s="1207"/>
      <c r="Q5243" s="1207"/>
    </row>
    <row r="5244" spans="3:17" s="700" customFormat="1" ht="70.5" hidden="1" customHeight="1">
      <c r="C5244" s="701"/>
      <c r="D5244" s="811"/>
      <c r="E5244" s="1276">
        <f>[11]building!Y5575</f>
        <v>0</v>
      </c>
      <c r="F5244" s="748">
        <f t="shared" si="320"/>
        <v>0</v>
      </c>
      <c r="G5244" s="1205"/>
      <c r="H5244" s="1055"/>
      <c r="I5244" s="1055"/>
      <c r="J5244" s="1055"/>
      <c r="K5244" s="1205"/>
      <c r="L5244" s="1055"/>
      <c r="M5244" s="1205"/>
      <c r="N5244" s="1054"/>
      <c r="O5244" s="1207"/>
      <c r="Q5244" s="1207"/>
    </row>
    <row r="5245" spans="3:17" s="700" customFormat="1" ht="70.5" hidden="1" customHeight="1">
      <c r="C5245" s="701"/>
      <c r="D5245" s="811"/>
      <c r="E5245" s="1276">
        <f>[11]building!Y5576</f>
        <v>0</v>
      </c>
      <c r="F5245" s="748">
        <f t="shared" si="320"/>
        <v>0</v>
      </c>
      <c r="G5245" s="1205"/>
      <c r="H5245" s="1055"/>
      <c r="I5245" s="1055"/>
      <c r="J5245" s="1055"/>
      <c r="K5245" s="1205"/>
      <c r="L5245" s="1055"/>
      <c r="M5245" s="1205"/>
      <c r="N5245" s="1054"/>
      <c r="O5245" s="1207"/>
      <c r="Q5245" s="1207"/>
    </row>
    <row r="5246" spans="3:17" s="700" customFormat="1" ht="70.5" hidden="1" customHeight="1">
      <c r="C5246" s="701"/>
      <c r="D5246" s="811"/>
      <c r="E5246" s="1276">
        <f>[11]building!Y5577</f>
        <v>0</v>
      </c>
      <c r="F5246" s="748">
        <f t="shared" si="320"/>
        <v>0</v>
      </c>
      <c r="G5246" s="1205"/>
      <c r="H5246" s="1055"/>
      <c r="I5246" s="1055"/>
      <c r="J5246" s="1055"/>
      <c r="K5246" s="1205"/>
      <c r="L5246" s="1055"/>
      <c r="M5246" s="1205"/>
      <c r="N5246" s="1054"/>
      <c r="O5246" s="1207"/>
      <c r="Q5246" s="1207"/>
    </row>
    <row r="5247" spans="3:17" s="700" customFormat="1" ht="70.5" hidden="1" customHeight="1">
      <c r="C5247" s="701"/>
      <c r="D5247" s="811"/>
      <c r="E5247" s="1276">
        <f>[11]building!Y5578</f>
        <v>0</v>
      </c>
      <c r="F5247" s="748">
        <f t="shared" si="320"/>
        <v>0</v>
      </c>
      <c r="G5247" s="1205"/>
      <c r="H5247" s="1055"/>
      <c r="I5247" s="1055"/>
      <c r="J5247" s="1055"/>
      <c r="K5247" s="1205"/>
      <c r="L5247" s="1055"/>
      <c r="M5247" s="1205"/>
      <c r="N5247" s="1054"/>
      <c r="O5247" s="1207"/>
      <c r="Q5247" s="1207"/>
    </row>
    <row r="5248" spans="3:17" s="700" customFormat="1" ht="70.5" hidden="1" customHeight="1">
      <c r="C5248" s="701"/>
      <c r="D5248" s="811"/>
      <c r="E5248" s="1276">
        <f>[11]building!Y5579</f>
        <v>0</v>
      </c>
      <c r="F5248" s="748">
        <f t="shared" ref="F5248:F5311" si="321">E5248*C5248</f>
        <v>0</v>
      </c>
      <c r="G5248" s="1205"/>
      <c r="H5248" s="1055"/>
      <c r="I5248" s="1055"/>
      <c r="J5248" s="1055"/>
      <c r="K5248" s="1205"/>
      <c r="L5248" s="1055"/>
      <c r="M5248" s="1205"/>
      <c r="N5248" s="1054"/>
      <c r="O5248" s="1207"/>
      <c r="Q5248" s="1207"/>
    </row>
    <row r="5249" spans="3:17" s="700" customFormat="1" ht="70.5" hidden="1" customHeight="1">
      <c r="C5249" s="701"/>
      <c r="D5249" s="811"/>
      <c r="E5249" s="1276">
        <f>[11]building!Y5580</f>
        <v>0</v>
      </c>
      <c r="F5249" s="748">
        <f t="shared" si="321"/>
        <v>0</v>
      </c>
      <c r="G5249" s="1205"/>
      <c r="H5249" s="1055"/>
      <c r="I5249" s="1055"/>
      <c r="J5249" s="1055"/>
      <c r="K5249" s="1205"/>
      <c r="L5249" s="1055"/>
      <c r="M5249" s="1205"/>
      <c r="N5249" s="1054"/>
      <c r="O5249" s="1207"/>
      <c r="Q5249" s="1207"/>
    </row>
    <row r="5250" spans="3:17" s="700" customFormat="1" ht="70.5" hidden="1" customHeight="1">
      <c r="C5250" s="701"/>
      <c r="D5250" s="811"/>
      <c r="E5250" s="1276">
        <f>[11]building!Y5581</f>
        <v>0</v>
      </c>
      <c r="F5250" s="748">
        <f t="shared" si="321"/>
        <v>0</v>
      </c>
      <c r="G5250" s="1205"/>
      <c r="H5250" s="1055"/>
      <c r="I5250" s="1055"/>
      <c r="J5250" s="1055"/>
      <c r="K5250" s="1205"/>
      <c r="L5250" s="1055"/>
      <c r="M5250" s="1205"/>
      <c r="N5250" s="1054"/>
      <c r="O5250" s="1207"/>
      <c r="Q5250" s="1207"/>
    </row>
    <row r="5251" spans="3:17" s="700" customFormat="1" ht="70.5" hidden="1" customHeight="1">
      <c r="C5251" s="701"/>
      <c r="D5251" s="811"/>
      <c r="E5251" s="1276">
        <f>[11]building!Y5582</f>
        <v>0</v>
      </c>
      <c r="F5251" s="748">
        <f t="shared" si="321"/>
        <v>0</v>
      </c>
      <c r="G5251" s="1205"/>
      <c r="H5251" s="1055"/>
      <c r="I5251" s="1055"/>
      <c r="J5251" s="1055"/>
      <c r="K5251" s="1205"/>
      <c r="L5251" s="1055"/>
      <c r="M5251" s="1205"/>
      <c r="N5251" s="1054"/>
      <c r="O5251" s="1207"/>
      <c r="Q5251" s="1207"/>
    </row>
    <row r="5252" spans="3:17" s="700" customFormat="1" ht="70.5" hidden="1" customHeight="1">
      <c r="C5252" s="701"/>
      <c r="D5252" s="811"/>
      <c r="E5252" s="1276">
        <f>[11]building!Y5583</f>
        <v>0</v>
      </c>
      <c r="F5252" s="748">
        <f t="shared" si="321"/>
        <v>0</v>
      </c>
      <c r="G5252" s="1205"/>
      <c r="H5252" s="1055"/>
      <c r="I5252" s="1055"/>
      <c r="J5252" s="1055"/>
      <c r="K5252" s="1205"/>
      <c r="L5252" s="1055"/>
      <c r="M5252" s="1205"/>
      <c r="N5252" s="1054"/>
      <c r="O5252" s="1207"/>
      <c r="Q5252" s="1207"/>
    </row>
    <row r="5253" spans="3:17" s="700" customFormat="1" ht="70.5" hidden="1" customHeight="1">
      <c r="C5253" s="701"/>
      <c r="D5253" s="811"/>
      <c r="E5253" s="1276">
        <f>[11]building!Y5584</f>
        <v>0</v>
      </c>
      <c r="F5253" s="748">
        <f t="shared" si="321"/>
        <v>0</v>
      </c>
      <c r="G5253" s="1205"/>
      <c r="H5253" s="1055"/>
      <c r="I5253" s="1055"/>
      <c r="J5253" s="1055"/>
      <c r="K5253" s="1205"/>
      <c r="L5253" s="1055"/>
      <c r="M5253" s="1205"/>
      <c r="N5253" s="1054"/>
      <c r="O5253" s="1207"/>
      <c r="Q5253" s="1207"/>
    </row>
    <row r="5254" spans="3:17" s="700" customFormat="1" ht="70.5" hidden="1" customHeight="1">
      <c r="C5254" s="701"/>
      <c r="D5254" s="811"/>
      <c r="E5254" s="1276">
        <f>[11]building!Y5585</f>
        <v>0</v>
      </c>
      <c r="F5254" s="748">
        <f t="shared" si="321"/>
        <v>0</v>
      </c>
      <c r="G5254" s="1205"/>
      <c r="H5254" s="1055"/>
      <c r="I5254" s="1055"/>
      <c r="J5254" s="1055"/>
      <c r="K5254" s="1205"/>
      <c r="L5254" s="1055"/>
      <c r="M5254" s="1205"/>
      <c r="N5254" s="1054"/>
      <c r="O5254" s="1207"/>
      <c r="Q5254" s="1207"/>
    </row>
    <row r="5255" spans="3:17" s="700" customFormat="1" ht="70.5" hidden="1" customHeight="1">
      <c r="C5255" s="701"/>
      <c r="D5255" s="811"/>
      <c r="E5255" s="1276">
        <f>[11]building!Y5586</f>
        <v>0</v>
      </c>
      <c r="F5255" s="748">
        <f t="shared" si="321"/>
        <v>0</v>
      </c>
      <c r="G5255" s="1205"/>
      <c r="H5255" s="1055"/>
      <c r="I5255" s="1055"/>
      <c r="J5255" s="1055"/>
      <c r="K5255" s="1205"/>
      <c r="L5255" s="1055"/>
      <c r="M5255" s="1205"/>
      <c r="N5255" s="1054"/>
      <c r="O5255" s="1207"/>
      <c r="Q5255" s="1207"/>
    </row>
    <row r="5256" spans="3:17" s="700" customFormat="1" ht="70.5" hidden="1" customHeight="1">
      <c r="C5256" s="701"/>
      <c r="D5256" s="811"/>
      <c r="E5256" s="1276">
        <f>[11]building!Y5587</f>
        <v>0</v>
      </c>
      <c r="F5256" s="748">
        <f t="shared" si="321"/>
        <v>0</v>
      </c>
      <c r="G5256" s="1205"/>
      <c r="H5256" s="1055"/>
      <c r="I5256" s="1055"/>
      <c r="J5256" s="1055"/>
      <c r="K5256" s="1205"/>
      <c r="L5256" s="1055"/>
      <c r="M5256" s="1205"/>
      <c r="N5256" s="1054"/>
      <c r="O5256" s="1207"/>
      <c r="Q5256" s="1207"/>
    </row>
    <row r="5257" spans="3:17" s="700" customFormat="1" ht="70.5" hidden="1" customHeight="1">
      <c r="C5257" s="701"/>
      <c r="D5257" s="811"/>
      <c r="E5257" s="1276">
        <f>[11]building!Y5588</f>
        <v>0</v>
      </c>
      <c r="F5257" s="748">
        <f t="shared" si="321"/>
        <v>0</v>
      </c>
      <c r="G5257" s="1205"/>
      <c r="H5257" s="1055"/>
      <c r="I5257" s="1055"/>
      <c r="J5257" s="1055"/>
      <c r="K5257" s="1205"/>
      <c r="L5257" s="1055"/>
      <c r="M5257" s="1205"/>
      <c r="N5257" s="1054"/>
      <c r="O5257" s="1207"/>
      <c r="Q5257" s="1207"/>
    </row>
    <row r="5258" spans="3:17" s="700" customFormat="1" ht="70.5" hidden="1" customHeight="1">
      <c r="C5258" s="701"/>
      <c r="D5258" s="811"/>
      <c r="E5258" s="1276">
        <f>[11]building!Y5589</f>
        <v>0</v>
      </c>
      <c r="F5258" s="748">
        <f t="shared" si="321"/>
        <v>0</v>
      </c>
      <c r="G5258" s="1205"/>
      <c r="H5258" s="1055"/>
      <c r="I5258" s="1055"/>
      <c r="J5258" s="1055"/>
      <c r="K5258" s="1205"/>
      <c r="L5258" s="1055"/>
      <c r="M5258" s="1205"/>
      <c r="N5258" s="1054"/>
      <c r="O5258" s="1207"/>
      <c r="Q5258" s="1207"/>
    </row>
    <row r="5259" spans="3:17" s="700" customFormat="1" ht="70.5" hidden="1" customHeight="1">
      <c r="C5259" s="701"/>
      <c r="D5259" s="811"/>
      <c r="E5259" s="1276">
        <f>[11]building!Y5590</f>
        <v>0</v>
      </c>
      <c r="F5259" s="748">
        <f t="shared" si="321"/>
        <v>0</v>
      </c>
      <c r="G5259" s="1205"/>
      <c r="H5259" s="1055"/>
      <c r="I5259" s="1055"/>
      <c r="J5259" s="1055"/>
      <c r="K5259" s="1205"/>
      <c r="L5259" s="1055"/>
      <c r="M5259" s="1205"/>
      <c r="N5259" s="1054"/>
      <c r="O5259" s="1207"/>
      <c r="Q5259" s="1207"/>
    </row>
    <row r="5260" spans="3:17" s="700" customFormat="1" ht="70.5" hidden="1" customHeight="1">
      <c r="C5260" s="701"/>
      <c r="D5260" s="811"/>
      <c r="E5260" s="1276">
        <f>[11]building!Y5591</f>
        <v>0</v>
      </c>
      <c r="F5260" s="748">
        <f t="shared" si="321"/>
        <v>0</v>
      </c>
      <c r="G5260" s="1205"/>
      <c r="H5260" s="1055"/>
      <c r="I5260" s="1055"/>
      <c r="J5260" s="1055"/>
      <c r="K5260" s="1205"/>
      <c r="L5260" s="1055"/>
      <c r="M5260" s="1205"/>
      <c r="N5260" s="1054"/>
      <c r="O5260" s="1207"/>
      <c r="Q5260" s="1207"/>
    </row>
    <row r="5261" spans="3:17" s="700" customFormat="1" ht="70.5" hidden="1" customHeight="1">
      <c r="C5261" s="701"/>
      <c r="D5261" s="811"/>
      <c r="E5261" s="1276">
        <f>[11]building!Y5592</f>
        <v>0</v>
      </c>
      <c r="F5261" s="748">
        <f t="shared" si="321"/>
        <v>0</v>
      </c>
      <c r="G5261" s="1205"/>
      <c r="H5261" s="1055"/>
      <c r="I5261" s="1055"/>
      <c r="J5261" s="1055"/>
      <c r="K5261" s="1205"/>
      <c r="L5261" s="1055"/>
      <c r="M5261" s="1205"/>
      <c r="N5261" s="1054"/>
      <c r="O5261" s="1207"/>
      <c r="Q5261" s="1207"/>
    </row>
    <row r="5262" spans="3:17" s="700" customFormat="1" ht="70.5" hidden="1" customHeight="1">
      <c r="C5262" s="701"/>
      <c r="D5262" s="811"/>
      <c r="E5262" s="1276">
        <f>[11]building!Y5593</f>
        <v>0</v>
      </c>
      <c r="F5262" s="748">
        <f t="shared" si="321"/>
        <v>0</v>
      </c>
      <c r="G5262" s="1205"/>
      <c r="H5262" s="1055"/>
      <c r="I5262" s="1055"/>
      <c r="J5262" s="1055"/>
      <c r="K5262" s="1205"/>
      <c r="L5262" s="1055"/>
      <c r="M5262" s="1205"/>
      <c r="N5262" s="1054"/>
      <c r="O5262" s="1207"/>
      <c r="Q5262" s="1207"/>
    </row>
    <row r="5263" spans="3:17" s="700" customFormat="1" ht="70.5" hidden="1" customHeight="1">
      <c r="C5263" s="701"/>
      <c r="D5263" s="811"/>
      <c r="E5263" s="1276">
        <f>[11]building!Y5594</f>
        <v>0</v>
      </c>
      <c r="F5263" s="748">
        <f t="shared" si="321"/>
        <v>0</v>
      </c>
      <c r="G5263" s="1205"/>
      <c r="H5263" s="1055"/>
      <c r="I5263" s="1055"/>
      <c r="J5263" s="1055"/>
      <c r="K5263" s="1205"/>
      <c r="L5263" s="1055"/>
      <c r="M5263" s="1205"/>
      <c r="N5263" s="1054"/>
      <c r="O5263" s="1207"/>
      <c r="Q5263" s="1207"/>
    </row>
    <row r="5264" spans="3:17" s="700" customFormat="1" ht="70.5" hidden="1" customHeight="1">
      <c r="C5264" s="701"/>
      <c r="D5264" s="811"/>
      <c r="E5264" s="1276">
        <f>[11]building!Y5595</f>
        <v>0</v>
      </c>
      <c r="F5264" s="748">
        <f t="shared" si="321"/>
        <v>0</v>
      </c>
      <c r="G5264" s="1205"/>
      <c r="H5264" s="1055"/>
      <c r="I5264" s="1055"/>
      <c r="J5264" s="1055"/>
      <c r="K5264" s="1205"/>
      <c r="L5264" s="1055"/>
      <c r="M5264" s="1205"/>
      <c r="N5264" s="1054"/>
      <c r="O5264" s="1207"/>
      <c r="Q5264" s="1207"/>
    </row>
    <row r="5265" spans="3:17" s="700" customFormat="1" ht="70.5" hidden="1" customHeight="1">
      <c r="C5265" s="701"/>
      <c r="D5265" s="811"/>
      <c r="E5265" s="1276">
        <f>[11]building!Y5596</f>
        <v>0</v>
      </c>
      <c r="F5265" s="748">
        <f t="shared" si="321"/>
        <v>0</v>
      </c>
      <c r="G5265" s="1205"/>
      <c r="H5265" s="1055"/>
      <c r="I5265" s="1055"/>
      <c r="J5265" s="1055"/>
      <c r="K5265" s="1205"/>
      <c r="L5265" s="1055"/>
      <c r="M5265" s="1205"/>
      <c r="N5265" s="1054"/>
      <c r="O5265" s="1207"/>
      <c r="Q5265" s="1207"/>
    </row>
    <row r="5266" spans="3:17" s="700" customFormat="1" ht="70.5" hidden="1" customHeight="1">
      <c r="C5266" s="701"/>
      <c r="D5266" s="811"/>
      <c r="E5266" s="1276">
        <f>[11]building!Y5597</f>
        <v>0</v>
      </c>
      <c r="F5266" s="748">
        <f t="shared" si="321"/>
        <v>0</v>
      </c>
      <c r="G5266" s="1205"/>
      <c r="H5266" s="1055"/>
      <c r="I5266" s="1055"/>
      <c r="J5266" s="1055"/>
      <c r="K5266" s="1205"/>
      <c r="L5266" s="1055"/>
      <c r="M5266" s="1205"/>
      <c r="N5266" s="1054"/>
      <c r="O5266" s="1207"/>
      <c r="Q5266" s="1207"/>
    </row>
    <row r="5267" spans="3:17" s="700" customFormat="1" ht="70.5" hidden="1" customHeight="1">
      <c r="C5267" s="701"/>
      <c r="D5267" s="811"/>
      <c r="E5267" s="1276">
        <f>[11]building!Y5598</f>
        <v>0</v>
      </c>
      <c r="F5267" s="748">
        <f t="shared" si="321"/>
        <v>0</v>
      </c>
      <c r="G5267" s="1205"/>
      <c r="H5267" s="1055"/>
      <c r="I5267" s="1055"/>
      <c r="J5267" s="1055"/>
      <c r="K5267" s="1205"/>
      <c r="L5267" s="1055"/>
      <c r="M5267" s="1205"/>
      <c r="N5267" s="1054"/>
      <c r="O5267" s="1207"/>
      <c r="Q5267" s="1207"/>
    </row>
    <row r="5268" spans="3:17" s="700" customFormat="1" ht="70.5" hidden="1" customHeight="1">
      <c r="C5268" s="701"/>
      <c r="D5268" s="811"/>
      <c r="E5268" s="1276">
        <f>[11]building!Y5599</f>
        <v>0</v>
      </c>
      <c r="F5268" s="748">
        <f t="shared" si="321"/>
        <v>0</v>
      </c>
      <c r="G5268" s="1205"/>
      <c r="H5268" s="1055"/>
      <c r="I5268" s="1055"/>
      <c r="J5268" s="1055"/>
      <c r="K5268" s="1205"/>
      <c r="L5268" s="1055"/>
      <c r="M5268" s="1205"/>
      <c r="N5268" s="1054"/>
      <c r="O5268" s="1207"/>
      <c r="Q5268" s="1207"/>
    </row>
    <row r="5269" spans="3:17" s="700" customFormat="1" ht="70.5" hidden="1" customHeight="1">
      <c r="C5269" s="701"/>
      <c r="D5269" s="811"/>
      <c r="E5269" s="1276">
        <f>[11]building!Y5600</f>
        <v>0</v>
      </c>
      <c r="F5269" s="748">
        <f t="shared" si="321"/>
        <v>0</v>
      </c>
      <c r="G5269" s="1205"/>
      <c r="H5269" s="1055"/>
      <c r="I5269" s="1055"/>
      <c r="J5269" s="1055"/>
      <c r="K5269" s="1205"/>
      <c r="L5269" s="1055"/>
      <c r="M5269" s="1205"/>
      <c r="N5269" s="1054"/>
      <c r="O5269" s="1207"/>
      <c r="Q5269" s="1207"/>
    </row>
    <row r="5270" spans="3:17" s="700" customFormat="1" ht="70.5" hidden="1" customHeight="1">
      <c r="C5270" s="701"/>
      <c r="D5270" s="811"/>
      <c r="E5270" s="1276">
        <f>[11]building!Y5601</f>
        <v>0</v>
      </c>
      <c r="F5270" s="748">
        <f t="shared" si="321"/>
        <v>0</v>
      </c>
      <c r="G5270" s="1205"/>
      <c r="H5270" s="1055"/>
      <c r="I5270" s="1055"/>
      <c r="J5270" s="1055"/>
      <c r="K5270" s="1205"/>
      <c r="L5270" s="1055"/>
      <c r="M5270" s="1205"/>
      <c r="N5270" s="1054"/>
      <c r="O5270" s="1207"/>
      <c r="Q5270" s="1207"/>
    </row>
    <row r="5271" spans="3:17" s="700" customFormat="1" ht="70.5" hidden="1" customHeight="1">
      <c r="C5271" s="701"/>
      <c r="D5271" s="811"/>
      <c r="E5271" s="1276">
        <f>[11]building!Y5602</f>
        <v>0</v>
      </c>
      <c r="F5271" s="748">
        <f t="shared" si="321"/>
        <v>0</v>
      </c>
      <c r="G5271" s="1205"/>
      <c r="H5271" s="1055"/>
      <c r="I5271" s="1055"/>
      <c r="J5271" s="1055"/>
      <c r="K5271" s="1205"/>
      <c r="L5271" s="1055"/>
      <c r="M5271" s="1205"/>
      <c r="N5271" s="1054"/>
      <c r="O5271" s="1207"/>
      <c r="Q5271" s="1207"/>
    </row>
    <row r="5272" spans="3:17" s="700" customFormat="1" ht="70.5" hidden="1" customHeight="1">
      <c r="C5272" s="701"/>
      <c r="D5272" s="811"/>
      <c r="E5272" s="1276">
        <f>[11]building!Y5603</f>
        <v>0</v>
      </c>
      <c r="F5272" s="748">
        <f t="shared" si="321"/>
        <v>0</v>
      </c>
      <c r="G5272" s="1205"/>
      <c r="H5272" s="1055"/>
      <c r="I5272" s="1055"/>
      <c r="J5272" s="1055"/>
      <c r="K5272" s="1205"/>
      <c r="L5272" s="1055"/>
      <c r="M5272" s="1205"/>
      <c r="N5272" s="1054"/>
      <c r="O5272" s="1207"/>
      <c r="Q5272" s="1207"/>
    </row>
    <row r="5273" spans="3:17" s="700" customFormat="1" ht="70.5" hidden="1" customHeight="1">
      <c r="C5273" s="701"/>
      <c r="D5273" s="811"/>
      <c r="E5273" s="1276">
        <f>[11]building!Y5604</f>
        <v>0</v>
      </c>
      <c r="F5273" s="748">
        <f t="shared" si="321"/>
        <v>0</v>
      </c>
      <c r="G5273" s="1205"/>
      <c r="H5273" s="1055"/>
      <c r="I5273" s="1055"/>
      <c r="J5273" s="1055"/>
      <c r="K5273" s="1205"/>
      <c r="L5273" s="1055"/>
      <c r="M5273" s="1205"/>
      <c r="N5273" s="1054"/>
      <c r="O5273" s="1207"/>
      <c r="Q5273" s="1207"/>
    </row>
    <row r="5274" spans="3:17" s="700" customFormat="1" ht="70.5" hidden="1" customHeight="1">
      <c r="C5274" s="701"/>
      <c r="D5274" s="811"/>
      <c r="E5274" s="1276">
        <f>[11]building!Y5605</f>
        <v>0</v>
      </c>
      <c r="F5274" s="748">
        <f t="shared" si="321"/>
        <v>0</v>
      </c>
      <c r="G5274" s="1205"/>
      <c r="H5274" s="1055"/>
      <c r="I5274" s="1055"/>
      <c r="J5274" s="1055"/>
      <c r="K5274" s="1205"/>
      <c r="L5274" s="1055"/>
      <c r="M5274" s="1205"/>
      <c r="N5274" s="1054"/>
      <c r="O5274" s="1207"/>
      <c r="Q5274" s="1207"/>
    </row>
    <row r="5275" spans="3:17" s="700" customFormat="1" ht="70.5" hidden="1" customHeight="1">
      <c r="C5275" s="701"/>
      <c r="D5275" s="811"/>
      <c r="E5275" s="1276">
        <f>[11]building!Y5606</f>
        <v>0</v>
      </c>
      <c r="F5275" s="748">
        <f t="shared" si="321"/>
        <v>0</v>
      </c>
      <c r="G5275" s="1205"/>
      <c r="H5275" s="1055"/>
      <c r="I5275" s="1055"/>
      <c r="J5275" s="1055"/>
      <c r="K5275" s="1205"/>
      <c r="L5275" s="1055"/>
      <c r="M5275" s="1205"/>
      <c r="N5275" s="1054"/>
      <c r="O5275" s="1207"/>
      <c r="Q5275" s="1207"/>
    </row>
    <row r="5276" spans="3:17" s="700" customFormat="1" ht="70.5" hidden="1" customHeight="1">
      <c r="C5276" s="701"/>
      <c r="D5276" s="811"/>
      <c r="E5276" s="1276">
        <f>[11]building!Y5607</f>
        <v>0</v>
      </c>
      <c r="F5276" s="748">
        <f t="shared" si="321"/>
        <v>0</v>
      </c>
      <c r="G5276" s="1205"/>
      <c r="H5276" s="1055"/>
      <c r="I5276" s="1055"/>
      <c r="J5276" s="1055"/>
      <c r="K5276" s="1205"/>
      <c r="L5276" s="1055"/>
      <c r="M5276" s="1205"/>
      <c r="N5276" s="1054"/>
      <c r="O5276" s="1207"/>
      <c r="Q5276" s="1207"/>
    </row>
    <row r="5277" spans="3:17" s="700" customFormat="1" ht="70.5" hidden="1" customHeight="1">
      <c r="C5277" s="701"/>
      <c r="D5277" s="811"/>
      <c r="E5277" s="1276">
        <f>[11]building!Y5608</f>
        <v>0</v>
      </c>
      <c r="F5277" s="748">
        <f t="shared" si="321"/>
        <v>0</v>
      </c>
      <c r="G5277" s="1205"/>
      <c r="H5277" s="1055"/>
      <c r="I5277" s="1055"/>
      <c r="J5277" s="1055"/>
      <c r="K5277" s="1205"/>
      <c r="L5277" s="1055"/>
      <c r="M5277" s="1205"/>
      <c r="N5277" s="1054"/>
      <c r="O5277" s="1207"/>
      <c r="Q5277" s="1207"/>
    </row>
    <row r="5278" spans="3:17" s="700" customFormat="1" ht="70.5" hidden="1" customHeight="1">
      <c r="C5278" s="701"/>
      <c r="D5278" s="811"/>
      <c r="E5278" s="1276">
        <f>[11]building!Y5609</f>
        <v>0</v>
      </c>
      <c r="F5278" s="748">
        <f t="shared" si="321"/>
        <v>0</v>
      </c>
      <c r="G5278" s="1205"/>
      <c r="H5278" s="1055"/>
      <c r="I5278" s="1055"/>
      <c r="J5278" s="1055"/>
      <c r="K5278" s="1205"/>
      <c r="L5278" s="1055"/>
      <c r="M5278" s="1205"/>
      <c r="N5278" s="1054"/>
      <c r="O5278" s="1207"/>
      <c r="Q5278" s="1207"/>
    </row>
    <row r="5279" spans="3:17" s="700" customFormat="1" ht="70.5" hidden="1" customHeight="1">
      <c r="C5279" s="701"/>
      <c r="D5279" s="811"/>
      <c r="E5279" s="1276">
        <f>[11]building!Y5610</f>
        <v>0</v>
      </c>
      <c r="F5279" s="748">
        <f t="shared" si="321"/>
        <v>0</v>
      </c>
      <c r="G5279" s="1205"/>
      <c r="H5279" s="1055"/>
      <c r="I5279" s="1055"/>
      <c r="J5279" s="1055"/>
      <c r="K5279" s="1205"/>
      <c r="L5279" s="1055"/>
      <c r="M5279" s="1205"/>
      <c r="N5279" s="1054"/>
      <c r="O5279" s="1207"/>
      <c r="Q5279" s="1207"/>
    </row>
    <row r="5280" spans="3:17" s="700" customFormat="1" ht="70.5" hidden="1" customHeight="1">
      <c r="C5280" s="701"/>
      <c r="D5280" s="811"/>
      <c r="E5280" s="1276">
        <f>[11]building!Y5611</f>
        <v>0</v>
      </c>
      <c r="F5280" s="748">
        <f t="shared" si="321"/>
        <v>0</v>
      </c>
      <c r="G5280" s="1205"/>
      <c r="H5280" s="1055"/>
      <c r="I5280" s="1055"/>
      <c r="J5280" s="1055"/>
      <c r="K5280" s="1205"/>
      <c r="L5280" s="1055"/>
      <c r="M5280" s="1205"/>
      <c r="N5280" s="1054"/>
      <c r="O5280" s="1207"/>
      <c r="Q5280" s="1207"/>
    </row>
    <row r="5281" spans="3:17" s="700" customFormat="1" ht="70.5" hidden="1" customHeight="1">
      <c r="C5281" s="701"/>
      <c r="D5281" s="811"/>
      <c r="E5281" s="1276">
        <f>[11]building!Y5612</f>
        <v>0</v>
      </c>
      <c r="F5281" s="748">
        <f t="shared" si="321"/>
        <v>0</v>
      </c>
      <c r="G5281" s="1205"/>
      <c r="H5281" s="1055"/>
      <c r="I5281" s="1055"/>
      <c r="J5281" s="1055"/>
      <c r="K5281" s="1205"/>
      <c r="L5281" s="1055"/>
      <c r="M5281" s="1205"/>
      <c r="N5281" s="1054"/>
      <c r="O5281" s="1207"/>
      <c r="Q5281" s="1207"/>
    </row>
    <row r="5282" spans="3:17" s="700" customFormat="1" ht="70.5" hidden="1" customHeight="1">
      <c r="C5282" s="701"/>
      <c r="D5282" s="811"/>
      <c r="E5282" s="1276">
        <f>[11]building!Y5613</f>
        <v>0</v>
      </c>
      <c r="F5282" s="748">
        <f t="shared" si="321"/>
        <v>0</v>
      </c>
      <c r="G5282" s="1205"/>
      <c r="H5282" s="1055"/>
      <c r="I5282" s="1055"/>
      <c r="J5282" s="1055"/>
      <c r="K5282" s="1205"/>
      <c r="L5282" s="1055"/>
      <c r="M5282" s="1205"/>
      <c r="N5282" s="1054"/>
      <c r="O5282" s="1207"/>
      <c r="Q5282" s="1207"/>
    </row>
    <row r="5283" spans="3:17" s="700" customFormat="1" ht="70.5" hidden="1" customHeight="1">
      <c r="C5283" s="701"/>
      <c r="D5283" s="811"/>
      <c r="E5283" s="1276">
        <f>[11]building!Y5614</f>
        <v>0</v>
      </c>
      <c r="F5283" s="748">
        <f t="shared" si="321"/>
        <v>0</v>
      </c>
      <c r="G5283" s="1205"/>
      <c r="H5283" s="1055"/>
      <c r="I5283" s="1055"/>
      <c r="J5283" s="1055"/>
      <c r="K5283" s="1205"/>
      <c r="L5283" s="1055"/>
      <c r="M5283" s="1205"/>
      <c r="N5283" s="1054"/>
      <c r="O5283" s="1207"/>
      <c r="Q5283" s="1207"/>
    </row>
    <row r="5284" spans="3:17" s="700" customFormat="1" ht="70.5" hidden="1" customHeight="1">
      <c r="C5284" s="701"/>
      <c r="D5284" s="811"/>
      <c r="E5284" s="1276">
        <f>[11]building!Y5615</f>
        <v>0</v>
      </c>
      <c r="F5284" s="748">
        <f t="shared" si="321"/>
        <v>0</v>
      </c>
      <c r="G5284" s="1205"/>
      <c r="H5284" s="1055"/>
      <c r="I5284" s="1055"/>
      <c r="J5284" s="1055"/>
      <c r="K5284" s="1205"/>
      <c r="L5284" s="1055"/>
      <c r="M5284" s="1205"/>
      <c r="N5284" s="1054"/>
      <c r="O5284" s="1207"/>
      <c r="Q5284" s="1207"/>
    </row>
    <row r="5285" spans="3:17" s="700" customFormat="1" ht="70.5" hidden="1" customHeight="1">
      <c r="C5285" s="701"/>
      <c r="D5285" s="811"/>
      <c r="E5285" s="1276">
        <f>[11]building!Y5616</f>
        <v>0</v>
      </c>
      <c r="F5285" s="748">
        <f t="shared" si="321"/>
        <v>0</v>
      </c>
      <c r="G5285" s="1205"/>
      <c r="H5285" s="1055"/>
      <c r="I5285" s="1055"/>
      <c r="J5285" s="1055"/>
      <c r="K5285" s="1205"/>
      <c r="L5285" s="1055"/>
      <c r="M5285" s="1205"/>
      <c r="N5285" s="1054"/>
      <c r="O5285" s="1207"/>
      <c r="Q5285" s="1207"/>
    </row>
    <row r="5286" spans="3:17" s="700" customFormat="1" ht="70.5" hidden="1" customHeight="1">
      <c r="C5286" s="701"/>
      <c r="D5286" s="811"/>
      <c r="E5286" s="1276">
        <f>[11]building!Y5617</f>
        <v>0</v>
      </c>
      <c r="F5286" s="748">
        <f t="shared" si="321"/>
        <v>0</v>
      </c>
      <c r="G5286" s="1205"/>
      <c r="H5286" s="1055"/>
      <c r="I5286" s="1055"/>
      <c r="J5286" s="1055"/>
      <c r="K5286" s="1205"/>
      <c r="L5286" s="1055"/>
      <c r="M5286" s="1205"/>
      <c r="N5286" s="1054"/>
      <c r="O5286" s="1207"/>
      <c r="Q5286" s="1207"/>
    </row>
    <row r="5287" spans="3:17" s="700" customFormat="1" ht="70.5" hidden="1" customHeight="1">
      <c r="C5287" s="701"/>
      <c r="D5287" s="811"/>
      <c r="E5287" s="1276">
        <f>[11]building!Y5618</f>
        <v>0</v>
      </c>
      <c r="F5287" s="748">
        <f t="shared" si="321"/>
        <v>0</v>
      </c>
      <c r="G5287" s="1205"/>
      <c r="H5287" s="1055"/>
      <c r="I5287" s="1055"/>
      <c r="J5287" s="1055"/>
      <c r="K5287" s="1205"/>
      <c r="L5287" s="1055"/>
      <c r="M5287" s="1205"/>
      <c r="N5287" s="1054"/>
      <c r="O5287" s="1207"/>
      <c r="Q5287" s="1207"/>
    </row>
    <row r="5288" spans="3:17" s="700" customFormat="1" ht="70.5" hidden="1" customHeight="1">
      <c r="C5288" s="701"/>
      <c r="D5288" s="811"/>
      <c r="E5288" s="1276">
        <f>[11]building!Y5619</f>
        <v>0</v>
      </c>
      <c r="F5288" s="748">
        <f t="shared" si="321"/>
        <v>0</v>
      </c>
      <c r="G5288" s="1205"/>
      <c r="H5288" s="1055"/>
      <c r="I5288" s="1055"/>
      <c r="J5288" s="1055"/>
      <c r="K5288" s="1205"/>
      <c r="L5288" s="1055"/>
      <c r="M5288" s="1205"/>
      <c r="N5288" s="1054"/>
      <c r="O5288" s="1207"/>
      <c r="Q5288" s="1207"/>
    </row>
    <row r="5289" spans="3:17" s="700" customFormat="1" ht="70.5" hidden="1" customHeight="1">
      <c r="C5289" s="701"/>
      <c r="D5289" s="811"/>
      <c r="E5289" s="1276">
        <f>[11]building!Y5620</f>
        <v>0</v>
      </c>
      <c r="F5289" s="748">
        <f t="shared" si="321"/>
        <v>0</v>
      </c>
      <c r="G5289" s="1205"/>
      <c r="H5289" s="1055"/>
      <c r="I5289" s="1055"/>
      <c r="J5289" s="1055"/>
      <c r="K5289" s="1205"/>
      <c r="L5289" s="1055"/>
      <c r="M5289" s="1205"/>
      <c r="N5289" s="1054"/>
      <c r="O5289" s="1207"/>
      <c r="Q5289" s="1207"/>
    </row>
    <row r="5290" spans="3:17" s="700" customFormat="1" ht="70.5" hidden="1" customHeight="1">
      <c r="C5290" s="701"/>
      <c r="D5290" s="811"/>
      <c r="E5290" s="1276">
        <f>[11]building!Y5621</f>
        <v>0</v>
      </c>
      <c r="F5290" s="748">
        <f t="shared" si="321"/>
        <v>0</v>
      </c>
      <c r="G5290" s="1205"/>
      <c r="H5290" s="1055"/>
      <c r="I5290" s="1055"/>
      <c r="J5290" s="1055"/>
      <c r="K5290" s="1205"/>
      <c r="L5290" s="1055"/>
      <c r="M5290" s="1205"/>
      <c r="N5290" s="1054"/>
      <c r="O5290" s="1207"/>
      <c r="Q5290" s="1207"/>
    </row>
    <row r="5291" spans="3:17" s="700" customFormat="1" ht="70.5" hidden="1" customHeight="1">
      <c r="C5291" s="701"/>
      <c r="D5291" s="811"/>
      <c r="E5291" s="1276">
        <f>[11]building!Y5622</f>
        <v>0</v>
      </c>
      <c r="F5291" s="748">
        <f t="shared" si="321"/>
        <v>0</v>
      </c>
      <c r="G5291" s="1205"/>
      <c r="H5291" s="1055"/>
      <c r="I5291" s="1055"/>
      <c r="J5291" s="1055"/>
      <c r="K5291" s="1205"/>
      <c r="L5291" s="1055"/>
      <c r="M5291" s="1205"/>
      <c r="N5291" s="1054"/>
      <c r="O5291" s="1207"/>
      <c r="Q5291" s="1207"/>
    </row>
    <row r="5292" spans="3:17" s="700" customFormat="1" ht="70.5" hidden="1" customHeight="1">
      <c r="C5292" s="701"/>
      <c r="D5292" s="811"/>
      <c r="E5292" s="1276">
        <f>[11]building!Y5623</f>
        <v>0</v>
      </c>
      <c r="F5292" s="748">
        <f t="shared" si="321"/>
        <v>0</v>
      </c>
      <c r="G5292" s="1205"/>
      <c r="H5292" s="1055"/>
      <c r="I5292" s="1055"/>
      <c r="J5292" s="1055"/>
      <c r="K5292" s="1205"/>
      <c r="L5292" s="1055"/>
      <c r="M5292" s="1205"/>
      <c r="N5292" s="1054"/>
      <c r="O5292" s="1207"/>
      <c r="Q5292" s="1207"/>
    </row>
    <row r="5293" spans="3:17" s="700" customFormat="1" ht="70.5" hidden="1" customHeight="1">
      <c r="C5293" s="701"/>
      <c r="D5293" s="811"/>
      <c r="E5293" s="1276">
        <f>[11]building!Y5624</f>
        <v>0</v>
      </c>
      <c r="F5293" s="748">
        <f t="shared" si="321"/>
        <v>0</v>
      </c>
      <c r="G5293" s="1205"/>
      <c r="H5293" s="1055"/>
      <c r="I5293" s="1055"/>
      <c r="J5293" s="1055"/>
      <c r="K5293" s="1205"/>
      <c r="L5293" s="1055"/>
      <c r="M5293" s="1205"/>
      <c r="N5293" s="1054"/>
      <c r="O5293" s="1207"/>
      <c r="Q5293" s="1207"/>
    </row>
    <row r="5294" spans="3:17" s="700" customFormat="1" ht="70.5" hidden="1" customHeight="1">
      <c r="C5294" s="701"/>
      <c r="D5294" s="811"/>
      <c r="E5294" s="1276">
        <f>[11]building!Y5625</f>
        <v>0</v>
      </c>
      <c r="F5294" s="748">
        <f t="shared" si="321"/>
        <v>0</v>
      </c>
      <c r="G5294" s="1205"/>
      <c r="H5294" s="1055"/>
      <c r="I5294" s="1055"/>
      <c r="J5294" s="1055"/>
      <c r="K5294" s="1205"/>
      <c r="L5294" s="1055"/>
      <c r="M5294" s="1205"/>
      <c r="N5294" s="1054"/>
      <c r="O5294" s="1207"/>
      <c r="Q5294" s="1207"/>
    </row>
    <row r="5295" spans="3:17" s="700" customFormat="1" ht="70.5" hidden="1" customHeight="1">
      <c r="C5295" s="701"/>
      <c r="D5295" s="811"/>
      <c r="E5295" s="1276">
        <f>[11]building!Y5626</f>
        <v>0</v>
      </c>
      <c r="F5295" s="748">
        <f t="shared" si="321"/>
        <v>0</v>
      </c>
      <c r="G5295" s="1205"/>
      <c r="H5295" s="1055"/>
      <c r="I5295" s="1055"/>
      <c r="J5295" s="1055"/>
      <c r="K5295" s="1205"/>
      <c r="L5295" s="1055"/>
      <c r="M5295" s="1205"/>
      <c r="N5295" s="1054"/>
      <c r="O5295" s="1207"/>
      <c r="Q5295" s="1207"/>
    </row>
    <row r="5296" spans="3:17" s="700" customFormat="1" ht="70.5" hidden="1" customHeight="1">
      <c r="C5296" s="701"/>
      <c r="D5296" s="811"/>
      <c r="E5296" s="1276">
        <f>[11]building!Y5627</f>
        <v>0</v>
      </c>
      <c r="F5296" s="748">
        <f t="shared" si="321"/>
        <v>0</v>
      </c>
      <c r="G5296" s="1205"/>
      <c r="H5296" s="1055"/>
      <c r="I5296" s="1055"/>
      <c r="J5296" s="1055"/>
      <c r="K5296" s="1205"/>
      <c r="L5296" s="1055"/>
      <c r="M5296" s="1205"/>
      <c r="N5296" s="1054"/>
      <c r="O5296" s="1207"/>
      <c r="Q5296" s="1207"/>
    </row>
    <row r="5297" spans="3:17" s="700" customFormat="1" ht="70.5" hidden="1" customHeight="1">
      <c r="C5297" s="701"/>
      <c r="D5297" s="811"/>
      <c r="E5297" s="1276">
        <f>[11]building!Y5628</f>
        <v>0</v>
      </c>
      <c r="F5297" s="748">
        <f t="shared" si="321"/>
        <v>0</v>
      </c>
      <c r="G5297" s="1205"/>
      <c r="H5297" s="1055"/>
      <c r="I5297" s="1055"/>
      <c r="J5297" s="1055"/>
      <c r="K5297" s="1205"/>
      <c r="L5297" s="1055"/>
      <c r="M5297" s="1205"/>
      <c r="N5297" s="1054"/>
      <c r="O5297" s="1207"/>
      <c r="Q5297" s="1207"/>
    </row>
    <row r="5298" spans="3:17" s="700" customFormat="1" ht="70.5" hidden="1" customHeight="1">
      <c r="C5298" s="701"/>
      <c r="D5298" s="811"/>
      <c r="E5298" s="1276">
        <f>[11]building!Y5629</f>
        <v>0</v>
      </c>
      <c r="F5298" s="748">
        <f t="shared" si="321"/>
        <v>0</v>
      </c>
      <c r="G5298" s="1205"/>
      <c r="H5298" s="1055"/>
      <c r="I5298" s="1055"/>
      <c r="J5298" s="1055"/>
      <c r="K5298" s="1205"/>
      <c r="L5298" s="1055"/>
      <c r="M5298" s="1205"/>
      <c r="N5298" s="1054"/>
      <c r="O5298" s="1207"/>
      <c r="Q5298" s="1207"/>
    </row>
    <row r="5299" spans="3:17" s="700" customFormat="1" ht="70.5" hidden="1" customHeight="1">
      <c r="C5299" s="701"/>
      <c r="D5299" s="811"/>
      <c r="E5299" s="1276">
        <f>[11]building!Y5630</f>
        <v>0</v>
      </c>
      <c r="F5299" s="748">
        <f t="shared" si="321"/>
        <v>0</v>
      </c>
      <c r="G5299" s="1205"/>
      <c r="H5299" s="1055"/>
      <c r="I5299" s="1055"/>
      <c r="J5299" s="1055"/>
      <c r="K5299" s="1205"/>
      <c r="L5299" s="1055"/>
      <c r="M5299" s="1205"/>
      <c r="N5299" s="1054"/>
      <c r="O5299" s="1207"/>
      <c r="Q5299" s="1207"/>
    </row>
    <row r="5300" spans="3:17" s="700" customFormat="1" ht="70.5" hidden="1" customHeight="1">
      <c r="C5300" s="701"/>
      <c r="D5300" s="811"/>
      <c r="E5300" s="1276">
        <f>[11]building!Y5631</f>
        <v>0</v>
      </c>
      <c r="F5300" s="748">
        <f t="shared" si="321"/>
        <v>0</v>
      </c>
      <c r="G5300" s="1205"/>
      <c r="H5300" s="1055"/>
      <c r="I5300" s="1055"/>
      <c r="J5300" s="1055"/>
      <c r="K5300" s="1205"/>
      <c r="L5300" s="1055"/>
      <c r="M5300" s="1205"/>
      <c r="N5300" s="1054"/>
      <c r="O5300" s="1207"/>
      <c r="Q5300" s="1207"/>
    </row>
    <row r="5301" spans="3:17" s="700" customFormat="1" ht="70.5" hidden="1" customHeight="1">
      <c r="C5301" s="701"/>
      <c r="D5301" s="811"/>
      <c r="E5301" s="1276">
        <f>[11]building!Y5632</f>
        <v>0</v>
      </c>
      <c r="F5301" s="748">
        <f t="shared" si="321"/>
        <v>0</v>
      </c>
      <c r="G5301" s="1205"/>
      <c r="H5301" s="1055"/>
      <c r="I5301" s="1055"/>
      <c r="J5301" s="1055"/>
      <c r="K5301" s="1205"/>
      <c r="L5301" s="1055"/>
      <c r="M5301" s="1205"/>
      <c r="N5301" s="1054"/>
      <c r="O5301" s="1207"/>
      <c r="Q5301" s="1207"/>
    </row>
    <row r="5302" spans="3:17" s="700" customFormat="1" ht="70.5" hidden="1" customHeight="1">
      <c r="C5302" s="701"/>
      <c r="D5302" s="811"/>
      <c r="E5302" s="1276">
        <f>[11]building!Y5633</f>
        <v>0</v>
      </c>
      <c r="F5302" s="748">
        <f t="shared" si="321"/>
        <v>0</v>
      </c>
      <c r="G5302" s="1205"/>
      <c r="H5302" s="1055"/>
      <c r="I5302" s="1055"/>
      <c r="J5302" s="1055"/>
      <c r="K5302" s="1205"/>
      <c r="L5302" s="1055"/>
      <c r="M5302" s="1205"/>
      <c r="N5302" s="1054"/>
      <c r="O5302" s="1207"/>
      <c r="Q5302" s="1207"/>
    </row>
    <row r="5303" spans="3:17" s="700" customFormat="1" ht="70.5" hidden="1" customHeight="1">
      <c r="C5303" s="701"/>
      <c r="D5303" s="811"/>
      <c r="E5303" s="1276">
        <f>[11]building!Y5634</f>
        <v>0</v>
      </c>
      <c r="F5303" s="748">
        <f t="shared" si="321"/>
        <v>0</v>
      </c>
      <c r="G5303" s="1205"/>
      <c r="H5303" s="1055"/>
      <c r="I5303" s="1055"/>
      <c r="J5303" s="1055"/>
      <c r="K5303" s="1205"/>
      <c r="L5303" s="1055"/>
      <c r="M5303" s="1205"/>
      <c r="N5303" s="1054"/>
      <c r="O5303" s="1207"/>
      <c r="Q5303" s="1207"/>
    </row>
    <row r="5304" spans="3:17" s="700" customFormat="1" ht="70.5" hidden="1" customHeight="1">
      <c r="C5304" s="701"/>
      <c r="D5304" s="811"/>
      <c r="E5304" s="1276">
        <f>[11]building!Y5635</f>
        <v>0</v>
      </c>
      <c r="F5304" s="748">
        <f t="shared" si="321"/>
        <v>0</v>
      </c>
      <c r="G5304" s="1205"/>
      <c r="H5304" s="1055"/>
      <c r="I5304" s="1055"/>
      <c r="J5304" s="1055"/>
      <c r="K5304" s="1205"/>
      <c r="L5304" s="1055"/>
      <c r="M5304" s="1205"/>
      <c r="N5304" s="1054"/>
      <c r="O5304" s="1207"/>
      <c r="Q5304" s="1207"/>
    </row>
    <row r="5305" spans="3:17" s="700" customFormat="1" ht="70.5" hidden="1" customHeight="1">
      <c r="C5305" s="701"/>
      <c r="D5305" s="811"/>
      <c r="E5305" s="1276">
        <f>[11]building!Y5636</f>
        <v>0</v>
      </c>
      <c r="F5305" s="748">
        <f t="shared" si="321"/>
        <v>0</v>
      </c>
      <c r="G5305" s="1205"/>
      <c r="H5305" s="1055"/>
      <c r="I5305" s="1055"/>
      <c r="J5305" s="1055"/>
      <c r="K5305" s="1205"/>
      <c r="L5305" s="1055"/>
      <c r="M5305" s="1205"/>
      <c r="N5305" s="1054"/>
      <c r="O5305" s="1207"/>
      <c r="Q5305" s="1207"/>
    </row>
    <row r="5306" spans="3:17" s="700" customFormat="1" ht="70.5" hidden="1" customHeight="1">
      <c r="C5306" s="701"/>
      <c r="D5306" s="811"/>
      <c r="E5306" s="1276">
        <f>[11]building!Y5637</f>
        <v>0</v>
      </c>
      <c r="F5306" s="748">
        <f t="shared" si="321"/>
        <v>0</v>
      </c>
      <c r="G5306" s="1205"/>
      <c r="H5306" s="1055"/>
      <c r="I5306" s="1055"/>
      <c r="J5306" s="1055"/>
      <c r="K5306" s="1205"/>
      <c r="L5306" s="1055"/>
      <c r="M5306" s="1205"/>
      <c r="N5306" s="1054"/>
      <c r="O5306" s="1207"/>
      <c r="Q5306" s="1207"/>
    </row>
    <row r="5307" spans="3:17" s="700" customFormat="1" ht="70.5" hidden="1" customHeight="1">
      <c r="C5307" s="701"/>
      <c r="D5307" s="811"/>
      <c r="E5307" s="1276">
        <f>[11]building!Y5638</f>
        <v>0</v>
      </c>
      <c r="F5307" s="748">
        <f t="shared" si="321"/>
        <v>0</v>
      </c>
      <c r="G5307" s="1205"/>
      <c r="H5307" s="1055"/>
      <c r="I5307" s="1055"/>
      <c r="J5307" s="1055"/>
      <c r="K5307" s="1205"/>
      <c r="L5307" s="1055"/>
      <c r="M5307" s="1205"/>
      <c r="N5307" s="1054"/>
      <c r="O5307" s="1207"/>
      <c r="Q5307" s="1207"/>
    </row>
    <row r="5308" spans="3:17" s="700" customFormat="1" ht="70.5" hidden="1" customHeight="1">
      <c r="C5308" s="701"/>
      <c r="D5308" s="811"/>
      <c r="E5308" s="1276">
        <f>[11]building!Y5639</f>
        <v>0</v>
      </c>
      <c r="F5308" s="748">
        <f t="shared" si="321"/>
        <v>0</v>
      </c>
      <c r="G5308" s="1205"/>
      <c r="H5308" s="1055"/>
      <c r="I5308" s="1055"/>
      <c r="J5308" s="1055"/>
      <c r="K5308" s="1205"/>
      <c r="L5308" s="1055"/>
      <c r="M5308" s="1205"/>
      <c r="N5308" s="1054"/>
      <c r="O5308" s="1207"/>
      <c r="Q5308" s="1207"/>
    </row>
    <row r="5309" spans="3:17" s="700" customFormat="1" ht="70.5" hidden="1" customHeight="1">
      <c r="C5309" s="701"/>
      <c r="D5309" s="811"/>
      <c r="E5309" s="1276">
        <f>[11]building!Y5640</f>
        <v>0</v>
      </c>
      <c r="F5309" s="748">
        <f t="shared" si="321"/>
        <v>0</v>
      </c>
      <c r="G5309" s="1205"/>
      <c r="H5309" s="1055"/>
      <c r="I5309" s="1055"/>
      <c r="J5309" s="1055"/>
      <c r="K5309" s="1205"/>
      <c r="L5309" s="1055"/>
      <c r="M5309" s="1205"/>
      <c r="N5309" s="1054"/>
      <c r="O5309" s="1207"/>
      <c r="Q5309" s="1207"/>
    </row>
    <row r="5310" spans="3:17" s="700" customFormat="1" ht="70.5" hidden="1" customHeight="1">
      <c r="C5310" s="701"/>
      <c r="D5310" s="811"/>
      <c r="E5310" s="1276">
        <f>[11]building!Y5641</f>
        <v>0</v>
      </c>
      <c r="F5310" s="748">
        <f t="shared" si="321"/>
        <v>0</v>
      </c>
      <c r="G5310" s="1205"/>
      <c r="H5310" s="1055"/>
      <c r="I5310" s="1055"/>
      <c r="J5310" s="1055"/>
      <c r="K5310" s="1205"/>
      <c r="L5310" s="1055"/>
      <c r="M5310" s="1205"/>
      <c r="N5310" s="1054"/>
      <c r="O5310" s="1207"/>
      <c r="Q5310" s="1207"/>
    </row>
    <row r="5311" spans="3:17" s="700" customFormat="1" ht="70.5" hidden="1" customHeight="1">
      <c r="C5311" s="701"/>
      <c r="D5311" s="811"/>
      <c r="E5311" s="1276">
        <f>[11]building!Y5642</f>
        <v>0</v>
      </c>
      <c r="F5311" s="748">
        <f t="shared" si="321"/>
        <v>0</v>
      </c>
      <c r="G5311" s="1205"/>
      <c r="H5311" s="1055"/>
      <c r="I5311" s="1055"/>
      <c r="J5311" s="1055"/>
      <c r="K5311" s="1205"/>
      <c r="L5311" s="1055"/>
      <c r="M5311" s="1205"/>
      <c r="N5311" s="1054"/>
      <c r="O5311" s="1207"/>
      <c r="Q5311" s="1207"/>
    </row>
    <row r="5312" spans="3:17" s="700" customFormat="1" ht="70.5" hidden="1" customHeight="1">
      <c r="C5312" s="701"/>
      <c r="D5312" s="811"/>
      <c r="E5312" s="1276">
        <f>[11]building!Y5643</f>
        <v>0</v>
      </c>
      <c r="F5312" s="748">
        <f t="shared" ref="F5312:F5375" si="322">E5312*C5312</f>
        <v>0</v>
      </c>
      <c r="G5312" s="1205"/>
      <c r="H5312" s="1055"/>
      <c r="I5312" s="1055"/>
      <c r="J5312" s="1055"/>
      <c r="K5312" s="1205"/>
      <c r="L5312" s="1055"/>
      <c r="M5312" s="1205"/>
      <c r="N5312" s="1054"/>
      <c r="O5312" s="1207"/>
      <c r="Q5312" s="1207"/>
    </row>
    <row r="5313" spans="3:17" s="700" customFormat="1" ht="70.5" hidden="1" customHeight="1">
      <c r="C5313" s="701"/>
      <c r="D5313" s="811"/>
      <c r="E5313" s="1276">
        <f>[11]building!Y5644</f>
        <v>0</v>
      </c>
      <c r="F5313" s="748">
        <f t="shared" si="322"/>
        <v>0</v>
      </c>
      <c r="G5313" s="1205"/>
      <c r="H5313" s="1055"/>
      <c r="I5313" s="1055"/>
      <c r="J5313" s="1055"/>
      <c r="K5313" s="1205"/>
      <c r="L5313" s="1055"/>
      <c r="M5313" s="1205"/>
      <c r="N5313" s="1054"/>
      <c r="O5313" s="1207"/>
      <c r="Q5313" s="1207"/>
    </row>
    <row r="5314" spans="3:17" s="700" customFormat="1" ht="70.5" hidden="1" customHeight="1">
      <c r="C5314" s="701"/>
      <c r="D5314" s="811"/>
      <c r="E5314" s="1276">
        <f>[11]building!Y5645</f>
        <v>0</v>
      </c>
      <c r="F5314" s="748">
        <f t="shared" si="322"/>
        <v>0</v>
      </c>
      <c r="G5314" s="1205"/>
      <c r="H5314" s="1055"/>
      <c r="I5314" s="1055"/>
      <c r="J5314" s="1055"/>
      <c r="K5314" s="1205"/>
      <c r="L5314" s="1055"/>
      <c r="M5314" s="1205"/>
      <c r="N5314" s="1054"/>
      <c r="O5314" s="1207"/>
      <c r="Q5314" s="1207"/>
    </row>
    <row r="5315" spans="3:17" s="700" customFormat="1" ht="70.5" hidden="1" customHeight="1">
      <c r="C5315" s="701"/>
      <c r="D5315" s="811"/>
      <c r="E5315" s="1276">
        <f>[11]building!Y5646</f>
        <v>0</v>
      </c>
      <c r="F5315" s="748">
        <f t="shared" si="322"/>
        <v>0</v>
      </c>
      <c r="G5315" s="1205"/>
      <c r="H5315" s="1055"/>
      <c r="I5315" s="1055"/>
      <c r="J5315" s="1055"/>
      <c r="K5315" s="1205"/>
      <c r="L5315" s="1055"/>
      <c r="M5315" s="1205"/>
      <c r="N5315" s="1054"/>
      <c r="O5315" s="1207"/>
      <c r="Q5315" s="1207"/>
    </row>
    <row r="5316" spans="3:17" s="700" customFormat="1" ht="70.5" hidden="1" customHeight="1">
      <c r="C5316" s="701"/>
      <c r="D5316" s="811"/>
      <c r="E5316" s="1276">
        <f>[11]building!Y5647</f>
        <v>0</v>
      </c>
      <c r="F5316" s="748">
        <f t="shared" si="322"/>
        <v>0</v>
      </c>
      <c r="G5316" s="1205"/>
      <c r="H5316" s="1055"/>
      <c r="I5316" s="1055"/>
      <c r="J5316" s="1055"/>
      <c r="K5316" s="1205"/>
      <c r="L5316" s="1055"/>
      <c r="M5316" s="1205"/>
      <c r="N5316" s="1054"/>
      <c r="O5316" s="1207"/>
      <c r="Q5316" s="1207"/>
    </row>
    <row r="5317" spans="3:17" s="700" customFormat="1" ht="70.5" hidden="1" customHeight="1">
      <c r="C5317" s="701"/>
      <c r="D5317" s="811"/>
      <c r="E5317" s="1276">
        <f>[11]building!Y5648</f>
        <v>0</v>
      </c>
      <c r="F5317" s="748">
        <f t="shared" si="322"/>
        <v>0</v>
      </c>
      <c r="G5317" s="1205"/>
      <c r="H5317" s="1055"/>
      <c r="I5317" s="1055"/>
      <c r="J5317" s="1055"/>
      <c r="K5317" s="1205"/>
      <c r="L5317" s="1055"/>
      <c r="M5317" s="1205"/>
      <c r="N5317" s="1054"/>
      <c r="O5317" s="1207"/>
      <c r="Q5317" s="1207"/>
    </row>
    <row r="5318" spans="3:17" s="700" customFormat="1" ht="70.5" hidden="1" customHeight="1">
      <c r="C5318" s="701"/>
      <c r="D5318" s="811"/>
      <c r="E5318" s="1276">
        <f>[11]building!Y5649</f>
        <v>0</v>
      </c>
      <c r="F5318" s="748">
        <f t="shared" si="322"/>
        <v>0</v>
      </c>
      <c r="G5318" s="1205"/>
      <c r="H5318" s="1055"/>
      <c r="I5318" s="1055"/>
      <c r="J5318" s="1055"/>
      <c r="K5318" s="1205"/>
      <c r="L5318" s="1055"/>
      <c r="M5318" s="1205"/>
      <c r="N5318" s="1054"/>
      <c r="O5318" s="1207"/>
      <c r="Q5318" s="1207"/>
    </row>
    <row r="5319" spans="3:17" s="700" customFormat="1" ht="70.5" hidden="1" customHeight="1">
      <c r="C5319" s="701"/>
      <c r="D5319" s="811"/>
      <c r="E5319" s="1276">
        <f>[11]building!Y5650</f>
        <v>0</v>
      </c>
      <c r="F5319" s="748">
        <f t="shared" si="322"/>
        <v>0</v>
      </c>
      <c r="G5319" s="1205"/>
      <c r="H5319" s="1055"/>
      <c r="I5319" s="1055"/>
      <c r="J5319" s="1055"/>
      <c r="K5319" s="1205"/>
      <c r="L5319" s="1055"/>
      <c r="M5319" s="1205"/>
      <c r="N5319" s="1054"/>
      <c r="O5319" s="1207"/>
      <c r="Q5319" s="1207"/>
    </row>
    <row r="5320" spans="3:17" s="700" customFormat="1" ht="70.5" hidden="1" customHeight="1">
      <c r="C5320" s="701"/>
      <c r="D5320" s="811"/>
      <c r="E5320" s="1276">
        <f>[11]building!Y5651</f>
        <v>0</v>
      </c>
      <c r="F5320" s="748">
        <f t="shared" si="322"/>
        <v>0</v>
      </c>
      <c r="G5320" s="1205"/>
      <c r="H5320" s="1055"/>
      <c r="I5320" s="1055"/>
      <c r="J5320" s="1055"/>
      <c r="K5320" s="1205"/>
      <c r="L5320" s="1055"/>
      <c r="M5320" s="1205"/>
      <c r="N5320" s="1054"/>
      <c r="O5320" s="1207"/>
      <c r="Q5320" s="1207"/>
    </row>
    <row r="5321" spans="3:17" s="700" customFormat="1" ht="70.5" hidden="1" customHeight="1">
      <c r="C5321" s="701"/>
      <c r="D5321" s="811"/>
      <c r="E5321" s="1276">
        <f>[11]building!Y5652</f>
        <v>0</v>
      </c>
      <c r="F5321" s="748">
        <f t="shared" si="322"/>
        <v>0</v>
      </c>
      <c r="G5321" s="1205"/>
      <c r="H5321" s="1055"/>
      <c r="I5321" s="1055"/>
      <c r="J5321" s="1055"/>
      <c r="K5321" s="1205"/>
      <c r="L5321" s="1055"/>
      <c r="M5321" s="1205"/>
      <c r="N5321" s="1054"/>
      <c r="O5321" s="1207"/>
      <c r="Q5321" s="1207"/>
    </row>
    <row r="5322" spans="3:17" s="700" customFormat="1" ht="70.5" hidden="1" customHeight="1">
      <c r="C5322" s="701"/>
      <c r="D5322" s="811"/>
      <c r="E5322" s="1276">
        <f>[11]building!Y5653</f>
        <v>0</v>
      </c>
      <c r="F5322" s="748">
        <f t="shared" si="322"/>
        <v>0</v>
      </c>
      <c r="G5322" s="1205"/>
      <c r="H5322" s="1055"/>
      <c r="I5322" s="1055"/>
      <c r="J5322" s="1055"/>
      <c r="K5322" s="1205"/>
      <c r="L5322" s="1055"/>
      <c r="M5322" s="1205"/>
      <c r="N5322" s="1054"/>
      <c r="O5322" s="1207"/>
      <c r="Q5322" s="1207"/>
    </row>
    <row r="5323" spans="3:17" s="700" customFormat="1" ht="70.5" hidden="1" customHeight="1">
      <c r="C5323" s="701"/>
      <c r="D5323" s="811"/>
      <c r="E5323" s="1276">
        <f>[11]building!Y5654</f>
        <v>0</v>
      </c>
      <c r="F5323" s="748">
        <f t="shared" si="322"/>
        <v>0</v>
      </c>
      <c r="G5323" s="1205"/>
      <c r="H5323" s="1055"/>
      <c r="I5323" s="1055"/>
      <c r="J5323" s="1055"/>
      <c r="K5323" s="1205"/>
      <c r="L5323" s="1055"/>
      <c r="M5323" s="1205"/>
      <c r="N5323" s="1054"/>
      <c r="O5323" s="1207"/>
      <c r="Q5323" s="1207"/>
    </row>
    <row r="5324" spans="3:17" s="700" customFormat="1" ht="70.5" hidden="1" customHeight="1">
      <c r="C5324" s="701"/>
      <c r="D5324" s="811"/>
      <c r="E5324" s="1276">
        <f>[11]building!Y5655</f>
        <v>0</v>
      </c>
      <c r="F5324" s="748">
        <f t="shared" si="322"/>
        <v>0</v>
      </c>
      <c r="G5324" s="1205"/>
      <c r="H5324" s="1055"/>
      <c r="I5324" s="1055"/>
      <c r="J5324" s="1055"/>
      <c r="K5324" s="1205"/>
      <c r="L5324" s="1055"/>
      <c r="M5324" s="1205"/>
      <c r="N5324" s="1054"/>
      <c r="O5324" s="1207"/>
      <c r="Q5324" s="1207"/>
    </row>
    <row r="5325" spans="3:17" s="700" customFormat="1" ht="70.5" hidden="1" customHeight="1">
      <c r="C5325" s="701"/>
      <c r="D5325" s="811"/>
      <c r="E5325" s="1276">
        <f>[11]building!Y5656</f>
        <v>0</v>
      </c>
      <c r="F5325" s="748">
        <f t="shared" si="322"/>
        <v>0</v>
      </c>
      <c r="G5325" s="1205"/>
      <c r="H5325" s="1055"/>
      <c r="I5325" s="1055"/>
      <c r="J5325" s="1055"/>
      <c r="K5325" s="1205"/>
      <c r="L5325" s="1055"/>
      <c r="M5325" s="1205"/>
      <c r="N5325" s="1054"/>
      <c r="O5325" s="1207"/>
      <c r="Q5325" s="1207"/>
    </row>
    <row r="5326" spans="3:17" s="700" customFormat="1" ht="70.5" hidden="1" customHeight="1">
      <c r="C5326" s="701"/>
      <c r="D5326" s="811"/>
      <c r="E5326" s="1276">
        <f>[11]building!Y5657</f>
        <v>0</v>
      </c>
      <c r="F5326" s="748">
        <f t="shared" si="322"/>
        <v>0</v>
      </c>
      <c r="G5326" s="1205"/>
      <c r="H5326" s="1055"/>
      <c r="I5326" s="1055"/>
      <c r="J5326" s="1055"/>
      <c r="K5326" s="1205"/>
      <c r="L5326" s="1055"/>
      <c r="M5326" s="1205"/>
      <c r="N5326" s="1054"/>
      <c r="O5326" s="1207"/>
      <c r="Q5326" s="1207"/>
    </row>
    <row r="5327" spans="3:17" s="700" customFormat="1" ht="70.5" hidden="1" customHeight="1">
      <c r="C5327" s="701"/>
      <c r="D5327" s="811"/>
      <c r="E5327" s="1276">
        <f>[11]building!Y5658</f>
        <v>0</v>
      </c>
      <c r="F5327" s="748">
        <f t="shared" si="322"/>
        <v>0</v>
      </c>
      <c r="G5327" s="1205"/>
      <c r="H5327" s="1055"/>
      <c r="I5327" s="1055"/>
      <c r="J5327" s="1055"/>
      <c r="K5327" s="1205"/>
      <c r="L5327" s="1055"/>
      <c r="M5327" s="1205"/>
      <c r="N5327" s="1054"/>
      <c r="O5327" s="1207"/>
      <c r="Q5327" s="1207"/>
    </row>
    <row r="5328" spans="3:17" s="700" customFormat="1" ht="70.5" hidden="1" customHeight="1">
      <c r="C5328" s="701"/>
      <c r="D5328" s="811"/>
      <c r="E5328" s="1276">
        <f>[11]building!Y5659</f>
        <v>0</v>
      </c>
      <c r="F5328" s="748">
        <f t="shared" si="322"/>
        <v>0</v>
      </c>
      <c r="G5328" s="1205"/>
      <c r="H5328" s="1055"/>
      <c r="I5328" s="1055"/>
      <c r="J5328" s="1055"/>
      <c r="K5328" s="1205"/>
      <c r="L5328" s="1055"/>
      <c r="M5328" s="1205"/>
      <c r="N5328" s="1054"/>
      <c r="O5328" s="1207"/>
      <c r="Q5328" s="1207"/>
    </row>
    <row r="5329" spans="3:17" s="700" customFormat="1" ht="70.5" hidden="1" customHeight="1">
      <c r="C5329" s="701"/>
      <c r="D5329" s="811"/>
      <c r="E5329" s="1276">
        <f>[11]building!Y5660</f>
        <v>0</v>
      </c>
      <c r="F5329" s="748">
        <f t="shared" si="322"/>
        <v>0</v>
      </c>
      <c r="G5329" s="1205"/>
      <c r="H5329" s="1055"/>
      <c r="I5329" s="1055"/>
      <c r="J5329" s="1055"/>
      <c r="K5329" s="1205"/>
      <c r="L5329" s="1055"/>
      <c r="M5329" s="1205"/>
      <c r="N5329" s="1054"/>
      <c r="O5329" s="1207"/>
      <c r="Q5329" s="1207"/>
    </row>
    <row r="5330" spans="3:17" s="700" customFormat="1" ht="70.5" hidden="1" customHeight="1">
      <c r="C5330" s="701"/>
      <c r="D5330" s="811"/>
      <c r="E5330" s="1276">
        <f>[11]building!Y5661</f>
        <v>0</v>
      </c>
      <c r="F5330" s="748">
        <f t="shared" si="322"/>
        <v>0</v>
      </c>
      <c r="G5330" s="1205"/>
      <c r="H5330" s="1055"/>
      <c r="I5330" s="1055"/>
      <c r="J5330" s="1055"/>
      <c r="K5330" s="1205"/>
      <c r="L5330" s="1055"/>
      <c r="M5330" s="1205"/>
      <c r="N5330" s="1054"/>
      <c r="O5330" s="1207"/>
      <c r="Q5330" s="1207"/>
    </row>
    <row r="5331" spans="3:17" s="700" customFormat="1" ht="70.5" hidden="1" customHeight="1">
      <c r="C5331" s="701"/>
      <c r="D5331" s="811"/>
      <c r="E5331" s="1276">
        <f>[11]building!Y5662</f>
        <v>0</v>
      </c>
      <c r="F5331" s="748">
        <f t="shared" si="322"/>
        <v>0</v>
      </c>
      <c r="G5331" s="1205"/>
      <c r="H5331" s="1055"/>
      <c r="I5331" s="1055"/>
      <c r="J5331" s="1055"/>
      <c r="K5331" s="1205"/>
      <c r="L5331" s="1055"/>
      <c r="M5331" s="1205"/>
      <c r="N5331" s="1054"/>
      <c r="O5331" s="1207"/>
      <c r="Q5331" s="1207"/>
    </row>
    <row r="5332" spans="3:17" s="700" customFormat="1" ht="70.5" hidden="1" customHeight="1">
      <c r="C5332" s="701"/>
      <c r="D5332" s="811"/>
      <c r="E5332" s="1276">
        <f>[11]building!Y5663</f>
        <v>0</v>
      </c>
      <c r="F5332" s="748">
        <f t="shared" si="322"/>
        <v>0</v>
      </c>
      <c r="G5332" s="1205"/>
      <c r="H5332" s="1055"/>
      <c r="I5332" s="1055"/>
      <c r="J5332" s="1055"/>
      <c r="K5332" s="1205"/>
      <c r="L5332" s="1055"/>
      <c r="M5332" s="1205"/>
      <c r="N5332" s="1054"/>
      <c r="O5332" s="1207"/>
      <c r="Q5332" s="1207"/>
    </row>
    <row r="5333" spans="3:17" s="700" customFormat="1" ht="70.5" hidden="1" customHeight="1">
      <c r="C5333" s="701"/>
      <c r="D5333" s="811"/>
      <c r="E5333" s="1276">
        <f>[11]building!Y5664</f>
        <v>0</v>
      </c>
      <c r="F5333" s="748">
        <f t="shared" si="322"/>
        <v>0</v>
      </c>
      <c r="G5333" s="1205"/>
      <c r="H5333" s="1055"/>
      <c r="I5333" s="1055"/>
      <c r="J5333" s="1055"/>
      <c r="K5333" s="1205"/>
      <c r="L5333" s="1055"/>
      <c r="M5333" s="1205"/>
      <c r="N5333" s="1054"/>
      <c r="O5333" s="1207"/>
      <c r="Q5333" s="1207"/>
    </row>
    <row r="5334" spans="3:17" s="700" customFormat="1" ht="70.5" hidden="1" customHeight="1">
      <c r="C5334" s="701"/>
      <c r="D5334" s="811"/>
      <c r="E5334" s="1276">
        <f>[11]building!Y5665</f>
        <v>0</v>
      </c>
      <c r="F5334" s="748">
        <f t="shared" si="322"/>
        <v>0</v>
      </c>
      <c r="G5334" s="1205"/>
      <c r="H5334" s="1055"/>
      <c r="I5334" s="1055"/>
      <c r="J5334" s="1055"/>
      <c r="K5334" s="1205"/>
      <c r="L5334" s="1055"/>
      <c r="M5334" s="1205"/>
      <c r="N5334" s="1054"/>
      <c r="O5334" s="1207"/>
      <c r="Q5334" s="1207"/>
    </row>
    <row r="5335" spans="3:17" s="700" customFormat="1" ht="70.5" hidden="1" customHeight="1">
      <c r="C5335" s="701"/>
      <c r="D5335" s="811"/>
      <c r="E5335" s="1276">
        <f>[11]building!Y5666</f>
        <v>0</v>
      </c>
      <c r="F5335" s="748">
        <f t="shared" si="322"/>
        <v>0</v>
      </c>
      <c r="G5335" s="1205"/>
      <c r="H5335" s="1055"/>
      <c r="I5335" s="1055"/>
      <c r="J5335" s="1055"/>
      <c r="K5335" s="1205"/>
      <c r="L5335" s="1055"/>
      <c r="M5335" s="1205"/>
      <c r="N5335" s="1054"/>
      <c r="O5335" s="1207"/>
      <c r="Q5335" s="1207"/>
    </row>
    <row r="5336" spans="3:17" s="700" customFormat="1" ht="70.5" hidden="1" customHeight="1">
      <c r="C5336" s="701"/>
      <c r="D5336" s="811"/>
      <c r="E5336" s="1276">
        <f>[11]building!Y5667</f>
        <v>0</v>
      </c>
      <c r="F5336" s="748">
        <f t="shared" si="322"/>
        <v>0</v>
      </c>
      <c r="G5336" s="1205"/>
      <c r="H5336" s="1055"/>
      <c r="I5336" s="1055"/>
      <c r="J5336" s="1055"/>
      <c r="K5336" s="1205"/>
      <c r="L5336" s="1055"/>
      <c r="M5336" s="1205"/>
      <c r="N5336" s="1054"/>
      <c r="O5336" s="1207"/>
      <c r="Q5336" s="1207"/>
    </row>
    <row r="5337" spans="3:17" s="700" customFormat="1" ht="70.5" hidden="1" customHeight="1">
      <c r="C5337" s="701"/>
      <c r="D5337" s="811"/>
      <c r="E5337" s="1276">
        <f>[11]building!Y5668</f>
        <v>0</v>
      </c>
      <c r="F5337" s="748">
        <f t="shared" si="322"/>
        <v>0</v>
      </c>
      <c r="G5337" s="1205"/>
      <c r="H5337" s="1055"/>
      <c r="I5337" s="1055"/>
      <c r="J5337" s="1055"/>
      <c r="K5337" s="1205"/>
      <c r="L5337" s="1055"/>
      <c r="M5337" s="1205"/>
      <c r="N5337" s="1054"/>
      <c r="O5337" s="1207"/>
      <c r="Q5337" s="1207"/>
    </row>
    <row r="5338" spans="3:17" s="700" customFormat="1" ht="70.5" hidden="1" customHeight="1">
      <c r="C5338" s="701"/>
      <c r="D5338" s="811"/>
      <c r="E5338" s="1276">
        <f>[11]building!Y5669</f>
        <v>0</v>
      </c>
      <c r="F5338" s="748">
        <f t="shared" si="322"/>
        <v>0</v>
      </c>
      <c r="G5338" s="1205"/>
      <c r="H5338" s="1055"/>
      <c r="I5338" s="1055"/>
      <c r="J5338" s="1055"/>
      <c r="K5338" s="1205"/>
      <c r="L5338" s="1055"/>
      <c r="M5338" s="1205"/>
      <c r="N5338" s="1054"/>
      <c r="O5338" s="1207"/>
      <c r="Q5338" s="1207"/>
    </row>
    <row r="5339" spans="3:17" s="700" customFormat="1" ht="70.5" hidden="1" customHeight="1">
      <c r="C5339" s="701"/>
      <c r="D5339" s="811"/>
      <c r="E5339" s="1276">
        <f>[11]building!Y5670</f>
        <v>0</v>
      </c>
      <c r="F5339" s="748">
        <f t="shared" si="322"/>
        <v>0</v>
      </c>
      <c r="G5339" s="1205"/>
      <c r="H5339" s="1055"/>
      <c r="I5339" s="1055"/>
      <c r="J5339" s="1055"/>
      <c r="K5339" s="1205"/>
      <c r="L5339" s="1055"/>
      <c r="M5339" s="1205"/>
      <c r="N5339" s="1054"/>
      <c r="O5339" s="1207"/>
      <c r="Q5339" s="1207"/>
    </row>
    <row r="5340" spans="3:17" s="700" customFormat="1" ht="70.5" hidden="1" customHeight="1">
      <c r="C5340" s="701"/>
      <c r="D5340" s="811"/>
      <c r="E5340" s="1276">
        <f>[11]building!Y5671</f>
        <v>0</v>
      </c>
      <c r="F5340" s="748">
        <f t="shared" si="322"/>
        <v>0</v>
      </c>
      <c r="G5340" s="1205"/>
      <c r="H5340" s="1055"/>
      <c r="I5340" s="1055"/>
      <c r="J5340" s="1055"/>
      <c r="K5340" s="1205"/>
      <c r="L5340" s="1055"/>
      <c r="M5340" s="1205"/>
      <c r="N5340" s="1054"/>
      <c r="O5340" s="1207"/>
      <c r="Q5340" s="1207"/>
    </row>
    <row r="5341" spans="3:17" s="700" customFormat="1" ht="70.5" hidden="1" customHeight="1">
      <c r="C5341" s="701"/>
      <c r="D5341" s="811"/>
      <c r="E5341" s="1276">
        <f>[11]building!Y5672</f>
        <v>0</v>
      </c>
      <c r="F5341" s="748">
        <f t="shared" si="322"/>
        <v>0</v>
      </c>
      <c r="G5341" s="1205"/>
      <c r="H5341" s="1055"/>
      <c r="I5341" s="1055"/>
      <c r="J5341" s="1055"/>
      <c r="K5341" s="1205"/>
      <c r="L5341" s="1055"/>
      <c r="M5341" s="1205"/>
      <c r="N5341" s="1054"/>
      <c r="O5341" s="1207"/>
      <c r="Q5341" s="1207"/>
    </row>
    <row r="5342" spans="3:17" s="700" customFormat="1" ht="70.5" hidden="1" customHeight="1">
      <c r="C5342" s="701"/>
      <c r="D5342" s="811"/>
      <c r="E5342" s="1276">
        <f>[11]building!Y5673</f>
        <v>0</v>
      </c>
      <c r="F5342" s="748">
        <f t="shared" si="322"/>
        <v>0</v>
      </c>
      <c r="G5342" s="1205"/>
      <c r="H5342" s="1055"/>
      <c r="I5342" s="1055"/>
      <c r="J5342" s="1055"/>
      <c r="K5342" s="1205"/>
      <c r="L5342" s="1055"/>
      <c r="M5342" s="1205"/>
      <c r="N5342" s="1054"/>
      <c r="O5342" s="1207"/>
      <c r="Q5342" s="1207"/>
    </row>
    <row r="5343" spans="3:17" s="700" customFormat="1" ht="70.5" hidden="1" customHeight="1">
      <c r="C5343" s="701"/>
      <c r="D5343" s="811"/>
      <c r="E5343" s="1276">
        <f>[11]building!Y5674</f>
        <v>0</v>
      </c>
      <c r="F5343" s="748">
        <f t="shared" si="322"/>
        <v>0</v>
      </c>
      <c r="G5343" s="1205"/>
      <c r="H5343" s="1055"/>
      <c r="I5343" s="1055"/>
      <c r="J5343" s="1055"/>
      <c r="K5343" s="1205"/>
      <c r="L5343" s="1055"/>
      <c r="M5343" s="1205"/>
      <c r="N5343" s="1054"/>
      <c r="O5343" s="1207"/>
      <c r="Q5343" s="1207"/>
    </row>
    <row r="5344" spans="3:17" s="700" customFormat="1" ht="70.5" hidden="1" customHeight="1">
      <c r="C5344" s="701"/>
      <c r="D5344" s="811"/>
      <c r="E5344" s="1276">
        <f>[11]building!Y5675</f>
        <v>0</v>
      </c>
      <c r="F5344" s="748">
        <f t="shared" si="322"/>
        <v>0</v>
      </c>
      <c r="G5344" s="1205"/>
      <c r="H5344" s="1055"/>
      <c r="I5344" s="1055"/>
      <c r="J5344" s="1055"/>
      <c r="K5344" s="1205"/>
      <c r="L5344" s="1055"/>
      <c r="M5344" s="1205"/>
      <c r="N5344" s="1054"/>
      <c r="O5344" s="1207"/>
      <c r="Q5344" s="1207"/>
    </row>
    <row r="5345" spans="3:17" s="700" customFormat="1" ht="70.5" hidden="1" customHeight="1">
      <c r="C5345" s="701"/>
      <c r="D5345" s="811"/>
      <c r="E5345" s="1276">
        <f>[11]building!Y5676</f>
        <v>0</v>
      </c>
      <c r="F5345" s="748">
        <f t="shared" si="322"/>
        <v>0</v>
      </c>
      <c r="G5345" s="1205"/>
      <c r="H5345" s="1055"/>
      <c r="I5345" s="1055"/>
      <c r="J5345" s="1055"/>
      <c r="K5345" s="1205"/>
      <c r="L5345" s="1055"/>
      <c r="M5345" s="1205"/>
      <c r="N5345" s="1054"/>
      <c r="O5345" s="1207"/>
      <c r="Q5345" s="1207"/>
    </row>
    <row r="5346" spans="3:17" s="700" customFormat="1" ht="70.5" hidden="1" customHeight="1">
      <c r="C5346" s="701"/>
      <c r="D5346" s="811"/>
      <c r="E5346" s="1276">
        <f>[11]building!Y5677</f>
        <v>0</v>
      </c>
      <c r="F5346" s="748">
        <f t="shared" si="322"/>
        <v>0</v>
      </c>
      <c r="G5346" s="1205"/>
      <c r="H5346" s="1055"/>
      <c r="I5346" s="1055"/>
      <c r="J5346" s="1055"/>
      <c r="K5346" s="1205"/>
      <c r="L5346" s="1055"/>
      <c r="M5346" s="1205"/>
      <c r="N5346" s="1054"/>
      <c r="O5346" s="1207"/>
      <c r="Q5346" s="1207"/>
    </row>
    <row r="5347" spans="3:17" s="700" customFormat="1" ht="70.5" hidden="1" customHeight="1">
      <c r="C5347" s="701"/>
      <c r="D5347" s="811"/>
      <c r="E5347" s="1276">
        <f>[11]building!Y5678</f>
        <v>0</v>
      </c>
      <c r="F5347" s="748">
        <f t="shared" si="322"/>
        <v>0</v>
      </c>
      <c r="G5347" s="1205"/>
      <c r="H5347" s="1055"/>
      <c r="I5347" s="1055"/>
      <c r="J5347" s="1055"/>
      <c r="K5347" s="1205"/>
      <c r="L5347" s="1055"/>
      <c r="M5347" s="1205"/>
      <c r="N5347" s="1054"/>
      <c r="O5347" s="1207"/>
      <c r="Q5347" s="1207"/>
    </row>
    <row r="5348" spans="3:17" s="700" customFormat="1" ht="70.5" hidden="1" customHeight="1">
      <c r="C5348" s="701"/>
      <c r="D5348" s="811"/>
      <c r="E5348" s="1276">
        <f>[11]building!Y5679</f>
        <v>0</v>
      </c>
      <c r="F5348" s="748">
        <f t="shared" si="322"/>
        <v>0</v>
      </c>
      <c r="G5348" s="1205"/>
      <c r="H5348" s="1055"/>
      <c r="I5348" s="1055"/>
      <c r="J5348" s="1055"/>
      <c r="K5348" s="1205"/>
      <c r="L5348" s="1055"/>
      <c r="M5348" s="1205"/>
      <c r="N5348" s="1054"/>
      <c r="O5348" s="1207"/>
      <c r="Q5348" s="1207"/>
    </row>
    <row r="5349" spans="3:17" s="700" customFormat="1" ht="70.5" hidden="1" customHeight="1">
      <c r="C5349" s="701"/>
      <c r="D5349" s="811"/>
      <c r="E5349" s="1276">
        <f>[11]building!Y5680</f>
        <v>0</v>
      </c>
      <c r="F5349" s="748">
        <f t="shared" si="322"/>
        <v>0</v>
      </c>
      <c r="G5349" s="1205"/>
      <c r="H5349" s="1055"/>
      <c r="I5349" s="1055"/>
      <c r="J5349" s="1055"/>
      <c r="K5349" s="1205"/>
      <c r="L5349" s="1055"/>
      <c r="M5349" s="1205"/>
      <c r="N5349" s="1054"/>
      <c r="O5349" s="1207"/>
      <c r="Q5349" s="1207"/>
    </row>
    <row r="5350" spans="3:17" s="700" customFormat="1" ht="70.5" hidden="1" customHeight="1">
      <c r="C5350" s="701"/>
      <c r="D5350" s="811"/>
      <c r="E5350" s="1276">
        <f>[11]building!Y5681</f>
        <v>0</v>
      </c>
      <c r="F5350" s="748">
        <f t="shared" si="322"/>
        <v>0</v>
      </c>
      <c r="G5350" s="1205"/>
      <c r="H5350" s="1055"/>
      <c r="I5350" s="1055"/>
      <c r="J5350" s="1055"/>
      <c r="K5350" s="1205"/>
      <c r="L5350" s="1055"/>
      <c r="M5350" s="1205"/>
      <c r="N5350" s="1054"/>
      <c r="O5350" s="1207"/>
      <c r="Q5350" s="1207"/>
    </row>
    <row r="5351" spans="3:17" s="700" customFormat="1" ht="70.5" hidden="1" customHeight="1">
      <c r="C5351" s="701"/>
      <c r="D5351" s="811"/>
      <c r="E5351" s="1276">
        <f>[11]building!Y5682</f>
        <v>0</v>
      </c>
      <c r="F5351" s="748">
        <f t="shared" si="322"/>
        <v>0</v>
      </c>
      <c r="G5351" s="1205"/>
      <c r="H5351" s="1055"/>
      <c r="I5351" s="1055"/>
      <c r="J5351" s="1055"/>
      <c r="K5351" s="1205"/>
      <c r="L5351" s="1055"/>
      <c r="M5351" s="1205"/>
      <c r="N5351" s="1054"/>
      <c r="O5351" s="1207"/>
      <c r="Q5351" s="1207"/>
    </row>
    <row r="5352" spans="3:17" s="700" customFormat="1" ht="70.5" hidden="1" customHeight="1">
      <c r="C5352" s="701"/>
      <c r="D5352" s="811"/>
      <c r="E5352" s="1276">
        <f>[11]building!Y5683</f>
        <v>0</v>
      </c>
      <c r="F5352" s="748">
        <f t="shared" si="322"/>
        <v>0</v>
      </c>
      <c r="G5352" s="1205"/>
      <c r="H5352" s="1055"/>
      <c r="I5352" s="1055"/>
      <c r="J5352" s="1055"/>
      <c r="K5352" s="1205"/>
      <c r="L5352" s="1055"/>
      <c r="M5352" s="1205"/>
      <c r="N5352" s="1054"/>
      <c r="O5352" s="1207"/>
      <c r="Q5352" s="1207"/>
    </row>
    <row r="5353" spans="3:17" s="700" customFormat="1" ht="70.5" hidden="1" customHeight="1">
      <c r="C5353" s="701"/>
      <c r="D5353" s="811"/>
      <c r="E5353" s="1276">
        <f>[11]building!Y5684</f>
        <v>0</v>
      </c>
      <c r="F5353" s="748">
        <f t="shared" si="322"/>
        <v>0</v>
      </c>
      <c r="G5353" s="1205"/>
      <c r="H5353" s="1055"/>
      <c r="I5353" s="1055"/>
      <c r="J5353" s="1055"/>
      <c r="K5353" s="1205"/>
      <c r="L5353" s="1055"/>
      <c r="M5353" s="1205"/>
      <c r="N5353" s="1054"/>
      <c r="O5353" s="1207"/>
      <c r="Q5353" s="1207"/>
    </row>
    <row r="5354" spans="3:17" s="700" customFormat="1" ht="70.5" hidden="1" customHeight="1">
      <c r="C5354" s="701"/>
      <c r="D5354" s="811"/>
      <c r="E5354" s="1276">
        <f>[11]building!Y5685</f>
        <v>0</v>
      </c>
      <c r="F5354" s="748">
        <f t="shared" si="322"/>
        <v>0</v>
      </c>
      <c r="G5354" s="1205"/>
      <c r="H5354" s="1055"/>
      <c r="I5354" s="1055"/>
      <c r="J5354" s="1055"/>
      <c r="K5354" s="1205"/>
      <c r="L5354" s="1055"/>
      <c r="M5354" s="1205"/>
      <c r="N5354" s="1054"/>
      <c r="O5354" s="1207"/>
      <c r="Q5354" s="1207"/>
    </row>
    <row r="5355" spans="3:17" s="700" customFormat="1" ht="70.5" hidden="1" customHeight="1">
      <c r="C5355" s="701"/>
      <c r="D5355" s="811"/>
      <c r="E5355" s="1276">
        <f>[11]building!Y5686</f>
        <v>0</v>
      </c>
      <c r="F5355" s="748">
        <f t="shared" si="322"/>
        <v>0</v>
      </c>
      <c r="G5355" s="1205"/>
      <c r="H5355" s="1055"/>
      <c r="I5355" s="1055"/>
      <c r="J5355" s="1055"/>
      <c r="K5355" s="1205"/>
      <c r="L5355" s="1055"/>
      <c r="M5355" s="1205"/>
      <c r="N5355" s="1054"/>
      <c r="O5355" s="1207"/>
      <c r="Q5355" s="1207"/>
    </row>
    <row r="5356" spans="3:17" s="700" customFormat="1" ht="70.5" hidden="1" customHeight="1">
      <c r="C5356" s="701"/>
      <c r="D5356" s="811"/>
      <c r="E5356" s="1276">
        <f>[11]building!Y5687</f>
        <v>0</v>
      </c>
      <c r="F5356" s="748">
        <f t="shared" si="322"/>
        <v>0</v>
      </c>
      <c r="G5356" s="1205"/>
      <c r="H5356" s="1055"/>
      <c r="I5356" s="1055"/>
      <c r="J5356" s="1055"/>
      <c r="K5356" s="1205"/>
      <c r="L5356" s="1055"/>
      <c r="M5356" s="1205"/>
      <c r="N5356" s="1054"/>
      <c r="O5356" s="1207"/>
      <c r="Q5356" s="1207"/>
    </row>
    <row r="5357" spans="3:17" s="700" customFormat="1" ht="70.5" hidden="1" customHeight="1">
      <c r="C5357" s="701"/>
      <c r="D5357" s="811"/>
      <c r="E5357" s="1276">
        <f>[11]building!Y5688</f>
        <v>0</v>
      </c>
      <c r="F5357" s="748">
        <f t="shared" si="322"/>
        <v>0</v>
      </c>
      <c r="G5357" s="1205"/>
      <c r="H5357" s="1055"/>
      <c r="I5357" s="1055"/>
      <c r="J5357" s="1055"/>
      <c r="K5357" s="1205"/>
      <c r="L5357" s="1055"/>
      <c r="M5357" s="1205"/>
      <c r="N5357" s="1054"/>
      <c r="O5357" s="1207"/>
      <c r="Q5357" s="1207"/>
    </row>
    <row r="5358" spans="3:17" s="700" customFormat="1" ht="70.5" hidden="1" customHeight="1">
      <c r="C5358" s="701"/>
      <c r="D5358" s="811"/>
      <c r="E5358" s="1276">
        <f>[11]building!Y5689</f>
        <v>0</v>
      </c>
      <c r="F5358" s="748">
        <f t="shared" si="322"/>
        <v>0</v>
      </c>
      <c r="G5358" s="1205"/>
      <c r="H5358" s="1055"/>
      <c r="I5358" s="1055"/>
      <c r="J5358" s="1055"/>
      <c r="K5358" s="1205"/>
      <c r="L5358" s="1055"/>
      <c r="M5358" s="1205"/>
      <c r="N5358" s="1054"/>
      <c r="O5358" s="1207"/>
      <c r="Q5358" s="1207"/>
    </row>
    <row r="5359" spans="3:17" s="700" customFormat="1" ht="70.5" hidden="1" customHeight="1">
      <c r="C5359" s="701"/>
      <c r="D5359" s="811"/>
      <c r="E5359" s="1276">
        <f>[11]building!Y5690</f>
        <v>0</v>
      </c>
      <c r="F5359" s="748">
        <f t="shared" si="322"/>
        <v>0</v>
      </c>
      <c r="G5359" s="1205"/>
      <c r="H5359" s="1055"/>
      <c r="I5359" s="1055"/>
      <c r="J5359" s="1055"/>
      <c r="K5359" s="1205"/>
      <c r="L5359" s="1055"/>
      <c r="M5359" s="1205"/>
      <c r="N5359" s="1054"/>
      <c r="O5359" s="1207"/>
      <c r="Q5359" s="1207"/>
    </row>
    <row r="5360" spans="3:17" s="700" customFormat="1" ht="70.5" hidden="1" customHeight="1">
      <c r="C5360" s="701"/>
      <c r="D5360" s="811"/>
      <c r="E5360" s="1276">
        <f>[11]building!Y5691</f>
        <v>0</v>
      </c>
      <c r="F5360" s="748">
        <f t="shared" si="322"/>
        <v>0</v>
      </c>
      <c r="G5360" s="1205"/>
      <c r="H5360" s="1055"/>
      <c r="I5360" s="1055"/>
      <c r="J5360" s="1055"/>
      <c r="K5360" s="1205"/>
      <c r="L5360" s="1055"/>
      <c r="M5360" s="1205"/>
      <c r="N5360" s="1054"/>
      <c r="O5360" s="1207"/>
      <c r="Q5360" s="1207"/>
    </row>
    <row r="5361" spans="3:17" s="700" customFormat="1" ht="70.5" hidden="1" customHeight="1">
      <c r="C5361" s="701"/>
      <c r="D5361" s="811"/>
      <c r="E5361" s="1276">
        <f>[11]building!Y5692</f>
        <v>0</v>
      </c>
      <c r="F5361" s="748">
        <f t="shared" si="322"/>
        <v>0</v>
      </c>
      <c r="G5361" s="1205"/>
      <c r="H5361" s="1055"/>
      <c r="I5361" s="1055"/>
      <c r="J5361" s="1055"/>
      <c r="K5361" s="1205"/>
      <c r="L5361" s="1055"/>
      <c r="M5361" s="1205"/>
      <c r="N5361" s="1054"/>
      <c r="O5361" s="1207"/>
      <c r="Q5361" s="1207"/>
    </row>
    <row r="5362" spans="3:17" s="700" customFormat="1" ht="70.5" hidden="1" customHeight="1">
      <c r="C5362" s="701"/>
      <c r="D5362" s="811"/>
      <c r="E5362" s="1276">
        <f>[11]building!Y5693</f>
        <v>0</v>
      </c>
      <c r="F5362" s="748">
        <f t="shared" si="322"/>
        <v>0</v>
      </c>
      <c r="G5362" s="1205"/>
      <c r="H5362" s="1055"/>
      <c r="I5362" s="1055"/>
      <c r="J5362" s="1055"/>
      <c r="K5362" s="1205"/>
      <c r="L5362" s="1055"/>
      <c r="M5362" s="1205"/>
      <c r="N5362" s="1054"/>
      <c r="O5362" s="1207"/>
      <c r="Q5362" s="1207"/>
    </row>
    <row r="5363" spans="3:17" s="700" customFormat="1" ht="70.5" hidden="1" customHeight="1">
      <c r="C5363" s="701"/>
      <c r="D5363" s="811"/>
      <c r="E5363" s="1276">
        <f>[11]building!Y5694</f>
        <v>0</v>
      </c>
      <c r="F5363" s="748">
        <f t="shared" si="322"/>
        <v>0</v>
      </c>
      <c r="G5363" s="1205"/>
      <c r="H5363" s="1055"/>
      <c r="I5363" s="1055"/>
      <c r="J5363" s="1055"/>
      <c r="K5363" s="1205"/>
      <c r="L5363" s="1055"/>
      <c r="M5363" s="1205"/>
      <c r="N5363" s="1054"/>
      <c r="O5363" s="1207"/>
      <c r="Q5363" s="1207"/>
    </row>
    <row r="5364" spans="3:17" s="700" customFormat="1" ht="70.5" hidden="1" customHeight="1">
      <c r="C5364" s="701"/>
      <c r="D5364" s="811"/>
      <c r="E5364" s="1276">
        <f>[11]building!Y5695</f>
        <v>0</v>
      </c>
      <c r="F5364" s="748">
        <f t="shared" si="322"/>
        <v>0</v>
      </c>
      <c r="G5364" s="1205"/>
      <c r="H5364" s="1055"/>
      <c r="I5364" s="1055"/>
      <c r="J5364" s="1055"/>
      <c r="K5364" s="1205"/>
      <c r="L5364" s="1055"/>
      <c r="M5364" s="1205"/>
      <c r="N5364" s="1054"/>
      <c r="O5364" s="1207"/>
      <c r="Q5364" s="1207"/>
    </row>
    <row r="5365" spans="3:17" s="700" customFormat="1" ht="70.5" hidden="1" customHeight="1">
      <c r="C5365" s="701"/>
      <c r="D5365" s="811"/>
      <c r="E5365" s="1276">
        <f>[11]building!Y5696</f>
        <v>0</v>
      </c>
      <c r="F5365" s="748">
        <f t="shared" si="322"/>
        <v>0</v>
      </c>
      <c r="G5365" s="1205"/>
      <c r="H5365" s="1055"/>
      <c r="I5365" s="1055"/>
      <c r="J5365" s="1055"/>
      <c r="K5365" s="1205"/>
      <c r="L5365" s="1055"/>
      <c r="M5365" s="1205"/>
      <c r="N5365" s="1054"/>
      <c r="O5365" s="1207"/>
      <c r="Q5365" s="1207"/>
    </row>
    <row r="5366" spans="3:17" s="700" customFormat="1" ht="70.5" hidden="1" customHeight="1">
      <c r="C5366" s="701"/>
      <c r="D5366" s="811"/>
      <c r="E5366" s="1276">
        <f>[11]building!Y5697</f>
        <v>0</v>
      </c>
      <c r="F5366" s="748">
        <f t="shared" si="322"/>
        <v>0</v>
      </c>
      <c r="G5366" s="1205"/>
      <c r="H5366" s="1055"/>
      <c r="I5366" s="1055"/>
      <c r="J5366" s="1055"/>
      <c r="K5366" s="1205"/>
      <c r="L5366" s="1055"/>
      <c r="M5366" s="1205"/>
      <c r="N5366" s="1054"/>
      <c r="O5366" s="1207"/>
      <c r="Q5366" s="1207"/>
    </row>
    <row r="5367" spans="3:17" s="700" customFormat="1" ht="70.5" hidden="1" customHeight="1">
      <c r="C5367" s="701"/>
      <c r="D5367" s="811"/>
      <c r="E5367" s="1276">
        <f>[11]building!Y5698</f>
        <v>0</v>
      </c>
      <c r="F5367" s="748">
        <f t="shared" si="322"/>
        <v>0</v>
      </c>
      <c r="G5367" s="1205"/>
      <c r="H5367" s="1055"/>
      <c r="I5367" s="1055"/>
      <c r="J5367" s="1055"/>
      <c r="K5367" s="1205"/>
      <c r="L5367" s="1055"/>
      <c r="M5367" s="1205"/>
      <c r="N5367" s="1054"/>
      <c r="O5367" s="1207"/>
      <c r="Q5367" s="1207"/>
    </row>
    <row r="5368" spans="3:17" s="700" customFormat="1" ht="70.5" hidden="1" customHeight="1">
      <c r="C5368" s="701"/>
      <c r="D5368" s="811"/>
      <c r="E5368" s="1276">
        <f>[11]building!Y5699</f>
        <v>0</v>
      </c>
      <c r="F5368" s="748">
        <f t="shared" si="322"/>
        <v>0</v>
      </c>
      <c r="G5368" s="1205"/>
      <c r="H5368" s="1055"/>
      <c r="I5368" s="1055"/>
      <c r="J5368" s="1055"/>
      <c r="K5368" s="1205"/>
      <c r="L5368" s="1055"/>
      <c r="M5368" s="1205"/>
      <c r="N5368" s="1054"/>
      <c r="O5368" s="1207"/>
      <c r="Q5368" s="1207"/>
    </row>
    <row r="5369" spans="3:17" s="700" customFormat="1" ht="70.5" hidden="1" customHeight="1">
      <c r="C5369" s="701"/>
      <c r="D5369" s="811"/>
      <c r="E5369" s="1276">
        <f>[11]building!Y5700</f>
        <v>0</v>
      </c>
      <c r="F5369" s="748">
        <f t="shared" si="322"/>
        <v>0</v>
      </c>
      <c r="G5369" s="1205"/>
      <c r="H5369" s="1055"/>
      <c r="I5369" s="1055"/>
      <c r="J5369" s="1055"/>
      <c r="K5369" s="1205"/>
      <c r="L5369" s="1055"/>
      <c r="M5369" s="1205"/>
      <c r="N5369" s="1054"/>
      <c r="O5369" s="1207"/>
      <c r="Q5369" s="1207"/>
    </row>
    <row r="5370" spans="3:17" s="700" customFormat="1" ht="70.5" hidden="1" customHeight="1">
      <c r="C5370" s="701"/>
      <c r="D5370" s="811"/>
      <c r="E5370" s="1276">
        <f>[11]building!Y5701</f>
        <v>0</v>
      </c>
      <c r="F5370" s="748">
        <f t="shared" si="322"/>
        <v>0</v>
      </c>
      <c r="G5370" s="1205"/>
      <c r="H5370" s="1055"/>
      <c r="I5370" s="1055"/>
      <c r="J5370" s="1055"/>
      <c r="K5370" s="1205"/>
      <c r="L5370" s="1055"/>
      <c r="M5370" s="1205"/>
      <c r="N5370" s="1054"/>
      <c r="O5370" s="1207"/>
      <c r="Q5370" s="1207"/>
    </row>
    <row r="5371" spans="3:17" s="700" customFormat="1" ht="70.5" hidden="1" customHeight="1">
      <c r="C5371" s="701"/>
      <c r="D5371" s="811"/>
      <c r="E5371" s="1276">
        <f>[11]building!Y5702</f>
        <v>0</v>
      </c>
      <c r="F5371" s="748">
        <f t="shared" si="322"/>
        <v>0</v>
      </c>
      <c r="G5371" s="1205"/>
      <c r="H5371" s="1055"/>
      <c r="I5371" s="1055"/>
      <c r="J5371" s="1055"/>
      <c r="K5371" s="1205"/>
      <c r="L5371" s="1055"/>
      <c r="M5371" s="1205"/>
      <c r="N5371" s="1054"/>
      <c r="O5371" s="1207"/>
      <c r="Q5371" s="1207"/>
    </row>
    <row r="5372" spans="3:17" s="700" customFormat="1" ht="70.5" hidden="1" customHeight="1">
      <c r="C5372" s="701"/>
      <c r="D5372" s="811"/>
      <c r="E5372" s="1276">
        <f>[11]building!Y5703</f>
        <v>0</v>
      </c>
      <c r="F5372" s="748">
        <f t="shared" si="322"/>
        <v>0</v>
      </c>
      <c r="G5372" s="1205"/>
      <c r="H5372" s="1055"/>
      <c r="I5372" s="1055"/>
      <c r="J5372" s="1055"/>
      <c r="K5372" s="1205"/>
      <c r="L5372" s="1055"/>
      <c r="M5372" s="1205"/>
      <c r="N5372" s="1054"/>
      <c r="O5372" s="1207"/>
      <c r="Q5372" s="1207"/>
    </row>
    <row r="5373" spans="3:17" s="700" customFormat="1" ht="70.5" hidden="1" customHeight="1">
      <c r="C5373" s="701"/>
      <c r="D5373" s="811"/>
      <c r="E5373" s="1276">
        <f>[11]building!Y5704</f>
        <v>0</v>
      </c>
      <c r="F5373" s="748">
        <f t="shared" si="322"/>
        <v>0</v>
      </c>
      <c r="G5373" s="1205"/>
      <c r="H5373" s="1055"/>
      <c r="I5373" s="1055"/>
      <c r="J5373" s="1055"/>
      <c r="K5373" s="1205"/>
      <c r="L5373" s="1055"/>
      <c r="M5373" s="1205"/>
      <c r="N5373" s="1054"/>
      <c r="O5373" s="1207"/>
      <c r="Q5373" s="1207"/>
    </row>
    <row r="5374" spans="3:17" s="700" customFormat="1" ht="70.5" hidden="1" customHeight="1">
      <c r="C5374" s="701"/>
      <c r="D5374" s="811"/>
      <c r="E5374" s="1276">
        <f>[11]building!Y5705</f>
        <v>0</v>
      </c>
      <c r="F5374" s="748">
        <f t="shared" si="322"/>
        <v>0</v>
      </c>
      <c r="G5374" s="1205"/>
      <c r="H5374" s="1055"/>
      <c r="I5374" s="1055"/>
      <c r="J5374" s="1055"/>
      <c r="K5374" s="1205"/>
      <c r="L5374" s="1055"/>
      <c r="M5374" s="1205"/>
      <c r="N5374" s="1054"/>
      <c r="O5374" s="1207"/>
      <c r="Q5374" s="1207"/>
    </row>
    <row r="5375" spans="3:17" s="700" customFormat="1" ht="70.5" hidden="1" customHeight="1">
      <c r="C5375" s="701"/>
      <c r="D5375" s="811"/>
      <c r="E5375" s="1276">
        <f>[11]building!Y5706</f>
        <v>0</v>
      </c>
      <c r="F5375" s="748">
        <f t="shared" si="322"/>
        <v>0</v>
      </c>
      <c r="G5375" s="1205"/>
      <c r="H5375" s="1055"/>
      <c r="I5375" s="1055"/>
      <c r="J5375" s="1055"/>
      <c r="K5375" s="1205"/>
      <c r="L5375" s="1055"/>
      <c r="M5375" s="1205"/>
      <c r="N5375" s="1054"/>
      <c r="O5375" s="1207"/>
      <c r="Q5375" s="1207"/>
    </row>
    <row r="5376" spans="3:17" s="700" customFormat="1" ht="70.5" hidden="1" customHeight="1">
      <c r="C5376" s="701"/>
      <c r="D5376" s="811"/>
      <c r="E5376" s="1276">
        <f>[11]building!Y5707</f>
        <v>0</v>
      </c>
      <c r="F5376" s="748">
        <f t="shared" ref="F5376:F5439" si="323">E5376*C5376</f>
        <v>0</v>
      </c>
      <c r="G5376" s="1205"/>
      <c r="H5376" s="1055"/>
      <c r="I5376" s="1055"/>
      <c r="J5376" s="1055"/>
      <c r="K5376" s="1205"/>
      <c r="L5376" s="1055"/>
      <c r="M5376" s="1205"/>
      <c r="N5376" s="1054"/>
      <c r="O5376" s="1207"/>
      <c r="Q5376" s="1207"/>
    </row>
    <row r="5377" spans="3:17" s="700" customFormat="1" ht="70.5" hidden="1" customHeight="1">
      <c r="C5377" s="701"/>
      <c r="D5377" s="811"/>
      <c r="E5377" s="1276">
        <f>[11]building!Y5708</f>
        <v>0</v>
      </c>
      <c r="F5377" s="748">
        <f t="shared" si="323"/>
        <v>0</v>
      </c>
      <c r="G5377" s="1205"/>
      <c r="H5377" s="1055"/>
      <c r="I5377" s="1055"/>
      <c r="J5377" s="1055"/>
      <c r="K5377" s="1205"/>
      <c r="L5377" s="1055"/>
      <c r="M5377" s="1205"/>
      <c r="N5377" s="1054"/>
      <c r="O5377" s="1207"/>
      <c r="Q5377" s="1207"/>
    </row>
    <row r="5378" spans="3:17" s="700" customFormat="1" ht="70.5" hidden="1" customHeight="1">
      <c r="C5378" s="701"/>
      <c r="D5378" s="811"/>
      <c r="E5378" s="1276">
        <f>[11]building!Y5709</f>
        <v>0</v>
      </c>
      <c r="F5378" s="748">
        <f t="shared" si="323"/>
        <v>0</v>
      </c>
      <c r="G5378" s="1205"/>
      <c r="H5378" s="1055"/>
      <c r="I5378" s="1055"/>
      <c r="J5378" s="1055"/>
      <c r="K5378" s="1205"/>
      <c r="L5378" s="1055"/>
      <c r="M5378" s="1205"/>
      <c r="N5378" s="1054"/>
      <c r="O5378" s="1207"/>
      <c r="Q5378" s="1207"/>
    </row>
    <row r="5379" spans="3:17" s="700" customFormat="1" ht="70.5" hidden="1" customHeight="1">
      <c r="C5379" s="701"/>
      <c r="D5379" s="811"/>
      <c r="E5379" s="1276">
        <f>[11]building!Y5710</f>
        <v>0</v>
      </c>
      <c r="F5379" s="748">
        <f t="shared" si="323"/>
        <v>0</v>
      </c>
      <c r="G5379" s="1205"/>
      <c r="H5379" s="1055"/>
      <c r="I5379" s="1055"/>
      <c r="J5379" s="1055"/>
      <c r="K5379" s="1205"/>
      <c r="L5379" s="1055"/>
      <c r="M5379" s="1205"/>
      <c r="N5379" s="1054"/>
      <c r="O5379" s="1207"/>
      <c r="Q5379" s="1207"/>
    </row>
    <row r="5380" spans="3:17" s="700" customFormat="1" ht="70.5" hidden="1" customHeight="1">
      <c r="C5380" s="701"/>
      <c r="D5380" s="811"/>
      <c r="E5380" s="1276">
        <f>[11]building!Y5711</f>
        <v>0</v>
      </c>
      <c r="F5380" s="748">
        <f t="shared" si="323"/>
        <v>0</v>
      </c>
      <c r="G5380" s="1205"/>
      <c r="H5380" s="1055"/>
      <c r="I5380" s="1055"/>
      <c r="J5380" s="1055"/>
      <c r="K5380" s="1205"/>
      <c r="L5380" s="1055"/>
      <c r="M5380" s="1205"/>
      <c r="N5380" s="1054"/>
      <c r="O5380" s="1207"/>
      <c r="Q5380" s="1207"/>
    </row>
    <row r="5381" spans="3:17" s="700" customFormat="1" ht="70.5" hidden="1" customHeight="1">
      <c r="C5381" s="701"/>
      <c r="D5381" s="811"/>
      <c r="E5381" s="1276">
        <f>[11]building!Y5712</f>
        <v>0</v>
      </c>
      <c r="F5381" s="748">
        <f t="shared" si="323"/>
        <v>0</v>
      </c>
      <c r="G5381" s="1205"/>
      <c r="H5381" s="1055"/>
      <c r="I5381" s="1055"/>
      <c r="J5381" s="1055"/>
      <c r="K5381" s="1205"/>
      <c r="L5381" s="1055"/>
      <c r="M5381" s="1205"/>
      <c r="N5381" s="1054"/>
      <c r="O5381" s="1207"/>
      <c r="Q5381" s="1207"/>
    </row>
    <row r="5382" spans="3:17" s="700" customFormat="1" ht="70.5" hidden="1" customHeight="1">
      <c r="C5382" s="701"/>
      <c r="D5382" s="811"/>
      <c r="E5382" s="1276">
        <f>[11]building!Y5713</f>
        <v>0</v>
      </c>
      <c r="F5382" s="748">
        <f t="shared" si="323"/>
        <v>0</v>
      </c>
      <c r="G5382" s="1205"/>
      <c r="H5382" s="1055"/>
      <c r="I5382" s="1055"/>
      <c r="J5382" s="1055"/>
      <c r="K5382" s="1205"/>
      <c r="L5382" s="1055"/>
      <c r="M5382" s="1205"/>
      <c r="N5382" s="1054"/>
      <c r="O5382" s="1207"/>
      <c r="Q5382" s="1207"/>
    </row>
    <row r="5383" spans="3:17" s="700" customFormat="1" ht="70.5" hidden="1" customHeight="1">
      <c r="C5383" s="701"/>
      <c r="D5383" s="811"/>
      <c r="E5383" s="1276">
        <f>[11]building!Y5714</f>
        <v>0</v>
      </c>
      <c r="F5383" s="748">
        <f t="shared" si="323"/>
        <v>0</v>
      </c>
      <c r="G5383" s="1205"/>
      <c r="H5383" s="1055"/>
      <c r="I5383" s="1055"/>
      <c r="J5383" s="1055"/>
      <c r="K5383" s="1205"/>
      <c r="L5383" s="1055"/>
      <c r="M5383" s="1205"/>
      <c r="N5383" s="1054"/>
      <c r="O5383" s="1207"/>
      <c r="Q5383" s="1207"/>
    </row>
    <row r="5384" spans="3:17" s="700" customFormat="1" ht="70.5" hidden="1" customHeight="1">
      <c r="C5384" s="701"/>
      <c r="D5384" s="811"/>
      <c r="E5384" s="1276">
        <f>[11]building!Y5715</f>
        <v>0</v>
      </c>
      <c r="F5384" s="748">
        <f t="shared" si="323"/>
        <v>0</v>
      </c>
      <c r="G5384" s="1205"/>
      <c r="H5384" s="1055"/>
      <c r="I5384" s="1055"/>
      <c r="J5384" s="1055"/>
      <c r="K5384" s="1205"/>
      <c r="L5384" s="1055"/>
      <c r="M5384" s="1205"/>
      <c r="N5384" s="1054"/>
      <c r="O5384" s="1207"/>
      <c r="Q5384" s="1207"/>
    </row>
    <row r="5385" spans="3:17" s="700" customFormat="1" ht="70.5" hidden="1" customHeight="1">
      <c r="C5385" s="701"/>
      <c r="D5385" s="811"/>
      <c r="E5385" s="1276">
        <f>[11]building!Y5716</f>
        <v>0</v>
      </c>
      <c r="F5385" s="748">
        <f t="shared" si="323"/>
        <v>0</v>
      </c>
      <c r="G5385" s="1205"/>
      <c r="H5385" s="1055"/>
      <c r="I5385" s="1055"/>
      <c r="J5385" s="1055"/>
      <c r="K5385" s="1205"/>
      <c r="L5385" s="1055"/>
      <c r="M5385" s="1205"/>
      <c r="N5385" s="1054"/>
      <c r="O5385" s="1207"/>
      <c r="Q5385" s="1207"/>
    </row>
    <row r="5386" spans="3:17" s="700" customFormat="1" ht="70.5" hidden="1" customHeight="1">
      <c r="C5386" s="701"/>
      <c r="D5386" s="811"/>
      <c r="E5386" s="1276">
        <f>[11]building!Y5717</f>
        <v>0</v>
      </c>
      <c r="F5386" s="748">
        <f t="shared" si="323"/>
        <v>0</v>
      </c>
      <c r="G5386" s="1205"/>
      <c r="H5386" s="1055"/>
      <c r="I5386" s="1055"/>
      <c r="J5386" s="1055"/>
      <c r="K5386" s="1205"/>
      <c r="L5386" s="1055"/>
      <c r="M5386" s="1205"/>
      <c r="N5386" s="1054"/>
      <c r="O5386" s="1207"/>
      <c r="Q5386" s="1207"/>
    </row>
    <row r="5387" spans="3:17" s="700" customFormat="1" ht="70.5" hidden="1" customHeight="1">
      <c r="C5387" s="701"/>
      <c r="D5387" s="811"/>
      <c r="E5387" s="1276">
        <f>[11]building!Y5718</f>
        <v>0</v>
      </c>
      <c r="F5387" s="748">
        <f t="shared" si="323"/>
        <v>0</v>
      </c>
      <c r="G5387" s="1205"/>
      <c r="H5387" s="1055"/>
      <c r="I5387" s="1055"/>
      <c r="J5387" s="1055"/>
      <c r="K5387" s="1205"/>
      <c r="L5387" s="1055"/>
      <c r="M5387" s="1205"/>
      <c r="N5387" s="1054"/>
      <c r="O5387" s="1207"/>
      <c r="Q5387" s="1207"/>
    </row>
    <row r="5388" spans="3:17" s="700" customFormat="1" ht="70.5" hidden="1" customHeight="1">
      <c r="C5388" s="701"/>
      <c r="D5388" s="811"/>
      <c r="E5388" s="1276">
        <f>[11]building!Y5719</f>
        <v>0</v>
      </c>
      <c r="F5388" s="748">
        <f t="shared" si="323"/>
        <v>0</v>
      </c>
      <c r="G5388" s="1205"/>
      <c r="H5388" s="1055"/>
      <c r="I5388" s="1055"/>
      <c r="J5388" s="1055"/>
      <c r="K5388" s="1205"/>
      <c r="L5388" s="1055"/>
      <c r="M5388" s="1205"/>
      <c r="N5388" s="1054"/>
      <c r="O5388" s="1207"/>
      <c r="Q5388" s="1207"/>
    </row>
    <row r="5389" spans="3:17" s="700" customFormat="1" ht="70.5" hidden="1" customHeight="1">
      <c r="C5389" s="701"/>
      <c r="D5389" s="811"/>
      <c r="E5389" s="1276">
        <f>[11]building!Y5720</f>
        <v>0</v>
      </c>
      <c r="F5389" s="748">
        <f t="shared" si="323"/>
        <v>0</v>
      </c>
      <c r="G5389" s="1205"/>
      <c r="H5389" s="1055"/>
      <c r="I5389" s="1055"/>
      <c r="J5389" s="1055"/>
      <c r="K5389" s="1205"/>
      <c r="L5389" s="1055"/>
      <c r="M5389" s="1205"/>
      <c r="N5389" s="1054"/>
      <c r="O5389" s="1207"/>
      <c r="Q5389" s="1207"/>
    </row>
    <row r="5390" spans="3:17" s="700" customFormat="1" ht="70.5" hidden="1" customHeight="1">
      <c r="C5390" s="701"/>
      <c r="D5390" s="811"/>
      <c r="E5390" s="1276">
        <f>[11]building!Y5721</f>
        <v>0</v>
      </c>
      <c r="F5390" s="748">
        <f t="shared" si="323"/>
        <v>0</v>
      </c>
      <c r="G5390" s="1205"/>
      <c r="H5390" s="1055"/>
      <c r="I5390" s="1055"/>
      <c r="J5390" s="1055"/>
      <c r="K5390" s="1205"/>
      <c r="L5390" s="1055"/>
      <c r="M5390" s="1205"/>
      <c r="N5390" s="1054"/>
      <c r="O5390" s="1207"/>
      <c r="Q5390" s="1207"/>
    </row>
    <row r="5391" spans="3:17" s="700" customFormat="1" ht="70.5" hidden="1" customHeight="1">
      <c r="C5391" s="701"/>
      <c r="D5391" s="811"/>
      <c r="E5391" s="1276">
        <f>[11]building!Y5722</f>
        <v>0</v>
      </c>
      <c r="F5391" s="748">
        <f t="shared" si="323"/>
        <v>0</v>
      </c>
      <c r="G5391" s="1205"/>
      <c r="H5391" s="1055"/>
      <c r="I5391" s="1055"/>
      <c r="J5391" s="1055"/>
      <c r="K5391" s="1205"/>
      <c r="L5391" s="1055"/>
      <c r="M5391" s="1205"/>
      <c r="N5391" s="1054"/>
      <c r="O5391" s="1207"/>
      <c r="Q5391" s="1207"/>
    </row>
    <row r="5392" spans="3:17" s="700" customFormat="1" ht="70.5" hidden="1" customHeight="1">
      <c r="C5392" s="701"/>
      <c r="D5392" s="811"/>
      <c r="E5392" s="1276">
        <f>[11]building!Y5723</f>
        <v>0</v>
      </c>
      <c r="F5392" s="748">
        <f t="shared" si="323"/>
        <v>0</v>
      </c>
      <c r="G5392" s="1205"/>
      <c r="H5392" s="1055"/>
      <c r="I5392" s="1055"/>
      <c r="J5392" s="1055"/>
      <c r="K5392" s="1205"/>
      <c r="L5392" s="1055"/>
      <c r="M5392" s="1205"/>
      <c r="N5392" s="1054"/>
      <c r="O5392" s="1207"/>
      <c r="Q5392" s="1207"/>
    </row>
    <row r="5393" spans="3:17" s="700" customFormat="1" ht="70.5" hidden="1" customHeight="1">
      <c r="C5393" s="701"/>
      <c r="D5393" s="811"/>
      <c r="E5393" s="1276">
        <f>[11]building!Y5724</f>
        <v>0</v>
      </c>
      <c r="F5393" s="748">
        <f t="shared" si="323"/>
        <v>0</v>
      </c>
      <c r="G5393" s="1205"/>
      <c r="H5393" s="1055"/>
      <c r="I5393" s="1055"/>
      <c r="J5393" s="1055"/>
      <c r="K5393" s="1205"/>
      <c r="L5393" s="1055"/>
      <c r="M5393" s="1205"/>
      <c r="N5393" s="1054"/>
      <c r="O5393" s="1207"/>
      <c r="Q5393" s="1207"/>
    </row>
    <row r="5394" spans="3:17" s="700" customFormat="1" ht="70.5" hidden="1" customHeight="1">
      <c r="C5394" s="701"/>
      <c r="D5394" s="811"/>
      <c r="E5394" s="1276">
        <f>[11]building!Y5725</f>
        <v>0</v>
      </c>
      <c r="F5394" s="748">
        <f t="shared" si="323"/>
        <v>0</v>
      </c>
      <c r="G5394" s="1205"/>
      <c r="H5394" s="1055"/>
      <c r="I5394" s="1055"/>
      <c r="J5394" s="1055"/>
      <c r="K5394" s="1205"/>
      <c r="L5394" s="1055"/>
      <c r="M5394" s="1205"/>
      <c r="N5394" s="1054"/>
      <c r="O5394" s="1207"/>
      <c r="Q5394" s="1207"/>
    </row>
    <row r="5395" spans="3:17" s="700" customFormat="1" ht="70.5" hidden="1" customHeight="1">
      <c r="C5395" s="701"/>
      <c r="D5395" s="811"/>
      <c r="E5395" s="1276">
        <f>[11]building!Y5726</f>
        <v>0</v>
      </c>
      <c r="F5395" s="748">
        <f t="shared" si="323"/>
        <v>0</v>
      </c>
      <c r="G5395" s="1205"/>
      <c r="H5395" s="1055"/>
      <c r="I5395" s="1055"/>
      <c r="J5395" s="1055"/>
      <c r="K5395" s="1205"/>
      <c r="L5395" s="1055"/>
      <c r="M5395" s="1205"/>
      <c r="N5395" s="1054"/>
      <c r="O5395" s="1207"/>
      <c r="Q5395" s="1207"/>
    </row>
    <row r="5396" spans="3:17" s="700" customFormat="1" ht="70.5" hidden="1" customHeight="1">
      <c r="C5396" s="701"/>
      <c r="D5396" s="811"/>
      <c r="E5396" s="1276">
        <f>[11]building!Y5727</f>
        <v>0</v>
      </c>
      <c r="F5396" s="748">
        <f t="shared" si="323"/>
        <v>0</v>
      </c>
      <c r="G5396" s="1205"/>
      <c r="H5396" s="1055"/>
      <c r="I5396" s="1055"/>
      <c r="J5396" s="1055"/>
      <c r="K5396" s="1205"/>
      <c r="L5396" s="1055"/>
      <c r="M5396" s="1205"/>
      <c r="N5396" s="1054"/>
      <c r="O5396" s="1207"/>
      <c r="Q5396" s="1207"/>
    </row>
    <row r="5397" spans="3:17" s="700" customFormat="1" ht="70.5" hidden="1" customHeight="1">
      <c r="C5397" s="701"/>
      <c r="D5397" s="811"/>
      <c r="E5397" s="1276">
        <f>[11]building!Y5728</f>
        <v>0</v>
      </c>
      <c r="F5397" s="748">
        <f t="shared" si="323"/>
        <v>0</v>
      </c>
      <c r="G5397" s="1205"/>
      <c r="H5397" s="1055"/>
      <c r="I5397" s="1055"/>
      <c r="J5397" s="1055"/>
      <c r="K5397" s="1205"/>
      <c r="L5397" s="1055"/>
      <c r="M5397" s="1205"/>
      <c r="N5397" s="1054"/>
      <c r="O5397" s="1207"/>
      <c r="Q5397" s="1207"/>
    </row>
    <row r="5398" spans="3:17" s="700" customFormat="1" ht="70.5" hidden="1" customHeight="1">
      <c r="C5398" s="701"/>
      <c r="D5398" s="811"/>
      <c r="E5398" s="1276">
        <f>[11]building!Y5729</f>
        <v>0</v>
      </c>
      <c r="F5398" s="748">
        <f t="shared" si="323"/>
        <v>0</v>
      </c>
      <c r="G5398" s="1205"/>
      <c r="H5398" s="1055"/>
      <c r="I5398" s="1055"/>
      <c r="J5398" s="1055"/>
      <c r="K5398" s="1205"/>
      <c r="L5398" s="1055"/>
      <c r="M5398" s="1205"/>
      <c r="N5398" s="1054"/>
      <c r="O5398" s="1207"/>
      <c r="Q5398" s="1207"/>
    </row>
    <row r="5399" spans="3:17" s="700" customFormat="1" ht="70.5" hidden="1" customHeight="1">
      <c r="C5399" s="701"/>
      <c r="D5399" s="811"/>
      <c r="E5399" s="1276">
        <f>[11]building!Y5730</f>
        <v>0</v>
      </c>
      <c r="F5399" s="748">
        <f t="shared" si="323"/>
        <v>0</v>
      </c>
      <c r="G5399" s="1205"/>
      <c r="H5399" s="1055"/>
      <c r="I5399" s="1055"/>
      <c r="J5399" s="1055"/>
      <c r="K5399" s="1205"/>
      <c r="L5399" s="1055"/>
      <c r="M5399" s="1205"/>
      <c r="N5399" s="1054"/>
      <c r="O5399" s="1207"/>
      <c r="Q5399" s="1207"/>
    </row>
    <row r="5400" spans="3:17" s="700" customFormat="1" ht="70.5" hidden="1" customHeight="1">
      <c r="C5400" s="701"/>
      <c r="D5400" s="811"/>
      <c r="E5400" s="1276">
        <f>[11]building!Y5731</f>
        <v>0</v>
      </c>
      <c r="F5400" s="748">
        <f t="shared" si="323"/>
        <v>0</v>
      </c>
      <c r="G5400" s="1205"/>
      <c r="H5400" s="1055"/>
      <c r="I5400" s="1055"/>
      <c r="J5400" s="1055"/>
      <c r="K5400" s="1205"/>
      <c r="L5400" s="1055"/>
      <c r="M5400" s="1205"/>
      <c r="N5400" s="1054"/>
      <c r="O5400" s="1207"/>
      <c r="Q5400" s="1207"/>
    </row>
    <row r="5401" spans="3:17" s="700" customFormat="1" ht="70.5" hidden="1" customHeight="1">
      <c r="C5401" s="701"/>
      <c r="D5401" s="811"/>
      <c r="E5401" s="1276">
        <f>[11]building!Y5732</f>
        <v>0</v>
      </c>
      <c r="F5401" s="748">
        <f t="shared" si="323"/>
        <v>0</v>
      </c>
      <c r="G5401" s="1205"/>
      <c r="H5401" s="1055"/>
      <c r="I5401" s="1055"/>
      <c r="J5401" s="1055"/>
      <c r="K5401" s="1205"/>
      <c r="L5401" s="1055"/>
      <c r="M5401" s="1205"/>
      <c r="N5401" s="1054"/>
      <c r="O5401" s="1207"/>
      <c r="Q5401" s="1207"/>
    </row>
    <row r="5402" spans="3:17" s="700" customFormat="1" ht="70.5" hidden="1" customHeight="1">
      <c r="C5402" s="701"/>
      <c r="D5402" s="811"/>
      <c r="E5402" s="1276">
        <f>[11]building!Y5733</f>
        <v>0</v>
      </c>
      <c r="F5402" s="748">
        <f t="shared" si="323"/>
        <v>0</v>
      </c>
      <c r="G5402" s="1205"/>
      <c r="H5402" s="1055"/>
      <c r="I5402" s="1055"/>
      <c r="J5402" s="1055"/>
      <c r="K5402" s="1205"/>
      <c r="L5402" s="1055"/>
      <c r="M5402" s="1205"/>
      <c r="N5402" s="1054"/>
      <c r="O5402" s="1207"/>
      <c r="Q5402" s="1207"/>
    </row>
    <row r="5403" spans="3:17" s="700" customFormat="1" ht="70.5" hidden="1" customHeight="1">
      <c r="C5403" s="701"/>
      <c r="D5403" s="811"/>
      <c r="E5403" s="1276">
        <f>[11]building!Y5734</f>
        <v>0</v>
      </c>
      <c r="F5403" s="748">
        <f t="shared" si="323"/>
        <v>0</v>
      </c>
      <c r="G5403" s="1205"/>
      <c r="H5403" s="1055"/>
      <c r="I5403" s="1055"/>
      <c r="J5403" s="1055"/>
      <c r="K5403" s="1205"/>
      <c r="L5403" s="1055"/>
      <c r="M5403" s="1205"/>
      <c r="N5403" s="1054"/>
      <c r="O5403" s="1207"/>
      <c r="Q5403" s="1207"/>
    </row>
    <row r="5404" spans="3:17" s="700" customFormat="1" ht="70.5" hidden="1" customHeight="1">
      <c r="C5404" s="701"/>
      <c r="D5404" s="811"/>
      <c r="E5404" s="1276">
        <f>[11]building!Y5735</f>
        <v>0</v>
      </c>
      <c r="F5404" s="748">
        <f t="shared" si="323"/>
        <v>0</v>
      </c>
      <c r="G5404" s="1205"/>
      <c r="H5404" s="1055"/>
      <c r="I5404" s="1055"/>
      <c r="J5404" s="1055"/>
      <c r="K5404" s="1205"/>
      <c r="L5404" s="1055"/>
      <c r="M5404" s="1205"/>
      <c r="N5404" s="1054"/>
      <c r="O5404" s="1207"/>
      <c r="Q5404" s="1207"/>
    </row>
    <row r="5405" spans="3:17" s="700" customFormat="1" ht="70.5" hidden="1" customHeight="1">
      <c r="C5405" s="701"/>
      <c r="D5405" s="811"/>
      <c r="E5405" s="1276">
        <f>[11]building!Y5736</f>
        <v>0</v>
      </c>
      <c r="F5405" s="748">
        <f t="shared" si="323"/>
        <v>0</v>
      </c>
      <c r="G5405" s="1205"/>
      <c r="H5405" s="1055"/>
      <c r="I5405" s="1055"/>
      <c r="J5405" s="1055"/>
      <c r="K5405" s="1205"/>
      <c r="L5405" s="1055"/>
      <c r="M5405" s="1205"/>
      <c r="N5405" s="1054"/>
      <c r="O5405" s="1207"/>
      <c r="Q5405" s="1207"/>
    </row>
    <row r="5406" spans="3:17" s="700" customFormat="1" ht="70.5" hidden="1" customHeight="1">
      <c r="C5406" s="701"/>
      <c r="D5406" s="811"/>
      <c r="E5406" s="1276">
        <f>[11]building!Y5737</f>
        <v>0</v>
      </c>
      <c r="F5406" s="748">
        <f t="shared" si="323"/>
        <v>0</v>
      </c>
      <c r="G5406" s="1205"/>
      <c r="H5406" s="1055"/>
      <c r="I5406" s="1055"/>
      <c r="J5406" s="1055"/>
      <c r="K5406" s="1205"/>
      <c r="L5406" s="1055"/>
      <c r="M5406" s="1205"/>
      <c r="N5406" s="1054"/>
      <c r="O5406" s="1207"/>
      <c r="Q5406" s="1207"/>
    </row>
    <row r="5407" spans="3:17" s="700" customFormat="1" ht="70.5" hidden="1" customHeight="1">
      <c r="C5407" s="701"/>
      <c r="D5407" s="811"/>
      <c r="E5407" s="1276">
        <f>[11]building!Y5738</f>
        <v>0</v>
      </c>
      <c r="F5407" s="748">
        <f t="shared" si="323"/>
        <v>0</v>
      </c>
      <c r="G5407" s="1205"/>
      <c r="H5407" s="1055"/>
      <c r="I5407" s="1055"/>
      <c r="J5407" s="1055"/>
      <c r="K5407" s="1205"/>
      <c r="L5407" s="1055"/>
      <c r="M5407" s="1205"/>
      <c r="N5407" s="1054"/>
      <c r="O5407" s="1207"/>
      <c r="Q5407" s="1207"/>
    </row>
    <row r="5408" spans="3:17" s="700" customFormat="1" ht="70.5" hidden="1" customHeight="1">
      <c r="C5408" s="701"/>
      <c r="D5408" s="811"/>
      <c r="E5408" s="1276">
        <f>[11]building!Y5739</f>
        <v>0</v>
      </c>
      <c r="F5408" s="748">
        <f t="shared" si="323"/>
        <v>0</v>
      </c>
      <c r="G5408" s="1205"/>
      <c r="H5408" s="1055"/>
      <c r="I5408" s="1055"/>
      <c r="J5408" s="1055"/>
      <c r="K5408" s="1205"/>
      <c r="L5408" s="1055"/>
      <c r="M5408" s="1205"/>
      <c r="N5408" s="1054"/>
      <c r="O5408" s="1207"/>
      <c r="Q5408" s="1207"/>
    </row>
    <row r="5409" spans="3:17" s="700" customFormat="1" ht="70.5" hidden="1" customHeight="1">
      <c r="C5409" s="701"/>
      <c r="D5409" s="811"/>
      <c r="E5409" s="1276">
        <f>[11]building!Y5740</f>
        <v>0</v>
      </c>
      <c r="F5409" s="748">
        <f t="shared" si="323"/>
        <v>0</v>
      </c>
      <c r="G5409" s="1205"/>
      <c r="H5409" s="1055"/>
      <c r="I5409" s="1055"/>
      <c r="J5409" s="1055"/>
      <c r="K5409" s="1205"/>
      <c r="L5409" s="1055"/>
      <c r="M5409" s="1205"/>
      <c r="N5409" s="1054"/>
      <c r="O5409" s="1207"/>
      <c r="Q5409" s="1207"/>
    </row>
    <row r="5410" spans="3:17" s="700" customFormat="1" ht="70.5" hidden="1" customHeight="1">
      <c r="C5410" s="701"/>
      <c r="D5410" s="811"/>
      <c r="E5410" s="1276">
        <f>[11]building!Y5741</f>
        <v>0</v>
      </c>
      <c r="F5410" s="748">
        <f t="shared" si="323"/>
        <v>0</v>
      </c>
      <c r="G5410" s="1205"/>
      <c r="H5410" s="1055"/>
      <c r="I5410" s="1055"/>
      <c r="J5410" s="1055"/>
      <c r="K5410" s="1205"/>
      <c r="L5410" s="1055"/>
      <c r="M5410" s="1205"/>
      <c r="N5410" s="1054"/>
      <c r="O5410" s="1207"/>
      <c r="Q5410" s="1207"/>
    </row>
    <row r="5411" spans="3:17" s="700" customFormat="1" ht="70.5" hidden="1" customHeight="1">
      <c r="C5411" s="701"/>
      <c r="D5411" s="811"/>
      <c r="E5411" s="1276">
        <f>[11]building!Y5742</f>
        <v>0</v>
      </c>
      <c r="F5411" s="748">
        <f t="shared" si="323"/>
        <v>0</v>
      </c>
      <c r="G5411" s="1205"/>
      <c r="H5411" s="1055"/>
      <c r="I5411" s="1055"/>
      <c r="J5411" s="1055"/>
      <c r="K5411" s="1205"/>
      <c r="L5411" s="1055"/>
      <c r="M5411" s="1205"/>
      <c r="N5411" s="1054"/>
      <c r="O5411" s="1207"/>
      <c r="Q5411" s="1207"/>
    </row>
    <row r="5412" spans="3:17" s="700" customFormat="1" ht="70.5" hidden="1" customHeight="1">
      <c r="C5412" s="701"/>
      <c r="D5412" s="811"/>
      <c r="E5412" s="1276">
        <f>[11]building!Y5743</f>
        <v>0</v>
      </c>
      <c r="F5412" s="748">
        <f t="shared" si="323"/>
        <v>0</v>
      </c>
      <c r="G5412" s="1205"/>
      <c r="H5412" s="1055"/>
      <c r="I5412" s="1055"/>
      <c r="J5412" s="1055"/>
      <c r="K5412" s="1205"/>
      <c r="L5412" s="1055"/>
      <c r="M5412" s="1205"/>
      <c r="N5412" s="1054"/>
      <c r="O5412" s="1207"/>
      <c r="Q5412" s="1207"/>
    </row>
    <row r="5413" spans="3:17" s="700" customFormat="1" ht="70.5" hidden="1" customHeight="1">
      <c r="C5413" s="701"/>
      <c r="D5413" s="811"/>
      <c r="E5413" s="1276">
        <f>[11]building!Y5744</f>
        <v>0</v>
      </c>
      <c r="F5413" s="748">
        <f t="shared" si="323"/>
        <v>0</v>
      </c>
      <c r="G5413" s="1205"/>
      <c r="H5413" s="1055"/>
      <c r="I5413" s="1055"/>
      <c r="J5413" s="1055"/>
      <c r="K5413" s="1205"/>
      <c r="L5413" s="1055"/>
      <c r="M5413" s="1205"/>
      <c r="N5413" s="1054"/>
      <c r="O5413" s="1207"/>
      <c r="Q5413" s="1207"/>
    </row>
    <row r="5414" spans="3:17" s="700" customFormat="1" ht="70.5" hidden="1" customHeight="1">
      <c r="C5414" s="701"/>
      <c r="D5414" s="811"/>
      <c r="E5414" s="1276">
        <f>[11]building!Y5745</f>
        <v>0</v>
      </c>
      <c r="F5414" s="748">
        <f t="shared" si="323"/>
        <v>0</v>
      </c>
      <c r="G5414" s="1205"/>
      <c r="H5414" s="1055"/>
      <c r="I5414" s="1055"/>
      <c r="J5414" s="1055"/>
      <c r="K5414" s="1205"/>
      <c r="L5414" s="1055"/>
      <c r="M5414" s="1205"/>
      <c r="N5414" s="1054"/>
      <c r="O5414" s="1207"/>
      <c r="Q5414" s="1207"/>
    </row>
    <row r="5415" spans="3:17" s="700" customFormat="1" ht="70.5" hidden="1" customHeight="1">
      <c r="C5415" s="701"/>
      <c r="D5415" s="811"/>
      <c r="E5415" s="1276">
        <f>[11]building!Y5746</f>
        <v>0</v>
      </c>
      <c r="F5415" s="748">
        <f t="shared" si="323"/>
        <v>0</v>
      </c>
      <c r="G5415" s="1205"/>
      <c r="H5415" s="1055"/>
      <c r="I5415" s="1055"/>
      <c r="J5415" s="1055"/>
      <c r="K5415" s="1205"/>
      <c r="L5415" s="1055"/>
      <c r="M5415" s="1205"/>
      <c r="N5415" s="1054"/>
      <c r="O5415" s="1207"/>
      <c r="Q5415" s="1207"/>
    </row>
    <row r="5416" spans="3:17" s="700" customFormat="1" ht="70.5" hidden="1" customHeight="1">
      <c r="C5416" s="701"/>
      <c r="D5416" s="811"/>
      <c r="E5416" s="1276">
        <f>[11]building!Y5747</f>
        <v>0</v>
      </c>
      <c r="F5416" s="748">
        <f t="shared" si="323"/>
        <v>0</v>
      </c>
      <c r="G5416" s="1205"/>
      <c r="H5416" s="1055"/>
      <c r="I5416" s="1055"/>
      <c r="J5416" s="1055"/>
      <c r="K5416" s="1205"/>
      <c r="L5416" s="1055"/>
      <c r="M5416" s="1205"/>
      <c r="N5416" s="1054"/>
      <c r="O5416" s="1207"/>
      <c r="Q5416" s="1207"/>
    </row>
    <row r="5417" spans="3:17" s="700" customFormat="1" ht="70.5" hidden="1" customHeight="1">
      <c r="C5417" s="701"/>
      <c r="D5417" s="811"/>
      <c r="E5417" s="1276">
        <f>[11]building!Y5748</f>
        <v>0</v>
      </c>
      <c r="F5417" s="748">
        <f t="shared" si="323"/>
        <v>0</v>
      </c>
      <c r="G5417" s="1205"/>
      <c r="H5417" s="1055"/>
      <c r="I5417" s="1055"/>
      <c r="J5417" s="1055"/>
      <c r="K5417" s="1205"/>
      <c r="L5417" s="1055"/>
      <c r="M5417" s="1205"/>
      <c r="N5417" s="1054"/>
      <c r="O5417" s="1207"/>
      <c r="Q5417" s="1207"/>
    </row>
    <row r="5418" spans="3:17" s="700" customFormat="1" ht="70.5" hidden="1" customHeight="1">
      <c r="C5418" s="701"/>
      <c r="D5418" s="811"/>
      <c r="E5418" s="1276">
        <f>[11]building!Y5749</f>
        <v>0</v>
      </c>
      <c r="F5418" s="748">
        <f t="shared" si="323"/>
        <v>0</v>
      </c>
      <c r="G5418" s="1205"/>
      <c r="H5418" s="1055"/>
      <c r="I5418" s="1055"/>
      <c r="J5418" s="1055"/>
      <c r="K5418" s="1205"/>
      <c r="L5418" s="1055"/>
      <c r="M5418" s="1205"/>
      <c r="N5418" s="1054"/>
      <c r="O5418" s="1207"/>
      <c r="Q5418" s="1207"/>
    </row>
    <row r="5419" spans="3:17" s="700" customFormat="1" ht="70.5" hidden="1" customHeight="1">
      <c r="C5419" s="701"/>
      <c r="D5419" s="811"/>
      <c r="E5419" s="1276">
        <f>[11]building!Y5750</f>
        <v>0</v>
      </c>
      <c r="F5419" s="748">
        <f t="shared" si="323"/>
        <v>0</v>
      </c>
      <c r="G5419" s="1205"/>
      <c r="H5419" s="1055"/>
      <c r="I5419" s="1055"/>
      <c r="J5419" s="1055"/>
      <c r="K5419" s="1205"/>
      <c r="L5419" s="1055"/>
      <c r="M5419" s="1205"/>
      <c r="N5419" s="1054"/>
      <c r="O5419" s="1207"/>
      <c r="Q5419" s="1207"/>
    </row>
    <row r="5420" spans="3:17" s="700" customFormat="1" ht="70.5" hidden="1" customHeight="1">
      <c r="C5420" s="701"/>
      <c r="D5420" s="811"/>
      <c r="E5420" s="1276">
        <f>[11]building!Y5751</f>
        <v>0</v>
      </c>
      <c r="F5420" s="748">
        <f t="shared" si="323"/>
        <v>0</v>
      </c>
      <c r="G5420" s="1205"/>
      <c r="H5420" s="1055"/>
      <c r="I5420" s="1055"/>
      <c r="J5420" s="1055"/>
      <c r="K5420" s="1205"/>
      <c r="L5420" s="1055"/>
      <c r="M5420" s="1205"/>
      <c r="N5420" s="1054"/>
      <c r="O5420" s="1207"/>
      <c r="Q5420" s="1207"/>
    </row>
    <row r="5421" spans="3:17" s="700" customFormat="1" ht="70.5" hidden="1" customHeight="1">
      <c r="C5421" s="701"/>
      <c r="D5421" s="811"/>
      <c r="E5421" s="1276">
        <f>[11]building!Y5752</f>
        <v>0</v>
      </c>
      <c r="F5421" s="748">
        <f t="shared" si="323"/>
        <v>0</v>
      </c>
      <c r="G5421" s="1205"/>
      <c r="H5421" s="1055"/>
      <c r="I5421" s="1055"/>
      <c r="J5421" s="1055"/>
      <c r="K5421" s="1205"/>
      <c r="L5421" s="1055"/>
      <c r="M5421" s="1205"/>
      <c r="N5421" s="1054"/>
      <c r="O5421" s="1207"/>
      <c r="Q5421" s="1207"/>
    </row>
    <row r="5422" spans="3:17" s="700" customFormat="1" ht="70.5" hidden="1" customHeight="1">
      <c r="C5422" s="701"/>
      <c r="D5422" s="811"/>
      <c r="E5422" s="1276">
        <f>[11]building!Y5753</f>
        <v>0</v>
      </c>
      <c r="F5422" s="748">
        <f t="shared" si="323"/>
        <v>0</v>
      </c>
      <c r="G5422" s="1205"/>
      <c r="H5422" s="1055"/>
      <c r="I5422" s="1055"/>
      <c r="J5422" s="1055"/>
      <c r="K5422" s="1205"/>
      <c r="L5422" s="1055"/>
      <c r="M5422" s="1205"/>
      <c r="N5422" s="1054"/>
      <c r="O5422" s="1207"/>
      <c r="Q5422" s="1207"/>
    </row>
    <row r="5423" spans="3:17" s="700" customFormat="1" ht="70.5" hidden="1" customHeight="1">
      <c r="C5423" s="701"/>
      <c r="D5423" s="811"/>
      <c r="E5423" s="1276">
        <f>[11]building!Y5754</f>
        <v>0</v>
      </c>
      <c r="F5423" s="748">
        <f t="shared" si="323"/>
        <v>0</v>
      </c>
      <c r="G5423" s="1205"/>
      <c r="H5423" s="1055"/>
      <c r="I5423" s="1055"/>
      <c r="J5423" s="1055"/>
      <c r="K5423" s="1205"/>
      <c r="L5423" s="1055"/>
      <c r="M5423" s="1205"/>
      <c r="N5423" s="1054"/>
      <c r="O5423" s="1207"/>
      <c r="Q5423" s="1207"/>
    </row>
    <row r="5424" spans="3:17" s="700" customFormat="1" ht="70.5" hidden="1" customHeight="1">
      <c r="C5424" s="701"/>
      <c r="D5424" s="811"/>
      <c r="E5424" s="1276">
        <f>[11]building!Y5755</f>
        <v>0</v>
      </c>
      <c r="F5424" s="748">
        <f t="shared" si="323"/>
        <v>0</v>
      </c>
      <c r="G5424" s="1205"/>
      <c r="H5424" s="1055"/>
      <c r="I5424" s="1055"/>
      <c r="J5424" s="1055"/>
      <c r="K5424" s="1205"/>
      <c r="L5424" s="1055"/>
      <c r="M5424" s="1205"/>
      <c r="N5424" s="1054"/>
      <c r="O5424" s="1207"/>
      <c r="Q5424" s="1207"/>
    </row>
    <row r="5425" spans="3:17" s="700" customFormat="1" ht="70.5" hidden="1" customHeight="1">
      <c r="C5425" s="701"/>
      <c r="D5425" s="811"/>
      <c r="E5425" s="1276">
        <f>[11]building!Y5756</f>
        <v>0</v>
      </c>
      <c r="F5425" s="748">
        <f t="shared" si="323"/>
        <v>0</v>
      </c>
      <c r="G5425" s="1205"/>
      <c r="H5425" s="1055"/>
      <c r="I5425" s="1055"/>
      <c r="J5425" s="1055"/>
      <c r="K5425" s="1205"/>
      <c r="L5425" s="1055"/>
      <c r="M5425" s="1205"/>
      <c r="N5425" s="1054"/>
      <c r="O5425" s="1207"/>
      <c r="Q5425" s="1207"/>
    </row>
    <row r="5426" spans="3:17" s="700" customFormat="1" ht="70.5" hidden="1" customHeight="1">
      <c r="C5426" s="701"/>
      <c r="D5426" s="811"/>
      <c r="E5426" s="1276">
        <f>[11]building!Y5757</f>
        <v>0</v>
      </c>
      <c r="F5426" s="748">
        <f t="shared" si="323"/>
        <v>0</v>
      </c>
      <c r="G5426" s="1205"/>
      <c r="H5426" s="1055"/>
      <c r="I5426" s="1055"/>
      <c r="J5426" s="1055"/>
      <c r="K5426" s="1205"/>
      <c r="L5426" s="1055"/>
      <c r="M5426" s="1205"/>
      <c r="N5426" s="1054"/>
      <c r="O5426" s="1207"/>
      <c r="Q5426" s="1207"/>
    </row>
    <row r="5427" spans="3:17" s="700" customFormat="1" ht="70.5" hidden="1" customHeight="1">
      <c r="C5427" s="701"/>
      <c r="D5427" s="811"/>
      <c r="E5427" s="1276">
        <f>[11]building!Y5758</f>
        <v>0</v>
      </c>
      <c r="F5427" s="748">
        <f t="shared" si="323"/>
        <v>0</v>
      </c>
      <c r="G5427" s="1205"/>
      <c r="H5427" s="1055"/>
      <c r="I5427" s="1055"/>
      <c r="J5427" s="1055"/>
      <c r="K5427" s="1205"/>
      <c r="L5427" s="1055"/>
      <c r="M5427" s="1205"/>
      <c r="N5427" s="1054"/>
      <c r="O5427" s="1207"/>
      <c r="Q5427" s="1207"/>
    </row>
    <row r="5428" spans="3:17" s="700" customFormat="1" ht="70.5" hidden="1" customHeight="1">
      <c r="C5428" s="701"/>
      <c r="D5428" s="811"/>
      <c r="E5428" s="1276">
        <f>[11]building!Y5759</f>
        <v>0</v>
      </c>
      <c r="F5428" s="748">
        <f t="shared" si="323"/>
        <v>0</v>
      </c>
      <c r="G5428" s="1205"/>
      <c r="H5428" s="1055"/>
      <c r="I5428" s="1055"/>
      <c r="J5428" s="1055"/>
      <c r="K5428" s="1205"/>
      <c r="L5428" s="1055"/>
      <c r="M5428" s="1205"/>
      <c r="N5428" s="1054"/>
      <c r="O5428" s="1207"/>
      <c r="Q5428" s="1207"/>
    </row>
    <row r="5429" spans="3:17" s="700" customFormat="1" ht="70.5" hidden="1" customHeight="1">
      <c r="C5429" s="701"/>
      <c r="D5429" s="811"/>
      <c r="E5429" s="1276">
        <f>[11]building!Y5760</f>
        <v>0</v>
      </c>
      <c r="F5429" s="748">
        <f t="shared" si="323"/>
        <v>0</v>
      </c>
      <c r="G5429" s="1205"/>
      <c r="H5429" s="1055"/>
      <c r="I5429" s="1055"/>
      <c r="J5429" s="1055"/>
      <c r="K5429" s="1205"/>
      <c r="L5429" s="1055"/>
      <c r="M5429" s="1205"/>
      <c r="N5429" s="1054"/>
      <c r="O5429" s="1207"/>
      <c r="Q5429" s="1207"/>
    </row>
    <row r="5430" spans="3:17" s="700" customFormat="1" ht="70.5" hidden="1" customHeight="1">
      <c r="C5430" s="701"/>
      <c r="D5430" s="811"/>
      <c r="E5430" s="1276">
        <f>[11]building!Y5761</f>
        <v>0</v>
      </c>
      <c r="F5430" s="748">
        <f t="shared" si="323"/>
        <v>0</v>
      </c>
      <c r="G5430" s="1205"/>
      <c r="H5430" s="1055"/>
      <c r="I5430" s="1055"/>
      <c r="J5430" s="1055"/>
      <c r="K5430" s="1205"/>
      <c r="L5430" s="1055"/>
      <c r="M5430" s="1205"/>
      <c r="N5430" s="1054"/>
      <c r="O5430" s="1207"/>
      <c r="Q5430" s="1207"/>
    </row>
    <row r="5431" spans="3:17" s="700" customFormat="1" ht="70.5" hidden="1" customHeight="1">
      <c r="C5431" s="701"/>
      <c r="D5431" s="811"/>
      <c r="E5431" s="1276">
        <f>[11]building!Y5762</f>
        <v>0</v>
      </c>
      <c r="F5431" s="748">
        <f t="shared" si="323"/>
        <v>0</v>
      </c>
      <c r="G5431" s="1205"/>
      <c r="H5431" s="1055"/>
      <c r="I5431" s="1055"/>
      <c r="J5431" s="1055"/>
      <c r="K5431" s="1205"/>
      <c r="L5431" s="1055"/>
      <c r="M5431" s="1205"/>
      <c r="N5431" s="1054"/>
      <c r="O5431" s="1207"/>
      <c r="Q5431" s="1207"/>
    </row>
    <row r="5432" spans="3:17" s="700" customFormat="1" ht="70.5" hidden="1" customHeight="1">
      <c r="C5432" s="701"/>
      <c r="D5432" s="811"/>
      <c r="E5432" s="1276">
        <f>[11]building!Y5763</f>
        <v>0</v>
      </c>
      <c r="F5432" s="748">
        <f t="shared" si="323"/>
        <v>0</v>
      </c>
      <c r="G5432" s="1205"/>
      <c r="H5432" s="1055"/>
      <c r="I5432" s="1055"/>
      <c r="J5432" s="1055"/>
      <c r="K5432" s="1205"/>
      <c r="L5432" s="1055"/>
      <c r="M5432" s="1205"/>
      <c r="N5432" s="1054"/>
      <c r="O5432" s="1207"/>
      <c r="Q5432" s="1207"/>
    </row>
    <row r="5433" spans="3:17" s="700" customFormat="1" ht="70.5" hidden="1" customHeight="1">
      <c r="C5433" s="701"/>
      <c r="D5433" s="811"/>
      <c r="E5433" s="1276">
        <f>[11]building!Y5764</f>
        <v>0</v>
      </c>
      <c r="F5433" s="748">
        <f t="shared" si="323"/>
        <v>0</v>
      </c>
      <c r="G5433" s="1205"/>
      <c r="H5433" s="1055"/>
      <c r="I5433" s="1055"/>
      <c r="J5433" s="1055"/>
      <c r="K5433" s="1205"/>
      <c r="L5433" s="1055"/>
      <c r="M5433" s="1205"/>
      <c r="N5433" s="1054"/>
      <c r="O5433" s="1207"/>
      <c r="Q5433" s="1207"/>
    </row>
    <row r="5434" spans="3:17" s="700" customFormat="1" ht="70.5" hidden="1" customHeight="1">
      <c r="C5434" s="701"/>
      <c r="D5434" s="811"/>
      <c r="E5434" s="1276">
        <f>[11]building!Y5765</f>
        <v>0</v>
      </c>
      <c r="F5434" s="748">
        <f t="shared" si="323"/>
        <v>0</v>
      </c>
      <c r="G5434" s="1205"/>
      <c r="H5434" s="1055"/>
      <c r="I5434" s="1055"/>
      <c r="J5434" s="1055"/>
      <c r="K5434" s="1205"/>
      <c r="L5434" s="1055"/>
      <c r="M5434" s="1205"/>
      <c r="N5434" s="1054"/>
      <c r="O5434" s="1207"/>
      <c r="Q5434" s="1207"/>
    </row>
    <row r="5435" spans="3:17" s="700" customFormat="1" ht="70.5" hidden="1" customHeight="1">
      <c r="C5435" s="701"/>
      <c r="D5435" s="811"/>
      <c r="E5435" s="1276">
        <f>[11]building!Y5766</f>
        <v>0</v>
      </c>
      <c r="F5435" s="748">
        <f t="shared" si="323"/>
        <v>0</v>
      </c>
      <c r="G5435" s="1205"/>
      <c r="H5435" s="1055"/>
      <c r="I5435" s="1055"/>
      <c r="J5435" s="1055"/>
      <c r="K5435" s="1205"/>
      <c r="L5435" s="1055"/>
      <c r="M5435" s="1205"/>
      <c r="N5435" s="1054"/>
      <c r="O5435" s="1207"/>
      <c r="Q5435" s="1207"/>
    </row>
    <row r="5436" spans="3:17" s="700" customFormat="1" ht="70.5" hidden="1" customHeight="1">
      <c r="C5436" s="701"/>
      <c r="D5436" s="811"/>
      <c r="E5436" s="1276">
        <f>[11]building!Y5767</f>
        <v>0</v>
      </c>
      <c r="F5436" s="748">
        <f t="shared" si="323"/>
        <v>0</v>
      </c>
      <c r="G5436" s="1205"/>
      <c r="H5436" s="1055"/>
      <c r="I5436" s="1055"/>
      <c r="J5436" s="1055"/>
      <c r="K5436" s="1205"/>
      <c r="L5436" s="1055"/>
      <c r="M5436" s="1205"/>
      <c r="N5436" s="1054"/>
      <c r="O5436" s="1207"/>
      <c r="Q5436" s="1207"/>
    </row>
    <row r="5437" spans="3:17" s="700" customFormat="1" ht="70.5" hidden="1" customHeight="1">
      <c r="C5437" s="701"/>
      <c r="D5437" s="811"/>
      <c r="E5437" s="1276">
        <f>[11]building!Y5768</f>
        <v>0</v>
      </c>
      <c r="F5437" s="748">
        <f t="shared" si="323"/>
        <v>0</v>
      </c>
      <c r="G5437" s="1205"/>
      <c r="H5437" s="1055"/>
      <c r="I5437" s="1055"/>
      <c r="J5437" s="1055"/>
      <c r="K5437" s="1205"/>
      <c r="L5437" s="1055"/>
      <c r="M5437" s="1205"/>
      <c r="N5437" s="1054"/>
      <c r="O5437" s="1207"/>
      <c r="Q5437" s="1207"/>
    </row>
    <row r="5438" spans="3:17" s="700" customFormat="1" ht="70.5" hidden="1" customHeight="1">
      <c r="C5438" s="701"/>
      <c r="D5438" s="811"/>
      <c r="E5438" s="1276">
        <f>[11]building!Y5769</f>
        <v>0</v>
      </c>
      <c r="F5438" s="748">
        <f t="shared" si="323"/>
        <v>0</v>
      </c>
      <c r="G5438" s="1205"/>
      <c r="H5438" s="1055"/>
      <c r="I5438" s="1055"/>
      <c r="J5438" s="1055"/>
      <c r="K5438" s="1205"/>
      <c r="L5438" s="1055"/>
      <c r="M5438" s="1205"/>
      <c r="N5438" s="1054"/>
      <c r="O5438" s="1207"/>
      <c r="Q5438" s="1207"/>
    </row>
    <row r="5439" spans="3:17" s="700" customFormat="1" ht="70.5" hidden="1" customHeight="1">
      <c r="C5439" s="701"/>
      <c r="D5439" s="811"/>
      <c r="E5439" s="1276">
        <f>[11]building!Y5770</f>
        <v>0</v>
      </c>
      <c r="F5439" s="748">
        <f t="shared" si="323"/>
        <v>0</v>
      </c>
      <c r="G5439" s="1205"/>
      <c r="H5439" s="1055"/>
      <c r="I5439" s="1055"/>
      <c r="J5439" s="1055"/>
      <c r="K5439" s="1205"/>
      <c r="L5439" s="1055"/>
      <c r="M5439" s="1205"/>
      <c r="N5439" s="1054"/>
      <c r="O5439" s="1207"/>
      <c r="Q5439" s="1207"/>
    </row>
    <row r="5440" spans="3:17" s="700" customFormat="1" ht="70.5" hidden="1" customHeight="1">
      <c r="C5440" s="701"/>
      <c r="D5440" s="811"/>
      <c r="E5440" s="1276">
        <f>[11]building!Y5771</f>
        <v>0</v>
      </c>
      <c r="F5440" s="748">
        <f t="shared" ref="F5440:F5503" si="324">E5440*C5440</f>
        <v>0</v>
      </c>
      <c r="G5440" s="1205"/>
      <c r="H5440" s="1055"/>
      <c r="I5440" s="1055"/>
      <c r="J5440" s="1055"/>
      <c r="K5440" s="1205"/>
      <c r="L5440" s="1055"/>
      <c r="M5440" s="1205"/>
      <c r="N5440" s="1054"/>
      <c r="O5440" s="1207"/>
      <c r="Q5440" s="1207"/>
    </row>
    <row r="5441" spans="3:17" s="700" customFormat="1" ht="70.5" hidden="1" customHeight="1">
      <c r="C5441" s="701"/>
      <c r="D5441" s="811"/>
      <c r="E5441" s="1276">
        <f>[11]building!Y5772</f>
        <v>0</v>
      </c>
      <c r="F5441" s="748">
        <f t="shared" si="324"/>
        <v>0</v>
      </c>
      <c r="G5441" s="1205"/>
      <c r="H5441" s="1055"/>
      <c r="I5441" s="1055"/>
      <c r="J5441" s="1055"/>
      <c r="K5441" s="1205"/>
      <c r="L5441" s="1055"/>
      <c r="M5441" s="1205"/>
      <c r="N5441" s="1054"/>
      <c r="O5441" s="1207"/>
      <c r="Q5441" s="1207"/>
    </row>
    <row r="5442" spans="3:17" s="700" customFormat="1" ht="70.5" hidden="1" customHeight="1">
      <c r="C5442" s="701"/>
      <c r="D5442" s="811"/>
      <c r="E5442" s="1276">
        <f>[11]building!Y5773</f>
        <v>0</v>
      </c>
      <c r="F5442" s="748">
        <f t="shared" si="324"/>
        <v>0</v>
      </c>
      <c r="G5442" s="1205"/>
      <c r="H5442" s="1055"/>
      <c r="I5442" s="1055"/>
      <c r="J5442" s="1055"/>
      <c r="K5442" s="1205"/>
      <c r="L5442" s="1055"/>
      <c r="M5442" s="1205"/>
      <c r="N5442" s="1054"/>
      <c r="O5442" s="1207"/>
      <c r="Q5442" s="1207"/>
    </row>
    <row r="5443" spans="3:17" s="700" customFormat="1" ht="70.5" hidden="1" customHeight="1">
      <c r="C5443" s="701"/>
      <c r="D5443" s="811"/>
      <c r="E5443" s="1276">
        <f>[11]building!Y5774</f>
        <v>0</v>
      </c>
      <c r="F5443" s="748">
        <f t="shared" si="324"/>
        <v>0</v>
      </c>
      <c r="G5443" s="1205"/>
      <c r="H5443" s="1055"/>
      <c r="I5443" s="1055"/>
      <c r="J5443" s="1055"/>
      <c r="K5443" s="1205"/>
      <c r="L5443" s="1055"/>
      <c r="M5443" s="1205"/>
      <c r="N5443" s="1054"/>
      <c r="O5443" s="1207"/>
      <c r="Q5443" s="1207"/>
    </row>
    <row r="5444" spans="3:17" s="700" customFormat="1" ht="70.5" hidden="1" customHeight="1">
      <c r="C5444" s="701"/>
      <c r="D5444" s="811"/>
      <c r="E5444" s="1276">
        <f>[11]building!Y5775</f>
        <v>0</v>
      </c>
      <c r="F5444" s="748">
        <f t="shared" si="324"/>
        <v>0</v>
      </c>
      <c r="G5444" s="1205"/>
      <c r="H5444" s="1055"/>
      <c r="I5444" s="1055"/>
      <c r="J5444" s="1055"/>
      <c r="K5444" s="1205"/>
      <c r="L5444" s="1055"/>
      <c r="M5444" s="1205"/>
      <c r="N5444" s="1054"/>
      <c r="O5444" s="1207"/>
      <c r="Q5444" s="1207"/>
    </row>
    <row r="5445" spans="3:17" s="700" customFormat="1" ht="70.5" hidden="1" customHeight="1">
      <c r="C5445" s="701"/>
      <c r="D5445" s="811"/>
      <c r="E5445" s="1276">
        <f>[11]building!Y5776</f>
        <v>0</v>
      </c>
      <c r="F5445" s="748">
        <f t="shared" si="324"/>
        <v>0</v>
      </c>
      <c r="G5445" s="1205"/>
      <c r="H5445" s="1055"/>
      <c r="I5445" s="1055"/>
      <c r="J5445" s="1055"/>
      <c r="K5445" s="1205"/>
      <c r="L5445" s="1055"/>
      <c r="M5445" s="1205"/>
      <c r="N5445" s="1054"/>
      <c r="O5445" s="1207"/>
      <c r="Q5445" s="1207"/>
    </row>
    <row r="5446" spans="3:17" s="700" customFormat="1" ht="70.5" hidden="1" customHeight="1">
      <c r="C5446" s="701"/>
      <c r="D5446" s="811"/>
      <c r="E5446" s="1276">
        <f>[11]building!Y5777</f>
        <v>0</v>
      </c>
      <c r="F5446" s="748">
        <f t="shared" si="324"/>
        <v>0</v>
      </c>
      <c r="G5446" s="1205"/>
      <c r="H5446" s="1055"/>
      <c r="I5446" s="1055"/>
      <c r="J5446" s="1055"/>
      <c r="K5446" s="1205"/>
      <c r="L5446" s="1055"/>
      <c r="M5446" s="1205"/>
      <c r="N5446" s="1054"/>
      <c r="O5446" s="1207"/>
      <c r="Q5446" s="1207"/>
    </row>
    <row r="5447" spans="3:17" s="700" customFormat="1" ht="70.5" hidden="1" customHeight="1">
      <c r="C5447" s="701"/>
      <c r="D5447" s="811"/>
      <c r="E5447" s="1276">
        <f>[11]building!Y5778</f>
        <v>0</v>
      </c>
      <c r="F5447" s="748">
        <f t="shared" si="324"/>
        <v>0</v>
      </c>
      <c r="G5447" s="1205"/>
      <c r="H5447" s="1055"/>
      <c r="I5447" s="1055"/>
      <c r="J5447" s="1055"/>
      <c r="K5447" s="1205"/>
      <c r="L5447" s="1055"/>
      <c r="M5447" s="1205"/>
      <c r="N5447" s="1054"/>
      <c r="O5447" s="1207"/>
      <c r="Q5447" s="1207"/>
    </row>
    <row r="5448" spans="3:17" s="700" customFormat="1" ht="70.5" hidden="1" customHeight="1">
      <c r="C5448" s="701"/>
      <c r="D5448" s="811"/>
      <c r="E5448" s="1276">
        <f>[11]building!Y5779</f>
        <v>0</v>
      </c>
      <c r="F5448" s="748">
        <f t="shared" si="324"/>
        <v>0</v>
      </c>
      <c r="G5448" s="1205"/>
      <c r="H5448" s="1055"/>
      <c r="I5448" s="1055"/>
      <c r="J5448" s="1055"/>
      <c r="K5448" s="1205"/>
      <c r="L5448" s="1055"/>
      <c r="M5448" s="1205"/>
      <c r="N5448" s="1054"/>
      <c r="O5448" s="1207"/>
      <c r="Q5448" s="1207"/>
    </row>
    <row r="5449" spans="3:17" s="700" customFormat="1" ht="70.5" hidden="1" customHeight="1">
      <c r="C5449" s="701"/>
      <c r="D5449" s="811"/>
      <c r="E5449" s="1276">
        <f>[11]building!Y5780</f>
        <v>0</v>
      </c>
      <c r="F5449" s="748">
        <f t="shared" si="324"/>
        <v>0</v>
      </c>
      <c r="G5449" s="1205"/>
      <c r="H5449" s="1055"/>
      <c r="I5449" s="1055"/>
      <c r="J5449" s="1055"/>
      <c r="K5449" s="1205"/>
      <c r="L5449" s="1055"/>
      <c r="M5449" s="1205"/>
      <c r="N5449" s="1054"/>
      <c r="O5449" s="1207"/>
      <c r="Q5449" s="1207"/>
    </row>
    <row r="5450" spans="3:17" s="700" customFormat="1" ht="70.5" hidden="1" customHeight="1">
      <c r="C5450" s="701"/>
      <c r="D5450" s="811"/>
      <c r="E5450" s="1276">
        <f>[11]building!Y5781</f>
        <v>0</v>
      </c>
      <c r="F5450" s="748">
        <f t="shared" si="324"/>
        <v>0</v>
      </c>
      <c r="G5450" s="1205"/>
      <c r="H5450" s="1055"/>
      <c r="I5450" s="1055"/>
      <c r="J5450" s="1055"/>
      <c r="K5450" s="1205"/>
      <c r="L5450" s="1055"/>
      <c r="M5450" s="1205"/>
      <c r="N5450" s="1054"/>
      <c r="O5450" s="1207"/>
      <c r="Q5450" s="1207"/>
    </row>
    <row r="5451" spans="3:17" s="700" customFormat="1" ht="70.5" hidden="1" customHeight="1">
      <c r="C5451" s="701"/>
      <c r="D5451" s="811"/>
      <c r="E5451" s="1276">
        <f>[11]building!Y5782</f>
        <v>0</v>
      </c>
      <c r="F5451" s="748">
        <f t="shared" si="324"/>
        <v>0</v>
      </c>
      <c r="G5451" s="1205"/>
      <c r="H5451" s="1055"/>
      <c r="I5451" s="1055"/>
      <c r="J5451" s="1055"/>
      <c r="K5451" s="1205"/>
      <c r="L5451" s="1055"/>
      <c r="M5451" s="1205"/>
      <c r="N5451" s="1054"/>
      <c r="O5451" s="1207"/>
      <c r="Q5451" s="1207"/>
    </row>
    <row r="5452" spans="3:17" s="700" customFormat="1" ht="70.5" hidden="1" customHeight="1">
      <c r="C5452" s="701"/>
      <c r="D5452" s="811"/>
      <c r="E5452" s="1276">
        <f>[11]building!Y5783</f>
        <v>0</v>
      </c>
      <c r="F5452" s="748">
        <f t="shared" si="324"/>
        <v>0</v>
      </c>
      <c r="G5452" s="1205"/>
      <c r="H5452" s="1055"/>
      <c r="I5452" s="1055"/>
      <c r="J5452" s="1055"/>
      <c r="K5452" s="1205"/>
      <c r="L5452" s="1055"/>
      <c r="M5452" s="1205"/>
      <c r="N5452" s="1054"/>
      <c r="O5452" s="1207"/>
      <c r="Q5452" s="1207"/>
    </row>
    <row r="5453" spans="3:17" s="700" customFormat="1" ht="70.5" hidden="1" customHeight="1">
      <c r="C5453" s="701"/>
      <c r="D5453" s="811"/>
      <c r="E5453" s="1276">
        <f>[11]building!Y5784</f>
        <v>0</v>
      </c>
      <c r="F5453" s="748">
        <f t="shared" si="324"/>
        <v>0</v>
      </c>
      <c r="G5453" s="1205"/>
      <c r="H5453" s="1055"/>
      <c r="I5453" s="1055"/>
      <c r="J5453" s="1055"/>
      <c r="K5453" s="1205"/>
      <c r="L5453" s="1055"/>
      <c r="M5453" s="1205"/>
      <c r="N5453" s="1054"/>
      <c r="O5453" s="1207"/>
      <c r="Q5453" s="1207"/>
    </row>
    <row r="5454" spans="3:17" s="700" customFormat="1" ht="70.5" hidden="1" customHeight="1">
      <c r="C5454" s="701"/>
      <c r="D5454" s="811"/>
      <c r="E5454" s="1276">
        <f>[11]building!Y5785</f>
        <v>0</v>
      </c>
      <c r="F5454" s="748">
        <f t="shared" si="324"/>
        <v>0</v>
      </c>
      <c r="G5454" s="1205"/>
      <c r="H5454" s="1055"/>
      <c r="I5454" s="1055"/>
      <c r="J5454" s="1055"/>
      <c r="K5454" s="1205"/>
      <c r="L5454" s="1055"/>
      <c r="M5454" s="1205"/>
      <c r="N5454" s="1054"/>
      <c r="O5454" s="1207"/>
      <c r="Q5454" s="1207"/>
    </row>
    <row r="5455" spans="3:17" s="700" customFormat="1" ht="70.5" hidden="1" customHeight="1">
      <c r="C5455" s="701"/>
      <c r="D5455" s="811"/>
      <c r="E5455" s="1276">
        <f>[11]building!Y5786</f>
        <v>0</v>
      </c>
      <c r="F5455" s="748">
        <f t="shared" si="324"/>
        <v>0</v>
      </c>
      <c r="G5455" s="1205"/>
      <c r="H5455" s="1055"/>
      <c r="I5455" s="1055"/>
      <c r="J5455" s="1055"/>
      <c r="K5455" s="1205"/>
      <c r="L5455" s="1055"/>
      <c r="M5455" s="1205"/>
      <c r="N5455" s="1054"/>
      <c r="O5455" s="1207"/>
      <c r="Q5455" s="1207"/>
    </row>
    <row r="5456" spans="3:17" s="700" customFormat="1" ht="70.5" hidden="1" customHeight="1">
      <c r="C5456" s="701"/>
      <c r="D5456" s="811"/>
      <c r="E5456" s="1276">
        <f>[11]building!Y5787</f>
        <v>0</v>
      </c>
      <c r="F5456" s="748">
        <f t="shared" si="324"/>
        <v>0</v>
      </c>
      <c r="G5456" s="1205"/>
      <c r="H5456" s="1055"/>
      <c r="I5456" s="1055"/>
      <c r="J5456" s="1055"/>
      <c r="K5456" s="1205"/>
      <c r="L5456" s="1055"/>
      <c r="M5456" s="1205"/>
      <c r="N5456" s="1054"/>
      <c r="O5456" s="1207"/>
      <c r="Q5456" s="1207"/>
    </row>
    <row r="5457" spans="3:17" s="700" customFormat="1" ht="70.5" hidden="1" customHeight="1">
      <c r="C5457" s="701"/>
      <c r="D5457" s="811"/>
      <c r="E5457" s="1276">
        <f>[11]building!Y5788</f>
        <v>0</v>
      </c>
      <c r="F5457" s="748">
        <f t="shared" si="324"/>
        <v>0</v>
      </c>
      <c r="G5457" s="1205"/>
      <c r="H5457" s="1055"/>
      <c r="I5457" s="1055"/>
      <c r="J5457" s="1055"/>
      <c r="K5457" s="1205"/>
      <c r="L5457" s="1055"/>
      <c r="M5457" s="1205"/>
      <c r="N5457" s="1054"/>
      <c r="O5457" s="1207"/>
      <c r="Q5457" s="1207"/>
    </row>
    <row r="5458" spans="3:17" s="700" customFormat="1" ht="70.5" hidden="1" customHeight="1">
      <c r="C5458" s="701"/>
      <c r="D5458" s="811"/>
      <c r="E5458" s="1276">
        <f>[11]building!Y5789</f>
        <v>0</v>
      </c>
      <c r="F5458" s="748">
        <f t="shared" si="324"/>
        <v>0</v>
      </c>
      <c r="G5458" s="1205"/>
      <c r="H5458" s="1055"/>
      <c r="I5458" s="1055"/>
      <c r="J5458" s="1055"/>
      <c r="K5458" s="1205"/>
      <c r="L5458" s="1055"/>
      <c r="M5458" s="1205"/>
      <c r="N5458" s="1054"/>
      <c r="O5458" s="1207"/>
      <c r="Q5458" s="1207"/>
    </row>
    <row r="5459" spans="3:17" s="700" customFormat="1" ht="70.5" hidden="1" customHeight="1">
      <c r="C5459" s="701"/>
      <c r="D5459" s="811"/>
      <c r="E5459" s="1276">
        <f>[11]building!Y5790</f>
        <v>0</v>
      </c>
      <c r="F5459" s="748">
        <f t="shared" si="324"/>
        <v>0</v>
      </c>
      <c r="G5459" s="1205"/>
      <c r="H5459" s="1055"/>
      <c r="I5459" s="1055"/>
      <c r="J5459" s="1055"/>
      <c r="K5459" s="1205"/>
      <c r="L5459" s="1055"/>
      <c r="M5459" s="1205"/>
      <c r="N5459" s="1054"/>
      <c r="O5459" s="1207"/>
      <c r="Q5459" s="1207"/>
    </row>
    <row r="5460" spans="3:17" s="700" customFormat="1" ht="70.5" hidden="1" customHeight="1">
      <c r="C5460" s="701"/>
      <c r="D5460" s="811"/>
      <c r="E5460" s="1276">
        <f>[11]building!Y5791</f>
        <v>0</v>
      </c>
      <c r="F5460" s="748">
        <f t="shared" si="324"/>
        <v>0</v>
      </c>
      <c r="G5460" s="1205"/>
      <c r="H5460" s="1055"/>
      <c r="I5460" s="1055"/>
      <c r="J5460" s="1055"/>
      <c r="K5460" s="1205"/>
      <c r="L5460" s="1055"/>
      <c r="M5460" s="1205"/>
      <c r="N5460" s="1054"/>
      <c r="O5460" s="1207"/>
      <c r="Q5460" s="1207"/>
    </row>
    <row r="5461" spans="3:17" s="700" customFormat="1" ht="70.5" hidden="1" customHeight="1">
      <c r="C5461" s="701"/>
      <c r="D5461" s="811"/>
      <c r="E5461" s="1276">
        <f>[11]building!Y5792</f>
        <v>0</v>
      </c>
      <c r="F5461" s="748">
        <f t="shared" si="324"/>
        <v>0</v>
      </c>
      <c r="G5461" s="1205"/>
      <c r="H5461" s="1055"/>
      <c r="I5461" s="1055"/>
      <c r="J5461" s="1055"/>
      <c r="K5461" s="1205"/>
      <c r="L5461" s="1055"/>
      <c r="M5461" s="1205"/>
      <c r="N5461" s="1054"/>
      <c r="O5461" s="1207"/>
      <c r="Q5461" s="1207"/>
    </row>
    <row r="5462" spans="3:17" s="700" customFormat="1" ht="70.5" hidden="1" customHeight="1">
      <c r="C5462" s="701"/>
      <c r="D5462" s="811"/>
      <c r="E5462" s="1276">
        <f>[11]building!Y5793</f>
        <v>0</v>
      </c>
      <c r="F5462" s="748">
        <f t="shared" si="324"/>
        <v>0</v>
      </c>
      <c r="G5462" s="1205"/>
      <c r="H5462" s="1055"/>
      <c r="I5462" s="1055"/>
      <c r="J5462" s="1055"/>
      <c r="K5462" s="1205"/>
      <c r="L5462" s="1055"/>
      <c r="M5462" s="1205"/>
      <c r="N5462" s="1054"/>
      <c r="O5462" s="1207"/>
      <c r="Q5462" s="1207"/>
    </row>
    <row r="5463" spans="3:17" s="700" customFormat="1" ht="70.5" hidden="1" customHeight="1">
      <c r="C5463" s="701"/>
      <c r="D5463" s="811"/>
      <c r="E5463" s="1276">
        <f>[11]building!Y5794</f>
        <v>0</v>
      </c>
      <c r="F5463" s="748">
        <f t="shared" si="324"/>
        <v>0</v>
      </c>
      <c r="G5463" s="1205"/>
      <c r="H5463" s="1055"/>
      <c r="I5463" s="1055"/>
      <c r="J5463" s="1055"/>
      <c r="K5463" s="1205"/>
      <c r="L5463" s="1055"/>
      <c r="M5463" s="1205"/>
      <c r="N5463" s="1054"/>
      <c r="O5463" s="1207"/>
      <c r="Q5463" s="1207"/>
    </row>
    <row r="5464" spans="3:17" s="700" customFormat="1" ht="70.5" hidden="1" customHeight="1">
      <c r="C5464" s="701"/>
      <c r="D5464" s="811"/>
      <c r="E5464" s="1276">
        <f>[11]building!Y5795</f>
        <v>0</v>
      </c>
      <c r="F5464" s="748">
        <f t="shared" si="324"/>
        <v>0</v>
      </c>
      <c r="G5464" s="1205"/>
      <c r="H5464" s="1055"/>
      <c r="I5464" s="1055"/>
      <c r="J5464" s="1055"/>
      <c r="K5464" s="1205"/>
      <c r="L5464" s="1055"/>
      <c r="M5464" s="1205"/>
      <c r="N5464" s="1054"/>
      <c r="O5464" s="1207"/>
      <c r="Q5464" s="1207"/>
    </row>
    <row r="5465" spans="3:17" s="700" customFormat="1" ht="70.5" hidden="1" customHeight="1">
      <c r="C5465" s="701"/>
      <c r="D5465" s="811"/>
      <c r="E5465" s="1276">
        <f>[11]building!Y5796</f>
        <v>0</v>
      </c>
      <c r="F5465" s="748">
        <f t="shared" si="324"/>
        <v>0</v>
      </c>
      <c r="G5465" s="1205"/>
      <c r="H5465" s="1055"/>
      <c r="I5465" s="1055"/>
      <c r="J5465" s="1055"/>
      <c r="K5465" s="1205"/>
      <c r="L5465" s="1055"/>
      <c r="M5465" s="1205"/>
      <c r="N5465" s="1054"/>
      <c r="O5465" s="1207"/>
      <c r="Q5465" s="1207"/>
    </row>
    <row r="5466" spans="3:17" s="700" customFormat="1" ht="70.5" hidden="1" customHeight="1">
      <c r="C5466" s="701"/>
      <c r="D5466" s="811"/>
      <c r="E5466" s="1276">
        <f>[11]building!Y5797</f>
        <v>0</v>
      </c>
      <c r="F5466" s="748">
        <f t="shared" si="324"/>
        <v>0</v>
      </c>
      <c r="G5466" s="1205"/>
      <c r="H5466" s="1055"/>
      <c r="I5466" s="1055"/>
      <c r="J5466" s="1055"/>
      <c r="K5466" s="1205"/>
      <c r="L5466" s="1055"/>
      <c r="M5466" s="1205"/>
      <c r="N5466" s="1054"/>
      <c r="O5466" s="1207"/>
      <c r="Q5466" s="1207"/>
    </row>
    <row r="5467" spans="3:17" s="700" customFormat="1" ht="70.5" hidden="1" customHeight="1">
      <c r="C5467" s="701"/>
      <c r="D5467" s="811"/>
      <c r="E5467" s="1276">
        <f>[11]building!Y5798</f>
        <v>0</v>
      </c>
      <c r="F5467" s="748">
        <f t="shared" si="324"/>
        <v>0</v>
      </c>
      <c r="G5467" s="1205"/>
      <c r="H5467" s="1055"/>
      <c r="I5467" s="1055"/>
      <c r="J5467" s="1055"/>
      <c r="K5467" s="1205"/>
      <c r="L5467" s="1055"/>
      <c r="M5467" s="1205"/>
      <c r="N5467" s="1054"/>
      <c r="O5467" s="1207"/>
      <c r="Q5467" s="1207"/>
    </row>
    <row r="5468" spans="3:17" s="700" customFormat="1" ht="70.5" hidden="1" customHeight="1">
      <c r="C5468" s="701"/>
      <c r="D5468" s="811"/>
      <c r="E5468" s="1276">
        <f>[11]building!Y5799</f>
        <v>0</v>
      </c>
      <c r="F5468" s="748">
        <f t="shared" si="324"/>
        <v>0</v>
      </c>
      <c r="G5468" s="1205"/>
      <c r="H5468" s="1055"/>
      <c r="I5468" s="1055"/>
      <c r="J5468" s="1055"/>
      <c r="K5468" s="1205"/>
      <c r="L5468" s="1055"/>
      <c r="M5468" s="1205"/>
      <c r="N5468" s="1054"/>
      <c r="O5468" s="1207"/>
      <c r="Q5468" s="1207"/>
    </row>
    <row r="5469" spans="3:17" s="700" customFormat="1" ht="70.5" hidden="1" customHeight="1">
      <c r="C5469" s="701"/>
      <c r="D5469" s="811"/>
      <c r="E5469" s="1276">
        <f>[11]building!Y5800</f>
        <v>0</v>
      </c>
      <c r="F5469" s="748">
        <f t="shared" si="324"/>
        <v>0</v>
      </c>
      <c r="G5469" s="1205"/>
      <c r="H5469" s="1055"/>
      <c r="I5469" s="1055"/>
      <c r="J5469" s="1055"/>
      <c r="K5469" s="1205"/>
      <c r="L5469" s="1055"/>
      <c r="M5469" s="1205"/>
      <c r="N5469" s="1054"/>
      <c r="O5469" s="1207"/>
      <c r="Q5469" s="1207"/>
    </row>
    <row r="5470" spans="3:17" s="700" customFormat="1" ht="70.5" hidden="1" customHeight="1">
      <c r="C5470" s="701"/>
      <c r="D5470" s="811"/>
      <c r="E5470" s="1276">
        <f>[11]building!Y5801</f>
        <v>0</v>
      </c>
      <c r="F5470" s="748">
        <f t="shared" si="324"/>
        <v>0</v>
      </c>
      <c r="G5470" s="1205"/>
      <c r="H5470" s="1055"/>
      <c r="I5470" s="1055"/>
      <c r="J5470" s="1055"/>
      <c r="K5470" s="1205"/>
      <c r="L5470" s="1055"/>
      <c r="M5470" s="1205"/>
      <c r="N5470" s="1054"/>
      <c r="O5470" s="1207"/>
      <c r="Q5470" s="1207"/>
    </row>
    <row r="5471" spans="3:17" s="700" customFormat="1" ht="70.5" hidden="1" customHeight="1">
      <c r="C5471" s="701"/>
      <c r="D5471" s="811"/>
      <c r="E5471" s="1276">
        <f>[11]building!Y5802</f>
        <v>0</v>
      </c>
      <c r="F5471" s="748">
        <f t="shared" si="324"/>
        <v>0</v>
      </c>
      <c r="G5471" s="1205"/>
      <c r="H5471" s="1055"/>
      <c r="I5471" s="1055"/>
      <c r="J5471" s="1055"/>
      <c r="K5471" s="1205"/>
      <c r="L5471" s="1055"/>
      <c r="M5471" s="1205"/>
      <c r="N5471" s="1054"/>
      <c r="O5471" s="1207"/>
      <c r="Q5471" s="1207"/>
    </row>
    <row r="5472" spans="3:17" s="700" customFormat="1" ht="70.5" hidden="1" customHeight="1">
      <c r="C5472" s="701"/>
      <c r="D5472" s="811"/>
      <c r="E5472" s="1276">
        <f>[11]building!Y5803</f>
        <v>0</v>
      </c>
      <c r="F5472" s="748">
        <f t="shared" si="324"/>
        <v>0</v>
      </c>
      <c r="G5472" s="1205"/>
      <c r="H5472" s="1055"/>
      <c r="I5472" s="1055"/>
      <c r="J5472" s="1055"/>
      <c r="K5472" s="1205"/>
      <c r="L5472" s="1055"/>
      <c r="M5472" s="1205"/>
      <c r="N5472" s="1054"/>
      <c r="O5472" s="1207"/>
      <c r="Q5472" s="1207"/>
    </row>
    <row r="5473" spans="3:17" s="700" customFormat="1" ht="70.5" hidden="1" customHeight="1">
      <c r="C5473" s="701"/>
      <c r="D5473" s="811"/>
      <c r="E5473" s="1276">
        <f>[11]building!Y5804</f>
        <v>0</v>
      </c>
      <c r="F5473" s="748">
        <f t="shared" si="324"/>
        <v>0</v>
      </c>
      <c r="G5473" s="1205"/>
      <c r="H5473" s="1055"/>
      <c r="I5473" s="1055"/>
      <c r="J5473" s="1055"/>
      <c r="K5473" s="1205"/>
      <c r="L5473" s="1055"/>
      <c r="M5473" s="1205"/>
      <c r="N5473" s="1054"/>
      <c r="O5473" s="1207"/>
      <c r="Q5473" s="1207"/>
    </row>
    <row r="5474" spans="3:17" s="700" customFormat="1" ht="70.5" hidden="1" customHeight="1">
      <c r="C5474" s="701"/>
      <c r="D5474" s="811"/>
      <c r="E5474" s="1276">
        <f>[11]building!Y5805</f>
        <v>0</v>
      </c>
      <c r="F5474" s="748">
        <f t="shared" si="324"/>
        <v>0</v>
      </c>
      <c r="G5474" s="1205"/>
      <c r="H5474" s="1055"/>
      <c r="I5474" s="1055"/>
      <c r="J5474" s="1055"/>
      <c r="K5474" s="1205"/>
      <c r="L5474" s="1055"/>
      <c r="M5474" s="1205"/>
      <c r="N5474" s="1054"/>
      <c r="O5474" s="1207"/>
      <c r="Q5474" s="1207"/>
    </row>
    <row r="5475" spans="3:17" s="700" customFormat="1" ht="70.5" hidden="1" customHeight="1">
      <c r="C5475" s="701"/>
      <c r="D5475" s="811"/>
      <c r="E5475" s="1276">
        <f>[11]building!Y5806</f>
        <v>0</v>
      </c>
      <c r="F5475" s="748">
        <f t="shared" si="324"/>
        <v>0</v>
      </c>
      <c r="G5475" s="1205"/>
      <c r="H5475" s="1055"/>
      <c r="I5475" s="1055"/>
      <c r="J5475" s="1055"/>
      <c r="K5475" s="1205"/>
      <c r="L5475" s="1055"/>
      <c r="M5475" s="1205"/>
      <c r="N5475" s="1054"/>
      <c r="O5475" s="1207"/>
      <c r="Q5475" s="1207"/>
    </row>
    <row r="5476" spans="3:17" s="700" customFormat="1" ht="70.5" hidden="1" customHeight="1">
      <c r="C5476" s="701"/>
      <c r="D5476" s="811"/>
      <c r="E5476" s="1276">
        <f>[11]building!Y5807</f>
        <v>0</v>
      </c>
      <c r="F5476" s="748">
        <f t="shared" si="324"/>
        <v>0</v>
      </c>
      <c r="G5476" s="1205"/>
      <c r="H5476" s="1055"/>
      <c r="I5476" s="1055"/>
      <c r="J5476" s="1055"/>
      <c r="K5476" s="1205"/>
      <c r="L5476" s="1055"/>
      <c r="M5476" s="1205"/>
      <c r="N5476" s="1054"/>
      <c r="O5476" s="1207"/>
      <c r="Q5476" s="1207"/>
    </row>
    <row r="5477" spans="3:17" s="700" customFormat="1" ht="70.5" hidden="1" customHeight="1">
      <c r="C5477" s="701"/>
      <c r="D5477" s="811"/>
      <c r="E5477" s="1276">
        <f>[11]building!Y5808</f>
        <v>0</v>
      </c>
      <c r="F5477" s="748">
        <f t="shared" si="324"/>
        <v>0</v>
      </c>
      <c r="G5477" s="1205"/>
      <c r="H5477" s="1055"/>
      <c r="I5477" s="1055"/>
      <c r="J5477" s="1055"/>
      <c r="K5477" s="1205"/>
      <c r="L5477" s="1055"/>
      <c r="M5477" s="1205"/>
      <c r="N5477" s="1054"/>
      <c r="O5477" s="1207"/>
      <c r="Q5477" s="1207"/>
    </row>
    <row r="5478" spans="3:17" s="700" customFormat="1" ht="70.5" hidden="1" customHeight="1">
      <c r="C5478" s="701"/>
      <c r="D5478" s="811"/>
      <c r="E5478" s="1276">
        <f>[11]building!Y5809</f>
        <v>0</v>
      </c>
      <c r="F5478" s="748">
        <f t="shared" si="324"/>
        <v>0</v>
      </c>
      <c r="G5478" s="1205"/>
      <c r="H5478" s="1055"/>
      <c r="I5478" s="1055"/>
      <c r="J5478" s="1055"/>
      <c r="K5478" s="1205"/>
      <c r="L5478" s="1055"/>
      <c r="M5478" s="1205"/>
      <c r="N5478" s="1054"/>
      <c r="O5478" s="1207"/>
      <c r="Q5478" s="1207"/>
    </row>
    <row r="5479" spans="3:17" s="700" customFormat="1" ht="70.5" hidden="1" customHeight="1">
      <c r="C5479" s="701"/>
      <c r="D5479" s="811"/>
      <c r="E5479" s="1276">
        <f>[11]building!Y5810</f>
        <v>0</v>
      </c>
      <c r="F5479" s="748">
        <f t="shared" si="324"/>
        <v>0</v>
      </c>
      <c r="G5479" s="1205"/>
      <c r="H5479" s="1055"/>
      <c r="I5479" s="1055"/>
      <c r="J5479" s="1055"/>
      <c r="K5479" s="1205"/>
      <c r="L5479" s="1055"/>
      <c r="M5479" s="1205"/>
      <c r="N5479" s="1054"/>
      <c r="O5479" s="1207"/>
      <c r="Q5479" s="1207"/>
    </row>
    <row r="5480" spans="3:17" s="700" customFormat="1" ht="70.5" hidden="1" customHeight="1">
      <c r="C5480" s="701"/>
      <c r="D5480" s="811"/>
      <c r="E5480" s="1276">
        <f>[11]building!Y5811</f>
        <v>0</v>
      </c>
      <c r="F5480" s="748">
        <f t="shared" si="324"/>
        <v>0</v>
      </c>
      <c r="G5480" s="1205"/>
      <c r="H5480" s="1055"/>
      <c r="I5480" s="1055"/>
      <c r="J5480" s="1055"/>
      <c r="K5480" s="1205"/>
      <c r="L5480" s="1055"/>
      <c r="M5480" s="1205"/>
      <c r="N5480" s="1054"/>
      <c r="O5480" s="1207"/>
      <c r="Q5480" s="1207"/>
    </row>
    <row r="5481" spans="3:17" s="700" customFormat="1" ht="70.5" hidden="1" customHeight="1">
      <c r="C5481" s="701"/>
      <c r="D5481" s="811"/>
      <c r="E5481" s="1276">
        <f>[11]building!Y5812</f>
        <v>0</v>
      </c>
      <c r="F5481" s="748">
        <f t="shared" si="324"/>
        <v>0</v>
      </c>
      <c r="G5481" s="1205"/>
      <c r="H5481" s="1055"/>
      <c r="I5481" s="1055"/>
      <c r="J5481" s="1055"/>
      <c r="K5481" s="1205"/>
      <c r="L5481" s="1055"/>
      <c r="M5481" s="1205"/>
      <c r="N5481" s="1054"/>
      <c r="O5481" s="1207"/>
      <c r="Q5481" s="1207"/>
    </row>
    <row r="5482" spans="3:17" s="700" customFormat="1" ht="70.5" hidden="1" customHeight="1">
      <c r="C5482" s="701"/>
      <c r="D5482" s="811"/>
      <c r="E5482" s="1276">
        <f>[11]building!Y5813</f>
        <v>0</v>
      </c>
      <c r="F5482" s="748">
        <f t="shared" si="324"/>
        <v>0</v>
      </c>
      <c r="G5482" s="1205"/>
      <c r="H5482" s="1055"/>
      <c r="I5482" s="1055"/>
      <c r="J5482" s="1055"/>
      <c r="K5482" s="1205"/>
      <c r="L5482" s="1055"/>
      <c r="M5482" s="1205"/>
      <c r="N5482" s="1054"/>
      <c r="O5482" s="1207"/>
      <c r="Q5482" s="1207"/>
    </row>
    <row r="5483" spans="3:17" s="700" customFormat="1" ht="70.5" hidden="1" customHeight="1">
      <c r="C5483" s="701"/>
      <c r="D5483" s="811"/>
      <c r="E5483" s="1276">
        <f>[11]building!Y5814</f>
        <v>0</v>
      </c>
      <c r="F5483" s="748">
        <f t="shared" si="324"/>
        <v>0</v>
      </c>
      <c r="G5483" s="1205"/>
      <c r="H5483" s="1055"/>
      <c r="I5483" s="1055"/>
      <c r="J5483" s="1055"/>
      <c r="K5483" s="1205"/>
      <c r="L5483" s="1055"/>
      <c r="M5483" s="1205"/>
      <c r="N5483" s="1054"/>
      <c r="O5483" s="1207"/>
      <c r="Q5483" s="1207"/>
    </row>
    <row r="5484" spans="3:17" s="700" customFormat="1" ht="70.5" hidden="1" customHeight="1">
      <c r="C5484" s="701"/>
      <c r="D5484" s="811"/>
      <c r="E5484" s="1276">
        <f>[11]building!Y5815</f>
        <v>0</v>
      </c>
      <c r="F5484" s="748">
        <f t="shared" si="324"/>
        <v>0</v>
      </c>
      <c r="G5484" s="1205"/>
      <c r="H5484" s="1055"/>
      <c r="I5484" s="1055"/>
      <c r="J5484" s="1055"/>
      <c r="K5484" s="1205"/>
      <c r="L5484" s="1055"/>
      <c r="M5484" s="1205"/>
      <c r="N5484" s="1054"/>
      <c r="O5484" s="1207"/>
      <c r="Q5484" s="1207"/>
    </row>
    <row r="5485" spans="3:17" s="700" customFormat="1" ht="70.5" hidden="1" customHeight="1">
      <c r="C5485" s="701"/>
      <c r="D5485" s="811"/>
      <c r="E5485" s="1276">
        <f>[11]building!Y5816</f>
        <v>0</v>
      </c>
      <c r="F5485" s="748">
        <f t="shared" si="324"/>
        <v>0</v>
      </c>
      <c r="G5485" s="1205"/>
      <c r="H5485" s="1055"/>
      <c r="I5485" s="1055"/>
      <c r="J5485" s="1055"/>
      <c r="K5485" s="1205"/>
      <c r="L5485" s="1055"/>
      <c r="M5485" s="1205"/>
      <c r="N5485" s="1054"/>
      <c r="O5485" s="1207"/>
      <c r="Q5485" s="1207"/>
    </row>
    <row r="5486" spans="3:17" s="700" customFormat="1" ht="70.5" hidden="1" customHeight="1">
      <c r="C5486" s="701"/>
      <c r="D5486" s="811"/>
      <c r="E5486" s="1276">
        <f>[11]building!Y5817</f>
        <v>0</v>
      </c>
      <c r="F5486" s="748">
        <f t="shared" si="324"/>
        <v>0</v>
      </c>
      <c r="G5486" s="1205"/>
      <c r="H5486" s="1055"/>
      <c r="I5486" s="1055"/>
      <c r="J5486" s="1055"/>
      <c r="K5486" s="1205"/>
      <c r="L5486" s="1055"/>
      <c r="M5486" s="1205"/>
      <c r="N5486" s="1054"/>
      <c r="O5486" s="1207"/>
      <c r="Q5486" s="1207"/>
    </row>
    <row r="5487" spans="3:17" s="700" customFormat="1" ht="70.5" hidden="1" customHeight="1">
      <c r="C5487" s="701"/>
      <c r="D5487" s="811"/>
      <c r="E5487" s="1276">
        <f>[11]building!Y5818</f>
        <v>0</v>
      </c>
      <c r="F5487" s="748">
        <f t="shared" si="324"/>
        <v>0</v>
      </c>
      <c r="G5487" s="1205"/>
      <c r="H5487" s="1055"/>
      <c r="I5487" s="1055"/>
      <c r="J5487" s="1055"/>
      <c r="K5487" s="1205"/>
      <c r="L5487" s="1055"/>
      <c r="M5487" s="1205"/>
      <c r="N5487" s="1054"/>
      <c r="O5487" s="1207"/>
      <c r="Q5487" s="1207"/>
    </row>
    <row r="5488" spans="3:17" s="700" customFormat="1" ht="70.5" hidden="1" customHeight="1">
      <c r="C5488" s="701"/>
      <c r="D5488" s="811"/>
      <c r="E5488" s="1276">
        <f>[11]building!Y5819</f>
        <v>0</v>
      </c>
      <c r="F5488" s="748">
        <f t="shared" si="324"/>
        <v>0</v>
      </c>
      <c r="G5488" s="1205"/>
      <c r="H5488" s="1055"/>
      <c r="I5488" s="1055"/>
      <c r="J5488" s="1055"/>
      <c r="K5488" s="1205"/>
      <c r="L5488" s="1055"/>
      <c r="M5488" s="1205"/>
      <c r="N5488" s="1054"/>
      <c r="O5488" s="1207"/>
      <c r="Q5488" s="1207"/>
    </row>
    <row r="5489" spans="3:17" s="700" customFormat="1" ht="70.5" hidden="1" customHeight="1">
      <c r="C5489" s="701"/>
      <c r="D5489" s="811"/>
      <c r="E5489" s="1276">
        <f>[11]building!Y5820</f>
        <v>0</v>
      </c>
      <c r="F5489" s="748">
        <f t="shared" si="324"/>
        <v>0</v>
      </c>
      <c r="G5489" s="1205"/>
      <c r="H5489" s="1055"/>
      <c r="I5489" s="1055"/>
      <c r="J5489" s="1055"/>
      <c r="K5489" s="1205"/>
      <c r="L5489" s="1055"/>
      <c r="M5489" s="1205"/>
      <c r="N5489" s="1054"/>
      <c r="O5489" s="1207"/>
      <c r="Q5489" s="1207"/>
    </row>
    <row r="5490" spans="3:17" s="700" customFormat="1" ht="70.5" hidden="1" customHeight="1">
      <c r="C5490" s="701"/>
      <c r="D5490" s="811"/>
      <c r="E5490" s="1276">
        <f>[11]building!Y5821</f>
        <v>0</v>
      </c>
      <c r="F5490" s="748">
        <f t="shared" si="324"/>
        <v>0</v>
      </c>
      <c r="G5490" s="1205"/>
      <c r="H5490" s="1055"/>
      <c r="I5490" s="1055"/>
      <c r="J5490" s="1055"/>
      <c r="K5490" s="1205"/>
      <c r="L5490" s="1055"/>
      <c r="M5490" s="1205"/>
      <c r="N5490" s="1054"/>
      <c r="O5490" s="1207"/>
      <c r="Q5490" s="1207"/>
    </row>
    <row r="5491" spans="3:17" s="700" customFormat="1" ht="70.5" hidden="1" customHeight="1">
      <c r="C5491" s="701"/>
      <c r="D5491" s="811"/>
      <c r="E5491" s="1276">
        <f>[11]building!Y5822</f>
        <v>0</v>
      </c>
      <c r="F5491" s="748">
        <f t="shared" si="324"/>
        <v>0</v>
      </c>
      <c r="G5491" s="1205"/>
      <c r="H5491" s="1055"/>
      <c r="I5491" s="1055"/>
      <c r="J5491" s="1055"/>
      <c r="K5491" s="1205"/>
      <c r="L5491" s="1055"/>
      <c r="M5491" s="1205"/>
      <c r="N5491" s="1054"/>
      <c r="O5491" s="1207"/>
      <c r="Q5491" s="1207"/>
    </row>
    <row r="5492" spans="3:17" s="700" customFormat="1" ht="70.5" hidden="1" customHeight="1">
      <c r="C5492" s="701"/>
      <c r="D5492" s="811"/>
      <c r="E5492" s="1276">
        <f>[11]building!Y5823</f>
        <v>0</v>
      </c>
      <c r="F5492" s="748">
        <f t="shared" si="324"/>
        <v>0</v>
      </c>
      <c r="G5492" s="1205"/>
      <c r="H5492" s="1055"/>
      <c r="I5492" s="1055"/>
      <c r="J5492" s="1055"/>
      <c r="K5492" s="1205"/>
      <c r="L5492" s="1055"/>
      <c r="M5492" s="1205"/>
      <c r="N5492" s="1054"/>
      <c r="O5492" s="1207"/>
      <c r="Q5492" s="1207"/>
    </row>
    <row r="5493" spans="3:17" s="700" customFormat="1" ht="70.5" hidden="1" customHeight="1">
      <c r="C5493" s="701"/>
      <c r="D5493" s="811"/>
      <c r="E5493" s="1276">
        <f>[11]building!Y5824</f>
        <v>0</v>
      </c>
      <c r="F5493" s="748">
        <f t="shared" si="324"/>
        <v>0</v>
      </c>
      <c r="G5493" s="1205"/>
      <c r="H5493" s="1055"/>
      <c r="I5493" s="1055"/>
      <c r="J5493" s="1055"/>
      <c r="K5493" s="1205"/>
      <c r="L5493" s="1055"/>
      <c r="M5493" s="1205"/>
      <c r="N5493" s="1054"/>
      <c r="O5493" s="1207"/>
      <c r="Q5493" s="1207"/>
    </row>
    <row r="5494" spans="3:17" s="700" customFormat="1" ht="70.5" hidden="1" customHeight="1">
      <c r="C5494" s="701"/>
      <c r="D5494" s="811"/>
      <c r="E5494" s="1276">
        <f>[11]building!Y5825</f>
        <v>0</v>
      </c>
      <c r="F5494" s="748">
        <f t="shared" si="324"/>
        <v>0</v>
      </c>
      <c r="G5494" s="1205"/>
      <c r="H5494" s="1055"/>
      <c r="I5494" s="1055"/>
      <c r="J5494" s="1055"/>
      <c r="K5494" s="1205"/>
      <c r="L5494" s="1055"/>
      <c r="M5494" s="1205"/>
      <c r="N5494" s="1054"/>
      <c r="O5494" s="1207"/>
      <c r="Q5494" s="1207"/>
    </row>
    <row r="5495" spans="3:17" s="700" customFormat="1" ht="70.5" hidden="1" customHeight="1">
      <c r="C5495" s="701"/>
      <c r="D5495" s="811"/>
      <c r="E5495" s="1276">
        <f>[11]building!Y5826</f>
        <v>0</v>
      </c>
      <c r="F5495" s="748">
        <f t="shared" si="324"/>
        <v>0</v>
      </c>
      <c r="G5495" s="1205"/>
      <c r="H5495" s="1055"/>
      <c r="I5495" s="1055"/>
      <c r="J5495" s="1055"/>
      <c r="K5495" s="1205"/>
      <c r="L5495" s="1055"/>
      <c r="M5495" s="1205"/>
      <c r="N5495" s="1054"/>
      <c r="O5495" s="1207"/>
      <c r="Q5495" s="1207"/>
    </row>
    <row r="5496" spans="3:17" s="700" customFormat="1" ht="70.5" hidden="1" customHeight="1">
      <c r="C5496" s="701"/>
      <c r="D5496" s="811"/>
      <c r="E5496" s="1276">
        <f>[11]building!Y5827</f>
        <v>0</v>
      </c>
      <c r="F5496" s="748">
        <f t="shared" si="324"/>
        <v>0</v>
      </c>
      <c r="G5496" s="1205"/>
      <c r="H5496" s="1055"/>
      <c r="I5496" s="1055"/>
      <c r="J5496" s="1055"/>
      <c r="K5496" s="1205"/>
      <c r="L5496" s="1055"/>
      <c r="M5496" s="1205"/>
      <c r="N5496" s="1054"/>
      <c r="O5496" s="1207"/>
      <c r="Q5496" s="1207"/>
    </row>
    <row r="5497" spans="3:17" s="700" customFormat="1" ht="70.5" hidden="1" customHeight="1">
      <c r="C5497" s="701"/>
      <c r="D5497" s="811"/>
      <c r="E5497" s="1276">
        <f>[11]building!Y5828</f>
        <v>0</v>
      </c>
      <c r="F5497" s="748">
        <f t="shared" si="324"/>
        <v>0</v>
      </c>
      <c r="G5497" s="1205"/>
      <c r="H5497" s="1055"/>
      <c r="I5497" s="1055"/>
      <c r="J5497" s="1055"/>
      <c r="K5497" s="1205"/>
      <c r="L5497" s="1055"/>
      <c r="M5497" s="1205"/>
      <c r="N5497" s="1054"/>
      <c r="O5497" s="1207"/>
      <c r="Q5497" s="1207"/>
    </row>
    <row r="5498" spans="3:17" s="700" customFormat="1" ht="70.5" hidden="1" customHeight="1">
      <c r="C5498" s="701"/>
      <c r="D5498" s="811"/>
      <c r="E5498" s="1276">
        <f>[11]building!Y5829</f>
        <v>0</v>
      </c>
      <c r="F5498" s="748">
        <f t="shared" si="324"/>
        <v>0</v>
      </c>
      <c r="G5498" s="1205"/>
      <c r="H5498" s="1055"/>
      <c r="I5498" s="1055"/>
      <c r="J5498" s="1055"/>
      <c r="K5498" s="1205"/>
      <c r="L5498" s="1055"/>
      <c r="M5498" s="1205"/>
      <c r="N5498" s="1054"/>
      <c r="O5498" s="1207"/>
      <c r="Q5498" s="1207"/>
    </row>
    <row r="5499" spans="3:17" s="700" customFormat="1" ht="70.5" hidden="1" customHeight="1">
      <c r="C5499" s="701"/>
      <c r="D5499" s="811"/>
      <c r="E5499" s="1276">
        <f>[11]building!Y5830</f>
        <v>0</v>
      </c>
      <c r="F5499" s="748">
        <f t="shared" si="324"/>
        <v>0</v>
      </c>
      <c r="G5499" s="1205"/>
      <c r="H5499" s="1055"/>
      <c r="I5499" s="1055"/>
      <c r="J5499" s="1055"/>
      <c r="K5499" s="1205"/>
      <c r="L5499" s="1055"/>
      <c r="M5499" s="1205"/>
      <c r="N5499" s="1054"/>
      <c r="O5499" s="1207"/>
      <c r="Q5499" s="1207"/>
    </row>
    <row r="5500" spans="3:17" s="700" customFormat="1" ht="70.5" hidden="1" customHeight="1">
      <c r="C5500" s="701"/>
      <c r="D5500" s="811"/>
      <c r="E5500" s="1276">
        <f>[11]building!Y5831</f>
        <v>0</v>
      </c>
      <c r="F5500" s="748">
        <f t="shared" si="324"/>
        <v>0</v>
      </c>
      <c r="G5500" s="1205"/>
      <c r="H5500" s="1055"/>
      <c r="I5500" s="1055"/>
      <c r="J5500" s="1055"/>
      <c r="K5500" s="1205"/>
      <c r="L5500" s="1055"/>
      <c r="M5500" s="1205"/>
      <c r="N5500" s="1054"/>
      <c r="O5500" s="1207"/>
      <c r="Q5500" s="1207"/>
    </row>
    <row r="5501" spans="3:17" s="700" customFormat="1" ht="70.5" hidden="1" customHeight="1">
      <c r="C5501" s="701"/>
      <c r="D5501" s="811"/>
      <c r="E5501" s="1276">
        <f>[11]building!Y5832</f>
        <v>0</v>
      </c>
      <c r="F5501" s="748">
        <f t="shared" si="324"/>
        <v>0</v>
      </c>
      <c r="G5501" s="1205"/>
      <c r="H5501" s="1055"/>
      <c r="I5501" s="1055"/>
      <c r="J5501" s="1055"/>
      <c r="K5501" s="1205"/>
      <c r="L5501" s="1055"/>
      <c r="M5501" s="1205"/>
      <c r="N5501" s="1054"/>
      <c r="O5501" s="1207"/>
      <c r="Q5501" s="1207"/>
    </row>
    <row r="5502" spans="3:17" s="700" customFormat="1" ht="70.5" hidden="1" customHeight="1">
      <c r="C5502" s="701"/>
      <c r="D5502" s="811"/>
      <c r="E5502" s="1276">
        <f>[11]building!Y5833</f>
        <v>0</v>
      </c>
      <c r="F5502" s="748">
        <f t="shared" si="324"/>
        <v>0</v>
      </c>
      <c r="G5502" s="1205"/>
      <c r="H5502" s="1055"/>
      <c r="I5502" s="1055"/>
      <c r="J5502" s="1055"/>
      <c r="K5502" s="1205"/>
      <c r="L5502" s="1055"/>
      <c r="M5502" s="1205"/>
      <c r="N5502" s="1054"/>
      <c r="O5502" s="1207"/>
      <c r="Q5502" s="1207"/>
    </row>
    <row r="5503" spans="3:17" s="700" customFormat="1" ht="70.5" hidden="1" customHeight="1">
      <c r="C5503" s="701"/>
      <c r="D5503" s="811"/>
      <c r="E5503" s="1276">
        <f>[11]building!Y5834</f>
        <v>0</v>
      </c>
      <c r="F5503" s="748">
        <f t="shared" si="324"/>
        <v>0</v>
      </c>
      <c r="G5503" s="1205"/>
      <c r="H5503" s="1055"/>
      <c r="I5503" s="1055"/>
      <c r="J5503" s="1055"/>
      <c r="K5503" s="1205"/>
      <c r="L5503" s="1055"/>
      <c r="M5503" s="1205"/>
      <c r="N5503" s="1054"/>
      <c r="O5503" s="1207"/>
      <c r="Q5503" s="1207"/>
    </row>
    <row r="5504" spans="3:17" s="700" customFormat="1" ht="70.5" hidden="1" customHeight="1">
      <c r="C5504" s="701"/>
      <c r="D5504" s="811"/>
      <c r="E5504" s="1276">
        <f>[11]building!Y5835</f>
        <v>0</v>
      </c>
      <c r="F5504" s="748">
        <f t="shared" ref="F5504:F5567" si="325">E5504*C5504</f>
        <v>0</v>
      </c>
      <c r="G5504" s="1205"/>
      <c r="H5504" s="1055"/>
      <c r="I5504" s="1055"/>
      <c r="J5504" s="1055"/>
      <c r="K5504" s="1205"/>
      <c r="L5504" s="1055"/>
      <c r="M5504" s="1205"/>
      <c r="N5504" s="1054"/>
      <c r="O5504" s="1207"/>
      <c r="Q5504" s="1207"/>
    </row>
    <row r="5505" spans="3:17" s="700" customFormat="1" ht="70.5" hidden="1" customHeight="1">
      <c r="C5505" s="701"/>
      <c r="D5505" s="811"/>
      <c r="E5505" s="1276">
        <f>[11]building!Y5836</f>
        <v>0</v>
      </c>
      <c r="F5505" s="748">
        <f t="shared" si="325"/>
        <v>0</v>
      </c>
      <c r="G5505" s="1205"/>
      <c r="H5505" s="1055"/>
      <c r="I5505" s="1055"/>
      <c r="J5505" s="1055"/>
      <c r="K5505" s="1205"/>
      <c r="L5505" s="1055"/>
      <c r="M5505" s="1205"/>
      <c r="N5505" s="1054"/>
      <c r="O5505" s="1207"/>
      <c r="Q5505" s="1207"/>
    </row>
    <row r="5506" spans="3:17" s="700" customFormat="1" ht="70.5" hidden="1" customHeight="1">
      <c r="C5506" s="701"/>
      <c r="D5506" s="811"/>
      <c r="E5506" s="1276">
        <f>[11]building!Y5837</f>
        <v>0</v>
      </c>
      <c r="F5506" s="748">
        <f t="shared" si="325"/>
        <v>0</v>
      </c>
      <c r="G5506" s="1205"/>
      <c r="H5506" s="1055"/>
      <c r="I5506" s="1055"/>
      <c r="J5506" s="1055"/>
      <c r="K5506" s="1205"/>
      <c r="L5506" s="1055"/>
      <c r="M5506" s="1205"/>
      <c r="N5506" s="1054"/>
      <c r="O5506" s="1207"/>
      <c r="Q5506" s="1207"/>
    </row>
    <row r="5507" spans="3:17" s="700" customFormat="1" ht="70.5" hidden="1" customHeight="1">
      <c r="C5507" s="701"/>
      <c r="D5507" s="811"/>
      <c r="E5507" s="1276">
        <f>[11]building!Y5838</f>
        <v>0</v>
      </c>
      <c r="F5507" s="748">
        <f t="shared" si="325"/>
        <v>0</v>
      </c>
      <c r="G5507" s="1205"/>
      <c r="H5507" s="1055"/>
      <c r="I5507" s="1055"/>
      <c r="J5507" s="1055"/>
      <c r="K5507" s="1205"/>
      <c r="L5507" s="1055"/>
      <c r="M5507" s="1205"/>
      <c r="N5507" s="1054"/>
      <c r="O5507" s="1207"/>
      <c r="Q5507" s="1207"/>
    </row>
    <row r="5508" spans="3:17" s="700" customFormat="1" ht="70.5" hidden="1" customHeight="1">
      <c r="C5508" s="701"/>
      <c r="D5508" s="811"/>
      <c r="E5508" s="1276">
        <f>[11]building!Y5839</f>
        <v>0</v>
      </c>
      <c r="F5508" s="748">
        <f t="shared" si="325"/>
        <v>0</v>
      </c>
      <c r="G5508" s="1205"/>
      <c r="H5508" s="1055"/>
      <c r="I5508" s="1055"/>
      <c r="J5508" s="1055"/>
      <c r="K5508" s="1205"/>
      <c r="L5508" s="1055"/>
      <c r="M5508" s="1205"/>
      <c r="N5508" s="1054"/>
      <c r="O5508" s="1207"/>
      <c r="Q5508" s="1207"/>
    </row>
    <row r="5509" spans="3:17" s="700" customFormat="1" ht="70.5" hidden="1" customHeight="1">
      <c r="C5509" s="701"/>
      <c r="D5509" s="811"/>
      <c r="E5509" s="1276">
        <f>[11]building!Y5840</f>
        <v>0</v>
      </c>
      <c r="F5509" s="748">
        <f t="shared" si="325"/>
        <v>0</v>
      </c>
      <c r="G5509" s="1205"/>
      <c r="H5509" s="1055"/>
      <c r="I5509" s="1055"/>
      <c r="J5509" s="1055"/>
      <c r="K5509" s="1205"/>
      <c r="L5509" s="1055"/>
      <c r="M5509" s="1205"/>
      <c r="N5509" s="1054"/>
      <c r="O5509" s="1207"/>
      <c r="Q5509" s="1207"/>
    </row>
    <row r="5510" spans="3:17" s="700" customFormat="1" ht="70.5" hidden="1" customHeight="1">
      <c r="C5510" s="701"/>
      <c r="D5510" s="811"/>
      <c r="E5510" s="1276">
        <f>[11]building!Y5841</f>
        <v>0</v>
      </c>
      <c r="F5510" s="748">
        <f t="shared" si="325"/>
        <v>0</v>
      </c>
      <c r="G5510" s="1205"/>
      <c r="H5510" s="1055"/>
      <c r="I5510" s="1055"/>
      <c r="J5510" s="1055"/>
      <c r="K5510" s="1205"/>
      <c r="L5510" s="1055"/>
      <c r="M5510" s="1205"/>
      <c r="N5510" s="1054"/>
      <c r="O5510" s="1207"/>
      <c r="Q5510" s="1207"/>
    </row>
    <row r="5511" spans="3:17" s="700" customFormat="1" ht="70.5" hidden="1" customHeight="1">
      <c r="C5511" s="701"/>
      <c r="D5511" s="811"/>
      <c r="E5511" s="1276">
        <f>[11]building!Y5842</f>
        <v>0</v>
      </c>
      <c r="F5511" s="748">
        <f t="shared" si="325"/>
        <v>0</v>
      </c>
      <c r="G5511" s="1205"/>
      <c r="H5511" s="1055"/>
      <c r="I5511" s="1055"/>
      <c r="J5511" s="1055"/>
      <c r="K5511" s="1205"/>
      <c r="L5511" s="1055"/>
      <c r="M5511" s="1205"/>
      <c r="N5511" s="1054"/>
      <c r="O5511" s="1207"/>
      <c r="Q5511" s="1207"/>
    </row>
    <row r="5512" spans="3:17" s="700" customFormat="1" ht="70.5" hidden="1" customHeight="1">
      <c r="C5512" s="701"/>
      <c r="D5512" s="811"/>
      <c r="E5512" s="1276">
        <f>[11]building!Y5843</f>
        <v>0</v>
      </c>
      <c r="F5512" s="748">
        <f t="shared" si="325"/>
        <v>0</v>
      </c>
      <c r="G5512" s="1205"/>
      <c r="H5512" s="1055"/>
      <c r="I5512" s="1055"/>
      <c r="J5512" s="1055"/>
      <c r="K5512" s="1205"/>
      <c r="L5512" s="1055"/>
      <c r="M5512" s="1205"/>
      <c r="N5512" s="1054"/>
      <c r="O5512" s="1207"/>
      <c r="Q5512" s="1207"/>
    </row>
    <row r="5513" spans="3:17" s="700" customFormat="1" ht="70.5" hidden="1" customHeight="1">
      <c r="C5513" s="701"/>
      <c r="D5513" s="811"/>
      <c r="E5513" s="1276">
        <f>[11]building!Y5844</f>
        <v>0</v>
      </c>
      <c r="F5513" s="748">
        <f t="shared" si="325"/>
        <v>0</v>
      </c>
      <c r="G5513" s="1205"/>
      <c r="H5513" s="1055"/>
      <c r="I5513" s="1055"/>
      <c r="J5513" s="1055"/>
      <c r="K5513" s="1205"/>
      <c r="L5513" s="1055"/>
      <c r="M5513" s="1205"/>
      <c r="N5513" s="1054"/>
      <c r="O5513" s="1207"/>
      <c r="Q5513" s="1207"/>
    </row>
    <row r="5514" spans="3:17" s="700" customFormat="1" ht="70.5" hidden="1" customHeight="1">
      <c r="C5514" s="701"/>
      <c r="D5514" s="811"/>
      <c r="E5514" s="1276">
        <f>[11]building!Y5845</f>
        <v>0</v>
      </c>
      <c r="F5514" s="748">
        <f t="shared" si="325"/>
        <v>0</v>
      </c>
      <c r="G5514" s="1205"/>
      <c r="H5514" s="1055"/>
      <c r="I5514" s="1055"/>
      <c r="J5514" s="1055"/>
      <c r="K5514" s="1205"/>
      <c r="L5514" s="1055"/>
      <c r="M5514" s="1205"/>
      <c r="N5514" s="1054"/>
      <c r="O5514" s="1207"/>
      <c r="Q5514" s="1207"/>
    </row>
    <row r="5515" spans="3:17" s="700" customFormat="1" ht="70.5" hidden="1" customHeight="1">
      <c r="C5515" s="701"/>
      <c r="D5515" s="811"/>
      <c r="E5515" s="1276">
        <f>[11]building!Y5846</f>
        <v>0</v>
      </c>
      <c r="F5515" s="748">
        <f t="shared" si="325"/>
        <v>0</v>
      </c>
      <c r="G5515" s="1205"/>
      <c r="H5515" s="1055"/>
      <c r="I5515" s="1055"/>
      <c r="J5515" s="1055"/>
      <c r="K5515" s="1205"/>
      <c r="L5515" s="1055"/>
      <c r="M5515" s="1205"/>
      <c r="N5515" s="1054"/>
      <c r="O5515" s="1207"/>
      <c r="Q5515" s="1207"/>
    </row>
    <row r="5516" spans="3:17" s="700" customFormat="1" ht="70.5" hidden="1" customHeight="1">
      <c r="C5516" s="701"/>
      <c r="D5516" s="811"/>
      <c r="E5516" s="1276">
        <f>[11]building!Y5847</f>
        <v>0</v>
      </c>
      <c r="F5516" s="748">
        <f t="shared" si="325"/>
        <v>0</v>
      </c>
      <c r="G5516" s="1205"/>
      <c r="H5516" s="1055"/>
      <c r="I5516" s="1055"/>
      <c r="J5516" s="1055"/>
      <c r="K5516" s="1205"/>
      <c r="L5516" s="1055"/>
      <c r="M5516" s="1205"/>
      <c r="N5516" s="1054"/>
      <c r="O5516" s="1207"/>
      <c r="Q5516" s="1207"/>
    </row>
    <row r="5517" spans="3:17" s="700" customFormat="1" ht="70.5" hidden="1" customHeight="1">
      <c r="C5517" s="701"/>
      <c r="D5517" s="811"/>
      <c r="E5517" s="1276">
        <f>[11]building!Y5848</f>
        <v>0</v>
      </c>
      <c r="F5517" s="748">
        <f t="shared" si="325"/>
        <v>0</v>
      </c>
      <c r="G5517" s="1205"/>
      <c r="H5517" s="1055"/>
      <c r="I5517" s="1055"/>
      <c r="J5517" s="1055"/>
      <c r="K5517" s="1205"/>
      <c r="L5517" s="1055"/>
      <c r="M5517" s="1205"/>
      <c r="N5517" s="1054"/>
      <c r="O5517" s="1207"/>
      <c r="Q5517" s="1207"/>
    </row>
    <row r="5518" spans="3:17" s="700" customFormat="1" ht="70.5" hidden="1" customHeight="1">
      <c r="C5518" s="701"/>
      <c r="D5518" s="811"/>
      <c r="E5518" s="1276">
        <f>[11]building!Y5849</f>
        <v>0</v>
      </c>
      <c r="F5518" s="748">
        <f t="shared" si="325"/>
        <v>0</v>
      </c>
      <c r="G5518" s="1205"/>
      <c r="H5518" s="1055"/>
      <c r="I5518" s="1055"/>
      <c r="J5518" s="1055"/>
      <c r="K5518" s="1205"/>
      <c r="L5518" s="1055"/>
      <c r="M5518" s="1205"/>
      <c r="N5518" s="1054"/>
      <c r="O5518" s="1207"/>
      <c r="Q5518" s="1207"/>
    </row>
    <row r="5519" spans="3:17" s="700" customFormat="1" ht="70.5" hidden="1" customHeight="1">
      <c r="C5519" s="701"/>
      <c r="D5519" s="811"/>
      <c r="E5519" s="1276">
        <f>[11]building!Y5850</f>
        <v>0</v>
      </c>
      <c r="F5519" s="748">
        <f t="shared" si="325"/>
        <v>0</v>
      </c>
      <c r="G5519" s="1205"/>
      <c r="H5519" s="1055"/>
      <c r="I5519" s="1055"/>
      <c r="J5519" s="1055"/>
      <c r="K5519" s="1205"/>
      <c r="L5519" s="1055"/>
      <c r="M5519" s="1205"/>
      <c r="N5519" s="1054"/>
      <c r="O5519" s="1207"/>
      <c r="Q5519" s="1207"/>
    </row>
    <row r="5520" spans="3:17" s="700" customFormat="1" ht="70.5" hidden="1" customHeight="1">
      <c r="C5520" s="701"/>
      <c r="D5520" s="811"/>
      <c r="E5520" s="1276">
        <f>[11]building!Y5851</f>
        <v>0</v>
      </c>
      <c r="F5520" s="748">
        <f t="shared" si="325"/>
        <v>0</v>
      </c>
      <c r="G5520" s="1205"/>
      <c r="H5520" s="1055"/>
      <c r="I5520" s="1055"/>
      <c r="J5520" s="1055"/>
      <c r="K5520" s="1205"/>
      <c r="L5520" s="1055"/>
      <c r="M5520" s="1205"/>
      <c r="N5520" s="1054"/>
      <c r="O5520" s="1207"/>
      <c r="Q5520" s="1207"/>
    </row>
    <row r="5521" spans="3:17" s="700" customFormat="1" ht="70.5" hidden="1" customHeight="1">
      <c r="C5521" s="701"/>
      <c r="D5521" s="811"/>
      <c r="E5521" s="1276">
        <f>[11]building!Y5852</f>
        <v>0</v>
      </c>
      <c r="F5521" s="748">
        <f t="shared" si="325"/>
        <v>0</v>
      </c>
      <c r="G5521" s="1205"/>
      <c r="H5521" s="1055"/>
      <c r="I5521" s="1055"/>
      <c r="J5521" s="1055"/>
      <c r="K5521" s="1205"/>
      <c r="L5521" s="1055"/>
      <c r="M5521" s="1205"/>
      <c r="N5521" s="1054"/>
      <c r="O5521" s="1207"/>
      <c r="Q5521" s="1207"/>
    </row>
    <row r="5522" spans="3:17" s="700" customFormat="1" ht="70.5" hidden="1" customHeight="1">
      <c r="C5522" s="701"/>
      <c r="D5522" s="811"/>
      <c r="E5522" s="1276">
        <f>[11]building!Y5853</f>
        <v>0</v>
      </c>
      <c r="F5522" s="748">
        <f t="shared" si="325"/>
        <v>0</v>
      </c>
      <c r="G5522" s="1205"/>
      <c r="H5522" s="1055"/>
      <c r="I5522" s="1055"/>
      <c r="J5522" s="1055"/>
      <c r="K5522" s="1205"/>
      <c r="L5522" s="1055"/>
      <c r="M5522" s="1205"/>
      <c r="N5522" s="1054"/>
      <c r="O5522" s="1207"/>
      <c r="Q5522" s="1207"/>
    </row>
    <row r="5523" spans="3:17" s="700" customFormat="1" ht="70.5" hidden="1" customHeight="1">
      <c r="C5523" s="701"/>
      <c r="D5523" s="811"/>
      <c r="E5523" s="1276">
        <f>[11]building!Y5854</f>
        <v>0</v>
      </c>
      <c r="F5523" s="748">
        <f t="shared" si="325"/>
        <v>0</v>
      </c>
      <c r="G5523" s="1205"/>
      <c r="H5523" s="1055"/>
      <c r="I5523" s="1055"/>
      <c r="J5523" s="1055"/>
      <c r="K5523" s="1205"/>
      <c r="L5523" s="1055"/>
      <c r="M5523" s="1205"/>
      <c r="N5523" s="1054"/>
      <c r="O5523" s="1207"/>
      <c r="Q5523" s="1207"/>
    </row>
    <row r="5524" spans="3:17" s="700" customFormat="1" ht="70.5" hidden="1" customHeight="1">
      <c r="C5524" s="701"/>
      <c r="D5524" s="811"/>
      <c r="E5524" s="1276">
        <f>[11]building!Y5855</f>
        <v>0</v>
      </c>
      <c r="F5524" s="748">
        <f t="shared" si="325"/>
        <v>0</v>
      </c>
      <c r="G5524" s="1205"/>
      <c r="H5524" s="1055"/>
      <c r="I5524" s="1055"/>
      <c r="J5524" s="1055"/>
      <c r="K5524" s="1205"/>
      <c r="L5524" s="1055"/>
      <c r="M5524" s="1205"/>
      <c r="N5524" s="1054"/>
      <c r="O5524" s="1207"/>
      <c r="Q5524" s="1207"/>
    </row>
    <row r="5525" spans="3:17" s="700" customFormat="1" ht="70.5" hidden="1" customHeight="1">
      <c r="C5525" s="701"/>
      <c r="D5525" s="811"/>
      <c r="E5525" s="1276">
        <f>[11]building!Y5856</f>
        <v>0</v>
      </c>
      <c r="F5525" s="748">
        <f t="shared" si="325"/>
        <v>0</v>
      </c>
      <c r="G5525" s="1205"/>
      <c r="H5525" s="1055"/>
      <c r="I5525" s="1055"/>
      <c r="J5525" s="1055"/>
      <c r="K5525" s="1205"/>
      <c r="L5525" s="1055"/>
      <c r="M5525" s="1205"/>
      <c r="N5525" s="1054"/>
      <c r="O5525" s="1207"/>
      <c r="Q5525" s="1207"/>
    </row>
    <row r="5526" spans="3:17" s="700" customFormat="1" ht="70.5" hidden="1" customHeight="1">
      <c r="C5526" s="701"/>
      <c r="D5526" s="811"/>
      <c r="E5526" s="1276">
        <f>[11]building!Y5857</f>
        <v>0</v>
      </c>
      <c r="F5526" s="748">
        <f t="shared" si="325"/>
        <v>0</v>
      </c>
      <c r="G5526" s="1205"/>
      <c r="H5526" s="1055"/>
      <c r="I5526" s="1055"/>
      <c r="J5526" s="1055"/>
      <c r="K5526" s="1205"/>
      <c r="L5526" s="1055"/>
      <c r="M5526" s="1205"/>
      <c r="N5526" s="1054"/>
      <c r="O5526" s="1207"/>
      <c r="Q5526" s="1207"/>
    </row>
    <row r="5527" spans="3:17" s="700" customFormat="1" ht="70.5" hidden="1" customHeight="1">
      <c r="C5527" s="701"/>
      <c r="D5527" s="811"/>
      <c r="E5527" s="1276">
        <f>[11]building!Y5858</f>
        <v>0</v>
      </c>
      <c r="F5527" s="748">
        <f t="shared" si="325"/>
        <v>0</v>
      </c>
      <c r="G5527" s="1205"/>
      <c r="H5527" s="1055"/>
      <c r="I5527" s="1055"/>
      <c r="J5527" s="1055"/>
      <c r="K5527" s="1205"/>
      <c r="L5527" s="1055"/>
      <c r="M5527" s="1205"/>
      <c r="N5527" s="1054"/>
      <c r="O5527" s="1207"/>
      <c r="Q5527" s="1207"/>
    </row>
    <row r="5528" spans="3:17" s="700" customFormat="1" ht="70.5" hidden="1" customHeight="1">
      <c r="C5528" s="701"/>
      <c r="D5528" s="811"/>
      <c r="E5528" s="1276">
        <f>[11]building!Y5859</f>
        <v>0</v>
      </c>
      <c r="F5528" s="748">
        <f t="shared" si="325"/>
        <v>0</v>
      </c>
      <c r="G5528" s="1205"/>
      <c r="H5528" s="1055"/>
      <c r="I5528" s="1055"/>
      <c r="J5528" s="1055"/>
      <c r="K5528" s="1205"/>
      <c r="L5528" s="1055"/>
      <c r="M5528" s="1205"/>
      <c r="N5528" s="1054"/>
      <c r="O5528" s="1207"/>
      <c r="Q5528" s="1207"/>
    </row>
    <row r="5529" spans="3:17" s="700" customFormat="1" ht="70.5" hidden="1" customHeight="1">
      <c r="C5529" s="701"/>
      <c r="D5529" s="811"/>
      <c r="E5529" s="1276">
        <f>[11]building!Y5860</f>
        <v>0</v>
      </c>
      <c r="F5529" s="748">
        <f t="shared" si="325"/>
        <v>0</v>
      </c>
      <c r="G5529" s="1205"/>
      <c r="H5529" s="1055"/>
      <c r="I5529" s="1055"/>
      <c r="J5529" s="1055"/>
      <c r="K5529" s="1205"/>
      <c r="L5529" s="1055"/>
      <c r="M5529" s="1205"/>
      <c r="N5529" s="1054"/>
      <c r="O5529" s="1207"/>
      <c r="Q5529" s="1207"/>
    </row>
    <row r="5530" spans="3:17" s="700" customFormat="1" ht="70.5" hidden="1" customHeight="1">
      <c r="C5530" s="701"/>
      <c r="D5530" s="811"/>
      <c r="E5530" s="1276">
        <f>[11]building!Y5861</f>
        <v>0</v>
      </c>
      <c r="F5530" s="748">
        <f t="shared" si="325"/>
        <v>0</v>
      </c>
      <c r="G5530" s="1205"/>
      <c r="H5530" s="1055"/>
      <c r="I5530" s="1055"/>
      <c r="J5530" s="1055"/>
      <c r="K5530" s="1205"/>
      <c r="L5530" s="1055"/>
      <c r="M5530" s="1205"/>
      <c r="N5530" s="1054"/>
      <c r="O5530" s="1207"/>
      <c r="Q5530" s="1207"/>
    </row>
    <row r="5531" spans="3:17" s="700" customFormat="1" ht="70.5" hidden="1" customHeight="1">
      <c r="C5531" s="701"/>
      <c r="D5531" s="811"/>
      <c r="E5531" s="1276">
        <f>[11]building!Y5862</f>
        <v>0</v>
      </c>
      <c r="F5531" s="748">
        <f t="shared" si="325"/>
        <v>0</v>
      </c>
      <c r="G5531" s="1205"/>
      <c r="H5531" s="1055"/>
      <c r="I5531" s="1055"/>
      <c r="J5531" s="1055"/>
      <c r="K5531" s="1205"/>
      <c r="L5531" s="1055"/>
      <c r="M5531" s="1205"/>
      <c r="N5531" s="1054"/>
      <c r="O5531" s="1207"/>
      <c r="Q5531" s="1207"/>
    </row>
    <row r="5532" spans="3:17" s="700" customFormat="1" ht="70.5" hidden="1" customHeight="1">
      <c r="C5532" s="701"/>
      <c r="D5532" s="811"/>
      <c r="E5532" s="1276">
        <f>[11]building!Y5863</f>
        <v>0</v>
      </c>
      <c r="F5532" s="748">
        <f t="shared" si="325"/>
        <v>0</v>
      </c>
      <c r="G5532" s="1205"/>
      <c r="H5532" s="1055"/>
      <c r="I5532" s="1055"/>
      <c r="J5532" s="1055"/>
      <c r="K5532" s="1205"/>
      <c r="L5532" s="1055"/>
      <c r="M5532" s="1205"/>
      <c r="N5532" s="1054"/>
      <c r="O5532" s="1207"/>
      <c r="Q5532" s="1207"/>
    </row>
    <row r="5533" spans="3:17" s="700" customFormat="1" ht="70.5" hidden="1" customHeight="1">
      <c r="C5533" s="701"/>
      <c r="D5533" s="811"/>
      <c r="E5533" s="1276">
        <f>[11]building!Y5864</f>
        <v>0</v>
      </c>
      <c r="F5533" s="748">
        <f t="shared" si="325"/>
        <v>0</v>
      </c>
      <c r="G5533" s="1205"/>
      <c r="H5533" s="1055"/>
      <c r="I5533" s="1055"/>
      <c r="J5533" s="1055"/>
      <c r="K5533" s="1205"/>
      <c r="L5533" s="1055"/>
      <c r="M5533" s="1205"/>
      <c r="N5533" s="1054"/>
      <c r="O5533" s="1207"/>
      <c r="Q5533" s="1207"/>
    </row>
    <row r="5534" spans="3:17" s="700" customFormat="1" ht="70.5" hidden="1" customHeight="1">
      <c r="C5534" s="701"/>
      <c r="D5534" s="811"/>
      <c r="E5534" s="1276">
        <f>[11]building!Y5865</f>
        <v>0</v>
      </c>
      <c r="F5534" s="748">
        <f t="shared" si="325"/>
        <v>0</v>
      </c>
      <c r="G5534" s="1205"/>
      <c r="H5534" s="1055"/>
      <c r="I5534" s="1055"/>
      <c r="J5534" s="1055"/>
      <c r="K5534" s="1205"/>
      <c r="L5534" s="1055"/>
      <c r="M5534" s="1205"/>
      <c r="N5534" s="1054"/>
      <c r="O5534" s="1207"/>
      <c r="Q5534" s="1207"/>
    </row>
    <row r="5535" spans="3:17" s="700" customFormat="1" ht="70.5" hidden="1" customHeight="1">
      <c r="C5535" s="701"/>
      <c r="D5535" s="811"/>
      <c r="E5535" s="1276">
        <f>[11]building!Y5866</f>
        <v>0</v>
      </c>
      <c r="F5535" s="748">
        <f t="shared" si="325"/>
        <v>0</v>
      </c>
      <c r="G5535" s="1205"/>
      <c r="H5535" s="1055"/>
      <c r="I5535" s="1055"/>
      <c r="J5535" s="1055"/>
      <c r="K5535" s="1205"/>
      <c r="L5535" s="1055"/>
      <c r="M5535" s="1205"/>
      <c r="N5535" s="1054"/>
      <c r="O5535" s="1207"/>
      <c r="Q5535" s="1207"/>
    </row>
    <row r="5536" spans="3:17" s="700" customFormat="1" ht="70.5" hidden="1" customHeight="1">
      <c r="C5536" s="701"/>
      <c r="D5536" s="811"/>
      <c r="E5536" s="1276">
        <f>[11]building!Y5867</f>
        <v>0</v>
      </c>
      <c r="F5536" s="748">
        <f t="shared" si="325"/>
        <v>0</v>
      </c>
      <c r="G5536" s="1205"/>
      <c r="H5536" s="1055"/>
      <c r="I5536" s="1055"/>
      <c r="J5536" s="1055"/>
      <c r="K5536" s="1205"/>
      <c r="L5536" s="1055"/>
      <c r="M5536" s="1205"/>
      <c r="N5536" s="1054"/>
      <c r="O5536" s="1207"/>
      <c r="Q5536" s="1207"/>
    </row>
    <row r="5537" spans="3:17" s="700" customFormat="1" ht="70.5" hidden="1" customHeight="1">
      <c r="C5537" s="701"/>
      <c r="D5537" s="811"/>
      <c r="E5537" s="1276">
        <f>[11]building!Y5868</f>
        <v>0</v>
      </c>
      <c r="F5537" s="748">
        <f t="shared" si="325"/>
        <v>0</v>
      </c>
      <c r="G5537" s="1205"/>
      <c r="H5537" s="1055"/>
      <c r="I5537" s="1055"/>
      <c r="J5537" s="1055"/>
      <c r="K5537" s="1205"/>
      <c r="L5537" s="1055"/>
      <c r="M5537" s="1205"/>
      <c r="N5537" s="1054"/>
      <c r="O5537" s="1207"/>
      <c r="Q5537" s="1207"/>
    </row>
    <row r="5538" spans="3:17" s="700" customFormat="1" ht="70.5" hidden="1" customHeight="1">
      <c r="C5538" s="701"/>
      <c r="D5538" s="811"/>
      <c r="E5538" s="1276">
        <f>[11]building!Y5869</f>
        <v>0</v>
      </c>
      <c r="F5538" s="748">
        <f t="shared" si="325"/>
        <v>0</v>
      </c>
      <c r="G5538" s="1205"/>
      <c r="H5538" s="1055"/>
      <c r="I5538" s="1055"/>
      <c r="J5538" s="1055"/>
      <c r="K5538" s="1205"/>
      <c r="L5538" s="1055"/>
      <c r="M5538" s="1205"/>
      <c r="N5538" s="1054"/>
      <c r="O5538" s="1207"/>
      <c r="Q5538" s="1207"/>
    </row>
    <row r="5539" spans="3:17" s="700" customFormat="1" ht="70.5" hidden="1" customHeight="1">
      <c r="C5539" s="701"/>
      <c r="D5539" s="811"/>
      <c r="E5539" s="1276">
        <f>[11]building!Y5870</f>
        <v>0</v>
      </c>
      <c r="F5539" s="748">
        <f t="shared" si="325"/>
        <v>0</v>
      </c>
      <c r="G5539" s="1205"/>
      <c r="H5539" s="1055"/>
      <c r="I5539" s="1055"/>
      <c r="J5539" s="1055"/>
      <c r="K5539" s="1205"/>
      <c r="L5539" s="1055"/>
      <c r="M5539" s="1205"/>
      <c r="N5539" s="1054"/>
      <c r="O5539" s="1207"/>
      <c r="Q5539" s="1207"/>
    </row>
    <row r="5540" spans="3:17" s="700" customFormat="1" ht="70.5" hidden="1" customHeight="1">
      <c r="C5540" s="701"/>
      <c r="D5540" s="811"/>
      <c r="E5540" s="1276">
        <f>[11]building!Y5871</f>
        <v>0</v>
      </c>
      <c r="F5540" s="748">
        <f t="shared" si="325"/>
        <v>0</v>
      </c>
      <c r="G5540" s="1205"/>
      <c r="H5540" s="1055"/>
      <c r="I5540" s="1055"/>
      <c r="J5540" s="1055"/>
      <c r="K5540" s="1205"/>
      <c r="L5540" s="1055"/>
      <c r="M5540" s="1205"/>
      <c r="N5540" s="1054"/>
      <c r="O5540" s="1207"/>
      <c r="Q5540" s="1207"/>
    </row>
    <row r="5541" spans="3:17" s="700" customFormat="1" ht="70.5" hidden="1" customHeight="1">
      <c r="C5541" s="701"/>
      <c r="D5541" s="811"/>
      <c r="E5541" s="1276">
        <f>[11]building!Y5872</f>
        <v>0</v>
      </c>
      <c r="F5541" s="748">
        <f t="shared" si="325"/>
        <v>0</v>
      </c>
      <c r="G5541" s="1205"/>
      <c r="H5541" s="1055"/>
      <c r="I5541" s="1055"/>
      <c r="J5541" s="1055"/>
      <c r="K5541" s="1205"/>
      <c r="L5541" s="1055"/>
      <c r="M5541" s="1205"/>
      <c r="N5541" s="1054"/>
      <c r="O5541" s="1207"/>
      <c r="Q5541" s="1207"/>
    </row>
    <row r="5542" spans="3:17" s="700" customFormat="1" ht="70.5" hidden="1" customHeight="1">
      <c r="C5542" s="701"/>
      <c r="D5542" s="811"/>
      <c r="E5542" s="1276">
        <f>[11]building!Y5873</f>
        <v>0</v>
      </c>
      <c r="F5542" s="748">
        <f t="shared" si="325"/>
        <v>0</v>
      </c>
      <c r="G5542" s="1205"/>
      <c r="H5542" s="1055"/>
      <c r="I5542" s="1055"/>
      <c r="J5542" s="1055"/>
      <c r="K5542" s="1205"/>
      <c r="L5542" s="1055"/>
      <c r="M5542" s="1205"/>
      <c r="N5542" s="1054"/>
      <c r="O5542" s="1207"/>
      <c r="Q5542" s="1207"/>
    </row>
    <row r="5543" spans="3:17" s="700" customFormat="1" ht="70.5" hidden="1" customHeight="1">
      <c r="C5543" s="701"/>
      <c r="D5543" s="811"/>
      <c r="E5543" s="1276">
        <f>[11]building!Y5874</f>
        <v>0</v>
      </c>
      <c r="F5543" s="748">
        <f t="shared" si="325"/>
        <v>0</v>
      </c>
      <c r="G5543" s="1205"/>
      <c r="H5543" s="1055"/>
      <c r="I5543" s="1055"/>
      <c r="J5543" s="1055"/>
      <c r="K5543" s="1205"/>
      <c r="L5543" s="1055"/>
      <c r="M5543" s="1205"/>
      <c r="N5543" s="1054"/>
      <c r="O5543" s="1207"/>
      <c r="Q5543" s="1207"/>
    </row>
    <row r="5544" spans="3:17" s="700" customFormat="1" ht="70.5" hidden="1" customHeight="1">
      <c r="C5544" s="701"/>
      <c r="D5544" s="811"/>
      <c r="E5544" s="1276">
        <f>[11]building!Y5875</f>
        <v>0</v>
      </c>
      <c r="F5544" s="748">
        <f t="shared" si="325"/>
        <v>0</v>
      </c>
      <c r="G5544" s="1205"/>
      <c r="H5544" s="1055"/>
      <c r="I5544" s="1055"/>
      <c r="J5544" s="1055"/>
      <c r="K5544" s="1205"/>
      <c r="L5544" s="1055"/>
      <c r="M5544" s="1205"/>
      <c r="N5544" s="1054"/>
      <c r="O5544" s="1207"/>
      <c r="Q5544" s="1207"/>
    </row>
    <row r="5545" spans="3:17" s="700" customFormat="1" ht="70.5" hidden="1" customHeight="1">
      <c r="C5545" s="701"/>
      <c r="D5545" s="811"/>
      <c r="E5545" s="1276">
        <f>[11]building!Y5876</f>
        <v>0</v>
      </c>
      <c r="F5545" s="748">
        <f t="shared" si="325"/>
        <v>0</v>
      </c>
      <c r="G5545" s="1205"/>
      <c r="H5545" s="1055"/>
      <c r="I5545" s="1055"/>
      <c r="J5545" s="1055"/>
      <c r="K5545" s="1205"/>
      <c r="L5545" s="1055"/>
      <c r="M5545" s="1205"/>
      <c r="N5545" s="1054"/>
      <c r="O5545" s="1207"/>
      <c r="Q5545" s="1207"/>
    </row>
    <row r="5546" spans="3:17" s="700" customFormat="1" ht="70.5" hidden="1" customHeight="1">
      <c r="C5546" s="701"/>
      <c r="D5546" s="811"/>
      <c r="E5546" s="1276">
        <f>[11]building!Y5877</f>
        <v>0</v>
      </c>
      <c r="F5546" s="748">
        <f t="shared" si="325"/>
        <v>0</v>
      </c>
      <c r="G5546" s="1205"/>
      <c r="H5546" s="1055"/>
      <c r="I5546" s="1055"/>
      <c r="J5546" s="1055"/>
      <c r="K5546" s="1205"/>
      <c r="L5546" s="1055"/>
      <c r="M5546" s="1205"/>
      <c r="N5546" s="1054"/>
      <c r="O5546" s="1207"/>
      <c r="Q5546" s="1207"/>
    </row>
    <row r="5547" spans="3:17" s="700" customFormat="1" ht="70.5" hidden="1" customHeight="1">
      <c r="C5547" s="701"/>
      <c r="D5547" s="811"/>
      <c r="E5547" s="1276">
        <f>[11]building!Y5878</f>
        <v>0</v>
      </c>
      <c r="F5547" s="748">
        <f t="shared" si="325"/>
        <v>0</v>
      </c>
      <c r="G5547" s="1205"/>
      <c r="H5547" s="1055"/>
      <c r="I5547" s="1055"/>
      <c r="J5547" s="1055"/>
      <c r="K5547" s="1205"/>
      <c r="L5547" s="1055"/>
      <c r="M5547" s="1205"/>
      <c r="N5547" s="1054"/>
      <c r="O5547" s="1207"/>
      <c r="Q5547" s="1207"/>
    </row>
    <row r="5548" spans="3:17" s="700" customFormat="1" ht="70.5" hidden="1" customHeight="1">
      <c r="C5548" s="701"/>
      <c r="D5548" s="811"/>
      <c r="E5548" s="1276">
        <f>[11]building!Y5879</f>
        <v>0</v>
      </c>
      <c r="F5548" s="748">
        <f t="shared" si="325"/>
        <v>0</v>
      </c>
      <c r="G5548" s="1205"/>
      <c r="H5548" s="1055"/>
      <c r="I5548" s="1055"/>
      <c r="J5548" s="1055"/>
      <c r="K5548" s="1205"/>
      <c r="L5548" s="1055"/>
      <c r="M5548" s="1205"/>
      <c r="N5548" s="1054"/>
      <c r="O5548" s="1207"/>
      <c r="Q5548" s="1207"/>
    </row>
    <row r="5549" spans="3:17" s="700" customFormat="1" ht="70.5" hidden="1" customHeight="1">
      <c r="C5549" s="701"/>
      <c r="D5549" s="811"/>
      <c r="E5549" s="1276">
        <f>[11]building!Y5880</f>
        <v>0</v>
      </c>
      <c r="F5549" s="748">
        <f t="shared" si="325"/>
        <v>0</v>
      </c>
      <c r="G5549" s="1205"/>
      <c r="H5549" s="1055"/>
      <c r="I5549" s="1055"/>
      <c r="J5549" s="1055"/>
      <c r="K5549" s="1205"/>
      <c r="L5549" s="1055"/>
      <c r="M5549" s="1205"/>
      <c r="N5549" s="1054"/>
      <c r="O5549" s="1207"/>
      <c r="Q5549" s="1207"/>
    </row>
    <row r="5550" spans="3:17" s="700" customFormat="1" ht="70.5" hidden="1" customHeight="1">
      <c r="C5550" s="701"/>
      <c r="D5550" s="811"/>
      <c r="E5550" s="1276">
        <f>[11]building!Y5881</f>
        <v>0</v>
      </c>
      <c r="F5550" s="748">
        <f t="shared" si="325"/>
        <v>0</v>
      </c>
      <c r="G5550" s="1205"/>
      <c r="H5550" s="1055"/>
      <c r="I5550" s="1055"/>
      <c r="J5550" s="1055"/>
      <c r="K5550" s="1205"/>
      <c r="L5550" s="1055"/>
      <c r="M5550" s="1205"/>
      <c r="N5550" s="1054"/>
      <c r="O5550" s="1207"/>
      <c r="Q5550" s="1207"/>
    </row>
    <row r="5551" spans="3:17" s="700" customFormat="1" ht="70.5" hidden="1" customHeight="1">
      <c r="C5551" s="701"/>
      <c r="D5551" s="811"/>
      <c r="E5551" s="1276">
        <f>[11]building!Y5882</f>
        <v>0</v>
      </c>
      <c r="F5551" s="748">
        <f t="shared" si="325"/>
        <v>0</v>
      </c>
      <c r="G5551" s="1205"/>
      <c r="H5551" s="1055"/>
      <c r="I5551" s="1055"/>
      <c r="J5551" s="1055"/>
      <c r="K5551" s="1205"/>
      <c r="L5551" s="1055"/>
      <c r="M5551" s="1205"/>
      <c r="N5551" s="1054"/>
      <c r="O5551" s="1207"/>
      <c r="Q5551" s="1207"/>
    </row>
    <row r="5552" spans="3:17" s="700" customFormat="1" ht="70.5" hidden="1" customHeight="1">
      <c r="C5552" s="701"/>
      <c r="D5552" s="811"/>
      <c r="E5552" s="1276">
        <f>[11]building!Y5883</f>
        <v>0</v>
      </c>
      <c r="F5552" s="748">
        <f t="shared" si="325"/>
        <v>0</v>
      </c>
      <c r="G5552" s="1205"/>
      <c r="H5552" s="1055"/>
      <c r="I5552" s="1055"/>
      <c r="J5552" s="1055"/>
      <c r="K5552" s="1205"/>
      <c r="L5552" s="1055"/>
      <c r="M5552" s="1205"/>
      <c r="N5552" s="1054"/>
      <c r="O5552" s="1207"/>
      <c r="Q5552" s="1207"/>
    </row>
    <row r="5553" spans="3:17" s="700" customFormat="1" ht="70.5" hidden="1" customHeight="1">
      <c r="C5553" s="701"/>
      <c r="D5553" s="811"/>
      <c r="E5553" s="1276">
        <f>[11]building!Y5884</f>
        <v>0</v>
      </c>
      <c r="F5553" s="748">
        <f t="shared" si="325"/>
        <v>0</v>
      </c>
      <c r="G5553" s="1205"/>
      <c r="H5553" s="1055"/>
      <c r="I5553" s="1055"/>
      <c r="J5553" s="1055"/>
      <c r="K5553" s="1205"/>
      <c r="L5553" s="1055"/>
      <c r="M5553" s="1205"/>
      <c r="N5553" s="1054"/>
      <c r="O5553" s="1207"/>
      <c r="Q5553" s="1207"/>
    </row>
    <row r="5554" spans="3:17" s="700" customFormat="1" ht="70.5" hidden="1" customHeight="1">
      <c r="C5554" s="701"/>
      <c r="D5554" s="811"/>
      <c r="E5554" s="1276">
        <f>[11]building!Y5885</f>
        <v>0</v>
      </c>
      <c r="F5554" s="748">
        <f t="shared" si="325"/>
        <v>0</v>
      </c>
      <c r="G5554" s="1205"/>
      <c r="H5554" s="1055"/>
      <c r="I5554" s="1055"/>
      <c r="J5554" s="1055"/>
      <c r="K5554" s="1205"/>
      <c r="L5554" s="1055"/>
      <c r="M5554" s="1205"/>
      <c r="N5554" s="1054"/>
      <c r="O5554" s="1207"/>
      <c r="Q5554" s="1207"/>
    </row>
    <row r="5555" spans="3:17" s="700" customFormat="1" ht="70.5" hidden="1" customHeight="1">
      <c r="C5555" s="701"/>
      <c r="D5555" s="811"/>
      <c r="E5555" s="1276">
        <f>[11]building!Y5886</f>
        <v>0</v>
      </c>
      <c r="F5555" s="748">
        <f t="shared" si="325"/>
        <v>0</v>
      </c>
      <c r="G5555" s="1205"/>
      <c r="H5555" s="1055"/>
      <c r="I5555" s="1055"/>
      <c r="J5555" s="1055"/>
      <c r="K5555" s="1205"/>
      <c r="L5555" s="1055"/>
      <c r="M5555" s="1205"/>
      <c r="N5555" s="1054"/>
      <c r="O5555" s="1207"/>
      <c r="Q5555" s="1207"/>
    </row>
    <row r="5556" spans="3:17" s="700" customFormat="1" ht="70.5" hidden="1" customHeight="1">
      <c r="C5556" s="701"/>
      <c r="D5556" s="811"/>
      <c r="E5556" s="1276">
        <f>[11]building!Y5887</f>
        <v>0</v>
      </c>
      <c r="F5556" s="748">
        <f t="shared" si="325"/>
        <v>0</v>
      </c>
      <c r="G5556" s="1205"/>
      <c r="H5556" s="1055"/>
      <c r="I5556" s="1055"/>
      <c r="J5556" s="1055"/>
      <c r="K5556" s="1205"/>
      <c r="L5556" s="1055"/>
      <c r="M5556" s="1205"/>
      <c r="N5556" s="1054"/>
      <c r="O5556" s="1207"/>
      <c r="Q5556" s="1207"/>
    </row>
    <row r="5557" spans="3:17" s="700" customFormat="1" ht="70.5" hidden="1" customHeight="1">
      <c r="C5557" s="701"/>
      <c r="D5557" s="811"/>
      <c r="E5557" s="1276">
        <f>[11]building!Y5888</f>
        <v>0</v>
      </c>
      <c r="F5557" s="748">
        <f t="shared" si="325"/>
        <v>0</v>
      </c>
      <c r="G5557" s="1205"/>
      <c r="H5557" s="1055"/>
      <c r="I5557" s="1055"/>
      <c r="J5557" s="1055"/>
      <c r="K5557" s="1205"/>
      <c r="L5557" s="1055"/>
      <c r="M5557" s="1205"/>
      <c r="N5557" s="1054"/>
      <c r="O5557" s="1207"/>
      <c r="Q5557" s="1207"/>
    </row>
    <row r="5558" spans="3:17" s="700" customFormat="1" ht="70.5" hidden="1" customHeight="1">
      <c r="C5558" s="701"/>
      <c r="D5558" s="811"/>
      <c r="E5558" s="1276">
        <f>[11]building!Y5889</f>
        <v>0</v>
      </c>
      <c r="F5558" s="748">
        <f t="shared" si="325"/>
        <v>0</v>
      </c>
      <c r="G5558" s="1205"/>
      <c r="H5558" s="1055"/>
      <c r="I5558" s="1055"/>
      <c r="J5558" s="1055"/>
      <c r="K5558" s="1205"/>
      <c r="L5558" s="1055"/>
      <c r="M5558" s="1205"/>
      <c r="N5558" s="1054"/>
      <c r="O5558" s="1207"/>
      <c r="Q5558" s="1207"/>
    </row>
    <row r="5559" spans="3:17" s="700" customFormat="1" ht="70.5" hidden="1" customHeight="1">
      <c r="C5559" s="701"/>
      <c r="D5559" s="811"/>
      <c r="E5559" s="1276">
        <f>[11]building!Y5890</f>
        <v>0</v>
      </c>
      <c r="F5559" s="748">
        <f t="shared" si="325"/>
        <v>0</v>
      </c>
      <c r="G5559" s="1205"/>
      <c r="H5559" s="1055"/>
      <c r="I5559" s="1055"/>
      <c r="J5559" s="1055"/>
      <c r="K5559" s="1205"/>
      <c r="L5559" s="1055"/>
      <c r="M5559" s="1205"/>
      <c r="N5559" s="1054"/>
      <c r="O5559" s="1207"/>
      <c r="Q5559" s="1207"/>
    </row>
    <row r="5560" spans="3:17" s="700" customFormat="1" ht="70.5" hidden="1" customHeight="1">
      <c r="C5560" s="701"/>
      <c r="D5560" s="811"/>
      <c r="E5560" s="1276">
        <f>[11]building!Y5891</f>
        <v>0</v>
      </c>
      <c r="F5560" s="748">
        <f t="shared" si="325"/>
        <v>0</v>
      </c>
      <c r="G5560" s="1205"/>
      <c r="H5560" s="1055"/>
      <c r="I5560" s="1055"/>
      <c r="J5560" s="1055"/>
      <c r="K5560" s="1205"/>
      <c r="L5560" s="1055"/>
      <c r="M5560" s="1205"/>
      <c r="N5560" s="1054"/>
      <c r="O5560" s="1207"/>
      <c r="Q5560" s="1207"/>
    </row>
    <row r="5561" spans="3:17" s="700" customFormat="1" ht="70.5" hidden="1" customHeight="1">
      <c r="C5561" s="701"/>
      <c r="D5561" s="811"/>
      <c r="E5561" s="1276">
        <f>[11]building!Y5892</f>
        <v>0</v>
      </c>
      <c r="F5561" s="748">
        <f t="shared" si="325"/>
        <v>0</v>
      </c>
      <c r="G5561" s="1205"/>
      <c r="H5561" s="1055"/>
      <c r="I5561" s="1055"/>
      <c r="J5561" s="1055"/>
      <c r="K5561" s="1205"/>
      <c r="L5561" s="1055"/>
      <c r="M5561" s="1205"/>
      <c r="N5561" s="1054"/>
      <c r="O5561" s="1207"/>
      <c r="Q5561" s="1207"/>
    </row>
    <row r="5562" spans="3:17" s="700" customFormat="1" ht="70.5" hidden="1" customHeight="1">
      <c r="C5562" s="701"/>
      <c r="D5562" s="811"/>
      <c r="E5562" s="1276">
        <f>[11]building!Y5893</f>
        <v>0</v>
      </c>
      <c r="F5562" s="748">
        <f t="shared" si="325"/>
        <v>0</v>
      </c>
      <c r="G5562" s="1205"/>
      <c r="H5562" s="1055"/>
      <c r="I5562" s="1055"/>
      <c r="J5562" s="1055"/>
      <c r="K5562" s="1205"/>
      <c r="L5562" s="1055"/>
      <c r="M5562" s="1205"/>
      <c r="N5562" s="1054"/>
      <c r="O5562" s="1207"/>
      <c r="Q5562" s="1207"/>
    </row>
    <row r="5563" spans="3:17" s="700" customFormat="1" ht="70.5" hidden="1" customHeight="1">
      <c r="C5563" s="701"/>
      <c r="D5563" s="811"/>
      <c r="E5563" s="1276">
        <f>[11]building!Y5894</f>
        <v>0</v>
      </c>
      <c r="F5563" s="748">
        <f t="shared" si="325"/>
        <v>0</v>
      </c>
      <c r="G5563" s="1205"/>
      <c r="H5563" s="1055"/>
      <c r="I5563" s="1055"/>
      <c r="J5563" s="1055"/>
      <c r="K5563" s="1205"/>
      <c r="L5563" s="1055"/>
      <c r="M5563" s="1205"/>
      <c r="N5563" s="1054"/>
      <c r="O5563" s="1207"/>
      <c r="Q5563" s="1207"/>
    </row>
    <row r="5564" spans="3:17" s="700" customFormat="1" ht="70.5" hidden="1" customHeight="1">
      <c r="C5564" s="701"/>
      <c r="D5564" s="811"/>
      <c r="E5564" s="1276">
        <f>[11]building!Y5895</f>
        <v>0</v>
      </c>
      <c r="F5564" s="748">
        <f t="shared" si="325"/>
        <v>0</v>
      </c>
      <c r="G5564" s="1205"/>
      <c r="H5564" s="1055"/>
      <c r="I5564" s="1055"/>
      <c r="J5564" s="1055"/>
      <c r="K5564" s="1205"/>
      <c r="L5564" s="1055"/>
      <c r="M5564" s="1205"/>
      <c r="N5564" s="1054"/>
      <c r="O5564" s="1207"/>
      <c r="Q5564" s="1207"/>
    </row>
    <row r="5565" spans="3:17" s="700" customFormat="1" ht="70.5" hidden="1" customHeight="1">
      <c r="C5565" s="701"/>
      <c r="D5565" s="811"/>
      <c r="E5565" s="1276">
        <f>[11]building!Y5896</f>
        <v>0</v>
      </c>
      <c r="F5565" s="748">
        <f t="shared" si="325"/>
        <v>0</v>
      </c>
      <c r="G5565" s="1205"/>
      <c r="H5565" s="1055"/>
      <c r="I5565" s="1055"/>
      <c r="J5565" s="1055"/>
      <c r="K5565" s="1205"/>
      <c r="L5565" s="1055"/>
      <c r="M5565" s="1205"/>
      <c r="N5565" s="1054"/>
      <c r="O5565" s="1207"/>
      <c r="Q5565" s="1207"/>
    </row>
    <row r="5566" spans="3:17" s="700" customFormat="1" ht="70.5" hidden="1" customHeight="1">
      <c r="C5566" s="701"/>
      <c r="D5566" s="811"/>
      <c r="E5566" s="1276">
        <f>[11]building!Y5897</f>
        <v>0</v>
      </c>
      <c r="F5566" s="748">
        <f t="shared" si="325"/>
        <v>0</v>
      </c>
      <c r="G5566" s="1205"/>
      <c r="H5566" s="1055"/>
      <c r="I5566" s="1055"/>
      <c r="J5566" s="1055"/>
      <c r="K5566" s="1205"/>
      <c r="L5566" s="1055"/>
      <c r="M5566" s="1205"/>
      <c r="N5566" s="1054"/>
      <c r="O5566" s="1207"/>
      <c r="Q5566" s="1207"/>
    </row>
    <row r="5567" spans="3:17" s="700" customFormat="1" ht="70.5" hidden="1" customHeight="1">
      <c r="C5567" s="701"/>
      <c r="D5567" s="811"/>
      <c r="E5567" s="1276">
        <f>[11]building!Y5898</f>
        <v>0</v>
      </c>
      <c r="F5567" s="748">
        <f t="shared" si="325"/>
        <v>0</v>
      </c>
      <c r="G5567" s="1205"/>
      <c r="H5567" s="1055"/>
      <c r="I5567" s="1055"/>
      <c r="J5567" s="1055"/>
      <c r="K5567" s="1205"/>
      <c r="L5567" s="1055"/>
      <c r="M5567" s="1205"/>
      <c r="N5567" s="1054"/>
      <c r="O5567" s="1207"/>
      <c r="Q5567" s="1207"/>
    </row>
    <row r="5568" spans="3:17" s="700" customFormat="1" ht="70.5" hidden="1" customHeight="1">
      <c r="C5568" s="701"/>
      <c r="D5568" s="811"/>
      <c r="E5568" s="1276">
        <f>[11]building!Y5899</f>
        <v>0</v>
      </c>
      <c r="F5568" s="748">
        <f t="shared" ref="F5568:F5631" si="326">E5568*C5568</f>
        <v>0</v>
      </c>
      <c r="G5568" s="1205"/>
      <c r="H5568" s="1055"/>
      <c r="I5568" s="1055"/>
      <c r="J5568" s="1055"/>
      <c r="K5568" s="1205"/>
      <c r="L5568" s="1055"/>
      <c r="M5568" s="1205"/>
      <c r="N5568" s="1054"/>
      <c r="O5568" s="1207"/>
      <c r="Q5568" s="1207"/>
    </row>
    <row r="5569" spans="3:17" s="700" customFormat="1" ht="70.5" hidden="1" customHeight="1">
      <c r="C5569" s="701"/>
      <c r="D5569" s="811"/>
      <c r="E5569" s="1276">
        <f>[11]building!Y5900</f>
        <v>0</v>
      </c>
      <c r="F5569" s="748">
        <f t="shared" si="326"/>
        <v>0</v>
      </c>
      <c r="G5569" s="1205"/>
      <c r="H5569" s="1055"/>
      <c r="I5569" s="1055"/>
      <c r="J5569" s="1055"/>
      <c r="K5569" s="1205"/>
      <c r="L5569" s="1055"/>
      <c r="M5569" s="1205"/>
      <c r="N5569" s="1054"/>
      <c r="O5569" s="1207"/>
      <c r="Q5569" s="1207"/>
    </row>
    <row r="5570" spans="3:17" s="700" customFormat="1" ht="70.5" hidden="1" customHeight="1">
      <c r="C5570" s="701"/>
      <c r="D5570" s="811"/>
      <c r="E5570" s="1276">
        <f>[11]building!Y5901</f>
        <v>0</v>
      </c>
      <c r="F5570" s="748">
        <f t="shared" si="326"/>
        <v>0</v>
      </c>
      <c r="G5570" s="1205"/>
      <c r="H5570" s="1055"/>
      <c r="I5570" s="1055"/>
      <c r="J5570" s="1055"/>
      <c r="K5570" s="1205"/>
      <c r="L5570" s="1055"/>
      <c r="M5570" s="1205"/>
      <c r="N5570" s="1054"/>
      <c r="O5570" s="1207"/>
      <c r="Q5570" s="1207"/>
    </row>
    <row r="5571" spans="3:17" s="700" customFormat="1" ht="70.5" hidden="1" customHeight="1">
      <c r="C5571" s="701"/>
      <c r="D5571" s="811"/>
      <c r="E5571" s="1276">
        <f>[11]building!Y5902</f>
        <v>0</v>
      </c>
      <c r="F5571" s="748">
        <f t="shared" si="326"/>
        <v>0</v>
      </c>
      <c r="G5571" s="1205"/>
      <c r="H5571" s="1055"/>
      <c r="I5571" s="1055"/>
      <c r="J5571" s="1055"/>
      <c r="K5571" s="1205"/>
      <c r="L5571" s="1055"/>
      <c r="M5571" s="1205"/>
      <c r="N5571" s="1054"/>
      <c r="O5571" s="1207"/>
      <c r="Q5571" s="1207"/>
    </row>
    <row r="5572" spans="3:17" s="700" customFormat="1" ht="70.5" hidden="1" customHeight="1">
      <c r="C5572" s="701"/>
      <c r="D5572" s="811"/>
      <c r="E5572" s="1276">
        <f>[11]building!Y5903</f>
        <v>0</v>
      </c>
      <c r="F5572" s="748">
        <f t="shared" si="326"/>
        <v>0</v>
      </c>
      <c r="G5572" s="1205"/>
      <c r="H5572" s="1055"/>
      <c r="I5572" s="1055"/>
      <c r="J5572" s="1055"/>
      <c r="K5572" s="1205"/>
      <c r="L5572" s="1055"/>
      <c r="M5572" s="1205"/>
      <c r="N5572" s="1054"/>
      <c r="O5572" s="1207"/>
      <c r="Q5572" s="1207"/>
    </row>
    <row r="5573" spans="3:17" s="700" customFormat="1" ht="70.5" hidden="1" customHeight="1">
      <c r="C5573" s="701"/>
      <c r="D5573" s="811"/>
      <c r="E5573" s="1276">
        <f>[11]building!Y5904</f>
        <v>0</v>
      </c>
      <c r="F5573" s="748">
        <f t="shared" si="326"/>
        <v>0</v>
      </c>
      <c r="G5573" s="1205"/>
      <c r="H5573" s="1055"/>
      <c r="I5573" s="1055"/>
      <c r="J5573" s="1055"/>
      <c r="K5573" s="1205"/>
      <c r="L5573" s="1055"/>
      <c r="M5573" s="1205"/>
      <c r="N5573" s="1054"/>
      <c r="O5573" s="1207"/>
      <c r="Q5573" s="1207"/>
    </row>
    <row r="5574" spans="3:17" s="700" customFormat="1" ht="70.5" hidden="1" customHeight="1">
      <c r="C5574" s="701"/>
      <c r="D5574" s="811"/>
      <c r="E5574" s="1276">
        <f>[11]building!Y5905</f>
        <v>0</v>
      </c>
      <c r="F5574" s="748">
        <f t="shared" si="326"/>
        <v>0</v>
      </c>
      <c r="G5574" s="1205"/>
      <c r="H5574" s="1055"/>
      <c r="I5574" s="1055"/>
      <c r="J5574" s="1055"/>
      <c r="K5574" s="1205"/>
      <c r="L5574" s="1055"/>
      <c r="M5574" s="1205"/>
      <c r="N5574" s="1054"/>
      <c r="O5574" s="1207"/>
      <c r="Q5574" s="1207"/>
    </row>
    <row r="5575" spans="3:17" s="700" customFormat="1" ht="70.5" hidden="1" customHeight="1">
      <c r="C5575" s="701"/>
      <c r="D5575" s="811"/>
      <c r="E5575" s="1276">
        <f>[11]building!Y5906</f>
        <v>0</v>
      </c>
      <c r="F5575" s="748">
        <f t="shared" si="326"/>
        <v>0</v>
      </c>
      <c r="G5575" s="1205"/>
      <c r="H5575" s="1055"/>
      <c r="I5575" s="1055"/>
      <c r="J5575" s="1055"/>
      <c r="K5575" s="1205"/>
      <c r="L5575" s="1055"/>
      <c r="M5575" s="1205"/>
      <c r="N5575" s="1054"/>
      <c r="O5575" s="1207"/>
      <c r="Q5575" s="1207"/>
    </row>
    <row r="5576" spans="3:17" s="700" customFormat="1" ht="70.5" hidden="1" customHeight="1">
      <c r="C5576" s="701"/>
      <c r="D5576" s="811"/>
      <c r="E5576" s="1276">
        <f>[11]building!Y5907</f>
        <v>0</v>
      </c>
      <c r="F5576" s="748">
        <f t="shared" si="326"/>
        <v>0</v>
      </c>
      <c r="G5576" s="1205"/>
      <c r="H5576" s="1055"/>
      <c r="I5576" s="1055"/>
      <c r="J5576" s="1055"/>
      <c r="K5576" s="1205"/>
      <c r="L5576" s="1055"/>
      <c r="M5576" s="1205"/>
      <c r="N5576" s="1054"/>
      <c r="O5576" s="1207"/>
      <c r="Q5576" s="1207"/>
    </row>
    <row r="5577" spans="3:17" s="700" customFormat="1" ht="70.5" hidden="1" customHeight="1">
      <c r="C5577" s="701"/>
      <c r="D5577" s="811"/>
      <c r="E5577" s="1276">
        <f>[11]building!Y5908</f>
        <v>0</v>
      </c>
      <c r="F5577" s="748">
        <f t="shared" si="326"/>
        <v>0</v>
      </c>
      <c r="G5577" s="1205"/>
      <c r="H5577" s="1055"/>
      <c r="I5577" s="1055"/>
      <c r="J5577" s="1055"/>
      <c r="K5577" s="1205"/>
      <c r="L5577" s="1055"/>
      <c r="M5577" s="1205"/>
      <c r="N5577" s="1054"/>
      <c r="O5577" s="1207"/>
      <c r="Q5577" s="1207"/>
    </row>
    <row r="5578" spans="3:17" s="700" customFormat="1" ht="70.5" hidden="1" customHeight="1">
      <c r="C5578" s="701"/>
      <c r="D5578" s="811"/>
      <c r="E5578" s="1276">
        <f>[11]building!Y5909</f>
        <v>0</v>
      </c>
      <c r="F5578" s="748">
        <f t="shared" si="326"/>
        <v>0</v>
      </c>
      <c r="G5578" s="1205"/>
      <c r="H5578" s="1055"/>
      <c r="I5578" s="1055"/>
      <c r="J5578" s="1055"/>
      <c r="K5578" s="1205"/>
      <c r="L5578" s="1055"/>
      <c r="M5578" s="1205"/>
      <c r="N5578" s="1054"/>
      <c r="O5578" s="1207"/>
      <c r="Q5578" s="1207"/>
    </row>
    <row r="5579" spans="3:17" s="700" customFormat="1" ht="70.5" hidden="1" customHeight="1">
      <c r="C5579" s="701"/>
      <c r="D5579" s="811"/>
      <c r="E5579" s="1276">
        <f>[11]building!Y5910</f>
        <v>0</v>
      </c>
      <c r="F5579" s="748">
        <f t="shared" si="326"/>
        <v>0</v>
      </c>
      <c r="G5579" s="1205"/>
      <c r="H5579" s="1055"/>
      <c r="I5579" s="1055"/>
      <c r="J5579" s="1055"/>
      <c r="K5579" s="1205"/>
      <c r="L5579" s="1055"/>
      <c r="M5579" s="1205"/>
      <c r="N5579" s="1054"/>
      <c r="O5579" s="1207"/>
      <c r="Q5579" s="1207"/>
    </row>
    <row r="5580" spans="3:17" s="700" customFormat="1" ht="70.5" hidden="1" customHeight="1">
      <c r="C5580" s="701"/>
      <c r="D5580" s="811"/>
      <c r="E5580" s="1276">
        <f>[11]building!Y5911</f>
        <v>0</v>
      </c>
      <c r="F5580" s="748">
        <f t="shared" si="326"/>
        <v>0</v>
      </c>
      <c r="G5580" s="1205"/>
      <c r="H5580" s="1055"/>
      <c r="I5580" s="1055"/>
      <c r="J5580" s="1055"/>
      <c r="K5580" s="1205"/>
      <c r="L5580" s="1055"/>
      <c r="M5580" s="1205"/>
      <c r="N5580" s="1054"/>
      <c r="O5580" s="1207"/>
      <c r="Q5580" s="1207"/>
    </row>
    <row r="5581" spans="3:17" s="700" customFormat="1" ht="70.5" hidden="1" customHeight="1">
      <c r="C5581" s="701"/>
      <c r="D5581" s="811"/>
      <c r="E5581" s="1276">
        <f>[11]building!Y5912</f>
        <v>0</v>
      </c>
      <c r="F5581" s="748">
        <f t="shared" si="326"/>
        <v>0</v>
      </c>
      <c r="G5581" s="1205"/>
      <c r="H5581" s="1055"/>
      <c r="I5581" s="1055"/>
      <c r="J5581" s="1055"/>
      <c r="K5581" s="1205"/>
      <c r="L5581" s="1055"/>
      <c r="M5581" s="1205"/>
      <c r="N5581" s="1054"/>
      <c r="O5581" s="1207"/>
      <c r="Q5581" s="1207"/>
    </row>
    <row r="5582" spans="3:17" s="700" customFormat="1" ht="70.5" hidden="1" customHeight="1">
      <c r="C5582" s="701"/>
      <c r="D5582" s="811"/>
      <c r="E5582" s="1276">
        <f>[11]building!Y5913</f>
        <v>0</v>
      </c>
      <c r="F5582" s="748">
        <f t="shared" si="326"/>
        <v>0</v>
      </c>
      <c r="G5582" s="1205"/>
      <c r="H5582" s="1055"/>
      <c r="I5582" s="1055"/>
      <c r="J5582" s="1055"/>
      <c r="K5582" s="1205"/>
      <c r="L5582" s="1055"/>
      <c r="M5582" s="1205"/>
      <c r="N5582" s="1054"/>
      <c r="O5582" s="1207"/>
      <c r="Q5582" s="1207"/>
    </row>
    <row r="5583" spans="3:17" s="700" customFormat="1" ht="70.5" hidden="1" customHeight="1">
      <c r="C5583" s="701"/>
      <c r="D5583" s="811"/>
      <c r="E5583" s="1276">
        <f>[11]building!Y5914</f>
        <v>0</v>
      </c>
      <c r="F5583" s="748">
        <f t="shared" si="326"/>
        <v>0</v>
      </c>
      <c r="G5583" s="1205"/>
      <c r="H5583" s="1055"/>
      <c r="I5583" s="1055"/>
      <c r="J5583" s="1055"/>
      <c r="K5583" s="1205"/>
      <c r="L5583" s="1055"/>
      <c r="M5583" s="1205"/>
      <c r="N5583" s="1054"/>
      <c r="O5583" s="1207"/>
      <c r="Q5583" s="1207"/>
    </row>
    <row r="5584" spans="3:17" s="700" customFormat="1" ht="70.5" hidden="1" customHeight="1">
      <c r="C5584" s="701"/>
      <c r="D5584" s="811"/>
      <c r="E5584" s="1276">
        <f>[11]building!Y5915</f>
        <v>0</v>
      </c>
      <c r="F5584" s="748">
        <f t="shared" si="326"/>
        <v>0</v>
      </c>
      <c r="G5584" s="1205"/>
      <c r="H5584" s="1055"/>
      <c r="I5584" s="1055"/>
      <c r="J5584" s="1055"/>
      <c r="K5584" s="1205"/>
      <c r="L5584" s="1055"/>
      <c r="M5584" s="1205"/>
      <c r="N5584" s="1054"/>
      <c r="O5584" s="1207"/>
      <c r="Q5584" s="1207"/>
    </row>
    <row r="5585" spans="3:17" s="700" customFormat="1" ht="70.5" hidden="1" customHeight="1">
      <c r="C5585" s="701"/>
      <c r="D5585" s="811"/>
      <c r="E5585" s="1276">
        <f>[11]building!Y5916</f>
        <v>0</v>
      </c>
      <c r="F5585" s="748">
        <f t="shared" si="326"/>
        <v>0</v>
      </c>
      <c r="G5585" s="1205"/>
      <c r="H5585" s="1055"/>
      <c r="I5585" s="1055"/>
      <c r="J5585" s="1055"/>
      <c r="K5585" s="1205"/>
      <c r="L5585" s="1055"/>
      <c r="M5585" s="1205"/>
      <c r="N5585" s="1054"/>
      <c r="O5585" s="1207"/>
      <c r="Q5585" s="1207"/>
    </row>
    <row r="5586" spans="3:17" s="700" customFormat="1" ht="70.5" hidden="1" customHeight="1">
      <c r="C5586" s="701"/>
      <c r="D5586" s="811"/>
      <c r="E5586" s="1276">
        <f>[11]building!Y5917</f>
        <v>0</v>
      </c>
      <c r="F5586" s="748">
        <f t="shared" si="326"/>
        <v>0</v>
      </c>
      <c r="G5586" s="1205"/>
      <c r="H5586" s="1055"/>
      <c r="I5586" s="1055"/>
      <c r="J5586" s="1055"/>
      <c r="K5586" s="1205"/>
      <c r="L5586" s="1055"/>
      <c r="M5586" s="1205"/>
      <c r="N5586" s="1054"/>
      <c r="O5586" s="1207"/>
      <c r="Q5586" s="1207"/>
    </row>
    <row r="5587" spans="3:17" s="700" customFormat="1" ht="70.5" hidden="1" customHeight="1">
      <c r="C5587" s="701"/>
      <c r="D5587" s="811"/>
      <c r="E5587" s="1276">
        <f>[11]building!Y5918</f>
        <v>0</v>
      </c>
      <c r="F5587" s="748">
        <f t="shared" si="326"/>
        <v>0</v>
      </c>
      <c r="G5587" s="1205"/>
      <c r="H5587" s="1055"/>
      <c r="I5587" s="1055"/>
      <c r="J5587" s="1055"/>
      <c r="K5587" s="1205"/>
      <c r="L5587" s="1055"/>
      <c r="M5587" s="1205"/>
      <c r="N5587" s="1054"/>
      <c r="O5587" s="1207"/>
      <c r="Q5587" s="1207"/>
    </row>
    <row r="5588" spans="3:17" s="700" customFormat="1" ht="70.5" hidden="1" customHeight="1">
      <c r="C5588" s="701"/>
      <c r="D5588" s="811"/>
      <c r="E5588" s="1276">
        <f>[11]building!Y5919</f>
        <v>0</v>
      </c>
      <c r="F5588" s="748">
        <f t="shared" si="326"/>
        <v>0</v>
      </c>
      <c r="G5588" s="1205"/>
      <c r="H5588" s="1055"/>
      <c r="I5588" s="1055"/>
      <c r="J5588" s="1055"/>
      <c r="K5588" s="1205"/>
      <c r="L5588" s="1055"/>
      <c r="M5588" s="1205"/>
      <c r="N5588" s="1054"/>
      <c r="O5588" s="1207"/>
      <c r="Q5588" s="1207"/>
    </row>
    <row r="5589" spans="3:17" s="700" customFormat="1" ht="70.5" hidden="1" customHeight="1">
      <c r="C5589" s="701"/>
      <c r="D5589" s="811"/>
      <c r="E5589" s="1276">
        <f>[11]building!Y5920</f>
        <v>0</v>
      </c>
      <c r="F5589" s="748">
        <f t="shared" si="326"/>
        <v>0</v>
      </c>
      <c r="G5589" s="1205"/>
      <c r="H5589" s="1055"/>
      <c r="I5589" s="1055"/>
      <c r="J5589" s="1055"/>
      <c r="K5589" s="1205"/>
      <c r="L5589" s="1055"/>
      <c r="M5589" s="1205"/>
      <c r="N5589" s="1054"/>
      <c r="O5589" s="1207"/>
      <c r="Q5589" s="1207"/>
    </row>
    <row r="5590" spans="3:17" s="700" customFormat="1" ht="70.5" hidden="1" customHeight="1">
      <c r="C5590" s="701"/>
      <c r="D5590" s="811"/>
      <c r="E5590" s="1276">
        <f>[11]building!Y5921</f>
        <v>0</v>
      </c>
      <c r="F5590" s="748">
        <f t="shared" si="326"/>
        <v>0</v>
      </c>
      <c r="G5590" s="1205"/>
      <c r="H5590" s="1055"/>
      <c r="I5590" s="1055"/>
      <c r="J5590" s="1055"/>
      <c r="K5590" s="1205"/>
      <c r="L5590" s="1055"/>
      <c r="M5590" s="1205"/>
      <c r="N5590" s="1054"/>
      <c r="O5590" s="1207"/>
      <c r="Q5590" s="1207"/>
    </row>
    <row r="5591" spans="3:17" s="700" customFormat="1" ht="70.5" hidden="1" customHeight="1">
      <c r="C5591" s="701"/>
      <c r="D5591" s="811"/>
      <c r="E5591" s="1276">
        <f>[11]building!Y5922</f>
        <v>0</v>
      </c>
      <c r="F5591" s="748">
        <f t="shared" si="326"/>
        <v>0</v>
      </c>
      <c r="G5591" s="1205"/>
      <c r="H5591" s="1055"/>
      <c r="I5591" s="1055"/>
      <c r="J5591" s="1055"/>
      <c r="K5591" s="1205"/>
      <c r="L5591" s="1055"/>
      <c r="M5591" s="1205"/>
      <c r="N5591" s="1054"/>
      <c r="O5591" s="1207"/>
      <c r="Q5591" s="1207"/>
    </row>
    <row r="5592" spans="3:17" s="700" customFormat="1" ht="70.5" hidden="1" customHeight="1">
      <c r="C5592" s="701"/>
      <c r="D5592" s="811"/>
      <c r="E5592" s="1276">
        <f>[11]building!Y5923</f>
        <v>0</v>
      </c>
      <c r="F5592" s="748">
        <f t="shared" si="326"/>
        <v>0</v>
      </c>
      <c r="G5592" s="1205"/>
      <c r="H5592" s="1055"/>
      <c r="I5592" s="1055"/>
      <c r="J5592" s="1055"/>
      <c r="K5592" s="1205"/>
      <c r="L5592" s="1055"/>
      <c r="M5592" s="1205"/>
      <c r="N5592" s="1054"/>
      <c r="O5592" s="1207"/>
      <c r="Q5592" s="1207"/>
    </row>
    <row r="5593" spans="3:17" s="700" customFormat="1" ht="70.5" hidden="1" customHeight="1">
      <c r="C5593" s="701"/>
      <c r="D5593" s="811"/>
      <c r="E5593" s="1276">
        <f>[11]building!Y5924</f>
        <v>0</v>
      </c>
      <c r="F5593" s="748">
        <f t="shared" si="326"/>
        <v>0</v>
      </c>
      <c r="G5593" s="1205"/>
      <c r="H5593" s="1055"/>
      <c r="I5593" s="1055"/>
      <c r="J5593" s="1055"/>
      <c r="K5593" s="1205"/>
      <c r="L5593" s="1055"/>
      <c r="M5593" s="1205"/>
      <c r="N5593" s="1054"/>
      <c r="O5593" s="1207"/>
      <c r="Q5593" s="1207"/>
    </row>
    <row r="5594" spans="3:17" s="700" customFormat="1" ht="70.5" hidden="1" customHeight="1">
      <c r="C5594" s="701"/>
      <c r="D5594" s="811"/>
      <c r="E5594" s="1276">
        <f>[11]building!Y5925</f>
        <v>0</v>
      </c>
      <c r="F5594" s="748">
        <f t="shared" si="326"/>
        <v>0</v>
      </c>
      <c r="G5594" s="1205"/>
      <c r="H5594" s="1055"/>
      <c r="I5594" s="1055"/>
      <c r="J5594" s="1055"/>
      <c r="K5594" s="1205"/>
      <c r="L5594" s="1055"/>
      <c r="M5594" s="1205"/>
      <c r="N5594" s="1054"/>
      <c r="O5594" s="1207"/>
      <c r="Q5594" s="1207"/>
    </row>
    <row r="5595" spans="3:17" s="700" customFormat="1" ht="70.5" hidden="1" customHeight="1">
      <c r="C5595" s="701"/>
      <c r="D5595" s="811"/>
      <c r="E5595" s="1276">
        <f>[11]building!Y5926</f>
        <v>0</v>
      </c>
      <c r="F5595" s="748">
        <f t="shared" si="326"/>
        <v>0</v>
      </c>
      <c r="G5595" s="1205"/>
      <c r="H5595" s="1055"/>
      <c r="I5595" s="1055"/>
      <c r="J5595" s="1055"/>
      <c r="K5595" s="1205"/>
      <c r="L5595" s="1055"/>
      <c r="M5595" s="1205"/>
      <c r="N5595" s="1054"/>
      <c r="O5595" s="1207"/>
      <c r="Q5595" s="1207"/>
    </row>
    <row r="5596" spans="3:17" s="700" customFormat="1" ht="70.5" hidden="1" customHeight="1">
      <c r="C5596" s="701"/>
      <c r="D5596" s="811"/>
      <c r="E5596" s="1276">
        <f>[11]building!Y5927</f>
        <v>0</v>
      </c>
      <c r="F5596" s="748">
        <f t="shared" si="326"/>
        <v>0</v>
      </c>
      <c r="G5596" s="1205"/>
      <c r="H5596" s="1055"/>
      <c r="I5596" s="1055"/>
      <c r="J5596" s="1055"/>
      <c r="K5596" s="1205"/>
      <c r="L5596" s="1055"/>
      <c r="M5596" s="1205"/>
      <c r="N5596" s="1054"/>
      <c r="O5596" s="1207"/>
      <c r="Q5596" s="1207"/>
    </row>
    <row r="5597" spans="3:17" s="700" customFormat="1" ht="70.5" hidden="1" customHeight="1">
      <c r="C5597" s="701"/>
      <c r="D5597" s="811"/>
      <c r="E5597" s="1276">
        <f>[11]building!Y5928</f>
        <v>0</v>
      </c>
      <c r="F5597" s="748">
        <f t="shared" si="326"/>
        <v>0</v>
      </c>
      <c r="G5597" s="1205"/>
      <c r="H5597" s="1055"/>
      <c r="I5597" s="1055"/>
      <c r="J5597" s="1055"/>
      <c r="K5597" s="1205"/>
      <c r="L5597" s="1055"/>
      <c r="M5597" s="1205"/>
      <c r="N5597" s="1054"/>
      <c r="O5597" s="1207"/>
      <c r="Q5597" s="1207"/>
    </row>
    <row r="5598" spans="3:17" s="700" customFormat="1" ht="70.5" hidden="1" customHeight="1">
      <c r="C5598" s="701"/>
      <c r="D5598" s="811"/>
      <c r="E5598" s="1276">
        <f>[11]building!Y5929</f>
        <v>0</v>
      </c>
      <c r="F5598" s="748">
        <f t="shared" si="326"/>
        <v>0</v>
      </c>
      <c r="G5598" s="1205"/>
      <c r="H5598" s="1055"/>
      <c r="I5598" s="1055"/>
      <c r="J5598" s="1055"/>
      <c r="K5598" s="1205"/>
      <c r="L5598" s="1055"/>
      <c r="M5598" s="1205"/>
      <c r="N5598" s="1054"/>
      <c r="O5598" s="1207"/>
      <c r="Q5598" s="1207"/>
    </row>
    <row r="5599" spans="3:17" s="700" customFormat="1" ht="70.5" hidden="1" customHeight="1">
      <c r="C5599" s="701"/>
      <c r="D5599" s="811"/>
      <c r="E5599" s="1276">
        <f>[11]building!Y5930</f>
        <v>0</v>
      </c>
      <c r="F5599" s="748">
        <f t="shared" si="326"/>
        <v>0</v>
      </c>
      <c r="G5599" s="1205"/>
      <c r="H5599" s="1055"/>
      <c r="I5599" s="1055"/>
      <c r="J5599" s="1055"/>
      <c r="K5599" s="1205"/>
      <c r="L5599" s="1055"/>
      <c r="M5599" s="1205"/>
      <c r="N5599" s="1054"/>
      <c r="O5599" s="1207"/>
      <c r="Q5599" s="1207"/>
    </row>
    <row r="5600" spans="3:17" s="700" customFormat="1" ht="70.5" hidden="1" customHeight="1">
      <c r="C5600" s="701"/>
      <c r="D5600" s="811"/>
      <c r="E5600" s="1276">
        <f>[11]building!Y5931</f>
        <v>0</v>
      </c>
      <c r="F5600" s="748">
        <f t="shared" si="326"/>
        <v>0</v>
      </c>
      <c r="G5600" s="1205"/>
      <c r="H5600" s="1055"/>
      <c r="I5600" s="1055"/>
      <c r="J5600" s="1055"/>
      <c r="K5600" s="1205"/>
      <c r="L5600" s="1055"/>
      <c r="M5600" s="1205"/>
      <c r="N5600" s="1054"/>
      <c r="O5600" s="1207"/>
      <c r="Q5600" s="1207"/>
    </row>
    <row r="5601" spans="3:17" s="700" customFormat="1" ht="70.5" hidden="1" customHeight="1">
      <c r="C5601" s="701"/>
      <c r="D5601" s="811"/>
      <c r="E5601" s="1276">
        <f>[11]building!Y5932</f>
        <v>0</v>
      </c>
      <c r="F5601" s="748">
        <f t="shared" si="326"/>
        <v>0</v>
      </c>
      <c r="G5601" s="1205"/>
      <c r="H5601" s="1055"/>
      <c r="I5601" s="1055"/>
      <c r="J5601" s="1055"/>
      <c r="K5601" s="1205"/>
      <c r="L5601" s="1055"/>
      <c r="M5601" s="1205"/>
      <c r="N5601" s="1054"/>
      <c r="O5601" s="1207"/>
      <c r="Q5601" s="1207"/>
    </row>
    <row r="5602" spans="3:17" s="700" customFormat="1" ht="70.5" hidden="1" customHeight="1">
      <c r="C5602" s="701"/>
      <c r="D5602" s="811"/>
      <c r="E5602" s="1276">
        <f>[11]building!Y5933</f>
        <v>0</v>
      </c>
      <c r="F5602" s="748">
        <f t="shared" si="326"/>
        <v>0</v>
      </c>
      <c r="G5602" s="1205"/>
      <c r="H5602" s="1055"/>
      <c r="I5602" s="1055"/>
      <c r="J5602" s="1055"/>
      <c r="K5602" s="1205"/>
      <c r="L5602" s="1055"/>
      <c r="M5602" s="1205"/>
      <c r="N5602" s="1054"/>
      <c r="O5602" s="1207"/>
      <c r="Q5602" s="1207"/>
    </row>
    <row r="5603" spans="3:17" s="700" customFormat="1" ht="70.5" hidden="1" customHeight="1">
      <c r="C5603" s="701"/>
      <c r="D5603" s="811"/>
      <c r="E5603" s="1276">
        <f>[11]building!Y5934</f>
        <v>0</v>
      </c>
      <c r="F5603" s="748">
        <f t="shared" si="326"/>
        <v>0</v>
      </c>
      <c r="G5603" s="1205"/>
      <c r="H5603" s="1055"/>
      <c r="I5603" s="1055"/>
      <c r="J5603" s="1055"/>
      <c r="K5603" s="1205"/>
      <c r="L5603" s="1055"/>
      <c r="M5603" s="1205"/>
      <c r="N5603" s="1054"/>
      <c r="O5603" s="1207"/>
      <c r="Q5603" s="1207"/>
    </row>
    <row r="5604" spans="3:17" s="700" customFormat="1" ht="70.5" hidden="1" customHeight="1">
      <c r="C5604" s="701"/>
      <c r="D5604" s="811"/>
      <c r="E5604" s="1276">
        <f>[11]building!Y5935</f>
        <v>0</v>
      </c>
      <c r="F5604" s="748">
        <f t="shared" si="326"/>
        <v>0</v>
      </c>
      <c r="G5604" s="1205"/>
      <c r="H5604" s="1055"/>
      <c r="I5604" s="1055"/>
      <c r="J5604" s="1055"/>
      <c r="K5604" s="1205"/>
      <c r="L5604" s="1055"/>
      <c r="M5604" s="1205"/>
      <c r="N5604" s="1054"/>
      <c r="O5604" s="1207"/>
      <c r="Q5604" s="1207"/>
    </row>
    <row r="5605" spans="3:17" s="700" customFormat="1" ht="70.5" hidden="1" customHeight="1">
      <c r="C5605" s="701"/>
      <c r="D5605" s="811"/>
      <c r="E5605" s="1276">
        <f>[11]building!Y5936</f>
        <v>0</v>
      </c>
      <c r="F5605" s="748">
        <f t="shared" si="326"/>
        <v>0</v>
      </c>
      <c r="G5605" s="1205"/>
      <c r="H5605" s="1055"/>
      <c r="I5605" s="1055"/>
      <c r="J5605" s="1055"/>
      <c r="K5605" s="1205"/>
      <c r="L5605" s="1055"/>
      <c r="M5605" s="1205"/>
      <c r="N5605" s="1054"/>
      <c r="O5605" s="1207"/>
      <c r="Q5605" s="1207"/>
    </row>
    <row r="5606" spans="3:17" s="700" customFormat="1" ht="70.5" hidden="1" customHeight="1">
      <c r="C5606" s="701"/>
      <c r="D5606" s="811"/>
      <c r="E5606" s="1276">
        <f>[11]building!Y5937</f>
        <v>0</v>
      </c>
      <c r="F5606" s="748">
        <f t="shared" si="326"/>
        <v>0</v>
      </c>
      <c r="G5606" s="1205"/>
      <c r="H5606" s="1055"/>
      <c r="I5606" s="1055"/>
      <c r="J5606" s="1055"/>
      <c r="K5606" s="1205"/>
      <c r="L5606" s="1055"/>
      <c r="M5606" s="1205"/>
      <c r="N5606" s="1054"/>
      <c r="O5606" s="1207"/>
      <c r="Q5606" s="1207"/>
    </row>
    <row r="5607" spans="3:17" s="700" customFormat="1" ht="70.5" hidden="1" customHeight="1">
      <c r="C5607" s="701"/>
      <c r="D5607" s="811"/>
      <c r="E5607" s="1276">
        <f>[11]building!Y5938</f>
        <v>0</v>
      </c>
      <c r="F5607" s="748">
        <f t="shared" si="326"/>
        <v>0</v>
      </c>
      <c r="G5607" s="1205"/>
      <c r="H5607" s="1055"/>
      <c r="I5607" s="1055"/>
      <c r="J5607" s="1055"/>
      <c r="K5607" s="1205"/>
      <c r="L5607" s="1055"/>
      <c r="M5607" s="1205"/>
      <c r="N5607" s="1054"/>
      <c r="O5607" s="1207"/>
      <c r="Q5607" s="1207"/>
    </row>
    <row r="5608" spans="3:17" s="700" customFormat="1" ht="70.5" hidden="1" customHeight="1">
      <c r="C5608" s="701"/>
      <c r="D5608" s="811"/>
      <c r="E5608" s="1276">
        <f>[11]building!Y5939</f>
        <v>0</v>
      </c>
      <c r="F5608" s="748">
        <f t="shared" si="326"/>
        <v>0</v>
      </c>
      <c r="G5608" s="1205"/>
      <c r="H5608" s="1055"/>
      <c r="I5608" s="1055"/>
      <c r="J5608" s="1055"/>
      <c r="K5608" s="1205"/>
      <c r="L5608" s="1055"/>
      <c r="M5608" s="1205"/>
      <c r="N5608" s="1054"/>
      <c r="O5608" s="1207"/>
      <c r="Q5608" s="1207"/>
    </row>
    <row r="5609" spans="3:17" s="700" customFormat="1" ht="70.5" hidden="1" customHeight="1">
      <c r="C5609" s="701"/>
      <c r="D5609" s="811"/>
      <c r="E5609" s="1276">
        <f>[11]building!Y5940</f>
        <v>0</v>
      </c>
      <c r="F5609" s="748">
        <f t="shared" si="326"/>
        <v>0</v>
      </c>
      <c r="G5609" s="1205"/>
      <c r="H5609" s="1055"/>
      <c r="I5609" s="1055"/>
      <c r="J5609" s="1055"/>
      <c r="K5609" s="1205"/>
      <c r="L5609" s="1055"/>
      <c r="M5609" s="1205"/>
      <c r="N5609" s="1054"/>
      <c r="O5609" s="1207"/>
      <c r="Q5609" s="1207"/>
    </row>
    <row r="5610" spans="3:17" s="700" customFormat="1" ht="70.5" hidden="1" customHeight="1">
      <c r="C5610" s="701"/>
      <c r="D5610" s="811"/>
      <c r="E5610" s="1276">
        <f>[11]building!Y5941</f>
        <v>0</v>
      </c>
      <c r="F5610" s="748">
        <f t="shared" si="326"/>
        <v>0</v>
      </c>
      <c r="G5610" s="1205"/>
      <c r="H5610" s="1055"/>
      <c r="I5610" s="1055"/>
      <c r="J5610" s="1055"/>
      <c r="K5610" s="1205"/>
      <c r="L5610" s="1055"/>
      <c r="M5610" s="1205"/>
      <c r="N5610" s="1054"/>
      <c r="O5610" s="1207"/>
      <c r="Q5610" s="1207"/>
    </row>
    <row r="5611" spans="3:17" s="700" customFormat="1" ht="70.5" hidden="1" customHeight="1">
      <c r="C5611" s="701"/>
      <c r="D5611" s="811"/>
      <c r="E5611" s="1276">
        <f>[11]building!Y5942</f>
        <v>0</v>
      </c>
      <c r="F5611" s="748">
        <f t="shared" si="326"/>
        <v>0</v>
      </c>
      <c r="G5611" s="1205"/>
      <c r="H5611" s="1055"/>
      <c r="I5611" s="1055"/>
      <c r="J5611" s="1055"/>
      <c r="K5611" s="1205"/>
      <c r="L5611" s="1055"/>
      <c r="M5611" s="1205"/>
      <c r="N5611" s="1054"/>
      <c r="O5611" s="1207"/>
      <c r="Q5611" s="1207"/>
    </row>
    <row r="5612" spans="3:17" s="700" customFormat="1" ht="70.5" hidden="1" customHeight="1">
      <c r="C5612" s="701"/>
      <c r="D5612" s="811"/>
      <c r="E5612" s="1276">
        <f>[11]building!Y5943</f>
        <v>0</v>
      </c>
      <c r="F5612" s="748">
        <f t="shared" si="326"/>
        <v>0</v>
      </c>
      <c r="G5612" s="1205"/>
      <c r="H5612" s="1055"/>
      <c r="I5612" s="1055"/>
      <c r="J5612" s="1055"/>
      <c r="K5612" s="1205"/>
      <c r="L5612" s="1055"/>
      <c r="M5612" s="1205"/>
      <c r="N5612" s="1054"/>
      <c r="O5612" s="1207"/>
      <c r="Q5612" s="1207"/>
    </row>
    <row r="5613" spans="3:17" s="700" customFormat="1" ht="70.5" hidden="1" customHeight="1">
      <c r="C5613" s="701"/>
      <c r="D5613" s="811"/>
      <c r="E5613" s="1276">
        <f>[11]building!Y5944</f>
        <v>0</v>
      </c>
      <c r="F5613" s="748">
        <f t="shared" si="326"/>
        <v>0</v>
      </c>
      <c r="G5613" s="1205"/>
      <c r="H5613" s="1055"/>
      <c r="I5613" s="1055"/>
      <c r="J5613" s="1055"/>
      <c r="K5613" s="1205"/>
      <c r="L5613" s="1055"/>
      <c r="M5613" s="1205"/>
      <c r="N5613" s="1054"/>
      <c r="O5613" s="1207"/>
      <c r="Q5613" s="1207"/>
    </row>
    <row r="5614" spans="3:17" s="700" customFormat="1" ht="70.5" hidden="1" customHeight="1">
      <c r="C5614" s="701"/>
      <c r="D5614" s="811"/>
      <c r="E5614" s="1276">
        <f>[11]building!Y5945</f>
        <v>0</v>
      </c>
      <c r="F5614" s="748">
        <f t="shared" si="326"/>
        <v>0</v>
      </c>
      <c r="G5614" s="1205"/>
      <c r="H5614" s="1055"/>
      <c r="I5614" s="1055"/>
      <c r="J5614" s="1055"/>
      <c r="K5614" s="1205"/>
      <c r="L5614" s="1055"/>
      <c r="M5614" s="1205"/>
      <c r="N5614" s="1054"/>
      <c r="O5614" s="1207"/>
      <c r="Q5614" s="1207"/>
    </row>
    <row r="5615" spans="3:17" s="700" customFormat="1" ht="70.5" hidden="1" customHeight="1">
      <c r="C5615" s="701"/>
      <c r="D5615" s="811"/>
      <c r="E5615" s="1276">
        <f>[11]building!Y5946</f>
        <v>0</v>
      </c>
      <c r="F5615" s="748">
        <f t="shared" si="326"/>
        <v>0</v>
      </c>
      <c r="G5615" s="1205"/>
      <c r="H5615" s="1055"/>
      <c r="I5615" s="1055"/>
      <c r="J5615" s="1055"/>
      <c r="K5615" s="1205"/>
      <c r="L5615" s="1055"/>
      <c r="M5615" s="1205"/>
      <c r="N5615" s="1054"/>
      <c r="O5615" s="1207"/>
      <c r="Q5615" s="1207"/>
    </row>
    <row r="5616" spans="3:17" s="700" customFormat="1" ht="70.5" hidden="1" customHeight="1">
      <c r="C5616" s="701"/>
      <c r="D5616" s="811"/>
      <c r="E5616" s="1276">
        <f>[11]building!Y5947</f>
        <v>0</v>
      </c>
      <c r="F5616" s="748">
        <f t="shared" si="326"/>
        <v>0</v>
      </c>
      <c r="G5616" s="1205"/>
      <c r="H5616" s="1055"/>
      <c r="I5616" s="1055"/>
      <c r="J5616" s="1055"/>
      <c r="K5616" s="1205"/>
      <c r="L5616" s="1055"/>
      <c r="M5616" s="1205"/>
      <c r="N5616" s="1054"/>
      <c r="O5616" s="1207"/>
      <c r="Q5616" s="1207"/>
    </row>
    <row r="5617" spans="3:17" s="700" customFormat="1" ht="70.5" hidden="1" customHeight="1">
      <c r="C5617" s="701"/>
      <c r="D5617" s="811"/>
      <c r="E5617" s="1276">
        <f>[11]building!Y5948</f>
        <v>0</v>
      </c>
      <c r="F5617" s="748">
        <f t="shared" si="326"/>
        <v>0</v>
      </c>
      <c r="G5617" s="1205"/>
      <c r="H5617" s="1055"/>
      <c r="I5617" s="1055"/>
      <c r="J5617" s="1055"/>
      <c r="K5617" s="1205"/>
      <c r="L5617" s="1055"/>
      <c r="M5617" s="1205"/>
      <c r="N5617" s="1054"/>
      <c r="O5617" s="1207"/>
      <c r="Q5617" s="1207"/>
    </row>
    <row r="5618" spans="3:17" s="700" customFormat="1" ht="70.5" hidden="1" customHeight="1">
      <c r="C5618" s="701"/>
      <c r="D5618" s="811"/>
      <c r="E5618" s="1276">
        <f>[11]building!Y5949</f>
        <v>0</v>
      </c>
      <c r="F5618" s="748">
        <f t="shared" si="326"/>
        <v>0</v>
      </c>
      <c r="G5618" s="1205"/>
      <c r="H5618" s="1055"/>
      <c r="I5618" s="1055"/>
      <c r="J5618" s="1055"/>
      <c r="K5618" s="1205"/>
      <c r="L5618" s="1055"/>
      <c r="M5618" s="1205"/>
      <c r="N5618" s="1054"/>
      <c r="O5618" s="1207"/>
      <c r="Q5618" s="1207"/>
    </row>
    <row r="5619" spans="3:17" s="700" customFormat="1" ht="70.5" hidden="1" customHeight="1">
      <c r="C5619" s="701"/>
      <c r="D5619" s="811"/>
      <c r="E5619" s="1276">
        <f>[11]building!Y5950</f>
        <v>0</v>
      </c>
      <c r="F5619" s="748">
        <f t="shared" si="326"/>
        <v>0</v>
      </c>
      <c r="G5619" s="1205"/>
      <c r="H5619" s="1055"/>
      <c r="I5619" s="1055"/>
      <c r="J5619" s="1055"/>
      <c r="K5619" s="1205"/>
      <c r="L5619" s="1055"/>
      <c r="M5619" s="1205"/>
      <c r="N5619" s="1054"/>
      <c r="O5619" s="1207"/>
      <c r="Q5619" s="1207"/>
    </row>
    <row r="5620" spans="3:17" s="700" customFormat="1" ht="70.5" hidden="1" customHeight="1">
      <c r="C5620" s="701"/>
      <c r="D5620" s="811"/>
      <c r="E5620" s="1276">
        <f>[11]building!Y5951</f>
        <v>0</v>
      </c>
      <c r="F5620" s="748">
        <f t="shared" si="326"/>
        <v>0</v>
      </c>
      <c r="G5620" s="1205"/>
      <c r="H5620" s="1055"/>
      <c r="I5620" s="1055"/>
      <c r="J5620" s="1055"/>
      <c r="K5620" s="1205"/>
      <c r="L5620" s="1055"/>
      <c r="M5620" s="1205"/>
      <c r="N5620" s="1054"/>
      <c r="O5620" s="1207"/>
      <c r="Q5620" s="1207"/>
    </row>
    <row r="5621" spans="3:17" s="700" customFormat="1" ht="70.5" hidden="1" customHeight="1">
      <c r="C5621" s="701"/>
      <c r="D5621" s="811"/>
      <c r="E5621" s="1276">
        <f>[11]building!Y5952</f>
        <v>0</v>
      </c>
      <c r="F5621" s="748">
        <f t="shared" si="326"/>
        <v>0</v>
      </c>
      <c r="G5621" s="1205"/>
      <c r="H5621" s="1055"/>
      <c r="I5621" s="1055"/>
      <c r="J5621" s="1055"/>
      <c r="K5621" s="1205"/>
      <c r="L5621" s="1055"/>
      <c r="M5621" s="1205"/>
      <c r="N5621" s="1054"/>
      <c r="O5621" s="1207"/>
      <c r="Q5621" s="1207"/>
    </row>
    <row r="5622" spans="3:17" s="700" customFormat="1" ht="70.5" hidden="1" customHeight="1">
      <c r="C5622" s="701"/>
      <c r="D5622" s="811"/>
      <c r="E5622" s="1276">
        <f>[11]building!Y5953</f>
        <v>0</v>
      </c>
      <c r="F5622" s="748">
        <f t="shared" si="326"/>
        <v>0</v>
      </c>
      <c r="G5622" s="1205"/>
      <c r="H5622" s="1055"/>
      <c r="I5622" s="1055"/>
      <c r="J5622" s="1055"/>
      <c r="K5622" s="1205"/>
      <c r="L5622" s="1055"/>
      <c r="M5622" s="1205"/>
      <c r="N5622" s="1054"/>
      <c r="O5622" s="1207"/>
      <c r="Q5622" s="1207"/>
    </row>
    <row r="5623" spans="3:17" s="700" customFormat="1" ht="70.5" hidden="1" customHeight="1">
      <c r="C5623" s="701"/>
      <c r="D5623" s="811"/>
      <c r="E5623" s="1276">
        <f>[11]building!Y5954</f>
        <v>0</v>
      </c>
      <c r="F5623" s="748">
        <f t="shared" si="326"/>
        <v>0</v>
      </c>
      <c r="G5623" s="1205"/>
      <c r="H5623" s="1055"/>
      <c r="I5623" s="1055"/>
      <c r="J5623" s="1055"/>
      <c r="K5623" s="1205"/>
      <c r="L5623" s="1055"/>
      <c r="M5623" s="1205"/>
      <c r="N5623" s="1054"/>
      <c r="O5623" s="1207"/>
      <c r="Q5623" s="1207"/>
    </row>
    <row r="5624" spans="3:17" s="700" customFormat="1" ht="70.5" hidden="1" customHeight="1">
      <c r="C5624" s="701"/>
      <c r="D5624" s="811"/>
      <c r="E5624" s="1276">
        <f>[11]building!Y5955</f>
        <v>0</v>
      </c>
      <c r="F5624" s="748">
        <f t="shared" si="326"/>
        <v>0</v>
      </c>
      <c r="G5624" s="1205"/>
      <c r="H5624" s="1055"/>
      <c r="I5624" s="1055"/>
      <c r="J5624" s="1055"/>
      <c r="K5624" s="1205"/>
      <c r="L5624" s="1055"/>
      <c r="M5624" s="1205"/>
      <c r="N5624" s="1054"/>
      <c r="O5624" s="1207"/>
      <c r="Q5624" s="1207"/>
    </row>
    <row r="5625" spans="3:17" s="700" customFormat="1" ht="70.5" hidden="1" customHeight="1">
      <c r="C5625" s="701"/>
      <c r="D5625" s="811"/>
      <c r="E5625" s="1276">
        <f>[11]building!Y5956</f>
        <v>0</v>
      </c>
      <c r="F5625" s="748">
        <f t="shared" si="326"/>
        <v>0</v>
      </c>
      <c r="G5625" s="1205"/>
      <c r="H5625" s="1055"/>
      <c r="I5625" s="1055"/>
      <c r="J5625" s="1055"/>
      <c r="K5625" s="1205"/>
      <c r="L5625" s="1055"/>
      <c r="M5625" s="1205"/>
      <c r="N5625" s="1054"/>
      <c r="O5625" s="1207"/>
      <c r="Q5625" s="1207"/>
    </row>
    <row r="5626" spans="3:17" s="700" customFormat="1" ht="70.5" hidden="1" customHeight="1">
      <c r="C5626" s="701"/>
      <c r="D5626" s="811"/>
      <c r="E5626" s="1276">
        <f>[11]building!Y5957</f>
        <v>0</v>
      </c>
      <c r="F5626" s="748">
        <f t="shared" si="326"/>
        <v>0</v>
      </c>
      <c r="G5626" s="1205"/>
      <c r="H5626" s="1055"/>
      <c r="I5626" s="1055"/>
      <c r="J5626" s="1055"/>
      <c r="K5626" s="1205"/>
      <c r="L5626" s="1055"/>
      <c r="M5626" s="1205"/>
      <c r="N5626" s="1054"/>
      <c r="O5626" s="1207"/>
      <c r="Q5626" s="1207"/>
    </row>
    <row r="5627" spans="3:17" s="700" customFormat="1" ht="70.5" hidden="1" customHeight="1">
      <c r="C5627" s="701"/>
      <c r="D5627" s="811"/>
      <c r="E5627" s="1276">
        <f>[11]building!Y5958</f>
        <v>0</v>
      </c>
      <c r="F5627" s="748">
        <f t="shared" si="326"/>
        <v>0</v>
      </c>
      <c r="G5627" s="1205"/>
      <c r="H5627" s="1055"/>
      <c r="I5627" s="1055"/>
      <c r="J5627" s="1055"/>
      <c r="K5627" s="1205"/>
      <c r="L5627" s="1055"/>
      <c r="M5627" s="1205"/>
      <c r="N5627" s="1054"/>
      <c r="O5627" s="1207"/>
      <c r="Q5627" s="1207"/>
    </row>
    <row r="5628" spans="3:17" s="700" customFormat="1" ht="70.5" hidden="1" customHeight="1">
      <c r="C5628" s="701"/>
      <c r="D5628" s="811"/>
      <c r="E5628" s="1276">
        <f>[11]building!Y5959</f>
        <v>0</v>
      </c>
      <c r="F5628" s="748">
        <f t="shared" si="326"/>
        <v>0</v>
      </c>
      <c r="G5628" s="1205"/>
      <c r="H5628" s="1055"/>
      <c r="I5628" s="1055"/>
      <c r="J5628" s="1055"/>
      <c r="K5628" s="1205"/>
      <c r="L5628" s="1055"/>
      <c r="M5628" s="1205"/>
      <c r="N5628" s="1054"/>
      <c r="O5628" s="1207"/>
      <c r="Q5628" s="1207"/>
    </row>
    <row r="5629" spans="3:17" s="700" customFormat="1" ht="70.5" hidden="1" customHeight="1">
      <c r="C5629" s="701"/>
      <c r="D5629" s="811"/>
      <c r="E5629" s="1276">
        <f>[11]building!Y5960</f>
        <v>0</v>
      </c>
      <c r="F5629" s="748">
        <f t="shared" si="326"/>
        <v>0</v>
      </c>
      <c r="G5629" s="1205"/>
      <c r="H5629" s="1055"/>
      <c r="I5629" s="1055"/>
      <c r="J5629" s="1055"/>
      <c r="K5629" s="1205"/>
      <c r="L5629" s="1055"/>
      <c r="M5629" s="1205"/>
      <c r="N5629" s="1054"/>
      <c r="O5629" s="1207"/>
      <c r="Q5629" s="1207"/>
    </row>
    <row r="5630" spans="3:17" s="700" customFormat="1" ht="70.5" hidden="1" customHeight="1">
      <c r="C5630" s="701"/>
      <c r="D5630" s="811"/>
      <c r="E5630" s="1276">
        <f>[11]building!Y5961</f>
        <v>0</v>
      </c>
      <c r="F5630" s="748">
        <f t="shared" si="326"/>
        <v>0</v>
      </c>
      <c r="G5630" s="1205"/>
      <c r="H5630" s="1055"/>
      <c r="I5630" s="1055"/>
      <c r="J5630" s="1055"/>
      <c r="K5630" s="1205"/>
      <c r="L5630" s="1055"/>
      <c r="M5630" s="1205"/>
      <c r="N5630" s="1054"/>
      <c r="O5630" s="1207"/>
      <c r="Q5630" s="1207"/>
    </row>
    <row r="5631" spans="3:17" s="700" customFormat="1" ht="70.5" hidden="1" customHeight="1">
      <c r="C5631" s="701"/>
      <c r="D5631" s="811"/>
      <c r="E5631" s="1276">
        <f>[11]building!Y5962</f>
        <v>0</v>
      </c>
      <c r="F5631" s="748">
        <f t="shared" si="326"/>
        <v>0</v>
      </c>
      <c r="G5631" s="1205"/>
      <c r="H5631" s="1055"/>
      <c r="I5631" s="1055"/>
      <c r="J5631" s="1055"/>
      <c r="K5631" s="1205"/>
      <c r="L5631" s="1055"/>
      <c r="M5631" s="1205"/>
      <c r="N5631" s="1054"/>
      <c r="O5631" s="1207"/>
      <c r="Q5631" s="1207"/>
    </row>
    <row r="5632" spans="3:17" s="700" customFormat="1" ht="70.5" hidden="1" customHeight="1">
      <c r="C5632" s="701"/>
      <c r="D5632" s="811"/>
      <c r="E5632" s="1276">
        <f>[11]building!Y5963</f>
        <v>0</v>
      </c>
      <c r="F5632" s="748">
        <f t="shared" ref="F5632:F5695" si="327">E5632*C5632</f>
        <v>0</v>
      </c>
      <c r="G5632" s="1205"/>
      <c r="H5632" s="1055"/>
      <c r="I5632" s="1055"/>
      <c r="J5632" s="1055"/>
      <c r="K5632" s="1205"/>
      <c r="L5632" s="1055"/>
      <c r="M5632" s="1205"/>
      <c r="N5632" s="1054"/>
      <c r="O5632" s="1207"/>
      <c r="Q5632" s="1207"/>
    </row>
    <row r="5633" spans="3:17" s="700" customFormat="1" ht="70.5" hidden="1" customHeight="1">
      <c r="C5633" s="701"/>
      <c r="D5633" s="811"/>
      <c r="E5633" s="1276">
        <f>[11]building!Y5964</f>
        <v>0</v>
      </c>
      <c r="F5633" s="748">
        <f t="shared" si="327"/>
        <v>0</v>
      </c>
      <c r="G5633" s="1205"/>
      <c r="H5633" s="1055"/>
      <c r="I5633" s="1055"/>
      <c r="J5633" s="1055"/>
      <c r="K5633" s="1205"/>
      <c r="L5633" s="1055"/>
      <c r="M5633" s="1205"/>
      <c r="N5633" s="1054"/>
      <c r="O5633" s="1207"/>
      <c r="Q5633" s="1207"/>
    </row>
    <row r="5634" spans="3:17" s="700" customFormat="1" ht="70.5" hidden="1" customHeight="1">
      <c r="C5634" s="701"/>
      <c r="D5634" s="811"/>
      <c r="E5634" s="1276">
        <f>[11]building!Y5965</f>
        <v>0</v>
      </c>
      <c r="F5634" s="748">
        <f t="shared" si="327"/>
        <v>0</v>
      </c>
      <c r="G5634" s="1205"/>
      <c r="H5634" s="1055"/>
      <c r="I5634" s="1055"/>
      <c r="J5634" s="1055"/>
      <c r="K5634" s="1205"/>
      <c r="L5634" s="1055"/>
      <c r="M5634" s="1205"/>
      <c r="N5634" s="1054"/>
      <c r="O5634" s="1207"/>
      <c r="Q5634" s="1207"/>
    </row>
    <row r="5635" spans="3:17" s="700" customFormat="1" ht="70.5" hidden="1" customHeight="1">
      <c r="C5635" s="701"/>
      <c r="D5635" s="811"/>
      <c r="E5635" s="1276">
        <f>[11]building!Y5966</f>
        <v>0</v>
      </c>
      <c r="F5635" s="748">
        <f t="shared" si="327"/>
        <v>0</v>
      </c>
      <c r="G5635" s="1205"/>
      <c r="H5635" s="1055"/>
      <c r="I5635" s="1055"/>
      <c r="J5635" s="1055"/>
      <c r="K5635" s="1205"/>
      <c r="L5635" s="1055"/>
      <c r="M5635" s="1205"/>
      <c r="N5635" s="1054"/>
      <c r="O5635" s="1207"/>
      <c r="Q5635" s="1207"/>
    </row>
    <row r="5636" spans="3:17" s="700" customFormat="1" ht="70.5" hidden="1" customHeight="1">
      <c r="C5636" s="701"/>
      <c r="D5636" s="811"/>
      <c r="E5636" s="1276">
        <f>[11]building!Y5967</f>
        <v>0</v>
      </c>
      <c r="F5636" s="748">
        <f t="shared" si="327"/>
        <v>0</v>
      </c>
      <c r="G5636" s="1205"/>
      <c r="H5636" s="1055"/>
      <c r="I5636" s="1055"/>
      <c r="J5636" s="1055"/>
      <c r="K5636" s="1205"/>
      <c r="L5636" s="1055"/>
      <c r="M5636" s="1205"/>
      <c r="N5636" s="1054"/>
      <c r="O5636" s="1207"/>
      <c r="Q5636" s="1207"/>
    </row>
    <row r="5637" spans="3:17" s="700" customFormat="1" ht="70.5" hidden="1" customHeight="1">
      <c r="C5637" s="701"/>
      <c r="D5637" s="811"/>
      <c r="E5637" s="1276">
        <f>[11]building!Y5968</f>
        <v>0</v>
      </c>
      <c r="F5637" s="748">
        <f t="shared" si="327"/>
        <v>0</v>
      </c>
      <c r="G5637" s="1205"/>
      <c r="H5637" s="1055"/>
      <c r="I5637" s="1055"/>
      <c r="J5637" s="1055"/>
      <c r="K5637" s="1205"/>
      <c r="L5637" s="1055"/>
      <c r="M5637" s="1205"/>
      <c r="N5637" s="1054"/>
      <c r="O5637" s="1207"/>
      <c r="Q5637" s="1207"/>
    </row>
    <row r="5638" spans="3:17" s="700" customFormat="1" ht="70.5" hidden="1" customHeight="1">
      <c r="C5638" s="701"/>
      <c r="D5638" s="811"/>
      <c r="E5638" s="1276">
        <f>[11]building!Y5969</f>
        <v>0</v>
      </c>
      <c r="F5638" s="748">
        <f t="shared" si="327"/>
        <v>0</v>
      </c>
      <c r="G5638" s="1205"/>
      <c r="H5638" s="1055"/>
      <c r="I5638" s="1055"/>
      <c r="J5638" s="1055"/>
      <c r="K5638" s="1205"/>
      <c r="L5638" s="1055"/>
      <c r="M5638" s="1205"/>
      <c r="N5638" s="1054"/>
      <c r="O5638" s="1207"/>
      <c r="Q5638" s="1207"/>
    </row>
    <row r="5639" spans="3:17" s="700" customFormat="1" ht="70.5" hidden="1" customHeight="1">
      <c r="C5639" s="701"/>
      <c r="D5639" s="811"/>
      <c r="E5639" s="1276">
        <f>[11]building!Y5970</f>
        <v>0</v>
      </c>
      <c r="F5639" s="748">
        <f t="shared" si="327"/>
        <v>0</v>
      </c>
      <c r="G5639" s="1205"/>
      <c r="H5639" s="1055"/>
      <c r="I5639" s="1055"/>
      <c r="J5639" s="1055"/>
      <c r="K5639" s="1205"/>
      <c r="L5639" s="1055"/>
      <c r="M5639" s="1205"/>
      <c r="N5639" s="1054"/>
      <c r="O5639" s="1207"/>
      <c r="Q5639" s="1207"/>
    </row>
    <row r="5640" spans="3:17" s="700" customFormat="1" ht="70.5" hidden="1" customHeight="1">
      <c r="C5640" s="701"/>
      <c r="D5640" s="811"/>
      <c r="E5640" s="1276">
        <f>[11]building!Y5971</f>
        <v>0</v>
      </c>
      <c r="F5640" s="748">
        <f t="shared" si="327"/>
        <v>0</v>
      </c>
      <c r="G5640" s="1205"/>
      <c r="H5640" s="1055"/>
      <c r="I5640" s="1055"/>
      <c r="J5640" s="1055"/>
      <c r="K5640" s="1205"/>
      <c r="L5640" s="1055"/>
      <c r="M5640" s="1205"/>
      <c r="N5640" s="1054"/>
      <c r="O5640" s="1207"/>
      <c r="Q5640" s="1207"/>
    </row>
    <row r="5641" spans="3:17" s="700" customFormat="1" ht="70.5" hidden="1" customHeight="1">
      <c r="C5641" s="701"/>
      <c r="D5641" s="811"/>
      <c r="E5641" s="1276">
        <f>[11]building!Y5972</f>
        <v>0</v>
      </c>
      <c r="F5641" s="748">
        <f t="shared" si="327"/>
        <v>0</v>
      </c>
      <c r="G5641" s="1205"/>
      <c r="H5641" s="1055"/>
      <c r="I5641" s="1055"/>
      <c r="J5641" s="1055"/>
      <c r="K5641" s="1205"/>
      <c r="L5641" s="1055"/>
      <c r="M5641" s="1205"/>
      <c r="N5641" s="1054"/>
      <c r="O5641" s="1207"/>
      <c r="Q5641" s="1207"/>
    </row>
    <row r="5642" spans="3:17" s="700" customFormat="1" ht="70.5" hidden="1" customHeight="1">
      <c r="C5642" s="701"/>
      <c r="D5642" s="811"/>
      <c r="E5642" s="1276">
        <f>[11]building!Y5973</f>
        <v>0</v>
      </c>
      <c r="F5642" s="748">
        <f t="shared" si="327"/>
        <v>0</v>
      </c>
      <c r="G5642" s="1205"/>
      <c r="H5642" s="1055"/>
      <c r="I5642" s="1055"/>
      <c r="J5642" s="1055"/>
      <c r="K5642" s="1205"/>
      <c r="L5642" s="1055"/>
      <c r="M5642" s="1205"/>
      <c r="N5642" s="1054"/>
      <c r="O5642" s="1207"/>
      <c r="Q5642" s="1207"/>
    </row>
    <row r="5643" spans="3:17" s="700" customFormat="1" ht="70.5" hidden="1" customHeight="1">
      <c r="C5643" s="701"/>
      <c r="D5643" s="811"/>
      <c r="E5643" s="1276">
        <f>[11]building!Y5974</f>
        <v>0</v>
      </c>
      <c r="F5643" s="748">
        <f t="shared" si="327"/>
        <v>0</v>
      </c>
      <c r="G5643" s="1205"/>
      <c r="H5643" s="1055"/>
      <c r="I5643" s="1055"/>
      <c r="J5643" s="1055"/>
      <c r="K5643" s="1205"/>
      <c r="L5643" s="1055"/>
      <c r="M5643" s="1205"/>
      <c r="N5643" s="1054"/>
      <c r="O5643" s="1207"/>
      <c r="Q5643" s="1207"/>
    </row>
    <row r="5644" spans="3:17" s="700" customFormat="1" ht="70.5" hidden="1" customHeight="1">
      <c r="C5644" s="701"/>
      <c r="D5644" s="811"/>
      <c r="E5644" s="1276">
        <f>[11]building!Y5975</f>
        <v>0</v>
      </c>
      <c r="F5644" s="748">
        <f t="shared" si="327"/>
        <v>0</v>
      </c>
      <c r="G5644" s="1205"/>
      <c r="H5644" s="1055"/>
      <c r="I5644" s="1055"/>
      <c r="J5644" s="1055"/>
      <c r="K5644" s="1205"/>
      <c r="L5644" s="1055"/>
      <c r="M5644" s="1205"/>
      <c r="N5644" s="1054"/>
      <c r="O5644" s="1207"/>
      <c r="Q5644" s="1207"/>
    </row>
    <row r="5645" spans="3:17" s="700" customFormat="1" ht="70.5" hidden="1" customHeight="1">
      <c r="C5645" s="701"/>
      <c r="D5645" s="811"/>
      <c r="E5645" s="1276">
        <f>[11]building!Y5976</f>
        <v>0</v>
      </c>
      <c r="F5645" s="748">
        <f t="shared" si="327"/>
        <v>0</v>
      </c>
      <c r="G5645" s="1205"/>
      <c r="H5645" s="1055"/>
      <c r="I5645" s="1055"/>
      <c r="J5645" s="1055"/>
      <c r="K5645" s="1205"/>
      <c r="L5645" s="1055"/>
      <c r="M5645" s="1205"/>
      <c r="N5645" s="1054"/>
      <c r="O5645" s="1207"/>
      <c r="Q5645" s="1207"/>
    </row>
    <row r="5646" spans="3:17" s="700" customFormat="1" ht="70.5" hidden="1" customHeight="1">
      <c r="C5646" s="701"/>
      <c r="D5646" s="811"/>
      <c r="E5646" s="1276">
        <f>[11]building!Y5977</f>
        <v>0</v>
      </c>
      <c r="F5646" s="748">
        <f t="shared" si="327"/>
        <v>0</v>
      </c>
      <c r="G5646" s="1205"/>
      <c r="H5646" s="1055"/>
      <c r="I5646" s="1055"/>
      <c r="J5646" s="1055"/>
      <c r="K5646" s="1205"/>
      <c r="L5646" s="1055"/>
      <c r="M5646" s="1205"/>
      <c r="N5646" s="1054"/>
      <c r="O5646" s="1207"/>
      <c r="Q5646" s="1207"/>
    </row>
    <row r="5647" spans="3:17" s="700" customFormat="1" ht="70.5" hidden="1" customHeight="1">
      <c r="C5647" s="701"/>
      <c r="D5647" s="811"/>
      <c r="E5647" s="1276">
        <f>[11]building!Y5978</f>
        <v>0</v>
      </c>
      <c r="F5647" s="748">
        <f t="shared" si="327"/>
        <v>0</v>
      </c>
      <c r="G5647" s="1205"/>
      <c r="H5647" s="1055"/>
      <c r="I5647" s="1055"/>
      <c r="J5647" s="1055"/>
      <c r="K5647" s="1205"/>
      <c r="L5647" s="1055"/>
      <c r="M5647" s="1205"/>
      <c r="N5647" s="1054"/>
      <c r="O5647" s="1207"/>
      <c r="Q5647" s="1207"/>
    </row>
    <row r="5648" spans="3:17" s="700" customFormat="1" ht="70.5" hidden="1" customHeight="1">
      <c r="C5648" s="701"/>
      <c r="D5648" s="811"/>
      <c r="E5648" s="1276">
        <f>[11]building!Y5979</f>
        <v>0</v>
      </c>
      <c r="F5648" s="748">
        <f t="shared" si="327"/>
        <v>0</v>
      </c>
      <c r="G5648" s="1205"/>
      <c r="H5648" s="1055"/>
      <c r="I5648" s="1055"/>
      <c r="J5648" s="1055"/>
      <c r="K5648" s="1205"/>
      <c r="L5648" s="1055"/>
      <c r="M5648" s="1205"/>
      <c r="N5648" s="1054"/>
      <c r="O5648" s="1207"/>
      <c r="Q5648" s="1207"/>
    </row>
    <row r="5649" spans="3:17" s="700" customFormat="1" ht="70.5" hidden="1" customHeight="1">
      <c r="C5649" s="701"/>
      <c r="D5649" s="811"/>
      <c r="E5649" s="1276">
        <f>[11]building!Y5980</f>
        <v>0</v>
      </c>
      <c r="F5649" s="748">
        <f t="shared" si="327"/>
        <v>0</v>
      </c>
      <c r="G5649" s="1205"/>
      <c r="H5649" s="1055"/>
      <c r="I5649" s="1055"/>
      <c r="J5649" s="1055"/>
      <c r="K5649" s="1205"/>
      <c r="L5649" s="1055"/>
      <c r="M5649" s="1205"/>
      <c r="N5649" s="1054"/>
      <c r="O5649" s="1207"/>
      <c r="Q5649" s="1207"/>
    </row>
    <row r="5650" spans="3:17" s="700" customFormat="1" ht="70.5" hidden="1" customHeight="1">
      <c r="C5650" s="701"/>
      <c r="D5650" s="811"/>
      <c r="E5650" s="1276">
        <f>[11]building!Y5981</f>
        <v>0</v>
      </c>
      <c r="F5650" s="748">
        <f t="shared" si="327"/>
        <v>0</v>
      </c>
      <c r="G5650" s="1205"/>
      <c r="H5650" s="1055"/>
      <c r="I5650" s="1055"/>
      <c r="J5650" s="1055"/>
      <c r="K5650" s="1205"/>
      <c r="L5650" s="1055"/>
      <c r="M5650" s="1205"/>
      <c r="N5650" s="1054"/>
      <c r="O5650" s="1207"/>
      <c r="Q5650" s="1207"/>
    </row>
    <row r="5651" spans="3:17" s="700" customFormat="1" ht="70.5" hidden="1" customHeight="1">
      <c r="C5651" s="701"/>
      <c r="D5651" s="811"/>
      <c r="E5651" s="1276">
        <f>[11]building!Y5982</f>
        <v>0</v>
      </c>
      <c r="F5651" s="748">
        <f t="shared" si="327"/>
        <v>0</v>
      </c>
      <c r="G5651" s="1205"/>
      <c r="H5651" s="1055"/>
      <c r="I5651" s="1055"/>
      <c r="J5651" s="1055"/>
      <c r="K5651" s="1205"/>
      <c r="L5651" s="1055"/>
      <c r="M5651" s="1205"/>
      <c r="N5651" s="1054"/>
      <c r="O5651" s="1207"/>
      <c r="Q5651" s="1207"/>
    </row>
    <row r="5652" spans="3:17" s="700" customFormat="1" ht="70.5" hidden="1" customHeight="1">
      <c r="C5652" s="701"/>
      <c r="D5652" s="811"/>
      <c r="E5652" s="1276">
        <f>[11]building!Y5983</f>
        <v>0</v>
      </c>
      <c r="F5652" s="748">
        <f t="shared" si="327"/>
        <v>0</v>
      </c>
      <c r="G5652" s="1205"/>
      <c r="H5652" s="1055"/>
      <c r="I5652" s="1055"/>
      <c r="J5652" s="1055"/>
      <c r="K5652" s="1205"/>
      <c r="L5652" s="1055"/>
      <c r="M5652" s="1205"/>
      <c r="N5652" s="1054"/>
      <c r="O5652" s="1207"/>
      <c r="Q5652" s="1207"/>
    </row>
    <row r="5653" spans="3:17" s="700" customFormat="1" ht="70.5" hidden="1" customHeight="1">
      <c r="C5653" s="701"/>
      <c r="D5653" s="811"/>
      <c r="E5653" s="1276">
        <f>[11]building!Y5984</f>
        <v>0</v>
      </c>
      <c r="F5653" s="748">
        <f t="shared" si="327"/>
        <v>0</v>
      </c>
      <c r="G5653" s="1205"/>
      <c r="H5653" s="1055"/>
      <c r="I5653" s="1055"/>
      <c r="J5653" s="1055"/>
      <c r="K5653" s="1205"/>
      <c r="L5653" s="1055"/>
      <c r="M5653" s="1205"/>
      <c r="N5653" s="1054"/>
      <c r="O5653" s="1207"/>
      <c r="Q5653" s="1207"/>
    </row>
    <row r="5654" spans="3:17" s="700" customFormat="1" ht="70.5" hidden="1" customHeight="1">
      <c r="C5654" s="701"/>
      <c r="D5654" s="811"/>
      <c r="E5654" s="1276">
        <f>[11]building!Y5985</f>
        <v>0</v>
      </c>
      <c r="F5654" s="748">
        <f t="shared" si="327"/>
        <v>0</v>
      </c>
      <c r="G5654" s="1205"/>
      <c r="H5654" s="1055"/>
      <c r="I5654" s="1055"/>
      <c r="J5654" s="1055"/>
      <c r="K5654" s="1205"/>
      <c r="L5654" s="1055"/>
      <c r="M5654" s="1205"/>
      <c r="N5654" s="1054"/>
      <c r="O5654" s="1207"/>
      <c r="Q5654" s="1207"/>
    </row>
    <row r="5655" spans="3:17" s="700" customFormat="1" ht="70.5" hidden="1" customHeight="1">
      <c r="C5655" s="701"/>
      <c r="D5655" s="811"/>
      <c r="E5655" s="1276">
        <f>[11]building!Y5986</f>
        <v>0</v>
      </c>
      <c r="F5655" s="748">
        <f t="shared" si="327"/>
        <v>0</v>
      </c>
      <c r="G5655" s="1205"/>
      <c r="H5655" s="1055"/>
      <c r="I5655" s="1055"/>
      <c r="J5655" s="1055"/>
      <c r="K5655" s="1205"/>
      <c r="L5655" s="1055"/>
      <c r="M5655" s="1205"/>
      <c r="N5655" s="1054"/>
      <c r="O5655" s="1207"/>
      <c r="Q5655" s="1207"/>
    </row>
    <row r="5656" spans="3:17" s="700" customFormat="1" ht="70.5" hidden="1" customHeight="1">
      <c r="C5656" s="701"/>
      <c r="D5656" s="811"/>
      <c r="E5656" s="1276">
        <f>[11]building!Y5987</f>
        <v>0</v>
      </c>
      <c r="F5656" s="748">
        <f t="shared" si="327"/>
        <v>0</v>
      </c>
      <c r="G5656" s="1205"/>
      <c r="H5656" s="1055"/>
      <c r="I5656" s="1055"/>
      <c r="J5656" s="1055"/>
      <c r="K5656" s="1205"/>
      <c r="L5656" s="1055"/>
      <c r="M5656" s="1205"/>
      <c r="N5656" s="1054"/>
      <c r="O5656" s="1207"/>
      <c r="Q5656" s="1207"/>
    </row>
    <row r="5657" spans="3:17" s="700" customFormat="1" ht="70.5" hidden="1" customHeight="1">
      <c r="C5657" s="701"/>
      <c r="D5657" s="811"/>
      <c r="E5657" s="1276">
        <f>[11]building!Y5988</f>
        <v>0</v>
      </c>
      <c r="F5657" s="748">
        <f t="shared" si="327"/>
        <v>0</v>
      </c>
      <c r="G5657" s="1205"/>
      <c r="H5657" s="1055"/>
      <c r="I5657" s="1055"/>
      <c r="J5657" s="1055"/>
      <c r="K5657" s="1205"/>
      <c r="L5657" s="1055"/>
      <c r="M5657" s="1205"/>
      <c r="N5657" s="1054"/>
      <c r="O5657" s="1207"/>
      <c r="Q5657" s="1207"/>
    </row>
    <row r="5658" spans="3:17" s="700" customFormat="1" ht="70.5" hidden="1" customHeight="1">
      <c r="C5658" s="701"/>
      <c r="D5658" s="811"/>
      <c r="E5658" s="1276">
        <f>[11]building!Y5989</f>
        <v>0</v>
      </c>
      <c r="F5658" s="748">
        <f t="shared" si="327"/>
        <v>0</v>
      </c>
      <c r="G5658" s="1205"/>
      <c r="H5658" s="1055"/>
      <c r="I5658" s="1055"/>
      <c r="J5658" s="1055"/>
      <c r="K5658" s="1205"/>
      <c r="L5658" s="1055"/>
      <c r="M5658" s="1205"/>
      <c r="N5658" s="1054"/>
      <c r="O5658" s="1207"/>
      <c r="Q5658" s="1207"/>
    </row>
    <row r="5659" spans="3:17" s="700" customFormat="1" ht="70.5" hidden="1" customHeight="1">
      <c r="C5659" s="701"/>
      <c r="D5659" s="811"/>
      <c r="E5659" s="1276">
        <f>[11]building!Y5990</f>
        <v>0</v>
      </c>
      <c r="F5659" s="748">
        <f t="shared" si="327"/>
        <v>0</v>
      </c>
      <c r="G5659" s="1205"/>
      <c r="H5659" s="1055"/>
      <c r="I5659" s="1055"/>
      <c r="J5659" s="1055"/>
      <c r="K5659" s="1205"/>
      <c r="L5659" s="1055"/>
      <c r="M5659" s="1205"/>
      <c r="N5659" s="1054"/>
      <c r="O5659" s="1207"/>
      <c r="Q5659" s="1207"/>
    </row>
    <row r="5660" spans="3:17" s="700" customFormat="1" ht="70.5" hidden="1" customHeight="1">
      <c r="C5660" s="701"/>
      <c r="D5660" s="811"/>
      <c r="E5660" s="1276">
        <f>[11]building!Y5991</f>
        <v>0</v>
      </c>
      <c r="F5660" s="748">
        <f t="shared" si="327"/>
        <v>0</v>
      </c>
      <c r="G5660" s="1205"/>
      <c r="H5660" s="1055"/>
      <c r="I5660" s="1055"/>
      <c r="J5660" s="1055"/>
      <c r="K5660" s="1205"/>
      <c r="L5660" s="1055"/>
      <c r="M5660" s="1205"/>
      <c r="N5660" s="1054"/>
      <c r="O5660" s="1207"/>
      <c r="Q5660" s="1207"/>
    </row>
    <row r="5661" spans="3:17" s="700" customFormat="1" ht="70.5" hidden="1" customHeight="1">
      <c r="C5661" s="701"/>
      <c r="D5661" s="811"/>
      <c r="E5661" s="1276">
        <f>[11]building!Y5992</f>
        <v>0</v>
      </c>
      <c r="F5661" s="748">
        <f t="shared" si="327"/>
        <v>0</v>
      </c>
      <c r="G5661" s="1205"/>
      <c r="H5661" s="1055"/>
      <c r="I5661" s="1055"/>
      <c r="J5661" s="1055"/>
      <c r="K5661" s="1205"/>
      <c r="L5661" s="1055"/>
      <c r="M5661" s="1205"/>
      <c r="N5661" s="1054"/>
      <c r="O5661" s="1207"/>
      <c r="Q5661" s="1207"/>
    </row>
    <row r="5662" spans="3:17" s="700" customFormat="1" ht="70.5" hidden="1" customHeight="1">
      <c r="C5662" s="701"/>
      <c r="D5662" s="811"/>
      <c r="E5662" s="1276">
        <f>[11]building!Y5993</f>
        <v>0</v>
      </c>
      <c r="F5662" s="748">
        <f t="shared" si="327"/>
        <v>0</v>
      </c>
      <c r="G5662" s="1205"/>
      <c r="H5662" s="1055"/>
      <c r="I5662" s="1055"/>
      <c r="J5662" s="1055"/>
      <c r="K5662" s="1205"/>
      <c r="L5662" s="1055"/>
      <c r="M5662" s="1205"/>
      <c r="N5662" s="1054"/>
      <c r="O5662" s="1207"/>
      <c r="Q5662" s="1207"/>
    </row>
    <row r="5663" spans="3:17" s="700" customFormat="1" ht="70.5" hidden="1" customHeight="1">
      <c r="C5663" s="701"/>
      <c r="D5663" s="811"/>
      <c r="E5663" s="1276">
        <f>[11]building!Y5994</f>
        <v>0</v>
      </c>
      <c r="F5663" s="748">
        <f t="shared" si="327"/>
        <v>0</v>
      </c>
      <c r="G5663" s="1205"/>
      <c r="H5663" s="1055"/>
      <c r="I5663" s="1055"/>
      <c r="J5663" s="1055"/>
      <c r="K5663" s="1205"/>
      <c r="L5663" s="1055"/>
      <c r="M5663" s="1205"/>
      <c r="N5663" s="1054"/>
      <c r="O5663" s="1207"/>
      <c r="Q5663" s="1207"/>
    </row>
    <row r="5664" spans="3:17" s="700" customFormat="1" ht="70.5" hidden="1" customHeight="1">
      <c r="C5664" s="701"/>
      <c r="D5664" s="811"/>
      <c r="E5664" s="1276">
        <f>[11]building!Y5995</f>
        <v>0</v>
      </c>
      <c r="F5664" s="748">
        <f t="shared" si="327"/>
        <v>0</v>
      </c>
      <c r="G5664" s="1205"/>
      <c r="H5664" s="1055"/>
      <c r="I5664" s="1055"/>
      <c r="J5664" s="1055"/>
      <c r="K5664" s="1205"/>
      <c r="L5664" s="1055"/>
      <c r="M5664" s="1205"/>
      <c r="N5664" s="1054"/>
      <c r="O5664" s="1207"/>
      <c r="Q5664" s="1207"/>
    </row>
    <row r="5665" spans="3:17" s="700" customFormat="1" ht="70.5" hidden="1" customHeight="1">
      <c r="C5665" s="701"/>
      <c r="D5665" s="811"/>
      <c r="E5665" s="1276">
        <f>[11]building!Y5996</f>
        <v>0</v>
      </c>
      <c r="F5665" s="748">
        <f t="shared" si="327"/>
        <v>0</v>
      </c>
      <c r="G5665" s="1205"/>
      <c r="H5665" s="1055"/>
      <c r="I5665" s="1055"/>
      <c r="J5665" s="1055"/>
      <c r="K5665" s="1205"/>
      <c r="L5665" s="1055"/>
      <c r="M5665" s="1205"/>
      <c r="N5665" s="1054"/>
      <c r="O5665" s="1207"/>
      <c r="Q5665" s="1207"/>
    </row>
    <row r="5666" spans="3:17" s="700" customFormat="1" ht="70.5" hidden="1" customHeight="1">
      <c r="C5666" s="701"/>
      <c r="D5666" s="811"/>
      <c r="E5666" s="1276">
        <f>[11]building!Y5997</f>
        <v>0</v>
      </c>
      <c r="F5666" s="748">
        <f t="shared" si="327"/>
        <v>0</v>
      </c>
      <c r="G5666" s="1205"/>
      <c r="H5666" s="1055"/>
      <c r="I5666" s="1055"/>
      <c r="J5666" s="1055"/>
      <c r="K5666" s="1205"/>
      <c r="L5666" s="1055"/>
      <c r="M5666" s="1205"/>
      <c r="N5666" s="1054"/>
      <c r="O5666" s="1207"/>
      <c r="Q5666" s="1207"/>
    </row>
    <row r="5667" spans="3:17" s="700" customFormat="1" ht="70.5" hidden="1" customHeight="1">
      <c r="C5667" s="701"/>
      <c r="D5667" s="811"/>
      <c r="E5667" s="1276">
        <f>[11]building!Y5998</f>
        <v>0</v>
      </c>
      <c r="F5667" s="748">
        <f t="shared" si="327"/>
        <v>0</v>
      </c>
      <c r="G5667" s="1205"/>
      <c r="H5667" s="1055"/>
      <c r="I5667" s="1055"/>
      <c r="J5667" s="1055"/>
      <c r="K5667" s="1205"/>
      <c r="L5667" s="1055"/>
      <c r="M5667" s="1205"/>
      <c r="N5667" s="1054"/>
      <c r="O5667" s="1207"/>
      <c r="Q5667" s="1207"/>
    </row>
    <row r="5668" spans="3:17" s="700" customFormat="1" ht="70.5" hidden="1" customHeight="1">
      <c r="C5668" s="701"/>
      <c r="D5668" s="811"/>
      <c r="E5668" s="1276">
        <f>[11]building!Y5999</f>
        <v>0</v>
      </c>
      <c r="F5668" s="748">
        <f t="shared" si="327"/>
        <v>0</v>
      </c>
      <c r="G5668" s="1205"/>
      <c r="H5668" s="1055"/>
      <c r="I5668" s="1055"/>
      <c r="J5668" s="1055"/>
      <c r="K5668" s="1205"/>
      <c r="L5668" s="1055"/>
      <c r="M5668" s="1205"/>
      <c r="N5668" s="1054"/>
      <c r="O5668" s="1207"/>
      <c r="Q5668" s="1207"/>
    </row>
    <row r="5669" spans="3:17" s="700" customFormat="1" ht="70.5" hidden="1" customHeight="1">
      <c r="C5669" s="701"/>
      <c r="D5669" s="811"/>
      <c r="E5669" s="1276">
        <f>[11]building!Y6000</f>
        <v>0</v>
      </c>
      <c r="F5669" s="748">
        <f t="shared" si="327"/>
        <v>0</v>
      </c>
      <c r="G5669" s="1205"/>
      <c r="H5669" s="1055"/>
      <c r="I5669" s="1055"/>
      <c r="J5669" s="1055"/>
      <c r="K5669" s="1205"/>
      <c r="L5669" s="1055"/>
      <c r="M5669" s="1205"/>
      <c r="N5669" s="1054"/>
      <c r="O5669" s="1207"/>
      <c r="Q5669" s="1207"/>
    </row>
    <row r="5670" spans="3:17" s="700" customFormat="1" ht="70.5" hidden="1" customHeight="1">
      <c r="C5670" s="701"/>
      <c r="D5670" s="811"/>
      <c r="E5670" s="1276">
        <f>[11]building!Y6001</f>
        <v>0</v>
      </c>
      <c r="F5670" s="748">
        <f t="shared" si="327"/>
        <v>0</v>
      </c>
      <c r="G5670" s="1205"/>
      <c r="H5670" s="1055"/>
      <c r="I5670" s="1055"/>
      <c r="J5670" s="1055"/>
      <c r="K5670" s="1205"/>
      <c r="L5670" s="1055"/>
      <c r="M5670" s="1205"/>
      <c r="N5670" s="1054"/>
      <c r="O5670" s="1207"/>
      <c r="Q5670" s="1207"/>
    </row>
    <row r="5671" spans="3:17" s="700" customFormat="1" ht="70.5" hidden="1" customHeight="1">
      <c r="C5671" s="701"/>
      <c r="D5671" s="811"/>
      <c r="E5671" s="1276">
        <f>[11]building!Y6002</f>
        <v>0</v>
      </c>
      <c r="F5671" s="748">
        <f t="shared" si="327"/>
        <v>0</v>
      </c>
      <c r="G5671" s="1205"/>
      <c r="H5671" s="1055"/>
      <c r="I5671" s="1055"/>
      <c r="J5671" s="1055"/>
      <c r="K5671" s="1205"/>
      <c r="L5671" s="1055"/>
      <c r="M5671" s="1205"/>
      <c r="N5671" s="1054"/>
      <c r="O5671" s="1207"/>
      <c r="Q5671" s="1207"/>
    </row>
    <row r="5672" spans="3:17" s="700" customFormat="1" ht="70.5" hidden="1" customHeight="1">
      <c r="C5672" s="701"/>
      <c r="D5672" s="811"/>
      <c r="E5672" s="1276">
        <f>[11]building!Y6003</f>
        <v>0</v>
      </c>
      <c r="F5672" s="748">
        <f t="shared" si="327"/>
        <v>0</v>
      </c>
      <c r="G5672" s="1205"/>
      <c r="H5672" s="1055"/>
      <c r="I5672" s="1055"/>
      <c r="J5672" s="1055"/>
      <c r="K5672" s="1205"/>
      <c r="L5672" s="1055"/>
      <c r="M5672" s="1205"/>
      <c r="N5672" s="1054"/>
      <c r="O5672" s="1207"/>
      <c r="Q5672" s="1207"/>
    </row>
    <row r="5673" spans="3:17" s="700" customFormat="1" ht="70.5" hidden="1" customHeight="1">
      <c r="C5673" s="701"/>
      <c r="D5673" s="811"/>
      <c r="E5673" s="1276">
        <f>[11]building!Y6004</f>
        <v>0</v>
      </c>
      <c r="F5673" s="748">
        <f t="shared" si="327"/>
        <v>0</v>
      </c>
      <c r="G5673" s="1205"/>
      <c r="H5673" s="1055"/>
      <c r="I5673" s="1055"/>
      <c r="J5673" s="1055"/>
      <c r="K5673" s="1205"/>
      <c r="L5673" s="1055"/>
      <c r="M5673" s="1205"/>
      <c r="N5673" s="1054"/>
      <c r="O5673" s="1207"/>
      <c r="Q5673" s="1207"/>
    </row>
    <row r="5674" spans="3:17" s="700" customFormat="1" ht="70.5" hidden="1" customHeight="1">
      <c r="C5674" s="701"/>
      <c r="D5674" s="811"/>
      <c r="E5674" s="1276">
        <f>[11]building!Y6005</f>
        <v>0</v>
      </c>
      <c r="F5674" s="748">
        <f t="shared" si="327"/>
        <v>0</v>
      </c>
      <c r="G5674" s="1205"/>
      <c r="H5674" s="1055"/>
      <c r="I5674" s="1055"/>
      <c r="J5674" s="1055"/>
      <c r="K5674" s="1205"/>
      <c r="L5674" s="1055"/>
      <c r="M5674" s="1205"/>
      <c r="N5674" s="1054"/>
      <c r="O5674" s="1207"/>
      <c r="Q5674" s="1207"/>
    </row>
    <row r="5675" spans="3:17" s="700" customFormat="1" ht="70.5" hidden="1" customHeight="1">
      <c r="C5675" s="701"/>
      <c r="D5675" s="811"/>
      <c r="E5675" s="1276">
        <f>[11]building!Y6006</f>
        <v>0</v>
      </c>
      <c r="F5675" s="748">
        <f t="shared" si="327"/>
        <v>0</v>
      </c>
      <c r="G5675" s="1205"/>
      <c r="H5675" s="1055"/>
      <c r="I5675" s="1055"/>
      <c r="J5675" s="1055"/>
      <c r="K5675" s="1205"/>
      <c r="L5675" s="1055"/>
      <c r="M5675" s="1205"/>
      <c r="N5675" s="1054"/>
      <c r="O5675" s="1207"/>
      <c r="Q5675" s="1207"/>
    </row>
    <row r="5676" spans="3:17" s="700" customFormat="1" ht="70.5" hidden="1" customHeight="1">
      <c r="C5676" s="701"/>
      <c r="D5676" s="811"/>
      <c r="E5676" s="1276">
        <f>[11]building!Y6007</f>
        <v>0</v>
      </c>
      <c r="F5676" s="748">
        <f t="shared" si="327"/>
        <v>0</v>
      </c>
      <c r="G5676" s="1205"/>
      <c r="H5676" s="1055"/>
      <c r="I5676" s="1055"/>
      <c r="J5676" s="1055"/>
      <c r="K5676" s="1205"/>
      <c r="L5676" s="1055"/>
      <c r="M5676" s="1205"/>
      <c r="N5676" s="1054"/>
      <c r="O5676" s="1207"/>
      <c r="Q5676" s="1207"/>
    </row>
    <row r="5677" spans="3:17" s="700" customFormat="1" ht="70.5" hidden="1" customHeight="1">
      <c r="C5677" s="701"/>
      <c r="D5677" s="811"/>
      <c r="E5677" s="1276">
        <f>[11]building!Y6008</f>
        <v>0</v>
      </c>
      <c r="F5677" s="748">
        <f t="shared" si="327"/>
        <v>0</v>
      </c>
      <c r="G5677" s="1205"/>
      <c r="H5677" s="1055"/>
      <c r="I5677" s="1055"/>
      <c r="J5677" s="1055"/>
      <c r="K5677" s="1205"/>
      <c r="L5677" s="1055"/>
      <c r="M5677" s="1205"/>
      <c r="N5677" s="1054"/>
      <c r="O5677" s="1207"/>
      <c r="Q5677" s="1207"/>
    </row>
    <row r="5678" spans="3:17" s="700" customFormat="1" ht="70.5" hidden="1" customHeight="1">
      <c r="C5678" s="701"/>
      <c r="D5678" s="811"/>
      <c r="E5678" s="1276">
        <f>[11]building!Y6009</f>
        <v>0</v>
      </c>
      <c r="F5678" s="748">
        <f t="shared" si="327"/>
        <v>0</v>
      </c>
      <c r="G5678" s="1205"/>
      <c r="H5678" s="1055"/>
      <c r="I5678" s="1055"/>
      <c r="J5678" s="1055"/>
      <c r="K5678" s="1205"/>
      <c r="L5678" s="1055"/>
      <c r="M5678" s="1205"/>
      <c r="N5678" s="1054"/>
      <c r="O5678" s="1207"/>
      <c r="Q5678" s="1207"/>
    </row>
    <row r="5679" spans="3:17" s="700" customFormat="1" ht="70.5" hidden="1" customHeight="1">
      <c r="C5679" s="701"/>
      <c r="D5679" s="811"/>
      <c r="E5679" s="1276">
        <f>[11]building!Y6010</f>
        <v>0</v>
      </c>
      <c r="F5679" s="748">
        <f t="shared" si="327"/>
        <v>0</v>
      </c>
      <c r="G5679" s="1205"/>
      <c r="H5679" s="1055"/>
      <c r="I5679" s="1055"/>
      <c r="J5679" s="1055"/>
      <c r="K5679" s="1205"/>
      <c r="L5679" s="1055"/>
      <c r="M5679" s="1205"/>
      <c r="N5679" s="1054"/>
      <c r="O5679" s="1207"/>
      <c r="Q5679" s="1207"/>
    </row>
    <row r="5680" spans="3:17" s="700" customFormat="1" ht="70.5" hidden="1" customHeight="1">
      <c r="C5680" s="701"/>
      <c r="D5680" s="811"/>
      <c r="E5680" s="1276">
        <f>[11]building!Y6011</f>
        <v>0</v>
      </c>
      <c r="F5680" s="748">
        <f t="shared" si="327"/>
        <v>0</v>
      </c>
      <c r="G5680" s="1205"/>
      <c r="H5680" s="1055"/>
      <c r="I5680" s="1055"/>
      <c r="J5680" s="1055"/>
      <c r="K5680" s="1205"/>
      <c r="L5680" s="1055"/>
      <c r="M5680" s="1205"/>
      <c r="N5680" s="1054"/>
      <c r="O5680" s="1207"/>
      <c r="Q5680" s="1207"/>
    </row>
    <row r="5681" spans="3:17" s="700" customFormat="1" ht="70.5" hidden="1" customHeight="1">
      <c r="C5681" s="701"/>
      <c r="D5681" s="811"/>
      <c r="E5681" s="1276">
        <f>[11]building!Y6012</f>
        <v>0</v>
      </c>
      <c r="F5681" s="748">
        <f t="shared" si="327"/>
        <v>0</v>
      </c>
      <c r="G5681" s="1205"/>
      <c r="H5681" s="1055"/>
      <c r="I5681" s="1055"/>
      <c r="J5681" s="1055"/>
      <c r="K5681" s="1205"/>
      <c r="L5681" s="1055"/>
      <c r="M5681" s="1205"/>
      <c r="N5681" s="1054"/>
      <c r="O5681" s="1207"/>
      <c r="Q5681" s="1207"/>
    </row>
    <row r="5682" spans="3:17" s="700" customFormat="1" ht="70.5" hidden="1" customHeight="1">
      <c r="C5682" s="701"/>
      <c r="D5682" s="811"/>
      <c r="E5682" s="1276">
        <f>[11]building!Y6013</f>
        <v>0</v>
      </c>
      <c r="F5682" s="748">
        <f t="shared" si="327"/>
        <v>0</v>
      </c>
      <c r="G5682" s="1205"/>
      <c r="H5682" s="1055"/>
      <c r="I5682" s="1055"/>
      <c r="J5682" s="1055"/>
      <c r="K5682" s="1205"/>
      <c r="L5682" s="1055"/>
      <c r="M5682" s="1205"/>
      <c r="N5682" s="1054"/>
      <c r="O5682" s="1207"/>
      <c r="Q5682" s="1207"/>
    </row>
    <row r="5683" spans="3:17" s="700" customFormat="1" ht="70.5" hidden="1" customHeight="1">
      <c r="C5683" s="701"/>
      <c r="D5683" s="811"/>
      <c r="E5683" s="1276">
        <f>[11]building!Y6014</f>
        <v>0</v>
      </c>
      <c r="F5683" s="748">
        <f t="shared" si="327"/>
        <v>0</v>
      </c>
      <c r="G5683" s="1205"/>
      <c r="H5683" s="1055"/>
      <c r="I5683" s="1055"/>
      <c r="J5683" s="1055"/>
      <c r="K5683" s="1205"/>
      <c r="L5683" s="1055"/>
      <c r="M5683" s="1205"/>
      <c r="N5683" s="1054"/>
      <c r="O5683" s="1207"/>
      <c r="Q5683" s="1207"/>
    </row>
    <row r="5684" spans="3:17" s="700" customFormat="1" ht="70.5" hidden="1" customHeight="1">
      <c r="C5684" s="701"/>
      <c r="D5684" s="811"/>
      <c r="E5684" s="1276">
        <f>[11]building!Y6015</f>
        <v>0</v>
      </c>
      <c r="F5684" s="748">
        <f t="shared" si="327"/>
        <v>0</v>
      </c>
      <c r="G5684" s="1205"/>
      <c r="H5684" s="1055"/>
      <c r="I5684" s="1055"/>
      <c r="J5684" s="1055"/>
      <c r="K5684" s="1205"/>
      <c r="L5684" s="1055"/>
      <c r="M5684" s="1205"/>
      <c r="N5684" s="1054"/>
      <c r="O5684" s="1207"/>
      <c r="Q5684" s="1207"/>
    </row>
    <row r="5685" spans="3:17" s="700" customFormat="1" ht="70.5" hidden="1" customHeight="1">
      <c r="C5685" s="701"/>
      <c r="D5685" s="811"/>
      <c r="E5685" s="1276">
        <f>[11]building!Y6016</f>
        <v>0</v>
      </c>
      <c r="F5685" s="748">
        <f t="shared" si="327"/>
        <v>0</v>
      </c>
      <c r="G5685" s="1205"/>
      <c r="H5685" s="1055"/>
      <c r="I5685" s="1055"/>
      <c r="J5685" s="1055"/>
      <c r="K5685" s="1205"/>
      <c r="L5685" s="1055"/>
      <c r="M5685" s="1205"/>
      <c r="N5685" s="1054"/>
      <c r="O5685" s="1207"/>
      <c r="Q5685" s="1207"/>
    </row>
    <row r="5686" spans="3:17" s="700" customFormat="1" ht="70.5" hidden="1" customHeight="1">
      <c r="C5686" s="701"/>
      <c r="D5686" s="811"/>
      <c r="E5686" s="1276">
        <f>[11]building!Y6017</f>
        <v>0</v>
      </c>
      <c r="F5686" s="748">
        <f t="shared" si="327"/>
        <v>0</v>
      </c>
      <c r="G5686" s="1205"/>
      <c r="H5686" s="1055"/>
      <c r="I5686" s="1055"/>
      <c r="J5686" s="1055"/>
      <c r="K5686" s="1205"/>
      <c r="L5686" s="1055"/>
      <c r="M5686" s="1205"/>
      <c r="N5686" s="1054"/>
      <c r="O5686" s="1207"/>
      <c r="Q5686" s="1207"/>
    </row>
    <row r="5687" spans="3:17" s="700" customFormat="1" ht="70.5" hidden="1" customHeight="1">
      <c r="C5687" s="701"/>
      <c r="D5687" s="811"/>
      <c r="E5687" s="1276">
        <f>[11]building!Y6018</f>
        <v>0</v>
      </c>
      <c r="F5687" s="748">
        <f t="shared" si="327"/>
        <v>0</v>
      </c>
      <c r="G5687" s="1205"/>
      <c r="H5687" s="1055"/>
      <c r="I5687" s="1055"/>
      <c r="J5687" s="1055"/>
      <c r="K5687" s="1205"/>
      <c r="L5687" s="1055"/>
      <c r="M5687" s="1205"/>
      <c r="N5687" s="1054"/>
      <c r="O5687" s="1207"/>
      <c r="Q5687" s="1207"/>
    </row>
    <row r="5688" spans="3:17" s="700" customFormat="1" ht="70.5" hidden="1" customHeight="1">
      <c r="C5688" s="701"/>
      <c r="D5688" s="811"/>
      <c r="E5688" s="1276">
        <f>[11]building!Y6019</f>
        <v>0</v>
      </c>
      <c r="F5688" s="748">
        <f t="shared" si="327"/>
        <v>0</v>
      </c>
      <c r="G5688" s="1205"/>
      <c r="H5688" s="1055"/>
      <c r="I5688" s="1055"/>
      <c r="J5688" s="1055"/>
      <c r="K5688" s="1205"/>
      <c r="L5688" s="1055"/>
      <c r="M5688" s="1205"/>
      <c r="N5688" s="1054"/>
      <c r="O5688" s="1207"/>
      <c r="Q5688" s="1207"/>
    </row>
    <row r="5689" spans="3:17" s="700" customFormat="1" ht="70.5" hidden="1" customHeight="1">
      <c r="C5689" s="701"/>
      <c r="D5689" s="811"/>
      <c r="E5689" s="1276">
        <f>[11]building!Y6020</f>
        <v>0</v>
      </c>
      <c r="F5689" s="748">
        <f t="shared" si="327"/>
        <v>0</v>
      </c>
      <c r="G5689" s="1205"/>
      <c r="H5689" s="1055"/>
      <c r="I5689" s="1055"/>
      <c r="J5689" s="1055"/>
      <c r="K5689" s="1205"/>
      <c r="L5689" s="1055"/>
      <c r="M5689" s="1205"/>
      <c r="N5689" s="1054"/>
      <c r="O5689" s="1207"/>
      <c r="Q5689" s="1207"/>
    </row>
    <row r="5690" spans="3:17" s="700" customFormat="1" ht="70.5" hidden="1" customHeight="1">
      <c r="C5690" s="701"/>
      <c r="D5690" s="811"/>
      <c r="E5690" s="1276">
        <f>[11]building!Y6021</f>
        <v>0</v>
      </c>
      <c r="F5690" s="748">
        <f t="shared" si="327"/>
        <v>0</v>
      </c>
      <c r="G5690" s="1205"/>
      <c r="H5690" s="1055"/>
      <c r="I5690" s="1055"/>
      <c r="J5690" s="1055"/>
      <c r="K5690" s="1205"/>
      <c r="L5690" s="1055"/>
      <c r="M5690" s="1205"/>
      <c r="N5690" s="1054"/>
      <c r="O5690" s="1207"/>
      <c r="Q5690" s="1207"/>
    </row>
    <row r="5691" spans="3:17" s="700" customFormat="1" ht="70.5" hidden="1" customHeight="1">
      <c r="C5691" s="701"/>
      <c r="D5691" s="811"/>
      <c r="E5691" s="1276">
        <f>[11]building!Y6022</f>
        <v>0</v>
      </c>
      <c r="F5691" s="748">
        <f t="shared" si="327"/>
        <v>0</v>
      </c>
      <c r="G5691" s="1205"/>
      <c r="H5691" s="1055"/>
      <c r="I5691" s="1055"/>
      <c r="J5691" s="1055"/>
      <c r="K5691" s="1205"/>
      <c r="L5691" s="1055"/>
      <c r="M5691" s="1205"/>
      <c r="N5691" s="1054"/>
      <c r="O5691" s="1207"/>
      <c r="Q5691" s="1207"/>
    </row>
    <row r="5692" spans="3:17" s="700" customFormat="1" ht="70.5" hidden="1" customHeight="1">
      <c r="C5692" s="701"/>
      <c r="D5692" s="811"/>
      <c r="E5692" s="1276">
        <f>[11]building!Y6023</f>
        <v>0</v>
      </c>
      <c r="F5692" s="748">
        <f t="shared" si="327"/>
        <v>0</v>
      </c>
      <c r="G5692" s="1205"/>
      <c r="H5692" s="1055"/>
      <c r="I5692" s="1055"/>
      <c r="J5692" s="1055"/>
      <c r="K5692" s="1205"/>
      <c r="L5692" s="1055"/>
      <c r="M5692" s="1205"/>
      <c r="N5692" s="1054"/>
      <c r="O5692" s="1207"/>
      <c r="Q5692" s="1207"/>
    </row>
    <row r="5693" spans="3:17" s="700" customFormat="1" ht="70.5" hidden="1" customHeight="1">
      <c r="C5693" s="701"/>
      <c r="D5693" s="811"/>
      <c r="E5693" s="1276">
        <f>[11]building!Y6024</f>
        <v>0</v>
      </c>
      <c r="F5693" s="748">
        <f t="shared" si="327"/>
        <v>0</v>
      </c>
      <c r="G5693" s="1205"/>
      <c r="H5693" s="1055"/>
      <c r="I5693" s="1055"/>
      <c r="J5693" s="1055"/>
      <c r="K5693" s="1205"/>
      <c r="L5693" s="1055"/>
      <c r="M5693" s="1205"/>
      <c r="N5693" s="1054"/>
      <c r="O5693" s="1207"/>
      <c r="Q5693" s="1207"/>
    </row>
    <row r="5694" spans="3:17" s="700" customFormat="1" ht="70.5" hidden="1" customHeight="1">
      <c r="C5694" s="701"/>
      <c r="D5694" s="811"/>
      <c r="E5694" s="1276">
        <f>[11]building!Y6025</f>
        <v>0</v>
      </c>
      <c r="F5694" s="748">
        <f t="shared" si="327"/>
        <v>0</v>
      </c>
      <c r="G5694" s="1205"/>
      <c r="H5694" s="1055"/>
      <c r="I5694" s="1055"/>
      <c r="J5694" s="1055"/>
      <c r="K5694" s="1205"/>
      <c r="L5694" s="1055"/>
      <c r="M5694" s="1205"/>
      <c r="N5694" s="1054"/>
      <c r="O5694" s="1207"/>
      <c r="Q5694" s="1207"/>
    </row>
    <row r="5695" spans="3:17" s="700" customFormat="1" ht="70.5" hidden="1" customHeight="1">
      <c r="C5695" s="701"/>
      <c r="D5695" s="811"/>
      <c r="E5695" s="1276">
        <f>[11]building!Y6026</f>
        <v>0</v>
      </c>
      <c r="F5695" s="748">
        <f t="shared" si="327"/>
        <v>0</v>
      </c>
      <c r="G5695" s="1205"/>
      <c r="H5695" s="1055"/>
      <c r="I5695" s="1055"/>
      <c r="J5695" s="1055"/>
      <c r="K5695" s="1205"/>
      <c r="L5695" s="1055"/>
      <c r="M5695" s="1205"/>
      <c r="N5695" s="1054"/>
      <c r="O5695" s="1207"/>
      <c r="Q5695" s="1207"/>
    </row>
    <row r="5696" spans="3:17" s="700" customFormat="1" ht="70.5" hidden="1" customHeight="1">
      <c r="C5696" s="701"/>
      <c r="D5696" s="811"/>
      <c r="E5696" s="1276">
        <f>[11]building!Y6027</f>
        <v>0</v>
      </c>
      <c r="F5696" s="748">
        <f t="shared" ref="F5696:F5759" si="328">E5696*C5696</f>
        <v>0</v>
      </c>
      <c r="G5696" s="1205"/>
      <c r="H5696" s="1055"/>
      <c r="I5696" s="1055"/>
      <c r="J5696" s="1055"/>
      <c r="K5696" s="1205"/>
      <c r="L5696" s="1055"/>
      <c r="M5696" s="1205"/>
      <c r="N5696" s="1054"/>
      <c r="O5696" s="1207"/>
      <c r="Q5696" s="1207"/>
    </row>
    <row r="5697" spans="3:17" s="700" customFormat="1" ht="70.5" hidden="1" customHeight="1">
      <c r="C5697" s="701"/>
      <c r="D5697" s="811"/>
      <c r="E5697" s="1276">
        <f>[11]building!Y6028</f>
        <v>0</v>
      </c>
      <c r="F5697" s="748">
        <f t="shared" si="328"/>
        <v>0</v>
      </c>
      <c r="G5697" s="1205"/>
      <c r="H5697" s="1055"/>
      <c r="I5697" s="1055"/>
      <c r="J5697" s="1055"/>
      <c r="K5697" s="1205"/>
      <c r="L5697" s="1055"/>
      <c r="M5697" s="1205"/>
      <c r="N5697" s="1054"/>
      <c r="O5697" s="1207"/>
      <c r="Q5697" s="1207"/>
    </row>
    <row r="5698" spans="3:17" s="700" customFormat="1" ht="70.5" hidden="1" customHeight="1">
      <c r="C5698" s="701"/>
      <c r="D5698" s="811"/>
      <c r="E5698" s="1276">
        <f>[11]building!Y6029</f>
        <v>0</v>
      </c>
      <c r="F5698" s="748">
        <f t="shared" si="328"/>
        <v>0</v>
      </c>
      <c r="G5698" s="1205"/>
      <c r="H5698" s="1055"/>
      <c r="I5698" s="1055"/>
      <c r="J5698" s="1055"/>
      <c r="K5698" s="1205"/>
      <c r="L5698" s="1055"/>
      <c r="M5698" s="1205"/>
      <c r="N5698" s="1054"/>
      <c r="O5698" s="1207"/>
      <c r="Q5698" s="1207"/>
    </row>
    <row r="5699" spans="3:17" s="700" customFormat="1" ht="70.5" hidden="1" customHeight="1">
      <c r="C5699" s="701"/>
      <c r="D5699" s="811"/>
      <c r="E5699" s="1276">
        <f>[11]building!Y6030</f>
        <v>0</v>
      </c>
      <c r="F5699" s="748">
        <f t="shared" si="328"/>
        <v>0</v>
      </c>
      <c r="G5699" s="1205"/>
      <c r="H5699" s="1055"/>
      <c r="I5699" s="1055"/>
      <c r="J5699" s="1055"/>
      <c r="K5699" s="1205"/>
      <c r="L5699" s="1055"/>
      <c r="M5699" s="1205"/>
      <c r="N5699" s="1054"/>
      <c r="O5699" s="1207"/>
      <c r="Q5699" s="1207"/>
    </row>
    <row r="5700" spans="3:17" s="700" customFormat="1" ht="70.5" hidden="1" customHeight="1">
      <c r="C5700" s="701"/>
      <c r="D5700" s="811"/>
      <c r="E5700" s="1276">
        <f>[11]building!Y6031</f>
        <v>0</v>
      </c>
      <c r="F5700" s="748">
        <f t="shared" si="328"/>
        <v>0</v>
      </c>
      <c r="G5700" s="1205"/>
      <c r="H5700" s="1055"/>
      <c r="I5700" s="1055"/>
      <c r="J5700" s="1055"/>
      <c r="K5700" s="1205"/>
      <c r="L5700" s="1055"/>
      <c r="M5700" s="1205"/>
      <c r="N5700" s="1054"/>
      <c r="O5700" s="1207"/>
      <c r="Q5700" s="1207"/>
    </row>
    <row r="5701" spans="3:17" s="700" customFormat="1" ht="70.5" hidden="1" customHeight="1">
      <c r="C5701" s="701"/>
      <c r="D5701" s="811"/>
      <c r="E5701" s="1276">
        <f>[11]building!Y6032</f>
        <v>0</v>
      </c>
      <c r="F5701" s="748">
        <f t="shared" si="328"/>
        <v>0</v>
      </c>
      <c r="G5701" s="1205"/>
      <c r="H5701" s="1055"/>
      <c r="I5701" s="1055"/>
      <c r="J5701" s="1055"/>
      <c r="K5701" s="1205"/>
      <c r="L5701" s="1055"/>
      <c r="M5701" s="1205"/>
      <c r="N5701" s="1054"/>
      <c r="O5701" s="1207"/>
      <c r="Q5701" s="1207"/>
    </row>
    <row r="5702" spans="3:17" s="700" customFormat="1" ht="70.5" hidden="1" customHeight="1">
      <c r="C5702" s="701"/>
      <c r="D5702" s="811"/>
      <c r="E5702" s="1276">
        <f>[11]building!Y6033</f>
        <v>0</v>
      </c>
      <c r="F5702" s="748">
        <f t="shared" si="328"/>
        <v>0</v>
      </c>
      <c r="G5702" s="1205"/>
      <c r="H5702" s="1055"/>
      <c r="I5702" s="1055"/>
      <c r="J5702" s="1055"/>
      <c r="K5702" s="1205"/>
      <c r="L5702" s="1055"/>
      <c r="M5702" s="1205"/>
      <c r="N5702" s="1054"/>
      <c r="O5702" s="1207"/>
      <c r="Q5702" s="1207"/>
    </row>
    <row r="5703" spans="3:17" s="700" customFormat="1" ht="70.5" hidden="1" customHeight="1">
      <c r="C5703" s="701"/>
      <c r="D5703" s="811"/>
      <c r="E5703" s="1276">
        <f>[11]building!Y6034</f>
        <v>0</v>
      </c>
      <c r="F5703" s="748">
        <f t="shared" si="328"/>
        <v>0</v>
      </c>
      <c r="G5703" s="1205"/>
      <c r="H5703" s="1055"/>
      <c r="I5703" s="1055"/>
      <c r="J5703" s="1055"/>
      <c r="K5703" s="1205"/>
      <c r="L5703" s="1055"/>
      <c r="M5703" s="1205"/>
      <c r="N5703" s="1054"/>
      <c r="O5703" s="1207"/>
      <c r="Q5703" s="1207"/>
    </row>
    <row r="5704" spans="3:17" s="700" customFormat="1" ht="70.5" hidden="1" customHeight="1">
      <c r="C5704" s="701"/>
      <c r="D5704" s="811"/>
      <c r="E5704" s="1276">
        <f>[11]building!Y6035</f>
        <v>0</v>
      </c>
      <c r="F5704" s="748">
        <f t="shared" si="328"/>
        <v>0</v>
      </c>
      <c r="G5704" s="1205"/>
      <c r="H5704" s="1055"/>
      <c r="I5704" s="1055"/>
      <c r="J5704" s="1055"/>
      <c r="K5704" s="1205"/>
      <c r="L5704" s="1055"/>
      <c r="M5704" s="1205"/>
      <c r="N5704" s="1054"/>
      <c r="O5704" s="1207"/>
      <c r="Q5704" s="1207"/>
    </row>
    <row r="5705" spans="3:17" s="700" customFormat="1" ht="70.5" hidden="1" customHeight="1">
      <c r="C5705" s="701"/>
      <c r="D5705" s="811"/>
      <c r="E5705" s="1276">
        <f>[11]building!Y6036</f>
        <v>0</v>
      </c>
      <c r="F5705" s="748">
        <f t="shared" si="328"/>
        <v>0</v>
      </c>
      <c r="G5705" s="1205"/>
      <c r="H5705" s="1055"/>
      <c r="I5705" s="1055"/>
      <c r="J5705" s="1055"/>
      <c r="K5705" s="1205"/>
      <c r="L5705" s="1055"/>
      <c r="M5705" s="1205"/>
      <c r="N5705" s="1054"/>
      <c r="O5705" s="1207"/>
      <c r="Q5705" s="1207"/>
    </row>
    <row r="5706" spans="3:17" s="700" customFormat="1" ht="70.5" hidden="1" customHeight="1">
      <c r="C5706" s="701"/>
      <c r="D5706" s="811"/>
      <c r="E5706" s="1276">
        <f>[11]building!Y6037</f>
        <v>0</v>
      </c>
      <c r="F5706" s="748">
        <f t="shared" si="328"/>
        <v>0</v>
      </c>
      <c r="G5706" s="1205"/>
      <c r="H5706" s="1055"/>
      <c r="I5706" s="1055"/>
      <c r="J5706" s="1055"/>
      <c r="K5706" s="1205"/>
      <c r="L5706" s="1055"/>
      <c r="M5706" s="1205"/>
      <c r="N5706" s="1054"/>
      <c r="O5706" s="1207"/>
      <c r="Q5706" s="1207"/>
    </row>
    <row r="5707" spans="3:17" s="700" customFormat="1" ht="70.5" hidden="1" customHeight="1">
      <c r="C5707" s="701"/>
      <c r="D5707" s="811"/>
      <c r="E5707" s="1276">
        <f>[11]building!Y6038</f>
        <v>0</v>
      </c>
      <c r="F5707" s="748">
        <f t="shared" si="328"/>
        <v>0</v>
      </c>
      <c r="G5707" s="1205"/>
      <c r="H5707" s="1055"/>
      <c r="I5707" s="1055"/>
      <c r="J5707" s="1055"/>
      <c r="K5707" s="1205"/>
      <c r="L5707" s="1055"/>
      <c r="M5707" s="1205"/>
      <c r="N5707" s="1054"/>
      <c r="O5707" s="1207"/>
      <c r="Q5707" s="1207"/>
    </row>
    <row r="5708" spans="3:17" s="700" customFormat="1" ht="70.5" hidden="1" customHeight="1">
      <c r="C5708" s="701"/>
      <c r="D5708" s="811"/>
      <c r="E5708" s="1276">
        <f>[11]building!Y6039</f>
        <v>0</v>
      </c>
      <c r="F5708" s="748">
        <f t="shared" si="328"/>
        <v>0</v>
      </c>
      <c r="G5708" s="1205"/>
      <c r="H5708" s="1055"/>
      <c r="I5708" s="1055"/>
      <c r="J5708" s="1055"/>
      <c r="K5708" s="1205"/>
      <c r="L5708" s="1055"/>
      <c r="M5708" s="1205"/>
      <c r="N5708" s="1054"/>
      <c r="O5708" s="1207"/>
      <c r="Q5708" s="1207"/>
    </row>
    <row r="5709" spans="3:17" s="700" customFormat="1" ht="70.5" hidden="1" customHeight="1">
      <c r="C5709" s="701"/>
      <c r="D5709" s="811"/>
      <c r="E5709" s="1276">
        <f>[11]building!Y6040</f>
        <v>0</v>
      </c>
      <c r="F5709" s="748">
        <f t="shared" si="328"/>
        <v>0</v>
      </c>
      <c r="G5709" s="1205"/>
      <c r="H5709" s="1055"/>
      <c r="I5709" s="1055"/>
      <c r="J5709" s="1055"/>
      <c r="K5709" s="1205"/>
      <c r="L5709" s="1055"/>
      <c r="M5709" s="1205"/>
      <c r="N5709" s="1054"/>
      <c r="O5709" s="1207"/>
      <c r="Q5709" s="1207"/>
    </row>
    <row r="5710" spans="3:17" s="700" customFormat="1" ht="70.5" hidden="1" customHeight="1">
      <c r="C5710" s="701"/>
      <c r="D5710" s="811"/>
      <c r="E5710" s="1276">
        <f>[11]building!Y6041</f>
        <v>0</v>
      </c>
      <c r="F5710" s="748">
        <f t="shared" si="328"/>
        <v>0</v>
      </c>
      <c r="G5710" s="1205"/>
      <c r="H5710" s="1055"/>
      <c r="I5710" s="1055"/>
      <c r="J5710" s="1055"/>
      <c r="K5710" s="1205"/>
      <c r="L5710" s="1055"/>
      <c r="M5710" s="1205"/>
      <c r="N5710" s="1054"/>
      <c r="O5710" s="1207"/>
      <c r="Q5710" s="1207"/>
    </row>
    <row r="5711" spans="3:17" s="700" customFormat="1" ht="70.5" hidden="1" customHeight="1">
      <c r="C5711" s="701"/>
      <c r="D5711" s="811"/>
      <c r="E5711" s="1276">
        <f>[11]building!Y6042</f>
        <v>0</v>
      </c>
      <c r="F5711" s="748">
        <f t="shared" si="328"/>
        <v>0</v>
      </c>
      <c r="G5711" s="1205"/>
      <c r="H5711" s="1055"/>
      <c r="I5711" s="1055"/>
      <c r="J5711" s="1055"/>
      <c r="K5711" s="1205"/>
      <c r="L5711" s="1055"/>
      <c r="M5711" s="1205"/>
      <c r="N5711" s="1054"/>
      <c r="O5711" s="1207"/>
      <c r="Q5711" s="1207"/>
    </row>
    <row r="5712" spans="3:17" s="700" customFormat="1" ht="70.5" hidden="1" customHeight="1">
      <c r="C5712" s="701"/>
      <c r="D5712" s="811"/>
      <c r="E5712" s="1276">
        <f>[11]building!Y6043</f>
        <v>0</v>
      </c>
      <c r="F5712" s="748">
        <f t="shared" si="328"/>
        <v>0</v>
      </c>
      <c r="G5712" s="1205"/>
      <c r="H5712" s="1055"/>
      <c r="I5712" s="1055"/>
      <c r="J5712" s="1055"/>
      <c r="K5712" s="1205"/>
      <c r="L5712" s="1055"/>
      <c r="M5712" s="1205"/>
      <c r="N5712" s="1054"/>
      <c r="O5712" s="1207"/>
      <c r="Q5712" s="1207"/>
    </row>
    <row r="5713" spans="3:17" s="700" customFormat="1" ht="70.5" hidden="1" customHeight="1">
      <c r="C5713" s="701"/>
      <c r="D5713" s="811"/>
      <c r="E5713" s="1276">
        <f>[11]building!Y6044</f>
        <v>0</v>
      </c>
      <c r="F5713" s="748">
        <f t="shared" si="328"/>
        <v>0</v>
      </c>
      <c r="G5713" s="1205"/>
      <c r="H5713" s="1055"/>
      <c r="I5713" s="1055"/>
      <c r="J5713" s="1055"/>
      <c r="K5713" s="1205"/>
      <c r="L5713" s="1055"/>
      <c r="M5713" s="1205"/>
      <c r="N5713" s="1054"/>
      <c r="O5713" s="1207"/>
      <c r="Q5713" s="1207"/>
    </row>
    <row r="5714" spans="3:17" s="700" customFormat="1" ht="70.5" hidden="1" customHeight="1">
      <c r="C5714" s="701"/>
      <c r="D5714" s="811"/>
      <c r="E5714" s="1276">
        <f>[11]building!Y6045</f>
        <v>0</v>
      </c>
      <c r="F5714" s="748">
        <f t="shared" si="328"/>
        <v>0</v>
      </c>
      <c r="G5714" s="1205"/>
      <c r="H5714" s="1055"/>
      <c r="I5714" s="1055"/>
      <c r="J5714" s="1055"/>
      <c r="K5714" s="1205"/>
      <c r="L5714" s="1055"/>
      <c r="M5714" s="1205"/>
      <c r="N5714" s="1054"/>
      <c r="O5714" s="1207"/>
      <c r="Q5714" s="1207"/>
    </row>
    <row r="5715" spans="3:17" s="700" customFormat="1" ht="70.5" hidden="1" customHeight="1">
      <c r="C5715" s="701"/>
      <c r="D5715" s="811"/>
      <c r="E5715" s="1276">
        <f>[11]building!Y6046</f>
        <v>0</v>
      </c>
      <c r="F5715" s="748">
        <f t="shared" si="328"/>
        <v>0</v>
      </c>
      <c r="G5715" s="1205"/>
      <c r="H5715" s="1055"/>
      <c r="I5715" s="1055"/>
      <c r="J5715" s="1055"/>
      <c r="K5715" s="1205"/>
      <c r="L5715" s="1055"/>
      <c r="M5715" s="1205"/>
      <c r="N5715" s="1054"/>
      <c r="O5715" s="1207"/>
      <c r="Q5715" s="1207"/>
    </row>
    <row r="5716" spans="3:17" s="700" customFormat="1" ht="70.5" hidden="1" customHeight="1">
      <c r="C5716" s="701"/>
      <c r="D5716" s="811"/>
      <c r="E5716" s="1276">
        <f>[11]building!Y6047</f>
        <v>0</v>
      </c>
      <c r="F5716" s="748">
        <f t="shared" si="328"/>
        <v>0</v>
      </c>
      <c r="G5716" s="1205"/>
      <c r="H5716" s="1055"/>
      <c r="I5716" s="1055"/>
      <c r="J5716" s="1055"/>
      <c r="K5716" s="1205"/>
      <c r="L5716" s="1055"/>
      <c r="M5716" s="1205"/>
      <c r="N5716" s="1054"/>
      <c r="O5716" s="1207"/>
      <c r="Q5716" s="1207"/>
    </row>
    <row r="5717" spans="3:17" s="700" customFormat="1" ht="70.5" hidden="1" customHeight="1">
      <c r="C5717" s="701"/>
      <c r="D5717" s="811"/>
      <c r="E5717" s="1276">
        <f>[11]building!Y6048</f>
        <v>0</v>
      </c>
      <c r="F5717" s="748">
        <f t="shared" si="328"/>
        <v>0</v>
      </c>
      <c r="G5717" s="1205"/>
      <c r="H5717" s="1055"/>
      <c r="I5717" s="1055"/>
      <c r="J5717" s="1055"/>
      <c r="K5717" s="1205"/>
      <c r="L5717" s="1055"/>
      <c r="M5717" s="1205"/>
      <c r="N5717" s="1054"/>
      <c r="O5717" s="1207"/>
      <c r="Q5717" s="1207"/>
    </row>
    <row r="5718" spans="3:17" s="700" customFormat="1" ht="70.5" hidden="1" customHeight="1">
      <c r="C5718" s="701"/>
      <c r="D5718" s="811"/>
      <c r="E5718" s="1276">
        <f>[11]building!Y6049</f>
        <v>0</v>
      </c>
      <c r="F5718" s="748">
        <f t="shared" si="328"/>
        <v>0</v>
      </c>
      <c r="G5718" s="1205"/>
      <c r="H5718" s="1055"/>
      <c r="I5718" s="1055"/>
      <c r="J5718" s="1055"/>
      <c r="K5718" s="1205"/>
      <c r="L5718" s="1055"/>
      <c r="M5718" s="1205"/>
      <c r="N5718" s="1054"/>
      <c r="O5718" s="1207"/>
      <c r="Q5718" s="1207"/>
    </row>
    <row r="5719" spans="3:17" s="700" customFormat="1" ht="70.5" hidden="1" customHeight="1">
      <c r="C5719" s="701"/>
      <c r="D5719" s="811"/>
      <c r="E5719" s="1276">
        <f>[11]building!Y6050</f>
        <v>0</v>
      </c>
      <c r="F5719" s="748">
        <f t="shared" si="328"/>
        <v>0</v>
      </c>
      <c r="G5719" s="1205"/>
      <c r="H5719" s="1055"/>
      <c r="I5719" s="1055"/>
      <c r="J5719" s="1055"/>
      <c r="K5719" s="1205"/>
      <c r="L5719" s="1055"/>
      <c r="M5719" s="1205"/>
      <c r="N5719" s="1054"/>
      <c r="O5719" s="1207"/>
      <c r="Q5719" s="1207"/>
    </row>
    <row r="5720" spans="3:17" s="700" customFormat="1" ht="70.5" hidden="1" customHeight="1">
      <c r="C5720" s="701"/>
      <c r="D5720" s="811"/>
      <c r="E5720" s="1276">
        <f>[11]building!Y6051</f>
        <v>0</v>
      </c>
      <c r="F5720" s="748">
        <f t="shared" si="328"/>
        <v>0</v>
      </c>
      <c r="G5720" s="1205"/>
      <c r="H5720" s="1055"/>
      <c r="I5720" s="1055"/>
      <c r="J5720" s="1055"/>
      <c r="K5720" s="1205"/>
      <c r="L5720" s="1055"/>
      <c r="M5720" s="1205"/>
      <c r="N5720" s="1054"/>
      <c r="O5720" s="1207"/>
      <c r="Q5720" s="1207"/>
    </row>
    <row r="5721" spans="3:17" s="700" customFormat="1" ht="70.5" hidden="1" customHeight="1">
      <c r="C5721" s="701"/>
      <c r="D5721" s="811"/>
      <c r="E5721" s="1276">
        <f>[11]building!Y6052</f>
        <v>0</v>
      </c>
      <c r="F5721" s="748">
        <f t="shared" si="328"/>
        <v>0</v>
      </c>
      <c r="G5721" s="1205"/>
      <c r="H5721" s="1055"/>
      <c r="I5721" s="1055"/>
      <c r="J5721" s="1055"/>
      <c r="K5721" s="1205"/>
      <c r="L5721" s="1055"/>
      <c r="M5721" s="1205"/>
      <c r="N5721" s="1054"/>
      <c r="O5721" s="1207"/>
      <c r="Q5721" s="1207"/>
    </row>
    <row r="5722" spans="3:17" s="700" customFormat="1" ht="70.5" hidden="1" customHeight="1">
      <c r="C5722" s="701"/>
      <c r="D5722" s="811"/>
      <c r="E5722" s="1276">
        <f>[11]building!Y6053</f>
        <v>0</v>
      </c>
      <c r="F5722" s="748">
        <f t="shared" si="328"/>
        <v>0</v>
      </c>
      <c r="G5722" s="1205"/>
      <c r="H5722" s="1055"/>
      <c r="I5722" s="1055"/>
      <c r="J5722" s="1055"/>
      <c r="K5722" s="1205"/>
      <c r="L5722" s="1055"/>
      <c r="M5722" s="1205"/>
      <c r="N5722" s="1054"/>
      <c r="O5722" s="1207"/>
      <c r="Q5722" s="1207"/>
    </row>
    <row r="5723" spans="3:17" s="700" customFormat="1" ht="70.5" hidden="1" customHeight="1">
      <c r="C5723" s="701"/>
      <c r="D5723" s="811"/>
      <c r="E5723" s="1276">
        <f>[11]building!Y6054</f>
        <v>0</v>
      </c>
      <c r="F5723" s="748">
        <f t="shared" si="328"/>
        <v>0</v>
      </c>
      <c r="G5723" s="1205"/>
      <c r="H5723" s="1055"/>
      <c r="I5723" s="1055"/>
      <c r="J5723" s="1055"/>
      <c r="K5723" s="1205"/>
      <c r="L5723" s="1055"/>
      <c r="M5723" s="1205"/>
      <c r="N5723" s="1054"/>
      <c r="O5723" s="1207"/>
      <c r="Q5723" s="1207"/>
    </row>
    <row r="5724" spans="3:17" s="700" customFormat="1" ht="70.5" hidden="1" customHeight="1">
      <c r="C5724" s="701"/>
      <c r="D5724" s="811"/>
      <c r="E5724" s="1276">
        <f>[11]building!Y6055</f>
        <v>0</v>
      </c>
      <c r="F5724" s="748">
        <f t="shared" si="328"/>
        <v>0</v>
      </c>
      <c r="G5724" s="1205"/>
      <c r="H5724" s="1055"/>
      <c r="I5724" s="1055"/>
      <c r="J5724" s="1055"/>
      <c r="K5724" s="1205"/>
      <c r="L5724" s="1055"/>
      <c r="M5724" s="1205"/>
      <c r="N5724" s="1054"/>
      <c r="O5724" s="1207"/>
      <c r="Q5724" s="1207"/>
    </row>
    <row r="5725" spans="3:17" s="700" customFormat="1" ht="70.5" hidden="1" customHeight="1">
      <c r="C5725" s="701"/>
      <c r="D5725" s="811"/>
      <c r="E5725" s="1276">
        <f>[11]building!Y6056</f>
        <v>0</v>
      </c>
      <c r="F5725" s="748">
        <f t="shared" si="328"/>
        <v>0</v>
      </c>
      <c r="G5725" s="1205"/>
      <c r="H5725" s="1055"/>
      <c r="I5725" s="1055"/>
      <c r="J5725" s="1055"/>
      <c r="K5725" s="1205"/>
      <c r="L5725" s="1055"/>
      <c r="M5725" s="1205"/>
      <c r="N5725" s="1054"/>
      <c r="O5725" s="1207"/>
      <c r="Q5725" s="1207"/>
    </row>
    <row r="5726" spans="3:17" s="700" customFormat="1" ht="70.5" hidden="1" customHeight="1">
      <c r="C5726" s="701"/>
      <c r="D5726" s="811"/>
      <c r="E5726" s="1276">
        <f>[11]building!Y6057</f>
        <v>0</v>
      </c>
      <c r="F5726" s="748">
        <f t="shared" si="328"/>
        <v>0</v>
      </c>
      <c r="G5726" s="1205"/>
      <c r="H5726" s="1055"/>
      <c r="I5726" s="1055"/>
      <c r="J5726" s="1055"/>
      <c r="K5726" s="1205"/>
      <c r="L5726" s="1055"/>
      <c r="M5726" s="1205"/>
      <c r="N5726" s="1054"/>
      <c r="O5726" s="1207"/>
      <c r="Q5726" s="1207"/>
    </row>
    <row r="5727" spans="3:17" s="700" customFormat="1" ht="70.5" hidden="1" customHeight="1">
      <c r="C5727" s="701"/>
      <c r="D5727" s="811"/>
      <c r="E5727" s="1276">
        <f>[11]building!Y6058</f>
        <v>0</v>
      </c>
      <c r="F5727" s="748">
        <f t="shared" si="328"/>
        <v>0</v>
      </c>
      <c r="G5727" s="1205"/>
      <c r="H5727" s="1055"/>
      <c r="I5727" s="1055"/>
      <c r="J5727" s="1055"/>
      <c r="K5727" s="1205"/>
      <c r="L5727" s="1055"/>
      <c r="M5727" s="1205"/>
      <c r="N5727" s="1054"/>
      <c r="O5727" s="1207"/>
      <c r="Q5727" s="1207"/>
    </row>
    <row r="5728" spans="3:17" s="700" customFormat="1" ht="70.5" hidden="1" customHeight="1">
      <c r="C5728" s="701"/>
      <c r="D5728" s="811"/>
      <c r="E5728" s="1276">
        <f>[11]building!Y6059</f>
        <v>0</v>
      </c>
      <c r="F5728" s="748">
        <f t="shared" si="328"/>
        <v>0</v>
      </c>
      <c r="G5728" s="1205"/>
      <c r="H5728" s="1055"/>
      <c r="I5728" s="1055"/>
      <c r="J5728" s="1055"/>
      <c r="K5728" s="1205"/>
      <c r="L5728" s="1055"/>
      <c r="M5728" s="1205"/>
      <c r="N5728" s="1054"/>
      <c r="O5728" s="1207"/>
      <c r="Q5728" s="1207"/>
    </row>
    <row r="5729" spans="3:17" s="700" customFormat="1" ht="70.5" hidden="1" customHeight="1">
      <c r="C5729" s="701"/>
      <c r="D5729" s="811"/>
      <c r="E5729" s="1276">
        <f>[11]building!Y6060</f>
        <v>0</v>
      </c>
      <c r="F5729" s="748">
        <f t="shared" si="328"/>
        <v>0</v>
      </c>
      <c r="G5729" s="1205"/>
      <c r="H5729" s="1055"/>
      <c r="I5729" s="1055"/>
      <c r="J5729" s="1055"/>
      <c r="K5729" s="1205"/>
      <c r="L5729" s="1055"/>
      <c r="M5729" s="1205"/>
      <c r="N5729" s="1054"/>
      <c r="O5729" s="1207"/>
      <c r="Q5729" s="1207"/>
    </row>
    <row r="5730" spans="3:17" s="700" customFormat="1" ht="70.5" hidden="1" customHeight="1">
      <c r="C5730" s="701"/>
      <c r="D5730" s="811"/>
      <c r="E5730" s="1276">
        <f>[11]building!Y6061</f>
        <v>0</v>
      </c>
      <c r="F5730" s="748">
        <f t="shared" si="328"/>
        <v>0</v>
      </c>
      <c r="G5730" s="1205"/>
      <c r="H5730" s="1055"/>
      <c r="I5730" s="1055"/>
      <c r="J5730" s="1055"/>
      <c r="K5730" s="1205"/>
      <c r="L5730" s="1055"/>
      <c r="M5730" s="1205"/>
      <c r="N5730" s="1054"/>
      <c r="O5730" s="1207"/>
      <c r="Q5730" s="1207"/>
    </row>
    <row r="5731" spans="3:17" s="700" customFormat="1" ht="70.5" hidden="1" customHeight="1">
      <c r="C5731" s="701"/>
      <c r="D5731" s="811"/>
      <c r="E5731" s="1276">
        <f>[11]building!Y6062</f>
        <v>0</v>
      </c>
      <c r="F5731" s="748">
        <f t="shared" si="328"/>
        <v>0</v>
      </c>
      <c r="G5731" s="1205"/>
      <c r="H5731" s="1055"/>
      <c r="I5731" s="1055"/>
      <c r="J5731" s="1055"/>
      <c r="K5731" s="1205"/>
      <c r="L5731" s="1055"/>
      <c r="M5731" s="1205"/>
      <c r="N5731" s="1054"/>
      <c r="O5731" s="1207"/>
      <c r="Q5731" s="1207"/>
    </row>
    <row r="5732" spans="3:17" s="700" customFormat="1" ht="70.5" hidden="1" customHeight="1">
      <c r="C5732" s="701"/>
      <c r="D5732" s="811"/>
      <c r="E5732" s="1276">
        <f>[11]building!Y6063</f>
        <v>0</v>
      </c>
      <c r="F5732" s="748">
        <f t="shared" si="328"/>
        <v>0</v>
      </c>
      <c r="G5732" s="1205"/>
      <c r="H5732" s="1055"/>
      <c r="I5732" s="1055"/>
      <c r="J5732" s="1055"/>
      <c r="K5732" s="1205"/>
      <c r="L5732" s="1055"/>
      <c r="M5732" s="1205"/>
      <c r="N5732" s="1054"/>
      <c r="O5732" s="1207"/>
      <c r="Q5732" s="1207"/>
    </row>
    <row r="5733" spans="3:17" s="700" customFormat="1" ht="70.5" hidden="1" customHeight="1">
      <c r="C5733" s="701"/>
      <c r="D5733" s="811"/>
      <c r="E5733" s="1276">
        <f>[11]building!Y6064</f>
        <v>0</v>
      </c>
      <c r="F5733" s="748">
        <f t="shared" si="328"/>
        <v>0</v>
      </c>
      <c r="G5733" s="1205"/>
      <c r="H5733" s="1055"/>
      <c r="I5733" s="1055"/>
      <c r="J5733" s="1055"/>
      <c r="K5733" s="1205"/>
      <c r="L5733" s="1055"/>
      <c r="M5733" s="1205"/>
      <c r="N5733" s="1054"/>
      <c r="O5733" s="1207"/>
      <c r="Q5733" s="1207"/>
    </row>
    <row r="5734" spans="3:17" s="700" customFormat="1" ht="70.5" hidden="1" customHeight="1">
      <c r="C5734" s="701"/>
      <c r="D5734" s="811"/>
      <c r="E5734" s="1276">
        <f>[11]building!Y6065</f>
        <v>0</v>
      </c>
      <c r="F5734" s="748">
        <f t="shared" si="328"/>
        <v>0</v>
      </c>
      <c r="G5734" s="1205"/>
      <c r="H5734" s="1055"/>
      <c r="I5734" s="1055"/>
      <c r="J5734" s="1055"/>
      <c r="K5734" s="1205"/>
      <c r="L5734" s="1055"/>
      <c r="M5734" s="1205"/>
      <c r="N5734" s="1054"/>
      <c r="O5734" s="1207"/>
      <c r="Q5734" s="1207"/>
    </row>
    <row r="5735" spans="3:17" s="700" customFormat="1" ht="70.5" hidden="1" customHeight="1">
      <c r="C5735" s="701"/>
      <c r="D5735" s="811"/>
      <c r="E5735" s="1276">
        <f>[11]building!Y6066</f>
        <v>0</v>
      </c>
      <c r="F5735" s="748">
        <f t="shared" si="328"/>
        <v>0</v>
      </c>
      <c r="G5735" s="1205"/>
      <c r="H5735" s="1055"/>
      <c r="I5735" s="1055"/>
      <c r="J5735" s="1055"/>
      <c r="K5735" s="1205"/>
      <c r="L5735" s="1055"/>
      <c r="M5735" s="1205"/>
      <c r="N5735" s="1054"/>
      <c r="O5735" s="1207"/>
      <c r="Q5735" s="1207"/>
    </row>
    <row r="5736" spans="3:17" s="700" customFormat="1" ht="70.5" hidden="1" customHeight="1">
      <c r="C5736" s="701"/>
      <c r="D5736" s="811"/>
      <c r="E5736" s="1276">
        <f>[11]building!Y6067</f>
        <v>0</v>
      </c>
      <c r="F5736" s="748">
        <f t="shared" si="328"/>
        <v>0</v>
      </c>
      <c r="G5736" s="1205"/>
      <c r="H5736" s="1055"/>
      <c r="I5736" s="1055"/>
      <c r="J5736" s="1055"/>
      <c r="K5736" s="1205"/>
      <c r="L5736" s="1055"/>
      <c r="M5736" s="1205"/>
      <c r="N5736" s="1054"/>
      <c r="O5736" s="1207"/>
      <c r="Q5736" s="1207"/>
    </row>
    <row r="5737" spans="3:17" s="700" customFormat="1" ht="70.5" hidden="1" customHeight="1">
      <c r="C5737" s="701"/>
      <c r="D5737" s="811"/>
      <c r="E5737" s="1276">
        <f>[11]building!Y6068</f>
        <v>0</v>
      </c>
      <c r="F5737" s="748">
        <f t="shared" si="328"/>
        <v>0</v>
      </c>
      <c r="G5737" s="1205"/>
      <c r="H5737" s="1055"/>
      <c r="I5737" s="1055"/>
      <c r="J5737" s="1055"/>
      <c r="K5737" s="1205"/>
      <c r="L5737" s="1055"/>
      <c r="M5737" s="1205"/>
      <c r="N5737" s="1054"/>
      <c r="O5737" s="1207"/>
      <c r="Q5737" s="1207"/>
    </row>
    <row r="5738" spans="3:17" s="700" customFormat="1" ht="70.5" hidden="1" customHeight="1">
      <c r="C5738" s="701"/>
      <c r="D5738" s="811"/>
      <c r="E5738" s="1276">
        <f>[11]building!Y6069</f>
        <v>0</v>
      </c>
      <c r="F5738" s="748">
        <f t="shared" si="328"/>
        <v>0</v>
      </c>
      <c r="G5738" s="1205"/>
      <c r="H5738" s="1055"/>
      <c r="I5738" s="1055"/>
      <c r="J5738" s="1055"/>
      <c r="K5738" s="1205"/>
      <c r="L5738" s="1055"/>
      <c r="M5738" s="1205"/>
      <c r="N5738" s="1054"/>
      <c r="O5738" s="1207"/>
      <c r="Q5738" s="1207"/>
    </row>
    <row r="5739" spans="3:17" s="700" customFormat="1" ht="70.5" hidden="1" customHeight="1">
      <c r="C5739" s="701"/>
      <c r="D5739" s="811"/>
      <c r="E5739" s="1276">
        <f>[11]building!Y6070</f>
        <v>0</v>
      </c>
      <c r="F5739" s="748">
        <f t="shared" si="328"/>
        <v>0</v>
      </c>
      <c r="G5739" s="1205"/>
      <c r="H5739" s="1055"/>
      <c r="I5739" s="1055"/>
      <c r="J5739" s="1055"/>
      <c r="K5739" s="1205"/>
      <c r="L5739" s="1055"/>
      <c r="M5739" s="1205"/>
      <c r="N5739" s="1054"/>
      <c r="O5739" s="1207"/>
      <c r="Q5739" s="1207"/>
    </row>
    <row r="5740" spans="3:17" s="700" customFormat="1" ht="70.5" hidden="1" customHeight="1">
      <c r="C5740" s="701"/>
      <c r="D5740" s="811"/>
      <c r="E5740" s="1276">
        <f>[11]building!Y6071</f>
        <v>0</v>
      </c>
      <c r="F5740" s="748">
        <f t="shared" si="328"/>
        <v>0</v>
      </c>
      <c r="G5740" s="1205"/>
      <c r="H5740" s="1055"/>
      <c r="I5740" s="1055"/>
      <c r="J5740" s="1055"/>
      <c r="K5740" s="1205"/>
      <c r="L5740" s="1055"/>
      <c r="M5740" s="1205"/>
      <c r="N5740" s="1054"/>
      <c r="O5740" s="1207"/>
      <c r="Q5740" s="1207"/>
    </row>
    <row r="5741" spans="3:17" s="700" customFormat="1" ht="70.5" hidden="1" customHeight="1">
      <c r="C5741" s="701"/>
      <c r="D5741" s="811"/>
      <c r="E5741" s="1276">
        <f>[11]building!Y6072</f>
        <v>0</v>
      </c>
      <c r="F5741" s="748">
        <f t="shared" si="328"/>
        <v>0</v>
      </c>
      <c r="G5741" s="1205"/>
      <c r="H5741" s="1055"/>
      <c r="I5741" s="1055"/>
      <c r="J5741" s="1055"/>
      <c r="K5741" s="1205"/>
      <c r="L5741" s="1055"/>
      <c r="M5741" s="1205"/>
      <c r="N5741" s="1054"/>
      <c r="O5741" s="1207"/>
      <c r="Q5741" s="1207"/>
    </row>
    <row r="5742" spans="3:17" s="700" customFormat="1" ht="70.5" hidden="1" customHeight="1">
      <c r="C5742" s="701"/>
      <c r="D5742" s="811"/>
      <c r="E5742" s="1276">
        <f>[11]building!Y6073</f>
        <v>0</v>
      </c>
      <c r="F5742" s="748">
        <f t="shared" si="328"/>
        <v>0</v>
      </c>
      <c r="G5742" s="1205"/>
      <c r="H5742" s="1055"/>
      <c r="I5742" s="1055"/>
      <c r="J5742" s="1055"/>
      <c r="K5742" s="1205"/>
      <c r="L5742" s="1055"/>
      <c r="M5742" s="1205"/>
      <c r="N5742" s="1054"/>
      <c r="O5742" s="1207"/>
      <c r="Q5742" s="1207"/>
    </row>
    <row r="5743" spans="3:17" s="700" customFormat="1" ht="70.5" hidden="1" customHeight="1">
      <c r="C5743" s="701"/>
      <c r="D5743" s="811"/>
      <c r="E5743" s="1276">
        <f>[11]building!Y6074</f>
        <v>0</v>
      </c>
      <c r="F5743" s="748">
        <f t="shared" si="328"/>
        <v>0</v>
      </c>
      <c r="G5743" s="1205"/>
      <c r="H5743" s="1055"/>
      <c r="I5743" s="1055"/>
      <c r="J5743" s="1055"/>
      <c r="K5743" s="1205"/>
      <c r="L5743" s="1055"/>
      <c r="M5743" s="1205"/>
      <c r="N5743" s="1054"/>
      <c r="O5743" s="1207"/>
      <c r="Q5743" s="1207"/>
    </row>
    <row r="5744" spans="3:17" s="700" customFormat="1" ht="70.5" hidden="1" customHeight="1">
      <c r="C5744" s="701"/>
      <c r="D5744" s="811"/>
      <c r="E5744" s="1276">
        <f>[11]building!Y6075</f>
        <v>0</v>
      </c>
      <c r="F5744" s="748">
        <f t="shared" si="328"/>
        <v>0</v>
      </c>
      <c r="G5744" s="1205"/>
      <c r="H5744" s="1055"/>
      <c r="I5744" s="1055"/>
      <c r="J5744" s="1055"/>
      <c r="K5744" s="1205"/>
      <c r="L5744" s="1055"/>
      <c r="M5744" s="1205"/>
      <c r="N5744" s="1054"/>
      <c r="O5744" s="1207"/>
      <c r="Q5744" s="1207"/>
    </row>
    <row r="5745" spans="3:17" s="700" customFormat="1" ht="70.5" hidden="1" customHeight="1">
      <c r="C5745" s="701"/>
      <c r="D5745" s="811"/>
      <c r="E5745" s="1276">
        <f>[11]building!Y6076</f>
        <v>0</v>
      </c>
      <c r="F5745" s="748">
        <f t="shared" si="328"/>
        <v>0</v>
      </c>
      <c r="G5745" s="1205"/>
      <c r="H5745" s="1055"/>
      <c r="I5745" s="1055"/>
      <c r="J5745" s="1055"/>
      <c r="K5745" s="1205"/>
      <c r="L5745" s="1055"/>
      <c r="M5745" s="1205"/>
      <c r="N5745" s="1054"/>
      <c r="O5745" s="1207"/>
      <c r="Q5745" s="1207"/>
    </row>
    <row r="5746" spans="3:17" s="700" customFormat="1" ht="70.5" hidden="1" customHeight="1">
      <c r="C5746" s="701"/>
      <c r="D5746" s="811"/>
      <c r="E5746" s="1276">
        <f>[11]building!Y6077</f>
        <v>0</v>
      </c>
      <c r="F5746" s="748">
        <f t="shared" si="328"/>
        <v>0</v>
      </c>
      <c r="G5746" s="1205"/>
      <c r="H5746" s="1055"/>
      <c r="I5746" s="1055"/>
      <c r="J5746" s="1055"/>
      <c r="K5746" s="1205"/>
      <c r="L5746" s="1055"/>
      <c r="M5746" s="1205"/>
      <c r="N5746" s="1054"/>
      <c r="O5746" s="1207"/>
      <c r="Q5746" s="1207"/>
    </row>
    <row r="5747" spans="3:17" s="700" customFormat="1" ht="70.5" hidden="1" customHeight="1">
      <c r="C5747" s="701"/>
      <c r="D5747" s="811"/>
      <c r="E5747" s="1276">
        <f>[11]building!Y6078</f>
        <v>0</v>
      </c>
      <c r="F5747" s="748">
        <f t="shared" si="328"/>
        <v>0</v>
      </c>
      <c r="G5747" s="1205"/>
      <c r="H5747" s="1055"/>
      <c r="I5747" s="1055"/>
      <c r="J5747" s="1055"/>
      <c r="K5747" s="1205"/>
      <c r="L5747" s="1055"/>
      <c r="M5747" s="1205"/>
      <c r="N5747" s="1054"/>
      <c r="O5747" s="1207"/>
      <c r="Q5747" s="1207"/>
    </row>
    <row r="5748" spans="3:17" s="700" customFormat="1" ht="70.5" hidden="1" customHeight="1">
      <c r="C5748" s="701"/>
      <c r="D5748" s="811"/>
      <c r="E5748" s="1276">
        <f>[11]building!Y6079</f>
        <v>0</v>
      </c>
      <c r="F5748" s="748">
        <f t="shared" si="328"/>
        <v>0</v>
      </c>
      <c r="G5748" s="1205"/>
      <c r="H5748" s="1055"/>
      <c r="I5748" s="1055"/>
      <c r="J5748" s="1055"/>
      <c r="K5748" s="1205"/>
      <c r="L5748" s="1055"/>
      <c r="M5748" s="1205"/>
      <c r="N5748" s="1054"/>
      <c r="O5748" s="1207"/>
      <c r="Q5748" s="1207"/>
    </row>
    <row r="5749" spans="3:17" s="700" customFormat="1" ht="70.5" hidden="1" customHeight="1">
      <c r="C5749" s="701"/>
      <c r="D5749" s="811"/>
      <c r="E5749" s="1276">
        <f>[11]building!Y6080</f>
        <v>0</v>
      </c>
      <c r="F5749" s="748">
        <f t="shared" si="328"/>
        <v>0</v>
      </c>
      <c r="G5749" s="1205"/>
      <c r="H5749" s="1055"/>
      <c r="I5749" s="1055"/>
      <c r="J5749" s="1055"/>
      <c r="K5749" s="1205"/>
      <c r="L5749" s="1055"/>
      <c r="M5749" s="1205"/>
      <c r="N5749" s="1054"/>
      <c r="O5749" s="1207"/>
      <c r="Q5749" s="1207"/>
    </row>
    <row r="5750" spans="3:17" s="700" customFormat="1" ht="70.5" hidden="1" customHeight="1">
      <c r="C5750" s="701"/>
      <c r="D5750" s="811"/>
      <c r="E5750" s="1276">
        <f>[11]building!Y6081</f>
        <v>0</v>
      </c>
      <c r="F5750" s="748">
        <f t="shared" si="328"/>
        <v>0</v>
      </c>
      <c r="G5750" s="1205"/>
      <c r="H5750" s="1055"/>
      <c r="I5750" s="1055"/>
      <c r="J5750" s="1055"/>
      <c r="K5750" s="1205"/>
      <c r="L5750" s="1055"/>
      <c r="M5750" s="1205"/>
      <c r="N5750" s="1054"/>
      <c r="O5750" s="1207"/>
      <c r="Q5750" s="1207"/>
    </row>
    <row r="5751" spans="3:17" s="700" customFormat="1" ht="70.5" hidden="1" customHeight="1">
      <c r="C5751" s="701"/>
      <c r="D5751" s="811"/>
      <c r="E5751" s="1276">
        <f>[11]building!Y6082</f>
        <v>0</v>
      </c>
      <c r="F5751" s="748">
        <f t="shared" si="328"/>
        <v>0</v>
      </c>
      <c r="G5751" s="1205"/>
      <c r="H5751" s="1055"/>
      <c r="I5751" s="1055"/>
      <c r="J5751" s="1055"/>
      <c r="K5751" s="1205"/>
      <c r="L5751" s="1055"/>
      <c r="M5751" s="1205"/>
      <c r="N5751" s="1054"/>
      <c r="O5751" s="1207"/>
      <c r="Q5751" s="1207"/>
    </row>
    <row r="5752" spans="3:17" s="700" customFormat="1" ht="70.5" hidden="1" customHeight="1">
      <c r="C5752" s="701"/>
      <c r="D5752" s="811"/>
      <c r="E5752" s="1276">
        <f>[11]building!Y6083</f>
        <v>0</v>
      </c>
      <c r="F5752" s="748">
        <f t="shared" si="328"/>
        <v>0</v>
      </c>
      <c r="G5752" s="1205"/>
      <c r="H5752" s="1055"/>
      <c r="I5752" s="1055"/>
      <c r="J5752" s="1055"/>
      <c r="K5752" s="1205"/>
      <c r="L5752" s="1055"/>
      <c r="M5752" s="1205"/>
      <c r="N5752" s="1054"/>
      <c r="O5752" s="1207"/>
      <c r="Q5752" s="1207"/>
    </row>
    <row r="5753" spans="3:17" s="700" customFormat="1" ht="70.5" hidden="1" customHeight="1">
      <c r="C5753" s="701"/>
      <c r="D5753" s="811"/>
      <c r="E5753" s="1276">
        <f>[11]building!Y6084</f>
        <v>0</v>
      </c>
      <c r="F5753" s="748">
        <f t="shared" si="328"/>
        <v>0</v>
      </c>
      <c r="G5753" s="1205"/>
      <c r="H5753" s="1055"/>
      <c r="I5753" s="1055"/>
      <c r="J5753" s="1055"/>
      <c r="K5753" s="1205"/>
      <c r="L5753" s="1055"/>
      <c r="M5753" s="1205"/>
      <c r="N5753" s="1054"/>
      <c r="O5753" s="1207"/>
      <c r="Q5753" s="1207"/>
    </row>
    <row r="5754" spans="3:17" s="700" customFormat="1" ht="70.5" hidden="1" customHeight="1">
      <c r="C5754" s="701"/>
      <c r="D5754" s="811"/>
      <c r="E5754" s="1276">
        <f>[11]building!Y6085</f>
        <v>0</v>
      </c>
      <c r="F5754" s="748">
        <f t="shared" si="328"/>
        <v>0</v>
      </c>
      <c r="G5754" s="1205"/>
      <c r="H5754" s="1055"/>
      <c r="I5754" s="1055"/>
      <c r="J5754" s="1055"/>
      <c r="K5754" s="1205"/>
      <c r="L5754" s="1055"/>
      <c r="M5754" s="1205"/>
      <c r="N5754" s="1054"/>
      <c r="O5754" s="1207"/>
      <c r="Q5754" s="1207"/>
    </row>
    <row r="5755" spans="3:17" s="700" customFormat="1" ht="70.5" hidden="1" customHeight="1">
      <c r="C5755" s="701"/>
      <c r="D5755" s="811"/>
      <c r="E5755" s="1276">
        <f>[11]building!Y6086</f>
        <v>0</v>
      </c>
      <c r="F5755" s="748">
        <f t="shared" si="328"/>
        <v>0</v>
      </c>
      <c r="G5755" s="1205"/>
      <c r="H5755" s="1055"/>
      <c r="I5755" s="1055"/>
      <c r="J5755" s="1055"/>
      <c r="K5755" s="1205"/>
      <c r="L5755" s="1055"/>
      <c r="M5755" s="1205"/>
      <c r="N5755" s="1054"/>
      <c r="O5755" s="1207"/>
      <c r="Q5755" s="1207"/>
    </row>
    <row r="5756" spans="3:17" s="700" customFormat="1" ht="70.5" hidden="1" customHeight="1">
      <c r="C5756" s="701"/>
      <c r="D5756" s="811"/>
      <c r="E5756" s="1276">
        <f>[11]building!Y6087</f>
        <v>0</v>
      </c>
      <c r="F5756" s="748">
        <f t="shared" si="328"/>
        <v>0</v>
      </c>
      <c r="G5756" s="1205"/>
      <c r="H5756" s="1055"/>
      <c r="I5756" s="1055"/>
      <c r="J5756" s="1055"/>
      <c r="K5756" s="1205"/>
      <c r="L5756" s="1055"/>
      <c r="M5756" s="1205"/>
      <c r="N5756" s="1054"/>
      <c r="O5756" s="1207"/>
      <c r="Q5756" s="1207"/>
    </row>
    <row r="5757" spans="3:17" s="700" customFormat="1" ht="70.5" hidden="1" customHeight="1">
      <c r="C5757" s="701"/>
      <c r="D5757" s="811"/>
      <c r="E5757" s="1276">
        <f>[11]building!Y6088</f>
        <v>0</v>
      </c>
      <c r="F5757" s="748">
        <f t="shared" si="328"/>
        <v>0</v>
      </c>
      <c r="G5757" s="1205"/>
      <c r="H5757" s="1055"/>
      <c r="I5757" s="1055"/>
      <c r="J5757" s="1055"/>
      <c r="K5757" s="1205"/>
      <c r="L5757" s="1055"/>
      <c r="M5757" s="1205"/>
      <c r="N5757" s="1054"/>
      <c r="O5757" s="1207"/>
      <c r="Q5757" s="1207"/>
    </row>
    <row r="5758" spans="3:17" s="700" customFormat="1" ht="70.5" hidden="1" customHeight="1">
      <c r="C5758" s="701"/>
      <c r="D5758" s="811"/>
      <c r="E5758" s="1276">
        <f>[11]building!Y6089</f>
        <v>0</v>
      </c>
      <c r="F5758" s="748">
        <f t="shared" si="328"/>
        <v>0</v>
      </c>
      <c r="G5758" s="1205"/>
      <c r="H5758" s="1055"/>
      <c r="I5758" s="1055"/>
      <c r="J5758" s="1055"/>
      <c r="K5758" s="1205"/>
      <c r="L5758" s="1055"/>
      <c r="M5758" s="1205"/>
      <c r="N5758" s="1054"/>
      <c r="O5758" s="1207"/>
      <c r="Q5758" s="1207"/>
    </row>
    <row r="5759" spans="3:17" s="700" customFormat="1" ht="70.5" hidden="1" customHeight="1">
      <c r="C5759" s="701"/>
      <c r="D5759" s="811"/>
      <c r="E5759" s="1276">
        <f>[11]building!Y6090</f>
        <v>0</v>
      </c>
      <c r="F5759" s="748">
        <f t="shared" si="328"/>
        <v>0</v>
      </c>
      <c r="G5759" s="1205"/>
      <c r="H5759" s="1055"/>
      <c r="I5759" s="1055"/>
      <c r="J5759" s="1055"/>
      <c r="K5759" s="1205"/>
      <c r="L5759" s="1055"/>
      <c r="M5759" s="1205"/>
      <c r="N5759" s="1054"/>
      <c r="O5759" s="1207"/>
      <c r="Q5759" s="1207"/>
    </row>
    <row r="5760" spans="3:17" s="700" customFormat="1" ht="70.5" hidden="1" customHeight="1">
      <c r="C5760" s="701"/>
      <c r="D5760" s="811"/>
      <c r="E5760" s="1276">
        <f>[11]building!Y6091</f>
        <v>0</v>
      </c>
      <c r="F5760" s="748">
        <f t="shared" ref="F5760:F5823" si="329">E5760*C5760</f>
        <v>0</v>
      </c>
      <c r="G5760" s="1205"/>
      <c r="H5760" s="1055"/>
      <c r="I5760" s="1055"/>
      <c r="J5760" s="1055"/>
      <c r="K5760" s="1205"/>
      <c r="L5760" s="1055"/>
      <c r="M5760" s="1205"/>
      <c r="N5760" s="1054"/>
      <c r="O5760" s="1207"/>
      <c r="Q5760" s="1207"/>
    </row>
    <row r="5761" spans="3:17" s="700" customFormat="1" ht="70.5" hidden="1" customHeight="1">
      <c r="C5761" s="701"/>
      <c r="D5761" s="811"/>
      <c r="E5761" s="1276">
        <f>[11]building!Y6092</f>
        <v>0</v>
      </c>
      <c r="F5761" s="748">
        <f t="shared" si="329"/>
        <v>0</v>
      </c>
      <c r="G5761" s="1205"/>
      <c r="H5761" s="1055"/>
      <c r="I5761" s="1055"/>
      <c r="J5761" s="1055"/>
      <c r="K5761" s="1205"/>
      <c r="L5761" s="1055"/>
      <c r="M5761" s="1205"/>
      <c r="N5761" s="1054"/>
      <c r="O5761" s="1207"/>
      <c r="Q5761" s="1207"/>
    </row>
    <row r="5762" spans="3:17" s="700" customFormat="1" ht="70.5" hidden="1" customHeight="1">
      <c r="C5762" s="701"/>
      <c r="D5762" s="811"/>
      <c r="E5762" s="1276">
        <f>[11]building!Y6093</f>
        <v>0</v>
      </c>
      <c r="F5762" s="748">
        <f t="shared" si="329"/>
        <v>0</v>
      </c>
      <c r="G5762" s="1205"/>
      <c r="H5762" s="1055"/>
      <c r="I5762" s="1055"/>
      <c r="J5762" s="1055"/>
      <c r="K5762" s="1205"/>
      <c r="L5762" s="1055"/>
      <c r="M5762" s="1205"/>
      <c r="N5762" s="1054"/>
      <c r="O5762" s="1207"/>
      <c r="Q5762" s="1207"/>
    </row>
    <row r="5763" spans="3:17" s="700" customFormat="1" ht="70.5" hidden="1" customHeight="1">
      <c r="C5763" s="701"/>
      <c r="D5763" s="811"/>
      <c r="E5763" s="1276">
        <f>[11]building!Y6094</f>
        <v>0</v>
      </c>
      <c r="F5763" s="748">
        <f t="shared" si="329"/>
        <v>0</v>
      </c>
      <c r="G5763" s="1205"/>
      <c r="H5763" s="1055"/>
      <c r="I5763" s="1055"/>
      <c r="J5763" s="1055"/>
      <c r="K5763" s="1205"/>
      <c r="L5763" s="1055"/>
      <c r="M5763" s="1205"/>
      <c r="N5763" s="1054"/>
      <c r="O5763" s="1207"/>
      <c r="Q5763" s="1207"/>
    </row>
    <row r="5764" spans="3:17" s="700" customFormat="1" ht="70.5" hidden="1" customHeight="1">
      <c r="C5764" s="701"/>
      <c r="D5764" s="811"/>
      <c r="E5764" s="1276">
        <f>[11]building!Y6095</f>
        <v>0</v>
      </c>
      <c r="F5764" s="748">
        <f t="shared" si="329"/>
        <v>0</v>
      </c>
      <c r="G5764" s="1205"/>
      <c r="H5764" s="1055"/>
      <c r="I5764" s="1055"/>
      <c r="J5764" s="1055"/>
      <c r="K5764" s="1205"/>
      <c r="L5764" s="1055"/>
      <c r="M5764" s="1205"/>
      <c r="N5764" s="1054"/>
      <c r="O5764" s="1207"/>
      <c r="Q5764" s="1207"/>
    </row>
    <row r="5765" spans="3:17" s="700" customFormat="1" ht="70.5" hidden="1" customHeight="1">
      <c r="C5765" s="701"/>
      <c r="D5765" s="811"/>
      <c r="E5765" s="1276">
        <f>[11]building!Y6096</f>
        <v>0</v>
      </c>
      <c r="F5765" s="748">
        <f t="shared" si="329"/>
        <v>0</v>
      </c>
      <c r="G5765" s="1205"/>
      <c r="H5765" s="1055"/>
      <c r="I5765" s="1055"/>
      <c r="J5765" s="1055"/>
      <c r="K5765" s="1205"/>
      <c r="L5765" s="1055"/>
      <c r="M5765" s="1205"/>
      <c r="N5765" s="1054"/>
      <c r="O5765" s="1207"/>
      <c r="Q5765" s="1207"/>
    </row>
    <row r="5766" spans="3:17" s="700" customFormat="1" ht="70.5" hidden="1" customHeight="1">
      <c r="C5766" s="701"/>
      <c r="D5766" s="811"/>
      <c r="E5766" s="1276">
        <f>[11]building!Y6097</f>
        <v>0</v>
      </c>
      <c r="F5766" s="748">
        <f t="shared" si="329"/>
        <v>0</v>
      </c>
      <c r="G5766" s="1205"/>
      <c r="H5766" s="1055"/>
      <c r="I5766" s="1055"/>
      <c r="J5766" s="1055"/>
      <c r="K5766" s="1205"/>
      <c r="L5766" s="1055"/>
      <c r="M5766" s="1205"/>
      <c r="N5766" s="1054"/>
      <c r="O5766" s="1207"/>
      <c r="Q5766" s="1207"/>
    </row>
    <row r="5767" spans="3:17" s="700" customFormat="1" ht="70.5" hidden="1" customHeight="1">
      <c r="C5767" s="701"/>
      <c r="D5767" s="811"/>
      <c r="E5767" s="1276">
        <f>[11]building!Y6098</f>
        <v>0</v>
      </c>
      <c r="F5767" s="748">
        <f t="shared" si="329"/>
        <v>0</v>
      </c>
      <c r="G5767" s="1205"/>
      <c r="H5767" s="1055"/>
      <c r="I5767" s="1055"/>
      <c r="J5767" s="1055"/>
      <c r="K5767" s="1205"/>
      <c r="L5767" s="1055"/>
      <c r="M5767" s="1205"/>
      <c r="N5767" s="1054"/>
      <c r="O5767" s="1207"/>
      <c r="Q5767" s="1207"/>
    </row>
    <row r="5768" spans="3:17" s="700" customFormat="1" ht="70.5" hidden="1" customHeight="1">
      <c r="C5768" s="701"/>
      <c r="D5768" s="811"/>
      <c r="E5768" s="1276">
        <f>[11]building!Y6099</f>
        <v>0</v>
      </c>
      <c r="F5768" s="748">
        <f t="shared" si="329"/>
        <v>0</v>
      </c>
      <c r="G5768" s="1205"/>
      <c r="H5768" s="1055"/>
      <c r="I5768" s="1055"/>
      <c r="J5768" s="1055"/>
      <c r="K5768" s="1205"/>
      <c r="L5768" s="1055"/>
      <c r="M5768" s="1205"/>
      <c r="N5768" s="1054"/>
      <c r="O5768" s="1207"/>
      <c r="Q5768" s="1207"/>
    </row>
    <row r="5769" spans="3:17" s="700" customFormat="1" ht="70.5" hidden="1" customHeight="1">
      <c r="C5769" s="701"/>
      <c r="D5769" s="811"/>
      <c r="E5769" s="1276">
        <f>[11]building!Y6100</f>
        <v>0</v>
      </c>
      <c r="F5769" s="748">
        <f t="shared" si="329"/>
        <v>0</v>
      </c>
      <c r="G5769" s="1205"/>
      <c r="H5769" s="1055"/>
      <c r="I5769" s="1055"/>
      <c r="J5769" s="1055"/>
      <c r="K5769" s="1205"/>
      <c r="L5769" s="1055"/>
      <c r="M5769" s="1205"/>
      <c r="N5769" s="1054"/>
      <c r="O5769" s="1207"/>
      <c r="Q5769" s="1207"/>
    </row>
    <row r="5770" spans="3:17" s="700" customFormat="1" ht="70.5" hidden="1" customHeight="1">
      <c r="C5770" s="701"/>
      <c r="D5770" s="811"/>
      <c r="E5770" s="1276">
        <f>[11]building!Y6101</f>
        <v>0</v>
      </c>
      <c r="F5770" s="748">
        <f t="shared" si="329"/>
        <v>0</v>
      </c>
      <c r="G5770" s="1205"/>
      <c r="H5770" s="1055"/>
      <c r="I5770" s="1055"/>
      <c r="J5770" s="1055"/>
      <c r="K5770" s="1205"/>
      <c r="L5770" s="1055"/>
      <c r="M5770" s="1205"/>
      <c r="N5770" s="1054"/>
      <c r="O5770" s="1207"/>
      <c r="Q5770" s="1207"/>
    </row>
    <row r="5771" spans="3:17" s="700" customFormat="1" ht="70.5" hidden="1" customHeight="1">
      <c r="C5771" s="701"/>
      <c r="D5771" s="811"/>
      <c r="E5771" s="1276">
        <f>[11]building!Y6102</f>
        <v>0</v>
      </c>
      <c r="F5771" s="748">
        <f t="shared" si="329"/>
        <v>0</v>
      </c>
      <c r="G5771" s="1205"/>
      <c r="H5771" s="1055"/>
      <c r="I5771" s="1055"/>
      <c r="J5771" s="1055"/>
      <c r="K5771" s="1205"/>
      <c r="L5771" s="1055"/>
      <c r="M5771" s="1205"/>
      <c r="N5771" s="1054"/>
      <c r="O5771" s="1207"/>
      <c r="Q5771" s="1207"/>
    </row>
    <row r="5772" spans="3:17" s="700" customFormat="1" ht="70.5" hidden="1" customHeight="1">
      <c r="C5772" s="701"/>
      <c r="D5772" s="811"/>
      <c r="E5772" s="1276">
        <f>[11]building!Y6103</f>
        <v>0</v>
      </c>
      <c r="F5772" s="748">
        <f t="shared" si="329"/>
        <v>0</v>
      </c>
      <c r="G5772" s="1205"/>
      <c r="H5772" s="1055"/>
      <c r="I5772" s="1055"/>
      <c r="J5772" s="1055"/>
      <c r="K5772" s="1205"/>
      <c r="L5772" s="1055"/>
      <c r="M5772" s="1205"/>
      <c r="N5772" s="1054"/>
      <c r="O5772" s="1207"/>
      <c r="Q5772" s="1207"/>
    </row>
    <row r="5773" spans="3:17" s="700" customFormat="1" ht="70.5" hidden="1" customHeight="1">
      <c r="C5773" s="701"/>
      <c r="D5773" s="811"/>
      <c r="E5773" s="1276">
        <f>[11]building!Y6104</f>
        <v>0</v>
      </c>
      <c r="F5773" s="748">
        <f t="shared" si="329"/>
        <v>0</v>
      </c>
      <c r="G5773" s="1205"/>
      <c r="H5773" s="1055"/>
      <c r="I5773" s="1055"/>
      <c r="J5773" s="1055"/>
      <c r="K5773" s="1205"/>
      <c r="L5773" s="1055"/>
      <c r="M5773" s="1205"/>
      <c r="N5773" s="1054"/>
      <c r="O5773" s="1207"/>
      <c r="Q5773" s="1207"/>
    </row>
    <row r="5774" spans="3:17" s="700" customFormat="1" ht="70.5" hidden="1" customHeight="1">
      <c r="C5774" s="701"/>
      <c r="D5774" s="811"/>
      <c r="E5774" s="1276">
        <f>[11]building!Y6105</f>
        <v>0</v>
      </c>
      <c r="F5774" s="748">
        <f t="shared" si="329"/>
        <v>0</v>
      </c>
      <c r="G5774" s="1205"/>
      <c r="H5774" s="1055"/>
      <c r="I5774" s="1055"/>
      <c r="J5774" s="1055"/>
      <c r="K5774" s="1205"/>
      <c r="L5774" s="1055"/>
      <c r="M5774" s="1205"/>
      <c r="N5774" s="1054"/>
      <c r="O5774" s="1207"/>
      <c r="Q5774" s="1207"/>
    </row>
    <row r="5775" spans="3:17" s="700" customFormat="1" ht="70.5" hidden="1" customHeight="1">
      <c r="C5775" s="701"/>
      <c r="D5775" s="811"/>
      <c r="E5775" s="1276">
        <f>[11]building!Y6106</f>
        <v>0</v>
      </c>
      <c r="F5775" s="748">
        <f t="shared" si="329"/>
        <v>0</v>
      </c>
      <c r="G5775" s="1205"/>
      <c r="H5775" s="1055"/>
      <c r="I5775" s="1055"/>
      <c r="J5775" s="1055"/>
      <c r="K5775" s="1205"/>
      <c r="L5775" s="1055"/>
      <c r="M5775" s="1205"/>
      <c r="N5775" s="1054"/>
      <c r="O5775" s="1207"/>
      <c r="Q5775" s="1207"/>
    </row>
    <row r="5776" spans="3:17" s="700" customFormat="1" ht="70.5" hidden="1" customHeight="1">
      <c r="C5776" s="701"/>
      <c r="D5776" s="811"/>
      <c r="E5776" s="1276">
        <f>[11]building!Y6107</f>
        <v>0</v>
      </c>
      <c r="F5776" s="748">
        <f t="shared" si="329"/>
        <v>0</v>
      </c>
      <c r="G5776" s="1205"/>
      <c r="H5776" s="1055"/>
      <c r="I5776" s="1055"/>
      <c r="J5776" s="1055"/>
      <c r="K5776" s="1205"/>
      <c r="L5776" s="1055"/>
      <c r="M5776" s="1205"/>
      <c r="N5776" s="1054"/>
      <c r="O5776" s="1207"/>
      <c r="Q5776" s="1207"/>
    </row>
    <row r="5777" spans="3:17" s="700" customFormat="1" ht="70.5" hidden="1" customHeight="1">
      <c r="C5777" s="701"/>
      <c r="D5777" s="811"/>
      <c r="E5777" s="1276">
        <f>[11]building!Y6108</f>
        <v>0</v>
      </c>
      <c r="F5777" s="748">
        <f t="shared" si="329"/>
        <v>0</v>
      </c>
      <c r="G5777" s="1205"/>
      <c r="H5777" s="1055"/>
      <c r="I5777" s="1055"/>
      <c r="J5777" s="1055"/>
      <c r="K5777" s="1205"/>
      <c r="L5777" s="1055"/>
      <c r="M5777" s="1205"/>
      <c r="N5777" s="1054"/>
      <c r="O5777" s="1207"/>
      <c r="Q5777" s="1207"/>
    </row>
    <row r="5778" spans="3:17" s="700" customFormat="1" ht="70.5" hidden="1" customHeight="1">
      <c r="C5778" s="701"/>
      <c r="D5778" s="811"/>
      <c r="E5778" s="1276">
        <f>[11]building!Y6109</f>
        <v>0</v>
      </c>
      <c r="F5778" s="748">
        <f t="shared" si="329"/>
        <v>0</v>
      </c>
      <c r="G5778" s="1205"/>
      <c r="H5778" s="1055"/>
      <c r="I5778" s="1055"/>
      <c r="J5778" s="1055"/>
      <c r="K5778" s="1205"/>
      <c r="L5778" s="1055"/>
      <c r="M5778" s="1205"/>
      <c r="N5778" s="1054"/>
      <c r="O5778" s="1207"/>
      <c r="Q5778" s="1207"/>
    </row>
    <row r="5779" spans="3:17" s="700" customFormat="1" ht="70.5" hidden="1" customHeight="1">
      <c r="C5779" s="701"/>
      <c r="D5779" s="811"/>
      <c r="E5779" s="1276">
        <f>[11]building!Y6110</f>
        <v>0</v>
      </c>
      <c r="F5779" s="748">
        <f t="shared" si="329"/>
        <v>0</v>
      </c>
      <c r="G5779" s="1205"/>
      <c r="H5779" s="1055"/>
      <c r="I5779" s="1055"/>
      <c r="J5779" s="1055"/>
      <c r="K5779" s="1205"/>
      <c r="L5779" s="1055"/>
      <c r="M5779" s="1205"/>
      <c r="N5779" s="1054"/>
      <c r="O5779" s="1207"/>
      <c r="Q5779" s="1207"/>
    </row>
    <row r="5780" spans="3:17" s="700" customFormat="1" ht="70.5" hidden="1" customHeight="1">
      <c r="C5780" s="701"/>
      <c r="D5780" s="811"/>
      <c r="E5780" s="1276">
        <f>[11]building!Y6111</f>
        <v>0</v>
      </c>
      <c r="F5780" s="748">
        <f t="shared" si="329"/>
        <v>0</v>
      </c>
      <c r="G5780" s="1205"/>
      <c r="H5780" s="1055"/>
      <c r="I5780" s="1055"/>
      <c r="J5780" s="1055"/>
      <c r="K5780" s="1205"/>
      <c r="L5780" s="1055"/>
      <c r="M5780" s="1205"/>
      <c r="N5780" s="1054"/>
      <c r="O5780" s="1207"/>
      <c r="Q5780" s="1207"/>
    </row>
    <row r="5781" spans="3:17" s="700" customFormat="1" ht="70.5" hidden="1" customHeight="1">
      <c r="C5781" s="701"/>
      <c r="D5781" s="811"/>
      <c r="E5781" s="1276">
        <f>[11]building!Y6112</f>
        <v>0</v>
      </c>
      <c r="F5781" s="748">
        <f t="shared" si="329"/>
        <v>0</v>
      </c>
      <c r="G5781" s="1205"/>
      <c r="H5781" s="1055"/>
      <c r="I5781" s="1055"/>
      <c r="J5781" s="1055"/>
      <c r="K5781" s="1205"/>
      <c r="L5781" s="1055"/>
      <c r="M5781" s="1205"/>
      <c r="N5781" s="1054"/>
      <c r="O5781" s="1207"/>
      <c r="Q5781" s="1207"/>
    </row>
    <row r="5782" spans="3:17" s="700" customFormat="1" ht="70.5" hidden="1" customHeight="1">
      <c r="C5782" s="701"/>
      <c r="D5782" s="811"/>
      <c r="E5782" s="1276">
        <f>[11]building!Y6113</f>
        <v>0</v>
      </c>
      <c r="F5782" s="748">
        <f t="shared" si="329"/>
        <v>0</v>
      </c>
      <c r="G5782" s="1205"/>
      <c r="H5782" s="1055"/>
      <c r="I5782" s="1055"/>
      <c r="J5782" s="1055"/>
      <c r="K5782" s="1205"/>
      <c r="L5782" s="1055"/>
      <c r="M5782" s="1205"/>
      <c r="N5782" s="1054"/>
      <c r="O5782" s="1207"/>
      <c r="Q5782" s="1207"/>
    </row>
    <row r="5783" spans="3:17" s="700" customFormat="1" ht="70.5" hidden="1" customHeight="1">
      <c r="C5783" s="701"/>
      <c r="D5783" s="811"/>
      <c r="E5783" s="1276">
        <f>[11]building!Y6114</f>
        <v>0</v>
      </c>
      <c r="F5783" s="748">
        <f t="shared" si="329"/>
        <v>0</v>
      </c>
      <c r="G5783" s="1205"/>
      <c r="H5783" s="1055"/>
      <c r="I5783" s="1055"/>
      <c r="J5783" s="1055"/>
      <c r="K5783" s="1205"/>
      <c r="L5783" s="1055"/>
      <c r="M5783" s="1205"/>
      <c r="N5783" s="1054"/>
      <c r="O5783" s="1207"/>
      <c r="Q5783" s="1207"/>
    </row>
    <row r="5784" spans="3:17" s="700" customFormat="1" ht="70.5" hidden="1" customHeight="1">
      <c r="C5784" s="701"/>
      <c r="D5784" s="811"/>
      <c r="E5784" s="1276">
        <f>[11]building!Y6115</f>
        <v>0</v>
      </c>
      <c r="F5784" s="748">
        <f t="shared" si="329"/>
        <v>0</v>
      </c>
      <c r="G5784" s="1205"/>
      <c r="H5784" s="1055"/>
      <c r="I5784" s="1055"/>
      <c r="J5784" s="1055"/>
      <c r="K5784" s="1205"/>
      <c r="L5784" s="1055"/>
      <c r="M5784" s="1205"/>
      <c r="N5784" s="1054"/>
      <c r="O5784" s="1207"/>
      <c r="Q5784" s="1207"/>
    </row>
    <row r="5785" spans="3:17" s="700" customFormat="1" ht="70.5" hidden="1" customHeight="1">
      <c r="C5785" s="701"/>
      <c r="D5785" s="811"/>
      <c r="E5785" s="1276">
        <f>[11]building!Y6116</f>
        <v>0</v>
      </c>
      <c r="F5785" s="748">
        <f t="shared" si="329"/>
        <v>0</v>
      </c>
      <c r="G5785" s="1205"/>
      <c r="H5785" s="1055"/>
      <c r="I5785" s="1055"/>
      <c r="J5785" s="1055"/>
      <c r="K5785" s="1205"/>
      <c r="L5785" s="1055"/>
      <c r="M5785" s="1205"/>
      <c r="N5785" s="1054"/>
      <c r="O5785" s="1207"/>
      <c r="Q5785" s="1207"/>
    </row>
    <row r="5786" spans="3:17" s="700" customFormat="1" ht="70.5" hidden="1" customHeight="1">
      <c r="C5786" s="701"/>
      <c r="D5786" s="811"/>
      <c r="E5786" s="1276">
        <f>[11]building!Y6117</f>
        <v>0</v>
      </c>
      <c r="F5786" s="748">
        <f t="shared" si="329"/>
        <v>0</v>
      </c>
      <c r="G5786" s="1205"/>
      <c r="H5786" s="1055"/>
      <c r="I5786" s="1055"/>
      <c r="J5786" s="1055"/>
      <c r="K5786" s="1205"/>
      <c r="L5786" s="1055"/>
      <c r="M5786" s="1205"/>
      <c r="N5786" s="1054"/>
      <c r="O5786" s="1207"/>
      <c r="Q5786" s="1207"/>
    </row>
    <row r="5787" spans="3:17" s="700" customFormat="1" ht="70.5" hidden="1" customHeight="1">
      <c r="C5787" s="701"/>
      <c r="D5787" s="811"/>
      <c r="E5787" s="1276">
        <f>[11]building!Y6118</f>
        <v>0</v>
      </c>
      <c r="F5787" s="748">
        <f t="shared" si="329"/>
        <v>0</v>
      </c>
      <c r="G5787" s="1205"/>
      <c r="H5787" s="1055"/>
      <c r="I5787" s="1055"/>
      <c r="J5787" s="1055"/>
      <c r="K5787" s="1205"/>
      <c r="L5787" s="1055"/>
      <c r="M5787" s="1205"/>
      <c r="N5787" s="1054"/>
      <c r="O5787" s="1207"/>
      <c r="Q5787" s="1207"/>
    </row>
    <row r="5788" spans="3:17" s="700" customFormat="1" ht="70.5" hidden="1" customHeight="1">
      <c r="C5788" s="701"/>
      <c r="D5788" s="811"/>
      <c r="E5788" s="1276">
        <f>[11]building!Y6119</f>
        <v>0</v>
      </c>
      <c r="F5788" s="748">
        <f t="shared" si="329"/>
        <v>0</v>
      </c>
      <c r="G5788" s="1205"/>
      <c r="H5788" s="1055"/>
      <c r="I5788" s="1055"/>
      <c r="J5788" s="1055"/>
      <c r="K5788" s="1205"/>
      <c r="L5788" s="1055"/>
      <c r="M5788" s="1205"/>
      <c r="N5788" s="1054"/>
      <c r="O5788" s="1207"/>
      <c r="Q5788" s="1207"/>
    </row>
    <row r="5789" spans="3:17" s="700" customFormat="1" ht="70.5" hidden="1" customHeight="1">
      <c r="C5789" s="701"/>
      <c r="D5789" s="811"/>
      <c r="E5789" s="1276">
        <f>[11]building!Y6120</f>
        <v>0</v>
      </c>
      <c r="F5789" s="748">
        <f t="shared" si="329"/>
        <v>0</v>
      </c>
      <c r="G5789" s="1205"/>
      <c r="H5789" s="1055"/>
      <c r="I5789" s="1055"/>
      <c r="J5789" s="1055"/>
      <c r="K5789" s="1205"/>
      <c r="L5789" s="1055"/>
      <c r="M5789" s="1205"/>
      <c r="N5789" s="1054"/>
      <c r="O5789" s="1207"/>
      <c r="Q5789" s="1207"/>
    </row>
    <row r="5790" spans="3:17" s="700" customFormat="1" ht="70.5" hidden="1" customHeight="1">
      <c r="C5790" s="701"/>
      <c r="D5790" s="811"/>
      <c r="E5790" s="1276">
        <f>[11]building!Y6121</f>
        <v>0</v>
      </c>
      <c r="F5790" s="748">
        <f t="shared" si="329"/>
        <v>0</v>
      </c>
      <c r="G5790" s="1205"/>
      <c r="H5790" s="1055"/>
      <c r="I5790" s="1055"/>
      <c r="J5790" s="1055"/>
      <c r="K5790" s="1205"/>
      <c r="L5790" s="1055"/>
      <c r="M5790" s="1205"/>
      <c r="N5790" s="1054"/>
      <c r="O5790" s="1207"/>
      <c r="Q5790" s="1207"/>
    </row>
    <row r="5791" spans="3:17" s="700" customFormat="1" ht="70.5" hidden="1" customHeight="1">
      <c r="C5791" s="701"/>
      <c r="D5791" s="811"/>
      <c r="E5791" s="1276">
        <f>[11]building!Y6122</f>
        <v>0</v>
      </c>
      <c r="F5791" s="748">
        <f t="shared" si="329"/>
        <v>0</v>
      </c>
      <c r="G5791" s="1205"/>
      <c r="H5791" s="1055"/>
      <c r="I5791" s="1055"/>
      <c r="J5791" s="1055"/>
      <c r="K5791" s="1205"/>
      <c r="L5791" s="1055"/>
      <c r="M5791" s="1205"/>
      <c r="N5791" s="1054"/>
      <c r="O5791" s="1207"/>
      <c r="Q5791" s="1207"/>
    </row>
    <row r="5792" spans="3:17" s="700" customFormat="1" ht="70.5" hidden="1" customHeight="1">
      <c r="C5792" s="701"/>
      <c r="D5792" s="811"/>
      <c r="E5792" s="1276">
        <f>[11]building!Y6123</f>
        <v>0</v>
      </c>
      <c r="F5792" s="748">
        <f t="shared" si="329"/>
        <v>0</v>
      </c>
      <c r="G5792" s="1205"/>
      <c r="H5792" s="1055"/>
      <c r="I5792" s="1055"/>
      <c r="J5792" s="1055"/>
      <c r="K5792" s="1205"/>
      <c r="L5792" s="1055"/>
      <c r="M5792" s="1205"/>
      <c r="N5792" s="1054"/>
      <c r="O5792" s="1207"/>
      <c r="Q5792" s="1207"/>
    </row>
    <row r="5793" spans="3:17" s="700" customFormat="1" ht="70.5" hidden="1" customHeight="1">
      <c r="C5793" s="701"/>
      <c r="D5793" s="811"/>
      <c r="E5793" s="1276">
        <f>[11]building!Y6124</f>
        <v>0</v>
      </c>
      <c r="F5793" s="748">
        <f t="shared" si="329"/>
        <v>0</v>
      </c>
      <c r="G5793" s="1205"/>
      <c r="H5793" s="1055"/>
      <c r="I5793" s="1055"/>
      <c r="J5793" s="1055"/>
      <c r="K5793" s="1205"/>
      <c r="L5793" s="1055"/>
      <c r="M5793" s="1205"/>
      <c r="N5793" s="1054"/>
      <c r="O5793" s="1207"/>
      <c r="Q5793" s="1207"/>
    </row>
    <row r="5794" spans="3:17" s="700" customFormat="1" ht="70.5" hidden="1" customHeight="1">
      <c r="C5794" s="701"/>
      <c r="D5794" s="811"/>
      <c r="E5794" s="1276">
        <f>[11]building!Y6125</f>
        <v>0</v>
      </c>
      <c r="F5794" s="748">
        <f t="shared" si="329"/>
        <v>0</v>
      </c>
      <c r="G5794" s="1205"/>
      <c r="H5794" s="1055"/>
      <c r="I5794" s="1055"/>
      <c r="J5794" s="1055"/>
      <c r="K5794" s="1205"/>
      <c r="L5794" s="1055"/>
      <c r="M5794" s="1205"/>
      <c r="N5794" s="1054"/>
      <c r="O5794" s="1207"/>
      <c r="Q5794" s="1207"/>
    </row>
    <row r="5795" spans="3:17" s="700" customFormat="1" ht="70.5" hidden="1" customHeight="1">
      <c r="C5795" s="701"/>
      <c r="D5795" s="811"/>
      <c r="E5795" s="1276">
        <f>[11]building!Y6126</f>
        <v>0</v>
      </c>
      <c r="F5795" s="748">
        <f t="shared" si="329"/>
        <v>0</v>
      </c>
      <c r="G5795" s="1205"/>
      <c r="H5795" s="1055"/>
      <c r="I5795" s="1055"/>
      <c r="J5795" s="1055"/>
      <c r="K5795" s="1205"/>
      <c r="L5795" s="1055"/>
      <c r="M5795" s="1205"/>
      <c r="N5795" s="1054"/>
      <c r="O5795" s="1207"/>
      <c r="Q5795" s="1207"/>
    </row>
    <row r="5796" spans="3:17" s="700" customFormat="1" ht="70.5" hidden="1" customHeight="1">
      <c r="C5796" s="701"/>
      <c r="D5796" s="811"/>
      <c r="E5796" s="1276">
        <f>[11]building!Y6127</f>
        <v>0</v>
      </c>
      <c r="F5796" s="748">
        <f t="shared" si="329"/>
        <v>0</v>
      </c>
      <c r="G5796" s="1205"/>
      <c r="H5796" s="1055"/>
      <c r="I5796" s="1055"/>
      <c r="J5796" s="1055"/>
      <c r="K5796" s="1205"/>
      <c r="L5796" s="1055"/>
      <c r="M5796" s="1205"/>
      <c r="N5796" s="1054"/>
      <c r="O5796" s="1207"/>
      <c r="Q5796" s="1207"/>
    </row>
    <row r="5797" spans="3:17" s="700" customFormat="1" ht="70.5" hidden="1" customHeight="1">
      <c r="C5797" s="701"/>
      <c r="D5797" s="811"/>
      <c r="E5797" s="1276">
        <f>[11]building!Y6128</f>
        <v>0</v>
      </c>
      <c r="F5797" s="748">
        <f t="shared" si="329"/>
        <v>0</v>
      </c>
      <c r="G5797" s="1205"/>
      <c r="H5797" s="1055"/>
      <c r="I5797" s="1055"/>
      <c r="J5797" s="1055"/>
      <c r="K5797" s="1205"/>
      <c r="L5797" s="1055"/>
      <c r="M5797" s="1205"/>
      <c r="N5797" s="1054"/>
      <c r="O5797" s="1207"/>
      <c r="Q5797" s="1207"/>
    </row>
    <row r="5798" spans="3:17" s="700" customFormat="1" ht="70.5" hidden="1" customHeight="1">
      <c r="C5798" s="701"/>
      <c r="D5798" s="811"/>
      <c r="E5798" s="1276">
        <f>[11]building!Y6129</f>
        <v>0</v>
      </c>
      <c r="F5798" s="748">
        <f t="shared" si="329"/>
        <v>0</v>
      </c>
      <c r="G5798" s="1205"/>
      <c r="H5798" s="1055"/>
      <c r="I5798" s="1055"/>
      <c r="J5798" s="1055"/>
      <c r="K5798" s="1205"/>
      <c r="L5798" s="1055"/>
      <c r="M5798" s="1205"/>
      <c r="N5798" s="1054"/>
      <c r="O5798" s="1207"/>
      <c r="Q5798" s="1207"/>
    </row>
    <row r="5799" spans="3:17" s="700" customFormat="1" ht="70.5" hidden="1" customHeight="1">
      <c r="C5799" s="701"/>
      <c r="D5799" s="811"/>
      <c r="E5799" s="1276">
        <f>[11]building!Y6130</f>
        <v>0</v>
      </c>
      <c r="F5799" s="748">
        <f t="shared" si="329"/>
        <v>0</v>
      </c>
      <c r="G5799" s="1205"/>
      <c r="H5799" s="1055"/>
      <c r="I5799" s="1055"/>
      <c r="J5799" s="1055"/>
      <c r="K5799" s="1205"/>
      <c r="L5799" s="1055"/>
      <c r="M5799" s="1205"/>
      <c r="N5799" s="1054"/>
      <c r="O5799" s="1207"/>
      <c r="Q5799" s="1207"/>
    </row>
    <row r="5800" spans="3:17" s="700" customFormat="1" ht="70.5" hidden="1" customHeight="1">
      <c r="C5800" s="701"/>
      <c r="D5800" s="811"/>
      <c r="E5800" s="1276">
        <f>[11]building!Y6131</f>
        <v>0</v>
      </c>
      <c r="F5800" s="748">
        <f t="shared" si="329"/>
        <v>0</v>
      </c>
      <c r="G5800" s="1205"/>
      <c r="H5800" s="1055"/>
      <c r="I5800" s="1055"/>
      <c r="J5800" s="1055"/>
      <c r="K5800" s="1205"/>
      <c r="L5800" s="1055"/>
      <c r="M5800" s="1205"/>
      <c r="N5800" s="1054"/>
      <c r="O5800" s="1207"/>
      <c r="Q5800" s="1207"/>
    </row>
    <row r="5801" spans="3:17" s="700" customFormat="1" ht="70.5" hidden="1" customHeight="1">
      <c r="C5801" s="701"/>
      <c r="D5801" s="811"/>
      <c r="E5801" s="1276">
        <f>[11]building!Y6132</f>
        <v>0</v>
      </c>
      <c r="F5801" s="748">
        <f t="shared" si="329"/>
        <v>0</v>
      </c>
      <c r="G5801" s="1205"/>
      <c r="H5801" s="1055"/>
      <c r="I5801" s="1055"/>
      <c r="J5801" s="1055"/>
      <c r="K5801" s="1205"/>
      <c r="L5801" s="1055"/>
      <c r="M5801" s="1205"/>
      <c r="N5801" s="1054"/>
      <c r="O5801" s="1207"/>
      <c r="Q5801" s="1207"/>
    </row>
    <row r="5802" spans="3:17" s="700" customFormat="1" ht="70.5" hidden="1" customHeight="1">
      <c r="C5802" s="701"/>
      <c r="D5802" s="811"/>
      <c r="E5802" s="1276">
        <f>[11]building!Y6133</f>
        <v>0</v>
      </c>
      <c r="F5802" s="748">
        <f t="shared" si="329"/>
        <v>0</v>
      </c>
      <c r="G5802" s="1205"/>
      <c r="H5802" s="1055"/>
      <c r="I5802" s="1055"/>
      <c r="J5802" s="1055"/>
      <c r="K5802" s="1205"/>
      <c r="L5802" s="1055"/>
      <c r="M5802" s="1205"/>
      <c r="N5802" s="1054"/>
      <c r="O5802" s="1207"/>
      <c r="Q5802" s="1207"/>
    </row>
    <row r="5803" spans="3:17" s="700" customFormat="1" ht="70.5" hidden="1" customHeight="1">
      <c r="C5803" s="701"/>
      <c r="D5803" s="811"/>
      <c r="E5803" s="1276">
        <f>[11]building!Y6134</f>
        <v>0</v>
      </c>
      <c r="F5803" s="748">
        <f t="shared" si="329"/>
        <v>0</v>
      </c>
      <c r="G5803" s="1205"/>
      <c r="H5803" s="1055"/>
      <c r="I5803" s="1055"/>
      <c r="J5803" s="1055"/>
      <c r="K5803" s="1205"/>
      <c r="L5803" s="1055"/>
      <c r="M5803" s="1205"/>
      <c r="N5803" s="1054"/>
      <c r="O5803" s="1207"/>
      <c r="Q5803" s="1207"/>
    </row>
    <row r="5804" spans="3:17" s="700" customFormat="1" ht="70.5" hidden="1" customHeight="1">
      <c r="C5804" s="701"/>
      <c r="D5804" s="811"/>
      <c r="E5804" s="1276">
        <f>[11]building!Y6135</f>
        <v>0</v>
      </c>
      <c r="F5804" s="748">
        <f t="shared" si="329"/>
        <v>0</v>
      </c>
      <c r="G5804" s="1205"/>
      <c r="H5804" s="1055"/>
      <c r="I5804" s="1055"/>
      <c r="J5804" s="1055"/>
      <c r="K5804" s="1205"/>
      <c r="L5804" s="1055"/>
      <c r="M5804" s="1205"/>
      <c r="N5804" s="1054"/>
      <c r="O5804" s="1207"/>
      <c r="Q5804" s="1207"/>
    </row>
    <row r="5805" spans="3:17" s="700" customFormat="1" ht="70.5" hidden="1" customHeight="1">
      <c r="C5805" s="701"/>
      <c r="D5805" s="811"/>
      <c r="E5805" s="1276">
        <f>[11]building!Y6136</f>
        <v>0</v>
      </c>
      <c r="F5805" s="748">
        <f t="shared" si="329"/>
        <v>0</v>
      </c>
      <c r="G5805" s="1205"/>
      <c r="H5805" s="1055"/>
      <c r="I5805" s="1055"/>
      <c r="J5805" s="1055"/>
      <c r="K5805" s="1205"/>
      <c r="L5805" s="1055"/>
      <c r="M5805" s="1205"/>
      <c r="N5805" s="1054"/>
      <c r="O5805" s="1207"/>
      <c r="Q5805" s="1207"/>
    </row>
    <row r="5806" spans="3:17" s="700" customFormat="1" ht="70.5" hidden="1" customHeight="1">
      <c r="C5806" s="701"/>
      <c r="D5806" s="811"/>
      <c r="E5806" s="1276">
        <f>[11]building!Y6137</f>
        <v>0</v>
      </c>
      <c r="F5806" s="748">
        <f t="shared" si="329"/>
        <v>0</v>
      </c>
      <c r="G5806" s="1205"/>
      <c r="H5806" s="1055"/>
      <c r="I5806" s="1055"/>
      <c r="J5806" s="1055"/>
      <c r="K5806" s="1205"/>
      <c r="L5806" s="1055"/>
      <c r="M5806" s="1205"/>
      <c r="N5806" s="1054"/>
      <c r="O5806" s="1207"/>
      <c r="Q5806" s="1207"/>
    </row>
    <row r="5807" spans="3:17" s="700" customFormat="1" ht="70.5" hidden="1" customHeight="1">
      <c r="C5807" s="701"/>
      <c r="D5807" s="811"/>
      <c r="E5807" s="1276">
        <f>[11]building!Y6138</f>
        <v>0</v>
      </c>
      <c r="F5807" s="748">
        <f t="shared" si="329"/>
        <v>0</v>
      </c>
      <c r="G5807" s="1205"/>
      <c r="H5807" s="1055"/>
      <c r="I5807" s="1055"/>
      <c r="J5807" s="1055"/>
      <c r="K5807" s="1205"/>
      <c r="L5807" s="1055"/>
      <c r="M5807" s="1205"/>
      <c r="N5807" s="1054"/>
      <c r="O5807" s="1207"/>
      <c r="Q5807" s="1207"/>
    </row>
    <row r="5808" spans="3:17" s="700" customFormat="1" ht="70.5" hidden="1" customHeight="1">
      <c r="C5808" s="701"/>
      <c r="D5808" s="811"/>
      <c r="E5808" s="1276">
        <f>[11]building!Y6139</f>
        <v>0</v>
      </c>
      <c r="F5808" s="748">
        <f t="shared" si="329"/>
        <v>0</v>
      </c>
      <c r="G5808" s="1205"/>
      <c r="H5808" s="1055"/>
      <c r="I5808" s="1055"/>
      <c r="J5808" s="1055"/>
      <c r="K5808" s="1205"/>
      <c r="L5808" s="1055"/>
      <c r="M5808" s="1205"/>
      <c r="N5808" s="1054"/>
      <c r="O5808" s="1207"/>
      <c r="Q5808" s="1207"/>
    </row>
    <row r="5809" spans="3:17" s="700" customFormat="1" ht="70.5" hidden="1" customHeight="1">
      <c r="C5809" s="701"/>
      <c r="D5809" s="811"/>
      <c r="E5809" s="1276">
        <f>[11]building!Y6140</f>
        <v>0</v>
      </c>
      <c r="F5809" s="748">
        <f t="shared" si="329"/>
        <v>0</v>
      </c>
      <c r="G5809" s="1205"/>
      <c r="H5809" s="1055"/>
      <c r="I5809" s="1055"/>
      <c r="J5809" s="1055"/>
      <c r="K5809" s="1205"/>
      <c r="L5809" s="1055"/>
      <c r="M5809" s="1205"/>
      <c r="N5809" s="1054"/>
      <c r="O5809" s="1207"/>
      <c r="Q5809" s="1207"/>
    </row>
    <row r="5810" spans="3:17" s="700" customFormat="1" ht="70.5" hidden="1" customHeight="1">
      <c r="C5810" s="701"/>
      <c r="D5810" s="811"/>
      <c r="E5810" s="1276">
        <f>[11]building!Y6141</f>
        <v>0</v>
      </c>
      <c r="F5810" s="748">
        <f t="shared" si="329"/>
        <v>0</v>
      </c>
      <c r="G5810" s="1205"/>
      <c r="H5810" s="1055"/>
      <c r="I5810" s="1055"/>
      <c r="J5810" s="1055"/>
      <c r="K5810" s="1205"/>
      <c r="L5810" s="1055"/>
      <c r="M5810" s="1205"/>
      <c r="N5810" s="1054"/>
      <c r="O5810" s="1207"/>
      <c r="Q5810" s="1207"/>
    </row>
    <row r="5811" spans="3:17" s="700" customFormat="1" ht="70.5" hidden="1" customHeight="1">
      <c r="C5811" s="701"/>
      <c r="D5811" s="811"/>
      <c r="E5811" s="1276">
        <f>[11]building!Y6142</f>
        <v>0</v>
      </c>
      <c r="F5811" s="748">
        <f t="shared" si="329"/>
        <v>0</v>
      </c>
      <c r="G5811" s="1205"/>
      <c r="H5811" s="1055"/>
      <c r="I5811" s="1055"/>
      <c r="J5811" s="1055"/>
      <c r="K5811" s="1205"/>
      <c r="L5811" s="1055"/>
      <c r="M5811" s="1205"/>
      <c r="N5811" s="1054"/>
      <c r="O5811" s="1207"/>
      <c r="Q5811" s="1207"/>
    </row>
    <row r="5812" spans="3:17" s="700" customFormat="1" ht="70.5" hidden="1" customHeight="1">
      <c r="C5812" s="701"/>
      <c r="D5812" s="811"/>
      <c r="E5812" s="1276">
        <f>[11]building!Y6143</f>
        <v>0</v>
      </c>
      <c r="F5812" s="748">
        <f t="shared" si="329"/>
        <v>0</v>
      </c>
      <c r="G5812" s="1205"/>
      <c r="H5812" s="1055"/>
      <c r="I5812" s="1055"/>
      <c r="J5812" s="1055"/>
      <c r="K5812" s="1205"/>
      <c r="L5812" s="1055"/>
      <c r="M5812" s="1205"/>
      <c r="N5812" s="1054"/>
      <c r="O5812" s="1207"/>
      <c r="Q5812" s="1207"/>
    </row>
    <row r="5813" spans="3:17" s="700" customFormat="1" ht="70.5" hidden="1" customHeight="1">
      <c r="C5813" s="701"/>
      <c r="D5813" s="811"/>
      <c r="E5813" s="1276">
        <f>[11]building!Y6144</f>
        <v>0</v>
      </c>
      <c r="F5813" s="748">
        <f t="shared" si="329"/>
        <v>0</v>
      </c>
      <c r="G5813" s="1205"/>
      <c r="H5813" s="1055"/>
      <c r="I5813" s="1055"/>
      <c r="J5813" s="1055"/>
      <c r="K5813" s="1205"/>
      <c r="L5813" s="1055"/>
      <c r="M5813" s="1205"/>
      <c r="N5813" s="1054"/>
      <c r="O5813" s="1207"/>
      <c r="Q5813" s="1207"/>
    </row>
    <row r="5814" spans="3:17" s="700" customFormat="1" ht="70.5" hidden="1" customHeight="1">
      <c r="C5814" s="701"/>
      <c r="D5814" s="811"/>
      <c r="E5814" s="1276">
        <f>[11]building!Y6145</f>
        <v>0</v>
      </c>
      <c r="F5814" s="748">
        <f t="shared" si="329"/>
        <v>0</v>
      </c>
      <c r="G5814" s="1205"/>
      <c r="H5814" s="1055"/>
      <c r="I5814" s="1055"/>
      <c r="J5814" s="1055"/>
      <c r="K5814" s="1205"/>
      <c r="L5814" s="1055"/>
      <c r="M5814" s="1205"/>
      <c r="N5814" s="1054"/>
      <c r="O5814" s="1207"/>
      <c r="Q5814" s="1207"/>
    </row>
    <row r="5815" spans="3:17" s="700" customFormat="1" ht="70.5" hidden="1" customHeight="1">
      <c r="C5815" s="701"/>
      <c r="D5815" s="811"/>
      <c r="E5815" s="1276">
        <f>[11]building!Y6146</f>
        <v>0</v>
      </c>
      <c r="F5815" s="748">
        <f t="shared" si="329"/>
        <v>0</v>
      </c>
      <c r="G5815" s="1205"/>
      <c r="H5815" s="1055"/>
      <c r="I5815" s="1055"/>
      <c r="J5815" s="1055"/>
      <c r="K5815" s="1205"/>
      <c r="L5815" s="1055"/>
      <c r="M5815" s="1205"/>
      <c r="N5815" s="1054"/>
      <c r="O5815" s="1207"/>
      <c r="Q5815" s="1207"/>
    </row>
    <row r="5816" spans="3:17" s="700" customFormat="1" ht="70.5" hidden="1" customHeight="1">
      <c r="C5816" s="701"/>
      <c r="D5816" s="811"/>
      <c r="E5816" s="1276">
        <f>[11]building!Y6147</f>
        <v>0</v>
      </c>
      <c r="F5816" s="748">
        <f t="shared" si="329"/>
        <v>0</v>
      </c>
      <c r="G5816" s="1205"/>
      <c r="H5816" s="1055"/>
      <c r="I5816" s="1055"/>
      <c r="J5816" s="1055"/>
      <c r="K5816" s="1205"/>
      <c r="L5816" s="1055"/>
      <c r="M5816" s="1205"/>
      <c r="N5816" s="1054"/>
      <c r="O5816" s="1207"/>
      <c r="Q5816" s="1207"/>
    </row>
    <row r="5817" spans="3:17" s="700" customFormat="1" ht="70.5" hidden="1" customHeight="1">
      <c r="C5817" s="701"/>
      <c r="D5817" s="811"/>
      <c r="E5817" s="1276">
        <f>[11]building!Y6148</f>
        <v>0</v>
      </c>
      <c r="F5817" s="748">
        <f t="shared" si="329"/>
        <v>0</v>
      </c>
      <c r="G5817" s="1205"/>
      <c r="H5817" s="1055"/>
      <c r="I5817" s="1055"/>
      <c r="J5817" s="1055"/>
      <c r="K5817" s="1205"/>
      <c r="L5817" s="1055"/>
      <c r="M5817" s="1205"/>
      <c r="N5817" s="1054"/>
      <c r="O5817" s="1207"/>
      <c r="Q5817" s="1207"/>
    </row>
    <row r="5818" spans="3:17" s="700" customFormat="1" ht="70.5" hidden="1" customHeight="1">
      <c r="C5818" s="701"/>
      <c r="D5818" s="811"/>
      <c r="E5818" s="1276">
        <f>[11]building!Y6149</f>
        <v>0</v>
      </c>
      <c r="F5818" s="748">
        <f t="shared" si="329"/>
        <v>0</v>
      </c>
      <c r="G5818" s="1205"/>
      <c r="H5818" s="1055"/>
      <c r="I5818" s="1055"/>
      <c r="J5818" s="1055"/>
      <c r="K5818" s="1205"/>
      <c r="L5818" s="1055"/>
      <c r="M5818" s="1205"/>
      <c r="N5818" s="1054"/>
      <c r="O5818" s="1207"/>
      <c r="Q5818" s="1207"/>
    </row>
    <row r="5819" spans="3:17" s="700" customFormat="1" ht="70.5" hidden="1" customHeight="1">
      <c r="C5819" s="701"/>
      <c r="D5819" s="811"/>
      <c r="E5819" s="1276">
        <f>[11]building!Y6150</f>
        <v>0</v>
      </c>
      <c r="F5819" s="748">
        <f t="shared" si="329"/>
        <v>0</v>
      </c>
      <c r="G5819" s="1205"/>
      <c r="H5819" s="1055"/>
      <c r="I5819" s="1055"/>
      <c r="J5819" s="1055"/>
      <c r="K5819" s="1205"/>
      <c r="L5819" s="1055"/>
      <c r="M5819" s="1205"/>
      <c r="N5819" s="1054"/>
      <c r="O5819" s="1207"/>
      <c r="Q5819" s="1207"/>
    </row>
    <row r="5820" spans="3:17" s="700" customFormat="1" ht="70.5" hidden="1" customHeight="1">
      <c r="C5820" s="701"/>
      <c r="D5820" s="811"/>
      <c r="E5820" s="1276">
        <f>[11]building!Y6151</f>
        <v>0</v>
      </c>
      <c r="F5820" s="748">
        <f t="shared" si="329"/>
        <v>0</v>
      </c>
      <c r="G5820" s="1205"/>
      <c r="H5820" s="1055"/>
      <c r="I5820" s="1055"/>
      <c r="J5820" s="1055"/>
      <c r="K5820" s="1205"/>
      <c r="L5820" s="1055"/>
      <c r="M5820" s="1205"/>
      <c r="N5820" s="1054"/>
      <c r="O5820" s="1207"/>
      <c r="Q5820" s="1207"/>
    </row>
    <row r="5821" spans="3:17" s="700" customFormat="1" ht="70.5" hidden="1" customHeight="1">
      <c r="C5821" s="701"/>
      <c r="D5821" s="811"/>
      <c r="E5821" s="1276">
        <f>[11]building!Y6152</f>
        <v>0</v>
      </c>
      <c r="F5821" s="748">
        <f t="shared" si="329"/>
        <v>0</v>
      </c>
      <c r="G5821" s="1205"/>
      <c r="H5821" s="1055"/>
      <c r="I5821" s="1055"/>
      <c r="J5821" s="1055"/>
      <c r="K5821" s="1205"/>
      <c r="L5821" s="1055"/>
      <c r="M5821" s="1205"/>
      <c r="N5821" s="1054"/>
      <c r="O5821" s="1207"/>
      <c r="Q5821" s="1207"/>
    </row>
    <row r="5822" spans="3:17" s="700" customFormat="1" ht="70.5" hidden="1" customHeight="1">
      <c r="C5822" s="701"/>
      <c r="D5822" s="811"/>
      <c r="E5822" s="1276">
        <f>[11]building!Y6153</f>
        <v>0</v>
      </c>
      <c r="F5822" s="748">
        <f t="shared" si="329"/>
        <v>0</v>
      </c>
      <c r="G5822" s="1205"/>
      <c r="H5822" s="1055"/>
      <c r="I5822" s="1055"/>
      <c r="J5822" s="1055"/>
      <c r="K5822" s="1205"/>
      <c r="L5822" s="1055"/>
      <c r="M5822" s="1205"/>
      <c r="N5822" s="1054"/>
      <c r="O5822" s="1207"/>
      <c r="Q5822" s="1207"/>
    </row>
    <row r="5823" spans="3:17" s="700" customFormat="1" ht="70.5" hidden="1" customHeight="1">
      <c r="C5823" s="701"/>
      <c r="D5823" s="811"/>
      <c r="E5823" s="1276">
        <f>[11]building!Y6154</f>
        <v>0</v>
      </c>
      <c r="F5823" s="748">
        <f t="shared" si="329"/>
        <v>0</v>
      </c>
      <c r="G5823" s="1205"/>
      <c r="H5823" s="1055"/>
      <c r="I5823" s="1055"/>
      <c r="J5823" s="1055"/>
      <c r="K5823" s="1205"/>
      <c r="L5823" s="1055"/>
      <c r="M5823" s="1205"/>
      <c r="N5823" s="1054"/>
      <c r="O5823" s="1207"/>
      <c r="Q5823" s="1207"/>
    </row>
    <row r="5824" spans="3:17" s="700" customFormat="1" ht="70.5" hidden="1" customHeight="1">
      <c r="C5824" s="701"/>
      <c r="D5824" s="811"/>
      <c r="E5824" s="1276">
        <f>[11]building!Y6155</f>
        <v>0</v>
      </c>
      <c r="F5824" s="748">
        <f t="shared" ref="F5824:F5887" si="330">E5824*C5824</f>
        <v>0</v>
      </c>
      <c r="G5824" s="1205"/>
      <c r="H5824" s="1055"/>
      <c r="I5824" s="1055"/>
      <c r="J5824" s="1055"/>
      <c r="K5824" s="1205"/>
      <c r="L5824" s="1055"/>
      <c r="M5824" s="1205"/>
      <c r="N5824" s="1054"/>
      <c r="O5824" s="1207"/>
      <c r="Q5824" s="1207"/>
    </row>
    <row r="5825" spans="3:17" s="700" customFormat="1" ht="70.5" hidden="1" customHeight="1">
      <c r="C5825" s="701"/>
      <c r="D5825" s="811"/>
      <c r="E5825" s="1276">
        <f>[11]building!Y6156</f>
        <v>0</v>
      </c>
      <c r="F5825" s="748">
        <f t="shared" si="330"/>
        <v>0</v>
      </c>
      <c r="G5825" s="1205"/>
      <c r="H5825" s="1055"/>
      <c r="I5825" s="1055"/>
      <c r="J5825" s="1055"/>
      <c r="K5825" s="1205"/>
      <c r="L5825" s="1055"/>
      <c r="M5825" s="1205"/>
      <c r="N5825" s="1054"/>
      <c r="O5825" s="1207"/>
      <c r="Q5825" s="1207"/>
    </row>
    <row r="5826" spans="3:17" s="700" customFormat="1" ht="70.5" hidden="1" customHeight="1">
      <c r="C5826" s="701"/>
      <c r="D5826" s="811"/>
      <c r="E5826" s="1276">
        <f>[11]building!Y6157</f>
        <v>0</v>
      </c>
      <c r="F5826" s="748">
        <f t="shared" si="330"/>
        <v>0</v>
      </c>
      <c r="G5826" s="1205"/>
      <c r="H5826" s="1055"/>
      <c r="I5826" s="1055"/>
      <c r="J5826" s="1055"/>
      <c r="K5826" s="1205"/>
      <c r="L5826" s="1055"/>
      <c r="M5826" s="1205"/>
      <c r="N5826" s="1054"/>
      <c r="O5826" s="1207"/>
      <c r="Q5826" s="1207"/>
    </row>
    <row r="5827" spans="3:17" s="700" customFormat="1" ht="70.5" hidden="1" customHeight="1">
      <c r="C5827" s="701"/>
      <c r="D5827" s="811"/>
      <c r="E5827" s="1276">
        <f>[11]building!Y6158</f>
        <v>0</v>
      </c>
      <c r="F5827" s="748">
        <f t="shared" si="330"/>
        <v>0</v>
      </c>
      <c r="G5827" s="1205"/>
      <c r="H5827" s="1055"/>
      <c r="I5827" s="1055"/>
      <c r="J5827" s="1055"/>
      <c r="K5827" s="1205"/>
      <c r="L5827" s="1055"/>
      <c r="M5827" s="1205"/>
      <c r="N5827" s="1054"/>
      <c r="O5827" s="1207"/>
      <c r="Q5827" s="1207"/>
    </row>
    <row r="5828" spans="3:17" s="700" customFormat="1" ht="70.5" hidden="1" customHeight="1">
      <c r="C5828" s="701"/>
      <c r="D5828" s="811"/>
      <c r="E5828" s="1276">
        <f>[11]building!Y6159</f>
        <v>0</v>
      </c>
      <c r="F5828" s="748">
        <f t="shared" si="330"/>
        <v>0</v>
      </c>
      <c r="G5828" s="1205"/>
      <c r="H5828" s="1055"/>
      <c r="I5828" s="1055"/>
      <c r="J5828" s="1055"/>
      <c r="K5828" s="1205"/>
      <c r="L5828" s="1055"/>
      <c r="M5828" s="1205"/>
      <c r="N5828" s="1054"/>
      <c r="O5828" s="1207"/>
      <c r="Q5828" s="1207"/>
    </row>
    <row r="5829" spans="3:17" s="700" customFormat="1" ht="70.5" hidden="1" customHeight="1">
      <c r="C5829" s="701"/>
      <c r="D5829" s="811"/>
      <c r="E5829" s="1276">
        <f>[11]building!Y6160</f>
        <v>0</v>
      </c>
      <c r="F5829" s="748">
        <f t="shared" si="330"/>
        <v>0</v>
      </c>
      <c r="G5829" s="1205"/>
      <c r="H5829" s="1055"/>
      <c r="I5829" s="1055"/>
      <c r="J5829" s="1055"/>
      <c r="K5829" s="1205"/>
      <c r="L5829" s="1055"/>
      <c r="M5829" s="1205"/>
      <c r="N5829" s="1054"/>
      <c r="O5829" s="1207"/>
      <c r="Q5829" s="1207"/>
    </row>
    <row r="5830" spans="3:17" s="700" customFormat="1" ht="70.5" hidden="1" customHeight="1">
      <c r="C5830" s="701"/>
      <c r="D5830" s="811"/>
      <c r="E5830" s="1276">
        <f>[11]building!Y6161</f>
        <v>0</v>
      </c>
      <c r="F5830" s="748">
        <f t="shared" si="330"/>
        <v>0</v>
      </c>
      <c r="G5830" s="1205"/>
      <c r="H5830" s="1055"/>
      <c r="I5830" s="1055"/>
      <c r="J5830" s="1055"/>
      <c r="K5830" s="1205"/>
      <c r="L5830" s="1055"/>
      <c r="M5830" s="1205"/>
      <c r="N5830" s="1054"/>
      <c r="O5830" s="1207"/>
      <c r="Q5830" s="1207"/>
    </row>
    <row r="5831" spans="3:17" s="700" customFormat="1" ht="70.5" hidden="1" customHeight="1">
      <c r="C5831" s="701"/>
      <c r="D5831" s="811"/>
      <c r="E5831" s="1276">
        <f>[11]building!Y6162</f>
        <v>0</v>
      </c>
      <c r="F5831" s="748">
        <f t="shared" si="330"/>
        <v>0</v>
      </c>
      <c r="G5831" s="1205"/>
      <c r="H5831" s="1055"/>
      <c r="I5831" s="1055"/>
      <c r="J5831" s="1055"/>
      <c r="K5831" s="1205"/>
      <c r="L5831" s="1055"/>
      <c r="M5831" s="1205"/>
      <c r="N5831" s="1054"/>
      <c r="O5831" s="1207"/>
      <c r="Q5831" s="1207"/>
    </row>
    <row r="5832" spans="3:17" s="700" customFormat="1" ht="70.5" hidden="1" customHeight="1">
      <c r="C5832" s="701"/>
      <c r="D5832" s="811"/>
      <c r="E5832" s="1276">
        <f>[11]building!Y6163</f>
        <v>0</v>
      </c>
      <c r="F5832" s="748">
        <f t="shared" si="330"/>
        <v>0</v>
      </c>
      <c r="G5832" s="1205"/>
      <c r="H5832" s="1055"/>
      <c r="I5832" s="1055"/>
      <c r="J5832" s="1055"/>
      <c r="K5832" s="1205"/>
      <c r="L5832" s="1055"/>
      <c r="M5832" s="1205"/>
      <c r="N5832" s="1054"/>
      <c r="O5832" s="1207"/>
      <c r="Q5832" s="1207"/>
    </row>
    <row r="5833" spans="3:17" s="700" customFormat="1" ht="70.5" hidden="1" customHeight="1">
      <c r="C5833" s="701"/>
      <c r="D5833" s="811"/>
      <c r="E5833" s="1276">
        <f>[11]building!Y6164</f>
        <v>0</v>
      </c>
      <c r="F5833" s="748">
        <f t="shared" si="330"/>
        <v>0</v>
      </c>
      <c r="G5833" s="1205"/>
      <c r="H5833" s="1055"/>
      <c r="I5833" s="1055"/>
      <c r="J5833" s="1055"/>
      <c r="K5833" s="1205"/>
      <c r="L5833" s="1055"/>
      <c r="M5833" s="1205"/>
      <c r="N5833" s="1054"/>
      <c r="O5833" s="1207"/>
      <c r="Q5833" s="1207"/>
    </row>
    <row r="5834" spans="3:17" s="700" customFormat="1" ht="70.5" hidden="1" customHeight="1">
      <c r="C5834" s="701"/>
      <c r="D5834" s="811"/>
      <c r="E5834" s="1276">
        <f>[11]building!Y6165</f>
        <v>0</v>
      </c>
      <c r="F5834" s="748">
        <f t="shared" si="330"/>
        <v>0</v>
      </c>
      <c r="G5834" s="1205"/>
      <c r="H5834" s="1055"/>
      <c r="I5834" s="1055"/>
      <c r="J5834" s="1055"/>
      <c r="K5834" s="1205"/>
      <c r="L5834" s="1055"/>
      <c r="M5834" s="1205"/>
      <c r="N5834" s="1054"/>
      <c r="O5834" s="1207"/>
      <c r="Q5834" s="1207"/>
    </row>
    <row r="5835" spans="3:17" s="700" customFormat="1" ht="70.5" hidden="1" customHeight="1">
      <c r="C5835" s="701"/>
      <c r="D5835" s="811"/>
      <c r="E5835" s="1276">
        <f>[11]building!Y6166</f>
        <v>0</v>
      </c>
      <c r="F5835" s="748">
        <f t="shared" si="330"/>
        <v>0</v>
      </c>
      <c r="G5835" s="1205"/>
      <c r="H5835" s="1055"/>
      <c r="I5835" s="1055"/>
      <c r="J5835" s="1055"/>
      <c r="K5835" s="1205"/>
      <c r="L5835" s="1055"/>
      <c r="M5835" s="1205"/>
      <c r="N5835" s="1054"/>
      <c r="O5835" s="1207"/>
      <c r="Q5835" s="1207"/>
    </row>
    <row r="5836" spans="3:17" s="700" customFormat="1" ht="70.5" hidden="1" customHeight="1">
      <c r="C5836" s="701"/>
      <c r="D5836" s="811"/>
      <c r="E5836" s="1276">
        <f>[11]building!Y6167</f>
        <v>0</v>
      </c>
      <c r="F5836" s="748">
        <f t="shared" si="330"/>
        <v>0</v>
      </c>
      <c r="G5836" s="1205"/>
      <c r="H5836" s="1055"/>
      <c r="I5836" s="1055"/>
      <c r="J5836" s="1055"/>
      <c r="K5836" s="1205"/>
      <c r="L5836" s="1055"/>
      <c r="M5836" s="1205"/>
      <c r="N5836" s="1054"/>
      <c r="O5836" s="1207"/>
      <c r="Q5836" s="1207"/>
    </row>
    <row r="5837" spans="3:17" s="700" customFormat="1" ht="70.5" hidden="1" customHeight="1">
      <c r="C5837" s="701"/>
      <c r="D5837" s="811"/>
      <c r="E5837" s="1276">
        <f>[11]building!Y6168</f>
        <v>0</v>
      </c>
      <c r="F5837" s="748">
        <f t="shared" si="330"/>
        <v>0</v>
      </c>
      <c r="G5837" s="1205"/>
      <c r="H5837" s="1055"/>
      <c r="I5837" s="1055"/>
      <c r="J5837" s="1055"/>
      <c r="K5837" s="1205"/>
      <c r="L5837" s="1055"/>
      <c r="M5837" s="1205"/>
      <c r="N5837" s="1054"/>
      <c r="O5837" s="1207"/>
      <c r="Q5837" s="1207"/>
    </row>
    <row r="5838" spans="3:17" s="700" customFormat="1" ht="70.5" hidden="1" customHeight="1">
      <c r="C5838" s="701"/>
      <c r="D5838" s="811"/>
      <c r="E5838" s="1276">
        <f>[11]building!Y6169</f>
        <v>0</v>
      </c>
      <c r="F5838" s="748">
        <f t="shared" si="330"/>
        <v>0</v>
      </c>
      <c r="G5838" s="1205"/>
      <c r="H5838" s="1055"/>
      <c r="I5838" s="1055"/>
      <c r="J5838" s="1055"/>
      <c r="K5838" s="1205"/>
      <c r="L5838" s="1055"/>
      <c r="M5838" s="1205"/>
      <c r="N5838" s="1054"/>
      <c r="O5838" s="1207"/>
      <c r="Q5838" s="1207"/>
    </row>
    <row r="5839" spans="3:17" s="700" customFormat="1" ht="70.5" hidden="1" customHeight="1">
      <c r="C5839" s="701"/>
      <c r="D5839" s="811"/>
      <c r="E5839" s="1276">
        <f>[11]building!Y6170</f>
        <v>0</v>
      </c>
      <c r="F5839" s="748">
        <f t="shared" si="330"/>
        <v>0</v>
      </c>
      <c r="G5839" s="1205"/>
      <c r="H5839" s="1055"/>
      <c r="I5839" s="1055"/>
      <c r="J5839" s="1055"/>
      <c r="K5839" s="1205"/>
      <c r="L5839" s="1055"/>
      <c r="M5839" s="1205"/>
      <c r="N5839" s="1054"/>
      <c r="O5839" s="1207"/>
      <c r="Q5839" s="1207"/>
    </row>
    <row r="5840" spans="3:17" s="700" customFormat="1" ht="70.5" hidden="1" customHeight="1">
      <c r="C5840" s="701"/>
      <c r="D5840" s="811"/>
      <c r="E5840" s="1276">
        <f>[11]building!Y6171</f>
        <v>0</v>
      </c>
      <c r="F5840" s="748">
        <f t="shared" si="330"/>
        <v>0</v>
      </c>
      <c r="G5840" s="1205"/>
      <c r="H5840" s="1055"/>
      <c r="I5840" s="1055"/>
      <c r="J5840" s="1055"/>
      <c r="K5840" s="1205"/>
      <c r="L5840" s="1055"/>
      <c r="M5840" s="1205"/>
      <c r="N5840" s="1054"/>
      <c r="O5840" s="1207"/>
      <c r="Q5840" s="1207"/>
    </row>
    <row r="5841" spans="3:17" s="700" customFormat="1" ht="70.5" hidden="1" customHeight="1">
      <c r="C5841" s="701"/>
      <c r="D5841" s="811"/>
      <c r="E5841" s="1276">
        <f>[11]building!Y6172</f>
        <v>0</v>
      </c>
      <c r="F5841" s="748">
        <f t="shared" si="330"/>
        <v>0</v>
      </c>
      <c r="G5841" s="1205"/>
      <c r="H5841" s="1055"/>
      <c r="I5841" s="1055"/>
      <c r="J5841" s="1055"/>
      <c r="K5841" s="1205"/>
      <c r="L5841" s="1055"/>
      <c r="M5841" s="1205"/>
      <c r="N5841" s="1054"/>
      <c r="O5841" s="1207"/>
      <c r="Q5841" s="1207"/>
    </row>
    <row r="5842" spans="3:17" s="700" customFormat="1" ht="70.5" hidden="1" customHeight="1">
      <c r="C5842" s="701"/>
      <c r="D5842" s="811"/>
      <c r="E5842" s="1276">
        <f>[11]building!Y6173</f>
        <v>0</v>
      </c>
      <c r="F5842" s="748">
        <f t="shared" si="330"/>
        <v>0</v>
      </c>
      <c r="G5842" s="1205"/>
      <c r="H5842" s="1055"/>
      <c r="I5842" s="1055"/>
      <c r="J5842" s="1055"/>
      <c r="K5842" s="1205"/>
      <c r="L5842" s="1055"/>
      <c r="M5842" s="1205"/>
      <c r="N5842" s="1054"/>
      <c r="O5842" s="1207"/>
      <c r="Q5842" s="1207"/>
    </row>
    <row r="5843" spans="3:17" s="700" customFormat="1" ht="70.5" hidden="1" customHeight="1">
      <c r="C5843" s="701"/>
      <c r="D5843" s="811"/>
      <c r="E5843" s="1276">
        <f>[11]building!Y6174</f>
        <v>0</v>
      </c>
      <c r="F5843" s="748">
        <f t="shared" si="330"/>
        <v>0</v>
      </c>
      <c r="G5843" s="1205"/>
      <c r="H5843" s="1055"/>
      <c r="I5843" s="1055"/>
      <c r="J5843" s="1055"/>
      <c r="K5843" s="1205"/>
      <c r="L5843" s="1055"/>
      <c r="M5843" s="1205"/>
      <c r="N5843" s="1054"/>
      <c r="O5843" s="1207"/>
      <c r="Q5843" s="1207"/>
    </row>
    <row r="5844" spans="3:17" s="700" customFormat="1" ht="70.5" hidden="1" customHeight="1">
      <c r="C5844" s="701"/>
      <c r="D5844" s="811"/>
      <c r="E5844" s="1276">
        <f>[11]building!Y6175</f>
        <v>0</v>
      </c>
      <c r="F5844" s="748">
        <f t="shared" si="330"/>
        <v>0</v>
      </c>
      <c r="G5844" s="1205"/>
      <c r="H5844" s="1055"/>
      <c r="I5844" s="1055"/>
      <c r="J5844" s="1055"/>
      <c r="K5844" s="1205"/>
      <c r="L5844" s="1055"/>
      <c r="M5844" s="1205"/>
      <c r="N5844" s="1054"/>
      <c r="O5844" s="1207"/>
      <c r="Q5844" s="1207"/>
    </row>
    <row r="5845" spans="3:17" s="700" customFormat="1" ht="70.5" hidden="1" customHeight="1">
      <c r="C5845" s="701"/>
      <c r="D5845" s="811"/>
      <c r="E5845" s="1276">
        <f>[11]building!Y6176</f>
        <v>0</v>
      </c>
      <c r="F5845" s="748">
        <f t="shared" si="330"/>
        <v>0</v>
      </c>
      <c r="G5845" s="1205"/>
      <c r="H5845" s="1055"/>
      <c r="I5845" s="1055"/>
      <c r="J5845" s="1055"/>
      <c r="K5845" s="1205"/>
      <c r="L5845" s="1055"/>
      <c r="M5845" s="1205"/>
      <c r="N5845" s="1054"/>
      <c r="O5845" s="1207"/>
      <c r="Q5845" s="1207"/>
    </row>
    <row r="5846" spans="3:17" s="700" customFormat="1" ht="70.5" hidden="1" customHeight="1">
      <c r="C5846" s="701"/>
      <c r="D5846" s="811"/>
      <c r="E5846" s="1276">
        <f>[11]building!Y6177</f>
        <v>0</v>
      </c>
      <c r="F5846" s="748">
        <f t="shared" si="330"/>
        <v>0</v>
      </c>
      <c r="G5846" s="1205"/>
      <c r="H5846" s="1055"/>
      <c r="I5846" s="1055"/>
      <c r="J5846" s="1055"/>
      <c r="K5846" s="1205"/>
      <c r="L5846" s="1055"/>
      <c r="M5846" s="1205"/>
      <c r="N5846" s="1054"/>
      <c r="O5846" s="1207"/>
      <c r="Q5846" s="1207"/>
    </row>
    <row r="5847" spans="3:17" s="700" customFormat="1" ht="70.5" hidden="1" customHeight="1">
      <c r="C5847" s="701"/>
      <c r="D5847" s="811"/>
      <c r="E5847" s="1276">
        <f>[11]building!Y6178</f>
        <v>0</v>
      </c>
      <c r="F5847" s="748">
        <f t="shared" si="330"/>
        <v>0</v>
      </c>
      <c r="G5847" s="1205"/>
      <c r="H5847" s="1055"/>
      <c r="I5847" s="1055"/>
      <c r="J5847" s="1055"/>
      <c r="K5847" s="1205"/>
      <c r="L5847" s="1055"/>
      <c r="M5847" s="1205"/>
      <c r="N5847" s="1054"/>
      <c r="O5847" s="1207"/>
      <c r="Q5847" s="1207"/>
    </row>
    <row r="5848" spans="3:17" s="700" customFormat="1" ht="70.5" hidden="1" customHeight="1">
      <c r="C5848" s="701"/>
      <c r="D5848" s="811"/>
      <c r="E5848" s="1276">
        <f>[11]building!Y6179</f>
        <v>0</v>
      </c>
      <c r="F5848" s="748">
        <f t="shared" si="330"/>
        <v>0</v>
      </c>
      <c r="G5848" s="1205"/>
      <c r="H5848" s="1055"/>
      <c r="I5848" s="1055"/>
      <c r="J5848" s="1055"/>
      <c r="K5848" s="1205"/>
      <c r="L5848" s="1055"/>
      <c r="M5848" s="1205"/>
      <c r="N5848" s="1054"/>
      <c r="O5848" s="1207"/>
      <c r="Q5848" s="1207"/>
    </row>
    <row r="5849" spans="3:17" s="700" customFormat="1" ht="70.5" hidden="1" customHeight="1">
      <c r="C5849" s="701"/>
      <c r="D5849" s="811"/>
      <c r="E5849" s="1276">
        <f>[11]building!Y6180</f>
        <v>0</v>
      </c>
      <c r="F5849" s="748">
        <f t="shared" si="330"/>
        <v>0</v>
      </c>
      <c r="G5849" s="1205"/>
      <c r="H5849" s="1055"/>
      <c r="I5849" s="1055"/>
      <c r="J5849" s="1055"/>
      <c r="K5849" s="1205"/>
      <c r="L5849" s="1055"/>
      <c r="M5849" s="1205"/>
      <c r="N5849" s="1054"/>
      <c r="O5849" s="1207"/>
      <c r="Q5849" s="1207"/>
    </row>
    <row r="5850" spans="3:17" s="700" customFormat="1" ht="70.5" hidden="1" customHeight="1">
      <c r="C5850" s="701"/>
      <c r="D5850" s="811"/>
      <c r="E5850" s="1276">
        <f>[11]building!Y6181</f>
        <v>0</v>
      </c>
      <c r="F5850" s="748">
        <f t="shared" si="330"/>
        <v>0</v>
      </c>
      <c r="G5850" s="1205"/>
      <c r="H5850" s="1055"/>
      <c r="I5850" s="1055"/>
      <c r="J5850" s="1055"/>
      <c r="K5850" s="1205"/>
      <c r="L5850" s="1055"/>
      <c r="M5850" s="1205"/>
      <c r="N5850" s="1054"/>
      <c r="O5850" s="1207"/>
      <c r="Q5850" s="1207"/>
    </row>
    <row r="5851" spans="3:17" s="700" customFormat="1" ht="70.5" hidden="1" customHeight="1">
      <c r="C5851" s="701"/>
      <c r="D5851" s="811"/>
      <c r="E5851" s="1276">
        <f>[11]building!Y6182</f>
        <v>0</v>
      </c>
      <c r="F5851" s="748">
        <f t="shared" si="330"/>
        <v>0</v>
      </c>
      <c r="G5851" s="1205"/>
      <c r="H5851" s="1055"/>
      <c r="I5851" s="1055"/>
      <c r="J5851" s="1055"/>
      <c r="K5851" s="1205"/>
      <c r="L5851" s="1055"/>
      <c r="M5851" s="1205"/>
      <c r="N5851" s="1054"/>
      <c r="O5851" s="1207"/>
      <c r="Q5851" s="1207"/>
    </row>
    <row r="5852" spans="3:17" s="700" customFormat="1" ht="70.5" hidden="1" customHeight="1">
      <c r="C5852" s="701"/>
      <c r="D5852" s="811"/>
      <c r="E5852" s="1276">
        <f>[11]building!Y6183</f>
        <v>0</v>
      </c>
      <c r="F5852" s="748">
        <f t="shared" si="330"/>
        <v>0</v>
      </c>
      <c r="G5852" s="1205"/>
      <c r="H5852" s="1055"/>
      <c r="I5852" s="1055"/>
      <c r="J5852" s="1055"/>
      <c r="K5852" s="1205"/>
      <c r="L5852" s="1055"/>
      <c r="M5852" s="1205"/>
      <c r="N5852" s="1054"/>
      <c r="O5852" s="1207"/>
      <c r="Q5852" s="1207"/>
    </row>
    <row r="5853" spans="3:17" s="700" customFormat="1" ht="70.5" hidden="1" customHeight="1">
      <c r="C5853" s="701"/>
      <c r="D5853" s="811"/>
      <c r="E5853" s="1276">
        <f>[11]building!Y6184</f>
        <v>0</v>
      </c>
      <c r="F5853" s="748">
        <f t="shared" si="330"/>
        <v>0</v>
      </c>
      <c r="G5853" s="1205"/>
      <c r="H5853" s="1055"/>
      <c r="I5853" s="1055"/>
      <c r="J5853" s="1055"/>
      <c r="K5853" s="1205"/>
      <c r="L5853" s="1055"/>
      <c r="M5853" s="1205"/>
      <c r="N5853" s="1054"/>
      <c r="O5853" s="1207"/>
      <c r="Q5853" s="1207"/>
    </row>
    <row r="5854" spans="3:17" s="700" customFormat="1" ht="70.5" hidden="1" customHeight="1">
      <c r="C5854" s="701"/>
      <c r="D5854" s="811"/>
      <c r="E5854" s="1276">
        <f>[11]building!Y6185</f>
        <v>0</v>
      </c>
      <c r="F5854" s="748">
        <f t="shared" si="330"/>
        <v>0</v>
      </c>
      <c r="G5854" s="1205"/>
      <c r="H5854" s="1055"/>
      <c r="I5854" s="1055"/>
      <c r="J5854" s="1055"/>
      <c r="K5854" s="1205"/>
      <c r="L5854" s="1055"/>
      <c r="M5854" s="1205"/>
      <c r="N5854" s="1054"/>
      <c r="O5854" s="1207"/>
      <c r="Q5854" s="1207"/>
    </row>
    <row r="5855" spans="3:17" s="700" customFormat="1" ht="70.5" hidden="1" customHeight="1">
      <c r="C5855" s="701"/>
      <c r="D5855" s="811"/>
      <c r="E5855" s="1276">
        <f>[11]building!Y6186</f>
        <v>0</v>
      </c>
      <c r="F5855" s="748">
        <f t="shared" si="330"/>
        <v>0</v>
      </c>
      <c r="G5855" s="1205"/>
      <c r="H5855" s="1055"/>
      <c r="I5855" s="1055"/>
      <c r="J5855" s="1055"/>
      <c r="K5855" s="1205"/>
      <c r="L5855" s="1055"/>
      <c r="M5855" s="1205"/>
      <c r="N5855" s="1054"/>
      <c r="O5855" s="1207"/>
      <c r="Q5855" s="1207"/>
    </row>
    <row r="5856" spans="3:17" s="700" customFormat="1" ht="70.5" hidden="1" customHeight="1">
      <c r="C5856" s="701"/>
      <c r="D5856" s="811"/>
      <c r="E5856" s="1276">
        <f>[11]building!Y6187</f>
        <v>0</v>
      </c>
      <c r="F5856" s="748">
        <f t="shared" si="330"/>
        <v>0</v>
      </c>
      <c r="G5856" s="1205"/>
      <c r="H5856" s="1055"/>
      <c r="I5856" s="1055"/>
      <c r="J5856" s="1055"/>
      <c r="K5856" s="1205"/>
      <c r="L5856" s="1055"/>
      <c r="M5856" s="1205"/>
      <c r="N5856" s="1054"/>
      <c r="O5856" s="1207"/>
      <c r="Q5856" s="1207"/>
    </row>
    <row r="5857" spans="3:17" s="700" customFormat="1" ht="70.5" hidden="1" customHeight="1">
      <c r="C5857" s="701"/>
      <c r="D5857" s="811"/>
      <c r="E5857" s="1276">
        <f>[11]building!Y6188</f>
        <v>0</v>
      </c>
      <c r="F5857" s="748">
        <f t="shared" si="330"/>
        <v>0</v>
      </c>
      <c r="G5857" s="1205"/>
      <c r="H5857" s="1055"/>
      <c r="I5857" s="1055"/>
      <c r="J5857" s="1055"/>
      <c r="K5857" s="1205"/>
      <c r="L5857" s="1055"/>
      <c r="M5857" s="1205"/>
      <c r="N5857" s="1054"/>
      <c r="O5857" s="1207"/>
      <c r="Q5857" s="1207"/>
    </row>
    <row r="5858" spans="3:17" s="700" customFormat="1" ht="70.5" hidden="1" customHeight="1">
      <c r="C5858" s="701"/>
      <c r="D5858" s="811"/>
      <c r="E5858" s="1276">
        <f>[11]building!Y6189</f>
        <v>0</v>
      </c>
      <c r="F5858" s="748">
        <f t="shared" si="330"/>
        <v>0</v>
      </c>
      <c r="G5858" s="1205"/>
      <c r="H5858" s="1055"/>
      <c r="I5858" s="1055"/>
      <c r="J5858" s="1055"/>
      <c r="K5858" s="1205"/>
      <c r="L5858" s="1055"/>
      <c r="M5858" s="1205"/>
      <c r="N5858" s="1054"/>
      <c r="O5858" s="1207"/>
      <c r="Q5858" s="1207"/>
    </row>
    <row r="5859" spans="3:17" s="700" customFormat="1" ht="70.5" hidden="1" customHeight="1">
      <c r="C5859" s="701"/>
      <c r="D5859" s="811"/>
      <c r="E5859" s="1276">
        <f>[11]building!Y6190</f>
        <v>0</v>
      </c>
      <c r="F5859" s="748">
        <f t="shared" si="330"/>
        <v>0</v>
      </c>
      <c r="G5859" s="1205"/>
      <c r="H5859" s="1055"/>
      <c r="I5859" s="1055"/>
      <c r="J5859" s="1055"/>
      <c r="K5859" s="1205"/>
      <c r="L5859" s="1055"/>
      <c r="M5859" s="1205"/>
      <c r="N5859" s="1054"/>
      <c r="O5859" s="1207"/>
      <c r="Q5859" s="1207"/>
    </row>
    <row r="5860" spans="3:17" s="700" customFormat="1" ht="70.5" hidden="1" customHeight="1">
      <c r="C5860" s="701"/>
      <c r="D5860" s="811"/>
      <c r="E5860" s="1276">
        <f>[11]building!Y6191</f>
        <v>0</v>
      </c>
      <c r="F5860" s="748">
        <f t="shared" si="330"/>
        <v>0</v>
      </c>
      <c r="G5860" s="1205"/>
      <c r="H5860" s="1055"/>
      <c r="I5860" s="1055"/>
      <c r="J5860" s="1055"/>
      <c r="K5860" s="1205"/>
      <c r="L5860" s="1055"/>
      <c r="M5860" s="1205"/>
      <c r="N5860" s="1054"/>
      <c r="O5860" s="1207"/>
      <c r="Q5860" s="1207"/>
    </row>
    <row r="5861" spans="3:17" s="700" customFormat="1" ht="70.5" hidden="1" customHeight="1">
      <c r="C5861" s="701"/>
      <c r="D5861" s="811"/>
      <c r="E5861" s="1276">
        <f>[11]building!Y6192</f>
        <v>0</v>
      </c>
      <c r="F5861" s="748">
        <f t="shared" si="330"/>
        <v>0</v>
      </c>
      <c r="G5861" s="1205"/>
      <c r="H5861" s="1055"/>
      <c r="I5861" s="1055"/>
      <c r="J5861" s="1055"/>
      <c r="K5861" s="1205"/>
      <c r="L5861" s="1055"/>
      <c r="M5861" s="1205"/>
      <c r="N5861" s="1054"/>
      <c r="O5861" s="1207"/>
      <c r="Q5861" s="1207"/>
    </row>
    <row r="5862" spans="3:17" s="700" customFormat="1" ht="70.5" hidden="1" customHeight="1">
      <c r="C5862" s="701"/>
      <c r="D5862" s="811"/>
      <c r="E5862" s="1276">
        <f>[11]building!Y6193</f>
        <v>0</v>
      </c>
      <c r="F5862" s="748">
        <f t="shared" si="330"/>
        <v>0</v>
      </c>
      <c r="G5862" s="1205"/>
      <c r="H5862" s="1055"/>
      <c r="I5862" s="1055"/>
      <c r="J5862" s="1055"/>
      <c r="K5862" s="1205"/>
      <c r="L5862" s="1055"/>
      <c r="M5862" s="1205"/>
      <c r="N5862" s="1054"/>
      <c r="O5862" s="1207"/>
      <c r="Q5862" s="1207"/>
    </row>
    <row r="5863" spans="3:17" s="700" customFormat="1" ht="70.5" hidden="1" customHeight="1">
      <c r="C5863" s="701"/>
      <c r="D5863" s="811"/>
      <c r="E5863" s="1276">
        <f>[11]building!Y6194</f>
        <v>0</v>
      </c>
      <c r="F5863" s="748">
        <f t="shared" si="330"/>
        <v>0</v>
      </c>
      <c r="G5863" s="1205"/>
      <c r="H5863" s="1055"/>
      <c r="I5863" s="1055"/>
      <c r="J5863" s="1055"/>
      <c r="K5863" s="1205"/>
      <c r="L5863" s="1055"/>
      <c r="M5863" s="1205"/>
      <c r="N5863" s="1054"/>
      <c r="O5863" s="1207"/>
      <c r="Q5863" s="1207"/>
    </row>
    <row r="5864" spans="3:17" s="700" customFormat="1" ht="70.5" hidden="1" customHeight="1">
      <c r="C5864" s="701"/>
      <c r="D5864" s="811"/>
      <c r="E5864" s="1276">
        <f>[11]building!Y6195</f>
        <v>0</v>
      </c>
      <c r="F5864" s="748">
        <f t="shared" si="330"/>
        <v>0</v>
      </c>
      <c r="G5864" s="1205"/>
      <c r="H5864" s="1055"/>
      <c r="I5864" s="1055"/>
      <c r="J5864" s="1055"/>
      <c r="K5864" s="1205"/>
      <c r="L5864" s="1055"/>
      <c r="M5864" s="1205"/>
      <c r="N5864" s="1054"/>
      <c r="O5864" s="1207"/>
      <c r="Q5864" s="1207"/>
    </row>
    <row r="5865" spans="3:17" s="700" customFormat="1" ht="70.5" hidden="1" customHeight="1">
      <c r="C5865" s="701"/>
      <c r="D5865" s="811"/>
      <c r="E5865" s="1276">
        <f>[11]building!Y6196</f>
        <v>0</v>
      </c>
      <c r="F5865" s="748">
        <f t="shared" si="330"/>
        <v>0</v>
      </c>
      <c r="G5865" s="1205"/>
      <c r="H5865" s="1055"/>
      <c r="I5865" s="1055"/>
      <c r="J5865" s="1055"/>
      <c r="K5865" s="1205"/>
      <c r="L5865" s="1055"/>
      <c r="M5865" s="1205"/>
      <c r="N5865" s="1054"/>
      <c r="O5865" s="1207"/>
      <c r="Q5865" s="1207"/>
    </row>
    <row r="5866" spans="3:17" s="700" customFormat="1" ht="70.5" hidden="1" customHeight="1">
      <c r="C5866" s="701"/>
      <c r="D5866" s="811"/>
      <c r="E5866" s="1276">
        <f>[11]building!Y6197</f>
        <v>0</v>
      </c>
      <c r="F5866" s="748">
        <f t="shared" si="330"/>
        <v>0</v>
      </c>
      <c r="G5866" s="1205"/>
      <c r="H5866" s="1055"/>
      <c r="I5866" s="1055"/>
      <c r="J5866" s="1055"/>
      <c r="K5866" s="1205"/>
      <c r="L5866" s="1055"/>
      <c r="M5866" s="1205"/>
      <c r="N5866" s="1054"/>
      <c r="O5866" s="1207"/>
      <c r="Q5866" s="1207"/>
    </row>
    <row r="5867" spans="3:17" s="700" customFormat="1" ht="70.5" hidden="1" customHeight="1">
      <c r="C5867" s="701"/>
      <c r="D5867" s="811"/>
      <c r="E5867" s="1276">
        <f>[11]building!Y6198</f>
        <v>0</v>
      </c>
      <c r="F5867" s="748">
        <f t="shared" si="330"/>
        <v>0</v>
      </c>
      <c r="G5867" s="1205"/>
      <c r="H5867" s="1055"/>
      <c r="I5867" s="1055"/>
      <c r="J5867" s="1055"/>
      <c r="K5867" s="1205"/>
      <c r="L5867" s="1055"/>
      <c r="M5867" s="1205"/>
      <c r="N5867" s="1054"/>
      <c r="O5867" s="1207"/>
      <c r="Q5867" s="1207"/>
    </row>
    <row r="5868" spans="3:17" s="700" customFormat="1" ht="70.5" hidden="1" customHeight="1">
      <c r="C5868" s="701"/>
      <c r="D5868" s="811"/>
      <c r="E5868" s="1276">
        <f>[11]building!Y6199</f>
        <v>0</v>
      </c>
      <c r="F5868" s="748">
        <f t="shared" si="330"/>
        <v>0</v>
      </c>
      <c r="G5868" s="1205"/>
      <c r="H5868" s="1055"/>
      <c r="I5868" s="1055"/>
      <c r="J5868" s="1055"/>
      <c r="K5868" s="1205"/>
      <c r="L5868" s="1055"/>
      <c r="M5868" s="1205"/>
      <c r="N5868" s="1054"/>
      <c r="O5868" s="1207"/>
      <c r="Q5868" s="1207"/>
    </row>
    <row r="5869" spans="3:17" s="700" customFormat="1" ht="70.5" hidden="1" customHeight="1">
      <c r="C5869" s="701"/>
      <c r="D5869" s="811"/>
      <c r="E5869" s="1276">
        <f>[11]building!Y6200</f>
        <v>0</v>
      </c>
      <c r="F5869" s="748">
        <f t="shared" si="330"/>
        <v>0</v>
      </c>
      <c r="G5869" s="1205"/>
      <c r="H5869" s="1055"/>
      <c r="I5869" s="1055"/>
      <c r="J5869" s="1055"/>
      <c r="K5869" s="1205"/>
      <c r="L5869" s="1055"/>
      <c r="M5869" s="1205"/>
      <c r="N5869" s="1054"/>
      <c r="O5869" s="1207"/>
      <c r="Q5869" s="1207"/>
    </row>
    <row r="5870" spans="3:17" s="700" customFormat="1" ht="70.5" hidden="1" customHeight="1">
      <c r="C5870" s="701"/>
      <c r="D5870" s="811"/>
      <c r="E5870" s="1276">
        <f>[11]building!Y6201</f>
        <v>0</v>
      </c>
      <c r="F5870" s="748">
        <f t="shared" si="330"/>
        <v>0</v>
      </c>
      <c r="G5870" s="1205"/>
      <c r="H5870" s="1055"/>
      <c r="I5870" s="1055"/>
      <c r="J5870" s="1055"/>
      <c r="K5870" s="1205"/>
      <c r="L5870" s="1055"/>
      <c r="M5870" s="1205"/>
      <c r="N5870" s="1054"/>
      <c r="O5870" s="1207"/>
      <c r="Q5870" s="1207"/>
    </row>
    <row r="5871" spans="3:17" s="700" customFormat="1" ht="70.5" hidden="1" customHeight="1">
      <c r="C5871" s="701"/>
      <c r="D5871" s="811"/>
      <c r="E5871" s="1276">
        <f>[11]building!Y6202</f>
        <v>0</v>
      </c>
      <c r="F5871" s="748">
        <f t="shared" si="330"/>
        <v>0</v>
      </c>
      <c r="G5871" s="1205"/>
      <c r="H5871" s="1055"/>
      <c r="I5871" s="1055"/>
      <c r="J5871" s="1055"/>
      <c r="K5871" s="1205"/>
      <c r="L5871" s="1055"/>
      <c r="M5871" s="1205"/>
      <c r="N5871" s="1054"/>
      <c r="O5871" s="1207"/>
      <c r="Q5871" s="1207"/>
    </row>
    <row r="5872" spans="3:17" s="700" customFormat="1" ht="70.5" hidden="1" customHeight="1">
      <c r="C5872" s="701"/>
      <c r="D5872" s="811"/>
      <c r="E5872" s="1276">
        <f>[11]building!Y6203</f>
        <v>0</v>
      </c>
      <c r="F5872" s="748">
        <f t="shared" si="330"/>
        <v>0</v>
      </c>
      <c r="G5872" s="1205"/>
      <c r="H5872" s="1055"/>
      <c r="I5872" s="1055"/>
      <c r="J5872" s="1055"/>
      <c r="K5872" s="1205"/>
      <c r="L5872" s="1055"/>
      <c r="M5872" s="1205"/>
      <c r="N5872" s="1054"/>
      <c r="O5872" s="1207"/>
      <c r="Q5872" s="1207"/>
    </row>
    <row r="5873" spans="3:17" s="700" customFormat="1" ht="70.5" hidden="1" customHeight="1">
      <c r="C5873" s="701"/>
      <c r="D5873" s="811"/>
      <c r="E5873" s="1276">
        <f>[11]building!Y6204</f>
        <v>0</v>
      </c>
      <c r="F5873" s="748">
        <f t="shared" si="330"/>
        <v>0</v>
      </c>
      <c r="G5873" s="1205"/>
      <c r="H5873" s="1055"/>
      <c r="I5873" s="1055"/>
      <c r="J5873" s="1055"/>
      <c r="K5873" s="1205"/>
      <c r="L5873" s="1055"/>
      <c r="M5873" s="1205"/>
      <c r="N5873" s="1054"/>
      <c r="O5873" s="1207"/>
      <c r="Q5873" s="1207"/>
    </row>
    <row r="5874" spans="3:17" s="700" customFormat="1" ht="70.5" hidden="1" customHeight="1">
      <c r="C5874" s="701"/>
      <c r="D5874" s="811"/>
      <c r="E5874" s="1276">
        <f>[11]building!Y6205</f>
        <v>0</v>
      </c>
      <c r="F5874" s="748">
        <f t="shared" si="330"/>
        <v>0</v>
      </c>
      <c r="G5874" s="1205"/>
      <c r="H5874" s="1055"/>
      <c r="I5874" s="1055"/>
      <c r="J5874" s="1055"/>
      <c r="K5874" s="1205"/>
      <c r="L5874" s="1055"/>
      <c r="M5874" s="1205"/>
      <c r="N5874" s="1054"/>
      <c r="O5874" s="1207"/>
      <c r="Q5874" s="1207"/>
    </row>
    <row r="5875" spans="3:17" s="700" customFormat="1" ht="70.5" hidden="1" customHeight="1">
      <c r="C5875" s="701"/>
      <c r="D5875" s="811"/>
      <c r="E5875" s="1276">
        <f>[11]building!Y6206</f>
        <v>0</v>
      </c>
      <c r="F5875" s="748">
        <f t="shared" si="330"/>
        <v>0</v>
      </c>
      <c r="G5875" s="1205"/>
      <c r="H5875" s="1055"/>
      <c r="I5875" s="1055"/>
      <c r="J5875" s="1055"/>
      <c r="K5875" s="1205"/>
      <c r="L5875" s="1055"/>
      <c r="M5875" s="1205"/>
      <c r="N5875" s="1054"/>
      <c r="O5875" s="1207"/>
      <c r="Q5875" s="1207"/>
    </row>
    <row r="5876" spans="3:17" s="700" customFormat="1" ht="70.5" hidden="1" customHeight="1">
      <c r="C5876" s="701"/>
      <c r="D5876" s="811"/>
      <c r="E5876" s="1276">
        <f>[11]building!Y6207</f>
        <v>0</v>
      </c>
      <c r="F5876" s="748">
        <f t="shared" si="330"/>
        <v>0</v>
      </c>
      <c r="G5876" s="1205"/>
      <c r="H5876" s="1055"/>
      <c r="I5876" s="1055"/>
      <c r="J5876" s="1055"/>
      <c r="K5876" s="1205"/>
      <c r="L5876" s="1055"/>
      <c r="M5876" s="1205"/>
      <c r="N5876" s="1054"/>
      <c r="O5876" s="1207"/>
      <c r="Q5876" s="1207"/>
    </row>
    <row r="5877" spans="3:17" s="700" customFormat="1" ht="70.5" hidden="1" customHeight="1">
      <c r="C5877" s="701"/>
      <c r="D5877" s="811"/>
      <c r="E5877" s="1276">
        <f>[11]building!Y6208</f>
        <v>0</v>
      </c>
      <c r="F5877" s="748">
        <f t="shared" si="330"/>
        <v>0</v>
      </c>
      <c r="G5877" s="1205"/>
      <c r="H5877" s="1055"/>
      <c r="I5877" s="1055"/>
      <c r="J5877" s="1055"/>
      <c r="K5877" s="1205"/>
      <c r="L5877" s="1055"/>
      <c r="M5877" s="1205"/>
      <c r="N5877" s="1054"/>
      <c r="O5877" s="1207"/>
      <c r="Q5877" s="1207"/>
    </row>
    <row r="5878" spans="3:17" s="700" customFormat="1" ht="70.5" hidden="1" customHeight="1">
      <c r="C5878" s="701"/>
      <c r="D5878" s="811"/>
      <c r="E5878" s="1276">
        <f>[11]building!Y6209</f>
        <v>0</v>
      </c>
      <c r="F5878" s="748">
        <f t="shared" si="330"/>
        <v>0</v>
      </c>
      <c r="G5878" s="1205"/>
      <c r="H5878" s="1055"/>
      <c r="I5878" s="1055"/>
      <c r="J5878" s="1055"/>
      <c r="K5878" s="1205"/>
      <c r="L5878" s="1055"/>
      <c r="M5878" s="1205"/>
      <c r="N5878" s="1054"/>
      <c r="O5878" s="1207"/>
      <c r="Q5878" s="1207"/>
    </row>
    <row r="5879" spans="3:17" s="700" customFormat="1" ht="70.5" hidden="1" customHeight="1">
      <c r="C5879" s="701"/>
      <c r="D5879" s="811"/>
      <c r="E5879" s="1276">
        <f>[11]building!Y6210</f>
        <v>0</v>
      </c>
      <c r="F5879" s="748">
        <f t="shared" si="330"/>
        <v>0</v>
      </c>
      <c r="G5879" s="1205"/>
      <c r="H5879" s="1055"/>
      <c r="I5879" s="1055"/>
      <c r="J5879" s="1055"/>
      <c r="K5879" s="1205"/>
      <c r="L5879" s="1055"/>
      <c r="M5879" s="1205"/>
      <c r="N5879" s="1054"/>
      <c r="O5879" s="1207"/>
      <c r="Q5879" s="1207"/>
    </row>
    <row r="5880" spans="3:17" s="700" customFormat="1" ht="70.5" hidden="1" customHeight="1">
      <c r="C5880" s="701"/>
      <c r="D5880" s="811"/>
      <c r="E5880" s="1276">
        <f>[11]building!Y6211</f>
        <v>0</v>
      </c>
      <c r="F5880" s="748">
        <f t="shared" si="330"/>
        <v>0</v>
      </c>
      <c r="G5880" s="1205"/>
      <c r="H5880" s="1055"/>
      <c r="I5880" s="1055"/>
      <c r="J5880" s="1055"/>
      <c r="K5880" s="1205"/>
      <c r="L5880" s="1055"/>
      <c r="M5880" s="1205"/>
      <c r="N5880" s="1054"/>
      <c r="O5880" s="1207"/>
      <c r="Q5880" s="1207"/>
    </row>
    <row r="5881" spans="3:17" s="700" customFormat="1" ht="70.5" hidden="1" customHeight="1">
      <c r="C5881" s="701"/>
      <c r="D5881" s="811"/>
      <c r="E5881" s="1276">
        <f>[11]building!Y6212</f>
        <v>0</v>
      </c>
      <c r="F5881" s="748">
        <f t="shared" si="330"/>
        <v>0</v>
      </c>
      <c r="G5881" s="1205"/>
      <c r="H5881" s="1055"/>
      <c r="I5881" s="1055"/>
      <c r="J5881" s="1055"/>
      <c r="K5881" s="1205"/>
      <c r="L5881" s="1055"/>
      <c r="M5881" s="1205"/>
      <c r="N5881" s="1054"/>
      <c r="O5881" s="1207"/>
      <c r="Q5881" s="1207"/>
    </row>
    <row r="5882" spans="3:17" s="700" customFormat="1" ht="70.5" hidden="1" customHeight="1">
      <c r="C5882" s="701"/>
      <c r="D5882" s="811"/>
      <c r="E5882" s="1276">
        <f>[11]building!Y6213</f>
        <v>0</v>
      </c>
      <c r="F5882" s="748">
        <f t="shared" si="330"/>
        <v>0</v>
      </c>
      <c r="G5882" s="1205"/>
      <c r="H5882" s="1055"/>
      <c r="I5882" s="1055"/>
      <c r="J5882" s="1055"/>
      <c r="K5882" s="1205"/>
      <c r="L5882" s="1055"/>
      <c r="M5882" s="1205"/>
      <c r="N5882" s="1054"/>
      <c r="O5882" s="1207"/>
      <c r="Q5882" s="1207"/>
    </row>
    <row r="5883" spans="3:17" s="700" customFormat="1" ht="70.5" hidden="1" customHeight="1">
      <c r="C5883" s="701"/>
      <c r="D5883" s="811"/>
      <c r="E5883" s="1276">
        <f>[11]building!Y6214</f>
        <v>0</v>
      </c>
      <c r="F5883" s="748">
        <f t="shared" si="330"/>
        <v>0</v>
      </c>
      <c r="G5883" s="1205"/>
      <c r="H5883" s="1055"/>
      <c r="I5883" s="1055"/>
      <c r="J5883" s="1055"/>
      <c r="K5883" s="1205"/>
      <c r="L5883" s="1055"/>
      <c r="M5883" s="1205"/>
      <c r="N5883" s="1054"/>
      <c r="O5883" s="1207"/>
      <c r="Q5883" s="1207"/>
    </row>
    <row r="5884" spans="3:17" s="700" customFormat="1" ht="70.5" hidden="1" customHeight="1">
      <c r="C5884" s="701"/>
      <c r="D5884" s="811"/>
      <c r="E5884" s="1276">
        <f>[11]building!Y6215</f>
        <v>0</v>
      </c>
      <c r="F5884" s="748">
        <f t="shared" si="330"/>
        <v>0</v>
      </c>
      <c r="G5884" s="1205"/>
      <c r="H5884" s="1055"/>
      <c r="I5884" s="1055"/>
      <c r="J5884" s="1055"/>
      <c r="K5884" s="1205"/>
      <c r="L5884" s="1055"/>
      <c r="M5884" s="1205"/>
      <c r="N5884" s="1054"/>
      <c r="O5884" s="1207"/>
      <c r="Q5884" s="1207"/>
    </row>
    <row r="5885" spans="3:17" s="700" customFormat="1" ht="70.5" hidden="1" customHeight="1">
      <c r="C5885" s="701"/>
      <c r="D5885" s="811"/>
      <c r="E5885" s="1276">
        <f>[11]building!Y6216</f>
        <v>0</v>
      </c>
      <c r="F5885" s="748">
        <f t="shared" si="330"/>
        <v>0</v>
      </c>
      <c r="G5885" s="1205"/>
      <c r="H5885" s="1055"/>
      <c r="I5885" s="1055"/>
      <c r="J5885" s="1055"/>
      <c r="K5885" s="1205"/>
      <c r="L5885" s="1055"/>
      <c r="M5885" s="1205"/>
      <c r="N5885" s="1054"/>
      <c r="O5885" s="1207"/>
      <c r="Q5885" s="1207"/>
    </row>
    <row r="5886" spans="3:17" s="700" customFormat="1" ht="70.5" hidden="1" customHeight="1">
      <c r="C5886" s="701"/>
      <c r="D5886" s="811"/>
      <c r="E5886" s="1276">
        <f>[11]building!Y6217</f>
        <v>0</v>
      </c>
      <c r="F5886" s="748">
        <f t="shared" si="330"/>
        <v>0</v>
      </c>
      <c r="G5886" s="1205"/>
      <c r="H5886" s="1055"/>
      <c r="I5886" s="1055"/>
      <c r="J5886" s="1055"/>
      <c r="K5886" s="1205"/>
      <c r="L5886" s="1055"/>
      <c r="M5886" s="1205"/>
      <c r="N5886" s="1054"/>
      <c r="O5886" s="1207"/>
      <c r="Q5886" s="1207"/>
    </row>
    <row r="5887" spans="3:17" s="700" customFormat="1" ht="70.5" hidden="1" customHeight="1">
      <c r="C5887" s="701"/>
      <c r="D5887" s="811"/>
      <c r="E5887" s="1276">
        <f>[11]building!Y6218</f>
        <v>0</v>
      </c>
      <c r="F5887" s="748">
        <f t="shared" si="330"/>
        <v>0</v>
      </c>
      <c r="G5887" s="1205"/>
      <c r="H5887" s="1055"/>
      <c r="I5887" s="1055"/>
      <c r="J5887" s="1055"/>
      <c r="K5887" s="1205"/>
      <c r="L5887" s="1055"/>
      <c r="M5887" s="1205"/>
      <c r="N5887" s="1054"/>
      <c r="O5887" s="1207"/>
      <c r="Q5887" s="1207"/>
    </row>
    <row r="5888" spans="3:17" s="700" customFormat="1" ht="70.5" hidden="1" customHeight="1">
      <c r="C5888" s="701"/>
      <c r="D5888" s="811"/>
      <c r="E5888" s="1276">
        <f>[11]building!Y6219</f>
        <v>0</v>
      </c>
      <c r="F5888" s="748">
        <f t="shared" ref="F5888:F5951" si="331">E5888*C5888</f>
        <v>0</v>
      </c>
      <c r="G5888" s="1205"/>
      <c r="H5888" s="1055"/>
      <c r="I5888" s="1055"/>
      <c r="J5888" s="1055"/>
      <c r="K5888" s="1205"/>
      <c r="L5888" s="1055"/>
      <c r="M5888" s="1205"/>
      <c r="N5888" s="1054"/>
      <c r="O5888" s="1207"/>
      <c r="Q5888" s="1207"/>
    </row>
    <row r="5889" spans="3:17" s="700" customFormat="1" ht="70.5" hidden="1" customHeight="1">
      <c r="C5889" s="701"/>
      <c r="D5889" s="811"/>
      <c r="E5889" s="1276">
        <f>[11]building!Y6220</f>
        <v>0</v>
      </c>
      <c r="F5889" s="748">
        <f t="shared" si="331"/>
        <v>0</v>
      </c>
      <c r="G5889" s="1205"/>
      <c r="H5889" s="1055"/>
      <c r="I5889" s="1055"/>
      <c r="J5889" s="1055"/>
      <c r="K5889" s="1205"/>
      <c r="L5889" s="1055"/>
      <c r="M5889" s="1205"/>
      <c r="N5889" s="1054"/>
      <c r="O5889" s="1207"/>
      <c r="Q5889" s="1207"/>
    </row>
    <row r="5890" spans="3:17" s="700" customFormat="1" ht="70.5" hidden="1" customHeight="1">
      <c r="C5890" s="701"/>
      <c r="D5890" s="811"/>
      <c r="E5890" s="1276">
        <f>[11]building!Y6221</f>
        <v>0</v>
      </c>
      <c r="F5890" s="748">
        <f t="shared" si="331"/>
        <v>0</v>
      </c>
      <c r="G5890" s="1205"/>
      <c r="H5890" s="1055"/>
      <c r="I5890" s="1055"/>
      <c r="J5890" s="1055"/>
      <c r="K5890" s="1205"/>
      <c r="L5890" s="1055"/>
      <c r="M5890" s="1205"/>
      <c r="N5890" s="1054"/>
      <c r="O5890" s="1207"/>
      <c r="Q5890" s="1207"/>
    </row>
    <row r="5891" spans="3:17" s="700" customFormat="1" ht="70.5" hidden="1" customHeight="1">
      <c r="C5891" s="701"/>
      <c r="D5891" s="811"/>
      <c r="E5891" s="1276">
        <f>[11]building!Y6222</f>
        <v>0</v>
      </c>
      <c r="F5891" s="748">
        <f t="shared" si="331"/>
        <v>0</v>
      </c>
      <c r="G5891" s="1205"/>
      <c r="H5891" s="1055"/>
      <c r="I5891" s="1055"/>
      <c r="J5891" s="1055"/>
      <c r="K5891" s="1205"/>
      <c r="L5891" s="1055"/>
      <c r="M5891" s="1205"/>
      <c r="N5891" s="1054"/>
      <c r="O5891" s="1207"/>
      <c r="Q5891" s="1207"/>
    </row>
    <row r="5892" spans="3:17" s="700" customFormat="1" ht="70.5" hidden="1" customHeight="1">
      <c r="C5892" s="701"/>
      <c r="D5892" s="811"/>
      <c r="E5892" s="1276">
        <f>[11]building!Y6223</f>
        <v>0</v>
      </c>
      <c r="F5892" s="748">
        <f t="shared" si="331"/>
        <v>0</v>
      </c>
      <c r="G5892" s="1205"/>
      <c r="H5892" s="1055"/>
      <c r="I5892" s="1055"/>
      <c r="J5892" s="1055"/>
      <c r="K5892" s="1205"/>
      <c r="L5892" s="1055"/>
      <c r="M5892" s="1205"/>
      <c r="N5892" s="1054"/>
      <c r="O5892" s="1207"/>
      <c r="Q5892" s="1207"/>
    </row>
    <row r="5893" spans="3:17" s="700" customFormat="1" ht="70.5" hidden="1" customHeight="1">
      <c r="C5893" s="701"/>
      <c r="D5893" s="811"/>
      <c r="E5893" s="1276">
        <f>[11]building!Y6224</f>
        <v>0</v>
      </c>
      <c r="F5893" s="748">
        <f t="shared" si="331"/>
        <v>0</v>
      </c>
      <c r="G5893" s="1205"/>
      <c r="H5893" s="1055"/>
      <c r="I5893" s="1055"/>
      <c r="J5893" s="1055"/>
      <c r="K5893" s="1205"/>
      <c r="L5893" s="1055"/>
      <c r="M5893" s="1205"/>
      <c r="N5893" s="1054"/>
      <c r="O5893" s="1207"/>
      <c r="Q5893" s="1207"/>
    </row>
    <row r="5894" spans="3:17" s="700" customFormat="1" ht="70.5" hidden="1" customHeight="1">
      <c r="C5894" s="701"/>
      <c r="D5894" s="811"/>
      <c r="E5894" s="1276">
        <f>[11]building!Y6225</f>
        <v>0</v>
      </c>
      <c r="F5894" s="748">
        <f t="shared" si="331"/>
        <v>0</v>
      </c>
      <c r="G5894" s="1205"/>
      <c r="H5894" s="1055"/>
      <c r="I5894" s="1055"/>
      <c r="J5894" s="1055"/>
      <c r="K5894" s="1205"/>
      <c r="L5894" s="1055"/>
      <c r="M5894" s="1205"/>
      <c r="N5894" s="1054"/>
      <c r="O5894" s="1207"/>
      <c r="Q5894" s="1207"/>
    </row>
    <row r="5895" spans="3:17" s="700" customFormat="1" ht="70.5" hidden="1" customHeight="1">
      <c r="C5895" s="701"/>
      <c r="D5895" s="811"/>
      <c r="E5895" s="1276">
        <f>[11]building!Y6226</f>
        <v>0</v>
      </c>
      <c r="F5895" s="748">
        <f t="shared" si="331"/>
        <v>0</v>
      </c>
      <c r="G5895" s="1205"/>
      <c r="H5895" s="1055"/>
      <c r="I5895" s="1055"/>
      <c r="J5895" s="1055"/>
      <c r="K5895" s="1205"/>
      <c r="L5895" s="1055"/>
      <c r="M5895" s="1205"/>
      <c r="N5895" s="1054"/>
      <c r="O5895" s="1207"/>
      <c r="Q5895" s="1207"/>
    </row>
    <row r="5896" spans="3:17" s="700" customFormat="1" ht="70.5" hidden="1" customHeight="1">
      <c r="C5896" s="701"/>
      <c r="D5896" s="811"/>
      <c r="E5896" s="1276">
        <f>[11]building!Y6227</f>
        <v>0</v>
      </c>
      <c r="F5896" s="748">
        <f t="shared" si="331"/>
        <v>0</v>
      </c>
      <c r="G5896" s="1205"/>
      <c r="H5896" s="1055"/>
      <c r="I5896" s="1055"/>
      <c r="J5896" s="1055"/>
      <c r="K5896" s="1205"/>
      <c r="L5896" s="1055"/>
      <c r="M5896" s="1205"/>
      <c r="N5896" s="1054"/>
      <c r="O5896" s="1207"/>
      <c r="Q5896" s="1207"/>
    </row>
    <row r="5897" spans="3:17" s="700" customFormat="1" ht="70.5" hidden="1" customHeight="1">
      <c r="C5897" s="701"/>
      <c r="D5897" s="811"/>
      <c r="E5897" s="1276">
        <f>[11]building!Y6228</f>
        <v>0</v>
      </c>
      <c r="F5897" s="748">
        <f t="shared" si="331"/>
        <v>0</v>
      </c>
      <c r="G5897" s="1205"/>
      <c r="H5897" s="1055"/>
      <c r="I5897" s="1055"/>
      <c r="J5897" s="1055"/>
      <c r="K5897" s="1205"/>
      <c r="L5897" s="1055"/>
      <c r="M5897" s="1205"/>
      <c r="N5897" s="1054"/>
      <c r="O5897" s="1207"/>
      <c r="Q5897" s="1207"/>
    </row>
    <row r="5898" spans="3:17" s="700" customFormat="1" ht="70.5" hidden="1" customHeight="1">
      <c r="C5898" s="701"/>
      <c r="D5898" s="811"/>
      <c r="E5898" s="1276">
        <f>[11]building!Y6229</f>
        <v>0</v>
      </c>
      <c r="F5898" s="748">
        <f t="shared" si="331"/>
        <v>0</v>
      </c>
      <c r="G5898" s="1205"/>
      <c r="H5898" s="1055"/>
      <c r="I5898" s="1055"/>
      <c r="J5898" s="1055"/>
      <c r="K5898" s="1205"/>
      <c r="L5898" s="1055"/>
      <c r="M5898" s="1205"/>
      <c r="N5898" s="1054"/>
      <c r="O5898" s="1207"/>
      <c r="Q5898" s="1207"/>
    </row>
    <row r="5899" spans="3:17" s="700" customFormat="1" ht="70.5" hidden="1" customHeight="1">
      <c r="C5899" s="701"/>
      <c r="D5899" s="811"/>
      <c r="E5899" s="1276">
        <f>[11]building!Y6230</f>
        <v>0</v>
      </c>
      <c r="F5899" s="748">
        <f t="shared" si="331"/>
        <v>0</v>
      </c>
      <c r="G5899" s="1205"/>
      <c r="H5899" s="1055"/>
      <c r="I5899" s="1055"/>
      <c r="J5899" s="1055"/>
      <c r="K5899" s="1205"/>
      <c r="L5899" s="1055"/>
      <c r="M5899" s="1205"/>
      <c r="N5899" s="1054"/>
      <c r="O5899" s="1207"/>
      <c r="Q5899" s="1207"/>
    </row>
    <row r="5900" spans="3:17" s="700" customFormat="1" ht="70.5" hidden="1" customHeight="1">
      <c r="C5900" s="701"/>
      <c r="D5900" s="811"/>
      <c r="E5900" s="1276">
        <f>[11]building!Y6231</f>
        <v>0</v>
      </c>
      <c r="F5900" s="748">
        <f t="shared" si="331"/>
        <v>0</v>
      </c>
      <c r="G5900" s="1205"/>
      <c r="H5900" s="1055"/>
      <c r="I5900" s="1055"/>
      <c r="J5900" s="1055"/>
      <c r="K5900" s="1205"/>
      <c r="L5900" s="1055"/>
      <c r="M5900" s="1205"/>
      <c r="N5900" s="1054"/>
      <c r="O5900" s="1207"/>
      <c r="Q5900" s="1207"/>
    </row>
    <row r="5901" spans="3:17" s="700" customFormat="1" ht="70.5" hidden="1" customHeight="1">
      <c r="C5901" s="701"/>
      <c r="D5901" s="811"/>
      <c r="E5901" s="1276">
        <f>[11]building!Y6232</f>
        <v>0</v>
      </c>
      <c r="F5901" s="748">
        <f t="shared" si="331"/>
        <v>0</v>
      </c>
      <c r="G5901" s="1205"/>
      <c r="H5901" s="1055"/>
      <c r="I5901" s="1055"/>
      <c r="J5901" s="1055"/>
      <c r="K5901" s="1205"/>
      <c r="L5901" s="1055"/>
      <c r="M5901" s="1205"/>
      <c r="N5901" s="1054"/>
      <c r="O5901" s="1207"/>
      <c r="Q5901" s="1207"/>
    </row>
    <row r="5902" spans="3:17" s="700" customFormat="1" ht="70.5" hidden="1" customHeight="1">
      <c r="C5902" s="701"/>
      <c r="D5902" s="811"/>
      <c r="E5902" s="1276">
        <f>[11]building!Y6233</f>
        <v>0</v>
      </c>
      <c r="F5902" s="748">
        <f t="shared" si="331"/>
        <v>0</v>
      </c>
      <c r="G5902" s="1205"/>
      <c r="H5902" s="1055"/>
      <c r="I5902" s="1055"/>
      <c r="J5902" s="1055"/>
      <c r="K5902" s="1205"/>
      <c r="L5902" s="1055"/>
      <c r="M5902" s="1205"/>
      <c r="N5902" s="1054"/>
      <c r="O5902" s="1207"/>
      <c r="Q5902" s="1207"/>
    </row>
    <row r="5903" spans="3:17" s="700" customFormat="1" ht="70.5" hidden="1" customHeight="1">
      <c r="C5903" s="701"/>
      <c r="D5903" s="811"/>
      <c r="E5903" s="1276">
        <f>[11]building!Y6234</f>
        <v>0</v>
      </c>
      <c r="F5903" s="748">
        <f t="shared" si="331"/>
        <v>0</v>
      </c>
      <c r="G5903" s="1205"/>
      <c r="H5903" s="1055"/>
      <c r="I5903" s="1055"/>
      <c r="J5903" s="1055"/>
      <c r="K5903" s="1205"/>
      <c r="L5903" s="1055"/>
      <c r="M5903" s="1205"/>
      <c r="N5903" s="1054"/>
      <c r="O5903" s="1207"/>
      <c r="Q5903" s="1207"/>
    </row>
    <row r="5904" spans="3:17" s="700" customFormat="1" ht="70.5" hidden="1" customHeight="1">
      <c r="C5904" s="701"/>
      <c r="D5904" s="811"/>
      <c r="E5904" s="1276">
        <f>[11]building!Y6235</f>
        <v>0</v>
      </c>
      <c r="F5904" s="748">
        <f t="shared" si="331"/>
        <v>0</v>
      </c>
      <c r="G5904" s="1205"/>
      <c r="H5904" s="1055"/>
      <c r="I5904" s="1055"/>
      <c r="J5904" s="1055"/>
      <c r="K5904" s="1205"/>
      <c r="L5904" s="1055"/>
      <c r="M5904" s="1205"/>
      <c r="N5904" s="1054"/>
      <c r="O5904" s="1207"/>
      <c r="Q5904" s="1207"/>
    </row>
    <row r="5905" spans="3:17" s="700" customFormat="1" ht="70.5" hidden="1" customHeight="1">
      <c r="C5905" s="701"/>
      <c r="D5905" s="811"/>
      <c r="E5905" s="1276">
        <f>[11]building!Y6236</f>
        <v>0</v>
      </c>
      <c r="F5905" s="748">
        <f t="shared" si="331"/>
        <v>0</v>
      </c>
      <c r="G5905" s="1205"/>
      <c r="H5905" s="1055"/>
      <c r="I5905" s="1055"/>
      <c r="J5905" s="1055"/>
      <c r="K5905" s="1205"/>
      <c r="L5905" s="1055"/>
      <c r="M5905" s="1205"/>
      <c r="N5905" s="1054"/>
      <c r="O5905" s="1207"/>
      <c r="Q5905" s="1207"/>
    </row>
    <row r="5906" spans="3:17" s="700" customFormat="1" ht="70.5" hidden="1" customHeight="1">
      <c r="C5906" s="701"/>
      <c r="D5906" s="811"/>
      <c r="E5906" s="1276">
        <f>[11]building!Y6237</f>
        <v>0</v>
      </c>
      <c r="F5906" s="748">
        <f t="shared" si="331"/>
        <v>0</v>
      </c>
      <c r="G5906" s="1205"/>
      <c r="H5906" s="1055"/>
      <c r="I5906" s="1055"/>
      <c r="J5906" s="1055"/>
      <c r="K5906" s="1205"/>
      <c r="L5906" s="1055"/>
      <c r="M5906" s="1205"/>
      <c r="N5906" s="1054"/>
      <c r="O5906" s="1207"/>
      <c r="Q5906" s="1207"/>
    </row>
    <row r="5907" spans="3:17" s="700" customFormat="1" ht="70.5" hidden="1" customHeight="1">
      <c r="C5907" s="701"/>
      <c r="D5907" s="811"/>
      <c r="E5907" s="1276">
        <f>[11]building!Y6238</f>
        <v>0</v>
      </c>
      <c r="F5907" s="748">
        <f t="shared" si="331"/>
        <v>0</v>
      </c>
      <c r="G5907" s="1205"/>
      <c r="H5907" s="1055"/>
      <c r="I5907" s="1055"/>
      <c r="J5907" s="1055"/>
      <c r="K5907" s="1205"/>
      <c r="L5907" s="1055"/>
      <c r="M5907" s="1205"/>
      <c r="N5907" s="1054"/>
      <c r="O5907" s="1207"/>
      <c r="Q5907" s="1207"/>
    </row>
    <row r="5908" spans="3:17" s="700" customFormat="1" ht="70.5" hidden="1" customHeight="1">
      <c r="C5908" s="701"/>
      <c r="D5908" s="811"/>
      <c r="E5908" s="1276">
        <f>[11]building!Y6239</f>
        <v>0</v>
      </c>
      <c r="F5908" s="748">
        <f t="shared" si="331"/>
        <v>0</v>
      </c>
      <c r="G5908" s="1205"/>
      <c r="H5908" s="1055"/>
      <c r="I5908" s="1055"/>
      <c r="J5908" s="1055"/>
      <c r="K5908" s="1205"/>
      <c r="L5908" s="1055"/>
      <c r="M5908" s="1205"/>
      <c r="N5908" s="1054"/>
      <c r="O5908" s="1207"/>
      <c r="Q5908" s="1207"/>
    </row>
    <row r="5909" spans="3:17" s="700" customFormat="1" ht="70.5" hidden="1" customHeight="1">
      <c r="C5909" s="701"/>
      <c r="D5909" s="811"/>
      <c r="E5909" s="1276">
        <f>[11]building!Y6240</f>
        <v>0</v>
      </c>
      <c r="F5909" s="748">
        <f t="shared" si="331"/>
        <v>0</v>
      </c>
      <c r="G5909" s="1205"/>
      <c r="H5909" s="1055"/>
      <c r="I5909" s="1055"/>
      <c r="J5909" s="1055"/>
      <c r="K5909" s="1205"/>
      <c r="L5909" s="1055"/>
      <c r="M5909" s="1205"/>
      <c r="N5909" s="1054"/>
      <c r="O5909" s="1207"/>
      <c r="Q5909" s="1207"/>
    </row>
    <row r="5910" spans="3:17" s="700" customFormat="1" ht="70.5" hidden="1" customHeight="1">
      <c r="C5910" s="701"/>
      <c r="D5910" s="811"/>
      <c r="E5910" s="1276">
        <f>[11]building!Y6241</f>
        <v>0</v>
      </c>
      <c r="F5910" s="748">
        <f t="shared" si="331"/>
        <v>0</v>
      </c>
      <c r="G5910" s="1205"/>
      <c r="H5910" s="1055"/>
      <c r="I5910" s="1055"/>
      <c r="J5910" s="1055"/>
      <c r="K5910" s="1205"/>
      <c r="L5910" s="1055"/>
      <c r="M5910" s="1205"/>
      <c r="N5910" s="1054"/>
      <c r="O5910" s="1207"/>
      <c r="Q5910" s="1207"/>
    </row>
    <row r="5911" spans="3:17" s="700" customFormat="1" ht="70.5" hidden="1" customHeight="1">
      <c r="C5911" s="701"/>
      <c r="D5911" s="811"/>
      <c r="E5911" s="1276">
        <f>[11]building!Y6242</f>
        <v>0</v>
      </c>
      <c r="F5911" s="748">
        <f t="shared" si="331"/>
        <v>0</v>
      </c>
      <c r="G5911" s="1205"/>
      <c r="H5911" s="1055"/>
      <c r="I5911" s="1055"/>
      <c r="J5911" s="1055"/>
      <c r="K5911" s="1205"/>
      <c r="L5911" s="1055"/>
      <c r="M5911" s="1205"/>
      <c r="N5911" s="1054"/>
      <c r="O5911" s="1207"/>
      <c r="Q5911" s="1207"/>
    </row>
    <row r="5912" spans="3:17" s="700" customFormat="1" ht="70.5" hidden="1" customHeight="1">
      <c r="C5912" s="701"/>
      <c r="D5912" s="811"/>
      <c r="E5912" s="1276">
        <f>[11]building!Y6243</f>
        <v>0</v>
      </c>
      <c r="F5912" s="748">
        <f t="shared" si="331"/>
        <v>0</v>
      </c>
      <c r="G5912" s="1205"/>
      <c r="H5912" s="1055"/>
      <c r="I5912" s="1055"/>
      <c r="J5912" s="1055"/>
      <c r="K5912" s="1205"/>
      <c r="L5912" s="1055"/>
      <c r="M5912" s="1205"/>
      <c r="N5912" s="1054"/>
      <c r="O5912" s="1207"/>
      <c r="Q5912" s="1207"/>
    </row>
    <row r="5913" spans="3:17" s="700" customFormat="1" ht="70.5" hidden="1" customHeight="1">
      <c r="C5913" s="701"/>
      <c r="D5913" s="811"/>
      <c r="E5913" s="1276">
        <f>[11]building!Y6244</f>
        <v>0</v>
      </c>
      <c r="F5913" s="748">
        <f t="shared" si="331"/>
        <v>0</v>
      </c>
      <c r="G5913" s="1205"/>
      <c r="H5913" s="1055"/>
      <c r="I5913" s="1055"/>
      <c r="J5913" s="1055"/>
      <c r="K5913" s="1205"/>
      <c r="L5913" s="1055"/>
      <c r="M5913" s="1205"/>
      <c r="N5913" s="1054"/>
      <c r="O5913" s="1207"/>
      <c r="Q5913" s="1207"/>
    </row>
    <row r="5914" spans="3:17" s="700" customFormat="1" ht="70.5" hidden="1" customHeight="1">
      <c r="C5914" s="701"/>
      <c r="D5914" s="811"/>
      <c r="E5914" s="1276">
        <f>[11]building!Y6245</f>
        <v>0</v>
      </c>
      <c r="F5914" s="748">
        <f t="shared" si="331"/>
        <v>0</v>
      </c>
      <c r="G5914" s="1205"/>
      <c r="H5914" s="1055"/>
      <c r="I5914" s="1055"/>
      <c r="J5914" s="1055"/>
      <c r="K5914" s="1205"/>
      <c r="L5914" s="1055"/>
      <c r="M5914" s="1205"/>
      <c r="N5914" s="1054"/>
      <c r="O5914" s="1207"/>
      <c r="Q5914" s="1207"/>
    </row>
    <row r="5915" spans="3:17" s="700" customFormat="1" ht="70.5" hidden="1" customHeight="1">
      <c r="C5915" s="701"/>
      <c r="D5915" s="811"/>
      <c r="E5915" s="1276">
        <f>[11]building!Y6246</f>
        <v>0</v>
      </c>
      <c r="F5915" s="748">
        <f t="shared" si="331"/>
        <v>0</v>
      </c>
      <c r="G5915" s="1205"/>
      <c r="H5915" s="1055"/>
      <c r="I5915" s="1055"/>
      <c r="J5915" s="1055"/>
      <c r="K5915" s="1205"/>
      <c r="L5915" s="1055"/>
      <c r="M5915" s="1205"/>
      <c r="N5915" s="1054"/>
      <c r="O5915" s="1207"/>
      <c r="Q5915" s="1207"/>
    </row>
    <row r="5916" spans="3:17" s="700" customFormat="1" ht="70.5" hidden="1" customHeight="1">
      <c r="C5916" s="701"/>
      <c r="D5916" s="811"/>
      <c r="E5916" s="1276">
        <f>[11]building!Y6247</f>
        <v>0</v>
      </c>
      <c r="F5916" s="748">
        <f t="shared" si="331"/>
        <v>0</v>
      </c>
      <c r="G5916" s="1205"/>
      <c r="H5916" s="1055"/>
      <c r="I5916" s="1055"/>
      <c r="J5916" s="1055"/>
      <c r="K5916" s="1205"/>
      <c r="L5916" s="1055"/>
      <c r="M5916" s="1205"/>
      <c r="N5916" s="1054"/>
      <c r="O5916" s="1207"/>
      <c r="Q5916" s="1207"/>
    </row>
    <row r="5917" spans="3:17" s="700" customFormat="1" ht="70.5" hidden="1" customHeight="1">
      <c r="C5917" s="701"/>
      <c r="D5917" s="811"/>
      <c r="E5917" s="1276">
        <f>[11]building!Y6248</f>
        <v>0</v>
      </c>
      <c r="F5917" s="748">
        <f t="shared" si="331"/>
        <v>0</v>
      </c>
      <c r="G5917" s="1205"/>
      <c r="H5917" s="1055"/>
      <c r="I5917" s="1055"/>
      <c r="J5917" s="1055"/>
      <c r="K5917" s="1205"/>
      <c r="L5917" s="1055"/>
      <c r="M5917" s="1205"/>
      <c r="N5917" s="1054"/>
      <c r="O5917" s="1207"/>
      <c r="Q5917" s="1207"/>
    </row>
    <row r="5918" spans="3:17" s="700" customFormat="1" ht="70.5" hidden="1" customHeight="1">
      <c r="C5918" s="701"/>
      <c r="D5918" s="811"/>
      <c r="E5918" s="1276">
        <f>[11]building!Y6249</f>
        <v>0</v>
      </c>
      <c r="F5918" s="748">
        <f t="shared" si="331"/>
        <v>0</v>
      </c>
      <c r="G5918" s="1205"/>
      <c r="H5918" s="1055"/>
      <c r="I5918" s="1055"/>
      <c r="J5918" s="1055"/>
      <c r="K5918" s="1205"/>
      <c r="L5918" s="1055"/>
      <c r="M5918" s="1205"/>
      <c r="N5918" s="1054"/>
      <c r="O5918" s="1207"/>
      <c r="Q5918" s="1207"/>
    </row>
    <row r="5919" spans="3:17" s="700" customFormat="1" ht="70.5" hidden="1" customHeight="1">
      <c r="C5919" s="701"/>
      <c r="D5919" s="811"/>
      <c r="E5919" s="1276">
        <f>[11]building!Y6250</f>
        <v>0</v>
      </c>
      <c r="F5919" s="748">
        <f t="shared" si="331"/>
        <v>0</v>
      </c>
      <c r="G5919" s="1205"/>
      <c r="H5919" s="1055"/>
      <c r="I5919" s="1055"/>
      <c r="J5919" s="1055"/>
      <c r="K5919" s="1205"/>
      <c r="L5919" s="1055"/>
      <c r="M5919" s="1205"/>
      <c r="N5919" s="1054"/>
      <c r="O5919" s="1207"/>
      <c r="Q5919" s="1207"/>
    </row>
    <row r="5920" spans="3:17" s="700" customFormat="1" ht="70.5" hidden="1" customHeight="1">
      <c r="C5920" s="701"/>
      <c r="D5920" s="811"/>
      <c r="E5920" s="1276">
        <f>[11]building!Y6251</f>
        <v>0</v>
      </c>
      <c r="F5920" s="748">
        <f t="shared" si="331"/>
        <v>0</v>
      </c>
      <c r="G5920" s="1205"/>
      <c r="H5920" s="1055"/>
      <c r="I5920" s="1055"/>
      <c r="J5920" s="1055"/>
      <c r="K5920" s="1205"/>
      <c r="L5920" s="1055"/>
      <c r="M5920" s="1205"/>
      <c r="N5920" s="1054"/>
      <c r="O5920" s="1207"/>
      <c r="Q5920" s="1207"/>
    </row>
    <row r="5921" spans="3:17" s="700" customFormat="1" ht="70.5" hidden="1" customHeight="1">
      <c r="C5921" s="701"/>
      <c r="D5921" s="811"/>
      <c r="E5921" s="1276">
        <f>[11]building!Y6252</f>
        <v>0</v>
      </c>
      <c r="F5921" s="748">
        <f t="shared" si="331"/>
        <v>0</v>
      </c>
      <c r="G5921" s="1205"/>
      <c r="H5921" s="1055"/>
      <c r="I5921" s="1055"/>
      <c r="J5921" s="1055"/>
      <c r="K5921" s="1205"/>
      <c r="L5921" s="1055"/>
      <c r="M5921" s="1205"/>
      <c r="N5921" s="1054"/>
      <c r="O5921" s="1207"/>
      <c r="Q5921" s="1207"/>
    </row>
    <row r="5922" spans="3:17" s="700" customFormat="1" ht="70.5" hidden="1" customHeight="1">
      <c r="C5922" s="701"/>
      <c r="D5922" s="811"/>
      <c r="E5922" s="1276">
        <f>[11]building!Y6253</f>
        <v>0</v>
      </c>
      <c r="F5922" s="748">
        <f t="shared" si="331"/>
        <v>0</v>
      </c>
      <c r="G5922" s="1205"/>
      <c r="H5922" s="1055"/>
      <c r="I5922" s="1055"/>
      <c r="J5922" s="1055"/>
      <c r="K5922" s="1205"/>
      <c r="L5922" s="1055"/>
      <c r="M5922" s="1205"/>
      <c r="N5922" s="1054"/>
      <c r="O5922" s="1207"/>
      <c r="Q5922" s="1207"/>
    </row>
    <row r="5923" spans="3:17" s="700" customFormat="1" ht="70.5" hidden="1" customHeight="1">
      <c r="C5923" s="701"/>
      <c r="D5923" s="811"/>
      <c r="E5923" s="1276">
        <f>[11]building!Y6254</f>
        <v>0</v>
      </c>
      <c r="F5923" s="748">
        <f t="shared" si="331"/>
        <v>0</v>
      </c>
      <c r="G5923" s="1205"/>
      <c r="H5923" s="1055"/>
      <c r="I5923" s="1055"/>
      <c r="J5923" s="1055"/>
      <c r="K5923" s="1205"/>
      <c r="L5923" s="1055"/>
      <c r="M5923" s="1205"/>
      <c r="N5923" s="1054"/>
      <c r="O5923" s="1207"/>
      <c r="Q5923" s="1207"/>
    </row>
    <row r="5924" spans="3:17" s="700" customFormat="1" ht="70.5" hidden="1" customHeight="1">
      <c r="C5924" s="701"/>
      <c r="D5924" s="811"/>
      <c r="E5924" s="1276">
        <f>[11]building!Y6255</f>
        <v>0</v>
      </c>
      <c r="F5924" s="748">
        <f t="shared" si="331"/>
        <v>0</v>
      </c>
      <c r="G5924" s="1205"/>
      <c r="H5924" s="1055"/>
      <c r="I5924" s="1055"/>
      <c r="J5924" s="1055"/>
      <c r="K5924" s="1205"/>
      <c r="L5924" s="1055"/>
      <c r="M5924" s="1205"/>
      <c r="N5924" s="1054"/>
      <c r="O5924" s="1207"/>
      <c r="Q5924" s="1207"/>
    </row>
    <row r="5925" spans="3:17" s="700" customFormat="1" ht="70.5" hidden="1" customHeight="1">
      <c r="C5925" s="701"/>
      <c r="D5925" s="811"/>
      <c r="E5925" s="1276">
        <f>[11]building!Y6256</f>
        <v>0</v>
      </c>
      <c r="F5925" s="748">
        <f t="shared" si="331"/>
        <v>0</v>
      </c>
      <c r="G5925" s="1205"/>
      <c r="H5925" s="1055"/>
      <c r="I5925" s="1055"/>
      <c r="J5925" s="1055"/>
      <c r="K5925" s="1205"/>
      <c r="L5925" s="1055"/>
      <c r="M5925" s="1205"/>
      <c r="N5925" s="1054"/>
      <c r="O5925" s="1207"/>
      <c r="Q5925" s="1207"/>
    </row>
    <row r="5926" spans="3:17" s="700" customFormat="1" ht="70.5" hidden="1" customHeight="1">
      <c r="C5926" s="701"/>
      <c r="D5926" s="811"/>
      <c r="E5926" s="1276">
        <f>[11]building!Y6257</f>
        <v>0</v>
      </c>
      <c r="F5926" s="748">
        <f t="shared" si="331"/>
        <v>0</v>
      </c>
      <c r="G5926" s="1205"/>
      <c r="H5926" s="1055"/>
      <c r="I5926" s="1055"/>
      <c r="J5926" s="1055"/>
      <c r="K5926" s="1205"/>
      <c r="L5926" s="1055"/>
      <c r="M5926" s="1205"/>
      <c r="N5926" s="1054"/>
      <c r="O5926" s="1207"/>
      <c r="Q5926" s="1207"/>
    </row>
    <row r="5927" spans="3:17" s="700" customFormat="1" ht="70.5" hidden="1" customHeight="1">
      <c r="C5927" s="701"/>
      <c r="D5927" s="811"/>
      <c r="E5927" s="1276">
        <f>[11]building!Y6258</f>
        <v>0</v>
      </c>
      <c r="F5927" s="748">
        <f t="shared" si="331"/>
        <v>0</v>
      </c>
      <c r="G5927" s="1205"/>
      <c r="H5927" s="1055"/>
      <c r="I5927" s="1055"/>
      <c r="J5927" s="1055"/>
      <c r="K5927" s="1205"/>
      <c r="L5927" s="1055"/>
      <c r="M5927" s="1205"/>
      <c r="N5927" s="1054"/>
      <c r="O5927" s="1207"/>
      <c r="Q5927" s="1207"/>
    </row>
    <row r="5928" spans="3:17" s="700" customFormat="1" ht="70.5" hidden="1" customHeight="1">
      <c r="C5928" s="701"/>
      <c r="D5928" s="811"/>
      <c r="E5928" s="1276">
        <f>[11]building!Y6259</f>
        <v>0</v>
      </c>
      <c r="F5928" s="748">
        <f t="shared" si="331"/>
        <v>0</v>
      </c>
      <c r="G5928" s="1205"/>
      <c r="H5928" s="1055"/>
      <c r="I5928" s="1055"/>
      <c r="J5928" s="1055"/>
      <c r="K5928" s="1205"/>
      <c r="L5928" s="1055"/>
      <c r="M5928" s="1205"/>
      <c r="N5928" s="1054"/>
      <c r="O5928" s="1207"/>
      <c r="Q5928" s="1207"/>
    </row>
    <row r="5929" spans="3:17" s="700" customFormat="1" ht="70.5" hidden="1" customHeight="1">
      <c r="C5929" s="701"/>
      <c r="D5929" s="811"/>
      <c r="E5929" s="1276">
        <f>[11]building!Y6260</f>
        <v>0</v>
      </c>
      <c r="F5929" s="748">
        <f t="shared" si="331"/>
        <v>0</v>
      </c>
      <c r="G5929" s="1205"/>
      <c r="H5929" s="1055"/>
      <c r="I5929" s="1055"/>
      <c r="J5929" s="1055"/>
      <c r="K5929" s="1205"/>
      <c r="L5929" s="1055"/>
      <c r="M5929" s="1205"/>
      <c r="N5929" s="1054"/>
      <c r="O5929" s="1207"/>
      <c r="Q5929" s="1207"/>
    </row>
    <row r="5930" spans="3:17" s="700" customFormat="1" ht="70.5" hidden="1" customHeight="1">
      <c r="C5930" s="701"/>
      <c r="D5930" s="811"/>
      <c r="E5930" s="1276">
        <f>[11]building!Y6261</f>
        <v>0</v>
      </c>
      <c r="F5930" s="748">
        <f t="shared" si="331"/>
        <v>0</v>
      </c>
      <c r="G5930" s="1205"/>
      <c r="H5930" s="1055"/>
      <c r="I5930" s="1055"/>
      <c r="J5930" s="1055"/>
      <c r="K5930" s="1205"/>
      <c r="L5930" s="1055"/>
      <c r="M5930" s="1205"/>
      <c r="N5930" s="1054"/>
      <c r="O5930" s="1207"/>
      <c r="Q5930" s="1207"/>
    </row>
    <row r="5931" spans="3:17" s="700" customFormat="1" ht="70.5" hidden="1" customHeight="1">
      <c r="C5931" s="701"/>
      <c r="D5931" s="811"/>
      <c r="E5931" s="1276">
        <f>[11]building!Y6262</f>
        <v>0</v>
      </c>
      <c r="F5931" s="748">
        <f t="shared" si="331"/>
        <v>0</v>
      </c>
      <c r="G5931" s="1205"/>
      <c r="H5931" s="1055"/>
      <c r="I5931" s="1055"/>
      <c r="J5931" s="1055"/>
      <c r="K5931" s="1205"/>
      <c r="L5931" s="1055"/>
      <c r="M5931" s="1205"/>
      <c r="N5931" s="1054"/>
      <c r="O5931" s="1207"/>
      <c r="Q5931" s="1207"/>
    </row>
    <row r="5932" spans="3:17" s="700" customFormat="1" ht="70.5" hidden="1" customHeight="1">
      <c r="C5932" s="701"/>
      <c r="D5932" s="811"/>
      <c r="E5932" s="1276">
        <f>[11]building!Y6263</f>
        <v>0</v>
      </c>
      <c r="F5932" s="748">
        <f t="shared" si="331"/>
        <v>0</v>
      </c>
      <c r="G5932" s="1205"/>
      <c r="H5932" s="1055"/>
      <c r="I5932" s="1055"/>
      <c r="J5932" s="1055"/>
      <c r="K5932" s="1205"/>
      <c r="L5932" s="1055"/>
      <c r="M5932" s="1205"/>
      <c r="N5932" s="1054"/>
      <c r="O5932" s="1207"/>
      <c r="Q5932" s="1207"/>
    </row>
    <row r="5933" spans="3:17" s="700" customFormat="1" ht="70.5" hidden="1" customHeight="1">
      <c r="C5933" s="701"/>
      <c r="D5933" s="811"/>
      <c r="E5933" s="1276">
        <f>[11]building!Y6264</f>
        <v>0</v>
      </c>
      <c r="F5933" s="748">
        <f t="shared" si="331"/>
        <v>0</v>
      </c>
      <c r="G5933" s="1205"/>
      <c r="H5933" s="1055"/>
      <c r="I5933" s="1055"/>
      <c r="J5933" s="1055"/>
      <c r="K5933" s="1205"/>
      <c r="L5933" s="1055"/>
      <c r="M5933" s="1205"/>
      <c r="N5933" s="1054"/>
      <c r="O5933" s="1207"/>
      <c r="Q5933" s="1207"/>
    </row>
    <row r="5934" spans="3:17" s="700" customFormat="1" ht="70.5" hidden="1" customHeight="1">
      <c r="C5934" s="701"/>
      <c r="D5934" s="811"/>
      <c r="E5934" s="1276">
        <f>[11]building!Y6265</f>
        <v>0</v>
      </c>
      <c r="F5934" s="748">
        <f t="shared" si="331"/>
        <v>0</v>
      </c>
      <c r="G5934" s="1205"/>
      <c r="H5934" s="1055"/>
      <c r="I5934" s="1055"/>
      <c r="J5934" s="1055"/>
      <c r="K5934" s="1205"/>
      <c r="L5934" s="1055"/>
      <c r="M5934" s="1205"/>
      <c r="N5934" s="1054"/>
      <c r="O5934" s="1207"/>
      <c r="Q5934" s="1207"/>
    </row>
    <row r="5935" spans="3:17" s="700" customFormat="1" ht="70.5" hidden="1" customHeight="1">
      <c r="C5935" s="701"/>
      <c r="D5935" s="811"/>
      <c r="E5935" s="1276">
        <f>[11]building!Y6266</f>
        <v>0</v>
      </c>
      <c r="F5935" s="748">
        <f t="shared" si="331"/>
        <v>0</v>
      </c>
      <c r="G5935" s="1205"/>
      <c r="H5935" s="1055"/>
      <c r="I5935" s="1055"/>
      <c r="J5935" s="1055"/>
      <c r="K5935" s="1205"/>
      <c r="L5935" s="1055"/>
      <c r="M5935" s="1205"/>
      <c r="N5935" s="1054"/>
      <c r="O5935" s="1207"/>
      <c r="Q5935" s="1207"/>
    </row>
    <row r="5936" spans="3:17" s="700" customFormat="1" ht="70.5" hidden="1" customHeight="1">
      <c r="C5936" s="701"/>
      <c r="D5936" s="811"/>
      <c r="E5936" s="1276">
        <f>[11]building!Y6267</f>
        <v>0</v>
      </c>
      <c r="F5936" s="748">
        <f t="shared" si="331"/>
        <v>0</v>
      </c>
      <c r="G5936" s="1205"/>
      <c r="H5936" s="1055"/>
      <c r="I5936" s="1055"/>
      <c r="J5936" s="1055"/>
      <c r="K5936" s="1205"/>
      <c r="L5936" s="1055"/>
      <c r="M5936" s="1205"/>
      <c r="N5936" s="1054"/>
      <c r="O5936" s="1207"/>
      <c r="Q5936" s="1207"/>
    </row>
    <row r="5937" spans="3:17" s="700" customFormat="1" ht="70.5" hidden="1" customHeight="1">
      <c r="C5937" s="701"/>
      <c r="D5937" s="811"/>
      <c r="E5937" s="1276">
        <f>[11]building!Y6268</f>
        <v>0</v>
      </c>
      <c r="F5937" s="748">
        <f t="shared" si="331"/>
        <v>0</v>
      </c>
      <c r="G5937" s="1205"/>
      <c r="H5937" s="1055"/>
      <c r="I5937" s="1055"/>
      <c r="J5937" s="1055"/>
      <c r="K5937" s="1205"/>
      <c r="L5937" s="1055"/>
      <c r="M5937" s="1205"/>
      <c r="N5937" s="1054"/>
      <c r="O5937" s="1207"/>
      <c r="Q5937" s="1207"/>
    </row>
    <row r="5938" spans="3:17" s="700" customFormat="1" ht="70.5" hidden="1" customHeight="1">
      <c r="C5938" s="701"/>
      <c r="D5938" s="811"/>
      <c r="E5938" s="1276">
        <f>[11]building!Y6269</f>
        <v>0</v>
      </c>
      <c r="F5938" s="748">
        <f t="shared" si="331"/>
        <v>0</v>
      </c>
      <c r="G5938" s="1205"/>
      <c r="H5938" s="1055"/>
      <c r="I5938" s="1055"/>
      <c r="J5938" s="1055"/>
      <c r="K5938" s="1205"/>
      <c r="L5938" s="1055"/>
      <c r="M5938" s="1205"/>
      <c r="N5938" s="1054"/>
      <c r="O5938" s="1207"/>
      <c r="Q5938" s="1207"/>
    </row>
    <row r="5939" spans="3:17" s="700" customFormat="1" ht="70.5" hidden="1" customHeight="1">
      <c r="C5939" s="701"/>
      <c r="D5939" s="811"/>
      <c r="E5939" s="1276">
        <f>[11]building!Y6270</f>
        <v>0</v>
      </c>
      <c r="F5939" s="748">
        <f t="shared" si="331"/>
        <v>0</v>
      </c>
      <c r="G5939" s="1205"/>
      <c r="H5939" s="1055"/>
      <c r="I5939" s="1055"/>
      <c r="J5939" s="1055"/>
      <c r="K5939" s="1205"/>
      <c r="L5939" s="1055"/>
      <c r="M5939" s="1205"/>
      <c r="N5939" s="1054"/>
      <c r="O5939" s="1207"/>
      <c r="Q5939" s="1207"/>
    </row>
    <row r="5940" spans="3:17" s="700" customFormat="1" ht="70.5" hidden="1" customHeight="1">
      <c r="C5940" s="701"/>
      <c r="D5940" s="811"/>
      <c r="E5940" s="1276">
        <f>[11]building!Y6271</f>
        <v>0</v>
      </c>
      <c r="F5940" s="748">
        <f t="shared" si="331"/>
        <v>0</v>
      </c>
      <c r="G5940" s="1205"/>
      <c r="H5940" s="1055"/>
      <c r="I5940" s="1055"/>
      <c r="J5940" s="1055"/>
      <c r="K5940" s="1205"/>
      <c r="L5940" s="1055"/>
      <c r="M5940" s="1205"/>
      <c r="N5940" s="1054"/>
      <c r="O5940" s="1207"/>
      <c r="Q5940" s="1207"/>
    </row>
    <row r="5941" spans="3:17" s="700" customFormat="1" ht="70.5" hidden="1" customHeight="1">
      <c r="C5941" s="701"/>
      <c r="D5941" s="811"/>
      <c r="E5941" s="1276">
        <f>[11]building!Y6272</f>
        <v>0</v>
      </c>
      <c r="F5941" s="748">
        <f t="shared" si="331"/>
        <v>0</v>
      </c>
      <c r="G5941" s="1205"/>
      <c r="H5941" s="1055"/>
      <c r="I5941" s="1055"/>
      <c r="J5941" s="1055"/>
      <c r="K5941" s="1205"/>
      <c r="L5941" s="1055"/>
      <c r="M5941" s="1205"/>
      <c r="N5941" s="1054"/>
      <c r="O5941" s="1207"/>
      <c r="Q5941" s="1207"/>
    </row>
    <row r="5942" spans="3:17" s="700" customFormat="1" ht="70.5" hidden="1" customHeight="1">
      <c r="C5942" s="701"/>
      <c r="D5942" s="811"/>
      <c r="E5942" s="1276">
        <f>[11]building!Y6273</f>
        <v>0</v>
      </c>
      <c r="F5942" s="748">
        <f t="shared" si="331"/>
        <v>0</v>
      </c>
      <c r="G5942" s="1205"/>
      <c r="H5942" s="1055"/>
      <c r="I5942" s="1055"/>
      <c r="J5942" s="1055"/>
      <c r="K5942" s="1205"/>
      <c r="L5942" s="1055"/>
      <c r="M5942" s="1205"/>
      <c r="N5942" s="1054"/>
      <c r="O5942" s="1207"/>
      <c r="Q5942" s="1207"/>
    </row>
    <row r="5943" spans="3:17" s="700" customFormat="1" ht="70.5" hidden="1" customHeight="1">
      <c r="C5943" s="701"/>
      <c r="D5943" s="811"/>
      <c r="E5943" s="1276">
        <f>[11]building!Y6274</f>
        <v>0</v>
      </c>
      <c r="F5943" s="748">
        <f t="shared" si="331"/>
        <v>0</v>
      </c>
      <c r="G5943" s="1205"/>
      <c r="H5943" s="1055"/>
      <c r="I5943" s="1055"/>
      <c r="J5943" s="1055"/>
      <c r="K5943" s="1205"/>
      <c r="L5943" s="1055"/>
      <c r="M5943" s="1205"/>
      <c r="N5943" s="1054"/>
      <c r="O5943" s="1207"/>
      <c r="Q5943" s="1207"/>
    </row>
    <row r="5944" spans="3:17" s="700" customFormat="1" ht="70.5" hidden="1" customHeight="1">
      <c r="C5944" s="701"/>
      <c r="D5944" s="811"/>
      <c r="E5944" s="1276">
        <f>[11]building!Y6275</f>
        <v>0</v>
      </c>
      <c r="F5944" s="748">
        <f t="shared" si="331"/>
        <v>0</v>
      </c>
      <c r="G5944" s="1205"/>
      <c r="H5944" s="1055"/>
      <c r="I5944" s="1055"/>
      <c r="J5944" s="1055"/>
      <c r="K5944" s="1205"/>
      <c r="L5944" s="1055"/>
      <c r="M5944" s="1205"/>
      <c r="N5944" s="1054"/>
      <c r="O5944" s="1207"/>
      <c r="Q5944" s="1207"/>
    </row>
    <row r="5945" spans="3:17" s="700" customFormat="1" ht="70.5" hidden="1" customHeight="1">
      <c r="C5945" s="701"/>
      <c r="D5945" s="811"/>
      <c r="E5945" s="1276">
        <f>[11]building!Y6276</f>
        <v>0</v>
      </c>
      <c r="F5945" s="748">
        <f t="shared" si="331"/>
        <v>0</v>
      </c>
      <c r="G5945" s="1205"/>
      <c r="H5945" s="1055"/>
      <c r="I5945" s="1055"/>
      <c r="J5945" s="1055"/>
      <c r="K5945" s="1205"/>
      <c r="L5945" s="1055"/>
      <c r="M5945" s="1205"/>
      <c r="N5945" s="1054"/>
      <c r="O5945" s="1207"/>
      <c r="Q5945" s="1207"/>
    </row>
    <row r="5946" spans="3:17" s="700" customFormat="1" ht="70.5" hidden="1" customHeight="1">
      <c r="C5946" s="701"/>
      <c r="D5946" s="811"/>
      <c r="E5946" s="1276">
        <f>[11]building!Y6277</f>
        <v>0</v>
      </c>
      <c r="F5946" s="748">
        <f t="shared" si="331"/>
        <v>0</v>
      </c>
      <c r="G5946" s="1205"/>
      <c r="H5946" s="1055"/>
      <c r="I5946" s="1055"/>
      <c r="J5946" s="1055"/>
      <c r="K5946" s="1205"/>
      <c r="L5946" s="1055"/>
      <c r="M5946" s="1205"/>
      <c r="N5946" s="1054"/>
      <c r="O5946" s="1207"/>
      <c r="Q5946" s="1207"/>
    </row>
    <row r="5947" spans="3:17" s="700" customFormat="1" ht="70.5" hidden="1" customHeight="1">
      <c r="C5947" s="701"/>
      <c r="D5947" s="811"/>
      <c r="E5947" s="1276">
        <f>[11]building!Y6278</f>
        <v>0</v>
      </c>
      <c r="F5947" s="748">
        <f t="shared" si="331"/>
        <v>0</v>
      </c>
      <c r="G5947" s="1205"/>
      <c r="H5947" s="1055"/>
      <c r="I5947" s="1055"/>
      <c r="J5947" s="1055"/>
      <c r="K5947" s="1205"/>
      <c r="L5947" s="1055"/>
      <c r="M5947" s="1205"/>
      <c r="N5947" s="1054"/>
      <c r="O5947" s="1207"/>
      <c r="Q5947" s="1207"/>
    </row>
    <row r="5948" spans="3:17" s="700" customFormat="1" ht="70.5" hidden="1" customHeight="1">
      <c r="C5948" s="701"/>
      <c r="D5948" s="811"/>
      <c r="E5948" s="1276">
        <f>[11]building!Y6279</f>
        <v>0</v>
      </c>
      <c r="F5948" s="748">
        <f t="shared" si="331"/>
        <v>0</v>
      </c>
      <c r="G5948" s="1205"/>
      <c r="H5948" s="1055"/>
      <c r="I5948" s="1055"/>
      <c r="J5948" s="1055"/>
      <c r="K5948" s="1205"/>
      <c r="L5948" s="1055"/>
      <c r="M5948" s="1205"/>
      <c r="N5948" s="1054"/>
      <c r="O5948" s="1207"/>
      <c r="Q5948" s="1207"/>
    </row>
    <row r="5949" spans="3:17" s="700" customFormat="1" ht="70.5" hidden="1" customHeight="1">
      <c r="C5949" s="701"/>
      <c r="D5949" s="811"/>
      <c r="E5949" s="1276">
        <f>[11]building!Y6280</f>
        <v>0</v>
      </c>
      <c r="F5949" s="748">
        <f t="shared" si="331"/>
        <v>0</v>
      </c>
      <c r="G5949" s="1205"/>
      <c r="H5949" s="1055"/>
      <c r="I5949" s="1055"/>
      <c r="J5949" s="1055"/>
      <c r="K5949" s="1205"/>
      <c r="L5949" s="1055"/>
      <c r="M5949" s="1205"/>
      <c r="N5949" s="1054"/>
      <c r="O5949" s="1207"/>
      <c r="Q5949" s="1207"/>
    </row>
    <row r="5950" spans="3:17" s="700" customFormat="1" ht="70.5" hidden="1" customHeight="1">
      <c r="C5950" s="701"/>
      <c r="D5950" s="811"/>
      <c r="E5950" s="1276">
        <f>[11]building!Y6281</f>
        <v>0</v>
      </c>
      <c r="F5950" s="748">
        <f t="shared" si="331"/>
        <v>0</v>
      </c>
      <c r="G5950" s="1205"/>
      <c r="H5950" s="1055"/>
      <c r="I5950" s="1055"/>
      <c r="J5950" s="1055"/>
      <c r="K5950" s="1205"/>
      <c r="L5950" s="1055"/>
      <c r="M5950" s="1205"/>
      <c r="N5950" s="1054"/>
      <c r="O5950" s="1207"/>
      <c r="Q5950" s="1207"/>
    </row>
    <row r="5951" spans="3:17" s="700" customFormat="1" ht="70.5" hidden="1" customHeight="1">
      <c r="C5951" s="701"/>
      <c r="D5951" s="811"/>
      <c r="E5951" s="1276">
        <f>[11]building!Y6282</f>
        <v>0</v>
      </c>
      <c r="F5951" s="748">
        <f t="shared" si="331"/>
        <v>0</v>
      </c>
      <c r="G5951" s="1205"/>
      <c r="H5951" s="1055"/>
      <c r="I5951" s="1055"/>
      <c r="J5951" s="1055"/>
      <c r="K5951" s="1205"/>
      <c r="L5951" s="1055"/>
      <c r="M5951" s="1205"/>
      <c r="N5951" s="1054"/>
      <c r="O5951" s="1207"/>
      <c r="Q5951" s="1207"/>
    </row>
    <row r="5952" spans="3:17" s="700" customFormat="1" ht="70.5" hidden="1" customHeight="1">
      <c r="C5952" s="701"/>
      <c r="D5952" s="811"/>
      <c r="E5952" s="1276">
        <f>[11]building!Y6283</f>
        <v>0</v>
      </c>
      <c r="F5952" s="748">
        <f t="shared" ref="F5952:F6015" si="332">E5952*C5952</f>
        <v>0</v>
      </c>
      <c r="G5952" s="1205"/>
      <c r="H5952" s="1055"/>
      <c r="I5952" s="1055"/>
      <c r="J5952" s="1055"/>
      <c r="K5952" s="1205"/>
      <c r="L5952" s="1055"/>
      <c r="M5952" s="1205"/>
      <c r="N5952" s="1054"/>
      <c r="O5952" s="1207"/>
      <c r="Q5952" s="1207"/>
    </row>
    <row r="5953" spans="3:17" s="700" customFormat="1" ht="70.5" hidden="1" customHeight="1">
      <c r="C5953" s="701"/>
      <c r="D5953" s="811"/>
      <c r="E5953" s="1276">
        <f>[11]building!Y6284</f>
        <v>0</v>
      </c>
      <c r="F5953" s="748">
        <f t="shared" si="332"/>
        <v>0</v>
      </c>
      <c r="G5953" s="1205"/>
      <c r="H5953" s="1055"/>
      <c r="I5953" s="1055"/>
      <c r="J5953" s="1055"/>
      <c r="K5953" s="1205"/>
      <c r="L5953" s="1055"/>
      <c r="M5953" s="1205"/>
      <c r="N5953" s="1054"/>
      <c r="O5953" s="1207"/>
      <c r="Q5953" s="1207"/>
    </row>
    <row r="5954" spans="3:17" s="700" customFormat="1" ht="70.5" hidden="1" customHeight="1">
      <c r="C5954" s="701"/>
      <c r="D5954" s="811"/>
      <c r="E5954" s="1276">
        <f>[11]building!Y6285</f>
        <v>0</v>
      </c>
      <c r="F5954" s="748">
        <f t="shared" si="332"/>
        <v>0</v>
      </c>
      <c r="G5954" s="1205"/>
      <c r="H5954" s="1055"/>
      <c r="I5954" s="1055"/>
      <c r="J5954" s="1055"/>
      <c r="K5954" s="1205"/>
      <c r="L5954" s="1055"/>
      <c r="M5954" s="1205"/>
      <c r="N5954" s="1054"/>
      <c r="O5954" s="1207"/>
      <c r="Q5954" s="1207"/>
    </row>
    <row r="5955" spans="3:17" s="700" customFormat="1" ht="70.5" hidden="1" customHeight="1">
      <c r="C5955" s="701"/>
      <c r="D5955" s="811"/>
      <c r="E5955" s="1276">
        <f>[11]building!Y6286</f>
        <v>0</v>
      </c>
      <c r="F5955" s="748">
        <f t="shared" si="332"/>
        <v>0</v>
      </c>
      <c r="G5955" s="1205"/>
      <c r="H5955" s="1055"/>
      <c r="I5955" s="1055"/>
      <c r="J5955" s="1055"/>
      <c r="K5955" s="1205"/>
      <c r="L5955" s="1055"/>
      <c r="M5955" s="1205"/>
      <c r="N5955" s="1054"/>
      <c r="O5955" s="1207"/>
      <c r="Q5955" s="1207"/>
    </row>
    <row r="5956" spans="3:17" s="700" customFormat="1" ht="70.5" hidden="1" customHeight="1">
      <c r="C5956" s="701"/>
      <c r="D5956" s="811"/>
      <c r="E5956" s="1276">
        <f>[11]building!Y6287</f>
        <v>0</v>
      </c>
      <c r="F5956" s="748">
        <f t="shared" si="332"/>
        <v>0</v>
      </c>
      <c r="G5956" s="1205"/>
      <c r="H5956" s="1055"/>
      <c r="I5956" s="1055"/>
      <c r="J5956" s="1055"/>
      <c r="K5956" s="1205"/>
      <c r="L5956" s="1055"/>
      <c r="M5956" s="1205"/>
      <c r="N5956" s="1054"/>
      <c r="O5956" s="1207"/>
      <c r="Q5956" s="1207"/>
    </row>
    <row r="5957" spans="3:17" s="700" customFormat="1" ht="70.5" hidden="1" customHeight="1">
      <c r="C5957" s="701"/>
      <c r="D5957" s="811"/>
      <c r="E5957" s="1276">
        <f>[11]building!Y6288</f>
        <v>0</v>
      </c>
      <c r="F5957" s="748">
        <f t="shared" si="332"/>
        <v>0</v>
      </c>
      <c r="G5957" s="1205"/>
      <c r="H5957" s="1055"/>
      <c r="I5957" s="1055"/>
      <c r="J5957" s="1055"/>
      <c r="K5957" s="1205"/>
      <c r="L5957" s="1055"/>
      <c r="M5957" s="1205"/>
      <c r="N5957" s="1054"/>
      <c r="O5957" s="1207"/>
      <c r="Q5957" s="1207"/>
    </row>
    <row r="5958" spans="3:17" s="700" customFormat="1" ht="70.5" hidden="1" customHeight="1">
      <c r="C5958" s="701"/>
      <c r="D5958" s="811"/>
      <c r="E5958" s="1276">
        <f>[11]building!Y6289</f>
        <v>0</v>
      </c>
      <c r="F5958" s="748">
        <f t="shared" si="332"/>
        <v>0</v>
      </c>
      <c r="G5958" s="1205"/>
      <c r="H5958" s="1055"/>
      <c r="I5958" s="1055"/>
      <c r="J5958" s="1055"/>
      <c r="K5958" s="1205"/>
      <c r="L5958" s="1055"/>
      <c r="M5958" s="1205"/>
      <c r="N5958" s="1054"/>
      <c r="O5958" s="1207"/>
      <c r="Q5958" s="1207"/>
    </row>
    <row r="5959" spans="3:17" s="700" customFormat="1" ht="70.5" hidden="1" customHeight="1">
      <c r="C5959" s="701"/>
      <c r="D5959" s="811"/>
      <c r="E5959" s="1276">
        <f>[11]building!Y6290</f>
        <v>0</v>
      </c>
      <c r="F5959" s="748">
        <f t="shared" si="332"/>
        <v>0</v>
      </c>
      <c r="G5959" s="1205"/>
      <c r="H5959" s="1055"/>
      <c r="I5959" s="1055"/>
      <c r="J5959" s="1055"/>
      <c r="K5959" s="1205"/>
      <c r="L5959" s="1055"/>
      <c r="M5959" s="1205"/>
      <c r="N5959" s="1054"/>
      <c r="O5959" s="1207"/>
      <c r="Q5959" s="1207"/>
    </row>
    <row r="5960" spans="3:17" s="700" customFormat="1" ht="70.5" hidden="1" customHeight="1">
      <c r="C5960" s="701"/>
      <c r="D5960" s="811"/>
      <c r="E5960" s="1276">
        <f>[11]building!Y6291</f>
        <v>0</v>
      </c>
      <c r="F5960" s="748">
        <f t="shared" si="332"/>
        <v>0</v>
      </c>
      <c r="G5960" s="1205"/>
      <c r="H5960" s="1055"/>
      <c r="I5960" s="1055"/>
      <c r="J5960" s="1055"/>
      <c r="K5960" s="1205"/>
      <c r="L5960" s="1055"/>
      <c r="M5960" s="1205"/>
      <c r="N5960" s="1054"/>
      <c r="O5960" s="1207"/>
      <c r="Q5960" s="1207"/>
    </row>
    <row r="5961" spans="3:17" s="700" customFormat="1" ht="70.5" hidden="1" customHeight="1">
      <c r="C5961" s="701"/>
      <c r="D5961" s="811"/>
      <c r="E5961" s="1276">
        <f>[11]building!Y6292</f>
        <v>0</v>
      </c>
      <c r="F5961" s="748">
        <f t="shared" si="332"/>
        <v>0</v>
      </c>
      <c r="G5961" s="1205"/>
      <c r="H5961" s="1055"/>
      <c r="I5961" s="1055"/>
      <c r="J5961" s="1055"/>
      <c r="K5961" s="1205"/>
      <c r="L5961" s="1055"/>
      <c r="M5961" s="1205"/>
      <c r="N5961" s="1054"/>
      <c r="O5961" s="1207"/>
      <c r="Q5961" s="1207"/>
    </row>
    <row r="5962" spans="3:17" s="700" customFormat="1" ht="70.5" hidden="1" customHeight="1">
      <c r="C5962" s="701"/>
      <c r="D5962" s="811"/>
      <c r="E5962" s="1276">
        <f>[11]building!Y6293</f>
        <v>0</v>
      </c>
      <c r="F5962" s="748">
        <f t="shared" si="332"/>
        <v>0</v>
      </c>
      <c r="G5962" s="1205"/>
      <c r="H5962" s="1055"/>
      <c r="I5962" s="1055"/>
      <c r="J5962" s="1055"/>
      <c r="K5962" s="1205"/>
      <c r="L5962" s="1055"/>
      <c r="M5962" s="1205"/>
      <c r="N5962" s="1054"/>
      <c r="O5962" s="1207"/>
      <c r="Q5962" s="1207"/>
    </row>
    <row r="5963" spans="3:17" s="700" customFormat="1" ht="70.5" hidden="1" customHeight="1">
      <c r="C5963" s="701"/>
      <c r="D5963" s="811"/>
      <c r="E5963" s="1276">
        <f>[11]building!Y6294</f>
        <v>0</v>
      </c>
      <c r="F5963" s="748">
        <f t="shared" si="332"/>
        <v>0</v>
      </c>
      <c r="G5963" s="1205"/>
      <c r="H5963" s="1055"/>
      <c r="I5963" s="1055"/>
      <c r="J5963" s="1055"/>
      <c r="K5963" s="1205"/>
      <c r="L5963" s="1055"/>
      <c r="M5963" s="1205"/>
      <c r="N5963" s="1054"/>
      <c r="O5963" s="1207"/>
      <c r="Q5963" s="1207"/>
    </row>
    <row r="5964" spans="3:17" s="700" customFormat="1" ht="70.5" hidden="1" customHeight="1">
      <c r="C5964" s="701"/>
      <c r="D5964" s="811"/>
      <c r="E5964" s="1276">
        <f>[11]building!Y6295</f>
        <v>0</v>
      </c>
      <c r="F5964" s="748">
        <f t="shared" si="332"/>
        <v>0</v>
      </c>
      <c r="G5964" s="1205"/>
      <c r="H5964" s="1055"/>
      <c r="I5964" s="1055"/>
      <c r="J5964" s="1055"/>
      <c r="K5964" s="1205"/>
      <c r="L5964" s="1055"/>
      <c r="M5964" s="1205"/>
      <c r="N5964" s="1054"/>
      <c r="O5964" s="1207"/>
      <c r="Q5964" s="1207"/>
    </row>
    <row r="5965" spans="3:17" s="700" customFormat="1" ht="70.5" hidden="1" customHeight="1">
      <c r="C5965" s="701"/>
      <c r="D5965" s="811"/>
      <c r="E5965" s="1276">
        <f>[11]building!Y6296</f>
        <v>0</v>
      </c>
      <c r="F5965" s="748">
        <f t="shared" si="332"/>
        <v>0</v>
      </c>
      <c r="G5965" s="1205"/>
      <c r="H5965" s="1055"/>
      <c r="I5965" s="1055"/>
      <c r="J5965" s="1055"/>
      <c r="K5965" s="1205"/>
      <c r="L5965" s="1055"/>
      <c r="M5965" s="1205"/>
      <c r="N5965" s="1054"/>
      <c r="O5965" s="1207"/>
      <c r="Q5965" s="1207"/>
    </row>
    <row r="5966" spans="3:17" s="700" customFormat="1" ht="70.5" hidden="1" customHeight="1">
      <c r="C5966" s="701"/>
      <c r="D5966" s="811"/>
      <c r="E5966" s="1276">
        <f>[11]building!Y6297</f>
        <v>0</v>
      </c>
      <c r="F5966" s="748">
        <f t="shared" si="332"/>
        <v>0</v>
      </c>
      <c r="G5966" s="1205"/>
      <c r="H5966" s="1055"/>
      <c r="I5966" s="1055"/>
      <c r="J5966" s="1055"/>
      <c r="K5966" s="1205"/>
      <c r="L5966" s="1055"/>
      <c r="M5966" s="1205"/>
      <c r="N5966" s="1054"/>
      <c r="O5966" s="1207"/>
      <c r="Q5966" s="1207"/>
    </row>
    <row r="5967" spans="3:17" s="700" customFormat="1" ht="70.5" hidden="1" customHeight="1">
      <c r="C5967" s="701"/>
      <c r="D5967" s="811"/>
      <c r="E5967" s="1276">
        <f>[11]building!Y6298</f>
        <v>0</v>
      </c>
      <c r="F5967" s="748">
        <f t="shared" si="332"/>
        <v>0</v>
      </c>
      <c r="G5967" s="1205"/>
      <c r="H5967" s="1055"/>
      <c r="I5967" s="1055"/>
      <c r="J5967" s="1055"/>
      <c r="K5967" s="1205"/>
      <c r="L5967" s="1055"/>
      <c r="M5967" s="1205"/>
      <c r="N5967" s="1054"/>
      <c r="O5967" s="1207"/>
      <c r="Q5967" s="1207"/>
    </row>
    <row r="5968" spans="3:17" s="700" customFormat="1" ht="70.5" hidden="1" customHeight="1">
      <c r="C5968" s="701"/>
      <c r="D5968" s="811"/>
      <c r="E5968" s="1276">
        <f>[11]building!Y6299</f>
        <v>0</v>
      </c>
      <c r="F5968" s="748">
        <f t="shared" si="332"/>
        <v>0</v>
      </c>
      <c r="G5968" s="1205"/>
      <c r="H5968" s="1055"/>
      <c r="I5968" s="1055"/>
      <c r="J5968" s="1055"/>
      <c r="K5968" s="1205"/>
      <c r="L5968" s="1055"/>
      <c r="M5968" s="1205"/>
      <c r="N5968" s="1054"/>
      <c r="O5968" s="1207"/>
      <c r="Q5968" s="1207"/>
    </row>
    <row r="5969" spans="3:17" s="700" customFormat="1" ht="70.5" hidden="1" customHeight="1">
      <c r="C5969" s="701"/>
      <c r="D5969" s="811"/>
      <c r="E5969" s="1276">
        <f>[11]building!Y6300</f>
        <v>0</v>
      </c>
      <c r="F5969" s="748">
        <f t="shared" si="332"/>
        <v>0</v>
      </c>
      <c r="G5969" s="1205"/>
      <c r="H5969" s="1055"/>
      <c r="I5969" s="1055"/>
      <c r="J5969" s="1055"/>
      <c r="K5969" s="1205"/>
      <c r="L5969" s="1055"/>
      <c r="M5969" s="1205"/>
      <c r="N5969" s="1054"/>
      <c r="O5969" s="1207"/>
      <c r="Q5969" s="1207"/>
    </row>
    <row r="5970" spans="3:17" s="700" customFormat="1" ht="70.5" hidden="1" customHeight="1">
      <c r="C5970" s="701"/>
      <c r="D5970" s="811"/>
      <c r="E5970" s="1276">
        <f>[11]building!Y6301</f>
        <v>0</v>
      </c>
      <c r="F5970" s="748">
        <f t="shared" si="332"/>
        <v>0</v>
      </c>
      <c r="G5970" s="1205"/>
      <c r="H5970" s="1055"/>
      <c r="I5970" s="1055"/>
      <c r="J5970" s="1055"/>
      <c r="K5970" s="1205"/>
      <c r="L5970" s="1055"/>
      <c r="M5970" s="1205"/>
      <c r="N5970" s="1054"/>
      <c r="O5970" s="1207"/>
      <c r="Q5970" s="1207"/>
    </row>
    <row r="5971" spans="3:17" s="700" customFormat="1" ht="70.5" hidden="1" customHeight="1">
      <c r="C5971" s="701"/>
      <c r="D5971" s="811"/>
      <c r="E5971" s="1276">
        <f>[11]building!Y6302</f>
        <v>0</v>
      </c>
      <c r="F5971" s="748">
        <f t="shared" si="332"/>
        <v>0</v>
      </c>
      <c r="G5971" s="1205"/>
      <c r="H5971" s="1055"/>
      <c r="I5971" s="1055"/>
      <c r="J5971" s="1055"/>
      <c r="K5971" s="1205"/>
      <c r="L5971" s="1055"/>
      <c r="M5971" s="1205"/>
      <c r="N5971" s="1054"/>
      <c r="O5971" s="1207"/>
      <c r="Q5971" s="1207"/>
    </row>
    <row r="5972" spans="3:17" s="700" customFormat="1" ht="70.5" hidden="1" customHeight="1">
      <c r="C5972" s="701"/>
      <c r="D5972" s="811"/>
      <c r="E5972" s="1276">
        <f>[11]building!Y6303</f>
        <v>0</v>
      </c>
      <c r="F5972" s="748">
        <f t="shared" si="332"/>
        <v>0</v>
      </c>
      <c r="G5972" s="1205"/>
      <c r="H5972" s="1055"/>
      <c r="I5972" s="1055"/>
      <c r="J5972" s="1055"/>
      <c r="K5972" s="1205"/>
      <c r="L5972" s="1055"/>
      <c r="M5972" s="1205"/>
      <c r="N5972" s="1054"/>
      <c r="O5972" s="1207"/>
      <c r="Q5972" s="1207"/>
    </row>
    <row r="5973" spans="3:17" s="700" customFormat="1" ht="70.5" hidden="1" customHeight="1">
      <c r="C5973" s="701"/>
      <c r="D5973" s="811"/>
      <c r="E5973" s="1276">
        <f>[11]building!Y6304</f>
        <v>0</v>
      </c>
      <c r="F5973" s="748">
        <f t="shared" si="332"/>
        <v>0</v>
      </c>
      <c r="G5973" s="1205"/>
      <c r="H5973" s="1055"/>
      <c r="I5973" s="1055"/>
      <c r="J5973" s="1055"/>
      <c r="K5973" s="1205"/>
      <c r="L5973" s="1055"/>
      <c r="M5973" s="1205"/>
      <c r="N5973" s="1054"/>
      <c r="O5973" s="1207"/>
      <c r="Q5973" s="1207"/>
    </row>
    <row r="5974" spans="3:17" s="700" customFormat="1" ht="70.5" hidden="1" customHeight="1">
      <c r="C5974" s="701"/>
      <c r="D5974" s="811"/>
      <c r="E5974" s="1276">
        <f>[11]building!Y6305</f>
        <v>0</v>
      </c>
      <c r="F5974" s="748">
        <f t="shared" si="332"/>
        <v>0</v>
      </c>
      <c r="G5974" s="1205"/>
      <c r="H5974" s="1055"/>
      <c r="I5974" s="1055"/>
      <c r="J5974" s="1055"/>
      <c r="K5974" s="1205"/>
      <c r="L5974" s="1055"/>
      <c r="M5974" s="1205"/>
      <c r="N5974" s="1054"/>
      <c r="O5974" s="1207"/>
      <c r="Q5974" s="1207"/>
    </row>
    <row r="5975" spans="3:17" s="700" customFormat="1" ht="70.5" hidden="1" customHeight="1">
      <c r="C5975" s="701"/>
      <c r="D5975" s="811"/>
      <c r="E5975" s="1276">
        <f>[11]building!Y6306</f>
        <v>0</v>
      </c>
      <c r="F5975" s="748">
        <f t="shared" si="332"/>
        <v>0</v>
      </c>
      <c r="G5975" s="1205"/>
      <c r="H5975" s="1055"/>
      <c r="I5975" s="1055"/>
      <c r="J5975" s="1055"/>
      <c r="K5975" s="1205"/>
      <c r="L5975" s="1055"/>
      <c r="M5975" s="1205"/>
      <c r="N5975" s="1054"/>
      <c r="O5975" s="1207"/>
      <c r="Q5975" s="1207"/>
    </row>
    <row r="5976" spans="3:17" s="700" customFormat="1" ht="70.5" hidden="1" customHeight="1">
      <c r="C5976" s="701"/>
      <c r="D5976" s="811"/>
      <c r="E5976" s="1276">
        <f>[11]building!Y6307</f>
        <v>0</v>
      </c>
      <c r="F5976" s="748">
        <f t="shared" si="332"/>
        <v>0</v>
      </c>
      <c r="G5976" s="1205"/>
      <c r="H5976" s="1055"/>
      <c r="I5976" s="1055"/>
      <c r="J5976" s="1055"/>
      <c r="K5976" s="1205"/>
      <c r="L5976" s="1055"/>
      <c r="M5976" s="1205"/>
      <c r="N5976" s="1054"/>
      <c r="O5976" s="1207"/>
      <c r="Q5976" s="1207"/>
    </row>
    <row r="5977" spans="3:17" s="700" customFormat="1" ht="70.5" hidden="1" customHeight="1">
      <c r="C5977" s="701"/>
      <c r="D5977" s="811"/>
      <c r="E5977" s="1276">
        <f>[11]building!Y6308</f>
        <v>0</v>
      </c>
      <c r="F5977" s="748">
        <f t="shared" si="332"/>
        <v>0</v>
      </c>
      <c r="G5977" s="1205"/>
      <c r="H5977" s="1055"/>
      <c r="I5977" s="1055"/>
      <c r="J5977" s="1055"/>
      <c r="K5977" s="1205"/>
      <c r="L5977" s="1055"/>
      <c r="M5977" s="1205"/>
      <c r="N5977" s="1054"/>
      <c r="O5977" s="1207"/>
      <c r="Q5977" s="1207"/>
    </row>
    <row r="5978" spans="3:17" s="700" customFormat="1" ht="70.5" hidden="1" customHeight="1">
      <c r="C5978" s="701"/>
      <c r="D5978" s="811"/>
      <c r="E5978" s="1276">
        <f>[11]building!Y6309</f>
        <v>0</v>
      </c>
      <c r="F5978" s="748">
        <f t="shared" si="332"/>
        <v>0</v>
      </c>
      <c r="G5978" s="1205"/>
      <c r="H5978" s="1055"/>
      <c r="I5978" s="1055"/>
      <c r="J5978" s="1055"/>
      <c r="K5978" s="1205"/>
      <c r="L5978" s="1055"/>
      <c r="M5978" s="1205"/>
      <c r="N5978" s="1054"/>
      <c r="O5978" s="1207"/>
      <c r="Q5978" s="1207"/>
    </row>
    <row r="5979" spans="3:17" s="700" customFormat="1" ht="70.5" hidden="1" customHeight="1">
      <c r="C5979" s="701"/>
      <c r="D5979" s="811"/>
      <c r="E5979" s="1276">
        <f>[11]building!Y6310</f>
        <v>0</v>
      </c>
      <c r="F5979" s="748">
        <f t="shared" si="332"/>
        <v>0</v>
      </c>
      <c r="G5979" s="1205"/>
      <c r="H5979" s="1055"/>
      <c r="I5979" s="1055"/>
      <c r="J5979" s="1055"/>
      <c r="K5979" s="1205"/>
      <c r="L5979" s="1055"/>
      <c r="M5979" s="1205"/>
      <c r="N5979" s="1054"/>
      <c r="O5979" s="1207"/>
      <c r="Q5979" s="1207"/>
    </row>
    <row r="5980" spans="3:17" s="700" customFormat="1" ht="70.5" hidden="1" customHeight="1">
      <c r="C5980" s="701"/>
      <c r="D5980" s="811"/>
      <c r="E5980" s="1276">
        <f>[11]building!Y6311</f>
        <v>0</v>
      </c>
      <c r="F5980" s="748">
        <f t="shared" si="332"/>
        <v>0</v>
      </c>
      <c r="G5980" s="1205"/>
      <c r="H5980" s="1055"/>
      <c r="I5980" s="1055"/>
      <c r="J5980" s="1055"/>
      <c r="K5980" s="1205"/>
      <c r="L5980" s="1055"/>
      <c r="M5980" s="1205"/>
      <c r="N5980" s="1054"/>
      <c r="O5980" s="1207"/>
      <c r="Q5980" s="1207"/>
    </row>
    <row r="5981" spans="3:17" s="700" customFormat="1" ht="70.5" hidden="1" customHeight="1">
      <c r="C5981" s="701"/>
      <c r="D5981" s="811"/>
      <c r="E5981" s="1276">
        <f>[11]building!Y6312</f>
        <v>0</v>
      </c>
      <c r="F5981" s="748">
        <f t="shared" si="332"/>
        <v>0</v>
      </c>
      <c r="G5981" s="1205"/>
      <c r="H5981" s="1055"/>
      <c r="I5981" s="1055"/>
      <c r="J5981" s="1055"/>
      <c r="K5981" s="1205"/>
      <c r="L5981" s="1055"/>
      <c r="M5981" s="1205"/>
      <c r="N5981" s="1054"/>
      <c r="O5981" s="1207"/>
      <c r="Q5981" s="1207"/>
    </row>
    <row r="5982" spans="3:17" s="700" customFormat="1" ht="70.5" hidden="1" customHeight="1">
      <c r="C5982" s="701"/>
      <c r="D5982" s="811"/>
      <c r="E5982" s="1276">
        <f>[11]building!Y6313</f>
        <v>0</v>
      </c>
      <c r="F5982" s="748">
        <f t="shared" si="332"/>
        <v>0</v>
      </c>
      <c r="G5982" s="1205"/>
      <c r="H5982" s="1055"/>
      <c r="I5982" s="1055"/>
      <c r="J5982" s="1055"/>
      <c r="K5982" s="1205"/>
      <c r="L5982" s="1055"/>
      <c r="M5982" s="1205"/>
      <c r="N5982" s="1054"/>
      <c r="O5982" s="1207"/>
      <c r="Q5982" s="1207"/>
    </row>
    <row r="5983" spans="3:17" s="700" customFormat="1" ht="70.5" hidden="1" customHeight="1">
      <c r="C5983" s="701"/>
      <c r="D5983" s="811"/>
      <c r="E5983" s="1276">
        <f>[11]building!Y6314</f>
        <v>0</v>
      </c>
      <c r="F5983" s="748">
        <f t="shared" si="332"/>
        <v>0</v>
      </c>
      <c r="G5983" s="1205"/>
      <c r="H5983" s="1055"/>
      <c r="I5983" s="1055"/>
      <c r="J5983" s="1055"/>
      <c r="K5983" s="1205"/>
      <c r="L5983" s="1055"/>
      <c r="M5983" s="1205"/>
      <c r="N5983" s="1054"/>
      <c r="O5983" s="1207"/>
      <c r="Q5983" s="1207"/>
    </row>
    <row r="5984" spans="3:17" s="700" customFormat="1" ht="70.5" hidden="1" customHeight="1">
      <c r="C5984" s="701"/>
      <c r="D5984" s="811"/>
      <c r="E5984" s="1276">
        <f>[11]building!Y6315</f>
        <v>0</v>
      </c>
      <c r="F5984" s="748">
        <f t="shared" si="332"/>
        <v>0</v>
      </c>
      <c r="G5984" s="1205"/>
      <c r="H5984" s="1055"/>
      <c r="I5984" s="1055"/>
      <c r="J5984" s="1055"/>
      <c r="K5984" s="1205"/>
      <c r="L5984" s="1055"/>
      <c r="M5984" s="1205"/>
      <c r="N5984" s="1054"/>
      <c r="O5984" s="1207"/>
      <c r="Q5984" s="1207"/>
    </row>
    <row r="5985" spans="3:17" s="700" customFormat="1" ht="70.5" hidden="1" customHeight="1">
      <c r="C5985" s="701"/>
      <c r="D5985" s="811"/>
      <c r="E5985" s="1276">
        <f>[11]building!Y6316</f>
        <v>0</v>
      </c>
      <c r="F5985" s="748">
        <f t="shared" si="332"/>
        <v>0</v>
      </c>
      <c r="G5985" s="1205"/>
      <c r="H5985" s="1055"/>
      <c r="I5985" s="1055"/>
      <c r="J5985" s="1055"/>
      <c r="K5985" s="1205"/>
      <c r="L5985" s="1055"/>
      <c r="M5985" s="1205"/>
      <c r="N5985" s="1054"/>
      <c r="O5985" s="1207"/>
      <c r="Q5985" s="1207"/>
    </row>
    <row r="5986" spans="3:17" s="700" customFormat="1" ht="70.5" hidden="1" customHeight="1">
      <c r="C5986" s="701"/>
      <c r="D5986" s="811"/>
      <c r="E5986" s="1276">
        <f>[11]building!Y6317</f>
        <v>0</v>
      </c>
      <c r="F5986" s="748">
        <f t="shared" si="332"/>
        <v>0</v>
      </c>
      <c r="G5986" s="1205"/>
      <c r="H5986" s="1055"/>
      <c r="I5986" s="1055"/>
      <c r="J5986" s="1055"/>
      <c r="K5986" s="1205"/>
      <c r="L5986" s="1055"/>
      <c r="M5986" s="1205"/>
      <c r="N5986" s="1054"/>
      <c r="O5986" s="1207"/>
      <c r="Q5986" s="1207"/>
    </row>
    <row r="5987" spans="3:17" s="700" customFormat="1" ht="70.5" hidden="1" customHeight="1">
      <c r="C5987" s="701"/>
      <c r="D5987" s="811"/>
      <c r="E5987" s="1276">
        <f>[11]building!Y6318</f>
        <v>0</v>
      </c>
      <c r="F5987" s="748">
        <f t="shared" si="332"/>
        <v>0</v>
      </c>
      <c r="G5987" s="1205"/>
      <c r="H5987" s="1055"/>
      <c r="I5987" s="1055"/>
      <c r="J5987" s="1055"/>
      <c r="K5987" s="1205"/>
      <c r="L5987" s="1055"/>
      <c r="M5987" s="1205"/>
      <c r="N5987" s="1054"/>
      <c r="O5987" s="1207"/>
      <c r="Q5987" s="1207"/>
    </row>
    <row r="5988" spans="3:17" s="700" customFormat="1" ht="70.5" hidden="1" customHeight="1">
      <c r="C5988" s="701"/>
      <c r="D5988" s="811"/>
      <c r="E5988" s="1276">
        <f>[11]building!Y6319</f>
        <v>0</v>
      </c>
      <c r="F5988" s="748">
        <f t="shared" si="332"/>
        <v>0</v>
      </c>
      <c r="G5988" s="1205"/>
      <c r="H5988" s="1055"/>
      <c r="I5988" s="1055"/>
      <c r="J5988" s="1055"/>
      <c r="K5988" s="1205"/>
      <c r="L5988" s="1055"/>
      <c r="M5988" s="1205"/>
      <c r="N5988" s="1054"/>
      <c r="O5988" s="1207"/>
      <c r="Q5988" s="1207"/>
    </row>
    <row r="5989" spans="3:17" s="700" customFormat="1" ht="70.5" hidden="1" customHeight="1">
      <c r="C5989" s="701"/>
      <c r="D5989" s="811"/>
      <c r="E5989" s="1276">
        <f>[11]building!Y6320</f>
        <v>0</v>
      </c>
      <c r="F5989" s="748">
        <f t="shared" si="332"/>
        <v>0</v>
      </c>
      <c r="G5989" s="1205"/>
      <c r="H5989" s="1055"/>
      <c r="I5989" s="1055"/>
      <c r="J5989" s="1055"/>
      <c r="K5989" s="1205"/>
      <c r="L5989" s="1055"/>
      <c r="M5989" s="1205"/>
      <c r="N5989" s="1054"/>
      <c r="O5989" s="1207"/>
      <c r="Q5989" s="1207"/>
    </row>
    <row r="5990" spans="3:17" s="700" customFormat="1" ht="70.5" hidden="1" customHeight="1">
      <c r="C5990" s="701"/>
      <c r="D5990" s="811"/>
      <c r="E5990" s="1276">
        <f>[11]building!Y6321</f>
        <v>0</v>
      </c>
      <c r="F5990" s="748">
        <f t="shared" si="332"/>
        <v>0</v>
      </c>
      <c r="G5990" s="1205"/>
      <c r="H5990" s="1055"/>
      <c r="I5990" s="1055"/>
      <c r="J5990" s="1055"/>
      <c r="K5990" s="1205"/>
      <c r="L5990" s="1055"/>
      <c r="M5990" s="1205"/>
      <c r="N5990" s="1054"/>
      <c r="O5990" s="1207"/>
      <c r="Q5990" s="1207"/>
    </row>
    <row r="5991" spans="3:17" s="700" customFormat="1" ht="70.5" hidden="1" customHeight="1">
      <c r="C5991" s="701"/>
      <c r="D5991" s="811"/>
      <c r="E5991" s="1276">
        <f>[11]building!Y6322</f>
        <v>0</v>
      </c>
      <c r="F5991" s="748">
        <f t="shared" si="332"/>
        <v>0</v>
      </c>
      <c r="G5991" s="1205"/>
      <c r="H5991" s="1055"/>
      <c r="I5991" s="1055"/>
      <c r="J5991" s="1055"/>
      <c r="K5991" s="1205"/>
      <c r="L5991" s="1055"/>
      <c r="M5991" s="1205"/>
      <c r="N5991" s="1054"/>
      <c r="O5991" s="1207"/>
      <c r="Q5991" s="1207"/>
    </row>
    <row r="5992" spans="3:17" s="700" customFormat="1" ht="70.5" hidden="1" customHeight="1">
      <c r="C5992" s="701"/>
      <c r="D5992" s="811"/>
      <c r="E5992" s="1276">
        <f>[11]building!Y6323</f>
        <v>0</v>
      </c>
      <c r="F5992" s="748">
        <f t="shared" si="332"/>
        <v>0</v>
      </c>
      <c r="G5992" s="1205"/>
      <c r="H5992" s="1055"/>
      <c r="I5992" s="1055"/>
      <c r="J5992" s="1055"/>
      <c r="K5992" s="1205"/>
      <c r="L5992" s="1055"/>
      <c r="M5992" s="1205"/>
      <c r="N5992" s="1054"/>
      <c r="O5992" s="1207"/>
      <c r="Q5992" s="1207"/>
    </row>
    <row r="5993" spans="3:17" s="700" customFormat="1" ht="70.5" hidden="1" customHeight="1">
      <c r="C5993" s="701"/>
      <c r="D5993" s="811"/>
      <c r="E5993" s="1276">
        <f>[11]building!Y6324</f>
        <v>0</v>
      </c>
      <c r="F5993" s="748">
        <f t="shared" si="332"/>
        <v>0</v>
      </c>
      <c r="G5993" s="1205"/>
      <c r="H5993" s="1055"/>
      <c r="I5993" s="1055"/>
      <c r="J5993" s="1055"/>
      <c r="K5993" s="1205"/>
      <c r="L5993" s="1055"/>
      <c r="M5993" s="1205"/>
      <c r="N5993" s="1054"/>
      <c r="O5993" s="1207"/>
      <c r="Q5993" s="1207"/>
    </row>
    <row r="5994" spans="3:17" s="700" customFormat="1" ht="70.5" hidden="1" customHeight="1">
      <c r="C5994" s="701"/>
      <c r="D5994" s="811"/>
      <c r="E5994" s="1276">
        <f>[11]building!Y6325</f>
        <v>0</v>
      </c>
      <c r="F5994" s="748">
        <f t="shared" si="332"/>
        <v>0</v>
      </c>
      <c r="G5994" s="1205"/>
      <c r="H5994" s="1055"/>
      <c r="I5994" s="1055"/>
      <c r="J5994" s="1055"/>
      <c r="K5994" s="1205"/>
      <c r="L5994" s="1055"/>
      <c r="M5994" s="1205"/>
      <c r="N5994" s="1054"/>
      <c r="O5994" s="1207"/>
      <c r="Q5994" s="1207"/>
    </row>
    <row r="5995" spans="3:17" s="700" customFormat="1" ht="70.5" hidden="1" customHeight="1">
      <c r="C5995" s="701"/>
      <c r="D5995" s="811"/>
      <c r="E5995" s="1276">
        <f>[11]building!Y6326</f>
        <v>0</v>
      </c>
      <c r="F5995" s="748">
        <f t="shared" si="332"/>
        <v>0</v>
      </c>
      <c r="G5995" s="1205"/>
      <c r="H5995" s="1055"/>
      <c r="I5995" s="1055"/>
      <c r="J5995" s="1055"/>
      <c r="K5995" s="1205"/>
      <c r="L5995" s="1055"/>
      <c r="M5995" s="1205"/>
      <c r="N5995" s="1054"/>
      <c r="O5995" s="1207"/>
      <c r="Q5995" s="1207"/>
    </row>
    <row r="5996" spans="3:17" s="700" customFormat="1" ht="70.5" hidden="1" customHeight="1">
      <c r="C5996" s="701"/>
      <c r="D5996" s="811"/>
      <c r="E5996" s="1276">
        <f>[11]building!Y6327</f>
        <v>0</v>
      </c>
      <c r="F5996" s="748">
        <f t="shared" si="332"/>
        <v>0</v>
      </c>
      <c r="G5996" s="1205"/>
      <c r="H5996" s="1055"/>
      <c r="I5996" s="1055"/>
      <c r="J5996" s="1055"/>
      <c r="K5996" s="1205"/>
      <c r="L5996" s="1055"/>
      <c r="M5996" s="1205"/>
      <c r="N5996" s="1054"/>
      <c r="O5996" s="1207"/>
      <c r="Q5996" s="1207"/>
    </row>
    <row r="5997" spans="3:17" s="700" customFormat="1" ht="70.5" hidden="1" customHeight="1">
      <c r="C5997" s="701"/>
      <c r="D5997" s="811"/>
      <c r="E5997" s="1276">
        <f>[11]building!Y6328</f>
        <v>0</v>
      </c>
      <c r="F5997" s="748">
        <f t="shared" si="332"/>
        <v>0</v>
      </c>
      <c r="G5997" s="1205"/>
      <c r="H5997" s="1055"/>
      <c r="I5997" s="1055"/>
      <c r="J5997" s="1055"/>
      <c r="K5997" s="1205"/>
      <c r="L5997" s="1055"/>
      <c r="M5997" s="1205"/>
      <c r="N5997" s="1054"/>
      <c r="O5997" s="1207"/>
      <c r="Q5997" s="1207"/>
    </row>
    <row r="5998" spans="3:17" s="700" customFormat="1" ht="70.5" hidden="1" customHeight="1">
      <c r="C5998" s="701"/>
      <c r="D5998" s="811"/>
      <c r="E5998" s="1276">
        <f>[11]building!Y6329</f>
        <v>0</v>
      </c>
      <c r="F5998" s="748">
        <f t="shared" si="332"/>
        <v>0</v>
      </c>
      <c r="G5998" s="1205"/>
      <c r="H5998" s="1055"/>
      <c r="I5998" s="1055"/>
      <c r="J5998" s="1055"/>
      <c r="K5998" s="1205"/>
      <c r="L5998" s="1055"/>
      <c r="M5998" s="1205"/>
      <c r="N5998" s="1054"/>
      <c r="O5998" s="1207"/>
      <c r="Q5998" s="1207"/>
    </row>
    <row r="5999" spans="3:17" s="700" customFormat="1" ht="70.5" hidden="1" customHeight="1">
      <c r="C5999" s="701"/>
      <c r="D5999" s="811"/>
      <c r="E5999" s="1276">
        <f>[11]building!Y6330</f>
        <v>0</v>
      </c>
      <c r="F5999" s="748">
        <f t="shared" si="332"/>
        <v>0</v>
      </c>
      <c r="G5999" s="1205"/>
      <c r="H5999" s="1055"/>
      <c r="I5999" s="1055"/>
      <c r="J5999" s="1055"/>
      <c r="K5999" s="1205"/>
      <c r="L5999" s="1055"/>
      <c r="M5999" s="1205"/>
      <c r="N5999" s="1054"/>
      <c r="O5999" s="1207"/>
      <c r="Q5999" s="1207"/>
    </row>
    <row r="6000" spans="3:17" s="700" customFormat="1" ht="70.5" hidden="1" customHeight="1">
      <c r="C6000" s="701"/>
      <c r="D6000" s="811"/>
      <c r="E6000" s="1276">
        <f>[11]building!Y6331</f>
        <v>0</v>
      </c>
      <c r="F6000" s="748">
        <f t="shared" si="332"/>
        <v>0</v>
      </c>
      <c r="G6000" s="1205"/>
      <c r="H6000" s="1055"/>
      <c r="I6000" s="1055"/>
      <c r="J6000" s="1055"/>
      <c r="K6000" s="1205"/>
      <c r="L6000" s="1055"/>
      <c r="M6000" s="1205"/>
      <c r="N6000" s="1054"/>
      <c r="O6000" s="1207"/>
      <c r="Q6000" s="1207"/>
    </row>
    <row r="6001" spans="3:17" s="700" customFormat="1" ht="70.5" hidden="1" customHeight="1">
      <c r="C6001" s="701"/>
      <c r="D6001" s="811"/>
      <c r="E6001" s="1276">
        <f>[11]building!Y6332</f>
        <v>0</v>
      </c>
      <c r="F6001" s="748">
        <f t="shared" si="332"/>
        <v>0</v>
      </c>
      <c r="G6001" s="1205"/>
      <c r="H6001" s="1055"/>
      <c r="I6001" s="1055"/>
      <c r="J6001" s="1055"/>
      <c r="K6001" s="1205"/>
      <c r="L6001" s="1055"/>
      <c r="M6001" s="1205"/>
      <c r="N6001" s="1054"/>
      <c r="O6001" s="1207"/>
      <c r="Q6001" s="1207"/>
    </row>
    <row r="6002" spans="3:17" s="700" customFormat="1" ht="70.5" hidden="1" customHeight="1">
      <c r="C6002" s="701"/>
      <c r="D6002" s="811"/>
      <c r="E6002" s="1276">
        <f>[11]building!Y6333</f>
        <v>0</v>
      </c>
      <c r="F6002" s="748">
        <f t="shared" si="332"/>
        <v>0</v>
      </c>
      <c r="G6002" s="1205"/>
      <c r="H6002" s="1055"/>
      <c r="I6002" s="1055"/>
      <c r="J6002" s="1055"/>
      <c r="K6002" s="1205"/>
      <c r="L6002" s="1055"/>
      <c r="M6002" s="1205"/>
      <c r="N6002" s="1054"/>
      <c r="O6002" s="1207"/>
      <c r="Q6002" s="1207"/>
    </row>
    <row r="6003" spans="3:17" s="700" customFormat="1" ht="70.5" hidden="1" customHeight="1">
      <c r="C6003" s="701"/>
      <c r="D6003" s="811"/>
      <c r="E6003" s="1276">
        <f>[11]building!Y6334</f>
        <v>0</v>
      </c>
      <c r="F6003" s="748">
        <f t="shared" si="332"/>
        <v>0</v>
      </c>
      <c r="G6003" s="1205"/>
      <c r="H6003" s="1055"/>
      <c r="I6003" s="1055"/>
      <c r="J6003" s="1055"/>
      <c r="K6003" s="1205"/>
      <c r="L6003" s="1055"/>
      <c r="M6003" s="1205"/>
      <c r="N6003" s="1054"/>
      <c r="O6003" s="1207"/>
      <c r="Q6003" s="1207"/>
    </row>
    <row r="6004" spans="3:17" s="700" customFormat="1" ht="70.5" hidden="1" customHeight="1">
      <c r="C6004" s="701"/>
      <c r="D6004" s="811"/>
      <c r="E6004" s="1276">
        <f>[11]building!Y6335</f>
        <v>0</v>
      </c>
      <c r="F6004" s="748">
        <f t="shared" si="332"/>
        <v>0</v>
      </c>
      <c r="G6004" s="1205"/>
      <c r="H6004" s="1055"/>
      <c r="I6004" s="1055"/>
      <c r="J6004" s="1055"/>
      <c r="K6004" s="1205"/>
      <c r="L6004" s="1055"/>
      <c r="M6004" s="1205"/>
      <c r="N6004" s="1054"/>
      <c r="O6004" s="1207"/>
      <c r="Q6004" s="1207"/>
    </row>
    <row r="6005" spans="3:17" s="700" customFormat="1" ht="70.5" hidden="1" customHeight="1">
      <c r="C6005" s="701"/>
      <c r="D6005" s="811"/>
      <c r="E6005" s="1276">
        <f>[11]building!Y6336</f>
        <v>0</v>
      </c>
      <c r="F6005" s="748">
        <f t="shared" si="332"/>
        <v>0</v>
      </c>
      <c r="G6005" s="1205"/>
      <c r="H6005" s="1055"/>
      <c r="I6005" s="1055"/>
      <c r="J6005" s="1055"/>
      <c r="K6005" s="1205"/>
      <c r="L6005" s="1055"/>
      <c r="M6005" s="1205"/>
      <c r="N6005" s="1054"/>
      <c r="O6005" s="1207"/>
      <c r="Q6005" s="1207"/>
    </row>
    <row r="6006" spans="3:17" s="700" customFormat="1" ht="70.5" hidden="1" customHeight="1">
      <c r="C6006" s="701"/>
      <c r="D6006" s="811"/>
      <c r="E6006" s="1276">
        <f>[11]building!Y6337</f>
        <v>0</v>
      </c>
      <c r="F6006" s="748">
        <f t="shared" si="332"/>
        <v>0</v>
      </c>
      <c r="G6006" s="1205"/>
      <c r="H6006" s="1055"/>
      <c r="I6006" s="1055"/>
      <c r="J6006" s="1055"/>
      <c r="K6006" s="1205"/>
      <c r="L6006" s="1055"/>
      <c r="M6006" s="1205"/>
      <c r="N6006" s="1054"/>
      <c r="O6006" s="1207"/>
      <c r="Q6006" s="1207"/>
    </row>
    <row r="6007" spans="3:17" s="700" customFormat="1" ht="70.5" hidden="1" customHeight="1">
      <c r="C6007" s="701"/>
      <c r="D6007" s="811"/>
      <c r="E6007" s="1276">
        <f>[11]building!Y6338</f>
        <v>0</v>
      </c>
      <c r="F6007" s="748">
        <f t="shared" si="332"/>
        <v>0</v>
      </c>
      <c r="G6007" s="1205"/>
      <c r="H6007" s="1055"/>
      <c r="I6007" s="1055"/>
      <c r="J6007" s="1055"/>
      <c r="K6007" s="1205"/>
      <c r="L6007" s="1055"/>
      <c r="M6007" s="1205"/>
      <c r="N6007" s="1054"/>
      <c r="O6007" s="1207"/>
      <c r="Q6007" s="1207"/>
    </row>
    <row r="6008" spans="3:17" s="700" customFormat="1" ht="70.5" hidden="1" customHeight="1">
      <c r="C6008" s="701"/>
      <c r="D6008" s="811"/>
      <c r="E6008" s="1276">
        <f>[11]building!Y6339</f>
        <v>0</v>
      </c>
      <c r="F6008" s="748">
        <f t="shared" si="332"/>
        <v>0</v>
      </c>
      <c r="G6008" s="1205"/>
      <c r="H6008" s="1055"/>
      <c r="I6008" s="1055"/>
      <c r="J6008" s="1055"/>
      <c r="K6008" s="1205"/>
      <c r="L6008" s="1055"/>
      <c r="M6008" s="1205"/>
      <c r="N6008" s="1054"/>
      <c r="O6008" s="1207"/>
      <c r="Q6008" s="1207"/>
    </row>
    <row r="6009" spans="3:17" s="700" customFormat="1" ht="70.5" hidden="1" customHeight="1">
      <c r="C6009" s="701"/>
      <c r="D6009" s="811"/>
      <c r="E6009" s="1276">
        <f>[11]building!Y6340</f>
        <v>0</v>
      </c>
      <c r="F6009" s="748">
        <f t="shared" si="332"/>
        <v>0</v>
      </c>
      <c r="G6009" s="1205"/>
      <c r="H6009" s="1055"/>
      <c r="I6009" s="1055"/>
      <c r="J6009" s="1055"/>
      <c r="K6009" s="1205"/>
      <c r="L6009" s="1055"/>
      <c r="M6009" s="1205"/>
      <c r="N6009" s="1054"/>
      <c r="O6009" s="1207"/>
      <c r="Q6009" s="1207"/>
    </row>
    <row r="6010" spans="3:17" s="700" customFormat="1" ht="70.5" hidden="1" customHeight="1">
      <c r="C6010" s="701"/>
      <c r="D6010" s="811"/>
      <c r="E6010" s="1276">
        <f>[11]building!Y6341</f>
        <v>0</v>
      </c>
      <c r="F6010" s="748">
        <f t="shared" si="332"/>
        <v>0</v>
      </c>
      <c r="G6010" s="1205"/>
      <c r="H6010" s="1055"/>
      <c r="I6010" s="1055"/>
      <c r="J6010" s="1055"/>
      <c r="K6010" s="1205"/>
      <c r="L6010" s="1055"/>
      <c r="M6010" s="1205"/>
      <c r="N6010" s="1054"/>
      <c r="O6010" s="1207"/>
      <c r="Q6010" s="1207"/>
    </row>
    <row r="6011" spans="3:17" s="700" customFormat="1" ht="70.5" hidden="1" customHeight="1">
      <c r="C6011" s="701"/>
      <c r="D6011" s="811"/>
      <c r="E6011" s="1276">
        <f>[11]building!Y6342</f>
        <v>0</v>
      </c>
      <c r="F6011" s="748">
        <f t="shared" si="332"/>
        <v>0</v>
      </c>
      <c r="G6011" s="1205"/>
      <c r="H6011" s="1055"/>
      <c r="I6011" s="1055"/>
      <c r="J6011" s="1055"/>
      <c r="K6011" s="1205"/>
      <c r="L6011" s="1055"/>
      <c r="M6011" s="1205"/>
      <c r="N6011" s="1054"/>
      <c r="O6011" s="1207"/>
      <c r="Q6011" s="1207"/>
    </row>
    <row r="6012" spans="3:17" s="700" customFormat="1" ht="70.5" hidden="1" customHeight="1">
      <c r="C6012" s="701"/>
      <c r="D6012" s="811"/>
      <c r="E6012" s="1276">
        <f>[11]building!Y6343</f>
        <v>0</v>
      </c>
      <c r="F6012" s="748">
        <f t="shared" si="332"/>
        <v>0</v>
      </c>
      <c r="G6012" s="1205"/>
      <c r="H6012" s="1055"/>
      <c r="I6012" s="1055"/>
      <c r="J6012" s="1055"/>
      <c r="K6012" s="1205"/>
      <c r="L6012" s="1055"/>
      <c r="M6012" s="1205"/>
      <c r="N6012" s="1054"/>
      <c r="O6012" s="1207"/>
      <c r="Q6012" s="1207"/>
    </row>
    <row r="6013" spans="3:17" s="700" customFormat="1" ht="70.5" hidden="1" customHeight="1">
      <c r="C6013" s="701"/>
      <c r="D6013" s="811"/>
      <c r="E6013" s="1276">
        <f>[11]building!Y6344</f>
        <v>0</v>
      </c>
      <c r="F6013" s="748">
        <f t="shared" si="332"/>
        <v>0</v>
      </c>
      <c r="G6013" s="1205"/>
      <c r="H6013" s="1055"/>
      <c r="I6013" s="1055"/>
      <c r="J6013" s="1055"/>
      <c r="K6013" s="1205"/>
      <c r="L6013" s="1055"/>
      <c r="M6013" s="1205"/>
      <c r="N6013" s="1054"/>
      <c r="O6013" s="1207"/>
      <c r="Q6013" s="1207"/>
    </row>
    <row r="6014" spans="3:17" s="700" customFormat="1" ht="70.5" hidden="1" customHeight="1">
      <c r="C6014" s="701"/>
      <c r="D6014" s="811"/>
      <c r="E6014" s="1276">
        <f>[11]building!Y6345</f>
        <v>0</v>
      </c>
      <c r="F6014" s="748">
        <f t="shared" si="332"/>
        <v>0</v>
      </c>
      <c r="G6014" s="1205"/>
      <c r="H6014" s="1055"/>
      <c r="I6014" s="1055"/>
      <c r="J6014" s="1055"/>
      <c r="K6014" s="1205"/>
      <c r="L6014" s="1055"/>
      <c r="M6014" s="1205"/>
      <c r="N6014" s="1054"/>
      <c r="O6014" s="1207"/>
      <c r="Q6014" s="1207"/>
    </row>
    <row r="6015" spans="3:17" s="700" customFormat="1" ht="70.5" hidden="1" customHeight="1">
      <c r="C6015" s="701"/>
      <c r="D6015" s="811"/>
      <c r="E6015" s="1276">
        <f>[11]building!Y6346</f>
        <v>0</v>
      </c>
      <c r="F6015" s="748">
        <f t="shared" si="332"/>
        <v>0</v>
      </c>
      <c r="G6015" s="1205"/>
      <c r="H6015" s="1055"/>
      <c r="I6015" s="1055"/>
      <c r="J6015" s="1055"/>
      <c r="K6015" s="1205"/>
      <c r="L6015" s="1055"/>
      <c r="M6015" s="1205"/>
      <c r="N6015" s="1054"/>
      <c r="O6015" s="1207"/>
      <c r="Q6015" s="1207"/>
    </row>
    <row r="6016" spans="3:17" s="700" customFormat="1" ht="70.5" hidden="1" customHeight="1">
      <c r="C6016" s="701"/>
      <c r="D6016" s="811"/>
      <c r="E6016" s="1276">
        <f>[11]building!Y6347</f>
        <v>0</v>
      </c>
      <c r="F6016" s="748">
        <f t="shared" ref="F6016:F6079" si="333">E6016*C6016</f>
        <v>0</v>
      </c>
      <c r="G6016" s="1205"/>
      <c r="H6016" s="1055"/>
      <c r="I6016" s="1055"/>
      <c r="J6016" s="1055"/>
      <c r="K6016" s="1205"/>
      <c r="L6016" s="1055"/>
      <c r="M6016" s="1205"/>
      <c r="N6016" s="1054"/>
      <c r="O6016" s="1207"/>
      <c r="Q6016" s="1207"/>
    </row>
    <row r="6017" spans="3:17" s="700" customFormat="1" ht="70.5" hidden="1" customHeight="1">
      <c r="C6017" s="701"/>
      <c r="D6017" s="811"/>
      <c r="E6017" s="1276">
        <f>[11]building!Y6348</f>
        <v>0</v>
      </c>
      <c r="F6017" s="748">
        <f t="shared" si="333"/>
        <v>0</v>
      </c>
      <c r="G6017" s="1205"/>
      <c r="H6017" s="1055"/>
      <c r="I6017" s="1055"/>
      <c r="J6017" s="1055"/>
      <c r="K6017" s="1205"/>
      <c r="L6017" s="1055"/>
      <c r="M6017" s="1205"/>
      <c r="N6017" s="1054"/>
      <c r="O6017" s="1207"/>
      <c r="Q6017" s="1207"/>
    </row>
    <row r="6018" spans="3:17" s="700" customFormat="1" ht="70.5" hidden="1" customHeight="1">
      <c r="C6018" s="701"/>
      <c r="D6018" s="811"/>
      <c r="E6018" s="1276">
        <f>[11]building!Y6349</f>
        <v>0</v>
      </c>
      <c r="F6018" s="748">
        <f t="shared" si="333"/>
        <v>0</v>
      </c>
      <c r="G6018" s="1205"/>
      <c r="H6018" s="1055"/>
      <c r="I6018" s="1055"/>
      <c r="J6018" s="1055"/>
      <c r="K6018" s="1205"/>
      <c r="L6018" s="1055"/>
      <c r="M6018" s="1205"/>
      <c r="N6018" s="1054"/>
      <c r="O6018" s="1207"/>
      <c r="Q6018" s="1207"/>
    </row>
    <row r="6019" spans="3:17" s="700" customFormat="1" ht="70.5" hidden="1" customHeight="1">
      <c r="C6019" s="701"/>
      <c r="D6019" s="811"/>
      <c r="E6019" s="1276">
        <f>[11]building!Y6350</f>
        <v>0</v>
      </c>
      <c r="F6019" s="748">
        <f t="shared" si="333"/>
        <v>0</v>
      </c>
      <c r="G6019" s="1205"/>
      <c r="H6019" s="1055"/>
      <c r="I6019" s="1055"/>
      <c r="J6019" s="1055"/>
      <c r="K6019" s="1205"/>
      <c r="L6019" s="1055"/>
      <c r="M6019" s="1205"/>
      <c r="N6019" s="1054"/>
      <c r="O6019" s="1207"/>
      <c r="Q6019" s="1207"/>
    </row>
    <row r="6020" spans="3:17" s="700" customFormat="1" ht="70.5" hidden="1" customHeight="1">
      <c r="C6020" s="701"/>
      <c r="D6020" s="811"/>
      <c r="E6020" s="1276">
        <f>[11]building!Y6351</f>
        <v>0</v>
      </c>
      <c r="F6020" s="748">
        <f t="shared" si="333"/>
        <v>0</v>
      </c>
      <c r="G6020" s="1205"/>
      <c r="H6020" s="1055"/>
      <c r="I6020" s="1055"/>
      <c r="J6020" s="1055"/>
      <c r="K6020" s="1205"/>
      <c r="L6020" s="1055"/>
      <c r="M6020" s="1205"/>
      <c r="N6020" s="1054"/>
      <c r="O6020" s="1207"/>
      <c r="Q6020" s="1207"/>
    </row>
    <row r="6021" spans="3:17" s="700" customFormat="1" ht="70.5" hidden="1" customHeight="1">
      <c r="C6021" s="701"/>
      <c r="D6021" s="811"/>
      <c r="E6021" s="1276">
        <f>[11]building!Y6352</f>
        <v>0</v>
      </c>
      <c r="F6021" s="748">
        <f t="shared" si="333"/>
        <v>0</v>
      </c>
      <c r="G6021" s="1205"/>
      <c r="H6021" s="1055"/>
      <c r="I6021" s="1055"/>
      <c r="J6021" s="1055"/>
      <c r="K6021" s="1205"/>
      <c r="L6021" s="1055"/>
      <c r="M6021" s="1205"/>
      <c r="N6021" s="1054"/>
      <c r="O6021" s="1207"/>
      <c r="Q6021" s="1207"/>
    </row>
    <row r="6022" spans="3:17" s="700" customFormat="1" ht="70.5" hidden="1" customHeight="1">
      <c r="C6022" s="701"/>
      <c r="D6022" s="811"/>
      <c r="E6022" s="1276">
        <f>[11]building!Y6353</f>
        <v>0</v>
      </c>
      <c r="F6022" s="748">
        <f t="shared" si="333"/>
        <v>0</v>
      </c>
      <c r="G6022" s="1205"/>
      <c r="H6022" s="1055"/>
      <c r="I6022" s="1055"/>
      <c r="J6022" s="1055"/>
      <c r="K6022" s="1205"/>
      <c r="L6022" s="1055"/>
      <c r="M6022" s="1205"/>
      <c r="N6022" s="1054"/>
      <c r="O6022" s="1207"/>
      <c r="Q6022" s="1207"/>
    </row>
    <row r="6023" spans="3:17" s="700" customFormat="1" ht="70.5" hidden="1" customHeight="1">
      <c r="C6023" s="701"/>
      <c r="D6023" s="811"/>
      <c r="E6023" s="1276">
        <f>[11]building!Y6354</f>
        <v>0</v>
      </c>
      <c r="F6023" s="748">
        <f t="shared" si="333"/>
        <v>0</v>
      </c>
      <c r="G6023" s="1205"/>
      <c r="H6023" s="1055"/>
      <c r="I6023" s="1055"/>
      <c r="J6023" s="1055"/>
      <c r="K6023" s="1205"/>
      <c r="L6023" s="1055"/>
      <c r="M6023" s="1205"/>
      <c r="N6023" s="1054"/>
      <c r="O6023" s="1207"/>
      <c r="Q6023" s="1207"/>
    </row>
    <row r="6024" spans="3:17" s="700" customFormat="1" ht="70.5" hidden="1" customHeight="1">
      <c r="C6024" s="701"/>
      <c r="D6024" s="811"/>
      <c r="E6024" s="1276">
        <f>[11]building!Y6355</f>
        <v>0</v>
      </c>
      <c r="F6024" s="748">
        <f t="shared" si="333"/>
        <v>0</v>
      </c>
      <c r="G6024" s="1205"/>
      <c r="H6024" s="1055"/>
      <c r="I6024" s="1055"/>
      <c r="J6024" s="1055"/>
      <c r="K6024" s="1205"/>
      <c r="L6024" s="1055"/>
      <c r="M6024" s="1205"/>
      <c r="N6024" s="1054"/>
      <c r="O6024" s="1207"/>
      <c r="Q6024" s="1207"/>
    </row>
    <row r="6025" spans="3:17" s="700" customFormat="1" ht="70.5" hidden="1" customHeight="1">
      <c r="C6025" s="701"/>
      <c r="D6025" s="811"/>
      <c r="E6025" s="1276">
        <f>[11]building!Y6356</f>
        <v>0</v>
      </c>
      <c r="F6025" s="748">
        <f t="shared" si="333"/>
        <v>0</v>
      </c>
      <c r="G6025" s="1205"/>
      <c r="H6025" s="1055"/>
      <c r="I6025" s="1055"/>
      <c r="J6025" s="1055"/>
      <c r="K6025" s="1205"/>
      <c r="L6025" s="1055"/>
      <c r="M6025" s="1205"/>
      <c r="N6025" s="1054"/>
      <c r="O6025" s="1207"/>
      <c r="Q6025" s="1207"/>
    </row>
    <row r="6026" spans="3:17" s="700" customFormat="1" ht="70.5" hidden="1" customHeight="1">
      <c r="C6026" s="701"/>
      <c r="D6026" s="811"/>
      <c r="E6026" s="1276">
        <f>[11]building!Y6357</f>
        <v>0</v>
      </c>
      <c r="F6026" s="748">
        <f t="shared" si="333"/>
        <v>0</v>
      </c>
      <c r="G6026" s="1205"/>
      <c r="H6026" s="1055"/>
      <c r="I6026" s="1055"/>
      <c r="J6026" s="1055"/>
      <c r="K6026" s="1205"/>
      <c r="L6026" s="1055"/>
      <c r="M6026" s="1205"/>
      <c r="N6026" s="1054"/>
      <c r="O6026" s="1207"/>
      <c r="Q6026" s="1207"/>
    </row>
    <row r="6027" spans="3:17" s="700" customFormat="1" ht="70.5" hidden="1" customHeight="1">
      <c r="C6027" s="701"/>
      <c r="D6027" s="811"/>
      <c r="E6027" s="1276">
        <f>[11]building!Y6358</f>
        <v>0</v>
      </c>
      <c r="F6027" s="748">
        <f t="shared" si="333"/>
        <v>0</v>
      </c>
      <c r="G6027" s="1205"/>
      <c r="H6027" s="1055"/>
      <c r="I6027" s="1055"/>
      <c r="J6027" s="1055"/>
      <c r="K6027" s="1205"/>
      <c r="L6027" s="1055"/>
      <c r="M6027" s="1205"/>
      <c r="N6027" s="1054"/>
      <c r="O6027" s="1207"/>
      <c r="Q6027" s="1207"/>
    </row>
    <row r="6028" spans="3:17" s="700" customFormat="1" ht="70.5" hidden="1" customHeight="1">
      <c r="C6028" s="701"/>
      <c r="D6028" s="811"/>
      <c r="E6028" s="1276">
        <f>[11]building!Y6359</f>
        <v>0</v>
      </c>
      <c r="F6028" s="748">
        <f t="shared" si="333"/>
        <v>0</v>
      </c>
      <c r="G6028" s="1205"/>
      <c r="H6028" s="1055"/>
      <c r="I6028" s="1055"/>
      <c r="J6028" s="1055"/>
      <c r="K6028" s="1205"/>
      <c r="L6028" s="1055"/>
      <c r="M6028" s="1205"/>
      <c r="N6028" s="1054"/>
      <c r="O6028" s="1207"/>
      <c r="Q6028" s="1207"/>
    </row>
    <row r="6029" spans="3:17" s="700" customFormat="1" ht="70.5" hidden="1" customHeight="1">
      <c r="C6029" s="701"/>
      <c r="D6029" s="811"/>
      <c r="E6029" s="1276">
        <f>[11]building!Y6360</f>
        <v>0</v>
      </c>
      <c r="F6029" s="748">
        <f t="shared" si="333"/>
        <v>0</v>
      </c>
      <c r="G6029" s="1205"/>
      <c r="H6029" s="1055"/>
      <c r="I6029" s="1055"/>
      <c r="J6029" s="1055"/>
      <c r="K6029" s="1205"/>
      <c r="L6029" s="1055"/>
      <c r="M6029" s="1205"/>
      <c r="N6029" s="1054"/>
      <c r="O6029" s="1207"/>
      <c r="Q6029" s="1207"/>
    </row>
    <row r="6030" spans="3:17" s="700" customFormat="1" ht="70.5" hidden="1" customHeight="1">
      <c r="C6030" s="701"/>
      <c r="D6030" s="811"/>
      <c r="E6030" s="1276">
        <f>[11]building!Y6361</f>
        <v>0</v>
      </c>
      <c r="F6030" s="748">
        <f t="shared" si="333"/>
        <v>0</v>
      </c>
      <c r="G6030" s="1205"/>
      <c r="H6030" s="1055"/>
      <c r="I6030" s="1055"/>
      <c r="J6030" s="1055"/>
      <c r="K6030" s="1205"/>
      <c r="L6030" s="1055"/>
      <c r="M6030" s="1205"/>
      <c r="N6030" s="1054"/>
      <c r="O6030" s="1207"/>
      <c r="Q6030" s="1207"/>
    </row>
    <row r="6031" spans="3:17" s="700" customFormat="1" ht="70.5" hidden="1" customHeight="1">
      <c r="C6031" s="701"/>
      <c r="D6031" s="811"/>
      <c r="E6031" s="1276">
        <f>[11]building!Y6362</f>
        <v>0</v>
      </c>
      <c r="F6031" s="748">
        <f t="shared" si="333"/>
        <v>0</v>
      </c>
      <c r="G6031" s="1205"/>
      <c r="H6031" s="1055"/>
      <c r="I6031" s="1055"/>
      <c r="J6031" s="1055"/>
      <c r="K6031" s="1205"/>
      <c r="L6031" s="1055"/>
      <c r="M6031" s="1205"/>
      <c r="N6031" s="1054"/>
      <c r="O6031" s="1207"/>
      <c r="Q6031" s="1207"/>
    </row>
    <row r="6032" spans="3:17" s="700" customFormat="1" ht="70.5" hidden="1" customHeight="1">
      <c r="C6032" s="701"/>
      <c r="D6032" s="811"/>
      <c r="E6032" s="1276">
        <f>[11]building!Y6363</f>
        <v>0</v>
      </c>
      <c r="F6032" s="748">
        <f t="shared" si="333"/>
        <v>0</v>
      </c>
      <c r="G6032" s="1205"/>
      <c r="H6032" s="1055"/>
      <c r="I6032" s="1055"/>
      <c r="J6032" s="1055"/>
      <c r="K6032" s="1205"/>
      <c r="L6032" s="1055"/>
      <c r="M6032" s="1205"/>
      <c r="N6032" s="1054"/>
      <c r="O6032" s="1207"/>
      <c r="Q6032" s="1207"/>
    </row>
    <row r="6033" spans="3:17" s="700" customFormat="1" ht="70.5" hidden="1" customHeight="1">
      <c r="C6033" s="701"/>
      <c r="D6033" s="811"/>
      <c r="E6033" s="1276">
        <f>[11]building!Y6364</f>
        <v>0</v>
      </c>
      <c r="F6033" s="748">
        <f t="shared" si="333"/>
        <v>0</v>
      </c>
      <c r="G6033" s="1205"/>
      <c r="H6033" s="1055"/>
      <c r="I6033" s="1055"/>
      <c r="J6033" s="1055"/>
      <c r="K6033" s="1205"/>
      <c r="L6033" s="1055"/>
      <c r="M6033" s="1205"/>
      <c r="N6033" s="1054"/>
      <c r="O6033" s="1207"/>
      <c r="Q6033" s="1207"/>
    </row>
    <row r="6034" spans="3:17" s="700" customFormat="1" ht="70.5" hidden="1" customHeight="1">
      <c r="C6034" s="701"/>
      <c r="D6034" s="811"/>
      <c r="E6034" s="1276">
        <f>[11]building!Y6365</f>
        <v>0</v>
      </c>
      <c r="F6034" s="748">
        <f t="shared" si="333"/>
        <v>0</v>
      </c>
      <c r="G6034" s="1205"/>
      <c r="H6034" s="1055"/>
      <c r="I6034" s="1055"/>
      <c r="J6034" s="1055"/>
      <c r="K6034" s="1205"/>
      <c r="L6034" s="1055"/>
      <c r="M6034" s="1205"/>
      <c r="N6034" s="1054"/>
      <c r="O6034" s="1207"/>
      <c r="Q6034" s="1207"/>
    </row>
    <row r="6035" spans="3:17" s="700" customFormat="1" ht="70.5" hidden="1" customHeight="1">
      <c r="C6035" s="701"/>
      <c r="D6035" s="811"/>
      <c r="E6035" s="1276">
        <f>[11]building!Y6366</f>
        <v>0</v>
      </c>
      <c r="F6035" s="748">
        <f t="shared" si="333"/>
        <v>0</v>
      </c>
      <c r="G6035" s="1205"/>
      <c r="H6035" s="1055"/>
      <c r="I6035" s="1055"/>
      <c r="J6035" s="1055"/>
      <c r="K6035" s="1205"/>
      <c r="L6035" s="1055"/>
      <c r="M6035" s="1205"/>
      <c r="N6035" s="1054"/>
      <c r="O6035" s="1207"/>
      <c r="Q6035" s="1207"/>
    </row>
    <row r="6036" spans="3:17" s="700" customFormat="1" ht="70.5" hidden="1" customHeight="1">
      <c r="C6036" s="701"/>
      <c r="D6036" s="811"/>
      <c r="E6036" s="1276">
        <f>[11]building!Y6367</f>
        <v>0</v>
      </c>
      <c r="F6036" s="748">
        <f t="shared" si="333"/>
        <v>0</v>
      </c>
      <c r="G6036" s="1205"/>
      <c r="H6036" s="1055"/>
      <c r="I6036" s="1055"/>
      <c r="J6036" s="1055"/>
      <c r="K6036" s="1205"/>
      <c r="L6036" s="1055"/>
      <c r="M6036" s="1205"/>
      <c r="N6036" s="1054"/>
      <c r="O6036" s="1207"/>
      <c r="Q6036" s="1207"/>
    </row>
    <row r="6037" spans="3:17" s="700" customFormat="1" ht="70.5" hidden="1" customHeight="1">
      <c r="C6037" s="701"/>
      <c r="D6037" s="811"/>
      <c r="E6037" s="1276">
        <f>[11]building!Y6368</f>
        <v>0</v>
      </c>
      <c r="F6037" s="748">
        <f t="shared" si="333"/>
        <v>0</v>
      </c>
      <c r="G6037" s="1205"/>
      <c r="H6037" s="1055"/>
      <c r="I6037" s="1055"/>
      <c r="J6037" s="1055"/>
      <c r="K6037" s="1205"/>
      <c r="L6037" s="1055"/>
      <c r="M6037" s="1205"/>
      <c r="N6037" s="1054"/>
      <c r="O6037" s="1207"/>
      <c r="Q6037" s="1207"/>
    </row>
    <row r="6038" spans="3:17" s="700" customFormat="1" ht="70.5" hidden="1" customHeight="1">
      <c r="C6038" s="701"/>
      <c r="D6038" s="811"/>
      <c r="E6038" s="1276">
        <f>[11]building!Y6369</f>
        <v>0</v>
      </c>
      <c r="F6038" s="748">
        <f t="shared" si="333"/>
        <v>0</v>
      </c>
      <c r="G6038" s="1205"/>
      <c r="H6038" s="1055"/>
      <c r="I6038" s="1055"/>
      <c r="J6038" s="1055"/>
      <c r="K6038" s="1205"/>
      <c r="L6038" s="1055"/>
      <c r="M6038" s="1205"/>
      <c r="N6038" s="1054"/>
      <c r="O6038" s="1207"/>
      <c r="Q6038" s="1207"/>
    </row>
    <row r="6039" spans="3:17" s="700" customFormat="1" ht="70.5" hidden="1" customHeight="1">
      <c r="C6039" s="701"/>
      <c r="D6039" s="811"/>
      <c r="E6039" s="1276">
        <f>[11]building!Y6370</f>
        <v>0</v>
      </c>
      <c r="F6039" s="748">
        <f t="shared" si="333"/>
        <v>0</v>
      </c>
      <c r="G6039" s="1205"/>
      <c r="H6039" s="1055"/>
      <c r="I6039" s="1055"/>
      <c r="J6039" s="1055"/>
      <c r="K6039" s="1205"/>
      <c r="L6039" s="1055"/>
      <c r="M6039" s="1205"/>
      <c r="N6039" s="1054"/>
      <c r="O6039" s="1207"/>
      <c r="Q6039" s="1207"/>
    </row>
    <row r="6040" spans="3:17" s="700" customFormat="1" ht="70.5" hidden="1" customHeight="1">
      <c r="C6040" s="701"/>
      <c r="D6040" s="811"/>
      <c r="E6040" s="1276">
        <f>[11]building!Y6371</f>
        <v>0</v>
      </c>
      <c r="F6040" s="748">
        <f t="shared" si="333"/>
        <v>0</v>
      </c>
      <c r="G6040" s="1205"/>
      <c r="H6040" s="1055"/>
      <c r="I6040" s="1055"/>
      <c r="J6040" s="1055"/>
      <c r="K6040" s="1205"/>
      <c r="L6040" s="1055"/>
      <c r="M6040" s="1205"/>
      <c r="N6040" s="1054"/>
      <c r="O6040" s="1207"/>
      <c r="Q6040" s="1207"/>
    </row>
    <row r="6041" spans="3:17" s="700" customFormat="1" ht="70.5" hidden="1" customHeight="1">
      <c r="C6041" s="701"/>
      <c r="D6041" s="811"/>
      <c r="E6041" s="1276">
        <f>[11]building!Y6372</f>
        <v>0</v>
      </c>
      <c r="F6041" s="748">
        <f t="shared" si="333"/>
        <v>0</v>
      </c>
      <c r="G6041" s="1205"/>
      <c r="H6041" s="1055"/>
      <c r="I6041" s="1055"/>
      <c r="J6041" s="1055"/>
      <c r="K6041" s="1205"/>
      <c r="L6041" s="1055"/>
      <c r="M6041" s="1205"/>
      <c r="N6041" s="1054"/>
      <c r="O6041" s="1207"/>
      <c r="Q6041" s="1207"/>
    </row>
    <row r="6042" spans="3:17" s="700" customFormat="1" ht="70.5" hidden="1" customHeight="1">
      <c r="C6042" s="701"/>
      <c r="D6042" s="811"/>
      <c r="E6042" s="1276">
        <f>[11]building!Y6373</f>
        <v>0</v>
      </c>
      <c r="F6042" s="748">
        <f t="shared" si="333"/>
        <v>0</v>
      </c>
      <c r="G6042" s="1205"/>
      <c r="H6042" s="1055"/>
      <c r="I6042" s="1055"/>
      <c r="J6042" s="1055"/>
      <c r="K6042" s="1205"/>
      <c r="L6042" s="1055"/>
      <c r="M6042" s="1205"/>
      <c r="N6042" s="1054"/>
      <c r="O6042" s="1207"/>
      <c r="Q6042" s="1207"/>
    </row>
    <row r="6043" spans="3:17" s="700" customFormat="1" ht="70.5" hidden="1" customHeight="1">
      <c r="C6043" s="701"/>
      <c r="D6043" s="811"/>
      <c r="E6043" s="1276">
        <f>[11]building!Y6374</f>
        <v>0</v>
      </c>
      <c r="F6043" s="748">
        <f t="shared" si="333"/>
        <v>0</v>
      </c>
      <c r="G6043" s="1205"/>
      <c r="H6043" s="1055"/>
      <c r="I6043" s="1055"/>
      <c r="J6043" s="1055"/>
      <c r="K6043" s="1205"/>
      <c r="L6043" s="1055"/>
      <c r="M6043" s="1205"/>
      <c r="N6043" s="1054"/>
      <c r="O6043" s="1207"/>
      <c r="Q6043" s="1207"/>
    </row>
    <row r="6044" spans="3:17" s="700" customFormat="1" ht="70.5" hidden="1" customHeight="1">
      <c r="C6044" s="701"/>
      <c r="D6044" s="811"/>
      <c r="E6044" s="1276">
        <f>[11]building!Y6375</f>
        <v>0</v>
      </c>
      <c r="F6044" s="748">
        <f t="shared" si="333"/>
        <v>0</v>
      </c>
      <c r="G6044" s="1205"/>
      <c r="H6044" s="1055"/>
      <c r="I6044" s="1055"/>
      <c r="J6044" s="1055"/>
      <c r="K6044" s="1205"/>
      <c r="L6044" s="1055"/>
      <c r="M6044" s="1205"/>
      <c r="N6044" s="1054"/>
      <c r="O6044" s="1207"/>
      <c r="Q6044" s="1207"/>
    </row>
    <row r="6045" spans="3:17" s="700" customFormat="1" ht="70.5" hidden="1" customHeight="1">
      <c r="C6045" s="701"/>
      <c r="D6045" s="811"/>
      <c r="E6045" s="1276">
        <f>[11]building!Y6376</f>
        <v>0</v>
      </c>
      <c r="F6045" s="748">
        <f t="shared" si="333"/>
        <v>0</v>
      </c>
      <c r="G6045" s="1205"/>
      <c r="H6045" s="1055"/>
      <c r="I6045" s="1055"/>
      <c r="J6045" s="1055"/>
      <c r="K6045" s="1205"/>
      <c r="L6045" s="1055"/>
      <c r="M6045" s="1205"/>
      <c r="N6045" s="1054"/>
      <c r="O6045" s="1207"/>
      <c r="Q6045" s="1207"/>
    </row>
    <row r="6046" spans="3:17" s="700" customFormat="1" ht="70.5" hidden="1" customHeight="1">
      <c r="C6046" s="701"/>
      <c r="D6046" s="811"/>
      <c r="E6046" s="1276">
        <f>[11]building!Y6377</f>
        <v>0</v>
      </c>
      <c r="F6046" s="748">
        <f t="shared" si="333"/>
        <v>0</v>
      </c>
      <c r="G6046" s="1205"/>
      <c r="H6046" s="1055"/>
      <c r="I6046" s="1055"/>
      <c r="J6046" s="1055"/>
      <c r="K6046" s="1205"/>
      <c r="L6046" s="1055"/>
      <c r="M6046" s="1205"/>
      <c r="N6046" s="1054"/>
      <c r="O6046" s="1207"/>
      <c r="Q6046" s="1207"/>
    </row>
    <row r="6047" spans="3:17" s="700" customFormat="1" ht="70.5" hidden="1" customHeight="1">
      <c r="C6047" s="701"/>
      <c r="D6047" s="811"/>
      <c r="E6047" s="1276">
        <f>[11]building!Y6378</f>
        <v>0</v>
      </c>
      <c r="F6047" s="748">
        <f t="shared" si="333"/>
        <v>0</v>
      </c>
      <c r="G6047" s="1205"/>
      <c r="H6047" s="1055"/>
      <c r="I6047" s="1055"/>
      <c r="J6047" s="1055"/>
      <c r="K6047" s="1205"/>
      <c r="L6047" s="1055"/>
      <c r="M6047" s="1205"/>
      <c r="N6047" s="1054"/>
      <c r="O6047" s="1207"/>
      <c r="Q6047" s="1207"/>
    </row>
    <row r="6048" spans="3:17" s="700" customFormat="1" ht="70.5" hidden="1" customHeight="1">
      <c r="C6048" s="701"/>
      <c r="D6048" s="811"/>
      <c r="E6048" s="1276">
        <f>[11]building!Y6379</f>
        <v>0</v>
      </c>
      <c r="F6048" s="748">
        <f t="shared" si="333"/>
        <v>0</v>
      </c>
      <c r="G6048" s="1205"/>
      <c r="H6048" s="1055"/>
      <c r="I6048" s="1055"/>
      <c r="J6048" s="1055"/>
      <c r="K6048" s="1205"/>
      <c r="L6048" s="1055"/>
      <c r="M6048" s="1205"/>
      <c r="N6048" s="1054"/>
      <c r="O6048" s="1207"/>
      <c r="Q6048" s="1207"/>
    </row>
    <row r="6049" spans="3:17" s="700" customFormat="1" ht="70.5" hidden="1" customHeight="1">
      <c r="C6049" s="701"/>
      <c r="D6049" s="811"/>
      <c r="E6049" s="1276">
        <f>[11]building!Y6380</f>
        <v>0</v>
      </c>
      <c r="F6049" s="748">
        <f t="shared" si="333"/>
        <v>0</v>
      </c>
      <c r="G6049" s="1205"/>
      <c r="H6049" s="1055"/>
      <c r="I6049" s="1055"/>
      <c r="J6049" s="1055"/>
      <c r="K6049" s="1205"/>
      <c r="L6049" s="1055"/>
      <c r="M6049" s="1205"/>
      <c r="N6049" s="1054"/>
      <c r="O6049" s="1207"/>
      <c r="Q6049" s="1207"/>
    </row>
    <row r="6050" spans="3:17" s="700" customFormat="1" ht="70.5" hidden="1" customHeight="1">
      <c r="C6050" s="701"/>
      <c r="D6050" s="811"/>
      <c r="E6050" s="1276">
        <f>[11]building!Y6381</f>
        <v>0</v>
      </c>
      <c r="F6050" s="748">
        <f t="shared" si="333"/>
        <v>0</v>
      </c>
      <c r="G6050" s="1205"/>
      <c r="H6050" s="1055"/>
      <c r="I6050" s="1055"/>
      <c r="J6050" s="1055"/>
      <c r="K6050" s="1205"/>
      <c r="L6050" s="1055"/>
      <c r="M6050" s="1205"/>
      <c r="N6050" s="1054"/>
      <c r="O6050" s="1207"/>
      <c r="Q6050" s="1207"/>
    </row>
    <row r="6051" spans="3:17" s="700" customFormat="1" ht="70.5" hidden="1" customHeight="1">
      <c r="C6051" s="701"/>
      <c r="D6051" s="811"/>
      <c r="E6051" s="1276">
        <f>[11]building!Y6382</f>
        <v>0</v>
      </c>
      <c r="F6051" s="748">
        <f t="shared" si="333"/>
        <v>0</v>
      </c>
      <c r="G6051" s="1205"/>
      <c r="H6051" s="1055"/>
      <c r="I6051" s="1055"/>
      <c r="J6051" s="1055"/>
      <c r="K6051" s="1205"/>
      <c r="L6051" s="1055"/>
      <c r="M6051" s="1205"/>
      <c r="N6051" s="1054"/>
      <c r="O6051" s="1207"/>
      <c r="Q6051" s="1207"/>
    </row>
    <row r="6052" spans="3:17" s="700" customFormat="1" ht="70.5" hidden="1" customHeight="1">
      <c r="C6052" s="701"/>
      <c r="D6052" s="811"/>
      <c r="E6052" s="1276">
        <f>[11]building!Y6383</f>
        <v>0</v>
      </c>
      <c r="F6052" s="748">
        <f t="shared" si="333"/>
        <v>0</v>
      </c>
      <c r="G6052" s="1205"/>
      <c r="H6052" s="1055"/>
      <c r="I6052" s="1055"/>
      <c r="J6052" s="1055"/>
      <c r="K6052" s="1205"/>
      <c r="L6052" s="1055"/>
      <c r="M6052" s="1205"/>
      <c r="N6052" s="1054"/>
      <c r="O6052" s="1207"/>
      <c r="Q6052" s="1207"/>
    </row>
    <row r="6053" spans="3:17" s="700" customFormat="1" ht="70.5" hidden="1" customHeight="1">
      <c r="C6053" s="701"/>
      <c r="D6053" s="811"/>
      <c r="E6053" s="1276">
        <f>[11]building!Y6384</f>
        <v>0</v>
      </c>
      <c r="F6053" s="748">
        <f t="shared" si="333"/>
        <v>0</v>
      </c>
      <c r="G6053" s="1205"/>
      <c r="H6053" s="1055"/>
      <c r="I6053" s="1055"/>
      <c r="J6053" s="1055"/>
      <c r="K6053" s="1205"/>
      <c r="L6053" s="1055"/>
      <c r="M6053" s="1205"/>
      <c r="N6053" s="1054"/>
      <c r="O6053" s="1207"/>
      <c r="Q6053" s="1207"/>
    </row>
    <row r="6054" spans="3:17" s="700" customFormat="1" ht="70.5" hidden="1" customHeight="1">
      <c r="C6054" s="701"/>
      <c r="D6054" s="811"/>
      <c r="E6054" s="1276">
        <f>[11]building!Y6385</f>
        <v>0</v>
      </c>
      <c r="F6054" s="748">
        <f t="shared" si="333"/>
        <v>0</v>
      </c>
      <c r="G6054" s="1205"/>
      <c r="H6054" s="1055"/>
      <c r="I6054" s="1055"/>
      <c r="J6054" s="1055"/>
      <c r="K6054" s="1205"/>
      <c r="L6054" s="1055"/>
      <c r="M6054" s="1205"/>
      <c r="N6054" s="1054"/>
      <c r="O6054" s="1207"/>
      <c r="Q6054" s="1207"/>
    </row>
    <row r="6055" spans="3:17" s="700" customFormat="1" ht="70.5" hidden="1" customHeight="1">
      <c r="C6055" s="701"/>
      <c r="D6055" s="811"/>
      <c r="E6055" s="1276">
        <f>[11]building!Y6386</f>
        <v>0</v>
      </c>
      <c r="F6055" s="748">
        <f t="shared" si="333"/>
        <v>0</v>
      </c>
      <c r="G6055" s="1205"/>
      <c r="H6055" s="1055"/>
      <c r="I6055" s="1055"/>
      <c r="J6055" s="1055"/>
      <c r="K6055" s="1205"/>
      <c r="L6055" s="1055"/>
      <c r="M6055" s="1205"/>
      <c r="N6055" s="1054"/>
      <c r="O6055" s="1207"/>
      <c r="Q6055" s="1207"/>
    </row>
    <row r="6056" spans="3:17" s="700" customFormat="1" ht="70.5" hidden="1" customHeight="1">
      <c r="C6056" s="701"/>
      <c r="D6056" s="811"/>
      <c r="E6056" s="1276">
        <f>[11]building!Y6387</f>
        <v>0</v>
      </c>
      <c r="F6056" s="748">
        <f t="shared" si="333"/>
        <v>0</v>
      </c>
      <c r="G6056" s="1205"/>
      <c r="H6056" s="1055"/>
      <c r="I6056" s="1055"/>
      <c r="J6056" s="1055"/>
      <c r="K6056" s="1205"/>
      <c r="L6056" s="1055"/>
      <c r="M6056" s="1205"/>
      <c r="N6056" s="1054"/>
      <c r="O6056" s="1207"/>
      <c r="Q6056" s="1207"/>
    </row>
    <row r="6057" spans="3:17" s="700" customFormat="1" ht="70.5" hidden="1" customHeight="1">
      <c r="C6057" s="701"/>
      <c r="D6057" s="811"/>
      <c r="E6057" s="1276">
        <f>[11]building!Y6388</f>
        <v>0</v>
      </c>
      <c r="F6057" s="748">
        <f t="shared" si="333"/>
        <v>0</v>
      </c>
      <c r="G6057" s="1205"/>
      <c r="H6057" s="1055"/>
      <c r="I6057" s="1055"/>
      <c r="J6057" s="1055"/>
      <c r="K6057" s="1205"/>
      <c r="L6057" s="1055"/>
      <c r="M6057" s="1205"/>
      <c r="N6057" s="1054"/>
      <c r="O6057" s="1207"/>
      <c r="Q6057" s="1207"/>
    </row>
    <row r="6058" spans="3:17" s="700" customFormat="1" ht="70.5" hidden="1" customHeight="1">
      <c r="C6058" s="701"/>
      <c r="D6058" s="811"/>
      <c r="E6058" s="1276">
        <f>[11]building!Y6389</f>
        <v>0</v>
      </c>
      <c r="F6058" s="748">
        <f t="shared" si="333"/>
        <v>0</v>
      </c>
      <c r="G6058" s="1205"/>
      <c r="H6058" s="1055"/>
      <c r="I6058" s="1055"/>
      <c r="J6058" s="1055"/>
      <c r="K6058" s="1205"/>
      <c r="L6058" s="1055"/>
      <c r="M6058" s="1205"/>
      <c r="N6058" s="1054"/>
      <c r="O6058" s="1207"/>
      <c r="Q6058" s="1207"/>
    </row>
    <row r="6059" spans="3:17" s="700" customFormat="1" ht="70.5" hidden="1" customHeight="1">
      <c r="C6059" s="701"/>
      <c r="D6059" s="811"/>
      <c r="E6059" s="1276">
        <f>[11]building!Y6390</f>
        <v>0</v>
      </c>
      <c r="F6059" s="748">
        <f t="shared" si="333"/>
        <v>0</v>
      </c>
      <c r="G6059" s="1205"/>
      <c r="H6059" s="1055"/>
      <c r="I6059" s="1055"/>
      <c r="J6059" s="1055"/>
      <c r="K6059" s="1205"/>
      <c r="L6059" s="1055"/>
      <c r="M6059" s="1205"/>
      <c r="N6059" s="1054"/>
      <c r="O6059" s="1207"/>
      <c r="Q6059" s="1207"/>
    </row>
    <row r="6060" spans="3:17" s="700" customFormat="1" ht="70.5" hidden="1" customHeight="1">
      <c r="C6060" s="701"/>
      <c r="D6060" s="811"/>
      <c r="E6060" s="1276">
        <f>[11]building!Y6391</f>
        <v>0</v>
      </c>
      <c r="F6060" s="748">
        <f t="shared" si="333"/>
        <v>0</v>
      </c>
      <c r="G6060" s="1205"/>
      <c r="H6060" s="1055"/>
      <c r="I6060" s="1055"/>
      <c r="J6060" s="1055"/>
      <c r="K6060" s="1205"/>
      <c r="L6060" s="1055"/>
      <c r="M6060" s="1205"/>
      <c r="N6060" s="1054"/>
      <c r="O6060" s="1207"/>
      <c r="Q6060" s="1207"/>
    </row>
    <row r="6061" spans="3:17" s="700" customFormat="1" ht="70.5" hidden="1" customHeight="1">
      <c r="C6061" s="701"/>
      <c r="D6061" s="811"/>
      <c r="E6061" s="1276">
        <f>[11]building!Y6392</f>
        <v>0</v>
      </c>
      <c r="F6061" s="748">
        <f t="shared" si="333"/>
        <v>0</v>
      </c>
      <c r="G6061" s="1205"/>
      <c r="H6061" s="1055"/>
      <c r="I6061" s="1055"/>
      <c r="J6061" s="1055"/>
      <c r="K6061" s="1205"/>
      <c r="L6061" s="1055"/>
      <c r="M6061" s="1205"/>
      <c r="N6061" s="1054"/>
      <c r="O6061" s="1207"/>
      <c r="Q6061" s="1207"/>
    </row>
    <row r="6062" spans="3:17" s="700" customFormat="1" ht="70.5" hidden="1" customHeight="1">
      <c r="C6062" s="701"/>
      <c r="D6062" s="811"/>
      <c r="E6062" s="1276">
        <f>[11]building!Y6393</f>
        <v>0</v>
      </c>
      <c r="F6062" s="748">
        <f t="shared" si="333"/>
        <v>0</v>
      </c>
      <c r="G6062" s="1205"/>
      <c r="H6062" s="1055"/>
      <c r="I6062" s="1055"/>
      <c r="J6062" s="1055"/>
      <c r="K6062" s="1205"/>
      <c r="L6062" s="1055"/>
      <c r="M6062" s="1205"/>
      <c r="N6062" s="1054"/>
      <c r="O6062" s="1207"/>
      <c r="Q6062" s="1207"/>
    </row>
    <row r="6063" spans="3:17" s="700" customFormat="1" ht="70.5" hidden="1" customHeight="1">
      <c r="C6063" s="701"/>
      <c r="D6063" s="811"/>
      <c r="E6063" s="1276">
        <f>[11]building!Y6394</f>
        <v>0</v>
      </c>
      <c r="F6063" s="748">
        <f t="shared" si="333"/>
        <v>0</v>
      </c>
      <c r="G6063" s="1205"/>
      <c r="H6063" s="1055"/>
      <c r="I6063" s="1055"/>
      <c r="J6063" s="1055"/>
      <c r="K6063" s="1205"/>
      <c r="L6063" s="1055"/>
      <c r="M6063" s="1205"/>
      <c r="N6063" s="1054"/>
      <c r="O6063" s="1207"/>
      <c r="Q6063" s="1207"/>
    </row>
    <row r="6064" spans="3:17" s="700" customFormat="1" ht="70.5" hidden="1" customHeight="1">
      <c r="C6064" s="701"/>
      <c r="D6064" s="811"/>
      <c r="E6064" s="1276">
        <f>[11]building!Y6395</f>
        <v>0</v>
      </c>
      <c r="F6064" s="748">
        <f t="shared" si="333"/>
        <v>0</v>
      </c>
      <c r="G6064" s="1205"/>
      <c r="H6064" s="1055"/>
      <c r="I6064" s="1055"/>
      <c r="J6064" s="1055"/>
      <c r="K6064" s="1205"/>
      <c r="L6064" s="1055"/>
      <c r="M6064" s="1205"/>
      <c r="N6064" s="1054"/>
      <c r="O6064" s="1207"/>
      <c r="Q6064" s="1207"/>
    </row>
    <row r="6065" spans="3:17" s="700" customFormat="1" ht="70.5" hidden="1" customHeight="1">
      <c r="C6065" s="701"/>
      <c r="D6065" s="811"/>
      <c r="E6065" s="1276">
        <f>[11]building!Y6396</f>
        <v>0</v>
      </c>
      <c r="F6065" s="748">
        <f t="shared" si="333"/>
        <v>0</v>
      </c>
      <c r="G6065" s="1205"/>
      <c r="H6065" s="1055"/>
      <c r="I6065" s="1055"/>
      <c r="J6065" s="1055"/>
      <c r="K6065" s="1205"/>
      <c r="L6065" s="1055"/>
      <c r="M6065" s="1205"/>
      <c r="N6065" s="1054"/>
      <c r="O6065" s="1207"/>
      <c r="Q6065" s="1207"/>
    </row>
    <row r="6066" spans="3:17" s="700" customFormat="1" ht="70.5" hidden="1" customHeight="1">
      <c r="C6066" s="701"/>
      <c r="D6066" s="811"/>
      <c r="E6066" s="1276">
        <f>[11]building!Y6397</f>
        <v>0</v>
      </c>
      <c r="F6066" s="748">
        <f t="shared" si="333"/>
        <v>0</v>
      </c>
      <c r="G6066" s="1205"/>
      <c r="H6066" s="1055"/>
      <c r="I6066" s="1055"/>
      <c r="J6066" s="1055"/>
      <c r="K6066" s="1205"/>
      <c r="L6066" s="1055"/>
      <c r="M6066" s="1205"/>
      <c r="N6066" s="1054"/>
      <c r="O6066" s="1207"/>
      <c r="Q6066" s="1207"/>
    </row>
    <row r="6067" spans="3:17" s="700" customFormat="1" ht="70.5" hidden="1" customHeight="1">
      <c r="C6067" s="701"/>
      <c r="D6067" s="811"/>
      <c r="E6067" s="1276">
        <f>[11]building!Y6398</f>
        <v>0</v>
      </c>
      <c r="F6067" s="748">
        <f t="shared" si="333"/>
        <v>0</v>
      </c>
      <c r="G6067" s="1205"/>
      <c r="H6067" s="1055"/>
      <c r="I6067" s="1055"/>
      <c r="J6067" s="1055"/>
      <c r="K6067" s="1205"/>
      <c r="L6067" s="1055"/>
      <c r="M6067" s="1205"/>
      <c r="N6067" s="1054"/>
      <c r="O6067" s="1207"/>
      <c r="Q6067" s="1207"/>
    </row>
    <row r="6068" spans="3:17" s="700" customFormat="1" ht="70.5" hidden="1" customHeight="1">
      <c r="C6068" s="701"/>
      <c r="D6068" s="811"/>
      <c r="E6068" s="1276">
        <f>[11]building!Y6399</f>
        <v>0</v>
      </c>
      <c r="F6068" s="748">
        <f t="shared" si="333"/>
        <v>0</v>
      </c>
      <c r="G6068" s="1205"/>
      <c r="H6068" s="1055"/>
      <c r="I6068" s="1055"/>
      <c r="J6068" s="1055"/>
      <c r="K6068" s="1205"/>
      <c r="L6068" s="1055"/>
      <c r="M6068" s="1205"/>
      <c r="N6068" s="1054"/>
      <c r="O6068" s="1207"/>
      <c r="Q6068" s="1207"/>
    </row>
    <row r="6069" spans="3:17" s="700" customFormat="1" ht="70.5" hidden="1" customHeight="1">
      <c r="C6069" s="701"/>
      <c r="D6069" s="811"/>
      <c r="E6069" s="1276">
        <f>[11]building!Y6400</f>
        <v>0</v>
      </c>
      <c r="F6069" s="748">
        <f t="shared" si="333"/>
        <v>0</v>
      </c>
      <c r="G6069" s="1205"/>
      <c r="H6069" s="1055"/>
      <c r="I6069" s="1055"/>
      <c r="J6069" s="1055"/>
      <c r="K6069" s="1205"/>
      <c r="L6069" s="1055"/>
      <c r="M6069" s="1205"/>
      <c r="N6069" s="1054"/>
      <c r="O6069" s="1207"/>
      <c r="Q6069" s="1207"/>
    </row>
    <row r="6070" spans="3:17" s="700" customFormat="1" ht="70.5" hidden="1" customHeight="1">
      <c r="C6070" s="701"/>
      <c r="D6070" s="811"/>
      <c r="E6070" s="1276">
        <f>[11]building!Y6401</f>
        <v>0</v>
      </c>
      <c r="F6070" s="748">
        <f t="shared" si="333"/>
        <v>0</v>
      </c>
      <c r="G6070" s="1205"/>
      <c r="H6070" s="1055"/>
      <c r="I6070" s="1055"/>
      <c r="J6070" s="1055"/>
      <c r="K6070" s="1205"/>
      <c r="L6070" s="1055"/>
      <c r="M6070" s="1205"/>
      <c r="N6070" s="1054"/>
      <c r="O6070" s="1207"/>
      <c r="Q6070" s="1207"/>
    </row>
    <row r="6071" spans="3:17" s="700" customFormat="1" ht="70.5" hidden="1" customHeight="1">
      <c r="C6071" s="701"/>
      <c r="D6071" s="811"/>
      <c r="E6071" s="1276">
        <f>[11]building!Y6402</f>
        <v>0</v>
      </c>
      <c r="F6071" s="748">
        <f t="shared" si="333"/>
        <v>0</v>
      </c>
      <c r="G6071" s="1205"/>
      <c r="H6071" s="1055"/>
      <c r="I6071" s="1055"/>
      <c r="J6071" s="1055"/>
      <c r="K6071" s="1205"/>
      <c r="L6071" s="1055"/>
      <c r="M6071" s="1205"/>
      <c r="N6071" s="1054"/>
      <c r="O6071" s="1207"/>
      <c r="Q6071" s="1207"/>
    </row>
    <row r="6072" spans="3:17" s="700" customFormat="1" ht="70.5" hidden="1" customHeight="1">
      <c r="C6072" s="701"/>
      <c r="D6072" s="811"/>
      <c r="E6072" s="1276">
        <f>[11]building!Y6403</f>
        <v>0</v>
      </c>
      <c r="F6072" s="748">
        <f t="shared" si="333"/>
        <v>0</v>
      </c>
      <c r="G6072" s="1205"/>
      <c r="H6072" s="1055"/>
      <c r="I6072" s="1055"/>
      <c r="J6072" s="1055"/>
      <c r="K6072" s="1205"/>
      <c r="L6072" s="1055"/>
      <c r="M6072" s="1205"/>
      <c r="N6072" s="1054"/>
      <c r="O6072" s="1207"/>
      <c r="Q6072" s="1207"/>
    </row>
    <row r="6073" spans="3:17" s="700" customFormat="1" ht="70.5" hidden="1" customHeight="1">
      <c r="C6073" s="701"/>
      <c r="D6073" s="811"/>
      <c r="E6073" s="1276">
        <f>[11]building!Y6404</f>
        <v>0</v>
      </c>
      <c r="F6073" s="748">
        <f t="shared" si="333"/>
        <v>0</v>
      </c>
      <c r="G6073" s="1205"/>
      <c r="H6073" s="1055"/>
      <c r="I6073" s="1055"/>
      <c r="J6073" s="1055"/>
      <c r="K6073" s="1205"/>
      <c r="L6073" s="1055"/>
      <c r="M6073" s="1205"/>
      <c r="N6073" s="1054"/>
      <c r="O6073" s="1207"/>
      <c r="Q6073" s="1207"/>
    </row>
    <row r="6074" spans="3:17" s="700" customFormat="1" ht="70.5" hidden="1" customHeight="1">
      <c r="C6074" s="701"/>
      <c r="D6074" s="811"/>
      <c r="E6074" s="1276">
        <f>[11]building!Y6405</f>
        <v>0</v>
      </c>
      <c r="F6074" s="748">
        <f t="shared" si="333"/>
        <v>0</v>
      </c>
      <c r="G6074" s="1205"/>
      <c r="H6074" s="1055"/>
      <c r="I6074" s="1055"/>
      <c r="J6074" s="1055"/>
      <c r="K6074" s="1205"/>
      <c r="L6074" s="1055"/>
      <c r="M6074" s="1205"/>
      <c r="N6074" s="1054"/>
      <c r="O6074" s="1207"/>
      <c r="Q6074" s="1207"/>
    </row>
    <row r="6075" spans="3:17" s="700" customFormat="1" ht="70.5" hidden="1" customHeight="1">
      <c r="C6075" s="701"/>
      <c r="D6075" s="811"/>
      <c r="E6075" s="1276">
        <f>[11]building!Y6406</f>
        <v>0</v>
      </c>
      <c r="F6075" s="748">
        <f t="shared" si="333"/>
        <v>0</v>
      </c>
      <c r="G6075" s="1205"/>
      <c r="H6075" s="1055"/>
      <c r="I6075" s="1055"/>
      <c r="J6075" s="1055"/>
      <c r="K6075" s="1205"/>
      <c r="L6075" s="1055"/>
      <c r="M6075" s="1205"/>
      <c r="N6075" s="1054"/>
      <c r="O6075" s="1207"/>
      <c r="Q6075" s="1207"/>
    </row>
    <row r="6076" spans="3:17" s="700" customFormat="1" ht="70.5" hidden="1" customHeight="1">
      <c r="C6076" s="701"/>
      <c r="D6076" s="811"/>
      <c r="E6076" s="1276">
        <f>[11]building!Y6407</f>
        <v>0</v>
      </c>
      <c r="F6076" s="748">
        <f t="shared" si="333"/>
        <v>0</v>
      </c>
      <c r="G6076" s="1205"/>
      <c r="H6076" s="1055"/>
      <c r="I6076" s="1055"/>
      <c r="J6076" s="1055"/>
      <c r="K6076" s="1205"/>
      <c r="L6076" s="1055"/>
      <c r="M6076" s="1205"/>
      <c r="N6076" s="1054"/>
      <c r="O6076" s="1207"/>
      <c r="Q6076" s="1207"/>
    </row>
    <row r="6077" spans="3:17" s="700" customFormat="1" ht="70.5" hidden="1" customHeight="1">
      <c r="C6077" s="701"/>
      <c r="D6077" s="811"/>
      <c r="E6077" s="1276">
        <f>[11]building!Y6408</f>
        <v>0</v>
      </c>
      <c r="F6077" s="748">
        <f t="shared" si="333"/>
        <v>0</v>
      </c>
      <c r="G6077" s="1205"/>
      <c r="H6077" s="1055"/>
      <c r="I6077" s="1055"/>
      <c r="J6077" s="1055"/>
      <c r="K6077" s="1205"/>
      <c r="L6077" s="1055"/>
      <c r="M6077" s="1205"/>
      <c r="N6077" s="1054"/>
      <c r="O6077" s="1207"/>
      <c r="Q6077" s="1207"/>
    </row>
    <row r="6078" spans="3:17" s="700" customFormat="1" ht="70.5" hidden="1" customHeight="1">
      <c r="C6078" s="701"/>
      <c r="D6078" s="811"/>
      <c r="E6078" s="1276">
        <f>[11]building!Y6409</f>
        <v>0</v>
      </c>
      <c r="F6078" s="748">
        <f t="shared" si="333"/>
        <v>0</v>
      </c>
      <c r="G6078" s="1205"/>
      <c r="H6078" s="1055"/>
      <c r="I6078" s="1055"/>
      <c r="J6078" s="1055"/>
      <c r="K6078" s="1205"/>
      <c r="L6078" s="1055"/>
      <c r="M6078" s="1205"/>
      <c r="N6078" s="1054"/>
      <c r="O6078" s="1207"/>
      <c r="Q6078" s="1207"/>
    </row>
    <row r="6079" spans="3:17" s="700" customFormat="1" ht="70.5" hidden="1" customHeight="1">
      <c r="C6079" s="701"/>
      <c r="D6079" s="811"/>
      <c r="E6079" s="1276">
        <f>[11]building!Y6410</f>
        <v>0</v>
      </c>
      <c r="F6079" s="748">
        <f t="shared" si="333"/>
        <v>0</v>
      </c>
      <c r="G6079" s="1205"/>
      <c r="H6079" s="1055"/>
      <c r="I6079" s="1055"/>
      <c r="J6079" s="1055"/>
      <c r="K6079" s="1205"/>
      <c r="L6079" s="1055"/>
      <c r="M6079" s="1205"/>
      <c r="N6079" s="1054"/>
      <c r="O6079" s="1207"/>
      <c r="Q6079" s="1207"/>
    </row>
    <row r="6080" spans="3:17" s="700" customFormat="1" ht="70.5" hidden="1" customHeight="1">
      <c r="C6080" s="701"/>
      <c r="D6080" s="811"/>
      <c r="E6080" s="1276">
        <f>[11]building!Y6411</f>
        <v>0</v>
      </c>
      <c r="F6080" s="748">
        <f t="shared" ref="F6080:F6143" si="334">E6080*C6080</f>
        <v>0</v>
      </c>
      <c r="G6080" s="1205"/>
      <c r="H6080" s="1055"/>
      <c r="I6080" s="1055"/>
      <c r="J6080" s="1055"/>
      <c r="K6080" s="1205"/>
      <c r="L6080" s="1055"/>
      <c r="M6080" s="1205"/>
      <c r="N6080" s="1054"/>
      <c r="O6080" s="1207"/>
      <c r="Q6080" s="1207"/>
    </row>
    <row r="6081" spans="3:17" s="700" customFormat="1" ht="70.5" hidden="1" customHeight="1">
      <c r="C6081" s="701"/>
      <c r="D6081" s="811"/>
      <c r="E6081" s="1276">
        <f>[11]building!Y6412</f>
        <v>0</v>
      </c>
      <c r="F6081" s="748">
        <f t="shared" si="334"/>
        <v>0</v>
      </c>
      <c r="G6081" s="1205"/>
      <c r="H6081" s="1055"/>
      <c r="I6081" s="1055"/>
      <c r="J6081" s="1055"/>
      <c r="K6081" s="1205"/>
      <c r="L6081" s="1055"/>
      <c r="M6081" s="1205"/>
      <c r="N6081" s="1054"/>
      <c r="O6081" s="1207"/>
      <c r="Q6081" s="1207"/>
    </row>
    <row r="6082" spans="3:17" s="700" customFormat="1" ht="70.5" hidden="1" customHeight="1">
      <c r="C6082" s="701"/>
      <c r="D6082" s="811"/>
      <c r="E6082" s="1276">
        <f>[11]building!Y6413</f>
        <v>0</v>
      </c>
      <c r="F6082" s="748">
        <f t="shared" si="334"/>
        <v>0</v>
      </c>
      <c r="G6082" s="1205"/>
      <c r="H6082" s="1055"/>
      <c r="I6082" s="1055"/>
      <c r="J6082" s="1055"/>
      <c r="K6082" s="1205"/>
      <c r="L6082" s="1055"/>
      <c r="M6082" s="1205"/>
      <c r="N6082" s="1054"/>
      <c r="O6082" s="1207"/>
      <c r="Q6082" s="1207"/>
    </row>
    <row r="6083" spans="3:17" s="700" customFormat="1" ht="70.5" hidden="1" customHeight="1">
      <c r="C6083" s="701"/>
      <c r="D6083" s="811"/>
      <c r="E6083" s="1276">
        <f>[11]building!Y6414</f>
        <v>0</v>
      </c>
      <c r="F6083" s="748">
        <f t="shared" si="334"/>
        <v>0</v>
      </c>
      <c r="G6083" s="1205"/>
      <c r="H6083" s="1055"/>
      <c r="I6083" s="1055"/>
      <c r="J6083" s="1055"/>
      <c r="K6083" s="1205"/>
      <c r="L6083" s="1055"/>
      <c r="M6083" s="1205"/>
      <c r="N6083" s="1054"/>
      <c r="O6083" s="1207"/>
      <c r="Q6083" s="1207"/>
    </row>
    <row r="6084" spans="3:17" s="700" customFormat="1" ht="70.5" hidden="1" customHeight="1">
      <c r="C6084" s="701"/>
      <c r="D6084" s="811"/>
      <c r="E6084" s="1276">
        <f>[11]building!Y6415</f>
        <v>0</v>
      </c>
      <c r="F6084" s="748">
        <f t="shared" si="334"/>
        <v>0</v>
      </c>
      <c r="G6084" s="1205"/>
      <c r="H6084" s="1055"/>
      <c r="I6084" s="1055"/>
      <c r="J6084" s="1055"/>
      <c r="K6084" s="1205"/>
      <c r="L6084" s="1055"/>
      <c r="M6084" s="1205"/>
      <c r="N6084" s="1054"/>
      <c r="O6084" s="1207"/>
      <c r="Q6084" s="1207"/>
    </row>
    <row r="6085" spans="3:17" s="700" customFormat="1" ht="70.5" hidden="1" customHeight="1">
      <c r="C6085" s="701"/>
      <c r="D6085" s="811"/>
      <c r="E6085" s="1276">
        <f>[11]building!Y6416</f>
        <v>0</v>
      </c>
      <c r="F6085" s="748">
        <f t="shared" si="334"/>
        <v>0</v>
      </c>
      <c r="G6085" s="1205"/>
      <c r="H6085" s="1055"/>
      <c r="I6085" s="1055"/>
      <c r="J6085" s="1055"/>
      <c r="K6085" s="1205"/>
      <c r="L6085" s="1055"/>
      <c r="M6085" s="1205"/>
      <c r="N6085" s="1054"/>
      <c r="O6085" s="1207"/>
      <c r="Q6085" s="1207"/>
    </row>
    <row r="6086" spans="3:17" s="700" customFormat="1" ht="70.5" hidden="1" customHeight="1">
      <c r="C6086" s="701"/>
      <c r="D6086" s="811"/>
      <c r="E6086" s="1276">
        <f>[11]building!Y6417</f>
        <v>0</v>
      </c>
      <c r="F6086" s="748">
        <f t="shared" si="334"/>
        <v>0</v>
      </c>
      <c r="G6086" s="1205"/>
      <c r="H6086" s="1055"/>
      <c r="I6086" s="1055"/>
      <c r="J6086" s="1055"/>
      <c r="K6086" s="1205"/>
      <c r="L6086" s="1055"/>
      <c r="M6086" s="1205"/>
      <c r="N6086" s="1054"/>
      <c r="O6086" s="1207"/>
      <c r="Q6086" s="1207"/>
    </row>
    <row r="6087" spans="3:17" s="700" customFormat="1" ht="70.5" hidden="1" customHeight="1">
      <c r="C6087" s="701"/>
      <c r="D6087" s="811"/>
      <c r="E6087" s="1276">
        <f>[11]building!Y6418</f>
        <v>0</v>
      </c>
      <c r="F6087" s="748">
        <f t="shared" si="334"/>
        <v>0</v>
      </c>
      <c r="G6087" s="1205"/>
      <c r="H6087" s="1055"/>
      <c r="I6087" s="1055"/>
      <c r="J6087" s="1055"/>
      <c r="K6087" s="1205"/>
      <c r="L6087" s="1055"/>
      <c r="M6087" s="1205"/>
      <c r="N6087" s="1054"/>
      <c r="O6087" s="1207"/>
      <c r="Q6087" s="1207"/>
    </row>
    <row r="6088" spans="3:17" s="700" customFormat="1" ht="70.5" hidden="1" customHeight="1">
      <c r="C6088" s="701"/>
      <c r="D6088" s="811"/>
      <c r="E6088" s="1276">
        <f>[11]building!Y6419</f>
        <v>0</v>
      </c>
      <c r="F6088" s="748">
        <f t="shared" si="334"/>
        <v>0</v>
      </c>
      <c r="G6088" s="1205"/>
      <c r="H6088" s="1055"/>
      <c r="I6088" s="1055"/>
      <c r="J6088" s="1055"/>
      <c r="K6088" s="1205"/>
      <c r="L6088" s="1055"/>
      <c r="M6088" s="1205"/>
      <c r="N6088" s="1054"/>
      <c r="O6088" s="1207"/>
      <c r="Q6088" s="1207"/>
    </row>
    <row r="6089" spans="3:17" s="700" customFormat="1" ht="70.5" hidden="1" customHeight="1">
      <c r="C6089" s="701"/>
      <c r="D6089" s="811"/>
      <c r="E6089" s="1276">
        <f>[11]building!Y6420</f>
        <v>0</v>
      </c>
      <c r="F6089" s="748">
        <f t="shared" si="334"/>
        <v>0</v>
      </c>
      <c r="G6089" s="1205"/>
      <c r="H6089" s="1055"/>
      <c r="I6089" s="1055"/>
      <c r="J6089" s="1055"/>
      <c r="K6089" s="1205"/>
      <c r="L6089" s="1055"/>
      <c r="M6089" s="1205"/>
      <c r="N6089" s="1054"/>
      <c r="O6089" s="1207"/>
      <c r="Q6089" s="1207"/>
    </row>
    <row r="6090" spans="3:17" s="700" customFormat="1" ht="70.5" hidden="1" customHeight="1">
      <c r="C6090" s="701"/>
      <c r="D6090" s="811"/>
      <c r="E6090" s="1276">
        <f>[11]building!Y6421</f>
        <v>0</v>
      </c>
      <c r="F6090" s="748">
        <f t="shared" si="334"/>
        <v>0</v>
      </c>
      <c r="G6090" s="1205"/>
      <c r="H6090" s="1055"/>
      <c r="I6090" s="1055"/>
      <c r="J6090" s="1055"/>
      <c r="K6090" s="1205"/>
      <c r="L6090" s="1055"/>
      <c r="M6090" s="1205"/>
      <c r="N6090" s="1054"/>
      <c r="O6090" s="1207"/>
      <c r="Q6090" s="1207"/>
    </row>
    <row r="6091" spans="3:17" s="700" customFormat="1" ht="70.5" hidden="1" customHeight="1">
      <c r="C6091" s="701"/>
      <c r="D6091" s="811"/>
      <c r="E6091" s="1276">
        <f>[11]building!Y6422</f>
        <v>0</v>
      </c>
      <c r="F6091" s="748">
        <f t="shared" si="334"/>
        <v>0</v>
      </c>
      <c r="G6091" s="1205"/>
      <c r="H6091" s="1055"/>
      <c r="I6091" s="1055"/>
      <c r="J6091" s="1055"/>
      <c r="K6091" s="1205"/>
      <c r="L6091" s="1055"/>
      <c r="M6091" s="1205"/>
      <c r="N6091" s="1054"/>
      <c r="O6091" s="1207"/>
      <c r="Q6091" s="1207"/>
    </row>
    <row r="6092" spans="3:17" s="700" customFormat="1" ht="70.5" hidden="1" customHeight="1">
      <c r="C6092" s="701"/>
      <c r="D6092" s="811"/>
      <c r="E6092" s="1276">
        <f>[11]building!Y6423</f>
        <v>0</v>
      </c>
      <c r="F6092" s="748">
        <f t="shared" si="334"/>
        <v>0</v>
      </c>
      <c r="G6092" s="1205"/>
      <c r="H6092" s="1055"/>
      <c r="I6092" s="1055"/>
      <c r="J6092" s="1055"/>
      <c r="K6092" s="1205"/>
      <c r="L6092" s="1055"/>
      <c r="M6092" s="1205"/>
      <c r="N6092" s="1054"/>
      <c r="O6092" s="1207"/>
      <c r="Q6092" s="1207"/>
    </row>
    <row r="6093" spans="3:17" s="700" customFormat="1" ht="70.5" hidden="1" customHeight="1">
      <c r="C6093" s="701"/>
      <c r="D6093" s="811"/>
      <c r="E6093" s="1276">
        <f>[11]building!Y6424</f>
        <v>0</v>
      </c>
      <c r="F6093" s="748">
        <f t="shared" si="334"/>
        <v>0</v>
      </c>
      <c r="G6093" s="1205"/>
      <c r="H6093" s="1055"/>
      <c r="I6093" s="1055"/>
      <c r="J6093" s="1055"/>
      <c r="K6093" s="1205"/>
      <c r="L6093" s="1055"/>
      <c r="M6093" s="1205"/>
      <c r="N6093" s="1054"/>
      <c r="O6093" s="1207"/>
      <c r="Q6093" s="1207"/>
    </row>
    <row r="6094" spans="3:17" s="700" customFormat="1" ht="70.5" hidden="1" customHeight="1">
      <c r="C6094" s="701"/>
      <c r="D6094" s="811"/>
      <c r="E6094" s="1276">
        <f>[11]building!Y6425</f>
        <v>0</v>
      </c>
      <c r="F6094" s="748">
        <f t="shared" si="334"/>
        <v>0</v>
      </c>
      <c r="G6094" s="1205"/>
      <c r="H6094" s="1055"/>
      <c r="I6094" s="1055"/>
      <c r="J6094" s="1055"/>
      <c r="K6094" s="1205"/>
      <c r="L6094" s="1055"/>
      <c r="M6094" s="1205"/>
      <c r="N6094" s="1054"/>
      <c r="O6094" s="1207"/>
      <c r="Q6094" s="1207"/>
    </row>
    <row r="6095" spans="3:17" s="700" customFormat="1" ht="70.5" hidden="1" customHeight="1">
      <c r="C6095" s="701"/>
      <c r="D6095" s="811"/>
      <c r="E6095" s="1276">
        <f>[11]building!Y6426</f>
        <v>0</v>
      </c>
      <c r="F6095" s="748">
        <f t="shared" si="334"/>
        <v>0</v>
      </c>
      <c r="G6095" s="1205"/>
      <c r="H6095" s="1055"/>
      <c r="I6095" s="1055"/>
      <c r="J6095" s="1055"/>
      <c r="K6095" s="1205"/>
      <c r="L6095" s="1055"/>
      <c r="M6095" s="1205"/>
      <c r="N6095" s="1054"/>
      <c r="O6095" s="1207"/>
      <c r="Q6095" s="1207"/>
    </row>
    <row r="6096" spans="3:17" s="700" customFormat="1" ht="70.5" hidden="1" customHeight="1">
      <c r="C6096" s="701"/>
      <c r="D6096" s="811"/>
      <c r="E6096" s="1276">
        <f>[11]building!Y6427</f>
        <v>0</v>
      </c>
      <c r="F6096" s="748">
        <f t="shared" si="334"/>
        <v>0</v>
      </c>
      <c r="G6096" s="1205"/>
      <c r="H6096" s="1055"/>
      <c r="I6096" s="1055"/>
      <c r="J6096" s="1055"/>
      <c r="K6096" s="1205"/>
      <c r="L6096" s="1055"/>
      <c r="M6096" s="1205"/>
      <c r="N6096" s="1054"/>
      <c r="O6096" s="1207"/>
      <c r="Q6096" s="1207"/>
    </row>
    <row r="6097" spans="3:17" s="700" customFormat="1" ht="70.5" hidden="1" customHeight="1">
      <c r="C6097" s="701"/>
      <c r="D6097" s="811"/>
      <c r="E6097" s="1276">
        <f>[11]building!Y6428</f>
        <v>0</v>
      </c>
      <c r="F6097" s="748">
        <f t="shared" si="334"/>
        <v>0</v>
      </c>
      <c r="G6097" s="1205"/>
      <c r="H6097" s="1055"/>
      <c r="I6097" s="1055"/>
      <c r="J6097" s="1055"/>
      <c r="K6097" s="1205"/>
      <c r="L6097" s="1055"/>
      <c r="M6097" s="1205"/>
      <c r="N6097" s="1054"/>
      <c r="O6097" s="1207"/>
      <c r="Q6097" s="1207"/>
    </row>
    <row r="6098" spans="3:17" s="700" customFormat="1" ht="70.5" hidden="1" customHeight="1">
      <c r="C6098" s="701"/>
      <c r="D6098" s="811"/>
      <c r="E6098" s="1276">
        <f>[11]building!Y6429</f>
        <v>0</v>
      </c>
      <c r="F6098" s="748">
        <f t="shared" si="334"/>
        <v>0</v>
      </c>
      <c r="G6098" s="1205"/>
      <c r="H6098" s="1055"/>
      <c r="I6098" s="1055"/>
      <c r="J6098" s="1055"/>
      <c r="K6098" s="1205"/>
      <c r="L6098" s="1055"/>
      <c r="M6098" s="1205"/>
      <c r="N6098" s="1054"/>
      <c r="O6098" s="1207"/>
      <c r="Q6098" s="1207"/>
    </row>
    <row r="6099" spans="3:17" s="700" customFormat="1" ht="70.5" hidden="1" customHeight="1">
      <c r="C6099" s="701"/>
      <c r="D6099" s="811"/>
      <c r="E6099" s="1276">
        <f>[11]building!Y6430</f>
        <v>0</v>
      </c>
      <c r="F6099" s="748">
        <f t="shared" si="334"/>
        <v>0</v>
      </c>
      <c r="G6099" s="1205"/>
      <c r="H6099" s="1055"/>
      <c r="I6099" s="1055"/>
      <c r="J6099" s="1055"/>
      <c r="K6099" s="1205"/>
      <c r="L6099" s="1055"/>
      <c r="M6099" s="1205"/>
      <c r="N6099" s="1054"/>
      <c r="O6099" s="1207"/>
      <c r="Q6099" s="1207"/>
    </row>
    <row r="6100" spans="3:17" s="700" customFormat="1" ht="70.5" hidden="1" customHeight="1">
      <c r="C6100" s="701"/>
      <c r="D6100" s="811"/>
      <c r="E6100" s="1276">
        <f>[11]building!Y6431</f>
        <v>0</v>
      </c>
      <c r="F6100" s="748">
        <f t="shared" si="334"/>
        <v>0</v>
      </c>
      <c r="G6100" s="1205"/>
      <c r="H6100" s="1055"/>
      <c r="I6100" s="1055"/>
      <c r="J6100" s="1055"/>
      <c r="K6100" s="1205"/>
      <c r="L6100" s="1055"/>
      <c r="M6100" s="1205"/>
      <c r="N6100" s="1054"/>
      <c r="O6100" s="1207"/>
      <c r="Q6100" s="1207"/>
    </row>
    <row r="6101" spans="3:17" s="700" customFormat="1" ht="70.5" hidden="1" customHeight="1">
      <c r="C6101" s="701"/>
      <c r="D6101" s="811"/>
      <c r="E6101" s="1276">
        <f>[11]building!Y6432</f>
        <v>0</v>
      </c>
      <c r="F6101" s="748">
        <f t="shared" si="334"/>
        <v>0</v>
      </c>
      <c r="G6101" s="1205"/>
      <c r="H6101" s="1055"/>
      <c r="I6101" s="1055"/>
      <c r="J6101" s="1055"/>
      <c r="K6101" s="1205"/>
      <c r="L6101" s="1055"/>
      <c r="M6101" s="1205"/>
      <c r="N6101" s="1054"/>
      <c r="O6101" s="1207"/>
      <c r="Q6101" s="1207"/>
    </row>
    <row r="6102" spans="3:17" s="700" customFormat="1" ht="70.5" hidden="1" customHeight="1">
      <c r="C6102" s="701"/>
      <c r="D6102" s="811"/>
      <c r="E6102" s="1276">
        <f>[11]building!Y6433</f>
        <v>0</v>
      </c>
      <c r="F6102" s="748">
        <f t="shared" si="334"/>
        <v>0</v>
      </c>
      <c r="G6102" s="1205"/>
      <c r="H6102" s="1055"/>
      <c r="I6102" s="1055"/>
      <c r="J6102" s="1055"/>
      <c r="K6102" s="1205"/>
      <c r="L6102" s="1055"/>
      <c r="M6102" s="1205"/>
      <c r="N6102" s="1054"/>
      <c r="O6102" s="1207"/>
      <c r="Q6102" s="1207"/>
    </row>
    <row r="6103" spans="3:17" s="700" customFormat="1" ht="70.5" hidden="1" customHeight="1">
      <c r="C6103" s="701"/>
      <c r="D6103" s="811"/>
      <c r="E6103" s="1276">
        <f>[11]building!Y6434</f>
        <v>0</v>
      </c>
      <c r="F6103" s="748">
        <f t="shared" si="334"/>
        <v>0</v>
      </c>
      <c r="G6103" s="1205"/>
      <c r="H6103" s="1055"/>
      <c r="I6103" s="1055"/>
      <c r="J6103" s="1055"/>
      <c r="K6103" s="1205"/>
      <c r="L6103" s="1055"/>
      <c r="M6103" s="1205"/>
      <c r="N6103" s="1054"/>
      <c r="O6103" s="1207"/>
      <c r="Q6103" s="1207"/>
    </row>
    <row r="6104" spans="3:17" s="700" customFormat="1" ht="70.5" hidden="1" customHeight="1">
      <c r="C6104" s="701"/>
      <c r="D6104" s="811"/>
      <c r="E6104" s="1276">
        <f>[11]building!Y6435</f>
        <v>0</v>
      </c>
      <c r="F6104" s="748">
        <f t="shared" si="334"/>
        <v>0</v>
      </c>
      <c r="G6104" s="1205"/>
      <c r="H6104" s="1055"/>
      <c r="I6104" s="1055"/>
      <c r="J6104" s="1055"/>
      <c r="K6104" s="1205"/>
      <c r="L6104" s="1055"/>
      <c r="M6104" s="1205"/>
      <c r="N6104" s="1054"/>
      <c r="O6104" s="1207"/>
      <c r="Q6104" s="1207"/>
    </row>
    <row r="6105" spans="3:17" s="700" customFormat="1" ht="70.5" hidden="1" customHeight="1">
      <c r="C6105" s="701"/>
      <c r="D6105" s="811"/>
      <c r="E6105" s="1276">
        <f>[11]building!Y6436</f>
        <v>0</v>
      </c>
      <c r="F6105" s="748">
        <f t="shared" si="334"/>
        <v>0</v>
      </c>
      <c r="G6105" s="1205"/>
      <c r="H6105" s="1055"/>
      <c r="I6105" s="1055"/>
      <c r="J6105" s="1055"/>
      <c r="K6105" s="1205"/>
      <c r="L6105" s="1055"/>
      <c r="M6105" s="1205"/>
      <c r="N6105" s="1054"/>
      <c r="O6105" s="1207"/>
      <c r="Q6105" s="1207"/>
    </row>
    <row r="6106" spans="3:17" s="700" customFormat="1" ht="70.5" hidden="1" customHeight="1">
      <c r="C6106" s="701"/>
      <c r="D6106" s="811"/>
      <c r="E6106" s="1276">
        <f>[11]building!Y6437</f>
        <v>0</v>
      </c>
      <c r="F6106" s="748">
        <f t="shared" si="334"/>
        <v>0</v>
      </c>
      <c r="G6106" s="1205"/>
      <c r="H6106" s="1055"/>
      <c r="I6106" s="1055"/>
      <c r="J6106" s="1055"/>
      <c r="K6106" s="1205"/>
      <c r="L6106" s="1055"/>
      <c r="M6106" s="1205"/>
      <c r="N6106" s="1054"/>
      <c r="O6106" s="1207"/>
      <c r="Q6106" s="1207"/>
    </row>
    <row r="6107" spans="3:17" s="700" customFormat="1" ht="70.5" hidden="1" customHeight="1">
      <c r="C6107" s="701"/>
      <c r="D6107" s="811"/>
      <c r="E6107" s="1276">
        <f>[11]building!Y6438</f>
        <v>0</v>
      </c>
      <c r="F6107" s="748">
        <f t="shared" si="334"/>
        <v>0</v>
      </c>
      <c r="G6107" s="1205"/>
      <c r="H6107" s="1055"/>
      <c r="I6107" s="1055"/>
      <c r="J6107" s="1055"/>
      <c r="K6107" s="1205"/>
      <c r="L6107" s="1055"/>
      <c r="M6107" s="1205"/>
      <c r="N6107" s="1054"/>
      <c r="O6107" s="1207"/>
      <c r="Q6107" s="1207"/>
    </row>
    <row r="6108" spans="3:17" s="700" customFormat="1" ht="70.5" hidden="1" customHeight="1">
      <c r="C6108" s="701"/>
      <c r="D6108" s="811"/>
      <c r="E6108" s="1276">
        <f>[11]building!Y6439</f>
        <v>0</v>
      </c>
      <c r="F6108" s="748">
        <f t="shared" si="334"/>
        <v>0</v>
      </c>
      <c r="G6108" s="1205"/>
      <c r="H6108" s="1055"/>
      <c r="I6108" s="1055"/>
      <c r="J6108" s="1055"/>
      <c r="K6108" s="1205"/>
      <c r="L6108" s="1055"/>
      <c r="M6108" s="1205"/>
      <c r="N6108" s="1054"/>
      <c r="O6108" s="1207"/>
      <c r="Q6108" s="1207"/>
    </row>
    <row r="6109" spans="3:17" s="700" customFormat="1" ht="70.5" hidden="1" customHeight="1">
      <c r="C6109" s="701"/>
      <c r="D6109" s="811"/>
      <c r="E6109" s="1276">
        <f>[11]building!Y6440</f>
        <v>0</v>
      </c>
      <c r="F6109" s="748">
        <f t="shared" si="334"/>
        <v>0</v>
      </c>
      <c r="G6109" s="1205"/>
      <c r="H6109" s="1055"/>
      <c r="I6109" s="1055"/>
      <c r="J6109" s="1055"/>
      <c r="K6109" s="1205"/>
      <c r="L6109" s="1055"/>
      <c r="M6109" s="1205"/>
      <c r="N6109" s="1054"/>
      <c r="O6109" s="1207"/>
      <c r="Q6109" s="1207"/>
    </row>
    <row r="6110" spans="3:17" s="700" customFormat="1" ht="70.5" hidden="1" customHeight="1">
      <c r="C6110" s="701"/>
      <c r="D6110" s="811"/>
      <c r="E6110" s="1276">
        <f>[11]building!Y6441</f>
        <v>0</v>
      </c>
      <c r="F6110" s="748">
        <f t="shared" si="334"/>
        <v>0</v>
      </c>
      <c r="G6110" s="1205"/>
      <c r="H6110" s="1055"/>
      <c r="I6110" s="1055"/>
      <c r="J6110" s="1055"/>
      <c r="K6110" s="1205"/>
      <c r="L6110" s="1055"/>
      <c r="M6110" s="1205"/>
      <c r="N6110" s="1054"/>
      <c r="O6110" s="1207"/>
      <c r="Q6110" s="1207"/>
    </row>
    <row r="6111" spans="3:17" s="700" customFormat="1" ht="70.5" hidden="1" customHeight="1">
      <c r="C6111" s="701"/>
      <c r="D6111" s="811"/>
      <c r="E6111" s="1276">
        <f>[11]building!Y6442</f>
        <v>0</v>
      </c>
      <c r="F6111" s="748">
        <f t="shared" si="334"/>
        <v>0</v>
      </c>
      <c r="G6111" s="1205"/>
      <c r="H6111" s="1055"/>
      <c r="I6111" s="1055"/>
      <c r="J6111" s="1055"/>
      <c r="K6111" s="1205"/>
      <c r="L6111" s="1055"/>
      <c r="M6111" s="1205"/>
      <c r="N6111" s="1054"/>
      <c r="O6111" s="1207"/>
      <c r="Q6111" s="1207"/>
    </row>
    <row r="6112" spans="3:17" s="700" customFormat="1" ht="70.5" hidden="1" customHeight="1">
      <c r="C6112" s="701"/>
      <c r="D6112" s="811"/>
      <c r="E6112" s="1276">
        <f>[11]building!Y6443</f>
        <v>0</v>
      </c>
      <c r="F6112" s="748">
        <f t="shared" si="334"/>
        <v>0</v>
      </c>
      <c r="G6112" s="1205"/>
      <c r="H6112" s="1055"/>
      <c r="I6112" s="1055"/>
      <c r="J6112" s="1055"/>
      <c r="K6112" s="1205"/>
      <c r="L6112" s="1055"/>
      <c r="M6112" s="1205"/>
      <c r="N6112" s="1054"/>
      <c r="O6112" s="1207"/>
      <c r="Q6112" s="1207"/>
    </row>
    <row r="6113" spans="3:17" s="700" customFormat="1" ht="70.5" hidden="1" customHeight="1">
      <c r="C6113" s="701"/>
      <c r="D6113" s="811"/>
      <c r="E6113" s="1276">
        <f>[11]building!Y6444</f>
        <v>0</v>
      </c>
      <c r="F6113" s="748">
        <f t="shared" si="334"/>
        <v>0</v>
      </c>
      <c r="G6113" s="1205"/>
      <c r="H6113" s="1055"/>
      <c r="I6113" s="1055"/>
      <c r="J6113" s="1055"/>
      <c r="K6113" s="1205"/>
      <c r="L6113" s="1055"/>
      <c r="M6113" s="1205"/>
      <c r="N6113" s="1054"/>
      <c r="O6113" s="1207"/>
      <c r="Q6113" s="1207"/>
    </row>
    <row r="6114" spans="3:17" s="700" customFormat="1" ht="70.5" hidden="1" customHeight="1">
      <c r="C6114" s="701"/>
      <c r="D6114" s="811"/>
      <c r="E6114" s="1276">
        <f>[11]building!Y6445</f>
        <v>0</v>
      </c>
      <c r="F6114" s="748">
        <f t="shared" si="334"/>
        <v>0</v>
      </c>
      <c r="G6114" s="1205"/>
      <c r="H6114" s="1055"/>
      <c r="I6114" s="1055"/>
      <c r="J6114" s="1055"/>
      <c r="K6114" s="1205"/>
      <c r="L6114" s="1055"/>
      <c r="M6114" s="1205"/>
      <c r="N6114" s="1054"/>
      <c r="O6114" s="1207"/>
      <c r="Q6114" s="1207"/>
    </row>
    <row r="6115" spans="3:17" s="700" customFormat="1" ht="70.5" hidden="1" customHeight="1">
      <c r="C6115" s="701"/>
      <c r="D6115" s="811"/>
      <c r="E6115" s="1276">
        <f>[11]building!Y6446</f>
        <v>0</v>
      </c>
      <c r="F6115" s="748">
        <f t="shared" si="334"/>
        <v>0</v>
      </c>
      <c r="G6115" s="1205"/>
      <c r="H6115" s="1055"/>
      <c r="I6115" s="1055"/>
      <c r="J6115" s="1055"/>
      <c r="K6115" s="1205"/>
      <c r="L6115" s="1055"/>
      <c r="M6115" s="1205"/>
      <c r="N6115" s="1054"/>
      <c r="O6115" s="1207"/>
      <c r="Q6115" s="1207"/>
    </row>
    <row r="6116" spans="3:17" s="700" customFormat="1" ht="70.5" hidden="1" customHeight="1">
      <c r="C6116" s="701"/>
      <c r="D6116" s="811"/>
      <c r="E6116" s="1276">
        <f>[11]building!Y6447</f>
        <v>0</v>
      </c>
      <c r="F6116" s="748">
        <f t="shared" si="334"/>
        <v>0</v>
      </c>
      <c r="G6116" s="1205"/>
      <c r="H6116" s="1055"/>
      <c r="I6116" s="1055"/>
      <c r="J6116" s="1055"/>
      <c r="K6116" s="1205"/>
      <c r="L6116" s="1055"/>
      <c r="M6116" s="1205"/>
      <c r="N6116" s="1054"/>
      <c r="O6116" s="1207"/>
      <c r="Q6116" s="1207"/>
    </row>
    <row r="6117" spans="3:17" s="700" customFormat="1" ht="70.5" hidden="1" customHeight="1">
      <c r="C6117" s="701"/>
      <c r="D6117" s="811"/>
      <c r="E6117" s="1276">
        <f>[11]building!Y6448</f>
        <v>0</v>
      </c>
      <c r="F6117" s="748">
        <f t="shared" si="334"/>
        <v>0</v>
      </c>
      <c r="G6117" s="1205"/>
      <c r="H6117" s="1055"/>
      <c r="I6117" s="1055"/>
      <c r="J6117" s="1055"/>
      <c r="K6117" s="1205"/>
      <c r="L6117" s="1055"/>
      <c r="M6117" s="1205"/>
      <c r="N6117" s="1054"/>
      <c r="O6117" s="1207"/>
      <c r="Q6117" s="1207"/>
    </row>
    <row r="6118" spans="3:17" s="700" customFormat="1" ht="70.5" hidden="1" customHeight="1">
      <c r="C6118" s="701"/>
      <c r="D6118" s="811"/>
      <c r="E6118" s="1276">
        <f>[11]building!Y6449</f>
        <v>0</v>
      </c>
      <c r="F6118" s="748">
        <f t="shared" si="334"/>
        <v>0</v>
      </c>
      <c r="G6118" s="1205"/>
      <c r="H6118" s="1055"/>
      <c r="I6118" s="1055"/>
      <c r="J6118" s="1055"/>
      <c r="K6118" s="1205"/>
      <c r="L6118" s="1055"/>
      <c r="M6118" s="1205"/>
      <c r="N6118" s="1054"/>
      <c r="O6118" s="1207"/>
      <c r="Q6118" s="1207"/>
    </row>
    <row r="6119" spans="3:17" s="700" customFormat="1" ht="70.5" hidden="1" customHeight="1">
      <c r="C6119" s="701"/>
      <c r="D6119" s="811"/>
      <c r="E6119" s="1276">
        <f>[11]building!Y6450</f>
        <v>0</v>
      </c>
      <c r="F6119" s="748">
        <f t="shared" si="334"/>
        <v>0</v>
      </c>
      <c r="G6119" s="1205"/>
      <c r="H6119" s="1055"/>
      <c r="I6119" s="1055"/>
      <c r="J6119" s="1055"/>
      <c r="K6119" s="1205"/>
      <c r="L6119" s="1055"/>
      <c r="M6119" s="1205"/>
      <c r="N6119" s="1054"/>
      <c r="O6119" s="1207"/>
      <c r="Q6119" s="1207"/>
    </row>
    <row r="6120" spans="3:17" s="700" customFormat="1" ht="70.5" hidden="1" customHeight="1">
      <c r="C6120" s="701"/>
      <c r="D6120" s="811"/>
      <c r="E6120" s="1276">
        <f>[11]building!Y6451</f>
        <v>0</v>
      </c>
      <c r="F6120" s="748">
        <f t="shared" si="334"/>
        <v>0</v>
      </c>
      <c r="G6120" s="1205"/>
      <c r="H6120" s="1055"/>
      <c r="I6120" s="1055"/>
      <c r="J6120" s="1055"/>
      <c r="K6120" s="1205"/>
      <c r="L6120" s="1055"/>
      <c r="M6120" s="1205"/>
      <c r="N6120" s="1054"/>
      <c r="O6120" s="1207"/>
      <c r="Q6120" s="1207"/>
    </row>
    <row r="6121" spans="3:17" s="700" customFormat="1" ht="70.5" hidden="1" customHeight="1">
      <c r="C6121" s="701"/>
      <c r="D6121" s="811"/>
      <c r="E6121" s="1276">
        <f>[11]building!Y6452</f>
        <v>0</v>
      </c>
      <c r="F6121" s="748">
        <f t="shared" si="334"/>
        <v>0</v>
      </c>
      <c r="G6121" s="1205"/>
      <c r="H6121" s="1055"/>
      <c r="I6121" s="1055"/>
      <c r="J6121" s="1055"/>
      <c r="K6121" s="1205"/>
      <c r="L6121" s="1055"/>
      <c r="M6121" s="1205"/>
      <c r="N6121" s="1054"/>
      <c r="O6121" s="1207"/>
      <c r="Q6121" s="1207"/>
    </row>
    <row r="6122" spans="3:17" s="700" customFormat="1" ht="70.5" hidden="1" customHeight="1">
      <c r="C6122" s="701"/>
      <c r="D6122" s="811"/>
      <c r="E6122" s="1276">
        <f>[11]building!Y6453</f>
        <v>0</v>
      </c>
      <c r="F6122" s="748">
        <f t="shared" si="334"/>
        <v>0</v>
      </c>
      <c r="G6122" s="1205"/>
      <c r="H6122" s="1055"/>
      <c r="I6122" s="1055"/>
      <c r="J6122" s="1055"/>
      <c r="K6122" s="1205"/>
      <c r="L6122" s="1055"/>
      <c r="M6122" s="1205"/>
      <c r="N6122" s="1054"/>
      <c r="O6122" s="1207"/>
      <c r="Q6122" s="1207"/>
    </row>
    <row r="6123" spans="3:17" s="700" customFormat="1" ht="70.5" hidden="1" customHeight="1">
      <c r="C6123" s="701"/>
      <c r="D6123" s="811"/>
      <c r="E6123" s="1276">
        <f>[11]building!Y6454</f>
        <v>0</v>
      </c>
      <c r="F6123" s="748">
        <f t="shared" si="334"/>
        <v>0</v>
      </c>
      <c r="G6123" s="1205"/>
      <c r="H6123" s="1055"/>
      <c r="I6123" s="1055"/>
      <c r="J6123" s="1055"/>
      <c r="K6123" s="1205"/>
      <c r="L6123" s="1055"/>
      <c r="M6123" s="1205"/>
      <c r="N6123" s="1054"/>
      <c r="O6123" s="1207"/>
      <c r="Q6123" s="1207"/>
    </row>
    <row r="6124" spans="3:17" s="700" customFormat="1" ht="70.5" hidden="1" customHeight="1">
      <c r="C6124" s="701"/>
      <c r="D6124" s="811"/>
      <c r="E6124" s="1276">
        <f>[11]building!Y6455</f>
        <v>0</v>
      </c>
      <c r="F6124" s="748">
        <f t="shared" si="334"/>
        <v>0</v>
      </c>
      <c r="G6124" s="1205"/>
      <c r="H6124" s="1055"/>
      <c r="I6124" s="1055"/>
      <c r="J6124" s="1055"/>
      <c r="K6124" s="1205"/>
      <c r="L6124" s="1055"/>
      <c r="M6124" s="1205"/>
      <c r="N6124" s="1054"/>
      <c r="O6124" s="1207"/>
      <c r="Q6124" s="1207"/>
    </row>
    <row r="6125" spans="3:17" s="700" customFormat="1" ht="70.5" hidden="1" customHeight="1">
      <c r="C6125" s="701"/>
      <c r="D6125" s="811"/>
      <c r="E6125" s="1276">
        <f>[11]building!Y6456</f>
        <v>0</v>
      </c>
      <c r="F6125" s="748">
        <f t="shared" si="334"/>
        <v>0</v>
      </c>
      <c r="G6125" s="1205"/>
      <c r="H6125" s="1055"/>
      <c r="I6125" s="1055"/>
      <c r="J6125" s="1055"/>
      <c r="K6125" s="1205"/>
      <c r="L6125" s="1055"/>
      <c r="M6125" s="1205"/>
      <c r="N6125" s="1054"/>
      <c r="O6125" s="1207"/>
      <c r="Q6125" s="1207"/>
    </row>
    <row r="6126" spans="3:17" s="700" customFormat="1" ht="70.5" hidden="1" customHeight="1">
      <c r="C6126" s="701"/>
      <c r="D6126" s="811"/>
      <c r="E6126" s="1276">
        <f>[11]building!Y6457</f>
        <v>0</v>
      </c>
      <c r="F6126" s="748">
        <f t="shared" si="334"/>
        <v>0</v>
      </c>
      <c r="G6126" s="1205"/>
      <c r="H6126" s="1055"/>
      <c r="I6126" s="1055"/>
      <c r="J6126" s="1055"/>
      <c r="K6126" s="1205"/>
      <c r="L6126" s="1055"/>
      <c r="M6126" s="1205"/>
      <c r="N6126" s="1054"/>
      <c r="O6126" s="1207"/>
      <c r="Q6126" s="1207"/>
    </row>
    <row r="6127" spans="3:17" s="700" customFormat="1" ht="70.5" hidden="1" customHeight="1">
      <c r="C6127" s="701"/>
      <c r="D6127" s="811"/>
      <c r="E6127" s="1276">
        <f>[11]building!Y6458</f>
        <v>0</v>
      </c>
      <c r="F6127" s="748">
        <f t="shared" si="334"/>
        <v>0</v>
      </c>
      <c r="G6127" s="1205"/>
      <c r="H6127" s="1055"/>
      <c r="I6127" s="1055"/>
      <c r="J6127" s="1055"/>
      <c r="K6127" s="1205"/>
      <c r="L6127" s="1055"/>
      <c r="M6127" s="1205"/>
      <c r="N6127" s="1054"/>
      <c r="O6127" s="1207"/>
      <c r="Q6127" s="1207"/>
    </row>
    <row r="6128" spans="3:17" s="700" customFormat="1" ht="70.5" hidden="1" customHeight="1">
      <c r="C6128" s="701"/>
      <c r="D6128" s="811"/>
      <c r="E6128" s="1276">
        <f>[11]building!Y6459</f>
        <v>0</v>
      </c>
      <c r="F6128" s="748">
        <f t="shared" si="334"/>
        <v>0</v>
      </c>
      <c r="G6128" s="1205"/>
      <c r="H6128" s="1055"/>
      <c r="I6128" s="1055"/>
      <c r="J6128" s="1055"/>
      <c r="K6128" s="1205"/>
      <c r="L6128" s="1055"/>
      <c r="M6128" s="1205"/>
      <c r="N6128" s="1054"/>
      <c r="O6128" s="1207"/>
      <c r="Q6128" s="1207"/>
    </row>
    <row r="6129" spans="3:17" s="700" customFormat="1" ht="70.5" hidden="1" customHeight="1">
      <c r="C6129" s="701"/>
      <c r="D6129" s="811"/>
      <c r="E6129" s="1276">
        <f>[11]building!Y6460</f>
        <v>0</v>
      </c>
      <c r="F6129" s="748">
        <f t="shared" si="334"/>
        <v>0</v>
      </c>
      <c r="G6129" s="1205"/>
      <c r="H6129" s="1055"/>
      <c r="I6129" s="1055"/>
      <c r="J6129" s="1055"/>
      <c r="K6129" s="1205"/>
      <c r="L6129" s="1055"/>
      <c r="M6129" s="1205"/>
      <c r="N6129" s="1054"/>
      <c r="O6129" s="1207"/>
      <c r="Q6129" s="1207"/>
    </row>
    <row r="6130" spans="3:17" s="700" customFormat="1" ht="70.5" hidden="1" customHeight="1">
      <c r="C6130" s="701"/>
      <c r="D6130" s="811"/>
      <c r="E6130" s="1276">
        <f>[11]building!Y6461</f>
        <v>0</v>
      </c>
      <c r="F6130" s="748">
        <f t="shared" si="334"/>
        <v>0</v>
      </c>
      <c r="G6130" s="1205"/>
      <c r="H6130" s="1055"/>
      <c r="I6130" s="1055"/>
      <c r="J6130" s="1055"/>
      <c r="K6130" s="1205"/>
      <c r="L6130" s="1055"/>
      <c r="M6130" s="1205"/>
      <c r="N6130" s="1054"/>
      <c r="O6130" s="1207"/>
      <c r="Q6130" s="1207"/>
    </row>
    <row r="6131" spans="3:17" s="700" customFormat="1" ht="70.5" hidden="1" customHeight="1">
      <c r="C6131" s="701"/>
      <c r="D6131" s="811"/>
      <c r="E6131" s="1276">
        <f>[11]building!Y6462</f>
        <v>0</v>
      </c>
      <c r="F6131" s="748">
        <f t="shared" si="334"/>
        <v>0</v>
      </c>
      <c r="G6131" s="1205"/>
      <c r="H6131" s="1055"/>
      <c r="I6131" s="1055"/>
      <c r="J6131" s="1055"/>
      <c r="K6131" s="1205"/>
      <c r="L6131" s="1055"/>
      <c r="M6131" s="1205"/>
      <c r="N6131" s="1054"/>
      <c r="O6131" s="1207"/>
      <c r="Q6131" s="1207"/>
    </row>
    <row r="6132" spans="3:17" s="700" customFormat="1" ht="70.5" hidden="1" customHeight="1">
      <c r="C6132" s="701"/>
      <c r="D6132" s="811"/>
      <c r="E6132" s="1276">
        <f>[11]building!Y6463</f>
        <v>0</v>
      </c>
      <c r="F6132" s="748">
        <f t="shared" si="334"/>
        <v>0</v>
      </c>
      <c r="G6132" s="1205"/>
      <c r="H6132" s="1055"/>
      <c r="I6132" s="1055"/>
      <c r="J6132" s="1055"/>
      <c r="K6132" s="1205"/>
      <c r="L6132" s="1055"/>
      <c r="M6132" s="1205"/>
      <c r="N6132" s="1054"/>
      <c r="O6132" s="1207"/>
      <c r="Q6132" s="1207"/>
    </row>
    <row r="6133" spans="3:17" s="700" customFormat="1" ht="70.5" hidden="1" customHeight="1">
      <c r="C6133" s="701"/>
      <c r="D6133" s="811"/>
      <c r="E6133" s="1276">
        <f>[11]building!Y6464</f>
        <v>0</v>
      </c>
      <c r="F6133" s="748">
        <f t="shared" si="334"/>
        <v>0</v>
      </c>
      <c r="G6133" s="1205"/>
      <c r="H6133" s="1055"/>
      <c r="I6133" s="1055"/>
      <c r="J6133" s="1055"/>
      <c r="K6133" s="1205"/>
      <c r="L6133" s="1055"/>
      <c r="M6133" s="1205"/>
      <c r="N6133" s="1054"/>
      <c r="O6133" s="1207"/>
      <c r="Q6133" s="1207"/>
    </row>
    <row r="6134" spans="3:17" s="700" customFormat="1" ht="70.5" hidden="1" customHeight="1">
      <c r="C6134" s="701"/>
      <c r="D6134" s="811"/>
      <c r="E6134" s="1276">
        <f>[11]building!Y6465</f>
        <v>0</v>
      </c>
      <c r="F6134" s="748">
        <f t="shared" si="334"/>
        <v>0</v>
      </c>
      <c r="G6134" s="1205"/>
      <c r="H6134" s="1055"/>
      <c r="I6134" s="1055"/>
      <c r="J6134" s="1055"/>
      <c r="K6134" s="1205"/>
      <c r="L6134" s="1055"/>
      <c r="M6134" s="1205"/>
      <c r="N6134" s="1054"/>
      <c r="O6134" s="1207"/>
      <c r="Q6134" s="1207"/>
    </row>
    <row r="6135" spans="3:17" s="700" customFormat="1" ht="70.5" hidden="1" customHeight="1">
      <c r="C6135" s="701"/>
      <c r="D6135" s="811"/>
      <c r="E6135" s="1276">
        <f>[11]building!Y6466</f>
        <v>0</v>
      </c>
      <c r="F6135" s="748">
        <f t="shared" si="334"/>
        <v>0</v>
      </c>
      <c r="G6135" s="1205"/>
      <c r="H6135" s="1055"/>
      <c r="I6135" s="1055"/>
      <c r="J6135" s="1055"/>
      <c r="K6135" s="1205"/>
      <c r="L6135" s="1055"/>
      <c r="M6135" s="1205"/>
      <c r="N6135" s="1054"/>
      <c r="O6135" s="1207"/>
      <c r="Q6135" s="1207"/>
    </row>
    <row r="6136" spans="3:17" s="700" customFormat="1" ht="70.5" hidden="1" customHeight="1">
      <c r="C6136" s="701"/>
      <c r="D6136" s="811"/>
      <c r="E6136" s="1276">
        <f>[11]building!Y6467</f>
        <v>0</v>
      </c>
      <c r="F6136" s="748">
        <f t="shared" si="334"/>
        <v>0</v>
      </c>
      <c r="G6136" s="1205"/>
      <c r="H6136" s="1055"/>
      <c r="I6136" s="1055"/>
      <c r="J6136" s="1055"/>
      <c r="K6136" s="1205"/>
      <c r="L6136" s="1055"/>
      <c r="M6136" s="1205"/>
      <c r="N6136" s="1054"/>
      <c r="O6136" s="1207"/>
      <c r="Q6136" s="1207"/>
    </row>
    <row r="6137" spans="3:17" s="700" customFormat="1" ht="70.5" hidden="1" customHeight="1">
      <c r="C6137" s="701"/>
      <c r="D6137" s="811"/>
      <c r="E6137" s="1276">
        <f>[11]building!Y6468</f>
        <v>0</v>
      </c>
      <c r="F6137" s="748">
        <f t="shared" si="334"/>
        <v>0</v>
      </c>
      <c r="G6137" s="1205"/>
      <c r="H6137" s="1055"/>
      <c r="I6137" s="1055"/>
      <c r="J6137" s="1055"/>
      <c r="K6137" s="1205"/>
      <c r="L6137" s="1055"/>
      <c r="M6137" s="1205"/>
      <c r="N6137" s="1054"/>
      <c r="O6137" s="1207"/>
      <c r="Q6137" s="1207"/>
    </row>
    <row r="6138" spans="3:17" s="700" customFormat="1" ht="70.5" hidden="1" customHeight="1">
      <c r="C6138" s="701"/>
      <c r="D6138" s="811"/>
      <c r="E6138" s="1276">
        <f>[11]building!Y6469</f>
        <v>0</v>
      </c>
      <c r="F6138" s="748">
        <f t="shared" si="334"/>
        <v>0</v>
      </c>
      <c r="G6138" s="1205"/>
      <c r="H6138" s="1055"/>
      <c r="I6138" s="1055"/>
      <c r="J6138" s="1055"/>
      <c r="K6138" s="1205"/>
      <c r="L6138" s="1055"/>
      <c r="M6138" s="1205"/>
      <c r="N6138" s="1054"/>
      <c r="O6138" s="1207"/>
      <c r="Q6138" s="1207"/>
    </row>
    <row r="6139" spans="3:17" s="700" customFormat="1" ht="70.5" hidden="1" customHeight="1">
      <c r="C6139" s="701"/>
      <c r="D6139" s="811"/>
      <c r="E6139" s="1276">
        <f>[11]building!Y6470</f>
        <v>0</v>
      </c>
      <c r="F6139" s="748">
        <f t="shared" si="334"/>
        <v>0</v>
      </c>
      <c r="G6139" s="1205"/>
      <c r="H6139" s="1055"/>
      <c r="I6139" s="1055"/>
      <c r="J6139" s="1055"/>
      <c r="K6139" s="1205"/>
      <c r="L6139" s="1055"/>
      <c r="M6139" s="1205"/>
      <c r="N6139" s="1054"/>
      <c r="O6139" s="1207"/>
      <c r="Q6139" s="1207"/>
    </row>
    <row r="6140" spans="3:17" s="700" customFormat="1" ht="70.5" hidden="1" customHeight="1">
      <c r="C6140" s="701"/>
      <c r="D6140" s="811"/>
      <c r="E6140" s="1276">
        <f>[11]building!Y6471</f>
        <v>0</v>
      </c>
      <c r="F6140" s="748">
        <f t="shared" si="334"/>
        <v>0</v>
      </c>
      <c r="G6140" s="1205"/>
      <c r="H6140" s="1055"/>
      <c r="I6140" s="1055"/>
      <c r="J6140" s="1055"/>
      <c r="K6140" s="1205"/>
      <c r="L6140" s="1055"/>
      <c r="M6140" s="1205"/>
      <c r="N6140" s="1054"/>
      <c r="O6140" s="1207"/>
      <c r="Q6140" s="1207"/>
    </row>
    <row r="6141" spans="3:17" s="700" customFormat="1" ht="70.5" hidden="1" customHeight="1">
      <c r="C6141" s="701"/>
      <c r="D6141" s="811"/>
      <c r="E6141" s="1276">
        <f>[11]building!Y6472</f>
        <v>0</v>
      </c>
      <c r="F6141" s="748">
        <f t="shared" si="334"/>
        <v>0</v>
      </c>
      <c r="G6141" s="1205"/>
      <c r="H6141" s="1055"/>
      <c r="I6141" s="1055"/>
      <c r="J6141" s="1055"/>
      <c r="K6141" s="1205"/>
      <c r="L6141" s="1055"/>
      <c r="M6141" s="1205"/>
      <c r="N6141" s="1054"/>
      <c r="O6141" s="1207"/>
      <c r="Q6141" s="1207"/>
    </row>
    <row r="6142" spans="3:17" s="700" customFormat="1" ht="70.5" hidden="1" customHeight="1">
      <c r="C6142" s="701"/>
      <c r="D6142" s="811"/>
      <c r="E6142" s="1276">
        <f>[11]building!Y6473</f>
        <v>0</v>
      </c>
      <c r="F6142" s="748">
        <f t="shared" si="334"/>
        <v>0</v>
      </c>
      <c r="G6142" s="1205"/>
      <c r="H6142" s="1055"/>
      <c r="I6142" s="1055"/>
      <c r="J6142" s="1055"/>
      <c r="K6142" s="1205"/>
      <c r="L6142" s="1055"/>
      <c r="M6142" s="1205"/>
      <c r="N6142" s="1054"/>
      <c r="O6142" s="1207"/>
      <c r="Q6142" s="1207"/>
    </row>
    <row r="6143" spans="3:17" s="700" customFormat="1" ht="70.5" hidden="1" customHeight="1">
      <c r="C6143" s="701"/>
      <c r="D6143" s="811"/>
      <c r="E6143" s="1276">
        <f>[11]building!Y6474</f>
        <v>0</v>
      </c>
      <c r="F6143" s="748">
        <f t="shared" si="334"/>
        <v>0</v>
      </c>
      <c r="G6143" s="1205"/>
      <c r="H6143" s="1055"/>
      <c r="I6143" s="1055"/>
      <c r="J6143" s="1055"/>
      <c r="K6143" s="1205"/>
      <c r="L6143" s="1055"/>
      <c r="M6143" s="1205"/>
      <c r="N6143" s="1054"/>
      <c r="O6143" s="1207"/>
      <c r="Q6143" s="1207"/>
    </row>
    <row r="6144" spans="3:17" s="700" customFormat="1" ht="70.5" hidden="1" customHeight="1">
      <c r="C6144" s="701"/>
      <c r="D6144" s="811"/>
      <c r="E6144" s="1276">
        <f>[11]building!Y6475</f>
        <v>0</v>
      </c>
      <c r="F6144" s="748">
        <f t="shared" ref="F6144:F6207" si="335">E6144*C6144</f>
        <v>0</v>
      </c>
      <c r="G6144" s="1205"/>
      <c r="H6144" s="1055"/>
      <c r="I6144" s="1055"/>
      <c r="J6144" s="1055"/>
      <c r="K6144" s="1205"/>
      <c r="L6144" s="1055"/>
      <c r="M6144" s="1205"/>
      <c r="N6144" s="1054"/>
      <c r="O6144" s="1207"/>
      <c r="Q6144" s="1207"/>
    </row>
    <row r="6145" spans="3:17" s="700" customFormat="1" ht="70.5" hidden="1" customHeight="1">
      <c r="C6145" s="701"/>
      <c r="D6145" s="811"/>
      <c r="E6145" s="1276">
        <f>[11]building!Y6476</f>
        <v>0</v>
      </c>
      <c r="F6145" s="748">
        <f t="shared" si="335"/>
        <v>0</v>
      </c>
      <c r="G6145" s="1205"/>
      <c r="H6145" s="1055"/>
      <c r="I6145" s="1055"/>
      <c r="J6145" s="1055"/>
      <c r="K6145" s="1205"/>
      <c r="L6145" s="1055"/>
      <c r="M6145" s="1205"/>
      <c r="N6145" s="1054"/>
      <c r="O6145" s="1207"/>
      <c r="Q6145" s="1207"/>
    </row>
    <row r="6146" spans="3:17" s="700" customFormat="1" ht="70.5" hidden="1" customHeight="1">
      <c r="C6146" s="701"/>
      <c r="D6146" s="811"/>
      <c r="E6146" s="1276">
        <f>[11]building!Y6477</f>
        <v>0</v>
      </c>
      <c r="F6146" s="748">
        <f t="shared" si="335"/>
        <v>0</v>
      </c>
      <c r="G6146" s="1205"/>
      <c r="H6146" s="1055"/>
      <c r="I6146" s="1055"/>
      <c r="J6146" s="1055"/>
      <c r="K6146" s="1205"/>
      <c r="L6146" s="1055"/>
      <c r="M6146" s="1205"/>
      <c r="N6146" s="1054"/>
      <c r="O6146" s="1207"/>
      <c r="Q6146" s="1207"/>
    </row>
    <row r="6147" spans="3:17" s="700" customFormat="1" ht="70.5" hidden="1" customHeight="1">
      <c r="C6147" s="701"/>
      <c r="D6147" s="811"/>
      <c r="E6147" s="1276">
        <f>[11]building!Y6478</f>
        <v>0</v>
      </c>
      <c r="F6147" s="748">
        <f t="shared" si="335"/>
        <v>0</v>
      </c>
      <c r="G6147" s="1205"/>
      <c r="H6147" s="1055"/>
      <c r="I6147" s="1055"/>
      <c r="J6147" s="1055"/>
      <c r="K6147" s="1205"/>
      <c r="L6147" s="1055"/>
      <c r="M6147" s="1205"/>
      <c r="N6147" s="1054"/>
      <c r="O6147" s="1207"/>
      <c r="Q6147" s="1207"/>
    </row>
    <row r="6148" spans="3:17" s="700" customFormat="1" ht="70.5" hidden="1" customHeight="1">
      <c r="C6148" s="701"/>
      <c r="D6148" s="811"/>
      <c r="E6148" s="1276">
        <f>[11]building!Y6479</f>
        <v>0</v>
      </c>
      <c r="F6148" s="748">
        <f t="shared" si="335"/>
        <v>0</v>
      </c>
      <c r="G6148" s="1205"/>
      <c r="H6148" s="1055"/>
      <c r="I6148" s="1055"/>
      <c r="J6148" s="1055"/>
      <c r="K6148" s="1205"/>
      <c r="L6148" s="1055"/>
      <c r="M6148" s="1205"/>
      <c r="N6148" s="1054"/>
      <c r="O6148" s="1207"/>
      <c r="Q6148" s="1207"/>
    </row>
    <row r="6149" spans="3:17" s="700" customFormat="1" ht="70.5" hidden="1" customHeight="1">
      <c r="C6149" s="701"/>
      <c r="D6149" s="811"/>
      <c r="E6149" s="1276">
        <f>[11]building!Y6480</f>
        <v>0</v>
      </c>
      <c r="F6149" s="748">
        <f t="shared" si="335"/>
        <v>0</v>
      </c>
      <c r="G6149" s="1205"/>
      <c r="H6149" s="1055"/>
      <c r="I6149" s="1055"/>
      <c r="J6149" s="1055"/>
      <c r="K6149" s="1205"/>
      <c r="L6149" s="1055"/>
      <c r="M6149" s="1205"/>
      <c r="N6149" s="1054"/>
      <c r="O6149" s="1207"/>
      <c r="Q6149" s="1207"/>
    </row>
    <row r="6150" spans="3:17" s="700" customFormat="1" ht="70.5" hidden="1" customHeight="1">
      <c r="C6150" s="701"/>
      <c r="D6150" s="811"/>
      <c r="E6150" s="1276">
        <f>[11]building!Y6481</f>
        <v>0</v>
      </c>
      <c r="F6150" s="748">
        <f t="shared" si="335"/>
        <v>0</v>
      </c>
      <c r="G6150" s="1205"/>
      <c r="H6150" s="1055"/>
      <c r="I6150" s="1055"/>
      <c r="J6150" s="1055"/>
      <c r="K6150" s="1205"/>
      <c r="L6150" s="1055"/>
      <c r="M6150" s="1205"/>
      <c r="N6150" s="1054"/>
      <c r="O6150" s="1207"/>
      <c r="Q6150" s="1207"/>
    </row>
    <row r="6151" spans="3:17" s="700" customFormat="1" ht="70.5" hidden="1" customHeight="1">
      <c r="C6151" s="701"/>
      <c r="D6151" s="811"/>
      <c r="E6151" s="1276">
        <f>[11]building!Y6482</f>
        <v>0</v>
      </c>
      <c r="F6151" s="748">
        <f t="shared" si="335"/>
        <v>0</v>
      </c>
      <c r="G6151" s="1205"/>
      <c r="H6151" s="1055"/>
      <c r="I6151" s="1055"/>
      <c r="J6151" s="1055"/>
      <c r="K6151" s="1205"/>
      <c r="L6151" s="1055"/>
      <c r="M6151" s="1205"/>
      <c r="N6151" s="1054"/>
      <c r="O6151" s="1207"/>
      <c r="Q6151" s="1207"/>
    </row>
    <row r="6152" spans="3:17" s="700" customFormat="1" ht="70.5" hidden="1" customHeight="1">
      <c r="C6152" s="701"/>
      <c r="D6152" s="811"/>
      <c r="E6152" s="1276">
        <f>[11]building!Y6483</f>
        <v>0</v>
      </c>
      <c r="F6152" s="748">
        <f t="shared" si="335"/>
        <v>0</v>
      </c>
      <c r="G6152" s="1205"/>
      <c r="H6152" s="1055"/>
      <c r="I6152" s="1055"/>
      <c r="J6152" s="1055"/>
      <c r="K6152" s="1205"/>
      <c r="L6152" s="1055"/>
      <c r="M6152" s="1205"/>
      <c r="N6152" s="1054"/>
      <c r="O6152" s="1207"/>
      <c r="Q6152" s="1207"/>
    </row>
    <row r="6153" spans="3:17" s="700" customFormat="1" ht="70.5" hidden="1" customHeight="1">
      <c r="C6153" s="701"/>
      <c r="D6153" s="811"/>
      <c r="E6153" s="1276">
        <f>[11]building!Y6484</f>
        <v>0</v>
      </c>
      <c r="F6153" s="748">
        <f t="shared" si="335"/>
        <v>0</v>
      </c>
      <c r="G6153" s="1205"/>
      <c r="H6153" s="1055"/>
      <c r="I6153" s="1055"/>
      <c r="J6153" s="1055"/>
      <c r="K6153" s="1205"/>
      <c r="L6153" s="1055"/>
      <c r="M6153" s="1205"/>
      <c r="N6153" s="1054"/>
      <c r="O6153" s="1207"/>
      <c r="Q6153" s="1207"/>
    </row>
    <row r="6154" spans="3:17" s="700" customFormat="1" ht="70.5" hidden="1" customHeight="1">
      <c r="C6154" s="701"/>
      <c r="D6154" s="811"/>
      <c r="E6154" s="1276">
        <f>[11]building!Y6485</f>
        <v>0</v>
      </c>
      <c r="F6154" s="748">
        <f t="shared" si="335"/>
        <v>0</v>
      </c>
      <c r="G6154" s="1205"/>
      <c r="H6154" s="1055"/>
      <c r="I6154" s="1055"/>
      <c r="J6154" s="1055"/>
      <c r="K6154" s="1205"/>
      <c r="L6154" s="1055"/>
      <c r="M6154" s="1205"/>
      <c r="N6154" s="1054"/>
      <c r="O6154" s="1207"/>
      <c r="Q6154" s="1207"/>
    </row>
    <row r="6155" spans="3:17" s="700" customFormat="1" ht="70.5" hidden="1" customHeight="1">
      <c r="C6155" s="701"/>
      <c r="D6155" s="811"/>
      <c r="E6155" s="1276">
        <f>[11]building!Y6486</f>
        <v>0</v>
      </c>
      <c r="F6155" s="748">
        <f t="shared" si="335"/>
        <v>0</v>
      </c>
      <c r="G6155" s="1205"/>
      <c r="H6155" s="1055"/>
      <c r="I6155" s="1055"/>
      <c r="J6155" s="1055"/>
      <c r="K6155" s="1205"/>
      <c r="L6155" s="1055"/>
      <c r="M6155" s="1205"/>
      <c r="N6155" s="1054"/>
      <c r="O6155" s="1207"/>
      <c r="Q6155" s="1207"/>
    </row>
    <row r="6156" spans="3:17" s="700" customFormat="1" ht="70.5" hidden="1" customHeight="1">
      <c r="C6156" s="701"/>
      <c r="D6156" s="811"/>
      <c r="E6156" s="1276">
        <f>[11]building!Y6487</f>
        <v>0</v>
      </c>
      <c r="F6156" s="748">
        <f t="shared" si="335"/>
        <v>0</v>
      </c>
      <c r="G6156" s="1205"/>
      <c r="H6156" s="1055"/>
      <c r="I6156" s="1055"/>
      <c r="J6156" s="1055"/>
      <c r="K6156" s="1205"/>
      <c r="L6156" s="1055"/>
      <c r="M6156" s="1205"/>
      <c r="N6156" s="1054"/>
      <c r="O6156" s="1207"/>
      <c r="Q6156" s="1207"/>
    </row>
    <row r="6157" spans="3:17" s="700" customFormat="1" ht="70.5" hidden="1" customHeight="1">
      <c r="C6157" s="701"/>
      <c r="D6157" s="811"/>
      <c r="E6157" s="1276">
        <f>[11]building!Y6488</f>
        <v>0</v>
      </c>
      <c r="F6157" s="748">
        <f t="shared" si="335"/>
        <v>0</v>
      </c>
      <c r="G6157" s="1205"/>
      <c r="H6157" s="1055"/>
      <c r="I6157" s="1055"/>
      <c r="J6157" s="1055"/>
      <c r="K6157" s="1205"/>
      <c r="L6157" s="1055"/>
      <c r="M6157" s="1205"/>
      <c r="N6157" s="1054"/>
      <c r="O6157" s="1207"/>
      <c r="Q6157" s="1207"/>
    </row>
    <row r="6158" spans="3:17" s="700" customFormat="1" ht="70.5" hidden="1" customHeight="1">
      <c r="C6158" s="701"/>
      <c r="D6158" s="811"/>
      <c r="E6158" s="1276">
        <f>[11]building!Y6489</f>
        <v>0</v>
      </c>
      <c r="F6158" s="748">
        <f t="shared" si="335"/>
        <v>0</v>
      </c>
      <c r="G6158" s="1205"/>
      <c r="H6158" s="1055"/>
      <c r="I6158" s="1055"/>
      <c r="J6158" s="1055"/>
      <c r="K6158" s="1205"/>
      <c r="L6158" s="1055"/>
      <c r="M6158" s="1205"/>
      <c r="N6158" s="1054"/>
      <c r="O6158" s="1207"/>
      <c r="Q6158" s="1207"/>
    </row>
    <row r="6159" spans="3:17" s="700" customFormat="1" ht="70.5" hidden="1" customHeight="1">
      <c r="C6159" s="701"/>
      <c r="D6159" s="811"/>
      <c r="E6159" s="1276">
        <f>[11]building!Y6490</f>
        <v>0</v>
      </c>
      <c r="F6159" s="748">
        <f t="shared" si="335"/>
        <v>0</v>
      </c>
      <c r="G6159" s="1205"/>
      <c r="H6159" s="1055"/>
      <c r="I6159" s="1055"/>
      <c r="J6159" s="1055"/>
      <c r="K6159" s="1205"/>
      <c r="L6159" s="1055"/>
      <c r="M6159" s="1205"/>
      <c r="N6159" s="1054"/>
      <c r="O6159" s="1207"/>
      <c r="Q6159" s="1207"/>
    </row>
    <row r="6160" spans="3:17" s="700" customFormat="1" ht="70.5" hidden="1" customHeight="1">
      <c r="C6160" s="701"/>
      <c r="D6160" s="811"/>
      <c r="E6160" s="1276">
        <f>[11]building!Y6491</f>
        <v>0</v>
      </c>
      <c r="F6160" s="748">
        <f t="shared" si="335"/>
        <v>0</v>
      </c>
      <c r="G6160" s="1205"/>
      <c r="H6160" s="1055"/>
      <c r="I6160" s="1055"/>
      <c r="J6160" s="1055"/>
      <c r="K6160" s="1205"/>
      <c r="L6160" s="1055"/>
      <c r="M6160" s="1205"/>
      <c r="N6160" s="1054"/>
      <c r="O6160" s="1207"/>
      <c r="Q6160" s="1207"/>
    </row>
    <row r="6161" spans="3:17" s="700" customFormat="1" ht="70.5" hidden="1" customHeight="1">
      <c r="C6161" s="701"/>
      <c r="D6161" s="811"/>
      <c r="E6161" s="1276">
        <f>[11]building!Y6492</f>
        <v>0</v>
      </c>
      <c r="F6161" s="748">
        <f t="shared" si="335"/>
        <v>0</v>
      </c>
      <c r="G6161" s="1205"/>
      <c r="H6161" s="1055"/>
      <c r="I6161" s="1055"/>
      <c r="J6161" s="1055"/>
      <c r="K6161" s="1205"/>
      <c r="L6161" s="1055"/>
      <c r="M6161" s="1205"/>
      <c r="N6161" s="1054"/>
      <c r="O6161" s="1207"/>
      <c r="Q6161" s="1207"/>
    </row>
    <row r="6162" spans="3:17" s="700" customFormat="1" ht="70.5" hidden="1" customHeight="1">
      <c r="C6162" s="701"/>
      <c r="D6162" s="811"/>
      <c r="E6162" s="1276">
        <f>[11]building!Y6493</f>
        <v>0</v>
      </c>
      <c r="F6162" s="748">
        <f t="shared" si="335"/>
        <v>0</v>
      </c>
      <c r="G6162" s="1205"/>
      <c r="H6162" s="1055"/>
      <c r="I6162" s="1055"/>
      <c r="J6162" s="1055"/>
      <c r="K6162" s="1205"/>
      <c r="L6162" s="1055"/>
      <c r="M6162" s="1205"/>
      <c r="N6162" s="1054"/>
      <c r="O6162" s="1207"/>
      <c r="Q6162" s="1207"/>
    </row>
    <row r="6163" spans="3:17" s="700" customFormat="1" ht="70.5" hidden="1" customHeight="1">
      <c r="C6163" s="701"/>
      <c r="D6163" s="811"/>
      <c r="E6163" s="1276">
        <f>[11]building!Y6494</f>
        <v>0</v>
      </c>
      <c r="F6163" s="748">
        <f t="shared" si="335"/>
        <v>0</v>
      </c>
      <c r="G6163" s="1205"/>
      <c r="H6163" s="1055"/>
      <c r="I6163" s="1055"/>
      <c r="J6163" s="1055"/>
      <c r="K6163" s="1205"/>
      <c r="L6163" s="1055"/>
      <c r="M6163" s="1205"/>
      <c r="N6163" s="1054"/>
      <c r="O6163" s="1207"/>
      <c r="Q6163" s="1207"/>
    </row>
    <row r="6164" spans="3:17" s="700" customFormat="1" ht="70.5" hidden="1" customHeight="1">
      <c r="C6164" s="701"/>
      <c r="D6164" s="811"/>
      <c r="E6164" s="1276">
        <f>[11]building!Y6495</f>
        <v>0</v>
      </c>
      <c r="F6164" s="748">
        <f t="shared" si="335"/>
        <v>0</v>
      </c>
      <c r="G6164" s="1205"/>
      <c r="H6164" s="1055"/>
      <c r="I6164" s="1055"/>
      <c r="J6164" s="1055"/>
      <c r="K6164" s="1205"/>
      <c r="L6164" s="1055"/>
      <c r="M6164" s="1205"/>
      <c r="N6164" s="1054"/>
      <c r="O6164" s="1207"/>
      <c r="Q6164" s="1207"/>
    </row>
    <row r="6165" spans="3:17" s="700" customFormat="1" ht="70.5" hidden="1" customHeight="1">
      <c r="C6165" s="701"/>
      <c r="D6165" s="811"/>
      <c r="E6165" s="1276">
        <f>[11]building!Y6496</f>
        <v>0</v>
      </c>
      <c r="F6165" s="748">
        <f t="shared" si="335"/>
        <v>0</v>
      </c>
      <c r="G6165" s="1205"/>
      <c r="H6165" s="1055"/>
      <c r="I6165" s="1055"/>
      <c r="J6165" s="1055"/>
      <c r="K6165" s="1205"/>
      <c r="L6165" s="1055"/>
      <c r="M6165" s="1205"/>
      <c r="N6165" s="1054"/>
      <c r="O6165" s="1207"/>
      <c r="Q6165" s="1207"/>
    </row>
    <row r="6166" spans="3:17" s="700" customFormat="1" ht="70.5" hidden="1" customHeight="1">
      <c r="C6166" s="701"/>
      <c r="D6166" s="811"/>
      <c r="E6166" s="1276">
        <f>[11]building!Y6497</f>
        <v>0</v>
      </c>
      <c r="F6166" s="748">
        <f t="shared" si="335"/>
        <v>0</v>
      </c>
      <c r="G6166" s="1205"/>
      <c r="H6166" s="1055"/>
      <c r="I6166" s="1055"/>
      <c r="J6166" s="1055"/>
      <c r="K6166" s="1205"/>
      <c r="L6166" s="1055"/>
      <c r="M6166" s="1205"/>
      <c r="N6166" s="1054"/>
      <c r="O6166" s="1207"/>
      <c r="Q6166" s="1207"/>
    </row>
    <row r="6167" spans="3:17" s="700" customFormat="1" ht="70.5" hidden="1" customHeight="1">
      <c r="C6167" s="701"/>
      <c r="D6167" s="811"/>
      <c r="E6167" s="1276">
        <f>[11]building!Y6498</f>
        <v>0</v>
      </c>
      <c r="F6167" s="748">
        <f t="shared" si="335"/>
        <v>0</v>
      </c>
      <c r="G6167" s="1205"/>
      <c r="H6167" s="1055"/>
      <c r="I6167" s="1055"/>
      <c r="J6167" s="1055"/>
      <c r="K6167" s="1205"/>
      <c r="L6167" s="1055"/>
      <c r="M6167" s="1205"/>
      <c r="N6167" s="1054"/>
      <c r="O6167" s="1207"/>
      <c r="Q6167" s="1207"/>
    </row>
    <row r="6168" spans="3:17" s="700" customFormat="1" ht="70.5" hidden="1" customHeight="1">
      <c r="C6168" s="701"/>
      <c r="D6168" s="811"/>
      <c r="E6168" s="1276">
        <f>[11]building!Y6499</f>
        <v>0</v>
      </c>
      <c r="F6168" s="748">
        <f t="shared" si="335"/>
        <v>0</v>
      </c>
      <c r="G6168" s="1205"/>
      <c r="H6168" s="1055"/>
      <c r="I6168" s="1055"/>
      <c r="J6168" s="1055"/>
      <c r="K6168" s="1205"/>
      <c r="L6168" s="1055"/>
      <c r="M6168" s="1205"/>
      <c r="N6168" s="1054"/>
      <c r="O6168" s="1207"/>
      <c r="Q6168" s="1207"/>
    </row>
    <row r="6169" spans="3:17" s="700" customFormat="1" ht="70.5" hidden="1" customHeight="1">
      <c r="C6169" s="701"/>
      <c r="D6169" s="811"/>
      <c r="E6169" s="1276">
        <f>[11]building!Y6500</f>
        <v>0</v>
      </c>
      <c r="F6169" s="748">
        <f t="shared" si="335"/>
        <v>0</v>
      </c>
      <c r="G6169" s="1205"/>
      <c r="H6169" s="1055"/>
      <c r="I6169" s="1055"/>
      <c r="J6169" s="1055"/>
      <c r="K6169" s="1205"/>
      <c r="L6169" s="1055"/>
      <c r="M6169" s="1205"/>
      <c r="N6169" s="1054"/>
      <c r="O6169" s="1207"/>
      <c r="Q6169" s="1207"/>
    </row>
    <row r="6170" spans="3:17" s="700" customFormat="1" ht="70.5" hidden="1" customHeight="1">
      <c r="C6170" s="701"/>
      <c r="D6170" s="811"/>
      <c r="E6170" s="1276">
        <f>[11]building!Y6501</f>
        <v>0</v>
      </c>
      <c r="F6170" s="748">
        <f t="shared" si="335"/>
        <v>0</v>
      </c>
      <c r="G6170" s="1205"/>
      <c r="H6170" s="1055"/>
      <c r="I6170" s="1055"/>
      <c r="J6170" s="1055"/>
      <c r="K6170" s="1205"/>
      <c r="L6170" s="1055"/>
      <c r="M6170" s="1205"/>
      <c r="N6170" s="1054"/>
      <c r="O6170" s="1207"/>
      <c r="Q6170" s="1207"/>
    </row>
    <row r="6171" spans="3:17" s="700" customFormat="1" ht="70.5" hidden="1" customHeight="1">
      <c r="C6171" s="701"/>
      <c r="D6171" s="811"/>
      <c r="E6171" s="1276">
        <f>[11]building!Y6502</f>
        <v>0</v>
      </c>
      <c r="F6171" s="748">
        <f t="shared" si="335"/>
        <v>0</v>
      </c>
      <c r="G6171" s="1205"/>
      <c r="H6171" s="1055"/>
      <c r="I6171" s="1055"/>
      <c r="J6171" s="1055"/>
      <c r="K6171" s="1205"/>
      <c r="L6171" s="1055"/>
      <c r="M6171" s="1205"/>
      <c r="N6171" s="1054"/>
      <c r="O6171" s="1207"/>
      <c r="Q6171" s="1207"/>
    </row>
    <row r="6172" spans="3:17" s="700" customFormat="1" ht="70.5" hidden="1" customHeight="1">
      <c r="C6172" s="701"/>
      <c r="D6172" s="811"/>
      <c r="E6172" s="1276">
        <f>[11]building!Y6503</f>
        <v>0</v>
      </c>
      <c r="F6172" s="748">
        <f t="shared" si="335"/>
        <v>0</v>
      </c>
      <c r="G6172" s="1205"/>
      <c r="H6172" s="1055"/>
      <c r="I6172" s="1055"/>
      <c r="J6172" s="1055"/>
      <c r="K6172" s="1205"/>
      <c r="L6172" s="1055"/>
      <c r="M6172" s="1205"/>
      <c r="N6172" s="1054"/>
      <c r="O6172" s="1207"/>
      <c r="Q6172" s="1207"/>
    </row>
    <row r="6173" spans="3:17" s="700" customFormat="1" ht="70.5" hidden="1" customHeight="1">
      <c r="C6173" s="701"/>
      <c r="D6173" s="811"/>
      <c r="E6173" s="1276">
        <f>[11]building!Y6504</f>
        <v>0</v>
      </c>
      <c r="F6173" s="748">
        <f t="shared" si="335"/>
        <v>0</v>
      </c>
      <c r="G6173" s="1205"/>
      <c r="H6173" s="1055"/>
      <c r="I6173" s="1055"/>
      <c r="J6173" s="1055"/>
      <c r="K6173" s="1205"/>
      <c r="L6173" s="1055"/>
      <c r="M6173" s="1205"/>
      <c r="N6173" s="1054"/>
      <c r="O6173" s="1207"/>
      <c r="Q6173" s="1207"/>
    </row>
    <row r="6174" spans="3:17" s="700" customFormat="1" ht="70.5" hidden="1" customHeight="1">
      <c r="C6174" s="701"/>
      <c r="D6174" s="811"/>
      <c r="E6174" s="1276">
        <f>[11]building!Y6505</f>
        <v>0</v>
      </c>
      <c r="F6174" s="748">
        <f t="shared" si="335"/>
        <v>0</v>
      </c>
      <c r="G6174" s="1205"/>
      <c r="H6174" s="1055"/>
      <c r="I6174" s="1055"/>
      <c r="J6174" s="1055"/>
      <c r="K6174" s="1205"/>
      <c r="L6174" s="1055"/>
      <c r="M6174" s="1205"/>
      <c r="N6174" s="1054"/>
      <c r="O6174" s="1207"/>
      <c r="Q6174" s="1207"/>
    </row>
    <row r="6175" spans="3:17" s="700" customFormat="1" ht="70.5" hidden="1" customHeight="1">
      <c r="C6175" s="701"/>
      <c r="D6175" s="811"/>
      <c r="E6175" s="1276">
        <f>[11]building!Y6506</f>
        <v>0</v>
      </c>
      <c r="F6175" s="748">
        <f t="shared" si="335"/>
        <v>0</v>
      </c>
      <c r="G6175" s="1205"/>
      <c r="H6175" s="1055"/>
      <c r="I6175" s="1055"/>
      <c r="J6175" s="1055"/>
      <c r="K6175" s="1205"/>
      <c r="L6175" s="1055"/>
      <c r="M6175" s="1205"/>
      <c r="N6175" s="1054"/>
      <c r="O6175" s="1207"/>
      <c r="Q6175" s="1207"/>
    </row>
    <row r="6176" spans="3:17" s="700" customFormat="1" ht="70.5" hidden="1" customHeight="1">
      <c r="C6176" s="701"/>
      <c r="D6176" s="811"/>
      <c r="E6176" s="1276">
        <f>[11]building!Y6507</f>
        <v>0</v>
      </c>
      <c r="F6176" s="748">
        <f t="shared" si="335"/>
        <v>0</v>
      </c>
      <c r="G6176" s="1205"/>
      <c r="H6176" s="1055"/>
      <c r="I6176" s="1055"/>
      <c r="J6176" s="1055"/>
      <c r="K6176" s="1205"/>
      <c r="L6176" s="1055"/>
      <c r="M6176" s="1205"/>
      <c r="N6176" s="1054"/>
      <c r="O6176" s="1207"/>
      <c r="Q6176" s="1207"/>
    </row>
    <row r="6177" spans="3:17" s="700" customFormat="1" ht="70.5" hidden="1" customHeight="1">
      <c r="C6177" s="701"/>
      <c r="D6177" s="811"/>
      <c r="E6177" s="1276">
        <f>[11]building!Y6508</f>
        <v>0</v>
      </c>
      <c r="F6177" s="748">
        <f t="shared" si="335"/>
        <v>0</v>
      </c>
      <c r="G6177" s="1205"/>
      <c r="H6177" s="1055"/>
      <c r="I6177" s="1055"/>
      <c r="J6177" s="1055"/>
      <c r="K6177" s="1205"/>
      <c r="L6177" s="1055"/>
      <c r="M6177" s="1205"/>
      <c r="N6177" s="1054"/>
      <c r="O6177" s="1207"/>
      <c r="Q6177" s="1207"/>
    </row>
    <row r="6178" spans="3:17" s="700" customFormat="1" ht="70.5" hidden="1" customHeight="1">
      <c r="C6178" s="701"/>
      <c r="D6178" s="811"/>
      <c r="E6178" s="1276">
        <f>[11]building!Y6509</f>
        <v>0</v>
      </c>
      <c r="F6178" s="748">
        <f t="shared" si="335"/>
        <v>0</v>
      </c>
      <c r="G6178" s="1205"/>
      <c r="H6178" s="1055"/>
      <c r="I6178" s="1055"/>
      <c r="J6178" s="1055"/>
      <c r="K6178" s="1205"/>
      <c r="L6178" s="1055"/>
      <c r="M6178" s="1205"/>
      <c r="N6178" s="1054"/>
      <c r="O6178" s="1207"/>
      <c r="Q6178" s="1207"/>
    </row>
    <row r="6179" spans="3:17" s="700" customFormat="1" ht="70.5" hidden="1" customHeight="1">
      <c r="C6179" s="701"/>
      <c r="D6179" s="811"/>
      <c r="E6179" s="1276">
        <f>[11]building!Y6510</f>
        <v>0</v>
      </c>
      <c r="F6179" s="748">
        <f t="shared" si="335"/>
        <v>0</v>
      </c>
      <c r="G6179" s="1205"/>
      <c r="H6179" s="1055"/>
      <c r="I6179" s="1055"/>
      <c r="J6179" s="1055"/>
      <c r="K6179" s="1205"/>
      <c r="L6179" s="1055"/>
      <c r="M6179" s="1205"/>
      <c r="N6179" s="1054"/>
      <c r="O6179" s="1207"/>
      <c r="Q6179" s="1207"/>
    </row>
    <row r="6180" spans="3:17" s="700" customFormat="1" ht="70.5" hidden="1" customHeight="1">
      <c r="C6180" s="701"/>
      <c r="D6180" s="811"/>
      <c r="E6180" s="1276">
        <f>[11]building!Y6511</f>
        <v>0</v>
      </c>
      <c r="F6180" s="748">
        <f t="shared" si="335"/>
        <v>0</v>
      </c>
      <c r="G6180" s="1205"/>
      <c r="H6180" s="1055"/>
      <c r="I6180" s="1055"/>
      <c r="J6180" s="1055"/>
      <c r="K6180" s="1205"/>
      <c r="L6180" s="1055"/>
      <c r="M6180" s="1205"/>
      <c r="N6180" s="1054"/>
      <c r="O6180" s="1207"/>
      <c r="Q6180" s="1207"/>
    </row>
    <row r="6181" spans="3:17" s="700" customFormat="1" ht="70.5" hidden="1" customHeight="1">
      <c r="C6181" s="701"/>
      <c r="D6181" s="811"/>
      <c r="E6181" s="1276">
        <f>[11]building!Y6512</f>
        <v>0</v>
      </c>
      <c r="F6181" s="748">
        <f t="shared" si="335"/>
        <v>0</v>
      </c>
      <c r="G6181" s="1205"/>
      <c r="H6181" s="1055"/>
      <c r="I6181" s="1055"/>
      <c r="J6181" s="1055"/>
      <c r="K6181" s="1205"/>
      <c r="L6181" s="1055"/>
      <c r="M6181" s="1205"/>
      <c r="N6181" s="1054"/>
      <c r="O6181" s="1207"/>
      <c r="Q6181" s="1207"/>
    </row>
    <row r="6182" spans="3:17" s="700" customFormat="1" ht="70.5" hidden="1" customHeight="1">
      <c r="C6182" s="701"/>
      <c r="D6182" s="811"/>
      <c r="E6182" s="1276">
        <f>[11]building!Y6513</f>
        <v>0</v>
      </c>
      <c r="F6182" s="748">
        <f t="shared" si="335"/>
        <v>0</v>
      </c>
      <c r="G6182" s="1205"/>
      <c r="H6182" s="1055"/>
      <c r="I6182" s="1055"/>
      <c r="J6182" s="1055"/>
      <c r="K6182" s="1205"/>
      <c r="L6182" s="1055"/>
      <c r="M6182" s="1205"/>
      <c r="N6182" s="1054"/>
      <c r="O6182" s="1207"/>
      <c r="Q6182" s="1207"/>
    </row>
    <row r="6183" spans="3:17" s="700" customFormat="1" ht="70.5" hidden="1" customHeight="1">
      <c r="C6183" s="701"/>
      <c r="D6183" s="811"/>
      <c r="E6183" s="1276">
        <f>[11]building!Y6514</f>
        <v>0</v>
      </c>
      <c r="F6183" s="748">
        <f t="shared" si="335"/>
        <v>0</v>
      </c>
      <c r="G6183" s="1205"/>
      <c r="H6183" s="1055"/>
      <c r="I6183" s="1055"/>
      <c r="J6183" s="1055"/>
      <c r="K6183" s="1205"/>
      <c r="L6183" s="1055"/>
      <c r="M6183" s="1205"/>
      <c r="N6183" s="1054"/>
      <c r="O6183" s="1207"/>
      <c r="Q6183" s="1207"/>
    </row>
    <row r="6184" spans="3:17" s="700" customFormat="1" ht="70.5" hidden="1" customHeight="1">
      <c r="C6184" s="701"/>
      <c r="D6184" s="811"/>
      <c r="E6184" s="1276">
        <f>[11]building!Y6515</f>
        <v>0</v>
      </c>
      <c r="F6184" s="748">
        <f t="shared" si="335"/>
        <v>0</v>
      </c>
      <c r="G6184" s="1205"/>
      <c r="H6184" s="1055"/>
      <c r="I6184" s="1055"/>
      <c r="J6184" s="1055"/>
      <c r="K6184" s="1205"/>
      <c r="L6184" s="1055"/>
      <c r="M6184" s="1205"/>
      <c r="N6184" s="1054"/>
      <c r="O6184" s="1207"/>
      <c r="Q6184" s="1207"/>
    </row>
    <row r="6185" spans="3:17" s="700" customFormat="1" ht="70.5" hidden="1" customHeight="1">
      <c r="C6185" s="701"/>
      <c r="D6185" s="811"/>
      <c r="E6185" s="1276">
        <f>[11]building!Y6516</f>
        <v>0</v>
      </c>
      <c r="F6185" s="748">
        <f t="shared" si="335"/>
        <v>0</v>
      </c>
      <c r="G6185" s="1205"/>
      <c r="H6185" s="1055"/>
      <c r="I6185" s="1055"/>
      <c r="J6185" s="1055"/>
      <c r="K6185" s="1205"/>
      <c r="L6185" s="1055"/>
      <c r="M6185" s="1205"/>
      <c r="N6185" s="1054"/>
      <c r="O6185" s="1207"/>
      <c r="Q6185" s="1207"/>
    </row>
    <row r="6186" spans="3:17" s="700" customFormat="1" ht="70.5" hidden="1" customHeight="1">
      <c r="C6186" s="701"/>
      <c r="D6186" s="811"/>
      <c r="E6186" s="1276">
        <f>[11]building!Y6517</f>
        <v>0</v>
      </c>
      <c r="F6186" s="748">
        <f t="shared" si="335"/>
        <v>0</v>
      </c>
      <c r="G6186" s="1205"/>
      <c r="H6186" s="1055"/>
      <c r="I6186" s="1055"/>
      <c r="J6186" s="1055"/>
      <c r="K6186" s="1205"/>
      <c r="L6186" s="1055"/>
      <c r="M6186" s="1205"/>
      <c r="N6186" s="1054"/>
      <c r="O6186" s="1207"/>
      <c r="Q6186" s="1207"/>
    </row>
    <row r="6187" spans="3:17" s="700" customFormat="1" ht="70.5" hidden="1" customHeight="1">
      <c r="C6187" s="701"/>
      <c r="D6187" s="811"/>
      <c r="E6187" s="1276">
        <f>[11]building!Y6518</f>
        <v>0</v>
      </c>
      <c r="F6187" s="748">
        <f t="shared" si="335"/>
        <v>0</v>
      </c>
      <c r="G6187" s="1205"/>
      <c r="H6187" s="1055"/>
      <c r="I6187" s="1055"/>
      <c r="J6187" s="1055"/>
      <c r="K6187" s="1205"/>
      <c r="L6187" s="1055"/>
      <c r="M6187" s="1205"/>
      <c r="N6187" s="1054"/>
      <c r="O6187" s="1207"/>
      <c r="Q6187" s="1207"/>
    </row>
    <row r="6188" spans="3:17" s="700" customFormat="1" ht="70.5" hidden="1" customHeight="1">
      <c r="C6188" s="701"/>
      <c r="D6188" s="811"/>
      <c r="E6188" s="1276">
        <f>[11]building!Y6519</f>
        <v>0</v>
      </c>
      <c r="F6188" s="748">
        <f t="shared" si="335"/>
        <v>0</v>
      </c>
      <c r="G6188" s="1205"/>
      <c r="H6188" s="1055"/>
      <c r="I6188" s="1055"/>
      <c r="J6188" s="1055"/>
      <c r="K6188" s="1205"/>
      <c r="L6188" s="1055"/>
      <c r="M6188" s="1205"/>
      <c r="N6188" s="1054"/>
      <c r="O6188" s="1207"/>
      <c r="Q6188" s="1207"/>
    </row>
    <row r="6189" spans="3:17" s="700" customFormat="1" ht="70.5" hidden="1" customHeight="1">
      <c r="C6189" s="701"/>
      <c r="D6189" s="811"/>
      <c r="E6189" s="1276">
        <f>[11]building!Y6520</f>
        <v>0</v>
      </c>
      <c r="F6189" s="748">
        <f t="shared" si="335"/>
        <v>0</v>
      </c>
      <c r="G6189" s="1205"/>
      <c r="H6189" s="1055"/>
      <c r="I6189" s="1055"/>
      <c r="J6189" s="1055"/>
      <c r="K6189" s="1205"/>
      <c r="L6189" s="1055"/>
      <c r="M6189" s="1205"/>
      <c r="N6189" s="1054"/>
      <c r="O6189" s="1207"/>
      <c r="Q6189" s="1207"/>
    </row>
    <row r="6190" spans="3:17" s="700" customFormat="1" ht="70.5" hidden="1" customHeight="1">
      <c r="C6190" s="701"/>
      <c r="D6190" s="811"/>
      <c r="E6190" s="1276">
        <f>[11]building!Y6521</f>
        <v>0</v>
      </c>
      <c r="F6190" s="748">
        <f t="shared" si="335"/>
        <v>0</v>
      </c>
      <c r="G6190" s="1205"/>
      <c r="H6190" s="1055"/>
      <c r="I6190" s="1055"/>
      <c r="J6190" s="1055"/>
      <c r="K6190" s="1205"/>
      <c r="L6190" s="1055"/>
      <c r="M6190" s="1205"/>
      <c r="N6190" s="1054"/>
      <c r="O6190" s="1207"/>
      <c r="Q6190" s="1207"/>
    </row>
    <row r="6191" spans="3:17" s="700" customFormat="1" ht="70.5" hidden="1" customHeight="1">
      <c r="C6191" s="701"/>
      <c r="D6191" s="811"/>
      <c r="E6191" s="1276">
        <f>[11]building!Y6522</f>
        <v>0</v>
      </c>
      <c r="F6191" s="748">
        <f t="shared" si="335"/>
        <v>0</v>
      </c>
      <c r="G6191" s="1205"/>
      <c r="H6191" s="1055"/>
      <c r="I6191" s="1055"/>
      <c r="J6191" s="1055"/>
      <c r="K6191" s="1205"/>
      <c r="L6191" s="1055"/>
      <c r="M6191" s="1205"/>
      <c r="N6191" s="1054"/>
      <c r="O6191" s="1207"/>
      <c r="Q6191" s="1207"/>
    </row>
    <row r="6192" spans="3:17" s="700" customFormat="1" ht="70.5" hidden="1" customHeight="1">
      <c r="C6192" s="701"/>
      <c r="D6192" s="811"/>
      <c r="E6192" s="1276">
        <f>[11]building!Y6523</f>
        <v>0</v>
      </c>
      <c r="F6192" s="748">
        <f t="shared" si="335"/>
        <v>0</v>
      </c>
      <c r="G6192" s="1205"/>
      <c r="H6192" s="1055"/>
      <c r="I6192" s="1055"/>
      <c r="J6192" s="1055"/>
      <c r="K6192" s="1205"/>
      <c r="L6192" s="1055"/>
      <c r="M6192" s="1205"/>
      <c r="N6192" s="1054"/>
      <c r="O6192" s="1207"/>
      <c r="Q6192" s="1207"/>
    </row>
    <row r="6193" spans="3:17" s="700" customFormat="1" ht="70.5" hidden="1" customHeight="1">
      <c r="C6193" s="701"/>
      <c r="D6193" s="811"/>
      <c r="E6193" s="1276">
        <f>[11]building!Y6524</f>
        <v>0</v>
      </c>
      <c r="F6193" s="748">
        <f t="shared" si="335"/>
        <v>0</v>
      </c>
      <c r="G6193" s="1205"/>
      <c r="H6193" s="1055"/>
      <c r="I6193" s="1055"/>
      <c r="J6193" s="1055"/>
      <c r="K6193" s="1205"/>
      <c r="L6193" s="1055"/>
      <c r="M6193" s="1205"/>
      <c r="N6193" s="1054"/>
      <c r="O6193" s="1207"/>
      <c r="Q6193" s="1207"/>
    </row>
    <row r="6194" spans="3:17" s="700" customFormat="1" ht="70.5" hidden="1" customHeight="1">
      <c r="C6194" s="701"/>
      <c r="D6194" s="811"/>
      <c r="E6194" s="1276">
        <f>[11]building!Y6525</f>
        <v>0</v>
      </c>
      <c r="F6194" s="748">
        <f t="shared" si="335"/>
        <v>0</v>
      </c>
      <c r="G6194" s="1205"/>
      <c r="H6194" s="1055"/>
      <c r="I6194" s="1055"/>
      <c r="J6194" s="1055"/>
      <c r="K6194" s="1205"/>
      <c r="L6194" s="1055"/>
      <c r="M6194" s="1205"/>
      <c r="N6194" s="1054"/>
      <c r="O6194" s="1207"/>
      <c r="Q6194" s="1207"/>
    </row>
    <row r="6195" spans="3:17" s="700" customFormat="1" ht="70.5" hidden="1" customHeight="1">
      <c r="C6195" s="701"/>
      <c r="D6195" s="811"/>
      <c r="E6195" s="1276">
        <f>[11]building!Y6526</f>
        <v>0</v>
      </c>
      <c r="F6195" s="748">
        <f t="shared" si="335"/>
        <v>0</v>
      </c>
      <c r="G6195" s="1205"/>
      <c r="H6195" s="1055"/>
      <c r="I6195" s="1055"/>
      <c r="J6195" s="1055"/>
      <c r="K6195" s="1205"/>
      <c r="L6195" s="1055"/>
      <c r="M6195" s="1205"/>
      <c r="N6195" s="1054"/>
      <c r="O6195" s="1207"/>
      <c r="Q6195" s="1207"/>
    </row>
    <row r="6196" spans="3:17" s="700" customFormat="1" ht="70.5" hidden="1" customHeight="1">
      <c r="C6196" s="701"/>
      <c r="D6196" s="811"/>
      <c r="E6196" s="1276">
        <f>[11]building!Y6527</f>
        <v>0</v>
      </c>
      <c r="F6196" s="748">
        <f t="shared" si="335"/>
        <v>0</v>
      </c>
      <c r="G6196" s="1205"/>
      <c r="H6196" s="1055"/>
      <c r="I6196" s="1055"/>
      <c r="J6196" s="1055"/>
      <c r="K6196" s="1205"/>
      <c r="L6196" s="1055"/>
      <c r="M6196" s="1205"/>
      <c r="N6196" s="1054"/>
      <c r="O6196" s="1207"/>
      <c r="Q6196" s="1207"/>
    </row>
    <row r="6197" spans="3:17" s="700" customFormat="1" ht="70.5" hidden="1" customHeight="1">
      <c r="C6197" s="701"/>
      <c r="D6197" s="811"/>
      <c r="E6197" s="1276">
        <f>[11]building!Y6528</f>
        <v>0</v>
      </c>
      <c r="F6197" s="748">
        <f t="shared" si="335"/>
        <v>0</v>
      </c>
      <c r="G6197" s="1205"/>
      <c r="H6197" s="1055"/>
      <c r="I6197" s="1055"/>
      <c r="J6197" s="1055"/>
      <c r="K6197" s="1205"/>
      <c r="L6197" s="1055"/>
      <c r="M6197" s="1205"/>
      <c r="N6197" s="1054"/>
      <c r="O6197" s="1207"/>
      <c r="Q6197" s="1207"/>
    </row>
    <row r="6198" spans="3:17" s="700" customFormat="1" ht="70.5" hidden="1" customHeight="1">
      <c r="C6198" s="701"/>
      <c r="D6198" s="811"/>
      <c r="E6198" s="1276">
        <f>[11]building!Y6529</f>
        <v>0</v>
      </c>
      <c r="F6198" s="748">
        <f t="shared" si="335"/>
        <v>0</v>
      </c>
      <c r="G6198" s="1205"/>
      <c r="H6198" s="1055"/>
      <c r="I6198" s="1055"/>
      <c r="J6198" s="1055"/>
      <c r="K6198" s="1205"/>
      <c r="L6198" s="1055"/>
      <c r="M6198" s="1205"/>
      <c r="N6198" s="1054"/>
      <c r="O6198" s="1207"/>
      <c r="Q6198" s="1207"/>
    </row>
    <row r="6199" spans="3:17" s="700" customFormat="1" ht="70.5" hidden="1" customHeight="1">
      <c r="C6199" s="701"/>
      <c r="D6199" s="811"/>
      <c r="E6199" s="1276">
        <f>[11]building!Y6530</f>
        <v>0</v>
      </c>
      <c r="F6199" s="748">
        <f t="shared" si="335"/>
        <v>0</v>
      </c>
      <c r="G6199" s="1205"/>
      <c r="H6199" s="1055"/>
      <c r="I6199" s="1055"/>
      <c r="J6199" s="1055"/>
      <c r="K6199" s="1205"/>
      <c r="L6199" s="1055"/>
      <c r="M6199" s="1205"/>
      <c r="N6199" s="1054"/>
      <c r="O6199" s="1207"/>
      <c r="Q6199" s="1207"/>
    </row>
    <row r="6200" spans="3:17" s="700" customFormat="1" ht="70.5" hidden="1" customHeight="1">
      <c r="C6200" s="701"/>
      <c r="D6200" s="811"/>
      <c r="E6200" s="1276">
        <f>[11]building!Y6531</f>
        <v>0</v>
      </c>
      <c r="F6200" s="748">
        <f t="shared" si="335"/>
        <v>0</v>
      </c>
      <c r="G6200" s="1205"/>
      <c r="H6200" s="1055"/>
      <c r="I6200" s="1055"/>
      <c r="J6200" s="1055"/>
      <c r="K6200" s="1205"/>
      <c r="L6200" s="1055"/>
      <c r="M6200" s="1205"/>
      <c r="N6200" s="1054"/>
      <c r="O6200" s="1207"/>
      <c r="Q6200" s="1207"/>
    </row>
    <row r="6201" spans="3:17" s="700" customFormat="1" ht="70.5" hidden="1" customHeight="1">
      <c r="C6201" s="701"/>
      <c r="D6201" s="811"/>
      <c r="E6201" s="1276">
        <f>[11]building!Y6532</f>
        <v>0</v>
      </c>
      <c r="F6201" s="748">
        <f t="shared" si="335"/>
        <v>0</v>
      </c>
      <c r="G6201" s="1205"/>
      <c r="H6201" s="1055"/>
      <c r="I6201" s="1055"/>
      <c r="J6201" s="1055"/>
      <c r="K6201" s="1205"/>
      <c r="L6201" s="1055"/>
      <c r="M6201" s="1205"/>
      <c r="N6201" s="1054"/>
      <c r="O6201" s="1207"/>
      <c r="Q6201" s="1207"/>
    </row>
    <row r="6202" spans="3:17" s="700" customFormat="1" ht="70.5" hidden="1" customHeight="1">
      <c r="C6202" s="701"/>
      <c r="D6202" s="811"/>
      <c r="E6202" s="1276">
        <f>[11]building!Y6533</f>
        <v>0</v>
      </c>
      <c r="F6202" s="748">
        <f t="shared" si="335"/>
        <v>0</v>
      </c>
      <c r="G6202" s="1205"/>
      <c r="H6202" s="1055"/>
      <c r="I6202" s="1055"/>
      <c r="J6202" s="1055"/>
      <c r="K6202" s="1205"/>
      <c r="L6202" s="1055"/>
      <c r="M6202" s="1205"/>
      <c r="N6202" s="1054"/>
      <c r="O6202" s="1207"/>
      <c r="Q6202" s="1207"/>
    </row>
    <row r="6203" spans="3:17" s="700" customFormat="1" ht="70.5" hidden="1" customHeight="1">
      <c r="C6203" s="701"/>
      <c r="D6203" s="811"/>
      <c r="E6203" s="1276">
        <f>[11]building!Y6534</f>
        <v>0</v>
      </c>
      <c r="F6203" s="748">
        <f t="shared" si="335"/>
        <v>0</v>
      </c>
      <c r="G6203" s="1205"/>
      <c r="H6203" s="1055"/>
      <c r="I6203" s="1055"/>
      <c r="J6203" s="1055"/>
      <c r="K6203" s="1205"/>
      <c r="L6203" s="1055"/>
      <c r="M6203" s="1205"/>
      <c r="N6203" s="1054"/>
      <c r="O6203" s="1207"/>
      <c r="Q6203" s="1207"/>
    </row>
    <row r="6204" spans="3:17" s="700" customFormat="1" ht="70.5" hidden="1" customHeight="1">
      <c r="C6204" s="701"/>
      <c r="D6204" s="811"/>
      <c r="E6204" s="1276">
        <f>[11]building!Y6535</f>
        <v>0</v>
      </c>
      <c r="F6204" s="748">
        <f t="shared" si="335"/>
        <v>0</v>
      </c>
      <c r="G6204" s="1205"/>
      <c r="H6204" s="1055"/>
      <c r="I6204" s="1055"/>
      <c r="J6204" s="1055"/>
      <c r="K6204" s="1205"/>
      <c r="L6204" s="1055"/>
      <c r="M6204" s="1205"/>
      <c r="N6204" s="1054"/>
      <c r="O6204" s="1207"/>
      <c r="Q6204" s="1207"/>
    </row>
    <row r="6205" spans="3:17" s="700" customFormat="1" ht="70.5" hidden="1" customHeight="1">
      <c r="C6205" s="701"/>
      <c r="D6205" s="811"/>
      <c r="E6205" s="1276">
        <f>[11]building!Y6536</f>
        <v>0</v>
      </c>
      <c r="F6205" s="748">
        <f t="shared" si="335"/>
        <v>0</v>
      </c>
      <c r="G6205" s="1205"/>
      <c r="H6205" s="1055"/>
      <c r="I6205" s="1055"/>
      <c r="J6205" s="1055"/>
      <c r="K6205" s="1205"/>
      <c r="L6205" s="1055"/>
      <c r="M6205" s="1205"/>
      <c r="N6205" s="1054"/>
      <c r="O6205" s="1207"/>
      <c r="Q6205" s="1207"/>
    </row>
    <row r="6206" spans="3:17" s="700" customFormat="1" ht="70.5" hidden="1" customHeight="1">
      <c r="C6206" s="701"/>
      <c r="D6206" s="811"/>
      <c r="E6206" s="1276">
        <f>[11]building!Y6537</f>
        <v>0</v>
      </c>
      <c r="F6206" s="748">
        <f t="shared" si="335"/>
        <v>0</v>
      </c>
      <c r="G6206" s="1205"/>
      <c r="H6206" s="1055"/>
      <c r="I6206" s="1055"/>
      <c r="J6206" s="1055"/>
      <c r="K6206" s="1205"/>
      <c r="L6206" s="1055"/>
      <c r="M6206" s="1205"/>
      <c r="N6206" s="1054"/>
      <c r="O6206" s="1207"/>
      <c r="Q6206" s="1207"/>
    </row>
    <row r="6207" spans="3:17" s="700" customFormat="1" ht="70.5" hidden="1" customHeight="1">
      <c r="C6207" s="701"/>
      <c r="D6207" s="811"/>
      <c r="E6207" s="1276">
        <f>[11]building!Y6538</f>
        <v>0</v>
      </c>
      <c r="F6207" s="748">
        <f t="shared" si="335"/>
        <v>0</v>
      </c>
      <c r="G6207" s="1205"/>
      <c r="H6207" s="1055"/>
      <c r="I6207" s="1055"/>
      <c r="J6207" s="1055"/>
      <c r="K6207" s="1205"/>
      <c r="L6207" s="1055"/>
      <c r="M6207" s="1205"/>
      <c r="N6207" s="1054"/>
      <c r="O6207" s="1207"/>
      <c r="Q6207" s="1207"/>
    </row>
    <row r="6208" spans="3:17" s="700" customFormat="1" ht="70.5" hidden="1" customHeight="1">
      <c r="C6208" s="701"/>
      <c r="D6208" s="811"/>
      <c r="E6208" s="1276">
        <f>[11]building!Y6539</f>
        <v>0</v>
      </c>
      <c r="F6208" s="748">
        <f t="shared" ref="F6208:F6271" si="336">E6208*C6208</f>
        <v>0</v>
      </c>
      <c r="G6208" s="1205"/>
      <c r="H6208" s="1055"/>
      <c r="I6208" s="1055"/>
      <c r="J6208" s="1055"/>
      <c r="K6208" s="1205"/>
      <c r="L6208" s="1055"/>
      <c r="M6208" s="1205"/>
      <c r="N6208" s="1054"/>
      <c r="O6208" s="1207"/>
      <c r="Q6208" s="1207"/>
    </row>
    <row r="6209" spans="3:17" s="700" customFormat="1" ht="70.5" hidden="1" customHeight="1">
      <c r="C6209" s="701"/>
      <c r="D6209" s="811"/>
      <c r="E6209" s="1276">
        <f>[11]building!Y6540</f>
        <v>0</v>
      </c>
      <c r="F6209" s="748">
        <f t="shared" si="336"/>
        <v>0</v>
      </c>
      <c r="G6209" s="1205"/>
      <c r="H6209" s="1055"/>
      <c r="I6209" s="1055"/>
      <c r="J6209" s="1055"/>
      <c r="K6209" s="1205"/>
      <c r="L6209" s="1055"/>
      <c r="M6209" s="1205"/>
      <c r="N6209" s="1054"/>
      <c r="O6209" s="1207"/>
      <c r="Q6209" s="1207"/>
    </row>
    <row r="6210" spans="3:17" s="700" customFormat="1" ht="70.5" hidden="1" customHeight="1">
      <c r="C6210" s="701"/>
      <c r="D6210" s="811"/>
      <c r="E6210" s="1276">
        <f>[11]building!Y6541</f>
        <v>0</v>
      </c>
      <c r="F6210" s="748">
        <f t="shared" si="336"/>
        <v>0</v>
      </c>
      <c r="G6210" s="1205"/>
      <c r="H6210" s="1055"/>
      <c r="I6210" s="1055"/>
      <c r="J6210" s="1055"/>
      <c r="K6210" s="1205"/>
      <c r="L6210" s="1055"/>
      <c r="M6210" s="1205"/>
      <c r="N6210" s="1054"/>
      <c r="O6210" s="1207"/>
      <c r="Q6210" s="1207"/>
    </row>
    <row r="6211" spans="3:17" s="700" customFormat="1" ht="70.5" hidden="1" customHeight="1">
      <c r="C6211" s="701"/>
      <c r="D6211" s="811"/>
      <c r="E6211" s="1276">
        <f>[11]building!Y6542</f>
        <v>0</v>
      </c>
      <c r="F6211" s="748">
        <f t="shared" si="336"/>
        <v>0</v>
      </c>
      <c r="G6211" s="1205"/>
      <c r="H6211" s="1055"/>
      <c r="I6211" s="1055"/>
      <c r="J6211" s="1055"/>
      <c r="K6211" s="1205"/>
      <c r="L6211" s="1055"/>
      <c r="M6211" s="1205"/>
      <c r="N6211" s="1054"/>
      <c r="O6211" s="1207"/>
      <c r="Q6211" s="1207"/>
    </row>
    <row r="6212" spans="3:17" s="700" customFormat="1" ht="70.5" hidden="1" customHeight="1">
      <c r="C6212" s="701"/>
      <c r="D6212" s="811"/>
      <c r="E6212" s="1276">
        <f>[11]building!Y6543</f>
        <v>0</v>
      </c>
      <c r="F6212" s="748">
        <f t="shared" si="336"/>
        <v>0</v>
      </c>
      <c r="G6212" s="1205"/>
      <c r="H6212" s="1055"/>
      <c r="I6212" s="1055"/>
      <c r="J6212" s="1055"/>
      <c r="K6212" s="1205"/>
      <c r="L6212" s="1055"/>
      <c r="M6212" s="1205"/>
      <c r="N6212" s="1054"/>
      <c r="O6212" s="1207"/>
      <c r="Q6212" s="1207"/>
    </row>
    <row r="6213" spans="3:17" s="700" customFormat="1" ht="70.5" hidden="1" customHeight="1">
      <c r="C6213" s="701"/>
      <c r="D6213" s="811"/>
      <c r="E6213" s="1276">
        <f>[11]building!Y6544</f>
        <v>0</v>
      </c>
      <c r="F6213" s="748">
        <f t="shared" si="336"/>
        <v>0</v>
      </c>
      <c r="G6213" s="1205"/>
      <c r="H6213" s="1055"/>
      <c r="I6213" s="1055"/>
      <c r="J6213" s="1055"/>
      <c r="K6213" s="1205"/>
      <c r="L6213" s="1055"/>
      <c r="M6213" s="1205"/>
      <c r="N6213" s="1054"/>
      <c r="O6213" s="1207"/>
      <c r="Q6213" s="1207"/>
    </row>
    <row r="6214" spans="3:17" s="700" customFormat="1" ht="70.5" hidden="1" customHeight="1">
      <c r="C6214" s="701"/>
      <c r="D6214" s="811"/>
      <c r="E6214" s="1276">
        <f>[11]building!Y6545</f>
        <v>0</v>
      </c>
      <c r="F6214" s="748">
        <f t="shared" si="336"/>
        <v>0</v>
      </c>
      <c r="G6214" s="1205"/>
      <c r="H6214" s="1055"/>
      <c r="I6214" s="1055"/>
      <c r="J6214" s="1055"/>
      <c r="K6214" s="1205"/>
      <c r="L6214" s="1055"/>
      <c r="M6214" s="1205"/>
      <c r="N6214" s="1054"/>
      <c r="O6214" s="1207"/>
      <c r="Q6214" s="1207"/>
    </row>
    <row r="6215" spans="3:17" s="700" customFormat="1" ht="70.5" hidden="1" customHeight="1">
      <c r="C6215" s="701"/>
      <c r="D6215" s="811"/>
      <c r="E6215" s="1276">
        <f>[11]building!Y6546</f>
        <v>0</v>
      </c>
      <c r="F6215" s="748">
        <f t="shared" si="336"/>
        <v>0</v>
      </c>
      <c r="G6215" s="1205"/>
      <c r="H6215" s="1055"/>
      <c r="I6215" s="1055"/>
      <c r="J6215" s="1055"/>
      <c r="K6215" s="1205"/>
      <c r="L6215" s="1055"/>
      <c r="M6215" s="1205"/>
      <c r="N6215" s="1054"/>
      <c r="O6215" s="1207"/>
      <c r="Q6215" s="1207"/>
    </row>
    <row r="6216" spans="3:17" s="700" customFormat="1" ht="70.5" hidden="1" customHeight="1">
      <c r="C6216" s="701"/>
      <c r="D6216" s="811"/>
      <c r="E6216" s="1276">
        <f>[11]building!Y6547</f>
        <v>0</v>
      </c>
      <c r="F6216" s="748">
        <f t="shared" si="336"/>
        <v>0</v>
      </c>
      <c r="G6216" s="1205"/>
      <c r="H6216" s="1055"/>
      <c r="I6216" s="1055"/>
      <c r="J6216" s="1055"/>
      <c r="K6216" s="1205"/>
      <c r="L6216" s="1055"/>
      <c r="M6216" s="1205"/>
      <c r="N6216" s="1054"/>
      <c r="O6216" s="1207"/>
      <c r="Q6216" s="1207"/>
    </row>
    <row r="6217" spans="3:17" s="700" customFormat="1" ht="70.5" hidden="1" customHeight="1">
      <c r="C6217" s="701"/>
      <c r="D6217" s="811"/>
      <c r="E6217" s="1276">
        <f>[11]building!Y6548</f>
        <v>0</v>
      </c>
      <c r="F6217" s="748">
        <f t="shared" si="336"/>
        <v>0</v>
      </c>
      <c r="G6217" s="1205"/>
      <c r="H6217" s="1055"/>
      <c r="I6217" s="1055"/>
      <c r="J6217" s="1055"/>
      <c r="K6217" s="1205"/>
      <c r="L6217" s="1055"/>
      <c r="M6217" s="1205"/>
      <c r="N6217" s="1054"/>
      <c r="O6217" s="1207"/>
      <c r="Q6217" s="1207"/>
    </row>
    <row r="6218" spans="3:17" s="700" customFormat="1" ht="70.5" hidden="1" customHeight="1">
      <c r="C6218" s="701"/>
      <c r="D6218" s="811"/>
      <c r="E6218" s="1276">
        <f>[11]building!Y6549</f>
        <v>0</v>
      </c>
      <c r="F6218" s="748">
        <f t="shared" si="336"/>
        <v>0</v>
      </c>
      <c r="G6218" s="1205"/>
      <c r="H6218" s="1055"/>
      <c r="I6218" s="1055"/>
      <c r="J6218" s="1055"/>
      <c r="K6218" s="1205"/>
      <c r="L6218" s="1055"/>
      <c r="M6218" s="1205"/>
      <c r="N6218" s="1054"/>
      <c r="O6218" s="1207"/>
      <c r="Q6218" s="1207"/>
    </row>
    <row r="6219" spans="3:17" s="700" customFormat="1" ht="70.5" hidden="1" customHeight="1">
      <c r="C6219" s="701"/>
      <c r="D6219" s="811"/>
      <c r="E6219" s="1276">
        <f>[11]building!Y6550</f>
        <v>0</v>
      </c>
      <c r="F6219" s="748">
        <f t="shared" si="336"/>
        <v>0</v>
      </c>
      <c r="G6219" s="1205"/>
      <c r="H6219" s="1055"/>
      <c r="I6219" s="1055"/>
      <c r="J6219" s="1055"/>
      <c r="K6219" s="1205"/>
      <c r="L6219" s="1055"/>
      <c r="M6219" s="1205"/>
      <c r="N6219" s="1054"/>
      <c r="O6219" s="1207"/>
      <c r="Q6219" s="1207"/>
    </row>
    <row r="6220" spans="3:17" s="700" customFormat="1" ht="70.5" hidden="1" customHeight="1">
      <c r="C6220" s="701"/>
      <c r="D6220" s="811"/>
      <c r="E6220" s="1276">
        <f>[11]building!Y6551</f>
        <v>0</v>
      </c>
      <c r="F6220" s="748">
        <f t="shared" si="336"/>
        <v>0</v>
      </c>
      <c r="G6220" s="1205"/>
      <c r="H6220" s="1055"/>
      <c r="I6220" s="1055"/>
      <c r="J6220" s="1055"/>
      <c r="K6220" s="1205"/>
      <c r="L6220" s="1055"/>
      <c r="M6220" s="1205"/>
      <c r="N6220" s="1054"/>
      <c r="O6220" s="1207"/>
      <c r="Q6220" s="1207"/>
    </row>
    <row r="6221" spans="3:17" s="700" customFormat="1" ht="70.5" hidden="1" customHeight="1">
      <c r="C6221" s="701"/>
      <c r="D6221" s="811"/>
      <c r="E6221" s="1276">
        <f>[11]building!Y6552</f>
        <v>0</v>
      </c>
      <c r="F6221" s="748">
        <f t="shared" si="336"/>
        <v>0</v>
      </c>
      <c r="G6221" s="1205"/>
      <c r="H6221" s="1055"/>
      <c r="I6221" s="1055"/>
      <c r="J6221" s="1055"/>
      <c r="K6221" s="1205"/>
      <c r="L6221" s="1055"/>
      <c r="M6221" s="1205"/>
      <c r="N6221" s="1054"/>
      <c r="O6221" s="1207"/>
      <c r="Q6221" s="1207"/>
    </row>
    <row r="6222" spans="3:17" s="700" customFormat="1" ht="70.5" hidden="1" customHeight="1">
      <c r="C6222" s="701"/>
      <c r="D6222" s="811"/>
      <c r="E6222" s="1276">
        <f>[11]building!Y6553</f>
        <v>0</v>
      </c>
      <c r="F6222" s="748">
        <f t="shared" si="336"/>
        <v>0</v>
      </c>
      <c r="G6222" s="1205"/>
      <c r="H6222" s="1055"/>
      <c r="I6222" s="1055"/>
      <c r="J6222" s="1055"/>
      <c r="K6222" s="1205"/>
      <c r="L6222" s="1055"/>
      <c r="M6222" s="1205"/>
      <c r="N6222" s="1054"/>
      <c r="O6222" s="1207"/>
      <c r="Q6222" s="1207"/>
    </row>
    <row r="6223" spans="3:17" s="700" customFormat="1" ht="70.5" hidden="1" customHeight="1">
      <c r="C6223" s="701"/>
      <c r="D6223" s="811"/>
      <c r="E6223" s="1276">
        <f>[11]building!Y6554</f>
        <v>0</v>
      </c>
      <c r="F6223" s="748">
        <f t="shared" si="336"/>
        <v>0</v>
      </c>
      <c r="G6223" s="1205"/>
      <c r="H6223" s="1055"/>
      <c r="I6223" s="1055"/>
      <c r="J6223" s="1055"/>
      <c r="K6223" s="1205"/>
      <c r="L6223" s="1055"/>
      <c r="M6223" s="1205"/>
      <c r="N6223" s="1054"/>
      <c r="O6223" s="1207"/>
      <c r="Q6223" s="1207"/>
    </row>
    <row r="6224" spans="3:17" s="700" customFormat="1" ht="70.5" hidden="1" customHeight="1">
      <c r="C6224" s="701"/>
      <c r="D6224" s="811"/>
      <c r="E6224" s="1276">
        <f>[11]building!Y6555</f>
        <v>0</v>
      </c>
      <c r="F6224" s="748">
        <f t="shared" si="336"/>
        <v>0</v>
      </c>
      <c r="G6224" s="1205"/>
      <c r="H6224" s="1055"/>
      <c r="I6224" s="1055"/>
      <c r="J6224" s="1055"/>
      <c r="K6224" s="1205"/>
      <c r="L6224" s="1055"/>
      <c r="M6224" s="1205"/>
      <c r="N6224" s="1054"/>
      <c r="O6224" s="1207"/>
      <c r="Q6224" s="1207"/>
    </row>
    <row r="6225" spans="3:17" s="700" customFormat="1" ht="70.5" hidden="1" customHeight="1">
      <c r="C6225" s="701"/>
      <c r="D6225" s="811"/>
      <c r="E6225" s="1276">
        <f>[11]building!Y6556</f>
        <v>0</v>
      </c>
      <c r="F6225" s="748">
        <f t="shared" si="336"/>
        <v>0</v>
      </c>
      <c r="G6225" s="1205"/>
      <c r="H6225" s="1055"/>
      <c r="I6225" s="1055"/>
      <c r="J6225" s="1055"/>
      <c r="K6225" s="1205"/>
      <c r="L6225" s="1055"/>
      <c r="M6225" s="1205"/>
      <c r="N6225" s="1054"/>
      <c r="O6225" s="1207"/>
      <c r="Q6225" s="1207"/>
    </row>
    <row r="6226" spans="3:17" s="700" customFormat="1" ht="70.5" hidden="1" customHeight="1">
      <c r="C6226" s="701"/>
      <c r="D6226" s="811"/>
      <c r="E6226" s="1276">
        <f>[11]building!Y6557</f>
        <v>0</v>
      </c>
      <c r="F6226" s="748">
        <f t="shared" si="336"/>
        <v>0</v>
      </c>
      <c r="G6226" s="1205"/>
      <c r="H6226" s="1055"/>
      <c r="I6226" s="1055"/>
      <c r="J6226" s="1055"/>
      <c r="K6226" s="1205"/>
      <c r="L6226" s="1055"/>
      <c r="M6226" s="1205"/>
      <c r="N6226" s="1054"/>
      <c r="O6226" s="1207"/>
      <c r="Q6226" s="1207"/>
    </row>
    <row r="6227" spans="3:17" s="700" customFormat="1" ht="70.5" hidden="1" customHeight="1">
      <c r="C6227" s="701"/>
      <c r="D6227" s="811"/>
      <c r="E6227" s="1276">
        <f>[11]building!Y6558</f>
        <v>0</v>
      </c>
      <c r="F6227" s="748">
        <f t="shared" si="336"/>
        <v>0</v>
      </c>
      <c r="G6227" s="1205"/>
      <c r="H6227" s="1055"/>
      <c r="I6227" s="1055"/>
      <c r="J6227" s="1055"/>
      <c r="K6227" s="1205"/>
      <c r="L6227" s="1055"/>
      <c r="M6227" s="1205"/>
      <c r="N6227" s="1054"/>
      <c r="O6227" s="1207"/>
      <c r="Q6227" s="1207"/>
    </row>
    <row r="6228" spans="3:17" s="700" customFormat="1" ht="70.5" hidden="1" customHeight="1">
      <c r="C6228" s="701"/>
      <c r="D6228" s="811"/>
      <c r="E6228" s="1276">
        <f>[11]building!Y6559</f>
        <v>0</v>
      </c>
      <c r="F6228" s="748">
        <f t="shared" si="336"/>
        <v>0</v>
      </c>
      <c r="G6228" s="1205"/>
      <c r="H6228" s="1055"/>
      <c r="I6228" s="1055"/>
      <c r="J6228" s="1055"/>
      <c r="K6228" s="1205"/>
      <c r="L6228" s="1055"/>
      <c r="M6228" s="1205"/>
      <c r="N6228" s="1054"/>
      <c r="O6228" s="1207"/>
      <c r="Q6228" s="1207"/>
    </row>
    <row r="6229" spans="3:17" s="700" customFormat="1" ht="70.5" hidden="1" customHeight="1">
      <c r="C6229" s="701"/>
      <c r="D6229" s="811"/>
      <c r="E6229" s="1276">
        <f>[11]building!Y6560</f>
        <v>0</v>
      </c>
      <c r="F6229" s="748">
        <f t="shared" si="336"/>
        <v>0</v>
      </c>
      <c r="G6229" s="1205"/>
      <c r="H6229" s="1055"/>
      <c r="I6229" s="1055"/>
      <c r="J6229" s="1055"/>
      <c r="K6229" s="1205"/>
      <c r="L6229" s="1055"/>
      <c r="M6229" s="1205"/>
      <c r="N6229" s="1054"/>
      <c r="O6229" s="1207"/>
      <c r="Q6229" s="1207"/>
    </row>
    <row r="6230" spans="3:17" s="700" customFormat="1" ht="70.5" hidden="1" customHeight="1">
      <c r="C6230" s="701"/>
      <c r="D6230" s="811"/>
      <c r="E6230" s="1276">
        <f>[11]building!Y6561</f>
        <v>0</v>
      </c>
      <c r="F6230" s="748">
        <f t="shared" si="336"/>
        <v>0</v>
      </c>
      <c r="G6230" s="1205"/>
      <c r="H6230" s="1055"/>
      <c r="I6230" s="1055"/>
      <c r="J6230" s="1055"/>
      <c r="K6230" s="1205"/>
      <c r="L6230" s="1055"/>
      <c r="M6230" s="1205"/>
      <c r="N6230" s="1054"/>
      <c r="O6230" s="1207"/>
      <c r="Q6230" s="1207"/>
    </row>
    <row r="6231" spans="3:17" s="700" customFormat="1" ht="70.5" hidden="1" customHeight="1">
      <c r="C6231" s="701"/>
      <c r="D6231" s="811"/>
      <c r="E6231" s="1276">
        <f>[11]building!Y6562</f>
        <v>0</v>
      </c>
      <c r="F6231" s="748">
        <f t="shared" si="336"/>
        <v>0</v>
      </c>
      <c r="G6231" s="1205"/>
      <c r="H6231" s="1055"/>
      <c r="I6231" s="1055"/>
      <c r="J6231" s="1055"/>
      <c r="K6231" s="1205"/>
      <c r="L6231" s="1055"/>
      <c r="M6231" s="1205"/>
      <c r="N6231" s="1054"/>
      <c r="O6231" s="1207"/>
      <c r="Q6231" s="1207"/>
    </row>
    <row r="6232" spans="3:17" s="700" customFormat="1" ht="70.5" hidden="1" customHeight="1">
      <c r="C6232" s="701"/>
      <c r="D6232" s="811"/>
      <c r="E6232" s="1276">
        <f>[11]building!Y6563</f>
        <v>0</v>
      </c>
      <c r="F6232" s="748">
        <f t="shared" si="336"/>
        <v>0</v>
      </c>
      <c r="G6232" s="1205"/>
      <c r="H6232" s="1055"/>
      <c r="I6232" s="1055"/>
      <c r="J6232" s="1055"/>
      <c r="K6232" s="1205"/>
      <c r="L6232" s="1055"/>
      <c r="M6232" s="1205"/>
      <c r="N6232" s="1054"/>
      <c r="O6232" s="1207"/>
      <c r="Q6232" s="1207"/>
    </row>
    <row r="6233" spans="3:17" s="700" customFormat="1" ht="70.5" hidden="1" customHeight="1">
      <c r="C6233" s="701"/>
      <c r="D6233" s="811"/>
      <c r="E6233" s="1276">
        <f>[11]building!Y6564</f>
        <v>0</v>
      </c>
      <c r="F6233" s="748">
        <f t="shared" si="336"/>
        <v>0</v>
      </c>
      <c r="G6233" s="1205"/>
      <c r="H6233" s="1055"/>
      <c r="I6233" s="1055"/>
      <c r="J6233" s="1055"/>
      <c r="K6233" s="1205"/>
      <c r="L6233" s="1055"/>
      <c r="M6233" s="1205"/>
      <c r="N6233" s="1054"/>
      <c r="O6233" s="1207"/>
      <c r="Q6233" s="1207"/>
    </row>
    <row r="6234" spans="3:17" s="700" customFormat="1" ht="70.5" hidden="1" customHeight="1">
      <c r="C6234" s="701"/>
      <c r="D6234" s="811"/>
      <c r="E6234" s="1276">
        <f>[11]building!Y6565</f>
        <v>0</v>
      </c>
      <c r="F6234" s="748">
        <f t="shared" si="336"/>
        <v>0</v>
      </c>
      <c r="G6234" s="1205"/>
      <c r="H6234" s="1055"/>
      <c r="I6234" s="1055"/>
      <c r="J6234" s="1055"/>
      <c r="K6234" s="1205"/>
      <c r="L6234" s="1055"/>
      <c r="M6234" s="1205"/>
      <c r="N6234" s="1054"/>
      <c r="O6234" s="1207"/>
      <c r="Q6234" s="1207"/>
    </row>
    <row r="6235" spans="3:17" s="700" customFormat="1" ht="70.5" hidden="1" customHeight="1">
      <c r="C6235" s="701"/>
      <c r="D6235" s="811"/>
      <c r="E6235" s="1276">
        <f>[11]building!Y6566</f>
        <v>0</v>
      </c>
      <c r="F6235" s="748">
        <f t="shared" si="336"/>
        <v>0</v>
      </c>
      <c r="G6235" s="1205"/>
      <c r="H6235" s="1055"/>
      <c r="I6235" s="1055"/>
      <c r="J6235" s="1055"/>
      <c r="K6235" s="1205"/>
      <c r="L6235" s="1055"/>
      <c r="M6235" s="1205"/>
      <c r="N6235" s="1054"/>
      <c r="O6235" s="1207"/>
      <c r="Q6235" s="1207"/>
    </row>
    <row r="6236" spans="3:17" s="700" customFormat="1" ht="70.5" hidden="1" customHeight="1">
      <c r="C6236" s="701"/>
      <c r="D6236" s="811"/>
      <c r="E6236" s="1276">
        <f>[11]building!Y6567</f>
        <v>0</v>
      </c>
      <c r="F6236" s="748">
        <f t="shared" si="336"/>
        <v>0</v>
      </c>
      <c r="G6236" s="1205"/>
      <c r="H6236" s="1055"/>
      <c r="I6236" s="1055"/>
      <c r="J6236" s="1055"/>
      <c r="K6236" s="1205"/>
      <c r="L6236" s="1055"/>
      <c r="M6236" s="1205"/>
      <c r="N6236" s="1054"/>
      <c r="O6236" s="1207"/>
      <c r="Q6236" s="1207"/>
    </row>
    <row r="6237" spans="3:17" s="700" customFormat="1" ht="70.5" hidden="1" customHeight="1">
      <c r="C6237" s="701"/>
      <c r="D6237" s="811"/>
      <c r="E6237" s="1276">
        <f>[11]building!Y6568</f>
        <v>0</v>
      </c>
      <c r="F6237" s="748">
        <f t="shared" si="336"/>
        <v>0</v>
      </c>
      <c r="G6237" s="1205"/>
      <c r="H6237" s="1055"/>
      <c r="I6237" s="1055"/>
      <c r="J6237" s="1055"/>
      <c r="K6237" s="1205"/>
      <c r="L6237" s="1055"/>
      <c r="M6237" s="1205"/>
      <c r="N6237" s="1054"/>
      <c r="O6237" s="1207"/>
      <c r="Q6237" s="1207"/>
    </row>
    <row r="6238" spans="3:17" s="700" customFormat="1" ht="70.5" hidden="1" customHeight="1">
      <c r="C6238" s="701"/>
      <c r="D6238" s="811"/>
      <c r="E6238" s="1276">
        <f>[11]building!Y6569</f>
        <v>0</v>
      </c>
      <c r="F6238" s="748">
        <f t="shared" si="336"/>
        <v>0</v>
      </c>
      <c r="G6238" s="1205"/>
      <c r="H6238" s="1055"/>
      <c r="I6238" s="1055"/>
      <c r="J6238" s="1055"/>
      <c r="K6238" s="1205"/>
      <c r="L6238" s="1055"/>
      <c r="M6238" s="1205"/>
      <c r="N6238" s="1054"/>
      <c r="O6238" s="1207"/>
      <c r="Q6238" s="1207"/>
    </row>
    <row r="6239" spans="3:17" s="700" customFormat="1" ht="70.5" hidden="1" customHeight="1">
      <c r="C6239" s="701"/>
      <c r="D6239" s="811"/>
      <c r="E6239" s="1276">
        <f>[11]building!Y6570</f>
        <v>0</v>
      </c>
      <c r="F6239" s="748">
        <f t="shared" si="336"/>
        <v>0</v>
      </c>
      <c r="G6239" s="1205"/>
      <c r="H6239" s="1055"/>
      <c r="I6239" s="1055"/>
      <c r="J6239" s="1055"/>
      <c r="K6239" s="1205"/>
      <c r="L6239" s="1055"/>
      <c r="M6239" s="1205"/>
      <c r="N6239" s="1054"/>
      <c r="O6239" s="1207"/>
      <c r="Q6239" s="1207"/>
    </row>
    <row r="6240" spans="3:17" s="700" customFormat="1" ht="70.5" hidden="1" customHeight="1">
      <c r="C6240" s="701"/>
      <c r="D6240" s="811"/>
      <c r="E6240" s="1276">
        <f>[11]building!Y6571</f>
        <v>0</v>
      </c>
      <c r="F6240" s="748">
        <f t="shared" si="336"/>
        <v>0</v>
      </c>
      <c r="G6240" s="1205"/>
      <c r="H6240" s="1055"/>
      <c r="I6240" s="1055"/>
      <c r="J6240" s="1055"/>
      <c r="K6240" s="1205"/>
      <c r="L6240" s="1055"/>
      <c r="M6240" s="1205"/>
      <c r="N6240" s="1054"/>
      <c r="O6240" s="1207"/>
      <c r="Q6240" s="1207"/>
    </row>
    <row r="6241" spans="3:17" s="700" customFormat="1" ht="70.5" hidden="1" customHeight="1">
      <c r="C6241" s="701"/>
      <c r="D6241" s="811"/>
      <c r="E6241" s="1276">
        <f>[11]building!Y6572</f>
        <v>0</v>
      </c>
      <c r="F6241" s="748">
        <f t="shared" si="336"/>
        <v>0</v>
      </c>
      <c r="G6241" s="1205"/>
      <c r="H6241" s="1055"/>
      <c r="I6241" s="1055"/>
      <c r="J6241" s="1055"/>
      <c r="K6241" s="1205"/>
      <c r="L6241" s="1055"/>
      <c r="M6241" s="1205"/>
      <c r="N6241" s="1054"/>
      <c r="O6241" s="1207"/>
      <c r="Q6241" s="1207"/>
    </row>
    <row r="6242" spans="3:17" s="700" customFormat="1" ht="70.5" hidden="1" customHeight="1">
      <c r="C6242" s="701"/>
      <c r="D6242" s="811"/>
      <c r="E6242" s="1276">
        <f>[11]building!Y6573</f>
        <v>0</v>
      </c>
      <c r="F6242" s="748">
        <f t="shared" si="336"/>
        <v>0</v>
      </c>
      <c r="G6242" s="1205"/>
      <c r="H6242" s="1055"/>
      <c r="I6242" s="1055"/>
      <c r="J6242" s="1055"/>
      <c r="K6242" s="1205"/>
      <c r="L6242" s="1055"/>
      <c r="M6242" s="1205"/>
      <c r="N6242" s="1054"/>
      <c r="O6242" s="1207"/>
      <c r="Q6242" s="1207"/>
    </row>
    <row r="6243" spans="3:17" s="700" customFormat="1" ht="70.5" hidden="1" customHeight="1">
      <c r="C6243" s="701"/>
      <c r="D6243" s="811"/>
      <c r="E6243" s="1276">
        <f>[11]building!Y6574</f>
        <v>0</v>
      </c>
      <c r="F6243" s="748">
        <f t="shared" si="336"/>
        <v>0</v>
      </c>
      <c r="G6243" s="1205"/>
      <c r="H6243" s="1055"/>
      <c r="I6243" s="1055"/>
      <c r="J6243" s="1055"/>
      <c r="K6243" s="1205"/>
      <c r="L6243" s="1055"/>
      <c r="M6243" s="1205"/>
      <c r="N6243" s="1054"/>
      <c r="O6243" s="1207"/>
      <c r="Q6243" s="1207"/>
    </row>
    <row r="6244" spans="3:17" s="700" customFormat="1" ht="70.5" hidden="1" customHeight="1">
      <c r="C6244" s="701"/>
      <c r="D6244" s="811"/>
      <c r="E6244" s="1276">
        <f>[11]building!Y6575</f>
        <v>0</v>
      </c>
      <c r="F6244" s="748">
        <f t="shared" si="336"/>
        <v>0</v>
      </c>
      <c r="G6244" s="1205"/>
      <c r="H6244" s="1055"/>
      <c r="I6244" s="1055"/>
      <c r="J6244" s="1055"/>
      <c r="K6244" s="1205"/>
      <c r="L6244" s="1055"/>
      <c r="M6244" s="1205"/>
      <c r="N6244" s="1054"/>
      <c r="O6244" s="1207"/>
      <c r="Q6244" s="1207"/>
    </row>
    <row r="6245" spans="3:17" s="700" customFormat="1" ht="70.5" hidden="1" customHeight="1">
      <c r="C6245" s="701"/>
      <c r="D6245" s="811"/>
      <c r="E6245" s="1276">
        <f>[11]building!Y6576</f>
        <v>0</v>
      </c>
      <c r="F6245" s="748">
        <f t="shared" si="336"/>
        <v>0</v>
      </c>
      <c r="G6245" s="1205"/>
      <c r="H6245" s="1055"/>
      <c r="I6245" s="1055"/>
      <c r="J6245" s="1055"/>
      <c r="K6245" s="1205"/>
      <c r="L6245" s="1055"/>
      <c r="M6245" s="1205"/>
      <c r="N6245" s="1054"/>
      <c r="O6245" s="1207"/>
      <c r="Q6245" s="1207"/>
    </row>
    <row r="6246" spans="3:17" s="700" customFormat="1" ht="70.5" hidden="1" customHeight="1">
      <c r="C6246" s="701"/>
      <c r="D6246" s="811"/>
      <c r="E6246" s="1276">
        <f>[11]building!Y6577</f>
        <v>0</v>
      </c>
      <c r="F6246" s="748">
        <f t="shared" si="336"/>
        <v>0</v>
      </c>
      <c r="G6246" s="1205"/>
      <c r="H6246" s="1055"/>
      <c r="I6246" s="1055"/>
      <c r="J6246" s="1055"/>
      <c r="K6246" s="1205"/>
      <c r="L6246" s="1055"/>
      <c r="M6246" s="1205"/>
      <c r="N6246" s="1054"/>
      <c r="O6246" s="1207"/>
      <c r="Q6246" s="1207"/>
    </row>
    <row r="6247" spans="3:17" s="700" customFormat="1" ht="70.5" hidden="1" customHeight="1">
      <c r="C6247" s="701"/>
      <c r="D6247" s="811"/>
      <c r="E6247" s="1276">
        <f>[11]building!Y6578</f>
        <v>0</v>
      </c>
      <c r="F6247" s="748">
        <f t="shared" si="336"/>
        <v>0</v>
      </c>
      <c r="G6247" s="1205"/>
      <c r="H6247" s="1055"/>
      <c r="I6247" s="1055"/>
      <c r="J6247" s="1055"/>
      <c r="K6247" s="1205"/>
      <c r="L6247" s="1055"/>
      <c r="M6247" s="1205"/>
      <c r="N6247" s="1054"/>
      <c r="O6247" s="1207"/>
      <c r="Q6247" s="1207"/>
    </row>
    <row r="6248" spans="3:17" s="700" customFormat="1" ht="70.5" hidden="1" customHeight="1">
      <c r="C6248" s="701"/>
      <c r="D6248" s="811"/>
      <c r="E6248" s="1276">
        <f>[11]building!Y6579</f>
        <v>0</v>
      </c>
      <c r="F6248" s="748">
        <f t="shared" si="336"/>
        <v>0</v>
      </c>
      <c r="G6248" s="1205"/>
      <c r="H6248" s="1055"/>
      <c r="I6248" s="1055"/>
      <c r="J6248" s="1055"/>
      <c r="K6248" s="1205"/>
      <c r="L6248" s="1055"/>
      <c r="M6248" s="1205"/>
      <c r="N6248" s="1054"/>
      <c r="O6248" s="1207"/>
      <c r="Q6248" s="1207"/>
    </row>
    <row r="6249" spans="3:17" s="700" customFormat="1" ht="70.5" hidden="1" customHeight="1">
      <c r="C6249" s="701"/>
      <c r="D6249" s="811"/>
      <c r="E6249" s="1276">
        <f>[11]building!Y6580</f>
        <v>0</v>
      </c>
      <c r="F6249" s="748">
        <f t="shared" si="336"/>
        <v>0</v>
      </c>
      <c r="G6249" s="1205"/>
      <c r="H6249" s="1055"/>
      <c r="I6249" s="1055"/>
      <c r="J6249" s="1055"/>
      <c r="K6249" s="1205"/>
      <c r="L6249" s="1055"/>
      <c r="M6249" s="1205"/>
      <c r="N6249" s="1054"/>
      <c r="O6249" s="1207"/>
      <c r="Q6249" s="1207"/>
    </row>
    <row r="6250" spans="3:17" s="700" customFormat="1" ht="70.5" hidden="1" customHeight="1">
      <c r="C6250" s="701"/>
      <c r="D6250" s="811"/>
      <c r="E6250" s="1276">
        <f>[11]building!Y6581</f>
        <v>0</v>
      </c>
      <c r="F6250" s="748">
        <f t="shared" si="336"/>
        <v>0</v>
      </c>
      <c r="G6250" s="1205"/>
      <c r="H6250" s="1055"/>
      <c r="I6250" s="1055"/>
      <c r="J6250" s="1055"/>
      <c r="K6250" s="1205"/>
      <c r="L6250" s="1055"/>
      <c r="M6250" s="1205"/>
      <c r="N6250" s="1054"/>
      <c r="O6250" s="1207"/>
      <c r="Q6250" s="1207"/>
    </row>
    <row r="6251" spans="3:17" s="700" customFormat="1" ht="70.5" hidden="1" customHeight="1">
      <c r="C6251" s="701"/>
      <c r="D6251" s="811"/>
      <c r="E6251" s="1276">
        <f>[11]building!Y6582</f>
        <v>0</v>
      </c>
      <c r="F6251" s="748">
        <f t="shared" si="336"/>
        <v>0</v>
      </c>
      <c r="G6251" s="1205"/>
      <c r="H6251" s="1055"/>
      <c r="I6251" s="1055"/>
      <c r="J6251" s="1055"/>
      <c r="K6251" s="1205"/>
      <c r="L6251" s="1055"/>
      <c r="M6251" s="1205"/>
      <c r="N6251" s="1054"/>
      <c r="O6251" s="1207"/>
      <c r="Q6251" s="1207"/>
    </row>
    <row r="6252" spans="3:17" s="700" customFormat="1" ht="70.5" hidden="1" customHeight="1">
      <c r="C6252" s="701"/>
      <c r="D6252" s="811"/>
      <c r="E6252" s="1276">
        <f>[11]building!Y6583</f>
        <v>0</v>
      </c>
      <c r="F6252" s="748">
        <f t="shared" si="336"/>
        <v>0</v>
      </c>
      <c r="G6252" s="1205"/>
      <c r="H6252" s="1055"/>
      <c r="I6252" s="1055"/>
      <c r="J6252" s="1055"/>
      <c r="K6252" s="1205"/>
      <c r="L6252" s="1055"/>
      <c r="M6252" s="1205"/>
      <c r="N6252" s="1054"/>
      <c r="O6252" s="1207"/>
      <c r="Q6252" s="1207"/>
    </row>
    <row r="6253" spans="3:17" s="700" customFormat="1" ht="70.5" hidden="1" customHeight="1">
      <c r="C6253" s="701"/>
      <c r="D6253" s="811"/>
      <c r="E6253" s="1276">
        <f>[11]building!Y6584</f>
        <v>0</v>
      </c>
      <c r="F6253" s="748">
        <f t="shared" si="336"/>
        <v>0</v>
      </c>
      <c r="G6253" s="1205"/>
      <c r="H6253" s="1055"/>
      <c r="I6253" s="1055"/>
      <c r="J6253" s="1055"/>
      <c r="K6253" s="1205"/>
      <c r="L6253" s="1055"/>
      <c r="M6253" s="1205"/>
      <c r="N6253" s="1054"/>
      <c r="O6253" s="1207"/>
      <c r="Q6253" s="1207"/>
    </row>
    <row r="6254" spans="3:17" s="700" customFormat="1" ht="70.5" hidden="1" customHeight="1">
      <c r="C6254" s="701"/>
      <c r="D6254" s="811"/>
      <c r="E6254" s="1276">
        <f>[11]building!Y6585</f>
        <v>0</v>
      </c>
      <c r="F6254" s="748">
        <f t="shared" si="336"/>
        <v>0</v>
      </c>
      <c r="G6254" s="1205"/>
      <c r="H6254" s="1055"/>
      <c r="I6254" s="1055"/>
      <c r="J6254" s="1055"/>
      <c r="K6254" s="1205"/>
      <c r="L6254" s="1055"/>
      <c r="M6254" s="1205"/>
      <c r="N6254" s="1054"/>
      <c r="O6254" s="1207"/>
      <c r="Q6254" s="1207"/>
    </row>
    <row r="6255" spans="3:17" s="700" customFormat="1" ht="70.5" hidden="1" customHeight="1">
      <c r="C6255" s="701"/>
      <c r="D6255" s="811"/>
      <c r="E6255" s="1276">
        <f>[11]building!Y6586</f>
        <v>0</v>
      </c>
      <c r="F6255" s="748">
        <f t="shared" si="336"/>
        <v>0</v>
      </c>
      <c r="G6255" s="1205"/>
      <c r="H6255" s="1055"/>
      <c r="I6255" s="1055"/>
      <c r="J6255" s="1055"/>
      <c r="K6255" s="1205"/>
      <c r="L6255" s="1055"/>
      <c r="M6255" s="1205"/>
      <c r="N6255" s="1054"/>
      <c r="O6255" s="1207"/>
      <c r="Q6255" s="1207"/>
    </row>
    <row r="6256" spans="3:17" s="700" customFormat="1" ht="70.5" hidden="1" customHeight="1">
      <c r="C6256" s="701"/>
      <c r="D6256" s="811"/>
      <c r="E6256" s="1276">
        <f>[11]building!Y6587</f>
        <v>0</v>
      </c>
      <c r="F6256" s="748">
        <f t="shared" si="336"/>
        <v>0</v>
      </c>
      <c r="G6256" s="1205"/>
      <c r="H6256" s="1055"/>
      <c r="I6256" s="1055"/>
      <c r="J6256" s="1055"/>
      <c r="K6256" s="1205"/>
      <c r="L6256" s="1055"/>
      <c r="M6256" s="1205"/>
      <c r="N6256" s="1054"/>
      <c r="O6256" s="1207"/>
      <c r="Q6256" s="1207"/>
    </row>
    <row r="6257" spans="3:17" s="700" customFormat="1" ht="70.5" hidden="1" customHeight="1">
      <c r="C6257" s="701"/>
      <c r="D6257" s="811"/>
      <c r="E6257" s="1276">
        <f>[11]building!Y6588</f>
        <v>0</v>
      </c>
      <c r="F6257" s="748">
        <f t="shared" si="336"/>
        <v>0</v>
      </c>
      <c r="G6257" s="1205"/>
      <c r="H6257" s="1055"/>
      <c r="I6257" s="1055"/>
      <c r="J6257" s="1055"/>
      <c r="K6257" s="1205"/>
      <c r="L6257" s="1055"/>
      <c r="M6257" s="1205"/>
      <c r="N6257" s="1054"/>
      <c r="O6257" s="1207"/>
      <c r="Q6257" s="1207"/>
    </row>
    <row r="6258" spans="3:17" s="700" customFormat="1" ht="70.5" hidden="1" customHeight="1">
      <c r="C6258" s="701"/>
      <c r="D6258" s="811"/>
      <c r="E6258" s="1276">
        <f>[11]building!Y6589</f>
        <v>0</v>
      </c>
      <c r="F6258" s="748">
        <f t="shared" si="336"/>
        <v>0</v>
      </c>
      <c r="G6258" s="1205"/>
      <c r="H6258" s="1055"/>
      <c r="I6258" s="1055"/>
      <c r="J6258" s="1055"/>
      <c r="K6258" s="1205"/>
      <c r="L6258" s="1055"/>
      <c r="M6258" s="1205"/>
      <c r="N6258" s="1054"/>
      <c r="O6258" s="1207"/>
      <c r="Q6258" s="1207"/>
    </row>
    <row r="6259" spans="3:17" s="700" customFormat="1" ht="70.5" hidden="1" customHeight="1">
      <c r="C6259" s="701"/>
      <c r="D6259" s="811"/>
      <c r="E6259" s="1276">
        <f>[11]building!Y6590</f>
        <v>0</v>
      </c>
      <c r="F6259" s="748">
        <f t="shared" si="336"/>
        <v>0</v>
      </c>
      <c r="G6259" s="1205"/>
      <c r="H6259" s="1055"/>
      <c r="I6259" s="1055"/>
      <c r="J6259" s="1055"/>
      <c r="K6259" s="1205"/>
      <c r="L6259" s="1055"/>
      <c r="M6259" s="1205"/>
      <c r="N6259" s="1054"/>
      <c r="O6259" s="1207"/>
      <c r="Q6259" s="1207"/>
    </row>
    <row r="6260" spans="3:17" s="700" customFormat="1" ht="70.5" hidden="1" customHeight="1">
      <c r="C6260" s="701"/>
      <c r="D6260" s="811"/>
      <c r="E6260" s="1276">
        <f>[11]building!Y6591</f>
        <v>0</v>
      </c>
      <c r="F6260" s="748">
        <f t="shared" si="336"/>
        <v>0</v>
      </c>
      <c r="G6260" s="1205"/>
      <c r="H6260" s="1055"/>
      <c r="I6260" s="1055"/>
      <c r="J6260" s="1055"/>
      <c r="K6260" s="1205"/>
      <c r="L6260" s="1055"/>
      <c r="M6260" s="1205"/>
      <c r="N6260" s="1054"/>
      <c r="O6260" s="1207"/>
      <c r="Q6260" s="1207"/>
    </row>
    <row r="6261" spans="3:17" s="700" customFormat="1" ht="70.5" hidden="1" customHeight="1">
      <c r="C6261" s="701"/>
      <c r="D6261" s="811"/>
      <c r="E6261" s="1276">
        <f>[11]building!Y6592</f>
        <v>0</v>
      </c>
      <c r="F6261" s="748">
        <f t="shared" si="336"/>
        <v>0</v>
      </c>
      <c r="G6261" s="1205"/>
      <c r="H6261" s="1055"/>
      <c r="I6261" s="1055"/>
      <c r="J6261" s="1055"/>
      <c r="K6261" s="1205"/>
      <c r="L6261" s="1055"/>
      <c r="M6261" s="1205"/>
      <c r="N6261" s="1054"/>
      <c r="O6261" s="1207"/>
      <c r="Q6261" s="1207"/>
    </row>
    <row r="6262" spans="3:17" s="700" customFormat="1" ht="70.5" hidden="1" customHeight="1">
      <c r="C6262" s="701"/>
      <c r="D6262" s="811"/>
      <c r="E6262" s="1276">
        <f>[11]building!Y6593</f>
        <v>0</v>
      </c>
      <c r="F6262" s="748">
        <f t="shared" si="336"/>
        <v>0</v>
      </c>
      <c r="G6262" s="1205"/>
      <c r="H6262" s="1055"/>
      <c r="I6262" s="1055"/>
      <c r="J6262" s="1055"/>
      <c r="K6262" s="1205"/>
      <c r="L6262" s="1055"/>
      <c r="M6262" s="1205"/>
      <c r="N6262" s="1054"/>
      <c r="O6262" s="1207"/>
      <c r="Q6262" s="1207"/>
    </row>
    <row r="6263" spans="3:17" s="700" customFormat="1" ht="70.5" hidden="1" customHeight="1">
      <c r="C6263" s="701"/>
      <c r="D6263" s="811"/>
      <c r="E6263" s="1276">
        <f>[11]building!Y6594</f>
        <v>0</v>
      </c>
      <c r="F6263" s="748">
        <f t="shared" si="336"/>
        <v>0</v>
      </c>
      <c r="G6263" s="1205"/>
      <c r="H6263" s="1055"/>
      <c r="I6263" s="1055"/>
      <c r="J6263" s="1055"/>
      <c r="K6263" s="1205"/>
      <c r="L6263" s="1055"/>
      <c r="M6263" s="1205"/>
      <c r="N6263" s="1054"/>
      <c r="O6263" s="1207"/>
      <c r="Q6263" s="1207"/>
    </row>
    <row r="6264" spans="3:17" s="700" customFormat="1" ht="70.5" hidden="1" customHeight="1">
      <c r="C6264" s="701"/>
      <c r="D6264" s="811"/>
      <c r="E6264" s="1276">
        <f>[11]building!Y6595</f>
        <v>0</v>
      </c>
      <c r="F6264" s="748">
        <f t="shared" si="336"/>
        <v>0</v>
      </c>
      <c r="G6264" s="1205"/>
      <c r="H6264" s="1055"/>
      <c r="I6264" s="1055"/>
      <c r="J6264" s="1055"/>
      <c r="K6264" s="1205"/>
      <c r="L6264" s="1055"/>
      <c r="M6264" s="1205"/>
      <c r="N6264" s="1054"/>
      <c r="O6264" s="1207"/>
      <c r="Q6264" s="1207"/>
    </row>
    <row r="6265" spans="3:17" s="700" customFormat="1" ht="70.5" hidden="1" customHeight="1">
      <c r="C6265" s="701"/>
      <c r="D6265" s="811"/>
      <c r="E6265" s="1276">
        <f>[11]building!Y6596</f>
        <v>0</v>
      </c>
      <c r="F6265" s="748">
        <f t="shared" si="336"/>
        <v>0</v>
      </c>
      <c r="G6265" s="1205"/>
      <c r="H6265" s="1055"/>
      <c r="I6265" s="1055"/>
      <c r="J6265" s="1055"/>
      <c r="K6265" s="1205"/>
      <c r="L6265" s="1055"/>
      <c r="M6265" s="1205"/>
      <c r="N6265" s="1054"/>
      <c r="O6265" s="1207"/>
      <c r="Q6265" s="1207"/>
    </row>
    <row r="6266" spans="3:17" s="700" customFormat="1" ht="70.5" hidden="1" customHeight="1">
      <c r="C6266" s="701"/>
      <c r="D6266" s="811"/>
      <c r="E6266" s="1276">
        <f>[11]building!Y6597</f>
        <v>0</v>
      </c>
      <c r="F6266" s="748">
        <f t="shared" si="336"/>
        <v>0</v>
      </c>
      <c r="G6266" s="1205"/>
      <c r="H6266" s="1055"/>
      <c r="I6266" s="1055"/>
      <c r="J6266" s="1055"/>
      <c r="K6266" s="1205"/>
      <c r="L6266" s="1055"/>
      <c r="M6266" s="1205"/>
      <c r="N6266" s="1054"/>
      <c r="O6266" s="1207"/>
      <c r="Q6266" s="1207"/>
    </row>
    <row r="6267" spans="3:17" s="700" customFormat="1" ht="70.5" hidden="1" customHeight="1">
      <c r="C6267" s="701"/>
      <c r="D6267" s="811"/>
      <c r="E6267" s="1276">
        <f>[11]building!Y6598</f>
        <v>0</v>
      </c>
      <c r="F6267" s="748">
        <f t="shared" si="336"/>
        <v>0</v>
      </c>
      <c r="G6267" s="1205"/>
      <c r="H6267" s="1055"/>
      <c r="I6267" s="1055"/>
      <c r="J6267" s="1055"/>
      <c r="K6267" s="1205"/>
      <c r="L6267" s="1055"/>
      <c r="M6267" s="1205"/>
      <c r="N6267" s="1054"/>
      <c r="O6267" s="1207"/>
      <c r="Q6267" s="1207"/>
    </row>
    <row r="6268" spans="3:17" s="700" customFormat="1" ht="70.5" hidden="1" customHeight="1">
      <c r="C6268" s="701"/>
      <c r="D6268" s="811"/>
      <c r="E6268" s="1276">
        <f>[11]building!Y6599</f>
        <v>0</v>
      </c>
      <c r="F6268" s="748">
        <f t="shared" si="336"/>
        <v>0</v>
      </c>
      <c r="G6268" s="1205"/>
      <c r="H6268" s="1055"/>
      <c r="I6268" s="1055"/>
      <c r="J6268" s="1055"/>
      <c r="K6268" s="1205"/>
      <c r="L6268" s="1055"/>
      <c r="M6268" s="1205"/>
      <c r="N6268" s="1054"/>
      <c r="O6268" s="1207"/>
      <c r="Q6268" s="1207"/>
    </row>
    <row r="6269" spans="3:17" s="700" customFormat="1" ht="70.5" hidden="1" customHeight="1">
      <c r="C6269" s="701"/>
      <c r="D6269" s="811"/>
      <c r="E6269" s="1276">
        <f>[11]building!Y6600</f>
        <v>0</v>
      </c>
      <c r="F6269" s="748">
        <f t="shared" si="336"/>
        <v>0</v>
      </c>
      <c r="G6269" s="1205"/>
      <c r="H6269" s="1055"/>
      <c r="I6269" s="1055"/>
      <c r="J6269" s="1055"/>
      <c r="K6269" s="1205"/>
      <c r="L6269" s="1055"/>
      <c r="M6269" s="1205"/>
      <c r="N6269" s="1054"/>
      <c r="O6269" s="1207"/>
      <c r="Q6269" s="1207"/>
    </row>
    <row r="6270" spans="3:17" s="700" customFormat="1" ht="70.5" hidden="1" customHeight="1">
      <c r="C6270" s="701"/>
      <c r="D6270" s="811"/>
      <c r="E6270" s="1276">
        <f>[11]building!Y6601</f>
        <v>0</v>
      </c>
      <c r="F6270" s="748">
        <f t="shared" si="336"/>
        <v>0</v>
      </c>
      <c r="G6270" s="1205"/>
      <c r="H6270" s="1055"/>
      <c r="I6270" s="1055"/>
      <c r="J6270" s="1055"/>
      <c r="K6270" s="1205"/>
      <c r="L6270" s="1055"/>
      <c r="M6270" s="1205"/>
      <c r="N6270" s="1054"/>
      <c r="O6270" s="1207"/>
      <c r="Q6270" s="1207"/>
    </row>
    <row r="6271" spans="3:17" s="700" customFormat="1" ht="70.5" hidden="1" customHeight="1">
      <c r="C6271" s="701"/>
      <c r="D6271" s="811"/>
      <c r="E6271" s="1276">
        <f>[11]building!Y6602</f>
        <v>0</v>
      </c>
      <c r="F6271" s="748">
        <f t="shared" si="336"/>
        <v>0</v>
      </c>
      <c r="G6271" s="1205"/>
      <c r="H6271" s="1055"/>
      <c r="I6271" s="1055"/>
      <c r="J6271" s="1055"/>
      <c r="K6271" s="1205"/>
      <c r="L6271" s="1055"/>
      <c r="M6271" s="1205"/>
      <c r="N6271" s="1054"/>
      <c r="O6271" s="1207"/>
      <c r="Q6271" s="1207"/>
    </row>
    <row r="6272" spans="3:17" s="700" customFormat="1" ht="70.5" hidden="1" customHeight="1">
      <c r="C6272" s="701"/>
      <c r="D6272" s="811"/>
      <c r="E6272" s="1276">
        <f>[11]building!Y6603</f>
        <v>0</v>
      </c>
      <c r="F6272" s="748">
        <f t="shared" ref="F6272:F6335" si="337">E6272*C6272</f>
        <v>0</v>
      </c>
      <c r="G6272" s="1205"/>
      <c r="H6272" s="1055"/>
      <c r="I6272" s="1055"/>
      <c r="J6272" s="1055"/>
      <c r="K6272" s="1205"/>
      <c r="L6272" s="1055"/>
      <c r="M6272" s="1205"/>
      <c r="N6272" s="1054"/>
      <c r="O6272" s="1207"/>
      <c r="Q6272" s="1207"/>
    </row>
    <row r="6273" spans="3:17" s="700" customFormat="1" ht="70.5" hidden="1" customHeight="1">
      <c r="C6273" s="701"/>
      <c r="D6273" s="811"/>
      <c r="E6273" s="1276">
        <f>[11]building!Y6604</f>
        <v>0</v>
      </c>
      <c r="F6273" s="748">
        <f t="shared" si="337"/>
        <v>0</v>
      </c>
      <c r="G6273" s="1205"/>
      <c r="H6273" s="1055"/>
      <c r="I6273" s="1055"/>
      <c r="J6273" s="1055"/>
      <c r="K6273" s="1205"/>
      <c r="L6273" s="1055"/>
      <c r="M6273" s="1205"/>
      <c r="N6273" s="1054"/>
      <c r="O6273" s="1207"/>
      <c r="Q6273" s="1207"/>
    </row>
    <row r="6274" spans="3:17" s="700" customFormat="1" ht="70.5" hidden="1" customHeight="1">
      <c r="C6274" s="701"/>
      <c r="D6274" s="811"/>
      <c r="E6274" s="1276">
        <f>[11]building!Y6605</f>
        <v>0</v>
      </c>
      <c r="F6274" s="748">
        <f t="shared" si="337"/>
        <v>0</v>
      </c>
      <c r="G6274" s="1205"/>
      <c r="H6274" s="1055"/>
      <c r="I6274" s="1055"/>
      <c r="J6274" s="1055"/>
      <c r="K6274" s="1205"/>
      <c r="L6274" s="1055"/>
      <c r="M6274" s="1205"/>
      <c r="N6274" s="1054"/>
      <c r="O6274" s="1207"/>
      <c r="Q6274" s="1207"/>
    </row>
    <row r="6275" spans="3:17" s="700" customFormat="1" ht="70.5" hidden="1" customHeight="1">
      <c r="C6275" s="701"/>
      <c r="D6275" s="811"/>
      <c r="E6275" s="1276">
        <f>[11]building!Y6606</f>
        <v>0</v>
      </c>
      <c r="F6275" s="748">
        <f t="shared" si="337"/>
        <v>0</v>
      </c>
      <c r="G6275" s="1205"/>
      <c r="H6275" s="1055"/>
      <c r="I6275" s="1055"/>
      <c r="J6275" s="1055"/>
      <c r="K6275" s="1205"/>
      <c r="L6275" s="1055"/>
      <c r="M6275" s="1205"/>
      <c r="N6275" s="1054"/>
      <c r="O6275" s="1207"/>
      <c r="Q6275" s="1207"/>
    </row>
    <row r="6276" spans="3:17" s="700" customFormat="1" ht="70.5" hidden="1" customHeight="1">
      <c r="C6276" s="701"/>
      <c r="D6276" s="811"/>
      <c r="E6276" s="1276">
        <f>[11]building!Y6607</f>
        <v>0</v>
      </c>
      <c r="F6276" s="748">
        <f t="shared" si="337"/>
        <v>0</v>
      </c>
      <c r="G6276" s="1205"/>
      <c r="H6276" s="1055"/>
      <c r="I6276" s="1055"/>
      <c r="J6276" s="1055"/>
      <c r="K6276" s="1205"/>
      <c r="L6276" s="1055"/>
      <c r="M6276" s="1205"/>
      <c r="N6276" s="1054"/>
      <c r="O6276" s="1207"/>
      <c r="Q6276" s="1207"/>
    </row>
    <row r="6277" spans="3:17" s="700" customFormat="1" ht="70.5" hidden="1" customHeight="1">
      <c r="C6277" s="701"/>
      <c r="D6277" s="811"/>
      <c r="E6277" s="1276">
        <f>[11]building!Y6608</f>
        <v>0</v>
      </c>
      <c r="F6277" s="748">
        <f t="shared" si="337"/>
        <v>0</v>
      </c>
      <c r="G6277" s="1205"/>
      <c r="H6277" s="1055"/>
      <c r="I6277" s="1055"/>
      <c r="J6277" s="1055"/>
      <c r="K6277" s="1205"/>
      <c r="L6277" s="1055"/>
      <c r="M6277" s="1205"/>
      <c r="N6277" s="1054"/>
      <c r="O6277" s="1207"/>
      <c r="Q6277" s="1207"/>
    </row>
    <row r="6278" spans="3:17" s="700" customFormat="1" ht="70.5" hidden="1" customHeight="1">
      <c r="C6278" s="701"/>
      <c r="D6278" s="811"/>
      <c r="E6278" s="1276">
        <f>[11]building!Y6609</f>
        <v>0</v>
      </c>
      <c r="F6278" s="748">
        <f t="shared" si="337"/>
        <v>0</v>
      </c>
      <c r="G6278" s="1205"/>
      <c r="H6278" s="1055"/>
      <c r="I6278" s="1055"/>
      <c r="J6278" s="1055"/>
      <c r="K6278" s="1205"/>
      <c r="L6278" s="1055"/>
      <c r="M6278" s="1205"/>
      <c r="N6278" s="1054"/>
      <c r="O6278" s="1207"/>
      <c r="Q6278" s="1207"/>
    </row>
    <row r="6279" spans="3:17" s="700" customFormat="1" ht="70.5" hidden="1" customHeight="1">
      <c r="C6279" s="701"/>
      <c r="D6279" s="811"/>
      <c r="E6279" s="1276">
        <f>[11]building!Y6610</f>
        <v>0</v>
      </c>
      <c r="F6279" s="748">
        <f t="shared" si="337"/>
        <v>0</v>
      </c>
      <c r="G6279" s="1205"/>
      <c r="H6279" s="1055"/>
      <c r="I6279" s="1055"/>
      <c r="J6279" s="1055"/>
      <c r="K6279" s="1205"/>
      <c r="L6279" s="1055"/>
      <c r="M6279" s="1205"/>
      <c r="N6279" s="1054"/>
      <c r="O6279" s="1207"/>
      <c r="Q6279" s="1207"/>
    </row>
    <row r="6280" spans="3:17" s="700" customFormat="1" ht="70.5" hidden="1" customHeight="1">
      <c r="C6280" s="701"/>
      <c r="D6280" s="811"/>
      <c r="E6280" s="1276">
        <f>[11]building!Y6611</f>
        <v>0</v>
      </c>
      <c r="F6280" s="748">
        <f t="shared" si="337"/>
        <v>0</v>
      </c>
      <c r="G6280" s="1205"/>
      <c r="H6280" s="1055"/>
      <c r="I6280" s="1055"/>
      <c r="J6280" s="1055"/>
      <c r="K6280" s="1205"/>
      <c r="L6280" s="1055"/>
      <c r="M6280" s="1205"/>
      <c r="N6280" s="1054"/>
      <c r="O6280" s="1207"/>
      <c r="Q6280" s="1207"/>
    </row>
    <row r="6281" spans="3:17" s="700" customFormat="1" ht="70.5" hidden="1" customHeight="1">
      <c r="C6281" s="701"/>
      <c r="D6281" s="811"/>
      <c r="E6281" s="1276">
        <f>[11]building!Y6612</f>
        <v>0</v>
      </c>
      <c r="F6281" s="748">
        <f t="shared" si="337"/>
        <v>0</v>
      </c>
      <c r="G6281" s="1205"/>
      <c r="H6281" s="1055"/>
      <c r="I6281" s="1055"/>
      <c r="J6281" s="1055"/>
      <c r="K6281" s="1205"/>
      <c r="L6281" s="1055"/>
      <c r="M6281" s="1205"/>
      <c r="N6281" s="1054"/>
      <c r="O6281" s="1207"/>
      <c r="Q6281" s="1207"/>
    </row>
    <row r="6282" spans="3:17" s="700" customFormat="1" ht="70.5" hidden="1" customHeight="1">
      <c r="C6282" s="701"/>
      <c r="D6282" s="811"/>
      <c r="E6282" s="1276">
        <f>[11]building!Y6613</f>
        <v>0</v>
      </c>
      <c r="F6282" s="748">
        <f t="shared" si="337"/>
        <v>0</v>
      </c>
      <c r="G6282" s="1205"/>
      <c r="H6282" s="1055"/>
      <c r="I6282" s="1055"/>
      <c r="J6282" s="1055"/>
      <c r="K6282" s="1205"/>
      <c r="L6282" s="1055"/>
      <c r="M6282" s="1205"/>
      <c r="N6282" s="1054"/>
      <c r="O6282" s="1207"/>
      <c r="Q6282" s="1207"/>
    </row>
    <row r="6283" spans="3:17" s="700" customFormat="1" ht="70.5" hidden="1" customHeight="1">
      <c r="C6283" s="701"/>
      <c r="D6283" s="811"/>
      <c r="E6283" s="1276">
        <f>[11]building!Y6614</f>
        <v>0</v>
      </c>
      <c r="F6283" s="748">
        <f t="shared" si="337"/>
        <v>0</v>
      </c>
      <c r="G6283" s="1205"/>
      <c r="H6283" s="1055"/>
      <c r="I6283" s="1055"/>
      <c r="J6283" s="1055"/>
      <c r="K6283" s="1205"/>
      <c r="L6283" s="1055"/>
      <c r="M6283" s="1205"/>
      <c r="N6283" s="1054"/>
      <c r="O6283" s="1207"/>
      <c r="Q6283" s="1207"/>
    </row>
    <row r="6284" spans="3:17" s="700" customFormat="1" ht="70.5" hidden="1" customHeight="1">
      <c r="C6284" s="701"/>
      <c r="D6284" s="811"/>
      <c r="E6284" s="1276">
        <f>[11]building!Y6615</f>
        <v>0</v>
      </c>
      <c r="F6284" s="748">
        <f t="shared" si="337"/>
        <v>0</v>
      </c>
      <c r="G6284" s="1205"/>
      <c r="H6284" s="1055"/>
      <c r="I6284" s="1055"/>
      <c r="J6284" s="1055"/>
      <c r="K6284" s="1205"/>
      <c r="L6284" s="1055"/>
      <c r="M6284" s="1205"/>
      <c r="N6284" s="1054"/>
      <c r="O6284" s="1207"/>
      <c r="Q6284" s="1207"/>
    </row>
    <row r="6285" spans="3:17" s="700" customFormat="1" ht="70.5" hidden="1" customHeight="1">
      <c r="C6285" s="701"/>
      <c r="D6285" s="811"/>
      <c r="E6285" s="1276">
        <f>[11]building!Y6616</f>
        <v>0</v>
      </c>
      <c r="F6285" s="748">
        <f t="shared" si="337"/>
        <v>0</v>
      </c>
      <c r="G6285" s="1205"/>
      <c r="H6285" s="1055"/>
      <c r="I6285" s="1055"/>
      <c r="J6285" s="1055"/>
      <c r="K6285" s="1205"/>
      <c r="L6285" s="1055"/>
      <c r="M6285" s="1205"/>
      <c r="N6285" s="1054"/>
      <c r="O6285" s="1207"/>
      <c r="Q6285" s="1207"/>
    </row>
    <row r="6286" spans="3:17" s="700" customFormat="1" ht="70.5" hidden="1" customHeight="1">
      <c r="C6286" s="701"/>
      <c r="D6286" s="811"/>
      <c r="E6286" s="1276">
        <f>[11]building!Y6617</f>
        <v>0</v>
      </c>
      <c r="F6286" s="748">
        <f t="shared" si="337"/>
        <v>0</v>
      </c>
      <c r="G6286" s="1205"/>
      <c r="H6286" s="1055"/>
      <c r="I6286" s="1055"/>
      <c r="J6286" s="1055"/>
      <c r="K6286" s="1205"/>
      <c r="L6286" s="1055"/>
      <c r="M6286" s="1205"/>
      <c r="N6286" s="1054"/>
      <c r="O6286" s="1207"/>
      <c r="Q6286" s="1207"/>
    </row>
    <row r="6287" spans="3:17" s="700" customFormat="1" ht="70.5" hidden="1" customHeight="1">
      <c r="C6287" s="701"/>
      <c r="D6287" s="811"/>
      <c r="E6287" s="1276">
        <f>[11]building!Y6618</f>
        <v>0</v>
      </c>
      <c r="F6287" s="748">
        <f t="shared" si="337"/>
        <v>0</v>
      </c>
      <c r="G6287" s="1205"/>
      <c r="H6287" s="1055"/>
      <c r="I6287" s="1055"/>
      <c r="J6287" s="1055"/>
      <c r="K6287" s="1205"/>
      <c r="L6287" s="1055"/>
      <c r="M6287" s="1205"/>
      <c r="N6287" s="1054"/>
      <c r="O6287" s="1207"/>
      <c r="Q6287" s="1207"/>
    </row>
    <row r="6288" spans="3:17" s="700" customFormat="1" ht="70.5" hidden="1" customHeight="1">
      <c r="C6288" s="701"/>
      <c r="D6288" s="811"/>
      <c r="E6288" s="1276">
        <f>[11]building!Y6619</f>
        <v>0</v>
      </c>
      <c r="F6288" s="748">
        <f t="shared" si="337"/>
        <v>0</v>
      </c>
      <c r="G6288" s="1205"/>
      <c r="H6288" s="1055"/>
      <c r="I6288" s="1055"/>
      <c r="J6288" s="1055"/>
      <c r="K6288" s="1205"/>
      <c r="L6288" s="1055"/>
      <c r="M6288" s="1205"/>
      <c r="N6288" s="1054"/>
      <c r="O6288" s="1207"/>
      <c r="Q6288" s="1207"/>
    </row>
    <row r="6289" spans="3:17" s="700" customFormat="1" ht="70.5" hidden="1" customHeight="1">
      <c r="C6289" s="701"/>
      <c r="D6289" s="811"/>
      <c r="E6289" s="1276">
        <f>[11]building!Y6620</f>
        <v>0</v>
      </c>
      <c r="F6289" s="748">
        <f t="shared" si="337"/>
        <v>0</v>
      </c>
      <c r="G6289" s="1205"/>
      <c r="H6289" s="1055"/>
      <c r="I6289" s="1055"/>
      <c r="J6289" s="1055"/>
      <c r="K6289" s="1205"/>
      <c r="L6289" s="1055"/>
      <c r="M6289" s="1205"/>
      <c r="N6289" s="1054"/>
      <c r="O6289" s="1207"/>
      <c r="Q6289" s="1207"/>
    </row>
    <row r="6290" spans="3:17" s="700" customFormat="1" ht="70.5" hidden="1" customHeight="1">
      <c r="C6290" s="701"/>
      <c r="D6290" s="811"/>
      <c r="E6290" s="1276">
        <f>[11]building!Y6621</f>
        <v>0</v>
      </c>
      <c r="F6290" s="748">
        <f t="shared" si="337"/>
        <v>0</v>
      </c>
      <c r="G6290" s="1205"/>
      <c r="H6290" s="1055"/>
      <c r="I6290" s="1055"/>
      <c r="J6290" s="1055"/>
      <c r="K6290" s="1205"/>
      <c r="L6290" s="1055"/>
      <c r="M6290" s="1205"/>
      <c r="N6290" s="1054"/>
      <c r="O6290" s="1207"/>
      <c r="Q6290" s="1207"/>
    </row>
    <row r="6291" spans="3:17" s="700" customFormat="1" ht="70.5" hidden="1" customHeight="1">
      <c r="C6291" s="701"/>
      <c r="D6291" s="811"/>
      <c r="E6291" s="1276">
        <f>[11]building!Y6622</f>
        <v>0</v>
      </c>
      <c r="F6291" s="748">
        <f t="shared" si="337"/>
        <v>0</v>
      </c>
      <c r="G6291" s="1205"/>
      <c r="H6291" s="1055"/>
      <c r="I6291" s="1055"/>
      <c r="J6291" s="1055"/>
      <c r="K6291" s="1205"/>
      <c r="L6291" s="1055"/>
      <c r="M6291" s="1205"/>
      <c r="N6291" s="1054"/>
      <c r="O6291" s="1207"/>
      <c r="Q6291" s="1207"/>
    </row>
    <row r="6292" spans="3:17" s="700" customFormat="1" ht="70.5" hidden="1" customHeight="1">
      <c r="C6292" s="701"/>
      <c r="D6292" s="811"/>
      <c r="E6292" s="1276">
        <f>[11]building!Y6623</f>
        <v>0</v>
      </c>
      <c r="F6292" s="748">
        <f t="shared" si="337"/>
        <v>0</v>
      </c>
      <c r="G6292" s="1205"/>
      <c r="H6292" s="1055"/>
      <c r="I6292" s="1055"/>
      <c r="J6292" s="1055"/>
      <c r="K6292" s="1205"/>
      <c r="L6292" s="1055"/>
      <c r="M6292" s="1205"/>
      <c r="N6292" s="1054"/>
      <c r="O6292" s="1207"/>
      <c r="Q6292" s="1207"/>
    </row>
    <row r="6293" spans="3:17" s="700" customFormat="1" ht="70.5" hidden="1" customHeight="1">
      <c r="C6293" s="701"/>
      <c r="D6293" s="811"/>
      <c r="E6293" s="1276">
        <f>[11]building!Y6624</f>
        <v>0</v>
      </c>
      <c r="F6293" s="748">
        <f t="shared" si="337"/>
        <v>0</v>
      </c>
      <c r="G6293" s="1205"/>
      <c r="H6293" s="1055"/>
      <c r="I6293" s="1055"/>
      <c r="J6293" s="1055"/>
      <c r="K6293" s="1205"/>
      <c r="L6293" s="1055"/>
      <c r="M6293" s="1205"/>
      <c r="N6293" s="1054"/>
      <c r="O6293" s="1207"/>
      <c r="Q6293" s="1207"/>
    </row>
    <row r="6294" spans="3:17" s="700" customFormat="1" ht="70.5" hidden="1" customHeight="1">
      <c r="C6294" s="701"/>
      <c r="D6294" s="811"/>
      <c r="E6294" s="1276">
        <f>[11]building!Y6625</f>
        <v>0</v>
      </c>
      <c r="F6294" s="748">
        <f t="shared" si="337"/>
        <v>0</v>
      </c>
      <c r="G6294" s="1205"/>
      <c r="H6294" s="1055"/>
      <c r="I6294" s="1055"/>
      <c r="J6294" s="1055"/>
      <c r="K6294" s="1205"/>
      <c r="L6294" s="1055"/>
      <c r="M6294" s="1205"/>
      <c r="N6294" s="1054"/>
      <c r="O6294" s="1207"/>
      <c r="Q6294" s="1207"/>
    </row>
    <row r="6295" spans="3:17" s="700" customFormat="1" ht="70.5" hidden="1" customHeight="1">
      <c r="C6295" s="701"/>
      <c r="D6295" s="811"/>
      <c r="E6295" s="1276">
        <f>[11]building!Y6626</f>
        <v>0</v>
      </c>
      <c r="F6295" s="748">
        <f t="shared" si="337"/>
        <v>0</v>
      </c>
      <c r="G6295" s="1205"/>
      <c r="H6295" s="1055"/>
      <c r="I6295" s="1055"/>
      <c r="J6295" s="1055"/>
      <c r="K6295" s="1205"/>
      <c r="L6295" s="1055"/>
      <c r="M6295" s="1205"/>
      <c r="N6295" s="1054"/>
      <c r="O6295" s="1207"/>
      <c r="Q6295" s="1207"/>
    </row>
    <row r="6296" spans="3:17" s="700" customFormat="1" ht="70.5" hidden="1" customHeight="1">
      <c r="C6296" s="701"/>
      <c r="D6296" s="811"/>
      <c r="E6296" s="1276">
        <f>[11]building!Y6627</f>
        <v>0</v>
      </c>
      <c r="F6296" s="748">
        <f t="shared" si="337"/>
        <v>0</v>
      </c>
      <c r="G6296" s="1205"/>
      <c r="H6296" s="1055"/>
      <c r="I6296" s="1055"/>
      <c r="J6296" s="1055"/>
      <c r="K6296" s="1205"/>
      <c r="L6296" s="1055"/>
      <c r="M6296" s="1205"/>
      <c r="N6296" s="1054"/>
      <c r="O6296" s="1207"/>
      <c r="Q6296" s="1207"/>
    </row>
    <row r="6297" spans="3:17" s="700" customFormat="1" ht="70.5" hidden="1" customHeight="1">
      <c r="C6297" s="701"/>
      <c r="D6297" s="811"/>
      <c r="E6297" s="1276">
        <f>[11]building!Y6628</f>
        <v>0</v>
      </c>
      <c r="F6297" s="748">
        <f t="shared" si="337"/>
        <v>0</v>
      </c>
      <c r="G6297" s="1205"/>
      <c r="H6297" s="1055"/>
      <c r="I6297" s="1055"/>
      <c r="J6297" s="1055"/>
      <c r="K6297" s="1205"/>
      <c r="L6297" s="1055"/>
      <c r="M6297" s="1205"/>
      <c r="N6297" s="1054"/>
      <c r="O6297" s="1207"/>
      <c r="Q6297" s="1207"/>
    </row>
    <row r="6298" spans="3:17" s="700" customFormat="1" ht="70.5" hidden="1" customHeight="1">
      <c r="C6298" s="701"/>
      <c r="D6298" s="811"/>
      <c r="E6298" s="1276">
        <f>[11]building!Y6629</f>
        <v>0</v>
      </c>
      <c r="F6298" s="748">
        <f t="shared" si="337"/>
        <v>0</v>
      </c>
      <c r="G6298" s="1205"/>
      <c r="H6298" s="1055"/>
      <c r="I6298" s="1055"/>
      <c r="J6298" s="1055"/>
      <c r="K6298" s="1205"/>
      <c r="L6298" s="1055"/>
      <c r="M6298" s="1205"/>
      <c r="N6298" s="1054"/>
      <c r="O6298" s="1207"/>
      <c r="Q6298" s="1207"/>
    </row>
    <row r="6299" spans="3:17" s="700" customFormat="1" ht="70.5" hidden="1" customHeight="1">
      <c r="C6299" s="701"/>
      <c r="D6299" s="811"/>
      <c r="E6299" s="1276">
        <f>[11]building!Y6630</f>
        <v>0</v>
      </c>
      <c r="F6299" s="748">
        <f t="shared" si="337"/>
        <v>0</v>
      </c>
      <c r="G6299" s="1205"/>
      <c r="H6299" s="1055"/>
      <c r="I6299" s="1055"/>
      <c r="J6299" s="1055"/>
      <c r="K6299" s="1205"/>
      <c r="L6299" s="1055"/>
      <c r="M6299" s="1205"/>
      <c r="N6299" s="1054"/>
      <c r="O6299" s="1207"/>
      <c r="Q6299" s="1207"/>
    </row>
    <row r="6300" spans="3:17" s="700" customFormat="1" ht="70.5" hidden="1" customHeight="1">
      <c r="C6300" s="701"/>
      <c r="D6300" s="811"/>
      <c r="E6300" s="1276">
        <f>[11]building!Y6631</f>
        <v>0</v>
      </c>
      <c r="F6300" s="748">
        <f t="shared" si="337"/>
        <v>0</v>
      </c>
      <c r="G6300" s="1205"/>
      <c r="H6300" s="1055"/>
      <c r="I6300" s="1055"/>
      <c r="J6300" s="1055"/>
      <c r="K6300" s="1205"/>
      <c r="L6300" s="1055"/>
      <c r="M6300" s="1205"/>
      <c r="N6300" s="1054"/>
      <c r="O6300" s="1207"/>
      <c r="Q6300" s="1207"/>
    </row>
    <row r="6301" spans="3:17" s="700" customFormat="1" ht="70.5" hidden="1" customHeight="1">
      <c r="C6301" s="701"/>
      <c r="D6301" s="811"/>
      <c r="E6301" s="1276">
        <f>[11]building!Y6632</f>
        <v>0</v>
      </c>
      <c r="F6301" s="748">
        <f t="shared" si="337"/>
        <v>0</v>
      </c>
      <c r="G6301" s="1205"/>
      <c r="H6301" s="1055"/>
      <c r="I6301" s="1055"/>
      <c r="J6301" s="1055"/>
      <c r="K6301" s="1205"/>
      <c r="L6301" s="1055"/>
      <c r="M6301" s="1205"/>
      <c r="N6301" s="1054"/>
      <c r="O6301" s="1207"/>
      <c r="Q6301" s="1207"/>
    </row>
    <row r="6302" spans="3:17" s="700" customFormat="1" ht="70.5" hidden="1" customHeight="1">
      <c r="C6302" s="701"/>
      <c r="D6302" s="811"/>
      <c r="E6302" s="1276">
        <f>[11]building!Y6633</f>
        <v>0</v>
      </c>
      <c r="F6302" s="748">
        <f t="shared" si="337"/>
        <v>0</v>
      </c>
      <c r="G6302" s="1205"/>
      <c r="H6302" s="1055"/>
      <c r="I6302" s="1055"/>
      <c r="J6302" s="1055"/>
      <c r="K6302" s="1205"/>
      <c r="L6302" s="1055"/>
      <c r="M6302" s="1205"/>
      <c r="N6302" s="1054"/>
      <c r="O6302" s="1207"/>
      <c r="Q6302" s="1207"/>
    </row>
    <row r="6303" spans="3:17" s="700" customFormat="1" ht="70.5" hidden="1" customHeight="1">
      <c r="C6303" s="701"/>
      <c r="D6303" s="811"/>
      <c r="E6303" s="1276">
        <f>[11]building!Y6634</f>
        <v>0</v>
      </c>
      <c r="F6303" s="748">
        <f t="shared" si="337"/>
        <v>0</v>
      </c>
      <c r="G6303" s="1205"/>
      <c r="H6303" s="1055"/>
      <c r="I6303" s="1055"/>
      <c r="J6303" s="1055"/>
      <c r="K6303" s="1205"/>
      <c r="L6303" s="1055"/>
      <c r="M6303" s="1205"/>
      <c r="N6303" s="1054"/>
      <c r="O6303" s="1207"/>
      <c r="Q6303" s="1207"/>
    </row>
    <row r="6304" spans="3:17" s="700" customFormat="1" ht="70.5" hidden="1" customHeight="1">
      <c r="C6304" s="701"/>
      <c r="D6304" s="811"/>
      <c r="E6304" s="1276">
        <f>[11]building!Y6635</f>
        <v>0</v>
      </c>
      <c r="F6304" s="748">
        <f t="shared" si="337"/>
        <v>0</v>
      </c>
      <c r="G6304" s="1205"/>
      <c r="H6304" s="1055"/>
      <c r="I6304" s="1055"/>
      <c r="J6304" s="1055"/>
      <c r="K6304" s="1205"/>
      <c r="L6304" s="1055"/>
      <c r="M6304" s="1205"/>
      <c r="N6304" s="1054"/>
      <c r="O6304" s="1207"/>
      <c r="Q6304" s="1207"/>
    </row>
    <row r="6305" spans="3:17" s="700" customFormat="1" ht="70.5" hidden="1" customHeight="1">
      <c r="C6305" s="701"/>
      <c r="D6305" s="811"/>
      <c r="E6305" s="1276">
        <f>[11]building!Y6636</f>
        <v>0</v>
      </c>
      <c r="F6305" s="748">
        <f t="shared" si="337"/>
        <v>0</v>
      </c>
      <c r="G6305" s="1205"/>
      <c r="H6305" s="1055"/>
      <c r="I6305" s="1055"/>
      <c r="J6305" s="1055"/>
      <c r="K6305" s="1205"/>
      <c r="L6305" s="1055"/>
      <c r="M6305" s="1205"/>
      <c r="N6305" s="1054"/>
      <c r="O6305" s="1207"/>
      <c r="Q6305" s="1207"/>
    </row>
    <row r="6306" spans="3:17" s="700" customFormat="1" ht="70.5" hidden="1" customHeight="1">
      <c r="C6306" s="701"/>
      <c r="D6306" s="811"/>
      <c r="E6306" s="1276">
        <f>[11]building!Y6637</f>
        <v>0</v>
      </c>
      <c r="F6306" s="748">
        <f t="shared" si="337"/>
        <v>0</v>
      </c>
      <c r="G6306" s="1205"/>
      <c r="H6306" s="1055"/>
      <c r="I6306" s="1055"/>
      <c r="J6306" s="1055"/>
      <c r="K6306" s="1205"/>
      <c r="L6306" s="1055"/>
      <c r="M6306" s="1205"/>
      <c r="N6306" s="1054"/>
      <c r="O6306" s="1207"/>
      <c r="Q6306" s="1207"/>
    </row>
    <row r="6307" spans="3:17" s="700" customFormat="1" ht="70.5" hidden="1" customHeight="1">
      <c r="C6307" s="701"/>
      <c r="D6307" s="811"/>
      <c r="E6307" s="1276">
        <f>[11]building!Y6638</f>
        <v>0</v>
      </c>
      <c r="F6307" s="748">
        <f t="shared" si="337"/>
        <v>0</v>
      </c>
      <c r="G6307" s="1205"/>
      <c r="H6307" s="1055"/>
      <c r="I6307" s="1055"/>
      <c r="J6307" s="1055"/>
      <c r="K6307" s="1205"/>
      <c r="L6307" s="1055"/>
      <c r="M6307" s="1205"/>
      <c r="N6307" s="1054"/>
      <c r="O6307" s="1207"/>
      <c r="Q6307" s="1207"/>
    </row>
    <row r="6308" spans="3:17" s="700" customFormat="1" ht="70.5" hidden="1" customHeight="1">
      <c r="C6308" s="701"/>
      <c r="D6308" s="811"/>
      <c r="E6308" s="1276">
        <f>[11]building!Y6639</f>
        <v>0</v>
      </c>
      <c r="F6308" s="748">
        <f t="shared" si="337"/>
        <v>0</v>
      </c>
      <c r="G6308" s="1205"/>
      <c r="H6308" s="1055"/>
      <c r="I6308" s="1055"/>
      <c r="J6308" s="1055"/>
      <c r="K6308" s="1205"/>
      <c r="L6308" s="1055"/>
      <c r="M6308" s="1205"/>
      <c r="N6308" s="1054"/>
      <c r="O6308" s="1207"/>
      <c r="Q6308" s="1207"/>
    </row>
    <row r="6309" spans="3:17" s="700" customFormat="1" ht="70.5" hidden="1" customHeight="1">
      <c r="C6309" s="701"/>
      <c r="D6309" s="811"/>
      <c r="E6309" s="1276">
        <f>[11]building!Y6640</f>
        <v>0</v>
      </c>
      <c r="F6309" s="748">
        <f t="shared" si="337"/>
        <v>0</v>
      </c>
      <c r="G6309" s="1205"/>
      <c r="H6309" s="1055"/>
      <c r="I6309" s="1055"/>
      <c r="J6309" s="1055"/>
      <c r="K6309" s="1205"/>
      <c r="L6309" s="1055"/>
      <c r="M6309" s="1205"/>
      <c r="N6309" s="1054"/>
      <c r="O6309" s="1207"/>
      <c r="Q6309" s="1207"/>
    </row>
    <row r="6310" spans="3:17" s="700" customFormat="1" ht="70.5" hidden="1" customHeight="1">
      <c r="C6310" s="701"/>
      <c r="D6310" s="811"/>
      <c r="E6310" s="1276">
        <f>[11]building!Y6641</f>
        <v>0</v>
      </c>
      <c r="F6310" s="748">
        <f t="shared" si="337"/>
        <v>0</v>
      </c>
      <c r="G6310" s="1205"/>
      <c r="H6310" s="1055"/>
      <c r="I6310" s="1055"/>
      <c r="J6310" s="1055"/>
      <c r="K6310" s="1205"/>
      <c r="L6310" s="1055"/>
      <c r="M6310" s="1205"/>
      <c r="N6310" s="1054"/>
      <c r="O6310" s="1207"/>
      <c r="Q6310" s="1207"/>
    </row>
    <row r="6311" spans="3:17" s="700" customFormat="1" ht="70.5" hidden="1" customHeight="1">
      <c r="C6311" s="701"/>
      <c r="D6311" s="811"/>
      <c r="E6311" s="1276">
        <f>[11]building!Y6642</f>
        <v>0</v>
      </c>
      <c r="F6311" s="748">
        <f t="shared" si="337"/>
        <v>0</v>
      </c>
      <c r="G6311" s="1205"/>
      <c r="H6311" s="1055"/>
      <c r="I6311" s="1055"/>
      <c r="J6311" s="1055"/>
      <c r="K6311" s="1205"/>
      <c r="L6311" s="1055"/>
      <c r="M6311" s="1205"/>
      <c r="N6311" s="1054"/>
      <c r="O6311" s="1207"/>
      <c r="Q6311" s="1207"/>
    </row>
    <row r="6312" spans="3:17" s="700" customFormat="1" ht="70.5" hidden="1" customHeight="1">
      <c r="C6312" s="701"/>
      <c r="D6312" s="811"/>
      <c r="E6312" s="1276">
        <f>[11]building!Y6643</f>
        <v>0</v>
      </c>
      <c r="F6312" s="748">
        <f t="shared" si="337"/>
        <v>0</v>
      </c>
      <c r="G6312" s="1205"/>
      <c r="H6312" s="1055"/>
      <c r="I6312" s="1055"/>
      <c r="J6312" s="1055"/>
      <c r="K6312" s="1205"/>
      <c r="L6312" s="1055"/>
      <c r="M6312" s="1205"/>
      <c r="N6312" s="1054"/>
      <c r="O6312" s="1207"/>
      <c r="Q6312" s="1207"/>
    </row>
    <row r="6313" spans="3:17" s="700" customFormat="1" ht="70.5" hidden="1" customHeight="1">
      <c r="C6313" s="701"/>
      <c r="D6313" s="811"/>
      <c r="E6313" s="1276">
        <f>[11]building!Y6644</f>
        <v>0</v>
      </c>
      <c r="F6313" s="748">
        <f t="shared" si="337"/>
        <v>0</v>
      </c>
      <c r="G6313" s="1205"/>
      <c r="H6313" s="1055"/>
      <c r="I6313" s="1055"/>
      <c r="J6313" s="1055"/>
      <c r="K6313" s="1205"/>
      <c r="L6313" s="1055"/>
      <c r="M6313" s="1205"/>
      <c r="N6313" s="1054"/>
      <c r="O6313" s="1207"/>
      <c r="Q6313" s="1207"/>
    </row>
    <row r="6314" spans="3:17" s="700" customFormat="1" ht="70.5" hidden="1" customHeight="1">
      <c r="C6314" s="701"/>
      <c r="D6314" s="811"/>
      <c r="E6314" s="1276">
        <f>[11]building!Y6645</f>
        <v>0</v>
      </c>
      <c r="F6314" s="748">
        <f t="shared" si="337"/>
        <v>0</v>
      </c>
      <c r="G6314" s="1205"/>
      <c r="H6314" s="1055"/>
      <c r="I6314" s="1055"/>
      <c r="J6314" s="1055"/>
      <c r="K6314" s="1205"/>
      <c r="L6314" s="1055"/>
      <c r="M6314" s="1205"/>
      <c r="N6314" s="1054"/>
      <c r="O6314" s="1207"/>
      <c r="Q6314" s="1207"/>
    </row>
    <row r="6315" spans="3:17" s="700" customFormat="1" ht="70.5" hidden="1" customHeight="1">
      <c r="C6315" s="701"/>
      <c r="D6315" s="811"/>
      <c r="E6315" s="1276">
        <f>[11]building!Y6646</f>
        <v>0</v>
      </c>
      <c r="F6315" s="748">
        <f t="shared" si="337"/>
        <v>0</v>
      </c>
      <c r="G6315" s="1205"/>
      <c r="H6315" s="1055"/>
      <c r="I6315" s="1055"/>
      <c r="J6315" s="1055"/>
      <c r="K6315" s="1205"/>
      <c r="L6315" s="1055"/>
      <c r="M6315" s="1205"/>
      <c r="N6315" s="1054"/>
      <c r="O6315" s="1207"/>
      <c r="Q6315" s="1207"/>
    </row>
    <row r="6316" spans="3:17" s="700" customFormat="1" ht="70.5" hidden="1" customHeight="1">
      <c r="C6316" s="701"/>
      <c r="D6316" s="811"/>
      <c r="E6316" s="1276">
        <f>[11]building!Y6647</f>
        <v>0</v>
      </c>
      <c r="F6316" s="748">
        <f t="shared" si="337"/>
        <v>0</v>
      </c>
      <c r="G6316" s="1205"/>
      <c r="H6316" s="1055"/>
      <c r="I6316" s="1055"/>
      <c r="J6316" s="1055"/>
      <c r="K6316" s="1205"/>
      <c r="L6316" s="1055"/>
      <c r="M6316" s="1205"/>
      <c r="N6316" s="1054"/>
      <c r="O6316" s="1207"/>
      <c r="Q6316" s="1207"/>
    </row>
    <row r="6317" spans="3:17" s="700" customFormat="1" ht="70.5" hidden="1" customHeight="1">
      <c r="C6317" s="701"/>
      <c r="D6317" s="811"/>
      <c r="E6317" s="1276">
        <f>[11]building!Y6648</f>
        <v>0</v>
      </c>
      <c r="F6317" s="748">
        <f t="shared" si="337"/>
        <v>0</v>
      </c>
      <c r="G6317" s="1205"/>
      <c r="H6317" s="1055"/>
      <c r="I6317" s="1055"/>
      <c r="J6317" s="1055"/>
      <c r="K6317" s="1205"/>
      <c r="L6317" s="1055"/>
      <c r="M6317" s="1205"/>
      <c r="N6317" s="1054"/>
      <c r="O6317" s="1207"/>
      <c r="Q6317" s="1207"/>
    </row>
    <row r="6318" spans="3:17" s="700" customFormat="1" ht="70.5" hidden="1" customHeight="1">
      <c r="C6318" s="701"/>
      <c r="D6318" s="811"/>
      <c r="E6318" s="1276">
        <f>[11]building!Y6649</f>
        <v>0</v>
      </c>
      <c r="F6318" s="748">
        <f t="shared" si="337"/>
        <v>0</v>
      </c>
      <c r="G6318" s="1205"/>
      <c r="H6318" s="1055"/>
      <c r="I6318" s="1055"/>
      <c r="J6318" s="1055"/>
      <c r="K6318" s="1205"/>
      <c r="L6318" s="1055"/>
      <c r="M6318" s="1205"/>
      <c r="N6318" s="1054"/>
      <c r="O6318" s="1207"/>
      <c r="Q6318" s="1207"/>
    </row>
    <row r="6319" spans="3:17" s="700" customFormat="1" ht="70.5" hidden="1" customHeight="1">
      <c r="C6319" s="701"/>
      <c r="D6319" s="811"/>
      <c r="E6319" s="1276">
        <f>[11]building!Y6650</f>
        <v>0</v>
      </c>
      <c r="F6319" s="748">
        <f t="shared" si="337"/>
        <v>0</v>
      </c>
      <c r="G6319" s="1205"/>
      <c r="H6319" s="1055"/>
      <c r="I6319" s="1055"/>
      <c r="J6319" s="1055"/>
      <c r="K6319" s="1205"/>
      <c r="L6319" s="1055"/>
      <c r="M6319" s="1205"/>
      <c r="N6319" s="1054"/>
      <c r="O6319" s="1207"/>
      <c r="Q6319" s="1207"/>
    </row>
    <row r="6320" spans="3:17" s="700" customFormat="1" ht="70.5" hidden="1" customHeight="1">
      <c r="C6320" s="701"/>
      <c r="D6320" s="811"/>
      <c r="E6320" s="1276">
        <f>[11]building!Y6651</f>
        <v>0</v>
      </c>
      <c r="F6320" s="748">
        <f t="shared" si="337"/>
        <v>0</v>
      </c>
      <c r="G6320" s="1205"/>
      <c r="H6320" s="1055"/>
      <c r="I6320" s="1055"/>
      <c r="J6320" s="1055"/>
      <c r="K6320" s="1205"/>
      <c r="L6320" s="1055"/>
      <c r="M6320" s="1205"/>
      <c r="N6320" s="1054"/>
      <c r="O6320" s="1207"/>
      <c r="Q6320" s="1207"/>
    </row>
    <row r="6321" spans="3:17" s="700" customFormat="1" ht="70.5" hidden="1" customHeight="1">
      <c r="C6321" s="701"/>
      <c r="D6321" s="811"/>
      <c r="E6321" s="1276">
        <f>[11]building!Y6652</f>
        <v>0</v>
      </c>
      <c r="F6321" s="748">
        <f t="shared" si="337"/>
        <v>0</v>
      </c>
      <c r="G6321" s="1205"/>
      <c r="H6321" s="1055"/>
      <c r="I6321" s="1055"/>
      <c r="J6321" s="1055"/>
      <c r="K6321" s="1205"/>
      <c r="L6321" s="1055"/>
      <c r="M6321" s="1205"/>
      <c r="N6321" s="1054"/>
      <c r="O6321" s="1207"/>
      <c r="Q6321" s="1207"/>
    </row>
    <row r="6322" spans="3:17" s="700" customFormat="1" ht="70.5" hidden="1" customHeight="1">
      <c r="C6322" s="701"/>
      <c r="D6322" s="811"/>
      <c r="E6322" s="1276">
        <f>[11]building!Y6653</f>
        <v>0</v>
      </c>
      <c r="F6322" s="748">
        <f t="shared" si="337"/>
        <v>0</v>
      </c>
      <c r="G6322" s="1205"/>
      <c r="H6322" s="1055"/>
      <c r="I6322" s="1055"/>
      <c r="J6322" s="1055"/>
      <c r="K6322" s="1205"/>
      <c r="L6322" s="1055"/>
      <c r="M6322" s="1205"/>
      <c r="N6322" s="1054"/>
      <c r="O6322" s="1207"/>
      <c r="Q6322" s="1207"/>
    </row>
    <row r="6323" spans="3:17" s="700" customFormat="1" ht="70.5" hidden="1" customHeight="1">
      <c r="C6323" s="701"/>
      <c r="D6323" s="811"/>
      <c r="E6323" s="1276">
        <f>[11]building!Y6654</f>
        <v>0</v>
      </c>
      <c r="F6323" s="748">
        <f t="shared" si="337"/>
        <v>0</v>
      </c>
      <c r="G6323" s="1205"/>
      <c r="H6323" s="1055"/>
      <c r="I6323" s="1055"/>
      <c r="J6323" s="1055"/>
      <c r="K6323" s="1205"/>
      <c r="L6323" s="1055"/>
      <c r="M6323" s="1205"/>
      <c r="N6323" s="1054"/>
      <c r="O6323" s="1207"/>
      <c r="Q6323" s="1207"/>
    </row>
    <row r="6324" spans="3:17" s="700" customFormat="1" ht="70.5" hidden="1" customHeight="1">
      <c r="C6324" s="701"/>
      <c r="D6324" s="811"/>
      <c r="E6324" s="1276">
        <f>[11]building!Y6655</f>
        <v>0</v>
      </c>
      <c r="F6324" s="748">
        <f t="shared" si="337"/>
        <v>0</v>
      </c>
      <c r="G6324" s="1205"/>
      <c r="H6324" s="1055"/>
      <c r="I6324" s="1055"/>
      <c r="J6324" s="1055"/>
      <c r="K6324" s="1205"/>
      <c r="L6324" s="1055"/>
      <c r="M6324" s="1205"/>
      <c r="N6324" s="1054"/>
      <c r="O6324" s="1207"/>
      <c r="Q6324" s="1207"/>
    </row>
    <row r="6325" spans="3:17" s="700" customFormat="1" ht="70.5" hidden="1" customHeight="1">
      <c r="C6325" s="701"/>
      <c r="D6325" s="811"/>
      <c r="E6325" s="1276">
        <f>[11]building!Y6656</f>
        <v>0</v>
      </c>
      <c r="F6325" s="748">
        <f t="shared" si="337"/>
        <v>0</v>
      </c>
      <c r="G6325" s="1205"/>
      <c r="H6325" s="1055"/>
      <c r="I6325" s="1055"/>
      <c r="J6325" s="1055"/>
      <c r="K6325" s="1205"/>
      <c r="L6325" s="1055"/>
      <c r="M6325" s="1205"/>
      <c r="N6325" s="1054"/>
      <c r="O6325" s="1207"/>
      <c r="Q6325" s="1207"/>
    </row>
    <row r="6326" spans="3:17" s="700" customFormat="1" ht="70.5" hidden="1" customHeight="1">
      <c r="C6326" s="701"/>
      <c r="D6326" s="811"/>
      <c r="E6326" s="1276">
        <f>[11]building!Y6657</f>
        <v>0</v>
      </c>
      <c r="F6326" s="748">
        <f t="shared" si="337"/>
        <v>0</v>
      </c>
      <c r="G6326" s="1205"/>
      <c r="H6326" s="1055"/>
      <c r="I6326" s="1055"/>
      <c r="J6326" s="1055"/>
      <c r="K6326" s="1205"/>
      <c r="L6326" s="1055"/>
      <c r="M6326" s="1205"/>
      <c r="N6326" s="1054"/>
      <c r="O6326" s="1207"/>
      <c r="Q6326" s="1207"/>
    </row>
    <row r="6327" spans="3:17" s="700" customFormat="1" ht="70.5" hidden="1" customHeight="1">
      <c r="C6327" s="701"/>
      <c r="D6327" s="811"/>
      <c r="E6327" s="1276">
        <f>[11]building!Y6658</f>
        <v>0</v>
      </c>
      <c r="F6327" s="748">
        <f t="shared" si="337"/>
        <v>0</v>
      </c>
      <c r="G6327" s="1205"/>
      <c r="H6327" s="1055"/>
      <c r="I6327" s="1055"/>
      <c r="J6327" s="1055"/>
      <c r="K6327" s="1205"/>
      <c r="L6327" s="1055"/>
      <c r="M6327" s="1205"/>
      <c r="N6327" s="1054"/>
      <c r="O6327" s="1207"/>
      <c r="Q6327" s="1207"/>
    </row>
    <row r="6328" spans="3:17" s="700" customFormat="1" ht="70.5" hidden="1" customHeight="1">
      <c r="C6328" s="701"/>
      <c r="D6328" s="811"/>
      <c r="E6328" s="1276">
        <f>[11]building!Y6659</f>
        <v>0</v>
      </c>
      <c r="F6328" s="748">
        <f t="shared" si="337"/>
        <v>0</v>
      </c>
      <c r="G6328" s="1205"/>
      <c r="H6328" s="1055"/>
      <c r="I6328" s="1055"/>
      <c r="J6328" s="1055"/>
      <c r="K6328" s="1205"/>
      <c r="L6328" s="1055"/>
      <c r="M6328" s="1205"/>
      <c r="N6328" s="1054"/>
      <c r="O6328" s="1207"/>
      <c r="Q6328" s="1207"/>
    </row>
    <row r="6329" spans="3:17" s="700" customFormat="1" ht="70.5" hidden="1" customHeight="1">
      <c r="C6329" s="701"/>
      <c r="D6329" s="811"/>
      <c r="E6329" s="1276">
        <f>[11]building!Y6660</f>
        <v>0</v>
      </c>
      <c r="F6329" s="748">
        <f t="shared" si="337"/>
        <v>0</v>
      </c>
      <c r="G6329" s="1205"/>
      <c r="H6329" s="1055"/>
      <c r="I6329" s="1055"/>
      <c r="J6329" s="1055"/>
      <c r="K6329" s="1205"/>
      <c r="L6329" s="1055"/>
      <c r="M6329" s="1205"/>
      <c r="N6329" s="1054"/>
      <c r="O6329" s="1207"/>
      <c r="Q6329" s="1207"/>
    </row>
    <row r="6330" spans="3:17" s="700" customFormat="1" ht="70.5" hidden="1" customHeight="1">
      <c r="C6330" s="701"/>
      <c r="D6330" s="811"/>
      <c r="E6330" s="1276">
        <f>[11]building!Y6661</f>
        <v>0</v>
      </c>
      <c r="F6330" s="748">
        <f t="shared" si="337"/>
        <v>0</v>
      </c>
      <c r="G6330" s="1205"/>
      <c r="H6330" s="1055"/>
      <c r="I6330" s="1055"/>
      <c r="J6330" s="1055"/>
      <c r="K6330" s="1205"/>
      <c r="L6330" s="1055"/>
      <c r="M6330" s="1205"/>
      <c r="N6330" s="1054"/>
      <c r="O6330" s="1207"/>
      <c r="Q6330" s="1207"/>
    </row>
    <row r="6331" spans="3:17" s="700" customFormat="1" ht="70.5" hidden="1" customHeight="1">
      <c r="C6331" s="701"/>
      <c r="D6331" s="811"/>
      <c r="E6331" s="1276">
        <f>[11]building!Y6662</f>
        <v>0</v>
      </c>
      <c r="F6331" s="748">
        <f t="shared" si="337"/>
        <v>0</v>
      </c>
      <c r="G6331" s="1205"/>
      <c r="H6331" s="1055"/>
      <c r="I6331" s="1055"/>
      <c r="J6331" s="1055"/>
      <c r="K6331" s="1205"/>
      <c r="L6331" s="1055"/>
      <c r="M6331" s="1205"/>
      <c r="N6331" s="1054"/>
      <c r="O6331" s="1207"/>
      <c r="Q6331" s="1207"/>
    </row>
    <row r="6332" spans="3:17" s="700" customFormat="1" ht="70.5" hidden="1" customHeight="1">
      <c r="C6332" s="701"/>
      <c r="D6332" s="811"/>
      <c r="E6332" s="1276">
        <f>[11]building!Y6663</f>
        <v>0</v>
      </c>
      <c r="F6332" s="748">
        <f t="shared" si="337"/>
        <v>0</v>
      </c>
      <c r="G6332" s="1205"/>
      <c r="H6332" s="1055"/>
      <c r="I6332" s="1055"/>
      <c r="J6332" s="1055"/>
      <c r="K6332" s="1205"/>
      <c r="L6332" s="1055"/>
      <c r="M6332" s="1205"/>
      <c r="N6332" s="1054"/>
      <c r="O6332" s="1207"/>
      <c r="Q6332" s="1207"/>
    </row>
    <row r="6333" spans="3:17" s="700" customFormat="1" ht="70.5" hidden="1" customHeight="1">
      <c r="C6333" s="701"/>
      <c r="D6333" s="811"/>
      <c r="E6333" s="1276">
        <f>[11]building!Y6664</f>
        <v>0</v>
      </c>
      <c r="F6333" s="748">
        <f t="shared" si="337"/>
        <v>0</v>
      </c>
      <c r="G6333" s="1205"/>
      <c r="H6333" s="1055"/>
      <c r="I6333" s="1055"/>
      <c r="J6333" s="1055"/>
      <c r="K6333" s="1205"/>
      <c r="L6333" s="1055"/>
      <c r="M6333" s="1205"/>
      <c r="N6333" s="1054"/>
      <c r="O6333" s="1207"/>
      <c r="Q6333" s="1207"/>
    </row>
    <row r="6334" spans="3:17" s="700" customFormat="1" ht="70.5" hidden="1" customHeight="1">
      <c r="C6334" s="701"/>
      <c r="D6334" s="811"/>
      <c r="E6334" s="1276">
        <f>[11]building!Y6665</f>
        <v>0</v>
      </c>
      <c r="F6334" s="748">
        <f t="shared" si="337"/>
        <v>0</v>
      </c>
      <c r="G6334" s="1205"/>
      <c r="H6334" s="1055"/>
      <c r="I6334" s="1055"/>
      <c r="J6334" s="1055"/>
      <c r="K6334" s="1205"/>
      <c r="L6334" s="1055"/>
      <c r="M6334" s="1205"/>
      <c r="N6334" s="1054"/>
      <c r="O6334" s="1207"/>
      <c r="Q6334" s="1207"/>
    </row>
    <row r="6335" spans="3:17" s="700" customFormat="1" ht="70.5" hidden="1" customHeight="1">
      <c r="C6335" s="701"/>
      <c r="D6335" s="811"/>
      <c r="E6335" s="1276">
        <f>[11]building!Y6666</f>
        <v>0</v>
      </c>
      <c r="F6335" s="748">
        <f t="shared" si="337"/>
        <v>0</v>
      </c>
      <c r="G6335" s="1205"/>
      <c r="H6335" s="1055"/>
      <c r="I6335" s="1055"/>
      <c r="J6335" s="1055"/>
      <c r="K6335" s="1205"/>
      <c r="L6335" s="1055"/>
      <c r="M6335" s="1205"/>
      <c r="N6335" s="1054"/>
      <c r="O6335" s="1207"/>
      <c r="Q6335" s="1207"/>
    </row>
    <row r="6336" spans="3:17" s="700" customFormat="1" ht="70.5" hidden="1" customHeight="1">
      <c r="C6336" s="701"/>
      <c r="D6336" s="811"/>
      <c r="E6336" s="1276">
        <f>[11]building!Y6667</f>
        <v>0</v>
      </c>
      <c r="F6336" s="748">
        <f t="shared" ref="F6336:F6399" si="338">E6336*C6336</f>
        <v>0</v>
      </c>
      <c r="G6336" s="1205"/>
      <c r="H6336" s="1055"/>
      <c r="I6336" s="1055"/>
      <c r="J6336" s="1055"/>
      <c r="K6336" s="1205"/>
      <c r="L6336" s="1055"/>
      <c r="M6336" s="1205"/>
      <c r="N6336" s="1054"/>
      <c r="O6336" s="1207"/>
      <c r="Q6336" s="1207"/>
    </row>
    <row r="6337" spans="3:17" s="700" customFormat="1" ht="70.5" hidden="1" customHeight="1">
      <c r="C6337" s="701"/>
      <c r="D6337" s="811"/>
      <c r="E6337" s="1276">
        <f>[11]building!Y6668</f>
        <v>0</v>
      </c>
      <c r="F6337" s="748">
        <f t="shared" si="338"/>
        <v>0</v>
      </c>
      <c r="G6337" s="1205"/>
      <c r="H6337" s="1055"/>
      <c r="I6337" s="1055"/>
      <c r="J6337" s="1055"/>
      <c r="K6337" s="1205"/>
      <c r="L6337" s="1055"/>
      <c r="M6337" s="1205"/>
      <c r="N6337" s="1054"/>
      <c r="O6337" s="1207"/>
      <c r="Q6337" s="1207"/>
    </row>
    <row r="6338" spans="3:17" s="700" customFormat="1" ht="70.5" hidden="1" customHeight="1">
      <c r="C6338" s="701"/>
      <c r="D6338" s="811"/>
      <c r="E6338" s="1276">
        <f>[11]building!Y6669</f>
        <v>0</v>
      </c>
      <c r="F6338" s="748">
        <f t="shared" si="338"/>
        <v>0</v>
      </c>
      <c r="G6338" s="1205"/>
      <c r="H6338" s="1055"/>
      <c r="I6338" s="1055"/>
      <c r="J6338" s="1055"/>
      <c r="K6338" s="1205"/>
      <c r="L6338" s="1055"/>
      <c r="M6338" s="1205"/>
      <c r="N6338" s="1054"/>
      <c r="O6338" s="1207"/>
      <c r="Q6338" s="1207"/>
    </row>
    <row r="6339" spans="3:17" s="700" customFormat="1" ht="70.5" hidden="1" customHeight="1">
      <c r="C6339" s="701"/>
      <c r="D6339" s="811"/>
      <c r="E6339" s="1276">
        <f>[11]building!Y6670</f>
        <v>0</v>
      </c>
      <c r="F6339" s="748">
        <f t="shared" si="338"/>
        <v>0</v>
      </c>
      <c r="G6339" s="1205"/>
      <c r="H6339" s="1055"/>
      <c r="I6339" s="1055"/>
      <c r="J6339" s="1055"/>
      <c r="K6339" s="1205"/>
      <c r="L6339" s="1055"/>
      <c r="M6339" s="1205"/>
      <c r="N6339" s="1054"/>
      <c r="O6339" s="1207"/>
      <c r="Q6339" s="1207"/>
    </row>
    <row r="6340" spans="3:17" s="700" customFormat="1" ht="70.5" hidden="1" customHeight="1">
      <c r="C6340" s="701"/>
      <c r="D6340" s="811"/>
      <c r="E6340" s="1276">
        <f>[11]building!Y6671</f>
        <v>0</v>
      </c>
      <c r="F6340" s="748">
        <f t="shared" si="338"/>
        <v>0</v>
      </c>
      <c r="G6340" s="1205"/>
      <c r="H6340" s="1055"/>
      <c r="I6340" s="1055"/>
      <c r="J6340" s="1055"/>
      <c r="K6340" s="1205"/>
      <c r="L6340" s="1055"/>
      <c r="M6340" s="1205"/>
      <c r="N6340" s="1054"/>
      <c r="O6340" s="1207"/>
      <c r="Q6340" s="1207"/>
    </row>
    <row r="6341" spans="3:17" s="700" customFormat="1" ht="70.5" hidden="1" customHeight="1">
      <c r="C6341" s="701"/>
      <c r="D6341" s="811"/>
      <c r="E6341" s="1276">
        <f>[11]building!Y6672</f>
        <v>0</v>
      </c>
      <c r="F6341" s="748">
        <f t="shared" si="338"/>
        <v>0</v>
      </c>
      <c r="G6341" s="1205"/>
      <c r="H6341" s="1055"/>
      <c r="I6341" s="1055"/>
      <c r="J6341" s="1055"/>
      <c r="K6341" s="1205"/>
      <c r="L6341" s="1055"/>
      <c r="M6341" s="1205"/>
      <c r="N6341" s="1054"/>
      <c r="O6341" s="1207"/>
      <c r="Q6341" s="1207"/>
    </row>
    <row r="6342" spans="3:17" s="700" customFormat="1" ht="70.5" hidden="1" customHeight="1">
      <c r="C6342" s="701"/>
      <c r="D6342" s="811"/>
      <c r="E6342" s="1276">
        <f>[11]building!Y6673</f>
        <v>0</v>
      </c>
      <c r="F6342" s="748">
        <f t="shared" si="338"/>
        <v>0</v>
      </c>
      <c r="G6342" s="1205"/>
      <c r="H6342" s="1055"/>
      <c r="I6342" s="1055"/>
      <c r="J6342" s="1055"/>
      <c r="K6342" s="1205"/>
      <c r="L6342" s="1055"/>
      <c r="M6342" s="1205"/>
      <c r="N6342" s="1054"/>
      <c r="O6342" s="1207"/>
      <c r="Q6342" s="1207"/>
    </row>
    <row r="6343" spans="3:17" s="700" customFormat="1" ht="70.5" hidden="1" customHeight="1">
      <c r="C6343" s="701"/>
      <c r="D6343" s="811"/>
      <c r="E6343" s="1276">
        <f>[11]building!Y6674</f>
        <v>0</v>
      </c>
      <c r="F6343" s="748">
        <f t="shared" si="338"/>
        <v>0</v>
      </c>
      <c r="G6343" s="1205"/>
      <c r="H6343" s="1055"/>
      <c r="I6343" s="1055"/>
      <c r="J6343" s="1055"/>
      <c r="K6343" s="1205"/>
      <c r="L6343" s="1055"/>
      <c r="M6343" s="1205"/>
      <c r="N6343" s="1054"/>
      <c r="O6343" s="1207"/>
      <c r="Q6343" s="1207"/>
    </row>
    <row r="6344" spans="3:17" s="700" customFormat="1" ht="70.5" hidden="1" customHeight="1">
      <c r="C6344" s="701"/>
      <c r="D6344" s="811"/>
      <c r="E6344" s="1276">
        <f>[11]building!Y6675</f>
        <v>0</v>
      </c>
      <c r="F6344" s="748">
        <f t="shared" si="338"/>
        <v>0</v>
      </c>
      <c r="G6344" s="1205"/>
      <c r="H6344" s="1055"/>
      <c r="I6344" s="1055"/>
      <c r="J6344" s="1055"/>
      <c r="K6344" s="1205"/>
      <c r="L6344" s="1055"/>
      <c r="M6344" s="1205"/>
      <c r="N6344" s="1054"/>
      <c r="O6344" s="1207"/>
      <c r="Q6344" s="1207"/>
    </row>
    <row r="6345" spans="3:17" s="700" customFormat="1" ht="70.5" hidden="1" customHeight="1">
      <c r="C6345" s="701"/>
      <c r="D6345" s="811"/>
      <c r="E6345" s="1276">
        <f>[11]building!Y6676</f>
        <v>0</v>
      </c>
      <c r="F6345" s="748">
        <f t="shared" si="338"/>
        <v>0</v>
      </c>
      <c r="G6345" s="1205"/>
      <c r="H6345" s="1055"/>
      <c r="I6345" s="1055"/>
      <c r="J6345" s="1055"/>
      <c r="K6345" s="1205"/>
      <c r="L6345" s="1055"/>
      <c r="M6345" s="1205"/>
      <c r="N6345" s="1054"/>
      <c r="O6345" s="1207"/>
      <c r="Q6345" s="1207"/>
    </row>
    <row r="6346" spans="3:17" s="700" customFormat="1" ht="70.5" hidden="1" customHeight="1">
      <c r="C6346" s="701"/>
      <c r="D6346" s="811"/>
      <c r="E6346" s="1276">
        <f>[11]building!Y6677</f>
        <v>0</v>
      </c>
      <c r="F6346" s="748">
        <f t="shared" si="338"/>
        <v>0</v>
      </c>
      <c r="G6346" s="1205"/>
      <c r="H6346" s="1055"/>
      <c r="I6346" s="1055"/>
      <c r="J6346" s="1055"/>
      <c r="K6346" s="1205"/>
      <c r="L6346" s="1055"/>
      <c r="M6346" s="1205"/>
      <c r="N6346" s="1054"/>
      <c r="O6346" s="1207"/>
      <c r="Q6346" s="1207"/>
    </row>
    <row r="6347" spans="3:17" s="700" customFormat="1" ht="70.5" hidden="1" customHeight="1">
      <c r="C6347" s="701"/>
      <c r="D6347" s="811"/>
      <c r="E6347" s="1276">
        <f>[11]building!Y6678</f>
        <v>0</v>
      </c>
      <c r="F6347" s="748">
        <f t="shared" si="338"/>
        <v>0</v>
      </c>
      <c r="G6347" s="1205"/>
      <c r="H6347" s="1055"/>
      <c r="I6347" s="1055"/>
      <c r="J6347" s="1055"/>
      <c r="K6347" s="1205"/>
      <c r="L6347" s="1055"/>
      <c r="M6347" s="1205"/>
      <c r="N6347" s="1054"/>
      <c r="O6347" s="1207"/>
      <c r="Q6347" s="1207"/>
    </row>
    <row r="6348" spans="3:17" s="700" customFormat="1" ht="70.5" hidden="1" customHeight="1">
      <c r="C6348" s="701"/>
      <c r="D6348" s="811"/>
      <c r="E6348" s="1276">
        <f>[11]building!Y6679</f>
        <v>0</v>
      </c>
      <c r="F6348" s="748">
        <f t="shared" si="338"/>
        <v>0</v>
      </c>
      <c r="G6348" s="1205"/>
      <c r="H6348" s="1055"/>
      <c r="I6348" s="1055"/>
      <c r="J6348" s="1055"/>
      <c r="K6348" s="1205"/>
      <c r="L6348" s="1055"/>
      <c r="M6348" s="1205"/>
      <c r="N6348" s="1054"/>
      <c r="O6348" s="1207"/>
      <c r="Q6348" s="1207"/>
    </row>
    <row r="6349" spans="3:17" s="700" customFormat="1" ht="70.5" hidden="1" customHeight="1">
      <c r="C6349" s="701"/>
      <c r="D6349" s="811"/>
      <c r="E6349" s="1276">
        <f>[11]building!Y6680</f>
        <v>0</v>
      </c>
      <c r="F6349" s="748">
        <f t="shared" si="338"/>
        <v>0</v>
      </c>
      <c r="G6349" s="1205"/>
      <c r="H6349" s="1055"/>
      <c r="I6349" s="1055"/>
      <c r="J6349" s="1055"/>
      <c r="K6349" s="1205"/>
      <c r="L6349" s="1055"/>
      <c r="M6349" s="1205"/>
      <c r="N6349" s="1054"/>
      <c r="O6349" s="1207"/>
      <c r="Q6349" s="1207"/>
    </row>
    <row r="6350" spans="3:17" s="700" customFormat="1" ht="70.5" hidden="1" customHeight="1">
      <c r="C6350" s="701"/>
      <c r="D6350" s="811"/>
      <c r="E6350" s="1276">
        <f>[11]building!Y6681</f>
        <v>0</v>
      </c>
      <c r="F6350" s="748">
        <f t="shared" si="338"/>
        <v>0</v>
      </c>
      <c r="G6350" s="1205"/>
      <c r="H6350" s="1055"/>
      <c r="I6350" s="1055"/>
      <c r="J6350" s="1055"/>
      <c r="K6350" s="1205"/>
      <c r="L6350" s="1055"/>
      <c r="M6350" s="1205"/>
      <c r="N6350" s="1054"/>
      <c r="O6350" s="1207"/>
      <c r="Q6350" s="1207"/>
    </row>
    <row r="6351" spans="3:17" s="700" customFormat="1" ht="70.5" hidden="1" customHeight="1">
      <c r="C6351" s="701"/>
      <c r="D6351" s="811"/>
      <c r="E6351" s="1276">
        <f>[11]building!Y6682</f>
        <v>0</v>
      </c>
      <c r="F6351" s="748">
        <f t="shared" si="338"/>
        <v>0</v>
      </c>
      <c r="G6351" s="1205"/>
      <c r="H6351" s="1055"/>
      <c r="I6351" s="1055"/>
      <c r="J6351" s="1055"/>
      <c r="K6351" s="1205"/>
      <c r="L6351" s="1055"/>
      <c r="M6351" s="1205"/>
      <c r="N6351" s="1054"/>
      <c r="O6351" s="1207"/>
      <c r="Q6351" s="1207"/>
    </row>
    <row r="6352" spans="3:17" s="700" customFormat="1" ht="70.5" hidden="1" customHeight="1">
      <c r="C6352" s="701"/>
      <c r="D6352" s="811"/>
      <c r="E6352" s="1276">
        <f>[11]building!Y6683</f>
        <v>0</v>
      </c>
      <c r="F6352" s="748">
        <f t="shared" si="338"/>
        <v>0</v>
      </c>
      <c r="G6352" s="1205"/>
      <c r="H6352" s="1055"/>
      <c r="I6352" s="1055"/>
      <c r="J6352" s="1055"/>
      <c r="K6352" s="1205"/>
      <c r="L6352" s="1055"/>
      <c r="M6352" s="1205"/>
      <c r="N6352" s="1054"/>
      <c r="O6352" s="1207"/>
      <c r="Q6352" s="1207"/>
    </row>
    <row r="6353" spans="3:17" s="700" customFormat="1" ht="70.5" hidden="1" customHeight="1">
      <c r="C6353" s="701"/>
      <c r="D6353" s="811"/>
      <c r="E6353" s="1276">
        <f>[11]building!Y6684</f>
        <v>0</v>
      </c>
      <c r="F6353" s="748">
        <f t="shared" si="338"/>
        <v>0</v>
      </c>
      <c r="G6353" s="1205"/>
      <c r="H6353" s="1055"/>
      <c r="I6353" s="1055"/>
      <c r="J6353" s="1055"/>
      <c r="K6353" s="1205"/>
      <c r="L6353" s="1055"/>
      <c r="M6353" s="1205"/>
      <c r="N6353" s="1054"/>
      <c r="O6353" s="1207"/>
      <c r="Q6353" s="1207"/>
    </row>
    <row r="6354" spans="3:17" s="700" customFormat="1" ht="70.5" hidden="1" customHeight="1">
      <c r="C6354" s="701"/>
      <c r="D6354" s="811"/>
      <c r="E6354" s="1276">
        <f>[11]building!Y6685</f>
        <v>0</v>
      </c>
      <c r="F6354" s="748">
        <f t="shared" si="338"/>
        <v>0</v>
      </c>
      <c r="G6354" s="1205"/>
      <c r="H6354" s="1055"/>
      <c r="I6354" s="1055"/>
      <c r="J6354" s="1055"/>
      <c r="K6354" s="1205"/>
      <c r="L6354" s="1055"/>
      <c r="M6354" s="1205"/>
      <c r="N6354" s="1054"/>
      <c r="O6354" s="1207"/>
      <c r="Q6354" s="1207"/>
    </row>
    <row r="6355" spans="3:17" s="700" customFormat="1" ht="70.5" hidden="1" customHeight="1">
      <c r="C6355" s="701"/>
      <c r="D6355" s="811"/>
      <c r="E6355" s="1276">
        <f>[11]building!Y6686</f>
        <v>0</v>
      </c>
      <c r="F6355" s="748">
        <f t="shared" si="338"/>
        <v>0</v>
      </c>
      <c r="G6355" s="1205"/>
      <c r="H6355" s="1055"/>
      <c r="I6355" s="1055"/>
      <c r="J6355" s="1055"/>
      <c r="K6355" s="1205"/>
      <c r="L6355" s="1055"/>
      <c r="M6355" s="1205"/>
      <c r="N6355" s="1054"/>
      <c r="O6355" s="1207"/>
      <c r="Q6355" s="1207"/>
    </row>
    <row r="6356" spans="3:17" s="700" customFormat="1" ht="70.5" hidden="1" customHeight="1">
      <c r="C6356" s="701"/>
      <c r="D6356" s="811"/>
      <c r="E6356" s="1276">
        <f>[11]building!Y6687</f>
        <v>0</v>
      </c>
      <c r="F6356" s="748">
        <f t="shared" si="338"/>
        <v>0</v>
      </c>
      <c r="G6356" s="1205"/>
      <c r="H6356" s="1055"/>
      <c r="I6356" s="1055"/>
      <c r="J6356" s="1055"/>
      <c r="K6356" s="1205"/>
      <c r="L6356" s="1055"/>
      <c r="M6356" s="1205"/>
      <c r="N6356" s="1054"/>
      <c r="O6356" s="1207"/>
      <c r="Q6356" s="1207"/>
    </row>
    <row r="6357" spans="3:17" s="700" customFormat="1" ht="70.5" hidden="1" customHeight="1">
      <c r="C6357" s="701"/>
      <c r="D6357" s="811"/>
      <c r="E6357" s="1276">
        <f>[11]building!Y6688</f>
        <v>0</v>
      </c>
      <c r="F6357" s="748">
        <f t="shared" si="338"/>
        <v>0</v>
      </c>
      <c r="G6357" s="1205"/>
      <c r="H6357" s="1055"/>
      <c r="I6357" s="1055"/>
      <c r="J6357" s="1055"/>
      <c r="K6357" s="1205"/>
      <c r="L6357" s="1055"/>
      <c r="M6357" s="1205"/>
      <c r="N6357" s="1054"/>
      <c r="O6357" s="1207"/>
      <c r="Q6357" s="1207"/>
    </row>
    <row r="6358" spans="3:17" s="700" customFormat="1" ht="70.5" hidden="1" customHeight="1">
      <c r="C6358" s="701"/>
      <c r="D6358" s="811"/>
      <c r="E6358" s="1276">
        <f>[11]building!Y6689</f>
        <v>0</v>
      </c>
      <c r="F6358" s="748">
        <f t="shared" si="338"/>
        <v>0</v>
      </c>
      <c r="G6358" s="1205"/>
      <c r="H6358" s="1055"/>
      <c r="I6358" s="1055"/>
      <c r="J6358" s="1055"/>
      <c r="K6358" s="1205"/>
      <c r="L6358" s="1055"/>
      <c r="M6358" s="1205"/>
      <c r="N6358" s="1054"/>
      <c r="O6358" s="1207"/>
      <c r="Q6358" s="1207"/>
    </row>
    <row r="6359" spans="3:17" s="700" customFormat="1" ht="70.5" hidden="1" customHeight="1">
      <c r="C6359" s="701"/>
      <c r="D6359" s="811"/>
      <c r="E6359" s="1276">
        <f>[11]building!Y6690</f>
        <v>0</v>
      </c>
      <c r="F6359" s="748">
        <f t="shared" si="338"/>
        <v>0</v>
      </c>
      <c r="G6359" s="1205"/>
      <c r="H6359" s="1055"/>
      <c r="I6359" s="1055"/>
      <c r="J6359" s="1055"/>
      <c r="K6359" s="1205"/>
      <c r="L6359" s="1055"/>
      <c r="M6359" s="1205"/>
      <c r="N6359" s="1054"/>
      <c r="O6359" s="1207"/>
      <c r="Q6359" s="1207"/>
    </row>
    <row r="6360" spans="3:17" s="700" customFormat="1" ht="70.5" hidden="1" customHeight="1">
      <c r="C6360" s="701"/>
      <c r="D6360" s="811"/>
      <c r="E6360" s="1276">
        <f>[11]building!Y6691</f>
        <v>0</v>
      </c>
      <c r="F6360" s="748">
        <f t="shared" si="338"/>
        <v>0</v>
      </c>
      <c r="G6360" s="1205"/>
      <c r="H6360" s="1055"/>
      <c r="I6360" s="1055"/>
      <c r="J6360" s="1055"/>
      <c r="K6360" s="1205"/>
      <c r="L6360" s="1055"/>
      <c r="M6360" s="1205"/>
      <c r="N6360" s="1054"/>
      <c r="O6360" s="1207"/>
      <c r="Q6360" s="1207"/>
    </row>
    <row r="6361" spans="3:17" s="700" customFormat="1" ht="70.5" hidden="1" customHeight="1">
      <c r="C6361" s="701"/>
      <c r="D6361" s="811"/>
      <c r="E6361" s="1276">
        <f>[11]building!Y6692</f>
        <v>0</v>
      </c>
      <c r="F6361" s="748">
        <f t="shared" si="338"/>
        <v>0</v>
      </c>
      <c r="G6361" s="1205"/>
      <c r="H6361" s="1055"/>
      <c r="I6361" s="1055"/>
      <c r="J6361" s="1055"/>
      <c r="K6361" s="1205"/>
      <c r="L6361" s="1055"/>
      <c r="M6361" s="1205"/>
      <c r="N6361" s="1054"/>
      <c r="O6361" s="1207"/>
      <c r="Q6361" s="1207"/>
    </row>
    <row r="6362" spans="3:17" s="700" customFormat="1" ht="70.5" hidden="1" customHeight="1">
      <c r="C6362" s="701"/>
      <c r="D6362" s="811"/>
      <c r="E6362" s="1276">
        <f>[11]building!Y6693</f>
        <v>0</v>
      </c>
      <c r="F6362" s="748">
        <f t="shared" si="338"/>
        <v>0</v>
      </c>
      <c r="G6362" s="1205"/>
      <c r="H6362" s="1055"/>
      <c r="I6362" s="1055"/>
      <c r="J6362" s="1055"/>
      <c r="K6362" s="1205"/>
      <c r="L6362" s="1055"/>
      <c r="M6362" s="1205"/>
      <c r="N6362" s="1054"/>
      <c r="O6362" s="1207"/>
      <c r="Q6362" s="1207"/>
    </row>
    <row r="6363" spans="3:17" s="700" customFormat="1" ht="70.5" hidden="1" customHeight="1">
      <c r="C6363" s="701"/>
      <c r="D6363" s="811"/>
      <c r="E6363" s="1276">
        <f>[11]building!Y6694</f>
        <v>0</v>
      </c>
      <c r="F6363" s="748">
        <f t="shared" si="338"/>
        <v>0</v>
      </c>
      <c r="G6363" s="1205"/>
      <c r="H6363" s="1055"/>
      <c r="I6363" s="1055"/>
      <c r="J6363" s="1055"/>
      <c r="K6363" s="1205"/>
      <c r="L6363" s="1055"/>
      <c r="M6363" s="1205"/>
      <c r="N6363" s="1054"/>
      <c r="O6363" s="1207"/>
      <c r="Q6363" s="1207"/>
    </row>
    <row r="6364" spans="3:17" s="700" customFormat="1" ht="70.5" hidden="1" customHeight="1">
      <c r="C6364" s="701"/>
      <c r="D6364" s="811"/>
      <c r="E6364" s="1276">
        <f>[11]building!Y6695</f>
        <v>0</v>
      </c>
      <c r="F6364" s="748">
        <f t="shared" si="338"/>
        <v>0</v>
      </c>
      <c r="G6364" s="1205"/>
      <c r="H6364" s="1055"/>
      <c r="I6364" s="1055"/>
      <c r="J6364" s="1055"/>
      <c r="K6364" s="1205"/>
      <c r="L6364" s="1055"/>
      <c r="M6364" s="1205"/>
      <c r="N6364" s="1054"/>
      <c r="O6364" s="1207"/>
      <c r="Q6364" s="1207"/>
    </row>
    <row r="6365" spans="3:17" s="700" customFormat="1" ht="70.5" hidden="1" customHeight="1">
      <c r="C6365" s="701"/>
      <c r="D6365" s="811"/>
      <c r="E6365" s="1276">
        <f>[11]building!Y6696</f>
        <v>0</v>
      </c>
      <c r="F6365" s="748">
        <f t="shared" si="338"/>
        <v>0</v>
      </c>
      <c r="G6365" s="1205"/>
      <c r="H6365" s="1055"/>
      <c r="I6365" s="1055"/>
      <c r="J6365" s="1055"/>
      <c r="K6365" s="1205"/>
      <c r="L6365" s="1055"/>
      <c r="M6365" s="1205"/>
      <c r="N6365" s="1054"/>
      <c r="O6365" s="1207"/>
      <c r="Q6365" s="1207"/>
    </row>
    <row r="6366" spans="3:17" s="700" customFormat="1" ht="70.5" hidden="1" customHeight="1">
      <c r="C6366" s="701"/>
      <c r="D6366" s="811"/>
      <c r="E6366" s="1276">
        <f>[11]building!Y6697</f>
        <v>0</v>
      </c>
      <c r="F6366" s="748">
        <f t="shared" si="338"/>
        <v>0</v>
      </c>
      <c r="G6366" s="1205"/>
      <c r="H6366" s="1055"/>
      <c r="I6366" s="1055"/>
      <c r="J6366" s="1055"/>
      <c r="K6366" s="1205"/>
      <c r="L6366" s="1055"/>
      <c r="M6366" s="1205"/>
      <c r="N6366" s="1054"/>
      <c r="O6366" s="1207"/>
      <c r="Q6366" s="1207"/>
    </row>
    <row r="6367" spans="3:17" s="700" customFormat="1" ht="70.5" hidden="1" customHeight="1">
      <c r="C6367" s="701"/>
      <c r="D6367" s="811"/>
      <c r="E6367" s="1276">
        <f>[11]building!Y6698</f>
        <v>0</v>
      </c>
      <c r="F6367" s="748">
        <f t="shared" si="338"/>
        <v>0</v>
      </c>
      <c r="G6367" s="1205"/>
      <c r="H6367" s="1055"/>
      <c r="I6367" s="1055"/>
      <c r="J6367" s="1055"/>
      <c r="K6367" s="1205"/>
      <c r="L6367" s="1055"/>
      <c r="M6367" s="1205"/>
      <c r="N6367" s="1054"/>
      <c r="O6367" s="1207"/>
      <c r="Q6367" s="1207"/>
    </row>
    <row r="6368" spans="3:17" s="700" customFormat="1" ht="70.5" hidden="1" customHeight="1">
      <c r="C6368" s="701"/>
      <c r="D6368" s="811"/>
      <c r="E6368" s="1276">
        <f>[11]building!Y6699</f>
        <v>0</v>
      </c>
      <c r="F6368" s="748">
        <f t="shared" si="338"/>
        <v>0</v>
      </c>
      <c r="G6368" s="1205"/>
      <c r="H6368" s="1055"/>
      <c r="I6368" s="1055"/>
      <c r="J6368" s="1055"/>
      <c r="K6368" s="1205"/>
      <c r="L6368" s="1055"/>
      <c r="M6368" s="1205"/>
      <c r="N6368" s="1054"/>
      <c r="O6368" s="1207"/>
      <c r="Q6368" s="1207"/>
    </row>
    <row r="6369" spans="3:17" s="700" customFormat="1" ht="70.5" hidden="1" customHeight="1">
      <c r="C6369" s="701"/>
      <c r="D6369" s="811"/>
      <c r="E6369" s="1276">
        <f>[11]building!Y6700</f>
        <v>0</v>
      </c>
      <c r="F6369" s="748">
        <f t="shared" si="338"/>
        <v>0</v>
      </c>
      <c r="G6369" s="1205"/>
      <c r="H6369" s="1055"/>
      <c r="I6369" s="1055"/>
      <c r="J6369" s="1055"/>
      <c r="K6369" s="1205"/>
      <c r="L6369" s="1055"/>
      <c r="M6369" s="1205"/>
      <c r="N6369" s="1054"/>
      <c r="O6369" s="1207"/>
      <c r="Q6369" s="1207"/>
    </row>
    <row r="6370" spans="3:17" s="700" customFormat="1" ht="70.5" hidden="1" customHeight="1">
      <c r="C6370" s="701"/>
      <c r="D6370" s="811"/>
      <c r="E6370" s="1276">
        <f>[11]building!Y6701</f>
        <v>0</v>
      </c>
      <c r="F6370" s="748">
        <f t="shared" si="338"/>
        <v>0</v>
      </c>
      <c r="G6370" s="1205"/>
      <c r="H6370" s="1055"/>
      <c r="I6370" s="1055"/>
      <c r="J6370" s="1055"/>
      <c r="K6370" s="1205"/>
      <c r="L6370" s="1055"/>
      <c r="M6370" s="1205"/>
      <c r="N6370" s="1054"/>
      <c r="O6370" s="1207"/>
      <c r="Q6370" s="1207"/>
    </row>
    <row r="6371" spans="3:17" s="700" customFormat="1" ht="70.5" hidden="1" customHeight="1">
      <c r="C6371" s="701"/>
      <c r="D6371" s="811"/>
      <c r="E6371" s="1276">
        <f>[11]building!Y6702</f>
        <v>0</v>
      </c>
      <c r="F6371" s="748">
        <f t="shared" si="338"/>
        <v>0</v>
      </c>
      <c r="G6371" s="1205"/>
      <c r="H6371" s="1055"/>
      <c r="I6371" s="1055"/>
      <c r="J6371" s="1055"/>
      <c r="K6371" s="1205"/>
      <c r="L6371" s="1055"/>
      <c r="M6371" s="1205"/>
      <c r="N6371" s="1054"/>
      <c r="O6371" s="1207"/>
      <c r="Q6371" s="1207"/>
    </row>
    <row r="6372" spans="3:17" s="700" customFormat="1" ht="70.5" hidden="1" customHeight="1">
      <c r="C6372" s="701"/>
      <c r="D6372" s="811"/>
      <c r="E6372" s="1276">
        <f>[11]building!Y6703</f>
        <v>0</v>
      </c>
      <c r="F6372" s="748">
        <f t="shared" si="338"/>
        <v>0</v>
      </c>
      <c r="G6372" s="1205"/>
      <c r="H6372" s="1055"/>
      <c r="I6372" s="1055"/>
      <c r="J6372" s="1055"/>
      <c r="K6372" s="1205"/>
      <c r="L6372" s="1055"/>
      <c r="M6372" s="1205"/>
      <c r="N6372" s="1054"/>
      <c r="O6372" s="1207"/>
      <c r="Q6372" s="1207"/>
    </row>
    <row r="6373" spans="3:17" s="700" customFormat="1" ht="70.5" hidden="1" customHeight="1">
      <c r="C6373" s="701"/>
      <c r="D6373" s="811"/>
      <c r="E6373" s="1276">
        <f>[11]building!Y6704</f>
        <v>0</v>
      </c>
      <c r="F6373" s="748">
        <f t="shared" si="338"/>
        <v>0</v>
      </c>
      <c r="G6373" s="1205"/>
      <c r="H6373" s="1055"/>
      <c r="I6373" s="1055"/>
      <c r="J6373" s="1055"/>
      <c r="K6373" s="1205"/>
      <c r="L6373" s="1055"/>
      <c r="M6373" s="1205"/>
      <c r="N6373" s="1054"/>
      <c r="O6373" s="1207"/>
      <c r="Q6373" s="1207"/>
    </row>
    <row r="6374" spans="3:17" s="700" customFormat="1" ht="70.5" hidden="1" customHeight="1">
      <c r="C6374" s="701"/>
      <c r="D6374" s="811"/>
      <c r="E6374" s="1276">
        <f>[11]building!Y6705</f>
        <v>0</v>
      </c>
      <c r="F6374" s="748">
        <f t="shared" si="338"/>
        <v>0</v>
      </c>
      <c r="G6374" s="1205"/>
      <c r="H6374" s="1055"/>
      <c r="I6374" s="1055"/>
      <c r="J6374" s="1055"/>
      <c r="K6374" s="1205"/>
      <c r="L6374" s="1055"/>
      <c r="M6374" s="1205"/>
      <c r="N6374" s="1054"/>
      <c r="O6374" s="1207"/>
      <c r="Q6374" s="1207"/>
    </row>
    <row r="6375" spans="3:17" s="700" customFormat="1" ht="70.5" hidden="1" customHeight="1">
      <c r="C6375" s="701"/>
      <c r="D6375" s="811"/>
      <c r="E6375" s="1276">
        <f>[11]building!Y6706</f>
        <v>0</v>
      </c>
      <c r="F6375" s="748">
        <f t="shared" si="338"/>
        <v>0</v>
      </c>
      <c r="G6375" s="1205"/>
      <c r="H6375" s="1055"/>
      <c r="I6375" s="1055"/>
      <c r="J6375" s="1055"/>
      <c r="K6375" s="1205"/>
      <c r="L6375" s="1055"/>
      <c r="M6375" s="1205"/>
      <c r="N6375" s="1054"/>
      <c r="O6375" s="1207"/>
      <c r="Q6375" s="1207"/>
    </row>
    <row r="6376" spans="3:17" s="700" customFormat="1" ht="70.5" hidden="1" customHeight="1">
      <c r="C6376" s="701"/>
      <c r="D6376" s="811"/>
      <c r="E6376" s="1276">
        <f>[11]building!Y6707</f>
        <v>0</v>
      </c>
      <c r="F6376" s="748">
        <f t="shared" si="338"/>
        <v>0</v>
      </c>
      <c r="G6376" s="1205"/>
      <c r="H6376" s="1055"/>
      <c r="I6376" s="1055"/>
      <c r="J6376" s="1055"/>
      <c r="K6376" s="1205"/>
      <c r="L6376" s="1055"/>
      <c r="M6376" s="1205"/>
      <c r="N6376" s="1054"/>
      <c r="O6376" s="1207"/>
      <c r="Q6376" s="1207"/>
    </row>
    <row r="6377" spans="3:17" s="700" customFormat="1" ht="70.5" hidden="1" customHeight="1">
      <c r="C6377" s="701"/>
      <c r="D6377" s="811"/>
      <c r="E6377" s="1276">
        <f>[11]building!Y6708</f>
        <v>0</v>
      </c>
      <c r="F6377" s="748">
        <f t="shared" si="338"/>
        <v>0</v>
      </c>
      <c r="G6377" s="1205"/>
      <c r="H6377" s="1055"/>
      <c r="I6377" s="1055"/>
      <c r="J6377" s="1055"/>
      <c r="K6377" s="1205"/>
      <c r="L6377" s="1055"/>
      <c r="M6377" s="1205"/>
      <c r="N6377" s="1054"/>
      <c r="O6377" s="1207"/>
      <c r="Q6377" s="1207"/>
    </row>
    <row r="6378" spans="3:17" s="700" customFormat="1" ht="70.5" hidden="1" customHeight="1">
      <c r="C6378" s="701"/>
      <c r="D6378" s="811"/>
      <c r="E6378" s="1276">
        <f>[11]building!Y6709</f>
        <v>0</v>
      </c>
      <c r="F6378" s="748">
        <f t="shared" si="338"/>
        <v>0</v>
      </c>
      <c r="G6378" s="1205"/>
      <c r="H6378" s="1055"/>
      <c r="I6378" s="1055"/>
      <c r="J6378" s="1055"/>
      <c r="K6378" s="1205"/>
      <c r="L6378" s="1055"/>
      <c r="M6378" s="1205"/>
      <c r="N6378" s="1054"/>
      <c r="O6378" s="1207"/>
      <c r="Q6378" s="1207"/>
    </row>
    <row r="6379" spans="3:17" s="700" customFormat="1" ht="70.5" hidden="1" customHeight="1">
      <c r="C6379" s="701"/>
      <c r="D6379" s="811"/>
      <c r="E6379" s="1276">
        <f>[11]building!Y6710</f>
        <v>0</v>
      </c>
      <c r="F6379" s="748">
        <f t="shared" si="338"/>
        <v>0</v>
      </c>
      <c r="G6379" s="1205"/>
      <c r="H6379" s="1055"/>
      <c r="I6379" s="1055"/>
      <c r="J6379" s="1055"/>
      <c r="K6379" s="1205"/>
      <c r="L6379" s="1055"/>
      <c r="M6379" s="1205"/>
      <c r="N6379" s="1054"/>
      <c r="O6379" s="1207"/>
      <c r="Q6379" s="1207"/>
    </row>
    <row r="6380" spans="3:17" s="700" customFormat="1" ht="70.5" hidden="1" customHeight="1">
      <c r="C6380" s="701"/>
      <c r="D6380" s="811"/>
      <c r="E6380" s="1276">
        <f>[11]building!Y6711</f>
        <v>0</v>
      </c>
      <c r="F6380" s="748">
        <f t="shared" si="338"/>
        <v>0</v>
      </c>
      <c r="G6380" s="1205"/>
      <c r="H6380" s="1055"/>
      <c r="I6380" s="1055"/>
      <c r="J6380" s="1055"/>
      <c r="K6380" s="1205"/>
      <c r="L6380" s="1055"/>
      <c r="M6380" s="1205"/>
      <c r="N6380" s="1054"/>
      <c r="O6380" s="1207"/>
      <c r="Q6380" s="1207"/>
    </row>
    <row r="6381" spans="3:17" s="700" customFormat="1" ht="70.5" hidden="1" customHeight="1">
      <c r="C6381" s="701"/>
      <c r="D6381" s="811"/>
      <c r="E6381" s="1276">
        <f>[11]building!Y6712</f>
        <v>0</v>
      </c>
      <c r="F6381" s="748">
        <f t="shared" si="338"/>
        <v>0</v>
      </c>
      <c r="G6381" s="1205"/>
      <c r="H6381" s="1055"/>
      <c r="I6381" s="1055"/>
      <c r="J6381" s="1055"/>
      <c r="K6381" s="1205"/>
      <c r="L6381" s="1055"/>
      <c r="M6381" s="1205"/>
      <c r="N6381" s="1054"/>
      <c r="O6381" s="1207"/>
      <c r="Q6381" s="1207"/>
    </row>
    <row r="6382" spans="3:17" s="700" customFormat="1" ht="70.5" hidden="1" customHeight="1">
      <c r="C6382" s="701"/>
      <c r="D6382" s="811"/>
      <c r="E6382" s="1276">
        <f>[11]building!Y6713</f>
        <v>0</v>
      </c>
      <c r="F6382" s="748">
        <f t="shared" si="338"/>
        <v>0</v>
      </c>
      <c r="G6382" s="1205"/>
      <c r="H6382" s="1055"/>
      <c r="I6382" s="1055"/>
      <c r="J6382" s="1055"/>
      <c r="K6382" s="1205"/>
      <c r="L6382" s="1055"/>
      <c r="M6382" s="1205"/>
      <c r="N6382" s="1054"/>
      <c r="O6382" s="1207"/>
      <c r="Q6382" s="1207"/>
    </row>
    <row r="6383" spans="3:17" s="700" customFormat="1" ht="70.5" hidden="1" customHeight="1">
      <c r="C6383" s="701"/>
      <c r="D6383" s="811"/>
      <c r="E6383" s="1276">
        <f>[11]building!Y6714</f>
        <v>0</v>
      </c>
      <c r="F6383" s="748">
        <f t="shared" si="338"/>
        <v>0</v>
      </c>
      <c r="G6383" s="1205"/>
      <c r="H6383" s="1055"/>
      <c r="I6383" s="1055"/>
      <c r="J6383" s="1055"/>
      <c r="K6383" s="1205"/>
      <c r="L6383" s="1055"/>
      <c r="M6383" s="1205"/>
      <c r="N6383" s="1054"/>
      <c r="O6383" s="1207"/>
      <c r="Q6383" s="1207"/>
    </row>
    <row r="6384" spans="3:17" s="700" customFormat="1" ht="70.5" hidden="1" customHeight="1">
      <c r="C6384" s="701"/>
      <c r="D6384" s="811"/>
      <c r="E6384" s="1276">
        <f>[11]building!Y6715</f>
        <v>0</v>
      </c>
      <c r="F6384" s="748">
        <f t="shared" si="338"/>
        <v>0</v>
      </c>
      <c r="G6384" s="1205"/>
      <c r="H6384" s="1055"/>
      <c r="I6384" s="1055"/>
      <c r="J6384" s="1055"/>
      <c r="K6384" s="1205"/>
      <c r="L6384" s="1055"/>
      <c r="M6384" s="1205"/>
      <c r="N6384" s="1054"/>
      <c r="O6384" s="1207"/>
      <c r="Q6384" s="1207"/>
    </row>
    <row r="6385" spans="3:17" s="700" customFormat="1" ht="70.5" hidden="1" customHeight="1">
      <c r="C6385" s="701"/>
      <c r="D6385" s="811"/>
      <c r="E6385" s="1276">
        <f>[11]building!Y6716</f>
        <v>0</v>
      </c>
      <c r="F6385" s="748">
        <f t="shared" si="338"/>
        <v>0</v>
      </c>
      <c r="G6385" s="1205"/>
      <c r="H6385" s="1055"/>
      <c r="I6385" s="1055"/>
      <c r="J6385" s="1055"/>
      <c r="K6385" s="1205"/>
      <c r="L6385" s="1055"/>
      <c r="M6385" s="1205"/>
      <c r="N6385" s="1054"/>
      <c r="O6385" s="1207"/>
      <c r="Q6385" s="1207"/>
    </row>
    <row r="6386" spans="3:17" s="700" customFormat="1" ht="70.5" hidden="1" customHeight="1">
      <c r="C6386" s="701"/>
      <c r="D6386" s="811"/>
      <c r="E6386" s="1276">
        <f>[11]building!Y6717</f>
        <v>0</v>
      </c>
      <c r="F6386" s="748">
        <f t="shared" si="338"/>
        <v>0</v>
      </c>
      <c r="G6386" s="1205"/>
      <c r="H6386" s="1055"/>
      <c r="I6386" s="1055"/>
      <c r="J6386" s="1055"/>
      <c r="K6386" s="1205"/>
      <c r="L6386" s="1055"/>
      <c r="M6386" s="1205"/>
      <c r="N6386" s="1054"/>
      <c r="O6386" s="1207"/>
      <c r="Q6386" s="1207"/>
    </row>
    <row r="6387" spans="3:17" s="700" customFormat="1" ht="70.5" hidden="1" customHeight="1">
      <c r="C6387" s="701"/>
      <c r="D6387" s="811"/>
      <c r="E6387" s="1276">
        <f>[11]building!Y6718</f>
        <v>0</v>
      </c>
      <c r="F6387" s="748">
        <f t="shared" si="338"/>
        <v>0</v>
      </c>
      <c r="G6387" s="1205"/>
      <c r="H6387" s="1055"/>
      <c r="I6387" s="1055"/>
      <c r="J6387" s="1055"/>
      <c r="K6387" s="1205"/>
      <c r="L6387" s="1055"/>
      <c r="M6387" s="1205"/>
      <c r="N6387" s="1054"/>
      <c r="O6387" s="1207"/>
      <c r="Q6387" s="1207"/>
    </row>
    <row r="6388" spans="3:17" s="700" customFormat="1" ht="70.5" hidden="1" customHeight="1">
      <c r="C6388" s="701"/>
      <c r="D6388" s="811"/>
      <c r="E6388" s="1276">
        <f>[11]building!Y6719</f>
        <v>0</v>
      </c>
      <c r="F6388" s="748">
        <f t="shared" si="338"/>
        <v>0</v>
      </c>
      <c r="G6388" s="1205"/>
      <c r="H6388" s="1055"/>
      <c r="I6388" s="1055"/>
      <c r="J6388" s="1055"/>
      <c r="K6388" s="1205"/>
      <c r="L6388" s="1055"/>
      <c r="M6388" s="1205"/>
      <c r="N6388" s="1054"/>
      <c r="O6388" s="1207"/>
      <c r="Q6388" s="1207"/>
    </row>
    <row r="6389" spans="3:17" s="700" customFormat="1" ht="70.5" hidden="1" customHeight="1">
      <c r="C6389" s="701"/>
      <c r="D6389" s="811"/>
      <c r="E6389" s="1276">
        <f>[11]building!Y6720</f>
        <v>0</v>
      </c>
      <c r="F6389" s="748">
        <f t="shared" si="338"/>
        <v>0</v>
      </c>
      <c r="G6389" s="1205"/>
      <c r="H6389" s="1055"/>
      <c r="I6389" s="1055"/>
      <c r="J6389" s="1055"/>
      <c r="K6389" s="1205"/>
      <c r="L6389" s="1055"/>
      <c r="M6389" s="1205"/>
      <c r="N6389" s="1054"/>
      <c r="O6389" s="1207"/>
      <c r="Q6389" s="1207"/>
    </row>
    <row r="6390" spans="3:17" s="700" customFormat="1" ht="70.5" hidden="1" customHeight="1">
      <c r="C6390" s="701"/>
      <c r="D6390" s="811"/>
      <c r="E6390" s="1276">
        <f>[11]building!Y6721</f>
        <v>0</v>
      </c>
      <c r="F6390" s="748">
        <f t="shared" si="338"/>
        <v>0</v>
      </c>
      <c r="G6390" s="1205"/>
      <c r="H6390" s="1055"/>
      <c r="I6390" s="1055"/>
      <c r="J6390" s="1055"/>
      <c r="K6390" s="1205"/>
      <c r="L6390" s="1055"/>
      <c r="M6390" s="1205"/>
      <c r="N6390" s="1054"/>
      <c r="O6390" s="1207"/>
      <c r="Q6390" s="1207"/>
    </row>
    <row r="6391" spans="3:17" s="700" customFormat="1" ht="70.5" hidden="1" customHeight="1">
      <c r="C6391" s="701"/>
      <c r="D6391" s="811"/>
      <c r="E6391" s="1276">
        <f>[11]building!Y6722</f>
        <v>0</v>
      </c>
      <c r="F6391" s="748">
        <f t="shared" si="338"/>
        <v>0</v>
      </c>
      <c r="G6391" s="1205"/>
      <c r="H6391" s="1055"/>
      <c r="I6391" s="1055"/>
      <c r="J6391" s="1055"/>
      <c r="K6391" s="1205"/>
      <c r="L6391" s="1055"/>
      <c r="M6391" s="1205"/>
      <c r="N6391" s="1054"/>
      <c r="O6391" s="1207"/>
      <c r="Q6391" s="1207"/>
    </row>
    <row r="6392" spans="3:17" s="700" customFormat="1" ht="70.5" hidden="1" customHeight="1">
      <c r="C6392" s="701"/>
      <c r="D6392" s="811"/>
      <c r="E6392" s="1276">
        <f>[11]building!Y6723</f>
        <v>0</v>
      </c>
      <c r="F6392" s="748">
        <f t="shared" si="338"/>
        <v>0</v>
      </c>
      <c r="G6392" s="1205"/>
      <c r="H6392" s="1055"/>
      <c r="I6392" s="1055"/>
      <c r="J6392" s="1055"/>
      <c r="K6392" s="1205"/>
      <c r="L6392" s="1055"/>
      <c r="M6392" s="1205"/>
      <c r="N6392" s="1054"/>
      <c r="O6392" s="1207"/>
      <c r="Q6392" s="1207"/>
    </row>
    <row r="6393" spans="3:17" s="700" customFormat="1" ht="70.5" hidden="1" customHeight="1">
      <c r="C6393" s="701"/>
      <c r="D6393" s="811"/>
      <c r="E6393" s="1276">
        <f>[11]building!Y6724</f>
        <v>0</v>
      </c>
      <c r="F6393" s="748">
        <f t="shared" si="338"/>
        <v>0</v>
      </c>
      <c r="G6393" s="1205"/>
      <c r="H6393" s="1055"/>
      <c r="I6393" s="1055"/>
      <c r="J6393" s="1055"/>
      <c r="K6393" s="1205"/>
      <c r="L6393" s="1055"/>
      <c r="M6393" s="1205"/>
      <c r="N6393" s="1054"/>
      <c r="O6393" s="1207"/>
      <c r="Q6393" s="1207"/>
    </row>
    <row r="6394" spans="3:17" s="700" customFormat="1" ht="70.5" hidden="1" customHeight="1">
      <c r="C6394" s="701"/>
      <c r="D6394" s="811"/>
      <c r="E6394" s="1276">
        <f>[11]building!Y6725</f>
        <v>0</v>
      </c>
      <c r="F6394" s="748">
        <f t="shared" si="338"/>
        <v>0</v>
      </c>
      <c r="G6394" s="1205"/>
      <c r="H6394" s="1055"/>
      <c r="I6394" s="1055"/>
      <c r="J6394" s="1055"/>
      <c r="K6394" s="1205"/>
      <c r="L6394" s="1055"/>
      <c r="M6394" s="1205"/>
      <c r="N6394" s="1054"/>
      <c r="O6394" s="1207"/>
      <c r="Q6394" s="1207"/>
    </row>
    <row r="6395" spans="3:17" s="700" customFormat="1" ht="70.5" hidden="1" customHeight="1">
      <c r="C6395" s="701"/>
      <c r="D6395" s="811"/>
      <c r="E6395" s="1276">
        <f>[11]building!Y6726</f>
        <v>0</v>
      </c>
      <c r="F6395" s="748">
        <f t="shared" si="338"/>
        <v>0</v>
      </c>
      <c r="G6395" s="1205"/>
      <c r="H6395" s="1055"/>
      <c r="I6395" s="1055"/>
      <c r="J6395" s="1055"/>
      <c r="K6395" s="1205"/>
      <c r="L6395" s="1055"/>
      <c r="M6395" s="1205"/>
      <c r="N6395" s="1054"/>
      <c r="O6395" s="1207"/>
      <c r="Q6395" s="1207"/>
    </row>
    <row r="6396" spans="3:17" s="700" customFormat="1" ht="70.5" hidden="1" customHeight="1">
      <c r="C6396" s="701"/>
      <c r="D6396" s="811"/>
      <c r="E6396" s="1276">
        <f>[11]building!Y6727</f>
        <v>0</v>
      </c>
      <c r="F6396" s="748">
        <f t="shared" si="338"/>
        <v>0</v>
      </c>
      <c r="G6396" s="1205"/>
      <c r="H6396" s="1055"/>
      <c r="I6396" s="1055"/>
      <c r="J6396" s="1055"/>
      <c r="K6396" s="1205"/>
      <c r="L6396" s="1055"/>
      <c r="M6396" s="1205"/>
      <c r="N6396" s="1054"/>
      <c r="O6396" s="1207"/>
      <c r="Q6396" s="1207"/>
    </row>
    <row r="6397" spans="3:17" s="700" customFormat="1" ht="70.5" hidden="1" customHeight="1">
      <c r="C6397" s="701"/>
      <c r="D6397" s="811"/>
      <c r="E6397" s="1276">
        <f>[11]building!Y6728</f>
        <v>0</v>
      </c>
      <c r="F6397" s="748">
        <f t="shared" si="338"/>
        <v>0</v>
      </c>
      <c r="G6397" s="1205"/>
      <c r="H6397" s="1055"/>
      <c r="I6397" s="1055"/>
      <c r="J6397" s="1055"/>
      <c r="K6397" s="1205"/>
      <c r="L6397" s="1055"/>
      <c r="M6397" s="1205"/>
      <c r="N6397" s="1054"/>
      <c r="O6397" s="1207"/>
      <c r="Q6397" s="1207"/>
    </row>
    <row r="6398" spans="3:17" s="700" customFormat="1" ht="70.5" hidden="1" customHeight="1">
      <c r="C6398" s="701"/>
      <c r="D6398" s="811"/>
      <c r="E6398" s="1276">
        <f>[11]building!Y6729</f>
        <v>0</v>
      </c>
      <c r="F6398" s="748">
        <f t="shared" si="338"/>
        <v>0</v>
      </c>
      <c r="G6398" s="1205"/>
      <c r="H6398" s="1055"/>
      <c r="I6398" s="1055"/>
      <c r="J6398" s="1055"/>
      <c r="K6398" s="1205"/>
      <c r="L6398" s="1055"/>
      <c r="M6398" s="1205"/>
      <c r="N6398" s="1054"/>
      <c r="O6398" s="1207"/>
      <c r="Q6398" s="1207"/>
    </row>
    <row r="6399" spans="3:17" s="700" customFormat="1" ht="70.5" hidden="1" customHeight="1">
      <c r="C6399" s="701"/>
      <c r="D6399" s="811"/>
      <c r="E6399" s="1276">
        <f>[11]building!Y6730</f>
        <v>0</v>
      </c>
      <c r="F6399" s="748">
        <f t="shared" si="338"/>
        <v>0</v>
      </c>
      <c r="G6399" s="1205"/>
      <c r="H6399" s="1055"/>
      <c r="I6399" s="1055"/>
      <c r="J6399" s="1055"/>
      <c r="K6399" s="1205"/>
      <c r="L6399" s="1055"/>
      <c r="M6399" s="1205"/>
      <c r="N6399" s="1054"/>
      <c r="O6399" s="1207"/>
      <c r="Q6399" s="1207"/>
    </row>
    <row r="6400" spans="3:17" s="700" customFormat="1" ht="70.5" hidden="1" customHeight="1">
      <c r="C6400" s="701"/>
      <c r="D6400" s="811"/>
      <c r="E6400" s="1276">
        <f>[11]building!Y6731</f>
        <v>0</v>
      </c>
      <c r="F6400" s="748">
        <f t="shared" ref="F6400:F6463" si="339">E6400*C6400</f>
        <v>0</v>
      </c>
      <c r="G6400" s="1205"/>
      <c r="H6400" s="1055"/>
      <c r="I6400" s="1055"/>
      <c r="J6400" s="1055"/>
      <c r="K6400" s="1205"/>
      <c r="L6400" s="1055"/>
      <c r="M6400" s="1205"/>
      <c r="N6400" s="1054"/>
      <c r="O6400" s="1207"/>
      <c r="Q6400" s="1207"/>
    </row>
    <row r="6401" spans="3:17" s="700" customFormat="1" ht="70.5" hidden="1" customHeight="1">
      <c r="C6401" s="701"/>
      <c r="D6401" s="811"/>
      <c r="E6401" s="1276">
        <f>[11]building!Y6732</f>
        <v>0</v>
      </c>
      <c r="F6401" s="748">
        <f t="shared" si="339"/>
        <v>0</v>
      </c>
      <c r="G6401" s="1205"/>
      <c r="H6401" s="1055"/>
      <c r="I6401" s="1055"/>
      <c r="J6401" s="1055"/>
      <c r="K6401" s="1205"/>
      <c r="L6401" s="1055"/>
      <c r="M6401" s="1205"/>
      <c r="N6401" s="1054"/>
      <c r="O6401" s="1207"/>
      <c r="Q6401" s="1207"/>
    </row>
    <row r="6402" spans="3:17" s="700" customFormat="1" ht="70.5" hidden="1" customHeight="1">
      <c r="C6402" s="701"/>
      <c r="D6402" s="811"/>
      <c r="E6402" s="1276">
        <f>[11]building!Y6733</f>
        <v>0</v>
      </c>
      <c r="F6402" s="748">
        <f t="shared" si="339"/>
        <v>0</v>
      </c>
      <c r="G6402" s="1205"/>
      <c r="H6402" s="1055"/>
      <c r="I6402" s="1055"/>
      <c r="J6402" s="1055"/>
      <c r="K6402" s="1205"/>
      <c r="L6402" s="1055"/>
      <c r="M6402" s="1205"/>
      <c r="N6402" s="1054"/>
      <c r="O6402" s="1207"/>
      <c r="Q6402" s="1207"/>
    </row>
    <row r="6403" spans="3:17" s="700" customFormat="1" ht="70.5" hidden="1" customHeight="1">
      <c r="C6403" s="701"/>
      <c r="D6403" s="811"/>
      <c r="E6403" s="1276">
        <f>[11]building!Y6734</f>
        <v>0</v>
      </c>
      <c r="F6403" s="748">
        <f t="shared" si="339"/>
        <v>0</v>
      </c>
      <c r="G6403" s="1205"/>
      <c r="H6403" s="1055"/>
      <c r="I6403" s="1055"/>
      <c r="J6403" s="1055"/>
      <c r="K6403" s="1205"/>
      <c r="L6403" s="1055"/>
      <c r="M6403" s="1205"/>
      <c r="N6403" s="1054"/>
      <c r="O6403" s="1207"/>
      <c r="Q6403" s="1207"/>
    </row>
    <row r="6404" spans="3:17" s="700" customFormat="1" ht="70.5" hidden="1" customHeight="1">
      <c r="C6404" s="701"/>
      <c r="D6404" s="811"/>
      <c r="E6404" s="1276">
        <f>[11]building!Y6735</f>
        <v>0</v>
      </c>
      <c r="F6404" s="748">
        <f t="shared" si="339"/>
        <v>0</v>
      </c>
      <c r="G6404" s="1205"/>
      <c r="H6404" s="1055"/>
      <c r="I6404" s="1055"/>
      <c r="J6404" s="1055"/>
      <c r="K6404" s="1205"/>
      <c r="L6404" s="1055"/>
      <c r="M6404" s="1205"/>
      <c r="N6404" s="1054"/>
      <c r="O6404" s="1207"/>
      <c r="Q6404" s="1207"/>
    </row>
    <row r="6405" spans="3:17" s="700" customFormat="1" ht="70.5" hidden="1" customHeight="1">
      <c r="C6405" s="701"/>
      <c r="D6405" s="811"/>
      <c r="E6405" s="1276">
        <f>[11]building!Y6736</f>
        <v>0</v>
      </c>
      <c r="F6405" s="748">
        <f t="shared" si="339"/>
        <v>0</v>
      </c>
      <c r="G6405" s="1205"/>
      <c r="H6405" s="1055"/>
      <c r="I6405" s="1055"/>
      <c r="J6405" s="1055"/>
      <c r="K6405" s="1205"/>
      <c r="L6405" s="1055"/>
      <c r="M6405" s="1205"/>
      <c r="N6405" s="1054"/>
      <c r="O6405" s="1207"/>
      <c r="Q6405" s="1207"/>
    </row>
    <row r="6406" spans="3:17" s="700" customFormat="1" ht="70.5" hidden="1" customHeight="1">
      <c r="C6406" s="701"/>
      <c r="D6406" s="811"/>
      <c r="E6406" s="1276">
        <f>[11]building!Y6737</f>
        <v>0</v>
      </c>
      <c r="F6406" s="748">
        <f t="shared" si="339"/>
        <v>0</v>
      </c>
      <c r="G6406" s="1205"/>
      <c r="H6406" s="1055"/>
      <c r="I6406" s="1055"/>
      <c r="J6406" s="1055"/>
      <c r="K6406" s="1205"/>
      <c r="L6406" s="1055"/>
      <c r="M6406" s="1205"/>
      <c r="N6406" s="1054"/>
      <c r="O6406" s="1207"/>
      <c r="Q6406" s="1207"/>
    </row>
    <row r="6407" spans="3:17" s="700" customFormat="1" ht="70.5" hidden="1" customHeight="1">
      <c r="C6407" s="701"/>
      <c r="D6407" s="811"/>
      <c r="E6407" s="1276">
        <f>[11]building!Y6738</f>
        <v>0</v>
      </c>
      <c r="F6407" s="748">
        <f t="shared" si="339"/>
        <v>0</v>
      </c>
      <c r="G6407" s="1205"/>
      <c r="H6407" s="1055"/>
      <c r="I6407" s="1055"/>
      <c r="J6407" s="1055"/>
      <c r="K6407" s="1205"/>
      <c r="L6407" s="1055"/>
      <c r="M6407" s="1205"/>
      <c r="N6407" s="1054"/>
      <c r="O6407" s="1207"/>
      <c r="Q6407" s="1207"/>
    </row>
    <row r="6408" spans="3:17" s="700" customFormat="1" ht="70.5" hidden="1" customHeight="1">
      <c r="C6408" s="701"/>
      <c r="D6408" s="811"/>
      <c r="E6408" s="1276">
        <f>[11]building!Y6739</f>
        <v>0</v>
      </c>
      <c r="F6408" s="748">
        <f t="shared" si="339"/>
        <v>0</v>
      </c>
      <c r="G6408" s="1205"/>
      <c r="H6408" s="1055"/>
      <c r="I6408" s="1055"/>
      <c r="J6408" s="1055"/>
      <c r="K6408" s="1205"/>
      <c r="L6408" s="1055"/>
      <c r="M6408" s="1205"/>
      <c r="N6408" s="1054"/>
      <c r="O6408" s="1207"/>
      <c r="Q6408" s="1207"/>
    </row>
    <row r="6409" spans="3:17" s="700" customFormat="1" ht="70.5" hidden="1" customHeight="1">
      <c r="C6409" s="701"/>
      <c r="D6409" s="811"/>
      <c r="E6409" s="1276">
        <f>[11]building!Y6740</f>
        <v>0</v>
      </c>
      <c r="F6409" s="748">
        <f t="shared" si="339"/>
        <v>0</v>
      </c>
      <c r="G6409" s="1205"/>
      <c r="H6409" s="1055"/>
      <c r="I6409" s="1055"/>
      <c r="J6409" s="1055"/>
      <c r="K6409" s="1205"/>
      <c r="L6409" s="1055"/>
      <c r="M6409" s="1205"/>
      <c r="N6409" s="1054"/>
      <c r="O6409" s="1207"/>
      <c r="Q6409" s="1207"/>
    </row>
    <row r="6410" spans="3:17" s="700" customFormat="1" ht="70.5" hidden="1" customHeight="1">
      <c r="C6410" s="701"/>
      <c r="D6410" s="811"/>
      <c r="E6410" s="1276">
        <f>[11]building!Y6741</f>
        <v>0</v>
      </c>
      <c r="F6410" s="748">
        <f t="shared" si="339"/>
        <v>0</v>
      </c>
      <c r="G6410" s="1205"/>
      <c r="H6410" s="1055"/>
      <c r="I6410" s="1055"/>
      <c r="J6410" s="1055"/>
      <c r="K6410" s="1205"/>
      <c r="L6410" s="1055"/>
      <c r="M6410" s="1205"/>
      <c r="N6410" s="1054"/>
      <c r="O6410" s="1207"/>
      <c r="Q6410" s="1207"/>
    </row>
    <row r="6411" spans="3:17" s="700" customFormat="1" ht="70.5" hidden="1" customHeight="1">
      <c r="C6411" s="701"/>
      <c r="D6411" s="811"/>
      <c r="E6411" s="1276">
        <f>[11]building!Y6742</f>
        <v>0</v>
      </c>
      <c r="F6411" s="748">
        <f t="shared" si="339"/>
        <v>0</v>
      </c>
      <c r="G6411" s="1205"/>
      <c r="H6411" s="1055"/>
      <c r="I6411" s="1055"/>
      <c r="J6411" s="1055"/>
      <c r="K6411" s="1205"/>
      <c r="L6411" s="1055"/>
      <c r="M6411" s="1205"/>
      <c r="N6411" s="1054"/>
      <c r="O6411" s="1207"/>
      <c r="Q6411" s="1207"/>
    </row>
    <row r="6412" spans="3:17" s="700" customFormat="1" ht="70.5" hidden="1" customHeight="1">
      <c r="C6412" s="701"/>
      <c r="D6412" s="811"/>
      <c r="E6412" s="1276">
        <f>[11]building!Y6743</f>
        <v>0</v>
      </c>
      <c r="F6412" s="748">
        <f t="shared" si="339"/>
        <v>0</v>
      </c>
      <c r="G6412" s="1205"/>
      <c r="H6412" s="1055"/>
      <c r="I6412" s="1055"/>
      <c r="J6412" s="1055"/>
      <c r="K6412" s="1205"/>
      <c r="L6412" s="1055"/>
      <c r="M6412" s="1205"/>
      <c r="N6412" s="1054"/>
      <c r="O6412" s="1207"/>
      <c r="Q6412" s="1207"/>
    </row>
    <row r="6413" spans="3:17" s="700" customFormat="1" ht="70.5" hidden="1" customHeight="1">
      <c r="C6413" s="701"/>
      <c r="D6413" s="811"/>
      <c r="E6413" s="1276">
        <f>[11]building!Y6744</f>
        <v>0</v>
      </c>
      <c r="F6413" s="748">
        <f t="shared" si="339"/>
        <v>0</v>
      </c>
      <c r="G6413" s="1205"/>
      <c r="H6413" s="1055"/>
      <c r="I6413" s="1055"/>
      <c r="J6413" s="1055"/>
      <c r="K6413" s="1205"/>
      <c r="L6413" s="1055"/>
      <c r="M6413" s="1205"/>
      <c r="N6413" s="1054"/>
      <c r="O6413" s="1207"/>
      <c r="Q6413" s="1207"/>
    </row>
    <row r="6414" spans="3:17" s="700" customFormat="1" ht="70.5" hidden="1" customHeight="1">
      <c r="C6414" s="701"/>
      <c r="D6414" s="811"/>
      <c r="E6414" s="1276">
        <f>[11]building!Y6745</f>
        <v>0</v>
      </c>
      <c r="F6414" s="748">
        <f t="shared" si="339"/>
        <v>0</v>
      </c>
      <c r="G6414" s="1205"/>
      <c r="H6414" s="1055"/>
      <c r="I6414" s="1055"/>
      <c r="J6414" s="1055"/>
      <c r="K6414" s="1205"/>
      <c r="L6414" s="1055"/>
      <c r="M6414" s="1205"/>
      <c r="N6414" s="1054"/>
      <c r="O6414" s="1207"/>
      <c r="Q6414" s="1207"/>
    </row>
    <row r="6415" spans="3:17" s="700" customFormat="1" ht="70.5" hidden="1" customHeight="1">
      <c r="C6415" s="701"/>
      <c r="D6415" s="811"/>
      <c r="E6415" s="1276">
        <f>[11]building!Y6746</f>
        <v>0</v>
      </c>
      <c r="F6415" s="748">
        <f t="shared" si="339"/>
        <v>0</v>
      </c>
      <c r="G6415" s="1205"/>
      <c r="H6415" s="1055"/>
      <c r="I6415" s="1055"/>
      <c r="J6415" s="1055"/>
      <c r="K6415" s="1205"/>
      <c r="L6415" s="1055"/>
      <c r="M6415" s="1205"/>
      <c r="N6415" s="1054"/>
      <c r="O6415" s="1207"/>
      <c r="Q6415" s="1207"/>
    </row>
    <row r="6416" spans="3:17" s="700" customFormat="1" ht="70.5" hidden="1" customHeight="1">
      <c r="C6416" s="701"/>
      <c r="D6416" s="811"/>
      <c r="E6416" s="1276">
        <f>[11]building!Y6747</f>
        <v>0</v>
      </c>
      <c r="F6416" s="748">
        <f t="shared" si="339"/>
        <v>0</v>
      </c>
      <c r="G6416" s="1205"/>
      <c r="H6416" s="1055"/>
      <c r="I6416" s="1055"/>
      <c r="J6416" s="1055"/>
      <c r="K6416" s="1205"/>
      <c r="L6416" s="1055"/>
      <c r="M6416" s="1205"/>
      <c r="N6416" s="1054"/>
      <c r="O6416" s="1207"/>
      <c r="Q6416" s="1207"/>
    </row>
    <row r="6417" spans="3:17" s="700" customFormat="1" ht="70.5" hidden="1" customHeight="1">
      <c r="C6417" s="701"/>
      <c r="D6417" s="811"/>
      <c r="E6417" s="1276">
        <f>[11]building!Y6748</f>
        <v>0</v>
      </c>
      <c r="F6417" s="748">
        <f t="shared" si="339"/>
        <v>0</v>
      </c>
      <c r="G6417" s="1205"/>
      <c r="H6417" s="1055"/>
      <c r="I6417" s="1055"/>
      <c r="J6417" s="1055"/>
      <c r="K6417" s="1205"/>
      <c r="L6417" s="1055"/>
      <c r="M6417" s="1205"/>
      <c r="N6417" s="1054"/>
      <c r="O6417" s="1207"/>
      <c r="Q6417" s="1207"/>
    </row>
    <row r="6418" spans="3:17" s="700" customFormat="1" ht="70.5" hidden="1" customHeight="1">
      <c r="C6418" s="701"/>
      <c r="D6418" s="811"/>
      <c r="E6418" s="1276">
        <f>[11]building!Y6749</f>
        <v>0</v>
      </c>
      <c r="F6418" s="748">
        <f t="shared" si="339"/>
        <v>0</v>
      </c>
      <c r="G6418" s="1205"/>
      <c r="H6418" s="1055"/>
      <c r="I6418" s="1055"/>
      <c r="J6418" s="1055"/>
      <c r="K6418" s="1205"/>
      <c r="L6418" s="1055"/>
      <c r="M6418" s="1205"/>
      <c r="N6418" s="1054"/>
      <c r="O6418" s="1207"/>
      <c r="Q6418" s="1207"/>
    </row>
    <row r="6419" spans="3:17" s="700" customFormat="1" ht="70.5" hidden="1" customHeight="1">
      <c r="C6419" s="701"/>
      <c r="D6419" s="811"/>
      <c r="E6419" s="1276">
        <f>[11]building!Y6750</f>
        <v>0</v>
      </c>
      <c r="F6419" s="748">
        <f t="shared" si="339"/>
        <v>0</v>
      </c>
      <c r="G6419" s="1205"/>
      <c r="H6419" s="1055"/>
      <c r="I6419" s="1055"/>
      <c r="J6419" s="1055"/>
      <c r="K6419" s="1205"/>
      <c r="L6419" s="1055"/>
      <c r="M6419" s="1205"/>
      <c r="N6419" s="1054"/>
      <c r="O6419" s="1207"/>
      <c r="Q6419" s="1207"/>
    </row>
    <row r="6420" spans="3:17" s="700" customFormat="1" ht="70.5" hidden="1" customHeight="1">
      <c r="C6420" s="701"/>
      <c r="D6420" s="811"/>
      <c r="E6420" s="1276">
        <f>[11]building!Y6751</f>
        <v>0</v>
      </c>
      <c r="F6420" s="748">
        <f t="shared" si="339"/>
        <v>0</v>
      </c>
      <c r="G6420" s="1205"/>
      <c r="H6420" s="1055"/>
      <c r="I6420" s="1055"/>
      <c r="J6420" s="1055"/>
      <c r="K6420" s="1205"/>
      <c r="L6420" s="1055"/>
      <c r="M6420" s="1205"/>
      <c r="N6420" s="1054"/>
      <c r="O6420" s="1207"/>
      <c r="Q6420" s="1207"/>
    </row>
    <row r="6421" spans="3:17" s="700" customFormat="1" ht="70.5" hidden="1" customHeight="1">
      <c r="C6421" s="701"/>
      <c r="D6421" s="811"/>
      <c r="E6421" s="1276">
        <f>[11]building!Y6752</f>
        <v>0</v>
      </c>
      <c r="F6421" s="748">
        <f t="shared" si="339"/>
        <v>0</v>
      </c>
      <c r="G6421" s="1205"/>
      <c r="H6421" s="1055"/>
      <c r="I6421" s="1055"/>
      <c r="J6421" s="1055"/>
      <c r="K6421" s="1205"/>
      <c r="L6421" s="1055"/>
      <c r="M6421" s="1205"/>
      <c r="N6421" s="1054"/>
      <c r="O6421" s="1207"/>
      <c r="Q6421" s="1207"/>
    </row>
    <row r="6422" spans="3:17" s="700" customFormat="1" ht="70.5" hidden="1" customHeight="1">
      <c r="C6422" s="701"/>
      <c r="D6422" s="811"/>
      <c r="E6422" s="1276">
        <f>[11]building!Y6753</f>
        <v>0</v>
      </c>
      <c r="F6422" s="748">
        <f t="shared" si="339"/>
        <v>0</v>
      </c>
      <c r="G6422" s="1205"/>
      <c r="H6422" s="1055"/>
      <c r="I6422" s="1055"/>
      <c r="J6422" s="1055"/>
      <c r="K6422" s="1205"/>
      <c r="L6422" s="1055"/>
      <c r="M6422" s="1205"/>
      <c r="N6422" s="1054"/>
      <c r="O6422" s="1207"/>
      <c r="Q6422" s="1207"/>
    </row>
    <row r="6423" spans="3:17" s="700" customFormat="1" ht="70.5" hidden="1" customHeight="1">
      <c r="C6423" s="701"/>
      <c r="D6423" s="811"/>
      <c r="E6423" s="1276">
        <f>[11]building!Y6754</f>
        <v>0</v>
      </c>
      <c r="F6423" s="748">
        <f t="shared" si="339"/>
        <v>0</v>
      </c>
      <c r="G6423" s="1205"/>
      <c r="H6423" s="1055"/>
      <c r="I6423" s="1055"/>
      <c r="J6423" s="1055"/>
      <c r="K6423" s="1205"/>
      <c r="L6423" s="1055"/>
      <c r="M6423" s="1205"/>
      <c r="N6423" s="1054"/>
      <c r="O6423" s="1207"/>
      <c r="Q6423" s="1207"/>
    </row>
    <row r="6424" spans="3:17" s="700" customFormat="1" ht="70.5" hidden="1" customHeight="1">
      <c r="C6424" s="701"/>
      <c r="D6424" s="811"/>
      <c r="E6424" s="1276">
        <f>[11]building!Y6755</f>
        <v>0</v>
      </c>
      <c r="F6424" s="748">
        <f t="shared" si="339"/>
        <v>0</v>
      </c>
      <c r="G6424" s="1205"/>
      <c r="H6424" s="1055"/>
      <c r="I6424" s="1055"/>
      <c r="J6424" s="1055"/>
      <c r="K6424" s="1205"/>
      <c r="L6424" s="1055"/>
      <c r="M6424" s="1205"/>
      <c r="N6424" s="1054"/>
      <c r="O6424" s="1207"/>
      <c r="Q6424" s="1207"/>
    </row>
    <row r="6425" spans="3:17" s="700" customFormat="1" ht="70.5" hidden="1" customHeight="1">
      <c r="C6425" s="701"/>
      <c r="D6425" s="811"/>
      <c r="E6425" s="1276">
        <f>[11]building!Y6756</f>
        <v>0</v>
      </c>
      <c r="F6425" s="748">
        <f t="shared" si="339"/>
        <v>0</v>
      </c>
      <c r="G6425" s="1205"/>
      <c r="H6425" s="1055"/>
      <c r="I6425" s="1055"/>
      <c r="J6425" s="1055"/>
      <c r="K6425" s="1205"/>
      <c r="L6425" s="1055"/>
      <c r="M6425" s="1205"/>
      <c r="N6425" s="1054"/>
      <c r="O6425" s="1207"/>
      <c r="Q6425" s="1207"/>
    </row>
    <row r="6426" spans="3:17" s="700" customFormat="1" ht="70.5" hidden="1" customHeight="1">
      <c r="C6426" s="701"/>
      <c r="D6426" s="811"/>
      <c r="E6426" s="1276">
        <f>[11]building!Y6757</f>
        <v>0</v>
      </c>
      <c r="F6426" s="748">
        <f t="shared" si="339"/>
        <v>0</v>
      </c>
      <c r="G6426" s="1205"/>
      <c r="H6426" s="1055"/>
      <c r="I6426" s="1055"/>
      <c r="J6426" s="1055"/>
      <c r="K6426" s="1205"/>
      <c r="L6426" s="1055"/>
      <c r="M6426" s="1205"/>
      <c r="N6426" s="1054"/>
      <c r="O6426" s="1207"/>
      <c r="Q6426" s="1207"/>
    </row>
    <row r="6427" spans="3:17" s="700" customFormat="1" ht="70.5" hidden="1" customHeight="1">
      <c r="C6427" s="701"/>
      <c r="D6427" s="811"/>
      <c r="E6427" s="1276">
        <f>[11]building!Y6758</f>
        <v>0</v>
      </c>
      <c r="F6427" s="748">
        <f t="shared" si="339"/>
        <v>0</v>
      </c>
      <c r="G6427" s="1205"/>
      <c r="H6427" s="1055"/>
      <c r="I6427" s="1055"/>
      <c r="J6427" s="1055"/>
      <c r="K6427" s="1205"/>
      <c r="L6427" s="1055"/>
      <c r="M6427" s="1205"/>
      <c r="N6427" s="1054"/>
      <c r="O6427" s="1207"/>
      <c r="Q6427" s="1207"/>
    </row>
    <row r="6428" spans="3:17" s="700" customFormat="1" ht="70.5" hidden="1" customHeight="1">
      <c r="C6428" s="701"/>
      <c r="D6428" s="811"/>
      <c r="E6428" s="1276">
        <f>[11]building!Y6759</f>
        <v>0</v>
      </c>
      <c r="F6428" s="748">
        <f t="shared" si="339"/>
        <v>0</v>
      </c>
      <c r="G6428" s="1205"/>
      <c r="H6428" s="1055"/>
      <c r="I6428" s="1055"/>
      <c r="J6428" s="1055"/>
      <c r="K6428" s="1205"/>
      <c r="L6428" s="1055"/>
      <c r="M6428" s="1205"/>
      <c r="N6428" s="1054"/>
      <c r="O6428" s="1207"/>
      <c r="Q6428" s="1207"/>
    </row>
    <row r="6429" spans="3:17" s="700" customFormat="1" ht="70.5" hidden="1" customHeight="1">
      <c r="C6429" s="701"/>
      <c r="D6429" s="811"/>
      <c r="E6429" s="1276">
        <f>[11]building!Y6760</f>
        <v>0</v>
      </c>
      <c r="F6429" s="748">
        <f t="shared" si="339"/>
        <v>0</v>
      </c>
      <c r="G6429" s="1205"/>
      <c r="H6429" s="1055"/>
      <c r="I6429" s="1055"/>
      <c r="J6429" s="1055"/>
      <c r="K6429" s="1205"/>
      <c r="L6429" s="1055"/>
      <c r="M6429" s="1205"/>
      <c r="N6429" s="1054"/>
      <c r="O6429" s="1207"/>
      <c r="Q6429" s="1207"/>
    </row>
    <row r="6430" spans="3:17" s="700" customFormat="1" ht="70.5" hidden="1" customHeight="1">
      <c r="C6430" s="701"/>
      <c r="D6430" s="811"/>
      <c r="E6430" s="1276">
        <f>[11]building!Y6761</f>
        <v>0</v>
      </c>
      <c r="F6430" s="748">
        <f t="shared" si="339"/>
        <v>0</v>
      </c>
      <c r="G6430" s="1205"/>
      <c r="H6430" s="1055"/>
      <c r="I6430" s="1055"/>
      <c r="J6430" s="1055"/>
      <c r="K6430" s="1205"/>
      <c r="L6430" s="1055"/>
      <c r="M6430" s="1205"/>
      <c r="N6430" s="1054"/>
      <c r="O6430" s="1207"/>
      <c r="Q6430" s="1207"/>
    </row>
    <row r="6431" spans="3:17" s="700" customFormat="1" ht="70.5" hidden="1" customHeight="1">
      <c r="C6431" s="701"/>
      <c r="D6431" s="811"/>
      <c r="E6431" s="1276">
        <f>[11]building!Y6762</f>
        <v>0</v>
      </c>
      <c r="F6431" s="748">
        <f t="shared" si="339"/>
        <v>0</v>
      </c>
      <c r="G6431" s="1205"/>
      <c r="H6431" s="1055"/>
      <c r="I6431" s="1055"/>
      <c r="J6431" s="1055"/>
      <c r="K6431" s="1205"/>
      <c r="L6431" s="1055"/>
      <c r="M6431" s="1205"/>
      <c r="N6431" s="1054"/>
      <c r="O6431" s="1207"/>
      <c r="Q6431" s="1207"/>
    </row>
    <row r="6432" spans="3:17" s="700" customFormat="1" ht="70.5" hidden="1" customHeight="1">
      <c r="C6432" s="701"/>
      <c r="D6432" s="811"/>
      <c r="E6432" s="1276">
        <f>[11]building!Y6763</f>
        <v>0</v>
      </c>
      <c r="F6432" s="748">
        <f t="shared" si="339"/>
        <v>0</v>
      </c>
      <c r="G6432" s="1205"/>
      <c r="H6432" s="1055"/>
      <c r="I6432" s="1055"/>
      <c r="J6432" s="1055"/>
      <c r="K6432" s="1205"/>
      <c r="L6432" s="1055"/>
      <c r="M6432" s="1205"/>
      <c r="N6432" s="1054"/>
      <c r="O6432" s="1207"/>
      <c r="Q6432" s="1207"/>
    </row>
    <row r="6433" spans="3:17" s="700" customFormat="1" ht="70.5" hidden="1" customHeight="1">
      <c r="C6433" s="701"/>
      <c r="D6433" s="811"/>
      <c r="E6433" s="1276">
        <f>[11]building!Y6764</f>
        <v>0</v>
      </c>
      <c r="F6433" s="748">
        <f t="shared" si="339"/>
        <v>0</v>
      </c>
      <c r="G6433" s="1205"/>
      <c r="H6433" s="1055"/>
      <c r="I6433" s="1055"/>
      <c r="J6433" s="1055"/>
      <c r="K6433" s="1205"/>
      <c r="L6433" s="1055"/>
      <c r="M6433" s="1205"/>
      <c r="N6433" s="1054"/>
      <c r="O6433" s="1207"/>
      <c r="Q6433" s="1207"/>
    </row>
    <row r="6434" spans="3:17" s="700" customFormat="1" ht="70.5" hidden="1" customHeight="1">
      <c r="C6434" s="701"/>
      <c r="D6434" s="811"/>
      <c r="E6434" s="1276">
        <f>[11]building!Y6765</f>
        <v>0</v>
      </c>
      <c r="F6434" s="748">
        <f t="shared" si="339"/>
        <v>0</v>
      </c>
      <c r="G6434" s="1205"/>
      <c r="H6434" s="1055"/>
      <c r="I6434" s="1055"/>
      <c r="J6434" s="1055"/>
      <c r="K6434" s="1205"/>
      <c r="L6434" s="1055"/>
      <c r="M6434" s="1205"/>
      <c r="N6434" s="1054"/>
      <c r="O6434" s="1207"/>
      <c r="Q6434" s="1207"/>
    </row>
    <row r="6435" spans="3:17" s="700" customFormat="1" ht="70.5" hidden="1" customHeight="1">
      <c r="C6435" s="701"/>
      <c r="D6435" s="811"/>
      <c r="E6435" s="1276">
        <f>[11]building!Y6766</f>
        <v>0</v>
      </c>
      <c r="F6435" s="748">
        <f t="shared" si="339"/>
        <v>0</v>
      </c>
      <c r="G6435" s="1205"/>
      <c r="H6435" s="1055"/>
      <c r="I6435" s="1055"/>
      <c r="J6435" s="1055"/>
      <c r="K6435" s="1205"/>
      <c r="L6435" s="1055"/>
      <c r="M6435" s="1205"/>
      <c r="N6435" s="1054"/>
      <c r="O6435" s="1207"/>
      <c r="Q6435" s="1207"/>
    </row>
    <row r="6436" spans="3:17" s="700" customFormat="1" ht="70.5" hidden="1" customHeight="1">
      <c r="C6436" s="701"/>
      <c r="D6436" s="811"/>
      <c r="E6436" s="1276">
        <f>[11]building!Y6767</f>
        <v>0</v>
      </c>
      <c r="F6436" s="748">
        <f t="shared" si="339"/>
        <v>0</v>
      </c>
      <c r="G6436" s="1205"/>
      <c r="H6436" s="1055"/>
      <c r="I6436" s="1055"/>
      <c r="J6436" s="1055"/>
      <c r="K6436" s="1205"/>
      <c r="L6436" s="1055"/>
      <c r="M6436" s="1205"/>
      <c r="N6436" s="1054"/>
      <c r="O6436" s="1207"/>
      <c r="Q6436" s="1207"/>
    </row>
    <row r="6437" spans="3:17" s="700" customFormat="1" ht="70.5" hidden="1" customHeight="1">
      <c r="C6437" s="701"/>
      <c r="D6437" s="811"/>
      <c r="E6437" s="1276">
        <f>[11]building!Y6768</f>
        <v>0</v>
      </c>
      <c r="F6437" s="748">
        <f t="shared" si="339"/>
        <v>0</v>
      </c>
      <c r="G6437" s="1205"/>
      <c r="H6437" s="1055"/>
      <c r="I6437" s="1055"/>
      <c r="J6437" s="1055"/>
      <c r="K6437" s="1205"/>
      <c r="L6437" s="1055"/>
      <c r="M6437" s="1205"/>
      <c r="N6437" s="1054"/>
      <c r="O6437" s="1207"/>
      <c r="Q6437" s="1207"/>
    </row>
    <row r="6438" spans="3:17" s="700" customFormat="1" ht="70.5" hidden="1" customHeight="1">
      <c r="C6438" s="701"/>
      <c r="D6438" s="811"/>
      <c r="E6438" s="1276">
        <f>[11]building!Y6769</f>
        <v>0</v>
      </c>
      <c r="F6438" s="748">
        <f t="shared" si="339"/>
        <v>0</v>
      </c>
      <c r="G6438" s="1205"/>
      <c r="H6438" s="1055"/>
      <c r="I6438" s="1055"/>
      <c r="J6438" s="1055"/>
      <c r="K6438" s="1205"/>
      <c r="L6438" s="1055"/>
      <c r="M6438" s="1205"/>
      <c r="N6438" s="1054"/>
      <c r="O6438" s="1207"/>
      <c r="Q6438" s="1207"/>
    </row>
    <row r="6439" spans="3:17" s="700" customFormat="1" ht="70.5" hidden="1" customHeight="1">
      <c r="C6439" s="701"/>
      <c r="D6439" s="811"/>
      <c r="E6439" s="1276">
        <f>[11]building!Y6770</f>
        <v>0</v>
      </c>
      <c r="F6439" s="748">
        <f t="shared" si="339"/>
        <v>0</v>
      </c>
      <c r="G6439" s="1205"/>
      <c r="H6439" s="1055"/>
      <c r="I6439" s="1055"/>
      <c r="J6439" s="1055"/>
      <c r="K6439" s="1205"/>
      <c r="L6439" s="1055"/>
      <c r="M6439" s="1205"/>
      <c r="N6439" s="1054"/>
      <c r="O6439" s="1207"/>
      <c r="Q6439" s="1207"/>
    </row>
    <row r="6440" spans="3:17" s="700" customFormat="1" ht="70.5" hidden="1" customHeight="1">
      <c r="C6440" s="701"/>
      <c r="D6440" s="811"/>
      <c r="E6440" s="1276">
        <f>[11]building!Y6771</f>
        <v>0</v>
      </c>
      <c r="F6440" s="748">
        <f t="shared" si="339"/>
        <v>0</v>
      </c>
      <c r="G6440" s="1205"/>
      <c r="H6440" s="1055"/>
      <c r="I6440" s="1055"/>
      <c r="J6440" s="1055"/>
      <c r="K6440" s="1205"/>
      <c r="L6440" s="1055"/>
      <c r="M6440" s="1205"/>
      <c r="N6440" s="1054"/>
      <c r="O6440" s="1207"/>
      <c r="Q6440" s="1207"/>
    </row>
    <row r="6441" spans="3:17" s="700" customFormat="1" ht="70.5" hidden="1" customHeight="1">
      <c r="C6441" s="701"/>
      <c r="D6441" s="811"/>
      <c r="E6441" s="1276">
        <f>[11]building!Y6772</f>
        <v>0</v>
      </c>
      <c r="F6441" s="748">
        <f t="shared" si="339"/>
        <v>0</v>
      </c>
      <c r="G6441" s="1205"/>
      <c r="H6441" s="1055"/>
      <c r="I6441" s="1055"/>
      <c r="J6441" s="1055"/>
      <c r="K6441" s="1205"/>
      <c r="L6441" s="1055"/>
      <c r="M6441" s="1205"/>
      <c r="N6441" s="1054"/>
      <c r="O6441" s="1207"/>
      <c r="Q6441" s="1207"/>
    </row>
    <row r="6442" spans="3:17" s="700" customFormat="1" ht="70.5" hidden="1" customHeight="1">
      <c r="C6442" s="701"/>
      <c r="D6442" s="811"/>
      <c r="E6442" s="1276">
        <f>[11]building!Y6773</f>
        <v>0</v>
      </c>
      <c r="F6442" s="748">
        <f t="shared" si="339"/>
        <v>0</v>
      </c>
      <c r="G6442" s="1205"/>
      <c r="H6442" s="1055"/>
      <c r="I6442" s="1055"/>
      <c r="J6442" s="1055"/>
      <c r="K6442" s="1205"/>
      <c r="L6442" s="1055"/>
      <c r="M6442" s="1205"/>
      <c r="N6442" s="1054"/>
      <c r="O6442" s="1207"/>
      <c r="Q6442" s="1207"/>
    </row>
    <row r="6443" spans="3:17" s="700" customFormat="1" ht="70.5" hidden="1" customHeight="1">
      <c r="C6443" s="701"/>
      <c r="D6443" s="811"/>
      <c r="E6443" s="1276">
        <f>[11]building!Y6774</f>
        <v>0</v>
      </c>
      <c r="F6443" s="748">
        <f t="shared" si="339"/>
        <v>0</v>
      </c>
      <c r="G6443" s="1205"/>
      <c r="H6443" s="1055"/>
      <c r="I6443" s="1055"/>
      <c r="J6443" s="1055"/>
      <c r="K6443" s="1205"/>
      <c r="L6443" s="1055"/>
      <c r="M6443" s="1205"/>
      <c r="N6443" s="1054"/>
      <c r="O6443" s="1207"/>
      <c r="Q6443" s="1207"/>
    </row>
    <row r="6444" spans="3:17" s="700" customFormat="1" ht="70.5" hidden="1" customHeight="1">
      <c r="C6444" s="701"/>
      <c r="D6444" s="811"/>
      <c r="E6444" s="1276">
        <f>[11]building!Y6775</f>
        <v>0</v>
      </c>
      <c r="F6444" s="748">
        <f t="shared" si="339"/>
        <v>0</v>
      </c>
      <c r="G6444" s="1205"/>
      <c r="H6444" s="1055"/>
      <c r="I6444" s="1055"/>
      <c r="J6444" s="1055"/>
      <c r="K6444" s="1205"/>
      <c r="L6444" s="1055"/>
      <c r="M6444" s="1205"/>
      <c r="N6444" s="1054"/>
      <c r="O6444" s="1207"/>
      <c r="Q6444" s="1207"/>
    </row>
    <row r="6445" spans="3:17" s="700" customFormat="1" ht="70.5" hidden="1" customHeight="1">
      <c r="C6445" s="701"/>
      <c r="D6445" s="811"/>
      <c r="E6445" s="1276">
        <f>[11]building!Y6776</f>
        <v>0</v>
      </c>
      <c r="F6445" s="748">
        <f t="shared" si="339"/>
        <v>0</v>
      </c>
      <c r="G6445" s="1205"/>
      <c r="H6445" s="1055"/>
      <c r="I6445" s="1055"/>
      <c r="J6445" s="1055"/>
      <c r="K6445" s="1205"/>
      <c r="L6445" s="1055"/>
      <c r="M6445" s="1205"/>
      <c r="N6445" s="1054"/>
      <c r="O6445" s="1207"/>
      <c r="Q6445" s="1207"/>
    </row>
    <row r="6446" spans="3:17" s="700" customFormat="1" ht="70.5" hidden="1" customHeight="1">
      <c r="C6446" s="701"/>
      <c r="D6446" s="811"/>
      <c r="E6446" s="1276">
        <f>[11]building!Y6777</f>
        <v>0</v>
      </c>
      <c r="F6446" s="748">
        <f t="shared" si="339"/>
        <v>0</v>
      </c>
      <c r="G6446" s="1205"/>
      <c r="H6446" s="1055"/>
      <c r="I6446" s="1055"/>
      <c r="J6446" s="1055"/>
      <c r="K6446" s="1205"/>
      <c r="L6446" s="1055"/>
      <c r="M6446" s="1205"/>
      <c r="N6446" s="1054"/>
      <c r="O6446" s="1207"/>
      <c r="Q6446" s="1207"/>
    </row>
    <row r="6447" spans="3:17" s="700" customFormat="1" ht="70.5" hidden="1" customHeight="1">
      <c r="C6447" s="701"/>
      <c r="D6447" s="811"/>
      <c r="E6447" s="1276">
        <f>[11]building!Y6778</f>
        <v>0</v>
      </c>
      <c r="F6447" s="748">
        <f t="shared" si="339"/>
        <v>0</v>
      </c>
      <c r="G6447" s="1205"/>
      <c r="H6447" s="1055"/>
      <c r="I6447" s="1055"/>
      <c r="J6447" s="1055"/>
      <c r="K6447" s="1205"/>
      <c r="L6447" s="1055"/>
      <c r="M6447" s="1205"/>
      <c r="N6447" s="1054"/>
      <c r="O6447" s="1207"/>
      <c r="Q6447" s="1207"/>
    </row>
    <row r="6448" spans="3:17" s="700" customFormat="1" ht="70.5" hidden="1" customHeight="1">
      <c r="C6448" s="701"/>
      <c r="D6448" s="811"/>
      <c r="E6448" s="1276">
        <f>[11]building!Y6779</f>
        <v>0</v>
      </c>
      <c r="F6448" s="748">
        <f t="shared" si="339"/>
        <v>0</v>
      </c>
      <c r="G6448" s="1205"/>
      <c r="H6448" s="1055"/>
      <c r="I6448" s="1055"/>
      <c r="J6448" s="1055"/>
      <c r="K6448" s="1205"/>
      <c r="L6448" s="1055"/>
      <c r="M6448" s="1205"/>
      <c r="N6448" s="1054"/>
      <c r="O6448" s="1207"/>
      <c r="Q6448" s="1207"/>
    </row>
    <row r="6449" spans="3:17" s="700" customFormat="1" ht="70.5" hidden="1" customHeight="1">
      <c r="C6449" s="701"/>
      <c r="D6449" s="811"/>
      <c r="E6449" s="1276">
        <f>[11]building!Y6780</f>
        <v>0</v>
      </c>
      <c r="F6449" s="748">
        <f t="shared" si="339"/>
        <v>0</v>
      </c>
      <c r="G6449" s="1205"/>
      <c r="H6449" s="1055"/>
      <c r="I6449" s="1055"/>
      <c r="J6449" s="1055"/>
      <c r="K6449" s="1205"/>
      <c r="L6449" s="1055"/>
      <c r="M6449" s="1205"/>
      <c r="N6449" s="1054"/>
      <c r="O6449" s="1207"/>
      <c r="Q6449" s="1207"/>
    </row>
    <row r="6450" spans="3:17" s="700" customFormat="1" ht="70.5" hidden="1" customHeight="1">
      <c r="C6450" s="701"/>
      <c r="D6450" s="811"/>
      <c r="E6450" s="1276">
        <f>[11]building!Y6781</f>
        <v>0</v>
      </c>
      <c r="F6450" s="748">
        <f t="shared" si="339"/>
        <v>0</v>
      </c>
      <c r="G6450" s="1205"/>
      <c r="H6450" s="1055"/>
      <c r="I6450" s="1055"/>
      <c r="J6450" s="1055"/>
      <c r="K6450" s="1205"/>
      <c r="L6450" s="1055"/>
      <c r="M6450" s="1205"/>
      <c r="N6450" s="1054"/>
      <c r="O6450" s="1207"/>
      <c r="Q6450" s="1207"/>
    </row>
    <row r="6451" spans="3:17" s="700" customFormat="1" ht="70.5" hidden="1" customHeight="1">
      <c r="C6451" s="701"/>
      <c r="D6451" s="811"/>
      <c r="E6451" s="1276">
        <f>[11]building!Y6782</f>
        <v>0</v>
      </c>
      <c r="F6451" s="748">
        <f t="shared" si="339"/>
        <v>0</v>
      </c>
      <c r="G6451" s="1205"/>
      <c r="H6451" s="1055"/>
      <c r="I6451" s="1055"/>
      <c r="J6451" s="1055"/>
      <c r="K6451" s="1205"/>
      <c r="L6451" s="1055"/>
      <c r="M6451" s="1205"/>
      <c r="N6451" s="1054"/>
      <c r="O6451" s="1207"/>
      <c r="Q6451" s="1207"/>
    </row>
    <row r="6452" spans="3:17" s="700" customFormat="1" ht="70.5" hidden="1" customHeight="1">
      <c r="C6452" s="701"/>
      <c r="D6452" s="811"/>
      <c r="E6452" s="1276">
        <f>[11]building!Y6783</f>
        <v>0</v>
      </c>
      <c r="F6452" s="748">
        <f t="shared" si="339"/>
        <v>0</v>
      </c>
      <c r="G6452" s="1205"/>
      <c r="H6452" s="1055"/>
      <c r="I6452" s="1055"/>
      <c r="J6452" s="1055"/>
      <c r="K6452" s="1205"/>
      <c r="L6452" s="1055"/>
      <c r="M6452" s="1205"/>
      <c r="N6452" s="1054"/>
      <c r="O6452" s="1207"/>
      <c r="Q6452" s="1207"/>
    </row>
    <row r="6453" spans="3:17" s="700" customFormat="1" ht="70.5" hidden="1" customHeight="1">
      <c r="C6453" s="701"/>
      <c r="D6453" s="811"/>
      <c r="E6453" s="1276">
        <f>[11]building!Y6784</f>
        <v>0</v>
      </c>
      <c r="F6453" s="748">
        <f t="shared" si="339"/>
        <v>0</v>
      </c>
      <c r="G6453" s="1205"/>
      <c r="H6453" s="1055"/>
      <c r="I6453" s="1055"/>
      <c r="J6453" s="1055"/>
      <c r="K6453" s="1205"/>
      <c r="L6453" s="1055"/>
      <c r="M6453" s="1205"/>
      <c r="N6453" s="1054"/>
      <c r="O6453" s="1207"/>
      <c r="Q6453" s="1207"/>
    </row>
    <row r="6454" spans="3:17" s="700" customFormat="1" ht="70.5" hidden="1" customHeight="1">
      <c r="C6454" s="701"/>
      <c r="D6454" s="811"/>
      <c r="E6454" s="1276">
        <f>[11]building!Y6785</f>
        <v>0</v>
      </c>
      <c r="F6454" s="748">
        <f t="shared" si="339"/>
        <v>0</v>
      </c>
      <c r="G6454" s="1205"/>
      <c r="H6454" s="1055"/>
      <c r="I6454" s="1055"/>
      <c r="J6454" s="1055"/>
      <c r="K6454" s="1205"/>
      <c r="L6454" s="1055"/>
      <c r="M6454" s="1205"/>
      <c r="N6454" s="1054"/>
      <c r="O6454" s="1207"/>
      <c r="Q6454" s="1207"/>
    </row>
    <row r="6455" spans="3:17" s="700" customFormat="1" ht="70.5" hidden="1" customHeight="1">
      <c r="C6455" s="701"/>
      <c r="D6455" s="811"/>
      <c r="E6455" s="1276">
        <f>[11]building!Y6786</f>
        <v>0</v>
      </c>
      <c r="F6455" s="748">
        <f t="shared" si="339"/>
        <v>0</v>
      </c>
      <c r="G6455" s="1205"/>
      <c r="H6455" s="1055"/>
      <c r="I6455" s="1055"/>
      <c r="J6455" s="1055"/>
      <c r="K6455" s="1205"/>
      <c r="L6455" s="1055"/>
      <c r="M6455" s="1205"/>
      <c r="N6455" s="1054"/>
      <c r="O6455" s="1207"/>
      <c r="Q6455" s="1207"/>
    </row>
    <row r="6456" spans="3:17" s="700" customFormat="1" ht="70.5" hidden="1" customHeight="1">
      <c r="C6456" s="701"/>
      <c r="D6456" s="811"/>
      <c r="E6456" s="1276">
        <f>[11]building!Y6787</f>
        <v>0</v>
      </c>
      <c r="F6456" s="748">
        <f t="shared" si="339"/>
        <v>0</v>
      </c>
      <c r="G6456" s="1205"/>
      <c r="H6456" s="1055"/>
      <c r="I6456" s="1055"/>
      <c r="J6456" s="1055"/>
      <c r="K6456" s="1205"/>
      <c r="L6456" s="1055"/>
      <c r="M6456" s="1205"/>
      <c r="N6456" s="1054"/>
      <c r="O6456" s="1207"/>
      <c r="Q6456" s="1207"/>
    </row>
    <row r="6457" spans="3:17" s="700" customFormat="1" ht="70.5" hidden="1" customHeight="1">
      <c r="C6457" s="701"/>
      <c r="D6457" s="811"/>
      <c r="E6457" s="1276">
        <f>[11]building!Y6788</f>
        <v>0</v>
      </c>
      <c r="F6457" s="748">
        <f t="shared" si="339"/>
        <v>0</v>
      </c>
      <c r="G6457" s="1205"/>
      <c r="H6457" s="1055"/>
      <c r="I6457" s="1055"/>
      <c r="J6457" s="1055"/>
      <c r="K6457" s="1205"/>
      <c r="L6457" s="1055"/>
      <c r="M6457" s="1205"/>
      <c r="N6457" s="1054"/>
      <c r="O6457" s="1207"/>
      <c r="Q6457" s="1207"/>
    </row>
    <row r="6458" spans="3:17" s="700" customFormat="1" ht="70.5" hidden="1" customHeight="1">
      <c r="C6458" s="701"/>
      <c r="D6458" s="811"/>
      <c r="E6458" s="1276">
        <f>[11]building!Y6789</f>
        <v>0</v>
      </c>
      <c r="F6458" s="748">
        <f t="shared" si="339"/>
        <v>0</v>
      </c>
      <c r="G6458" s="1205"/>
      <c r="H6458" s="1055"/>
      <c r="I6458" s="1055"/>
      <c r="J6458" s="1055"/>
      <c r="K6458" s="1205"/>
      <c r="L6458" s="1055"/>
      <c r="M6458" s="1205"/>
      <c r="N6458" s="1054"/>
      <c r="O6458" s="1207"/>
      <c r="Q6458" s="1207"/>
    </row>
    <row r="6459" spans="3:17" s="700" customFormat="1" ht="70.5" hidden="1" customHeight="1">
      <c r="C6459" s="701"/>
      <c r="D6459" s="811"/>
      <c r="E6459" s="1276">
        <f>[11]building!Y6790</f>
        <v>0</v>
      </c>
      <c r="F6459" s="748">
        <f t="shared" si="339"/>
        <v>0</v>
      </c>
      <c r="G6459" s="1205"/>
      <c r="H6459" s="1055"/>
      <c r="I6459" s="1055"/>
      <c r="J6459" s="1055"/>
      <c r="K6459" s="1205"/>
      <c r="L6459" s="1055"/>
      <c r="M6459" s="1205"/>
      <c r="N6459" s="1054"/>
      <c r="O6459" s="1207"/>
      <c r="Q6459" s="1207"/>
    </row>
    <row r="6460" spans="3:17" s="700" customFormat="1" ht="70.5" hidden="1" customHeight="1">
      <c r="C6460" s="701"/>
      <c r="D6460" s="811"/>
      <c r="E6460" s="1276">
        <f>[11]building!Y6791</f>
        <v>0</v>
      </c>
      <c r="F6460" s="748">
        <f t="shared" si="339"/>
        <v>0</v>
      </c>
      <c r="G6460" s="1205"/>
      <c r="H6460" s="1055"/>
      <c r="I6460" s="1055"/>
      <c r="J6460" s="1055"/>
      <c r="K6460" s="1205"/>
      <c r="L6460" s="1055"/>
      <c r="M6460" s="1205"/>
      <c r="N6460" s="1054"/>
      <c r="O6460" s="1207"/>
      <c r="Q6460" s="1207"/>
    </row>
    <row r="6461" spans="3:17" s="700" customFormat="1" ht="70.5" hidden="1" customHeight="1">
      <c r="C6461" s="701"/>
      <c r="D6461" s="811"/>
      <c r="E6461" s="1276">
        <f>[11]building!Y6792</f>
        <v>0</v>
      </c>
      <c r="F6461" s="748">
        <f t="shared" si="339"/>
        <v>0</v>
      </c>
      <c r="G6461" s="1205"/>
      <c r="H6461" s="1055"/>
      <c r="I6461" s="1055"/>
      <c r="J6461" s="1055"/>
      <c r="K6461" s="1205"/>
      <c r="L6461" s="1055"/>
      <c r="M6461" s="1205"/>
      <c r="N6461" s="1054"/>
      <c r="O6461" s="1207"/>
      <c r="Q6461" s="1207"/>
    </row>
    <row r="6462" spans="3:17" s="700" customFormat="1" ht="70.5" hidden="1" customHeight="1">
      <c r="C6462" s="701"/>
      <c r="D6462" s="811"/>
      <c r="E6462" s="1276">
        <f>[11]building!Y6793</f>
        <v>0</v>
      </c>
      <c r="F6462" s="748">
        <f t="shared" si="339"/>
        <v>0</v>
      </c>
      <c r="G6462" s="1205"/>
      <c r="H6462" s="1055"/>
      <c r="I6462" s="1055"/>
      <c r="J6462" s="1055"/>
      <c r="K6462" s="1205"/>
      <c r="L6462" s="1055"/>
      <c r="M6462" s="1205"/>
      <c r="N6462" s="1054"/>
      <c r="O6462" s="1207"/>
      <c r="Q6462" s="1207"/>
    </row>
    <row r="6463" spans="3:17" s="700" customFormat="1" ht="70.5" hidden="1" customHeight="1">
      <c r="C6463" s="701"/>
      <c r="D6463" s="811"/>
      <c r="E6463" s="1276">
        <f>[11]building!Y6794</f>
        <v>0</v>
      </c>
      <c r="F6463" s="748">
        <f t="shared" si="339"/>
        <v>0</v>
      </c>
      <c r="G6463" s="1205"/>
      <c r="H6463" s="1055"/>
      <c r="I6463" s="1055"/>
      <c r="J6463" s="1055"/>
      <c r="K6463" s="1205"/>
      <c r="L6463" s="1055"/>
      <c r="M6463" s="1205"/>
      <c r="N6463" s="1054"/>
      <c r="O6463" s="1207"/>
      <c r="Q6463" s="1207"/>
    </row>
    <row r="6464" spans="3:17" s="700" customFormat="1" ht="70.5" hidden="1" customHeight="1">
      <c r="C6464" s="701"/>
      <c r="D6464" s="811"/>
      <c r="E6464" s="1276">
        <f>[11]building!Y6795</f>
        <v>0</v>
      </c>
      <c r="F6464" s="748">
        <f t="shared" ref="F6464:F6527" si="340">E6464*C6464</f>
        <v>0</v>
      </c>
      <c r="G6464" s="1205"/>
      <c r="H6464" s="1055"/>
      <c r="I6464" s="1055"/>
      <c r="J6464" s="1055"/>
      <c r="K6464" s="1205"/>
      <c r="L6464" s="1055"/>
      <c r="M6464" s="1205"/>
      <c r="N6464" s="1054"/>
      <c r="O6464" s="1207"/>
      <c r="Q6464" s="1207"/>
    </row>
    <row r="6465" spans="3:17" s="700" customFormat="1" ht="70.5" hidden="1" customHeight="1">
      <c r="C6465" s="701"/>
      <c r="D6465" s="811"/>
      <c r="E6465" s="1276">
        <f>[11]building!Y6796</f>
        <v>0</v>
      </c>
      <c r="F6465" s="748">
        <f t="shared" si="340"/>
        <v>0</v>
      </c>
      <c r="G6465" s="1205"/>
      <c r="H6465" s="1055"/>
      <c r="I6465" s="1055"/>
      <c r="J6465" s="1055"/>
      <c r="K6465" s="1205"/>
      <c r="L6465" s="1055"/>
      <c r="M6465" s="1205"/>
      <c r="N6465" s="1054"/>
      <c r="O6465" s="1207"/>
      <c r="Q6465" s="1207"/>
    </row>
    <row r="6466" spans="3:17" s="700" customFormat="1" ht="70.5" hidden="1" customHeight="1">
      <c r="C6466" s="701"/>
      <c r="D6466" s="811"/>
      <c r="E6466" s="1276">
        <f>[11]building!Y6797</f>
        <v>0</v>
      </c>
      <c r="F6466" s="748">
        <f t="shared" si="340"/>
        <v>0</v>
      </c>
      <c r="G6466" s="1205"/>
      <c r="H6466" s="1055"/>
      <c r="I6466" s="1055"/>
      <c r="J6466" s="1055"/>
      <c r="K6466" s="1205"/>
      <c r="L6466" s="1055"/>
      <c r="M6466" s="1205"/>
      <c r="N6466" s="1054"/>
      <c r="O6466" s="1207"/>
      <c r="Q6466" s="1207"/>
    </row>
    <row r="6467" spans="3:17" s="700" customFormat="1" ht="70.5" hidden="1" customHeight="1">
      <c r="C6467" s="701"/>
      <c r="D6467" s="811"/>
      <c r="E6467" s="1276">
        <f>[11]building!Y6798</f>
        <v>0</v>
      </c>
      <c r="F6467" s="748">
        <f t="shared" si="340"/>
        <v>0</v>
      </c>
      <c r="G6467" s="1205"/>
      <c r="H6467" s="1055"/>
      <c r="I6467" s="1055"/>
      <c r="J6467" s="1055"/>
      <c r="K6467" s="1205"/>
      <c r="L6467" s="1055"/>
      <c r="M6467" s="1205"/>
      <c r="N6467" s="1054"/>
      <c r="O6467" s="1207"/>
      <c r="Q6467" s="1207"/>
    </row>
    <row r="6468" spans="3:17" s="700" customFormat="1" ht="70.5" hidden="1" customHeight="1">
      <c r="C6468" s="701"/>
      <c r="D6468" s="811"/>
      <c r="E6468" s="1276">
        <f>[11]building!Y6799</f>
        <v>0</v>
      </c>
      <c r="F6468" s="748">
        <f t="shared" si="340"/>
        <v>0</v>
      </c>
      <c r="G6468" s="1205"/>
      <c r="H6468" s="1055"/>
      <c r="I6468" s="1055"/>
      <c r="J6468" s="1055"/>
      <c r="K6468" s="1205"/>
      <c r="L6468" s="1055"/>
      <c r="M6468" s="1205"/>
      <c r="N6468" s="1054"/>
      <c r="O6468" s="1207"/>
      <c r="Q6468" s="1207"/>
    </row>
    <row r="6469" spans="3:17" s="700" customFormat="1" ht="70.5" hidden="1" customHeight="1">
      <c r="C6469" s="701"/>
      <c r="D6469" s="811"/>
      <c r="E6469" s="1276">
        <f>[11]building!Y6800</f>
        <v>0</v>
      </c>
      <c r="F6469" s="748">
        <f t="shared" si="340"/>
        <v>0</v>
      </c>
      <c r="G6469" s="1205"/>
      <c r="H6469" s="1055"/>
      <c r="I6469" s="1055"/>
      <c r="J6469" s="1055"/>
      <c r="K6469" s="1205"/>
      <c r="L6469" s="1055"/>
      <c r="M6469" s="1205"/>
      <c r="N6469" s="1054"/>
      <c r="O6469" s="1207"/>
      <c r="Q6469" s="1207"/>
    </row>
    <row r="6470" spans="3:17" s="700" customFormat="1" ht="70.5" hidden="1" customHeight="1">
      <c r="C6470" s="701"/>
      <c r="D6470" s="811"/>
      <c r="E6470" s="1276">
        <f>[11]building!Y6801</f>
        <v>0</v>
      </c>
      <c r="F6470" s="748">
        <f t="shared" si="340"/>
        <v>0</v>
      </c>
      <c r="G6470" s="1205"/>
      <c r="H6470" s="1055"/>
      <c r="I6470" s="1055"/>
      <c r="J6470" s="1055"/>
      <c r="K6470" s="1205"/>
      <c r="L6470" s="1055"/>
      <c r="M6470" s="1205"/>
      <c r="N6470" s="1054"/>
      <c r="O6470" s="1207"/>
      <c r="Q6470" s="1207"/>
    </row>
    <row r="6471" spans="3:17" s="700" customFormat="1" ht="70.5" hidden="1" customHeight="1">
      <c r="C6471" s="701"/>
      <c r="D6471" s="811"/>
      <c r="E6471" s="1276">
        <f>[11]building!Y6802</f>
        <v>0</v>
      </c>
      <c r="F6471" s="748">
        <f t="shared" si="340"/>
        <v>0</v>
      </c>
      <c r="G6471" s="1205"/>
      <c r="H6471" s="1055"/>
      <c r="I6471" s="1055"/>
      <c r="J6471" s="1055"/>
      <c r="K6471" s="1205"/>
      <c r="L6471" s="1055"/>
      <c r="M6471" s="1205"/>
      <c r="N6471" s="1054"/>
      <c r="O6471" s="1207"/>
      <c r="Q6471" s="1207"/>
    </row>
    <row r="6472" spans="3:17" s="700" customFormat="1" ht="70.5" hidden="1" customHeight="1">
      <c r="C6472" s="701"/>
      <c r="D6472" s="811"/>
      <c r="E6472" s="1276">
        <f>[11]building!Y6803</f>
        <v>0</v>
      </c>
      <c r="F6472" s="748">
        <f t="shared" si="340"/>
        <v>0</v>
      </c>
      <c r="G6472" s="1205"/>
      <c r="H6472" s="1055"/>
      <c r="I6472" s="1055"/>
      <c r="J6472" s="1055"/>
      <c r="K6472" s="1205"/>
      <c r="L6472" s="1055"/>
      <c r="M6472" s="1205"/>
      <c r="N6472" s="1054"/>
      <c r="O6472" s="1207"/>
      <c r="Q6472" s="1207"/>
    </row>
    <row r="6473" spans="3:17" s="700" customFormat="1" ht="70.5" hidden="1" customHeight="1">
      <c r="C6473" s="701"/>
      <c r="D6473" s="811"/>
      <c r="E6473" s="1276">
        <f>[11]building!Y6804</f>
        <v>0</v>
      </c>
      <c r="F6473" s="748">
        <f t="shared" si="340"/>
        <v>0</v>
      </c>
      <c r="G6473" s="1205"/>
      <c r="H6473" s="1055"/>
      <c r="I6473" s="1055"/>
      <c r="J6473" s="1055"/>
      <c r="K6473" s="1205"/>
      <c r="L6473" s="1055"/>
      <c r="M6473" s="1205"/>
      <c r="N6473" s="1054"/>
      <c r="O6473" s="1207"/>
      <c r="Q6473" s="1207"/>
    </row>
    <row r="6474" spans="3:17" s="700" customFormat="1" ht="70.5" hidden="1" customHeight="1">
      <c r="C6474" s="701"/>
      <c r="D6474" s="811"/>
      <c r="E6474" s="1276">
        <f>[11]building!Y6805</f>
        <v>0</v>
      </c>
      <c r="F6474" s="748">
        <f t="shared" si="340"/>
        <v>0</v>
      </c>
      <c r="G6474" s="1205"/>
      <c r="H6474" s="1055"/>
      <c r="I6474" s="1055"/>
      <c r="J6474" s="1055"/>
      <c r="K6474" s="1205"/>
      <c r="L6474" s="1055"/>
      <c r="M6474" s="1205"/>
      <c r="N6474" s="1054"/>
      <c r="O6474" s="1207"/>
      <c r="Q6474" s="1207"/>
    </row>
    <row r="6475" spans="3:17" s="700" customFormat="1" ht="70.5" hidden="1" customHeight="1">
      <c r="C6475" s="701"/>
      <c r="D6475" s="811"/>
      <c r="E6475" s="1276">
        <f>[11]building!Y6806</f>
        <v>0</v>
      </c>
      <c r="F6475" s="748">
        <f t="shared" si="340"/>
        <v>0</v>
      </c>
      <c r="G6475" s="1205"/>
      <c r="H6475" s="1055"/>
      <c r="I6475" s="1055"/>
      <c r="J6475" s="1055"/>
      <c r="K6475" s="1205"/>
      <c r="L6475" s="1055"/>
      <c r="M6475" s="1205"/>
      <c r="N6475" s="1054"/>
      <c r="O6475" s="1207"/>
      <c r="Q6475" s="1207"/>
    </row>
    <row r="6476" spans="3:17" s="700" customFormat="1" ht="70.5" hidden="1" customHeight="1">
      <c r="C6476" s="701"/>
      <c r="D6476" s="811"/>
      <c r="E6476" s="1276">
        <f>[11]building!Y6807</f>
        <v>0</v>
      </c>
      <c r="F6476" s="748">
        <f t="shared" si="340"/>
        <v>0</v>
      </c>
      <c r="G6476" s="1205"/>
      <c r="H6476" s="1055"/>
      <c r="I6476" s="1055"/>
      <c r="J6476" s="1055"/>
      <c r="K6476" s="1205"/>
      <c r="L6476" s="1055"/>
      <c r="M6476" s="1205"/>
      <c r="N6476" s="1054"/>
      <c r="O6476" s="1207"/>
      <c r="Q6476" s="1207"/>
    </row>
    <row r="6477" spans="3:17" s="700" customFormat="1" ht="70.5" hidden="1" customHeight="1">
      <c r="C6477" s="701"/>
      <c r="D6477" s="811"/>
      <c r="E6477" s="1276">
        <f>[11]building!Y6808</f>
        <v>0</v>
      </c>
      <c r="F6477" s="748">
        <f t="shared" si="340"/>
        <v>0</v>
      </c>
      <c r="G6477" s="1205"/>
      <c r="H6477" s="1055"/>
      <c r="I6477" s="1055"/>
      <c r="J6477" s="1055"/>
      <c r="K6477" s="1205"/>
      <c r="L6477" s="1055"/>
      <c r="M6477" s="1205"/>
      <c r="N6477" s="1054"/>
      <c r="O6477" s="1207"/>
      <c r="Q6477" s="1207"/>
    </row>
    <row r="6478" spans="3:17" s="700" customFormat="1" ht="70.5" hidden="1" customHeight="1">
      <c r="C6478" s="701"/>
      <c r="D6478" s="811"/>
      <c r="E6478" s="1276">
        <f>[11]building!Y6809</f>
        <v>0</v>
      </c>
      <c r="F6478" s="748">
        <f t="shared" si="340"/>
        <v>0</v>
      </c>
      <c r="G6478" s="1205"/>
      <c r="H6478" s="1055"/>
      <c r="I6478" s="1055"/>
      <c r="J6478" s="1055"/>
      <c r="K6478" s="1205"/>
      <c r="L6478" s="1055"/>
      <c r="M6478" s="1205"/>
      <c r="N6478" s="1054"/>
      <c r="O6478" s="1207"/>
      <c r="Q6478" s="1207"/>
    </row>
    <row r="6479" spans="3:17" s="700" customFormat="1" ht="70.5" hidden="1" customHeight="1">
      <c r="C6479" s="701"/>
      <c r="D6479" s="811"/>
      <c r="E6479" s="1276">
        <f>[11]building!Y6810</f>
        <v>0</v>
      </c>
      <c r="F6479" s="748">
        <f t="shared" si="340"/>
        <v>0</v>
      </c>
      <c r="G6479" s="1205"/>
      <c r="H6479" s="1055"/>
      <c r="I6479" s="1055"/>
      <c r="J6479" s="1055"/>
      <c r="K6479" s="1205"/>
      <c r="L6479" s="1055"/>
      <c r="M6479" s="1205"/>
      <c r="N6479" s="1054"/>
      <c r="O6479" s="1207"/>
      <c r="Q6479" s="1207"/>
    </row>
    <row r="6480" spans="3:17" s="700" customFormat="1" ht="70.5" hidden="1" customHeight="1">
      <c r="C6480" s="701"/>
      <c r="D6480" s="811"/>
      <c r="E6480" s="1276">
        <f>[11]building!Y6811</f>
        <v>0</v>
      </c>
      <c r="F6480" s="748">
        <f t="shared" si="340"/>
        <v>0</v>
      </c>
      <c r="G6480" s="1205"/>
      <c r="H6480" s="1055"/>
      <c r="I6480" s="1055"/>
      <c r="J6480" s="1055"/>
      <c r="K6480" s="1205"/>
      <c r="L6480" s="1055"/>
      <c r="M6480" s="1205"/>
      <c r="N6480" s="1054"/>
      <c r="O6480" s="1207"/>
      <c r="Q6480" s="1207"/>
    </row>
    <row r="6481" spans="3:17" s="700" customFormat="1" ht="70.5" hidden="1" customHeight="1">
      <c r="C6481" s="701"/>
      <c r="D6481" s="811"/>
      <c r="E6481" s="1276">
        <f>[11]building!Y6812</f>
        <v>0</v>
      </c>
      <c r="F6481" s="748">
        <f t="shared" si="340"/>
        <v>0</v>
      </c>
      <c r="G6481" s="1205"/>
      <c r="H6481" s="1055"/>
      <c r="I6481" s="1055"/>
      <c r="J6481" s="1055"/>
      <c r="K6481" s="1205"/>
      <c r="L6481" s="1055"/>
      <c r="M6481" s="1205"/>
      <c r="N6481" s="1054"/>
      <c r="O6481" s="1207"/>
      <c r="Q6481" s="1207"/>
    </row>
    <row r="6482" spans="3:17" s="700" customFormat="1" ht="70.5" hidden="1" customHeight="1">
      <c r="C6482" s="701"/>
      <c r="D6482" s="811"/>
      <c r="E6482" s="1276">
        <f>[11]building!Y6813</f>
        <v>0</v>
      </c>
      <c r="F6482" s="748">
        <f t="shared" si="340"/>
        <v>0</v>
      </c>
      <c r="G6482" s="1205"/>
      <c r="H6482" s="1055"/>
      <c r="I6482" s="1055"/>
      <c r="J6482" s="1055"/>
      <c r="K6482" s="1205"/>
      <c r="L6482" s="1055"/>
      <c r="M6482" s="1205"/>
      <c r="N6482" s="1054"/>
      <c r="O6482" s="1207"/>
      <c r="Q6482" s="1207"/>
    </row>
    <row r="6483" spans="3:17" s="700" customFormat="1" ht="70.5" hidden="1" customHeight="1">
      <c r="C6483" s="701"/>
      <c r="D6483" s="811"/>
      <c r="E6483" s="1276">
        <f>[11]building!Y6814</f>
        <v>0</v>
      </c>
      <c r="F6483" s="748">
        <f t="shared" si="340"/>
        <v>0</v>
      </c>
      <c r="G6483" s="1205"/>
      <c r="H6483" s="1055"/>
      <c r="I6483" s="1055"/>
      <c r="J6483" s="1055"/>
      <c r="K6483" s="1205"/>
      <c r="L6483" s="1055"/>
      <c r="M6483" s="1205"/>
      <c r="N6483" s="1054"/>
      <c r="O6483" s="1207"/>
      <c r="Q6483" s="1207"/>
    </row>
    <row r="6484" spans="3:17" s="700" customFormat="1" ht="70.5" hidden="1" customHeight="1">
      <c r="C6484" s="701"/>
      <c r="D6484" s="811"/>
      <c r="E6484" s="1276">
        <f>[11]building!Y6815</f>
        <v>0</v>
      </c>
      <c r="F6484" s="748">
        <f t="shared" si="340"/>
        <v>0</v>
      </c>
      <c r="G6484" s="1205"/>
      <c r="H6484" s="1055"/>
      <c r="I6484" s="1055"/>
      <c r="J6484" s="1055"/>
      <c r="K6484" s="1205"/>
      <c r="L6484" s="1055"/>
      <c r="M6484" s="1205"/>
      <c r="N6484" s="1054"/>
      <c r="O6484" s="1207"/>
      <c r="Q6484" s="1207"/>
    </row>
    <row r="6485" spans="3:17" s="700" customFormat="1" ht="70.5" hidden="1" customHeight="1">
      <c r="C6485" s="701"/>
      <c r="D6485" s="811"/>
      <c r="E6485" s="1276">
        <f>[11]building!Y6816</f>
        <v>0</v>
      </c>
      <c r="F6485" s="748">
        <f t="shared" si="340"/>
        <v>0</v>
      </c>
      <c r="G6485" s="1205"/>
      <c r="H6485" s="1055"/>
      <c r="I6485" s="1055"/>
      <c r="J6485" s="1055"/>
      <c r="K6485" s="1205"/>
      <c r="L6485" s="1055"/>
      <c r="M6485" s="1205"/>
      <c r="N6485" s="1054"/>
      <c r="O6485" s="1207"/>
      <c r="Q6485" s="1207"/>
    </row>
    <row r="6486" spans="3:17" s="700" customFormat="1" ht="70.5" hidden="1" customHeight="1">
      <c r="C6486" s="701"/>
      <c r="D6486" s="811"/>
      <c r="E6486" s="1276">
        <f>[11]building!Y6817</f>
        <v>0</v>
      </c>
      <c r="F6486" s="748">
        <f t="shared" si="340"/>
        <v>0</v>
      </c>
      <c r="G6486" s="1205"/>
      <c r="H6486" s="1055"/>
      <c r="I6486" s="1055"/>
      <c r="J6486" s="1055"/>
      <c r="K6486" s="1205"/>
      <c r="L6486" s="1055"/>
      <c r="M6486" s="1205"/>
      <c r="N6486" s="1054"/>
      <c r="O6486" s="1207"/>
      <c r="Q6486" s="1207"/>
    </row>
    <row r="6487" spans="3:17" s="700" customFormat="1" ht="70.5" hidden="1" customHeight="1">
      <c r="C6487" s="701"/>
      <c r="D6487" s="811"/>
      <c r="E6487" s="1276">
        <f>[11]building!Y6818</f>
        <v>0</v>
      </c>
      <c r="F6487" s="748">
        <f t="shared" si="340"/>
        <v>0</v>
      </c>
      <c r="G6487" s="1205"/>
      <c r="H6487" s="1055"/>
      <c r="I6487" s="1055"/>
      <c r="J6487" s="1055"/>
      <c r="K6487" s="1205"/>
      <c r="L6487" s="1055"/>
      <c r="M6487" s="1205"/>
      <c r="N6487" s="1054"/>
      <c r="O6487" s="1207"/>
      <c r="Q6487" s="1207"/>
    </row>
    <row r="6488" spans="3:17" s="700" customFormat="1" ht="70.5" hidden="1" customHeight="1">
      <c r="C6488" s="701"/>
      <c r="D6488" s="811"/>
      <c r="E6488" s="1276">
        <f>[11]building!Y6819</f>
        <v>0</v>
      </c>
      <c r="F6488" s="748">
        <f t="shared" si="340"/>
        <v>0</v>
      </c>
      <c r="G6488" s="1205"/>
      <c r="H6488" s="1055"/>
      <c r="I6488" s="1055"/>
      <c r="J6488" s="1055"/>
      <c r="K6488" s="1205"/>
      <c r="L6488" s="1055"/>
      <c r="M6488" s="1205"/>
      <c r="N6488" s="1054"/>
      <c r="O6488" s="1207"/>
      <c r="Q6488" s="1207"/>
    </row>
    <row r="6489" spans="3:17" s="700" customFormat="1" ht="70.5" hidden="1" customHeight="1">
      <c r="C6489" s="701"/>
      <c r="D6489" s="811"/>
      <c r="E6489" s="1276">
        <f>[11]building!Y6820</f>
        <v>0</v>
      </c>
      <c r="F6489" s="748">
        <f t="shared" si="340"/>
        <v>0</v>
      </c>
      <c r="G6489" s="1205"/>
      <c r="H6489" s="1055"/>
      <c r="I6489" s="1055"/>
      <c r="J6489" s="1055"/>
      <c r="K6489" s="1205"/>
      <c r="L6489" s="1055"/>
      <c r="M6489" s="1205"/>
      <c r="N6489" s="1054"/>
      <c r="O6489" s="1207"/>
      <c r="Q6489" s="1207"/>
    </row>
    <row r="6490" spans="3:17" s="700" customFormat="1" ht="70.5" hidden="1" customHeight="1">
      <c r="C6490" s="701"/>
      <c r="D6490" s="811"/>
      <c r="E6490" s="1276">
        <f>[11]building!Y6821</f>
        <v>0</v>
      </c>
      <c r="F6490" s="748">
        <f t="shared" si="340"/>
        <v>0</v>
      </c>
      <c r="G6490" s="1205"/>
      <c r="H6490" s="1055"/>
      <c r="I6490" s="1055"/>
      <c r="J6490" s="1055"/>
      <c r="K6490" s="1205"/>
      <c r="L6490" s="1055"/>
      <c r="M6490" s="1205"/>
      <c r="N6490" s="1054"/>
      <c r="O6490" s="1207"/>
      <c r="Q6490" s="1207"/>
    </row>
    <row r="6491" spans="3:17" s="700" customFormat="1" ht="70.5" hidden="1" customHeight="1">
      <c r="C6491" s="701"/>
      <c r="D6491" s="811"/>
      <c r="E6491" s="1276">
        <f>[11]building!Y6822</f>
        <v>0</v>
      </c>
      <c r="F6491" s="748">
        <f t="shared" si="340"/>
        <v>0</v>
      </c>
      <c r="G6491" s="1205"/>
      <c r="H6491" s="1055"/>
      <c r="I6491" s="1055"/>
      <c r="J6491" s="1055"/>
      <c r="K6491" s="1205"/>
      <c r="L6491" s="1055"/>
      <c r="M6491" s="1205"/>
      <c r="N6491" s="1054"/>
      <c r="O6491" s="1207"/>
      <c r="Q6491" s="1207"/>
    </row>
    <row r="6492" spans="3:17" s="700" customFormat="1" ht="70.5" hidden="1" customHeight="1">
      <c r="C6492" s="701"/>
      <c r="D6492" s="811"/>
      <c r="E6492" s="1276">
        <f>[11]building!Y6823</f>
        <v>0</v>
      </c>
      <c r="F6492" s="748">
        <f t="shared" si="340"/>
        <v>0</v>
      </c>
      <c r="G6492" s="1205"/>
      <c r="H6492" s="1055"/>
      <c r="I6492" s="1055"/>
      <c r="J6492" s="1055"/>
      <c r="K6492" s="1205"/>
      <c r="L6492" s="1055"/>
      <c r="M6492" s="1205"/>
      <c r="N6492" s="1054"/>
      <c r="O6492" s="1207"/>
      <c r="Q6492" s="1207"/>
    </row>
    <row r="6493" spans="3:17" s="700" customFormat="1" ht="70.5" hidden="1" customHeight="1">
      <c r="C6493" s="701"/>
      <c r="D6493" s="811"/>
      <c r="E6493" s="1276">
        <f>[11]building!Y6824</f>
        <v>0</v>
      </c>
      <c r="F6493" s="748">
        <f t="shared" si="340"/>
        <v>0</v>
      </c>
      <c r="G6493" s="1205"/>
      <c r="H6493" s="1055"/>
      <c r="I6493" s="1055"/>
      <c r="J6493" s="1055"/>
      <c r="K6493" s="1205"/>
      <c r="L6493" s="1055"/>
      <c r="M6493" s="1205"/>
      <c r="N6493" s="1054"/>
      <c r="O6493" s="1207"/>
      <c r="Q6493" s="1207"/>
    </row>
    <row r="6494" spans="3:17" s="700" customFormat="1" ht="70.5" hidden="1" customHeight="1">
      <c r="C6494" s="701"/>
      <c r="D6494" s="811"/>
      <c r="E6494" s="1276">
        <f>[11]building!Y6825</f>
        <v>0</v>
      </c>
      <c r="F6494" s="748">
        <f t="shared" si="340"/>
        <v>0</v>
      </c>
      <c r="G6494" s="1205"/>
      <c r="H6494" s="1055"/>
      <c r="I6494" s="1055"/>
      <c r="J6494" s="1055"/>
      <c r="K6494" s="1205"/>
      <c r="L6494" s="1055"/>
      <c r="M6494" s="1205"/>
      <c r="N6494" s="1054"/>
      <c r="O6494" s="1207"/>
      <c r="Q6494" s="1207"/>
    </row>
    <row r="6495" spans="3:17" s="700" customFormat="1" ht="70.5" hidden="1" customHeight="1">
      <c r="C6495" s="701"/>
      <c r="D6495" s="811"/>
      <c r="E6495" s="1276">
        <f>[11]building!Y6826</f>
        <v>0</v>
      </c>
      <c r="F6495" s="748">
        <f t="shared" si="340"/>
        <v>0</v>
      </c>
      <c r="G6495" s="1205"/>
      <c r="H6495" s="1055"/>
      <c r="I6495" s="1055"/>
      <c r="J6495" s="1055"/>
      <c r="K6495" s="1205"/>
      <c r="L6495" s="1055"/>
      <c r="M6495" s="1205"/>
      <c r="N6495" s="1054"/>
      <c r="O6495" s="1207"/>
      <c r="Q6495" s="1207"/>
    </row>
    <row r="6496" spans="3:17" s="700" customFormat="1" ht="70.5" hidden="1" customHeight="1">
      <c r="C6496" s="701"/>
      <c r="D6496" s="811"/>
      <c r="E6496" s="1276">
        <f>[11]building!Y6827</f>
        <v>0</v>
      </c>
      <c r="F6496" s="748">
        <f t="shared" si="340"/>
        <v>0</v>
      </c>
      <c r="G6496" s="1205"/>
      <c r="H6496" s="1055"/>
      <c r="I6496" s="1055"/>
      <c r="J6496" s="1055"/>
      <c r="K6496" s="1205"/>
      <c r="L6496" s="1055"/>
      <c r="M6496" s="1205"/>
      <c r="N6496" s="1054"/>
      <c r="O6496" s="1207"/>
      <c r="Q6496" s="1207"/>
    </row>
    <row r="6497" spans="3:17" s="700" customFormat="1" ht="70.5" hidden="1" customHeight="1">
      <c r="C6497" s="701"/>
      <c r="D6497" s="811"/>
      <c r="E6497" s="1276">
        <f>[11]building!Y6828</f>
        <v>0</v>
      </c>
      <c r="F6497" s="748">
        <f t="shared" si="340"/>
        <v>0</v>
      </c>
      <c r="G6497" s="1205"/>
      <c r="H6497" s="1055"/>
      <c r="I6497" s="1055"/>
      <c r="J6497" s="1055"/>
      <c r="K6497" s="1205"/>
      <c r="L6497" s="1055"/>
      <c r="M6497" s="1205"/>
      <c r="N6497" s="1054"/>
      <c r="O6497" s="1207"/>
      <c r="Q6497" s="1207"/>
    </row>
    <row r="6498" spans="3:17" s="700" customFormat="1" ht="70.5" hidden="1" customHeight="1">
      <c r="C6498" s="701"/>
      <c r="D6498" s="811"/>
      <c r="E6498" s="1276">
        <f>[11]building!Y6829</f>
        <v>0</v>
      </c>
      <c r="F6498" s="748">
        <f t="shared" si="340"/>
        <v>0</v>
      </c>
      <c r="G6498" s="1205"/>
      <c r="H6498" s="1055"/>
      <c r="I6498" s="1055"/>
      <c r="J6498" s="1055"/>
      <c r="K6498" s="1205"/>
      <c r="L6498" s="1055"/>
      <c r="M6498" s="1205"/>
      <c r="N6498" s="1054"/>
      <c r="O6498" s="1207"/>
      <c r="Q6498" s="1207"/>
    </row>
    <row r="6499" spans="3:17" s="700" customFormat="1" ht="70.5" hidden="1" customHeight="1">
      <c r="C6499" s="701"/>
      <c r="D6499" s="811"/>
      <c r="E6499" s="1276">
        <f>[11]building!Y6830</f>
        <v>0</v>
      </c>
      <c r="F6499" s="748">
        <f t="shared" si="340"/>
        <v>0</v>
      </c>
      <c r="G6499" s="1205"/>
      <c r="H6499" s="1055"/>
      <c r="I6499" s="1055"/>
      <c r="J6499" s="1055"/>
      <c r="K6499" s="1205"/>
      <c r="L6499" s="1055"/>
      <c r="M6499" s="1205"/>
      <c r="N6499" s="1054"/>
      <c r="O6499" s="1207"/>
      <c r="Q6499" s="1207"/>
    </row>
    <row r="6500" spans="3:17" s="700" customFormat="1" ht="70.5" hidden="1" customHeight="1">
      <c r="C6500" s="701"/>
      <c r="D6500" s="811"/>
      <c r="E6500" s="1276">
        <f>[11]building!Y6831</f>
        <v>0</v>
      </c>
      <c r="F6500" s="748">
        <f t="shared" si="340"/>
        <v>0</v>
      </c>
      <c r="G6500" s="1205"/>
      <c r="H6500" s="1055"/>
      <c r="I6500" s="1055"/>
      <c r="J6500" s="1055"/>
      <c r="K6500" s="1205"/>
      <c r="L6500" s="1055"/>
      <c r="M6500" s="1205"/>
      <c r="N6500" s="1054"/>
      <c r="O6500" s="1207"/>
      <c r="Q6500" s="1207"/>
    </row>
    <row r="6501" spans="3:17" s="700" customFormat="1" ht="70.5" hidden="1" customHeight="1">
      <c r="C6501" s="701"/>
      <c r="D6501" s="811"/>
      <c r="E6501" s="1276">
        <f>[11]building!Y6832</f>
        <v>0</v>
      </c>
      <c r="F6501" s="748">
        <f t="shared" si="340"/>
        <v>0</v>
      </c>
      <c r="G6501" s="1205"/>
      <c r="H6501" s="1055"/>
      <c r="I6501" s="1055"/>
      <c r="J6501" s="1055"/>
      <c r="K6501" s="1205"/>
      <c r="L6501" s="1055"/>
      <c r="M6501" s="1205"/>
      <c r="N6501" s="1054"/>
      <c r="O6501" s="1207"/>
      <c r="Q6501" s="1207"/>
    </row>
    <row r="6502" spans="3:17" s="700" customFormat="1" ht="70.5" hidden="1" customHeight="1">
      <c r="C6502" s="701"/>
      <c r="D6502" s="811"/>
      <c r="E6502" s="1276">
        <f>[11]building!Y6833</f>
        <v>0</v>
      </c>
      <c r="F6502" s="748">
        <f t="shared" si="340"/>
        <v>0</v>
      </c>
      <c r="G6502" s="1205"/>
      <c r="H6502" s="1055"/>
      <c r="I6502" s="1055"/>
      <c r="J6502" s="1055"/>
      <c r="K6502" s="1205"/>
      <c r="L6502" s="1055"/>
      <c r="M6502" s="1205"/>
      <c r="N6502" s="1054"/>
      <c r="O6502" s="1207"/>
      <c r="Q6502" s="1207"/>
    </row>
    <row r="6503" spans="3:17" s="700" customFormat="1" ht="70.5" hidden="1" customHeight="1">
      <c r="C6503" s="701"/>
      <c r="D6503" s="811"/>
      <c r="E6503" s="1276">
        <f>[11]building!Y6834</f>
        <v>0</v>
      </c>
      <c r="F6503" s="748">
        <f t="shared" si="340"/>
        <v>0</v>
      </c>
      <c r="G6503" s="1205"/>
      <c r="H6503" s="1055"/>
      <c r="I6503" s="1055"/>
      <c r="J6503" s="1055"/>
      <c r="K6503" s="1205"/>
      <c r="L6503" s="1055"/>
      <c r="M6503" s="1205"/>
      <c r="N6503" s="1054"/>
      <c r="O6503" s="1207"/>
      <c r="Q6503" s="1207"/>
    </row>
    <row r="6504" spans="3:17" s="700" customFormat="1" ht="70.5" hidden="1" customHeight="1">
      <c r="C6504" s="701"/>
      <c r="D6504" s="811"/>
      <c r="E6504" s="1276">
        <f>[11]building!Y6835</f>
        <v>0</v>
      </c>
      <c r="F6504" s="748">
        <f t="shared" si="340"/>
        <v>0</v>
      </c>
      <c r="G6504" s="1205"/>
      <c r="H6504" s="1055"/>
      <c r="I6504" s="1055"/>
      <c r="J6504" s="1055"/>
      <c r="K6504" s="1205"/>
      <c r="L6504" s="1055"/>
      <c r="M6504" s="1205"/>
      <c r="N6504" s="1054"/>
      <c r="O6504" s="1207"/>
      <c r="Q6504" s="1207"/>
    </row>
    <row r="6505" spans="3:17" s="700" customFormat="1" ht="70.5" hidden="1" customHeight="1">
      <c r="C6505" s="701"/>
      <c r="D6505" s="811"/>
      <c r="E6505" s="1276">
        <f>[11]building!Y6836</f>
        <v>0</v>
      </c>
      <c r="F6505" s="748">
        <f t="shared" si="340"/>
        <v>0</v>
      </c>
      <c r="G6505" s="1205"/>
      <c r="H6505" s="1055"/>
      <c r="I6505" s="1055"/>
      <c r="J6505" s="1055"/>
      <c r="K6505" s="1205"/>
      <c r="L6505" s="1055"/>
      <c r="M6505" s="1205"/>
      <c r="N6505" s="1054"/>
      <c r="O6505" s="1207"/>
      <c r="Q6505" s="1207"/>
    </row>
    <row r="6506" spans="3:17" s="700" customFormat="1" ht="70.5" hidden="1" customHeight="1">
      <c r="C6506" s="701"/>
      <c r="D6506" s="811"/>
      <c r="E6506" s="1276">
        <f>[11]building!Y6837</f>
        <v>0</v>
      </c>
      <c r="F6506" s="748">
        <f t="shared" si="340"/>
        <v>0</v>
      </c>
      <c r="G6506" s="1205"/>
      <c r="H6506" s="1055"/>
      <c r="I6506" s="1055"/>
      <c r="J6506" s="1055"/>
      <c r="K6506" s="1205"/>
      <c r="L6506" s="1055"/>
      <c r="M6506" s="1205"/>
      <c r="N6506" s="1054"/>
      <c r="O6506" s="1207"/>
      <c r="Q6506" s="1207"/>
    </row>
    <row r="6507" spans="3:17" s="700" customFormat="1" ht="70.5" hidden="1" customHeight="1">
      <c r="C6507" s="701"/>
      <c r="D6507" s="811"/>
      <c r="E6507" s="1276">
        <f>[11]building!Y6838</f>
        <v>0</v>
      </c>
      <c r="F6507" s="748">
        <f t="shared" si="340"/>
        <v>0</v>
      </c>
      <c r="G6507" s="1205"/>
      <c r="H6507" s="1055"/>
      <c r="I6507" s="1055"/>
      <c r="J6507" s="1055"/>
      <c r="K6507" s="1205"/>
      <c r="L6507" s="1055"/>
      <c r="M6507" s="1205"/>
      <c r="N6507" s="1054"/>
      <c r="O6507" s="1207"/>
      <c r="Q6507" s="1207"/>
    </row>
    <row r="6508" spans="3:17" s="700" customFormat="1" ht="70.5" hidden="1" customHeight="1">
      <c r="C6508" s="701"/>
      <c r="D6508" s="811"/>
      <c r="E6508" s="1276">
        <f>[11]building!Y6839</f>
        <v>0</v>
      </c>
      <c r="F6508" s="748">
        <f t="shared" si="340"/>
        <v>0</v>
      </c>
      <c r="G6508" s="1205"/>
      <c r="H6508" s="1055"/>
      <c r="I6508" s="1055"/>
      <c r="J6508" s="1055"/>
      <c r="K6508" s="1205"/>
      <c r="L6508" s="1055"/>
      <c r="M6508" s="1205"/>
      <c r="N6508" s="1054"/>
      <c r="O6508" s="1207"/>
      <c r="Q6508" s="1207"/>
    </row>
    <row r="6509" spans="3:17" s="700" customFormat="1" ht="70.5" hidden="1" customHeight="1">
      <c r="C6509" s="701"/>
      <c r="D6509" s="811"/>
      <c r="E6509" s="1276">
        <f>[11]building!Y6840</f>
        <v>0</v>
      </c>
      <c r="F6509" s="748">
        <f t="shared" si="340"/>
        <v>0</v>
      </c>
      <c r="G6509" s="1205"/>
      <c r="H6509" s="1055"/>
      <c r="I6509" s="1055"/>
      <c r="J6509" s="1055"/>
      <c r="K6509" s="1205"/>
      <c r="L6509" s="1055"/>
      <c r="M6509" s="1205"/>
      <c r="N6509" s="1054"/>
      <c r="O6509" s="1207"/>
      <c r="Q6509" s="1207"/>
    </row>
    <row r="6510" spans="3:17" s="700" customFormat="1" ht="70.5" hidden="1" customHeight="1">
      <c r="C6510" s="701"/>
      <c r="D6510" s="811"/>
      <c r="E6510" s="1276">
        <f>[11]building!Y6841</f>
        <v>0</v>
      </c>
      <c r="F6510" s="748">
        <f t="shared" si="340"/>
        <v>0</v>
      </c>
      <c r="G6510" s="1205"/>
      <c r="H6510" s="1055"/>
      <c r="I6510" s="1055"/>
      <c r="J6510" s="1055"/>
      <c r="K6510" s="1205"/>
      <c r="L6510" s="1055"/>
      <c r="M6510" s="1205"/>
      <c r="N6510" s="1054"/>
      <c r="O6510" s="1207"/>
      <c r="Q6510" s="1207"/>
    </row>
    <row r="6511" spans="3:17" s="700" customFormat="1" ht="70.5" hidden="1" customHeight="1">
      <c r="C6511" s="701"/>
      <c r="D6511" s="811"/>
      <c r="E6511" s="1276">
        <f>[11]building!Y6842</f>
        <v>0</v>
      </c>
      <c r="F6511" s="748">
        <f t="shared" si="340"/>
        <v>0</v>
      </c>
      <c r="G6511" s="1205"/>
      <c r="H6511" s="1055"/>
      <c r="I6511" s="1055"/>
      <c r="J6511" s="1055"/>
      <c r="K6511" s="1205"/>
      <c r="L6511" s="1055"/>
      <c r="M6511" s="1205"/>
      <c r="N6511" s="1054"/>
      <c r="O6511" s="1207"/>
      <c r="Q6511" s="1207"/>
    </row>
    <row r="6512" spans="3:17" s="700" customFormat="1" ht="70.5" hidden="1" customHeight="1">
      <c r="C6512" s="701"/>
      <c r="D6512" s="811"/>
      <c r="E6512" s="1276">
        <f>[11]building!Y6843</f>
        <v>0</v>
      </c>
      <c r="F6512" s="748">
        <f t="shared" si="340"/>
        <v>0</v>
      </c>
      <c r="G6512" s="1205"/>
      <c r="H6512" s="1055"/>
      <c r="I6512" s="1055"/>
      <c r="J6512" s="1055"/>
      <c r="K6512" s="1205"/>
      <c r="L6512" s="1055"/>
      <c r="M6512" s="1205"/>
      <c r="N6512" s="1054"/>
      <c r="O6512" s="1207"/>
      <c r="Q6512" s="1207"/>
    </row>
    <row r="6513" spans="3:17" s="700" customFormat="1" ht="70.5" hidden="1" customHeight="1">
      <c r="C6513" s="701"/>
      <c r="D6513" s="811"/>
      <c r="E6513" s="1276">
        <f>[11]building!Y6844</f>
        <v>0</v>
      </c>
      <c r="F6513" s="748">
        <f t="shared" si="340"/>
        <v>0</v>
      </c>
      <c r="G6513" s="1205"/>
      <c r="H6513" s="1055"/>
      <c r="I6513" s="1055"/>
      <c r="J6513" s="1055"/>
      <c r="K6513" s="1205"/>
      <c r="L6513" s="1055"/>
      <c r="M6513" s="1205"/>
      <c r="N6513" s="1054"/>
      <c r="O6513" s="1207"/>
      <c r="Q6513" s="1207"/>
    </row>
    <row r="6514" spans="3:17" s="700" customFormat="1" ht="70.5" hidden="1" customHeight="1">
      <c r="C6514" s="701"/>
      <c r="D6514" s="811"/>
      <c r="E6514" s="1276">
        <f>[11]building!Y6845</f>
        <v>0</v>
      </c>
      <c r="F6514" s="748">
        <f t="shared" si="340"/>
        <v>0</v>
      </c>
      <c r="G6514" s="1205"/>
      <c r="H6514" s="1055"/>
      <c r="I6514" s="1055"/>
      <c r="J6514" s="1055"/>
      <c r="K6514" s="1205"/>
      <c r="L6514" s="1055"/>
      <c r="M6514" s="1205"/>
      <c r="N6514" s="1054"/>
      <c r="O6514" s="1207"/>
      <c r="Q6514" s="1207"/>
    </row>
    <row r="6515" spans="3:17" s="700" customFormat="1" ht="70.5" hidden="1" customHeight="1">
      <c r="C6515" s="701"/>
      <c r="D6515" s="811"/>
      <c r="E6515" s="1276">
        <f>[11]building!Y6846</f>
        <v>0</v>
      </c>
      <c r="F6515" s="748">
        <f t="shared" si="340"/>
        <v>0</v>
      </c>
      <c r="G6515" s="1205"/>
      <c r="H6515" s="1055"/>
      <c r="I6515" s="1055"/>
      <c r="J6515" s="1055"/>
      <c r="K6515" s="1205"/>
      <c r="L6515" s="1055"/>
      <c r="M6515" s="1205"/>
      <c r="N6515" s="1054"/>
      <c r="O6515" s="1207"/>
      <c r="Q6515" s="1207"/>
    </row>
    <row r="6516" spans="3:17" s="700" customFormat="1" ht="70.5" hidden="1" customHeight="1">
      <c r="C6516" s="701"/>
      <c r="D6516" s="811"/>
      <c r="E6516" s="1276">
        <f>[11]building!Y6847</f>
        <v>0</v>
      </c>
      <c r="F6516" s="748">
        <f t="shared" si="340"/>
        <v>0</v>
      </c>
      <c r="G6516" s="1205"/>
      <c r="H6516" s="1055"/>
      <c r="I6516" s="1055"/>
      <c r="J6516" s="1055"/>
      <c r="K6516" s="1205"/>
      <c r="L6516" s="1055"/>
      <c r="M6516" s="1205"/>
      <c r="N6516" s="1054"/>
      <c r="O6516" s="1207"/>
      <c r="Q6516" s="1207"/>
    </row>
    <row r="6517" spans="3:17" s="700" customFormat="1" ht="70.5" hidden="1" customHeight="1">
      <c r="C6517" s="701"/>
      <c r="D6517" s="811"/>
      <c r="E6517" s="1276">
        <f>[11]building!Y6848</f>
        <v>0</v>
      </c>
      <c r="F6517" s="748">
        <f t="shared" si="340"/>
        <v>0</v>
      </c>
      <c r="G6517" s="1205"/>
      <c r="H6517" s="1055"/>
      <c r="I6517" s="1055"/>
      <c r="J6517" s="1055"/>
      <c r="K6517" s="1205"/>
      <c r="L6517" s="1055"/>
      <c r="M6517" s="1205"/>
      <c r="N6517" s="1054"/>
      <c r="O6517" s="1207"/>
      <c r="Q6517" s="1207"/>
    </row>
    <row r="6518" spans="3:17" s="700" customFormat="1" ht="70.5" hidden="1" customHeight="1">
      <c r="C6518" s="701"/>
      <c r="D6518" s="811"/>
      <c r="E6518" s="1276">
        <f>[11]building!Y6849</f>
        <v>0</v>
      </c>
      <c r="F6518" s="748">
        <f t="shared" si="340"/>
        <v>0</v>
      </c>
      <c r="G6518" s="1205"/>
      <c r="H6518" s="1055"/>
      <c r="I6518" s="1055"/>
      <c r="J6518" s="1055"/>
      <c r="K6518" s="1205"/>
      <c r="L6518" s="1055"/>
      <c r="M6518" s="1205"/>
      <c r="N6518" s="1054"/>
      <c r="O6518" s="1207"/>
      <c r="Q6518" s="1207"/>
    </row>
    <row r="6519" spans="3:17" s="700" customFormat="1" ht="70.5" hidden="1" customHeight="1">
      <c r="C6519" s="701"/>
      <c r="D6519" s="811"/>
      <c r="E6519" s="1276">
        <f>[11]building!Y6850</f>
        <v>0</v>
      </c>
      <c r="F6519" s="748">
        <f t="shared" si="340"/>
        <v>0</v>
      </c>
      <c r="G6519" s="1205"/>
      <c r="H6519" s="1055"/>
      <c r="I6519" s="1055"/>
      <c r="J6519" s="1055"/>
      <c r="K6519" s="1205"/>
      <c r="L6519" s="1055"/>
      <c r="M6519" s="1205"/>
      <c r="N6519" s="1054"/>
      <c r="O6519" s="1207"/>
      <c r="Q6519" s="1207"/>
    </row>
    <row r="6520" spans="3:17" s="700" customFormat="1" ht="70.5" hidden="1" customHeight="1">
      <c r="C6520" s="701"/>
      <c r="D6520" s="811"/>
      <c r="E6520" s="1276">
        <f>[11]building!Y6851</f>
        <v>0</v>
      </c>
      <c r="F6520" s="748">
        <f t="shared" si="340"/>
        <v>0</v>
      </c>
      <c r="G6520" s="1205"/>
      <c r="H6520" s="1055"/>
      <c r="I6520" s="1055"/>
      <c r="J6520" s="1055"/>
      <c r="K6520" s="1205"/>
      <c r="L6520" s="1055"/>
      <c r="M6520" s="1205"/>
      <c r="N6520" s="1054"/>
      <c r="O6520" s="1207"/>
      <c r="Q6520" s="1207"/>
    </row>
    <row r="6521" spans="3:17" s="700" customFormat="1" ht="70.5" hidden="1" customHeight="1">
      <c r="C6521" s="701"/>
      <c r="D6521" s="811"/>
      <c r="E6521" s="1276">
        <f>[11]building!Y6852</f>
        <v>0</v>
      </c>
      <c r="F6521" s="748">
        <f t="shared" si="340"/>
        <v>0</v>
      </c>
      <c r="G6521" s="1205"/>
      <c r="H6521" s="1055"/>
      <c r="I6521" s="1055"/>
      <c r="J6521" s="1055"/>
      <c r="K6521" s="1205"/>
      <c r="L6521" s="1055"/>
      <c r="M6521" s="1205"/>
      <c r="N6521" s="1054"/>
      <c r="O6521" s="1207"/>
      <c r="Q6521" s="1207"/>
    </row>
    <row r="6522" spans="3:17" s="700" customFormat="1" ht="70.5" hidden="1" customHeight="1">
      <c r="C6522" s="701"/>
      <c r="D6522" s="811"/>
      <c r="E6522" s="1276">
        <f>[11]building!Y6853</f>
        <v>0</v>
      </c>
      <c r="F6522" s="748">
        <f t="shared" si="340"/>
        <v>0</v>
      </c>
      <c r="G6522" s="1205"/>
      <c r="H6522" s="1055"/>
      <c r="I6522" s="1055"/>
      <c r="J6522" s="1055"/>
      <c r="K6522" s="1205"/>
      <c r="L6522" s="1055"/>
      <c r="M6522" s="1205"/>
      <c r="N6522" s="1054"/>
      <c r="O6522" s="1207"/>
      <c r="Q6522" s="1207"/>
    </row>
    <row r="6523" spans="3:17" s="700" customFormat="1" ht="70.5" hidden="1" customHeight="1">
      <c r="C6523" s="701"/>
      <c r="D6523" s="811"/>
      <c r="E6523" s="1276">
        <f>[11]building!Y6854</f>
        <v>0</v>
      </c>
      <c r="F6523" s="748">
        <f t="shared" si="340"/>
        <v>0</v>
      </c>
      <c r="G6523" s="1205"/>
      <c r="H6523" s="1055"/>
      <c r="I6523" s="1055"/>
      <c r="J6523" s="1055"/>
      <c r="K6523" s="1205"/>
      <c r="L6523" s="1055"/>
      <c r="M6523" s="1205"/>
      <c r="N6523" s="1054"/>
      <c r="O6523" s="1207"/>
      <c r="Q6523" s="1207"/>
    </row>
    <row r="6524" spans="3:17" s="700" customFormat="1" ht="70.5" hidden="1" customHeight="1">
      <c r="C6524" s="701"/>
      <c r="D6524" s="811"/>
      <c r="E6524" s="1276">
        <f>[11]building!Y6855</f>
        <v>0</v>
      </c>
      <c r="F6524" s="748">
        <f t="shared" si="340"/>
        <v>0</v>
      </c>
      <c r="G6524" s="1205"/>
      <c r="H6524" s="1055"/>
      <c r="I6524" s="1055"/>
      <c r="J6524" s="1055"/>
      <c r="K6524" s="1205"/>
      <c r="L6524" s="1055"/>
      <c r="M6524" s="1205"/>
      <c r="N6524" s="1054"/>
      <c r="O6524" s="1207"/>
      <c r="Q6524" s="1207"/>
    </row>
    <row r="6525" spans="3:17" s="700" customFormat="1" ht="70.5" hidden="1" customHeight="1">
      <c r="C6525" s="701"/>
      <c r="D6525" s="811"/>
      <c r="E6525" s="1276">
        <f>[11]building!Y6856</f>
        <v>0</v>
      </c>
      <c r="F6525" s="748">
        <f t="shared" si="340"/>
        <v>0</v>
      </c>
      <c r="G6525" s="1205"/>
      <c r="H6525" s="1055"/>
      <c r="I6525" s="1055"/>
      <c r="J6525" s="1055"/>
      <c r="K6525" s="1205"/>
      <c r="L6525" s="1055"/>
      <c r="M6525" s="1205"/>
      <c r="N6525" s="1054"/>
      <c r="O6525" s="1207"/>
      <c r="Q6525" s="1207"/>
    </row>
    <row r="6526" spans="3:17" s="700" customFormat="1" ht="70.5" hidden="1" customHeight="1">
      <c r="C6526" s="701"/>
      <c r="D6526" s="811"/>
      <c r="E6526" s="1276">
        <f>[11]building!Y6857</f>
        <v>0</v>
      </c>
      <c r="F6526" s="748">
        <f t="shared" si="340"/>
        <v>0</v>
      </c>
      <c r="G6526" s="1205"/>
      <c r="H6526" s="1055"/>
      <c r="I6526" s="1055"/>
      <c r="J6526" s="1055"/>
      <c r="K6526" s="1205"/>
      <c r="L6526" s="1055"/>
      <c r="M6526" s="1205"/>
      <c r="N6526" s="1054"/>
      <c r="O6526" s="1207"/>
      <c r="Q6526" s="1207"/>
    </row>
    <row r="6527" spans="3:17" s="700" customFormat="1" ht="70.5" hidden="1" customHeight="1">
      <c r="C6527" s="701"/>
      <c r="D6527" s="811"/>
      <c r="E6527" s="1276">
        <f>[11]building!Y6858</f>
        <v>0</v>
      </c>
      <c r="F6527" s="748">
        <f t="shared" si="340"/>
        <v>0</v>
      </c>
      <c r="G6527" s="1205"/>
      <c r="H6527" s="1055"/>
      <c r="I6527" s="1055"/>
      <c r="J6527" s="1055"/>
      <c r="K6527" s="1205"/>
      <c r="L6527" s="1055"/>
      <c r="M6527" s="1205"/>
      <c r="N6527" s="1054"/>
      <c r="O6527" s="1207"/>
      <c r="Q6527" s="1207"/>
    </row>
    <row r="6528" spans="3:17" s="700" customFormat="1" ht="70.5" hidden="1" customHeight="1">
      <c r="C6528" s="701"/>
      <c r="D6528" s="811"/>
      <c r="E6528" s="1276">
        <f>[11]building!Y6859</f>
        <v>0</v>
      </c>
      <c r="F6528" s="748">
        <f t="shared" ref="F6528:F6591" si="341">E6528*C6528</f>
        <v>0</v>
      </c>
      <c r="G6528" s="1205"/>
      <c r="H6528" s="1055"/>
      <c r="I6528" s="1055"/>
      <c r="J6528" s="1055"/>
      <c r="K6528" s="1205"/>
      <c r="L6528" s="1055"/>
      <c r="M6528" s="1205"/>
      <c r="N6528" s="1054"/>
      <c r="O6528" s="1207"/>
      <c r="Q6528" s="1207"/>
    </row>
    <row r="6529" spans="3:17" s="700" customFormat="1" ht="70.5" hidden="1" customHeight="1">
      <c r="C6529" s="701"/>
      <c r="D6529" s="811"/>
      <c r="E6529" s="1276">
        <f>[11]building!Y6860</f>
        <v>0</v>
      </c>
      <c r="F6529" s="748">
        <f t="shared" si="341"/>
        <v>0</v>
      </c>
      <c r="G6529" s="1205"/>
      <c r="H6529" s="1055"/>
      <c r="I6529" s="1055"/>
      <c r="J6529" s="1055"/>
      <c r="K6529" s="1205"/>
      <c r="L6529" s="1055"/>
      <c r="M6529" s="1205"/>
      <c r="N6529" s="1054"/>
      <c r="O6529" s="1207"/>
      <c r="Q6529" s="1207"/>
    </row>
    <row r="6530" spans="3:17" s="700" customFormat="1" ht="70.5" hidden="1" customHeight="1">
      <c r="C6530" s="701"/>
      <c r="D6530" s="811"/>
      <c r="E6530" s="1276">
        <f>[11]building!Y6861</f>
        <v>0</v>
      </c>
      <c r="F6530" s="748">
        <f t="shared" si="341"/>
        <v>0</v>
      </c>
      <c r="G6530" s="1205"/>
      <c r="H6530" s="1055"/>
      <c r="I6530" s="1055"/>
      <c r="J6530" s="1055"/>
      <c r="K6530" s="1205"/>
      <c r="L6530" s="1055"/>
      <c r="M6530" s="1205"/>
      <c r="N6530" s="1054"/>
      <c r="O6530" s="1207"/>
      <c r="Q6530" s="1207"/>
    </row>
    <row r="6531" spans="3:17" s="700" customFormat="1" ht="70.5" hidden="1" customHeight="1">
      <c r="C6531" s="701"/>
      <c r="D6531" s="811"/>
      <c r="E6531" s="1276">
        <f>[11]building!Y6862</f>
        <v>0</v>
      </c>
      <c r="F6531" s="748">
        <f t="shared" si="341"/>
        <v>0</v>
      </c>
      <c r="G6531" s="1205"/>
      <c r="H6531" s="1055"/>
      <c r="I6531" s="1055"/>
      <c r="J6531" s="1055"/>
      <c r="K6531" s="1205"/>
      <c r="L6531" s="1055"/>
      <c r="M6531" s="1205"/>
      <c r="N6531" s="1054"/>
      <c r="O6531" s="1207"/>
      <c r="Q6531" s="1207"/>
    </row>
    <row r="6532" spans="3:17" s="700" customFormat="1" ht="70.5" hidden="1" customHeight="1">
      <c r="C6532" s="701"/>
      <c r="D6532" s="811"/>
      <c r="E6532" s="1276">
        <f>[11]building!Y6863</f>
        <v>0</v>
      </c>
      <c r="F6532" s="748">
        <f t="shared" si="341"/>
        <v>0</v>
      </c>
      <c r="G6532" s="1205"/>
      <c r="H6532" s="1055"/>
      <c r="I6532" s="1055"/>
      <c r="J6532" s="1055"/>
      <c r="K6532" s="1205"/>
      <c r="L6532" s="1055"/>
      <c r="M6532" s="1205"/>
      <c r="N6532" s="1054"/>
      <c r="O6532" s="1207"/>
      <c r="Q6532" s="1207"/>
    </row>
    <row r="6533" spans="3:17" s="700" customFormat="1" ht="70.5" hidden="1" customHeight="1">
      <c r="C6533" s="701"/>
      <c r="D6533" s="811"/>
      <c r="E6533" s="1276">
        <f>[11]building!Y6864</f>
        <v>0</v>
      </c>
      <c r="F6533" s="748">
        <f t="shared" si="341"/>
        <v>0</v>
      </c>
      <c r="G6533" s="1205"/>
      <c r="H6533" s="1055"/>
      <c r="I6533" s="1055"/>
      <c r="J6533" s="1055"/>
      <c r="K6533" s="1205"/>
      <c r="L6533" s="1055"/>
      <c r="M6533" s="1205"/>
      <c r="N6533" s="1054"/>
      <c r="O6533" s="1207"/>
      <c r="Q6533" s="1207"/>
    </row>
    <row r="6534" spans="3:17" s="700" customFormat="1" ht="70.5" hidden="1" customHeight="1">
      <c r="C6534" s="701"/>
      <c r="D6534" s="811"/>
      <c r="E6534" s="1276">
        <f>[11]building!Y6865</f>
        <v>0</v>
      </c>
      <c r="F6534" s="748">
        <f t="shared" si="341"/>
        <v>0</v>
      </c>
      <c r="G6534" s="1205"/>
      <c r="H6534" s="1055"/>
      <c r="I6534" s="1055"/>
      <c r="J6534" s="1055"/>
      <c r="K6534" s="1205"/>
      <c r="L6534" s="1055"/>
      <c r="M6534" s="1205"/>
      <c r="N6534" s="1054"/>
      <c r="O6534" s="1207"/>
      <c r="Q6534" s="1207"/>
    </row>
    <row r="6535" spans="3:17" s="700" customFormat="1" ht="70.5" hidden="1" customHeight="1">
      <c r="C6535" s="701"/>
      <c r="D6535" s="811"/>
      <c r="E6535" s="1276">
        <f>[11]building!Y6866</f>
        <v>0</v>
      </c>
      <c r="F6535" s="748">
        <f t="shared" si="341"/>
        <v>0</v>
      </c>
      <c r="G6535" s="1205"/>
      <c r="H6535" s="1055"/>
      <c r="I6535" s="1055"/>
      <c r="J6535" s="1055"/>
      <c r="K6535" s="1205"/>
      <c r="L6535" s="1055"/>
      <c r="M6535" s="1205"/>
      <c r="N6535" s="1054"/>
      <c r="O6535" s="1207"/>
      <c r="Q6535" s="1207"/>
    </row>
    <row r="6536" spans="3:17" s="700" customFormat="1" ht="70.5" hidden="1" customHeight="1">
      <c r="C6536" s="701"/>
      <c r="D6536" s="811"/>
      <c r="E6536" s="1276">
        <f>[11]building!Y6867</f>
        <v>0</v>
      </c>
      <c r="F6536" s="748">
        <f t="shared" si="341"/>
        <v>0</v>
      </c>
      <c r="G6536" s="1205"/>
      <c r="H6536" s="1055"/>
      <c r="I6536" s="1055"/>
      <c r="J6536" s="1055"/>
      <c r="K6536" s="1205"/>
      <c r="L6536" s="1055"/>
      <c r="M6536" s="1205"/>
      <c r="N6536" s="1054"/>
      <c r="O6536" s="1207"/>
      <c r="Q6536" s="1207"/>
    </row>
    <row r="6537" spans="3:17" s="700" customFormat="1" ht="70.5" hidden="1" customHeight="1">
      <c r="C6537" s="701"/>
      <c r="D6537" s="811"/>
      <c r="E6537" s="1276">
        <f>[11]building!Y6868</f>
        <v>0</v>
      </c>
      <c r="F6537" s="748">
        <f t="shared" si="341"/>
        <v>0</v>
      </c>
      <c r="G6537" s="1205"/>
      <c r="H6537" s="1055"/>
      <c r="I6537" s="1055"/>
      <c r="J6537" s="1055"/>
      <c r="K6537" s="1205"/>
      <c r="L6537" s="1055"/>
      <c r="M6537" s="1205"/>
      <c r="N6537" s="1054"/>
      <c r="O6537" s="1207"/>
      <c r="Q6537" s="1207"/>
    </row>
    <row r="6538" spans="3:17" s="700" customFormat="1" ht="70.5" hidden="1" customHeight="1">
      <c r="C6538" s="701"/>
      <c r="D6538" s="811"/>
      <c r="E6538" s="1276">
        <f>[11]building!Y6869</f>
        <v>0</v>
      </c>
      <c r="F6538" s="748">
        <f t="shared" si="341"/>
        <v>0</v>
      </c>
      <c r="G6538" s="1205"/>
      <c r="H6538" s="1055"/>
      <c r="I6538" s="1055"/>
      <c r="J6538" s="1055"/>
      <c r="K6538" s="1205"/>
      <c r="L6538" s="1055"/>
      <c r="M6538" s="1205"/>
      <c r="N6538" s="1054"/>
      <c r="O6538" s="1207"/>
      <c r="Q6538" s="1207"/>
    </row>
    <row r="6539" spans="3:17" s="700" customFormat="1" ht="70.5" hidden="1" customHeight="1">
      <c r="C6539" s="701"/>
      <c r="D6539" s="811"/>
      <c r="E6539" s="1276">
        <f>[11]building!Y6870</f>
        <v>0</v>
      </c>
      <c r="F6539" s="748">
        <f t="shared" si="341"/>
        <v>0</v>
      </c>
      <c r="G6539" s="1205"/>
      <c r="H6539" s="1055"/>
      <c r="I6539" s="1055"/>
      <c r="J6539" s="1055"/>
      <c r="K6539" s="1205"/>
      <c r="L6539" s="1055"/>
      <c r="M6539" s="1205"/>
      <c r="N6539" s="1054"/>
      <c r="O6539" s="1207"/>
      <c r="Q6539" s="1207"/>
    </row>
    <row r="6540" spans="3:17" s="700" customFormat="1" ht="70.5" hidden="1" customHeight="1">
      <c r="C6540" s="701"/>
      <c r="D6540" s="811"/>
      <c r="E6540" s="1276">
        <f>[11]building!Y6871</f>
        <v>0</v>
      </c>
      <c r="F6540" s="748">
        <f t="shared" si="341"/>
        <v>0</v>
      </c>
      <c r="G6540" s="1205"/>
      <c r="H6540" s="1055"/>
      <c r="I6540" s="1055"/>
      <c r="J6540" s="1055"/>
      <c r="K6540" s="1205"/>
      <c r="L6540" s="1055"/>
      <c r="M6540" s="1205"/>
      <c r="N6540" s="1054"/>
      <c r="O6540" s="1207"/>
      <c r="Q6540" s="1207"/>
    </row>
    <row r="6541" spans="3:17" s="700" customFormat="1" ht="70.5" hidden="1" customHeight="1">
      <c r="C6541" s="701"/>
      <c r="D6541" s="811"/>
      <c r="E6541" s="1276">
        <f>[11]building!Y6872</f>
        <v>0</v>
      </c>
      <c r="F6541" s="748">
        <f t="shared" si="341"/>
        <v>0</v>
      </c>
      <c r="G6541" s="1205"/>
      <c r="H6541" s="1055"/>
      <c r="I6541" s="1055"/>
      <c r="J6541" s="1055"/>
      <c r="K6541" s="1205"/>
      <c r="L6541" s="1055"/>
      <c r="M6541" s="1205"/>
      <c r="N6541" s="1054"/>
      <c r="O6541" s="1207"/>
      <c r="Q6541" s="1207"/>
    </row>
    <row r="6542" spans="3:17" s="700" customFormat="1" ht="70.5" hidden="1" customHeight="1">
      <c r="C6542" s="701"/>
      <c r="D6542" s="811"/>
      <c r="E6542" s="1276">
        <f>[11]building!Y6873</f>
        <v>0</v>
      </c>
      <c r="F6542" s="748">
        <f t="shared" si="341"/>
        <v>0</v>
      </c>
      <c r="G6542" s="1205"/>
      <c r="H6542" s="1055"/>
      <c r="I6542" s="1055"/>
      <c r="J6542" s="1055"/>
      <c r="K6542" s="1205"/>
      <c r="L6542" s="1055"/>
      <c r="M6542" s="1205"/>
      <c r="N6542" s="1054"/>
      <c r="O6542" s="1207"/>
      <c r="Q6542" s="1207"/>
    </row>
    <row r="6543" spans="3:17" s="700" customFormat="1" ht="70.5" hidden="1" customHeight="1">
      <c r="C6543" s="701"/>
      <c r="D6543" s="811"/>
      <c r="E6543" s="1276">
        <f>[11]building!Y6874</f>
        <v>0</v>
      </c>
      <c r="F6543" s="748">
        <f t="shared" si="341"/>
        <v>0</v>
      </c>
      <c r="G6543" s="1205"/>
      <c r="H6543" s="1055"/>
      <c r="I6543" s="1055"/>
      <c r="J6543" s="1055"/>
      <c r="K6543" s="1205"/>
      <c r="L6543" s="1055"/>
      <c r="M6543" s="1205"/>
      <c r="N6543" s="1054"/>
      <c r="O6543" s="1207"/>
      <c r="Q6543" s="1207"/>
    </row>
    <row r="6544" spans="3:17" s="700" customFormat="1" ht="70.5" hidden="1" customHeight="1">
      <c r="C6544" s="701"/>
      <c r="D6544" s="811"/>
      <c r="E6544" s="1276">
        <f>[11]building!Y6875</f>
        <v>0</v>
      </c>
      <c r="F6544" s="748">
        <f t="shared" si="341"/>
        <v>0</v>
      </c>
      <c r="G6544" s="1205"/>
      <c r="H6544" s="1055"/>
      <c r="I6544" s="1055"/>
      <c r="J6544" s="1055"/>
      <c r="K6544" s="1205"/>
      <c r="L6544" s="1055"/>
      <c r="M6544" s="1205"/>
      <c r="N6544" s="1054"/>
      <c r="O6544" s="1207"/>
      <c r="Q6544" s="1207"/>
    </row>
    <row r="6545" spans="3:17" s="700" customFormat="1" ht="70.5" hidden="1" customHeight="1">
      <c r="C6545" s="701"/>
      <c r="D6545" s="811"/>
      <c r="E6545" s="1276">
        <f>[11]building!Y6876</f>
        <v>0</v>
      </c>
      <c r="F6545" s="748">
        <f t="shared" si="341"/>
        <v>0</v>
      </c>
      <c r="G6545" s="1205"/>
      <c r="H6545" s="1055"/>
      <c r="I6545" s="1055"/>
      <c r="J6545" s="1055"/>
      <c r="K6545" s="1205"/>
      <c r="L6545" s="1055"/>
      <c r="M6545" s="1205"/>
      <c r="N6545" s="1054"/>
      <c r="O6545" s="1207"/>
      <c r="Q6545" s="1207"/>
    </row>
    <row r="6546" spans="3:17" s="700" customFormat="1" ht="70.5" hidden="1" customHeight="1">
      <c r="C6546" s="701"/>
      <c r="D6546" s="811"/>
      <c r="E6546" s="1276">
        <f>[11]building!Y6877</f>
        <v>0</v>
      </c>
      <c r="F6546" s="748">
        <f t="shared" si="341"/>
        <v>0</v>
      </c>
      <c r="G6546" s="1205"/>
      <c r="H6546" s="1055"/>
      <c r="I6546" s="1055"/>
      <c r="J6546" s="1055"/>
      <c r="K6546" s="1205"/>
      <c r="L6546" s="1055"/>
      <c r="M6546" s="1205"/>
      <c r="N6546" s="1054"/>
      <c r="O6546" s="1207"/>
      <c r="Q6546" s="1207"/>
    </row>
    <row r="6547" spans="3:17" s="700" customFormat="1" ht="70.5" hidden="1" customHeight="1">
      <c r="C6547" s="701"/>
      <c r="D6547" s="811"/>
      <c r="E6547" s="1276">
        <f>[11]building!Y6878</f>
        <v>0</v>
      </c>
      <c r="F6547" s="748">
        <f t="shared" si="341"/>
        <v>0</v>
      </c>
      <c r="G6547" s="1205"/>
      <c r="H6547" s="1055"/>
      <c r="I6547" s="1055"/>
      <c r="J6547" s="1055"/>
      <c r="K6547" s="1205"/>
      <c r="L6547" s="1055"/>
      <c r="M6547" s="1205"/>
      <c r="N6547" s="1054"/>
      <c r="O6547" s="1207"/>
      <c r="Q6547" s="1207"/>
    </row>
    <row r="6548" spans="3:17" s="700" customFormat="1" ht="70.5" hidden="1" customHeight="1">
      <c r="C6548" s="701"/>
      <c r="D6548" s="811"/>
      <c r="E6548" s="1276">
        <f>[11]building!Y6879</f>
        <v>0</v>
      </c>
      <c r="F6548" s="748">
        <f t="shared" si="341"/>
        <v>0</v>
      </c>
      <c r="G6548" s="1205"/>
      <c r="H6548" s="1055"/>
      <c r="I6548" s="1055"/>
      <c r="J6548" s="1055"/>
      <c r="K6548" s="1205"/>
      <c r="L6548" s="1055"/>
      <c r="M6548" s="1205"/>
      <c r="N6548" s="1054"/>
      <c r="O6548" s="1207"/>
      <c r="Q6548" s="1207"/>
    </row>
    <row r="6549" spans="3:17" s="700" customFormat="1" ht="70.5" hidden="1" customHeight="1">
      <c r="C6549" s="701"/>
      <c r="D6549" s="811"/>
      <c r="E6549" s="1276">
        <f>[11]building!Y6880</f>
        <v>0</v>
      </c>
      <c r="F6549" s="748">
        <f t="shared" si="341"/>
        <v>0</v>
      </c>
      <c r="G6549" s="1205"/>
      <c r="H6549" s="1055"/>
      <c r="I6549" s="1055"/>
      <c r="J6549" s="1055"/>
      <c r="K6549" s="1205"/>
      <c r="L6549" s="1055"/>
      <c r="M6549" s="1205"/>
      <c r="N6549" s="1054"/>
      <c r="O6549" s="1207"/>
      <c r="Q6549" s="1207"/>
    </row>
    <row r="6550" spans="3:17" s="700" customFormat="1" ht="70.5" hidden="1" customHeight="1">
      <c r="C6550" s="701"/>
      <c r="D6550" s="811"/>
      <c r="E6550" s="1276">
        <f>[11]building!Y6881</f>
        <v>0</v>
      </c>
      <c r="F6550" s="748">
        <f t="shared" si="341"/>
        <v>0</v>
      </c>
      <c r="G6550" s="1205"/>
      <c r="H6550" s="1055"/>
      <c r="I6550" s="1055"/>
      <c r="J6550" s="1055"/>
      <c r="K6550" s="1205"/>
      <c r="L6550" s="1055"/>
      <c r="M6550" s="1205"/>
      <c r="N6550" s="1054"/>
      <c r="O6550" s="1207"/>
      <c r="Q6550" s="1207"/>
    </row>
    <row r="6551" spans="3:17" s="700" customFormat="1" ht="70.5" hidden="1" customHeight="1">
      <c r="C6551" s="701"/>
      <c r="D6551" s="811"/>
      <c r="E6551" s="1276">
        <f>[11]building!Y6882</f>
        <v>0</v>
      </c>
      <c r="F6551" s="748">
        <f t="shared" si="341"/>
        <v>0</v>
      </c>
      <c r="G6551" s="1205"/>
      <c r="H6551" s="1055"/>
      <c r="I6551" s="1055"/>
      <c r="J6551" s="1055"/>
      <c r="K6551" s="1205"/>
      <c r="L6551" s="1055"/>
      <c r="M6551" s="1205"/>
      <c r="N6551" s="1054"/>
      <c r="O6551" s="1207"/>
      <c r="Q6551" s="1207"/>
    </row>
    <row r="6552" spans="3:17" s="700" customFormat="1" ht="70.5" hidden="1" customHeight="1">
      <c r="C6552" s="701"/>
      <c r="D6552" s="811"/>
      <c r="E6552" s="1276">
        <f>[11]building!Y6883</f>
        <v>0</v>
      </c>
      <c r="F6552" s="748">
        <f t="shared" si="341"/>
        <v>0</v>
      </c>
      <c r="G6552" s="1205"/>
      <c r="H6552" s="1055"/>
      <c r="I6552" s="1055"/>
      <c r="J6552" s="1055"/>
      <c r="K6552" s="1205"/>
      <c r="L6552" s="1055"/>
      <c r="M6552" s="1205"/>
      <c r="N6552" s="1054"/>
      <c r="O6552" s="1207"/>
      <c r="Q6552" s="1207"/>
    </row>
    <row r="6553" spans="3:17" s="700" customFormat="1" ht="70.5" hidden="1" customHeight="1">
      <c r="C6553" s="701"/>
      <c r="D6553" s="811"/>
      <c r="E6553" s="1276">
        <f>[11]building!Y6884</f>
        <v>0</v>
      </c>
      <c r="F6553" s="748">
        <f t="shared" si="341"/>
        <v>0</v>
      </c>
      <c r="G6553" s="1205"/>
      <c r="H6553" s="1055"/>
      <c r="I6553" s="1055"/>
      <c r="J6553" s="1055"/>
      <c r="K6553" s="1205"/>
      <c r="L6553" s="1055"/>
      <c r="M6553" s="1205"/>
      <c r="N6553" s="1054"/>
      <c r="O6553" s="1207"/>
      <c r="Q6553" s="1207"/>
    </row>
    <row r="6554" spans="3:17" s="700" customFormat="1" ht="70.5" hidden="1" customHeight="1">
      <c r="C6554" s="701"/>
      <c r="D6554" s="811"/>
      <c r="E6554" s="1276">
        <f>[11]building!Y6885</f>
        <v>0</v>
      </c>
      <c r="F6554" s="748">
        <f t="shared" si="341"/>
        <v>0</v>
      </c>
      <c r="G6554" s="1205"/>
      <c r="H6554" s="1055"/>
      <c r="I6554" s="1055"/>
      <c r="J6554" s="1055"/>
      <c r="K6554" s="1205"/>
      <c r="L6554" s="1055"/>
      <c r="M6554" s="1205"/>
      <c r="N6554" s="1054"/>
      <c r="O6554" s="1207"/>
      <c r="Q6554" s="1207"/>
    </row>
    <row r="6555" spans="3:17" s="700" customFormat="1" ht="70.5" hidden="1" customHeight="1">
      <c r="C6555" s="701"/>
      <c r="D6555" s="811"/>
      <c r="E6555" s="1276">
        <f>[11]building!Y6886</f>
        <v>0</v>
      </c>
      <c r="F6555" s="748">
        <f t="shared" si="341"/>
        <v>0</v>
      </c>
      <c r="G6555" s="1205"/>
      <c r="H6555" s="1055"/>
      <c r="I6555" s="1055"/>
      <c r="J6555" s="1055"/>
      <c r="K6555" s="1205"/>
      <c r="L6555" s="1055"/>
      <c r="M6555" s="1205"/>
      <c r="N6555" s="1054"/>
      <c r="O6555" s="1207"/>
      <c r="Q6555" s="1207"/>
    </row>
    <row r="6556" spans="3:17" s="700" customFormat="1" ht="70.5" hidden="1" customHeight="1">
      <c r="C6556" s="701"/>
      <c r="D6556" s="811"/>
      <c r="E6556" s="1276">
        <f>[11]building!Y6887</f>
        <v>0</v>
      </c>
      <c r="F6556" s="748">
        <f t="shared" si="341"/>
        <v>0</v>
      </c>
      <c r="G6556" s="1205"/>
      <c r="H6556" s="1055"/>
      <c r="I6556" s="1055"/>
      <c r="J6556" s="1055"/>
      <c r="K6556" s="1205"/>
      <c r="L6556" s="1055"/>
      <c r="M6556" s="1205"/>
      <c r="N6556" s="1054"/>
      <c r="O6556" s="1207"/>
      <c r="Q6556" s="1207"/>
    </row>
    <row r="6557" spans="3:17" s="700" customFormat="1" ht="70.5" hidden="1" customHeight="1">
      <c r="C6557" s="701"/>
      <c r="D6557" s="811"/>
      <c r="E6557" s="1276">
        <f>[11]building!Y6888</f>
        <v>0</v>
      </c>
      <c r="F6557" s="748">
        <f t="shared" si="341"/>
        <v>0</v>
      </c>
      <c r="G6557" s="1205"/>
      <c r="H6557" s="1055"/>
      <c r="I6557" s="1055"/>
      <c r="J6557" s="1055"/>
      <c r="K6557" s="1205"/>
      <c r="L6557" s="1055"/>
      <c r="M6557" s="1205"/>
      <c r="N6557" s="1054"/>
      <c r="O6557" s="1207"/>
      <c r="Q6557" s="1207"/>
    </row>
    <row r="6558" spans="3:17" s="700" customFormat="1" ht="70.5" hidden="1" customHeight="1">
      <c r="C6558" s="701"/>
      <c r="D6558" s="811"/>
      <c r="E6558" s="1276">
        <f>[11]building!Y6889</f>
        <v>0</v>
      </c>
      <c r="F6558" s="748">
        <f t="shared" si="341"/>
        <v>0</v>
      </c>
      <c r="G6558" s="1205"/>
      <c r="H6558" s="1055"/>
      <c r="I6558" s="1055"/>
      <c r="J6558" s="1055"/>
      <c r="K6558" s="1205"/>
      <c r="L6558" s="1055"/>
      <c r="M6558" s="1205"/>
      <c r="N6558" s="1054"/>
      <c r="O6558" s="1207"/>
      <c r="Q6558" s="1207"/>
    </row>
    <row r="6559" spans="3:17" s="700" customFormat="1" ht="70.5" hidden="1" customHeight="1">
      <c r="C6559" s="701"/>
      <c r="D6559" s="811"/>
      <c r="E6559" s="1276">
        <f>[11]building!Y6890</f>
        <v>0</v>
      </c>
      <c r="F6559" s="748">
        <f t="shared" si="341"/>
        <v>0</v>
      </c>
      <c r="G6559" s="1205"/>
      <c r="H6559" s="1055"/>
      <c r="I6559" s="1055"/>
      <c r="J6559" s="1055"/>
      <c r="K6559" s="1205"/>
      <c r="L6559" s="1055"/>
      <c r="M6559" s="1205"/>
      <c r="N6559" s="1054"/>
      <c r="O6559" s="1207"/>
      <c r="Q6559" s="1207"/>
    </row>
    <row r="6560" spans="3:17" s="700" customFormat="1" ht="70.5" hidden="1" customHeight="1">
      <c r="C6560" s="701"/>
      <c r="D6560" s="811"/>
      <c r="E6560" s="1276">
        <f>[11]building!Y6891</f>
        <v>0</v>
      </c>
      <c r="F6560" s="748">
        <f t="shared" si="341"/>
        <v>0</v>
      </c>
      <c r="G6560" s="1205"/>
      <c r="H6560" s="1055"/>
      <c r="I6560" s="1055"/>
      <c r="J6560" s="1055"/>
      <c r="K6560" s="1205"/>
      <c r="L6560" s="1055"/>
      <c r="M6560" s="1205"/>
      <c r="N6560" s="1054"/>
      <c r="O6560" s="1207"/>
      <c r="Q6560" s="1207"/>
    </row>
    <row r="6561" spans="3:17" s="700" customFormat="1" ht="70.5" hidden="1" customHeight="1">
      <c r="C6561" s="701"/>
      <c r="D6561" s="811"/>
      <c r="E6561" s="1276">
        <f>[11]building!Y6892</f>
        <v>0</v>
      </c>
      <c r="F6561" s="748">
        <f t="shared" si="341"/>
        <v>0</v>
      </c>
      <c r="G6561" s="1205"/>
      <c r="H6561" s="1055"/>
      <c r="I6561" s="1055"/>
      <c r="J6561" s="1055"/>
      <c r="K6561" s="1205"/>
      <c r="L6561" s="1055"/>
      <c r="M6561" s="1205"/>
      <c r="N6561" s="1054"/>
      <c r="O6561" s="1207"/>
      <c r="Q6561" s="1207"/>
    </row>
    <row r="6562" spans="3:17" s="700" customFormat="1" ht="70.5" hidden="1" customHeight="1">
      <c r="C6562" s="701"/>
      <c r="D6562" s="811"/>
      <c r="E6562" s="1276">
        <f>[11]building!Y6893</f>
        <v>0</v>
      </c>
      <c r="F6562" s="748">
        <f t="shared" si="341"/>
        <v>0</v>
      </c>
      <c r="G6562" s="1205"/>
      <c r="H6562" s="1055"/>
      <c r="I6562" s="1055"/>
      <c r="J6562" s="1055"/>
      <c r="K6562" s="1205"/>
      <c r="L6562" s="1055"/>
      <c r="M6562" s="1205"/>
      <c r="N6562" s="1054"/>
      <c r="O6562" s="1207"/>
      <c r="Q6562" s="1207"/>
    </row>
    <row r="6563" spans="3:17" s="700" customFormat="1" ht="70.5" hidden="1" customHeight="1">
      <c r="C6563" s="701"/>
      <c r="D6563" s="811"/>
      <c r="E6563" s="1276">
        <f>[11]building!Y6894</f>
        <v>0</v>
      </c>
      <c r="F6563" s="748">
        <f t="shared" si="341"/>
        <v>0</v>
      </c>
      <c r="G6563" s="1205"/>
      <c r="H6563" s="1055"/>
      <c r="I6563" s="1055"/>
      <c r="J6563" s="1055"/>
      <c r="K6563" s="1205"/>
      <c r="L6563" s="1055"/>
      <c r="M6563" s="1205"/>
      <c r="N6563" s="1054"/>
      <c r="O6563" s="1207"/>
      <c r="Q6563" s="1207"/>
    </row>
    <row r="6564" spans="3:17" s="700" customFormat="1" ht="70.5" hidden="1" customHeight="1">
      <c r="C6564" s="701"/>
      <c r="D6564" s="811"/>
      <c r="E6564" s="1276">
        <f>[11]building!Y6895</f>
        <v>0</v>
      </c>
      <c r="F6564" s="748">
        <f t="shared" si="341"/>
        <v>0</v>
      </c>
      <c r="G6564" s="1205"/>
      <c r="H6564" s="1055"/>
      <c r="I6564" s="1055"/>
      <c r="J6564" s="1055"/>
      <c r="K6564" s="1205"/>
      <c r="L6564" s="1055"/>
      <c r="M6564" s="1205"/>
      <c r="N6564" s="1054"/>
      <c r="O6564" s="1207"/>
      <c r="Q6564" s="1207"/>
    </row>
    <row r="6565" spans="3:17" s="700" customFormat="1" ht="70.5" hidden="1" customHeight="1">
      <c r="C6565" s="701"/>
      <c r="D6565" s="811"/>
      <c r="E6565" s="1276">
        <f>[11]building!Y6896</f>
        <v>0</v>
      </c>
      <c r="F6565" s="748">
        <f t="shared" si="341"/>
        <v>0</v>
      </c>
      <c r="G6565" s="1205"/>
      <c r="H6565" s="1055"/>
      <c r="I6565" s="1055"/>
      <c r="J6565" s="1055"/>
      <c r="K6565" s="1205"/>
      <c r="L6565" s="1055"/>
      <c r="M6565" s="1205"/>
      <c r="N6565" s="1054"/>
      <c r="O6565" s="1207"/>
      <c r="Q6565" s="1207"/>
    </row>
    <row r="6566" spans="3:17" s="700" customFormat="1" ht="70.5" hidden="1" customHeight="1">
      <c r="C6566" s="701"/>
      <c r="D6566" s="811"/>
      <c r="E6566" s="1276">
        <f>[11]building!Y6897</f>
        <v>0</v>
      </c>
      <c r="F6566" s="748">
        <f t="shared" si="341"/>
        <v>0</v>
      </c>
      <c r="G6566" s="1205"/>
      <c r="H6566" s="1055"/>
      <c r="I6566" s="1055"/>
      <c r="J6566" s="1055"/>
      <c r="K6566" s="1205"/>
      <c r="L6566" s="1055"/>
      <c r="M6566" s="1205"/>
      <c r="N6566" s="1054"/>
      <c r="O6566" s="1207"/>
      <c r="Q6566" s="1207"/>
    </row>
    <row r="6567" spans="3:17" s="700" customFormat="1" ht="70.5" hidden="1" customHeight="1">
      <c r="C6567" s="701"/>
      <c r="D6567" s="811"/>
      <c r="E6567" s="1276">
        <f>[11]building!Y6898</f>
        <v>0</v>
      </c>
      <c r="F6567" s="748">
        <f t="shared" si="341"/>
        <v>0</v>
      </c>
      <c r="G6567" s="1205"/>
      <c r="H6567" s="1055"/>
      <c r="I6567" s="1055"/>
      <c r="J6567" s="1055"/>
      <c r="K6567" s="1205"/>
      <c r="L6567" s="1055"/>
      <c r="M6567" s="1205"/>
      <c r="N6567" s="1054"/>
      <c r="O6567" s="1207"/>
      <c r="Q6567" s="1207"/>
    </row>
    <row r="6568" spans="3:17" s="700" customFormat="1" ht="70.5" hidden="1" customHeight="1">
      <c r="C6568" s="701"/>
      <c r="D6568" s="811"/>
      <c r="E6568" s="1276">
        <f>[11]building!Y6899</f>
        <v>0</v>
      </c>
      <c r="F6568" s="748">
        <f t="shared" si="341"/>
        <v>0</v>
      </c>
      <c r="G6568" s="1205"/>
      <c r="H6568" s="1055"/>
      <c r="I6568" s="1055"/>
      <c r="J6568" s="1055"/>
      <c r="K6568" s="1205"/>
      <c r="L6568" s="1055"/>
      <c r="M6568" s="1205"/>
      <c r="N6568" s="1054"/>
      <c r="O6568" s="1207"/>
      <c r="Q6568" s="1207"/>
    </row>
    <row r="6569" spans="3:17" s="700" customFormat="1" ht="70.5" hidden="1" customHeight="1">
      <c r="C6569" s="701"/>
      <c r="D6569" s="811"/>
      <c r="E6569" s="1276">
        <f>[11]building!Y6900</f>
        <v>0</v>
      </c>
      <c r="F6569" s="748">
        <f t="shared" si="341"/>
        <v>0</v>
      </c>
      <c r="G6569" s="1205"/>
      <c r="H6569" s="1055"/>
      <c r="I6569" s="1055"/>
      <c r="J6569" s="1055"/>
      <c r="K6569" s="1205"/>
      <c r="L6569" s="1055"/>
      <c r="M6569" s="1205"/>
      <c r="N6569" s="1054"/>
      <c r="O6569" s="1207"/>
      <c r="Q6569" s="1207"/>
    </row>
    <row r="6570" spans="3:17" s="700" customFormat="1" ht="70.5" hidden="1" customHeight="1">
      <c r="C6570" s="701"/>
      <c r="D6570" s="811"/>
      <c r="E6570" s="1276">
        <f>[11]building!Y6901</f>
        <v>0</v>
      </c>
      <c r="F6570" s="748">
        <f t="shared" si="341"/>
        <v>0</v>
      </c>
      <c r="G6570" s="1205"/>
      <c r="H6570" s="1055"/>
      <c r="I6570" s="1055"/>
      <c r="J6570" s="1055"/>
      <c r="K6570" s="1205"/>
      <c r="L6570" s="1055"/>
      <c r="M6570" s="1205"/>
      <c r="N6570" s="1054"/>
      <c r="O6570" s="1207"/>
      <c r="Q6570" s="1207"/>
    </row>
    <row r="6571" spans="3:17" s="700" customFormat="1" ht="70.5" hidden="1" customHeight="1">
      <c r="C6571" s="701"/>
      <c r="D6571" s="811"/>
      <c r="E6571" s="1276">
        <f>[11]building!Y6902</f>
        <v>0</v>
      </c>
      <c r="F6571" s="748">
        <f t="shared" si="341"/>
        <v>0</v>
      </c>
      <c r="G6571" s="1205"/>
      <c r="H6571" s="1055"/>
      <c r="I6571" s="1055"/>
      <c r="J6571" s="1055"/>
      <c r="K6571" s="1205"/>
      <c r="L6571" s="1055"/>
      <c r="M6571" s="1205"/>
      <c r="N6571" s="1054"/>
      <c r="O6571" s="1207"/>
      <c r="Q6571" s="1207"/>
    </row>
    <row r="6572" spans="3:17" s="700" customFormat="1" ht="70.5" hidden="1" customHeight="1">
      <c r="C6572" s="701"/>
      <c r="D6572" s="811"/>
      <c r="E6572" s="1276">
        <f>[11]building!Y6903</f>
        <v>0</v>
      </c>
      <c r="F6572" s="748">
        <f t="shared" si="341"/>
        <v>0</v>
      </c>
      <c r="G6572" s="1205"/>
      <c r="H6572" s="1055"/>
      <c r="I6572" s="1055"/>
      <c r="J6572" s="1055"/>
      <c r="K6572" s="1205"/>
      <c r="L6572" s="1055"/>
      <c r="M6572" s="1205"/>
      <c r="N6572" s="1054"/>
      <c r="O6572" s="1207"/>
      <c r="Q6572" s="1207"/>
    </row>
    <row r="6573" spans="3:17" s="700" customFormat="1" ht="70.5" hidden="1" customHeight="1">
      <c r="C6573" s="701"/>
      <c r="D6573" s="811"/>
      <c r="E6573" s="1276">
        <f>[11]building!Y6904</f>
        <v>0</v>
      </c>
      <c r="F6573" s="748">
        <f t="shared" si="341"/>
        <v>0</v>
      </c>
      <c r="G6573" s="1205"/>
      <c r="H6573" s="1055"/>
      <c r="I6573" s="1055"/>
      <c r="J6573" s="1055"/>
      <c r="K6573" s="1205"/>
      <c r="L6573" s="1055"/>
      <c r="M6573" s="1205"/>
      <c r="N6573" s="1054"/>
      <c r="O6573" s="1207"/>
      <c r="Q6573" s="1207"/>
    </row>
    <row r="6574" spans="3:17" s="700" customFormat="1" ht="70.5" hidden="1" customHeight="1">
      <c r="C6574" s="701"/>
      <c r="D6574" s="811"/>
      <c r="E6574" s="1276">
        <f>[11]building!Y6905</f>
        <v>0</v>
      </c>
      <c r="F6574" s="748">
        <f t="shared" si="341"/>
        <v>0</v>
      </c>
      <c r="G6574" s="1205"/>
      <c r="H6574" s="1055"/>
      <c r="I6574" s="1055"/>
      <c r="J6574" s="1055"/>
      <c r="K6574" s="1205"/>
      <c r="L6574" s="1055"/>
      <c r="M6574" s="1205"/>
      <c r="N6574" s="1054"/>
      <c r="O6574" s="1207"/>
      <c r="Q6574" s="1207"/>
    </row>
    <row r="6575" spans="3:17" s="700" customFormat="1" ht="70.5" hidden="1" customHeight="1">
      <c r="C6575" s="701"/>
      <c r="D6575" s="811"/>
      <c r="E6575" s="1276">
        <f>[11]building!Y6906</f>
        <v>0</v>
      </c>
      <c r="F6575" s="748">
        <f t="shared" si="341"/>
        <v>0</v>
      </c>
      <c r="G6575" s="1205"/>
      <c r="H6575" s="1055"/>
      <c r="I6575" s="1055"/>
      <c r="J6575" s="1055"/>
      <c r="K6575" s="1205"/>
      <c r="L6575" s="1055"/>
      <c r="M6575" s="1205"/>
      <c r="N6575" s="1054"/>
      <c r="O6575" s="1207"/>
      <c r="Q6575" s="1207"/>
    </row>
    <row r="6576" spans="3:17" s="700" customFormat="1" ht="70.5" hidden="1" customHeight="1">
      <c r="C6576" s="701"/>
      <c r="D6576" s="811"/>
      <c r="E6576" s="1276">
        <f>[11]building!Y6907</f>
        <v>0</v>
      </c>
      <c r="F6576" s="748">
        <f t="shared" si="341"/>
        <v>0</v>
      </c>
      <c r="G6576" s="1205"/>
      <c r="H6576" s="1055"/>
      <c r="I6576" s="1055"/>
      <c r="J6576" s="1055"/>
      <c r="K6576" s="1205"/>
      <c r="L6576" s="1055"/>
      <c r="M6576" s="1205"/>
      <c r="N6576" s="1054"/>
      <c r="O6576" s="1207"/>
      <c r="Q6576" s="1207"/>
    </row>
    <row r="6577" spans="3:17" s="700" customFormat="1" ht="70.5" hidden="1" customHeight="1">
      <c r="C6577" s="701"/>
      <c r="D6577" s="811"/>
      <c r="E6577" s="1276">
        <f>[11]building!Y6908</f>
        <v>0</v>
      </c>
      <c r="F6577" s="748">
        <f t="shared" si="341"/>
        <v>0</v>
      </c>
      <c r="G6577" s="1205"/>
      <c r="H6577" s="1055"/>
      <c r="I6577" s="1055"/>
      <c r="J6577" s="1055"/>
      <c r="K6577" s="1205"/>
      <c r="L6577" s="1055"/>
      <c r="M6577" s="1205"/>
      <c r="N6577" s="1054"/>
      <c r="O6577" s="1207"/>
      <c r="Q6577" s="1207"/>
    </row>
    <row r="6578" spans="3:17" s="700" customFormat="1" ht="70.5" hidden="1" customHeight="1">
      <c r="C6578" s="701"/>
      <c r="D6578" s="811"/>
      <c r="E6578" s="1276">
        <f>[11]building!Y6909</f>
        <v>0</v>
      </c>
      <c r="F6578" s="748">
        <f t="shared" si="341"/>
        <v>0</v>
      </c>
      <c r="G6578" s="1205"/>
      <c r="H6578" s="1055"/>
      <c r="I6578" s="1055"/>
      <c r="J6578" s="1055"/>
      <c r="K6578" s="1205"/>
      <c r="L6578" s="1055"/>
      <c r="M6578" s="1205"/>
      <c r="N6578" s="1054"/>
      <c r="O6578" s="1207"/>
      <c r="Q6578" s="1207"/>
    </row>
    <row r="6579" spans="3:17" s="700" customFormat="1" ht="70.5" hidden="1" customHeight="1">
      <c r="C6579" s="701"/>
      <c r="D6579" s="811"/>
      <c r="E6579" s="1276">
        <f>[11]building!Y6910</f>
        <v>0</v>
      </c>
      <c r="F6579" s="748">
        <f t="shared" si="341"/>
        <v>0</v>
      </c>
      <c r="G6579" s="1205"/>
      <c r="H6579" s="1055"/>
      <c r="I6579" s="1055"/>
      <c r="J6579" s="1055"/>
      <c r="K6579" s="1205"/>
      <c r="L6579" s="1055"/>
      <c r="M6579" s="1205"/>
      <c r="N6579" s="1054"/>
      <c r="O6579" s="1207"/>
      <c r="Q6579" s="1207"/>
    </row>
    <row r="6580" spans="3:17" s="700" customFormat="1" ht="70.5" hidden="1" customHeight="1">
      <c r="C6580" s="701"/>
      <c r="D6580" s="811"/>
      <c r="E6580" s="1276">
        <f>[11]building!Y6911</f>
        <v>0</v>
      </c>
      <c r="F6580" s="748">
        <f t="shared" si="341"/>
        <v>0</v>
      </c>
      <c r="G6580" s="1205"/>
      <c r="H6580" s="1055"/>
      <c r="I6580" s="1055"/>
      <c r="J6580" s="1055"/>
      <c r="K6580" s="1205"/>
      <c r="L6580" s="1055"/>
      <c r="M6580" s="1205"/>
      <c r="N6580" s="1054"/>
      <c r="O6580" s="1207"/>
      <c r="Q6580" s="1207"/>
    </row>
    <row r="6581" spans="3:17" s="700" customFormat="1" ht="70.5" hidden="1" customHeight="1">
      <c r="C6581" s="701"/>
      <c r="D6581" s="811"/>
      <c r="E6581" s="1276">
        <f>[11]building!Y6912</f>
        <v>0</v>
      </c>
      <c r="F6581" s="748">
        <f t="shared" si="341"/>
        <v>0</v>
      </c>
      <c r="G6581" s="1205"/>
      <c r="H6581" s="1055"/>
      <c r="I6581" s="1055"/>
      <c r="J6581" s="1055"/>
      <c r="K6581" s="1205"/>
      <c r="L6581" s="1055"/>
      <c r="M6581" s="1205"/>
      <c r="N6581" s="1054"/>
      <c r="O6581" s="1207"/>
      <c r="Q6581" s="1207"/>
    </row>
    <row r="6582" spans="3:17" s="700" customFormat="1" ht="70.5" hidden="1" customHeight="1">
      <c r="C6582" s="701"/>
      <c r="D6582" s="811"/>
      <c r="E6582" s="1276">
        <f>[11]building!Y6913</f>
        <v>0</v>
      </c>
      <c r="F6582" s="748">
        <f t="shared" si="341"/>
        <v>0</v>
      </c>
      <c r="G6582" s="1205"/>
      <c r="H6582" s="1055"/>
      <c r="I6582" s="1055"/>
      <c r="J6582" s="1055"/>
      <c r="K6582" s="1205"/>
      <c r="L6582" s="1055"/>
      <c r="M6582" s="1205"/>
      <c r="N6582" s="1054"/>
      <c r="O6582" s="1207"/>
      <c r="Q6582" s="1207"/>
    </row>
    <row r="6583" spans="3:17" s="700" customFormat="1" ht="70.5" hidden="1" customHeight="1">
      <c r="C6583" s="701"/>
      <c r="D6583" s="811"/>
      <c r="E6583" s="1276">
        <f>[11]building!Y6914</f>
        <v>0</v>
      </c>
      <c r="F6583" s="748">
        <f t="shared" si="341"/>
        <v>0</v>
      </c>
      <c r="G6583" s="1205"/>
      <c r="H6583" s="1055"/>
      <c r="I6583" s="1055"/>
      <c r="J6583" s="1055"/>
      <c r="K6583" s="1205"/>
      <c r="L6583" s="1055"/>
      <c r="M6583" s="1205"/>
      <c r="N6583" s="1054"/>
      <c r="O6583" s="1207"/>
      <c r="Q6583" s="1207"/>
    </row>
    <row r="6584" spans="3:17" s="700" customFormat="1" ht="70.5" hidden="1" customHeight="1">
      <c r="C6584" s="701"/>
      <c r="D6584" s="811"/>
      <c r="E6584" s="1276">
        <f>[11]building!Y6915</f>
        <v>0</v>
      </c>
      <c r="F6584" s="748">
        <f t="shared" si="341"/>
        <v>0</v>
      </c>
      <c r="G6584" s="1205"/>
      <c r="H6584" s="1055"/>
      <c r="I6584" s="1055"/>
      <c r="J6584" s="1055"/>
      <c r="K6584" s="1205"/>
      <c r="L6584" s="1055"/>
      <c r="M6584" s="1205"/>
      <c r="N6584" s="1054"/>
      <c r="O6584" s="1207"/>
      <c r="Q6584" s="1207"/>
    </row>
    <row r="6585" spans="3:17" s="700" customFormat="1" ht="70.5" hidden="1" customHeight="1">
      <c r="C6585" s="701"/>
      <c r="D6585" s="811"/>
      <c r="E6585" s="1276">
        <f>[11]building!Y6916</f>
        <v>0</v>
      </c>
      <c r="F6585" s="748">
        <f t="shared" si="341"/>
        <v>0</v>
      </c>
      <c r="G6585" s="1205"/>
      <c r="H6585" s="1055"/>
      <c r="I6585" s="1055"/>
      <c r="J6585" s="1055"/>
      <c r="K6585" s="1205"/>
      <c r="L6585" s="1055"/>
      <c r="M6585" s="1205"/>
      <c r="N6585" s="1054"/>
      <c r="O6585" s="1207"/>
      <c r="Q6585" s="1207"/>
    </row>
    <row r="6586" spans="3:17" s="700" customFormat="1" ht="70.5" hidden="1" customHeight="1">
      <c r="C6586" s="701"/>
      <c r="D6586" s="811"/>
      <c r="E6586" s="1276">
        <f>[11]building!Y6917</f>
        <v>0</v>
      </c>
      <c r="F6586" s="748">
        <f t="shared" si="341"/>
        <v>0</v>
      </c>
      <c r="G6586" s="1205"/>
      <c r="H6586" s="1055"/>
      <c r="I6586" s="1055"/>
      <c r="J6586" s="1055"/>
      <c r="K6586" s="1205"/>
      <c r="L6586" s="1055"/>
      <c r="M6586" s="1205"/>
      <c r="N6586" s="1054"/>
      <c r="O6586" s="1207"/>
      <c r="Q6586" s="1207"/>
    </row>
    <row r="6587" spans="3:17" s="700" customFormat="1" ht="70.5" hidden="1" customHeight="1">
      <c r="C6587" s="701"/>
      <c r="D6587" s="811"/>
      <c r="E6587" s="1276">
        <f>[11]building!Y6918</f>
        <v>0</v>
      </c>
      <c r="F6587" s="748">
        <f t="shared" si="341"/>
        <v>0</v>
      </c>
      <c r="G6587" s="1205"/>
      <c r="H6587" s="1055"/>
      <c r="I6587" s="1055"/>
      <c r="J6587" s="1055"/>
      <c r="K6587" s="1205"/>
      <c r="L6587" s="1055"/>
      <c r="M6587" s="1205"/>
      <c r="N6587" s="1054"/>
      <c r="O6587" s="1207"/>
      <c r="Q6587" s="1207"/>
    </row>
    <row r="6588" spans="3:17" s="700" customFormat="1" ht="70.5" hidden="1" customHeight="1">
      <c r="C6588" s="701"/>
      <c r="D6588" s="811"/>
      <c r="E6588" s="1276">
        <f>[11]building!Y6919</f>
        <v>0</v>
      </c>
      <c r="F6588" s="748">
        <f t="shared" si="341"/>
        <v>0</v>
      </c>
      <c r="G6588" s="1205"/>
      <c r="H6588" s="1055"/>
      <c r="I6588" s="1055"/>
      <c r="J6588" s="1055"/>
      <c r="K6588" s="1205"/>
      <c r="L6588" s="1055"/>
      <c r="M6588" s="1205"/>
      <c r="N6588" s="1054"/>
      <c r="O6588" s="1207"/>
      <c r="Q6588" s="1207"/>
    </row>
    <row r="6589" spans="3:17" s="700" customFormat="1" ht="70.5" hidden="1" customHeight="1">
      <c r="C6589" s="701"/>
      <c r="D6589" s="811"/>
      <c r="E6589" s="1276">
        <f>[11]building!Y6920</f>
        <v>0</v>
      </c>
      <c r="F6589" s="748">
        <f t="shared" si="341"/>
        <v>0</v>
      </c>
      <c r="G6589" s="1205"/>
      <c r="H6589" s="1055"/>
      <c r="I6589" s="1055"/>
      <c r="J6589" s="1055"/>
      <c r="K6589" s="1205"/>
      <c r="L6589" s="1055"/>
      <c r="M6589" s="1205"/>
      <c r="N6589" s="1054"/>
      <c r="O6589" s="1207"/>
      <c r="Q6589" s="1207"/>
    </row>
    <row r="6590" spans="3:17" s="700" customFormat="1" ht="70.5" hidden="1" customHeight="1">
      <c r="C6590" s="701"/>
      <c r="D6590" s="811"/>
      <c r="E6590" s="1276">
        <f>[11]building!Y6921</f>
        <v>0</v>
      </c>
      <c r="F6590" s="748">
        <f t="shared" si="341"/>
        <v>0</v>
      </c>
      <c r="G6590" s="1205"/>
      <c r="H6590" s="1055"/>
      <c r="I6590" s="1055"/>
      <c r="J6590" s="1055"/>
      <c r="K6590" s="1205"/>
      <c r="L6590" s="1055"/>
      <c r="M6590" s="1205"/>
      <c r="N6590" s="1054"/>
      <c r="O6590" s="1207"/>
      <c r="Q6590" s="1207"/>
    </row>
    <row r="6591" spans="3:17" s="700" customFormat="1" ht="70.5" hidden="1" customHeight="1">
      <c r="C6591" s="701"/>
      <c r="D6591" s="811"/>
      <c r="E6591" s="1276">
        <f>[11]building!Y6922</f>
        <v>0</v>
      </c>
      <c r="F6591" s="748">
        <f t="shared" si="341"/>
        <v>0</v>
      </c>
      <c r="G6591" s="1205"/>
      <c r="H6591" s="1055"/>
      <c r="I6591" s="1055"/>
      <c r="J6591" s="1055"/>
      <c r="K6591" s="1205"/>
      <c r="L6591" s="1055"/>
      <c r="M6591" s="1205"/>
      <c r="N6591" s="1054"/>
      <c r="O6591" s="1207"/>
      <c r="Q6591" s="1207"/>
    </row>
    <row r="6592" spans="3:17" s="700" customFormat="1" ht="70.5" hidden="1" customHeight="1">
      <c r="C6592" s="701"/>
      <c r="D6592" s="811"/>
      <c r="E6592" s="1276">
        <f>[11]building!Y6923</f>
        <v>0</v>
      </c>
      <c r="F6592" s="748">
        <f t="shared" ref="F6592:F6655" si="342">E6592*C6592</f>
        <v>0</v>
      </c>
      <c r="G6592" s="1205"/>
      <c r="H6592" s="1055"/>
      <c r="I6592" s="1055"/>
      <c r="J6592" s="1055"/>
      <c r="K6592" s="1205"/>
      <c r="L6592" s="1055"/>
      <c r="M6592" s="1205"/>
      <c r="N6592" s="1054"/>
      <c r="O6592" s="1207"/>
      <c r="Q6592" s="1207"/>
    </row>
    <row r="6593" spans="3:17" s="700" customFormat="1" ht="70.5" hidden="1" customHeight="1">
      <c r="C6593" s="701"/>
      <c r="D6593" s="811"/>
      <c r="E6593" s="1276">
        <f>[11]building!Y6924</f>
        <v>0</v>
      </c>
      <c r="F6593" s="748">
        <f t="shared" si="342"/>
        <v>0</v>
      </c>
      <c r="G6593" s="1205"/>
      <c r="H6593" s="1055"/>
      <c r="I6593" s="1055"/>
      <c r="J6593" s="1055"/>
      <c r="K6593" s="1205"/>
      <c r="L6593" s="1055"/>
      <c r="M6593" s="1205"/>
      <c r="N6593" s="1054"/>
      <c r="O6593" s="1207"/>
      <c r="Q6593" s="1207"/>
    </row>
    <row r="6594" spans="3:17" s="700" customFormat="1" ht="70.5" hidden="1" customHeight="1">
      <c r="C6594" s="701"/>
      <c r="D6594" s="811"/>
      <c r="E6594" s="1276">
        <f>[11]building!Y6925</f>
        <v>0</v>
      </c>
      <c r="F6594" s="748">
        <f t="shared" si="342"/>
        <v>0</v>
      </c>
      <c r="G6594" s="1205"/>
      <c r="H6594" s="1055"/>
      <c r="I6594" s="1055"/>
      <c r="J6594" s="1055"/>
      <c r="K6594" s="1205"/>
      <c r="L6594" s="1055"/>
      <c r="M6594" s="1205"/>
      <c r="N6594" s="1054"/>
      <c r="O6594" s="1207"/>
      <c r="Q6594" s="1207"/>
    </row>
    <row r="6595" spans="3:17" s="700" customFormat="1" ht="70.5" hidden="1" customHeight="1">
      <c r="C6595" s="701"/>
      <c r="D6595" s="811"/>
      <c r="E6595" s="1276">
        <f>[11]building!Y6926</f>
        <v>0</v>
      </c>
      <c r="F6595" s="748">
        <f t="shared" si="342"/>
        <v>0</v>
      </c>
      <c r="G6595" s="1205"/>
      <c r="H6595" s="1055"/>
      <c r="I6595" s="1055"/>
      <c r="J6595" s="1055"/>
      <c r="K6595" s="1205"/>
      <c r="L6595" s="1055"/>
      <c r="M6595" s="1205"/>
      <c r="N6595" s="1054"/>
      <c r="O6595" s="1207"/>
      <c r="Q6595" s="1207"/>
    </row>
    <row r="6596" spans="3:17" s="700" customFormat="1" ht="70.5" hidden="1" customHeight="1">
      <c r="C6596" s="701"/>
      <c r="D6596" s="811"/>
      <c r="E6596" s="1276">
        <f>[11]building!Y6927</f>
        <v>0</v>
      </c>
      <c r="F6596" s="748">
        <f t="shared" si="342"/>
        <v>0</v>
      </c>
      <c r="G6596" s="1205"/>
      <c r="H6596" s="1055"/>
      <c r="I6596" s="1055"/>
      <c r="J6596" s="1055"/>
      <c r="K6596" s="1205"/>
      <c r="L6596" s="1055"/>
      <c r="M6596" s="1205"/>
      <c r="N6596" s="1054"/>
      <c r="O6596" s="1207"/>
      <c r="Q6596" s="1207"/>
    </row>
    <row r="6597" spans="3:17" s="700" customFormat="1" ht="70.5" hidden="1" customHeight="1">
      <c r="C6597" s="701"/>
      <c r="D6597" s="811"/>
      <c r="E6597" s="1276">
        <f>[11]building!Y6928</f>
        <v>0</v>
      </c>
      <c r="F6597" s="748">
        <f t="shared" si="342"/>
        <v>0</v>
      </c>
      <c r="G6597" s="1205"/>
      <c r="H6597" s="1055"/>
      <c r="I6597" s="1055"/>
      <c r="J6597" s="1055"/>
      <c r="K6597" s="1205"/>
      <c r="L6597" s="1055"/>
      <c r="M6597" s="1205"/>
      <c r="N6597" s="1054"/>
      <c r="O6597" s="1207"/>
      <c r="Q6597" s="1207"/>
    </row>
    <row r="6598" spans="3:17" s="700" customFormat="1" ht="70.5" hidden="1" customHeight="1">
      <c r="C6598" s="701"/>
      <c r="D6598" s="811"/>
      <c r="E6598" s="1276">
        <f>[11]building!Y6929</f>
        <v>0</v>
      </c>
      <c r="F6598" s="748">
        <f t="shared" si="342"/>
        <v>0</v>
      </c>
      <c r="G6598" s="1205"/>
      <c r="H6598" s="1055"/>
      <c r="I6598" s="1055"/>
      <c r="J6598" s="1055"/>
      <c r="K6598" s="1205"/>
      <c r="L6598" s="1055"/>
      <c r="M6598" s="1205"/>
      <c r="N6598" s="1054"/>
      <c r="O6598" s="1207"/>
      <c r="Q6598" s="1207"/>
    </row>
    <row r="6599" spans="3:17" s="700" customFormat="1" ht="70.5" hidden="1" customHeight="1">
      <c r="C6599" s="701"/>
      <c r="D6599" s="811"/>
      <c r="E6599" s="1276">
        <f>[11]building!Y6930</f>
        <v>0</v>
      </c>
      <c r="F6599" s="748">
        <f t="shared" si="342"/>
        <v>0</v>
      </c>
      <c r="G6599" s="1205"/>
      <c r="H6599" s="1055"/>
      <c r="I6599" s="1055"/>
      <c r="J6599" s="1055"/>
      <c r="K6599" s="1205"/>
      <c r="L6599" s="1055"/>
      <c r="M6599" s="1205"/>
      <c r="N6599" s="1054"/>
      <c r="O6599" s="1207"/>
      <c r="Q6599" s="1207"/>
    </row>
    <row r="6600" spans="3:17" s="700" customFormat="1" ht="70.5" hidden="1" customHeight="1">
      <c r="C6600" s="701"/>
      <c r="D6600" s="811"/>
      <c r="E6600" s="1276">
        <f>[11]building!Y6931</f>
        <v>0</v>
      </c>
      <c r="F6600" s="748">
        <f t="shared" si="342"/>
        <v>0</v>
      </c>
      <c r="G6600" s="1205"/>
      <c r="H6600" s="1055"/>
      <c r="I6600" s="1055"/>
      <c r="J6600" s="1055"/>
      <c r="K6600" s="1205"/>
      <c r="L6600" s="1055"/>
      <c r="M6600" s="1205"/>
      <c r="N6600" s="1054"/>
      <c r="O6600" s="1207"/>
      <c r="Q6600" s="1207"/>
    </row>
    <row r="6601" spans="3:17" s="700" customFormat="1" ht="70.5" hidden="1" customHeight="1">
      <c r="C6601" s="701"/>
      <c r="D6601" s="811"/>
      <c r="E6601" s="1276">
        <f>[11]building!Y6932</f>
        <v>0</v>
      </c>
      <c r="F6601" s="748">
        <f t="shared" si="342"/>
        <v>0</v>
      </c>
      <c r="G6601" s="1205"/>
      <c r="H6601" s="1055"/>
      <c r="I6601" s="1055"/>
      <c r="J6601" s="1055"/>
      <c r="K6601" s="1205"/>
      <c r="L6601" s="1055"/>
      <c r="M6601" s="1205"/>
      <c r="N6601" s="1054"/>
      <c r="O6601" s="1207"/>
      <c r="Q6601" s="1207"/>
    </row>
    <row r="6602" spans="3:17" s="700" customFormat="1" ht="70.5" hidden="1" customHeight="1">
      <c r="C6602" s="701"/>
      <c r="D6602" s="811"/>
      <c r="E6602" s="1276">
        <f>[11]building!Y6933</f>
        <v>0</v>
      </c>
      <c r="F6602" s="748">
        <f t="shared" si="342"/>
        <v>0</v>
      </c>
      <c r="G6602" s="1205"/>
      <c r="H6602" s="1055"/>
      <c r="I6602" s="1055"/>
      <c r="J6602" s="1055"/>
      <c r="K6602" s="1205"/>
      <c r="L6602" s="1055"/>
      <c r="M6602" s="1205"/>
      <c r="N6602" s="1054"/>
      <c r="O6602" s="1207"/>
      <c r="Q6602" s="1207"/>
    </row>
    <row r="6603" spans="3:17" s="700" customFormat="1" ht="70.5" hidden="1" customHeight="1">
      <c r="C6603" s="701"/>
      <c r="D6603" s="811"/>
      <c r="E6603" s="1276">
        <f>[11]building!Y6934</f>
        <v>0</v>
      </c>
      <c r="F6603" s="748">
        <f t="shared" si="342"/>
        <v>0</v>
      </c>
      <c r="G6603" s="1205"/>
      <c r="H6603" s="1055"/>
      <c r="I6603" s="1055"/>
      <c r="J6603" s="1055"/>
      <c r="K6603" s="1205"/>
      <c r="L6603" s="1055"/>
      <c r="M6603" s="1205"/>
      <c r="N6603" s="1054"/>
      <c r="O6603" s="1207"/>
      <c r="Q6603" s="1207"/>
    </row>
    <row r="6604" spans="3:17" s="700" customFormat="1" ht="70.5" hidden="1" customHeight="1">
      <c r="C6604" s="701"/>
      <c r="D6604" s="811"/>
      <c r="E6604" s="1276">
        <f>[11]building!Y6935</f>
        <v>0</v>
      </c>
      <c r="F6604" s="748">
        <f t="shared" si="342"/>
        <v>0</v>
      </c>
      <c r="G6604" s="1205"/>
      <c r="H6604" s="1055"/>
      <c r="I6604" s="1055"/>
      <c r="J6604" s="1055"/>
      <c r="K6604" s="1205"/>
      <c r="L6604" s="1055"/>
      <c r="M6604" s="1205"/>
      <c r="N6604" s="1054"/>
      <c r="O6604" s="1207"/>
      <c r="Q6604" s="1207"/>
    </row>
    <row r="6605" spans="3:17" s="700" customFormat="1" ht="70.5" hidden="1" customHeight="1">
      <c r="C6605" s="701"/>
      <c r="D6605" s="811"/>
      <c r="E6605" s="1276">
        <f>[11]building!Y6936</f>
        <v>0</v>
      </c>
      <c r="F6605" s="748">
        <f t="shared" si="342"/>
        <v>0</v>
      </c>
      <c r="G6605" s="1205"/>
      <c r="H6605" s="1055"/>
      <c r="I6605" s="1055"/>
      <c r="J6605" s="1055"/>
      <c r="K6605" s="1205"/>
      <c r="L6605" s="1055"/>
      <c r="M6605" s="1205"/>
      <c r="N6605" s="1054"/>
      <c r="O6605" s="1207"/>
      <c r="Q6605" s="1207"/>
    </row>
    <row r="6606" spans="3:17" s="700" customFormat="1" ht="70.5" hidden="1" customHeight="1">
      <c r="C6606" s="701"/>
      <c r="D6606" s="811"/>
      <c r="E6606" s="1276">
        <f>[11]building!Y6937</f>
        <v>0</v>
      </c>
      <c r="F6606" s="748">
        <f t="shared" si="342"/>
        <v>0</v>
      </c>
      <c r="G6606" s="1205"/>
      <c r="H6606" s="1055"/>
      <c r="I6606" s="1055"/>
      <c r="J6606" s="1055"/>
      <c r="K6606" s="1205"/>
      <c r="L6606" s="1055"/>
      <c r="M6606" s="1205"/>
      <c r="N6606" s="1054"/>
      <c r="O6606" s="1207"/>
      <c r="Q6606" s="1207"/>
    </row>
    <row r="6607" spans="3:17" s="700" customFormat="1" ht="70.5" hidden="1" customHeight="1">
      <c r="C6607" s="701"/>
      <c r="D6607" s="811"/>
      <c r="E6607" s="1276">
        <f>[11]building!Y6938</f>
        <v>0</v>
      </c>
      <c r="F6607" s="748">
        <f t="shared" si="342"/>
        <v>0</v>
      </c>
      <c r="G6607" s="1205"/>
      <c r="H6607" s="1055"/>
      <c r="I6607" s="1055"/>
      <c r="J6607" s="1055"/>
      <c r="K6607" s="1205"/>
      <c r="L6607" s="1055"/>
      <c r="M6607" s="1205"/>
      <c r="N6607" s="1054"/>
      <c r="O6607" s="1207"/>
      <c r="Q6607" s="1207"/>
    </row>
    <row r="6608" spans="3:17" s="700" customFormat="1" ht="70.5" hidden="1" customHeight="1">
      <c r="C6608" s="701"/>
      <c r="D6608" s="811"/>
      <c r="E6608" s="1276">
        <f>[11]building!Y6939</f>
        <v>0</v>
      </c>
      <c r="F6608" s="748">
        <f t="shared" si="342"/>
        <v>0</v>
      </c>
      <c r="G6608" s="1205"/>
      <c r="H6608" s="1055"/>
      <c r="I6608" s="1055"/>
      <c r="J6608" s="1055"/>
      <c r="K6608" s="1205"/>
      <c r="L6608" s="1055"/>
      <c r="M6608" s="1205"/>
      <c r="N6608" s="1054"/>
      <c r="O6608" s="1207"/>
      <c r="Q6608" s="1207"/>
    </row>
    <row r="6609" spans="3:17" s="700" customFormat="1" ht="70.5" hidden="1" customHeight="1">
      <c r="C6609" s="701"/>
      <c r="D6609" s="811"/>
      <c r="E6609" s="1276">
        <f>[11]building!Y6940</f>
        <v>0</v>
      </c>
      <c r="F6609" s="748">
        <f t="shared" si="342"/>
        <v>0</v>
      </c>
      <c r="G6609" s="1205"/>
      <c r="H6609" s="1055"/>
      <c r="I6609" s="1055"/>
      <c r="J6609" s="1055"/>
      <c r="K6609" s="1205"/>
      <c r="L6609" s="1055"/>
      <c r="M6609" s="1205"/>
      <c r="N6609" s="1054"/>
      <c r="O6609" s="1207"/>
      <c r="Q6609" s="1207"/>
    </row>
    <row r="6610" spans="3:17" s="700" customFormat="1" ht="70.5" hidden="1" customHeight="1">
      <c r="C6610" s="701"/>
      <c r="D6610" s="811"/>
      <c r="E6610" s="1276">
        <f>[11]building!Y6941</f>
        <v>0</v>
      </c>
      <c r="F6610" s="748">
        <f t="shared" si="342"/>
        <v>0</v>
      </c>
      <c r="G6610" s="1205"/>
      <c r="H6610" s="1055"/>
      <c r="I6610" s="1055"/>
      <c r="J6610" s="1055"/>
      <c r="K6610" s="1205"/>
      <c r="L6610" s="1055"/>
      <c r="M6610" s="1205"/>
      <c r="N6610" s="1054"/>
      <c r="O6610" s="1207"/>
      <c r="Q6610" s="1207"/>
    </row>
    <row r="6611" spans="3:17" s="700" customFormat="1" ht="70.5" hidden="1" customHeight="1">
      <c r="C6611" s="701"/>
      <c r="D6611" s="811"/>
      <c r="E6611" s="1276">
        <f>[11]building!Y6942</f>
        <v>0</v>
      </c>
      <c r="F6611" s="748">
        <f t="shared" si="342"/>
        <v>0</v>
      </c>
      <c r="G6611" s="1205"/>
      <c r="H6611" s="1055"/>
      <c r="I6611" s="1055"/>
      <c r="J6611" s="1055"/>
      <c r="K6611" s="1205"/>
      <c r="L6611" s="1055"/>
      <c r="M6611" s="1205"/>
      <c r="N6611" s="1054"/>
      <c r="O6611" s="1207"/>
      <c r="Q6611" s="1207"/>
    </row>
    <row r="6612" spans="3:17" s="700" customFormat="1" ht="70.5" hidden="1" customHeight="1">
      <c r="C6612" s="701"/>
      <c r="D6612" s="811"/>
      <c r="E6612" s="1276">
        <f>[11]building!Y6943</f>
        <v>0</v>
      </c>
      <c r="F6612" s="748">
        <f t="shared" si="342"/>
        <v>0</v>
      </c>
      <c r="G6612" s="1205"/>
      <c r="H6612" s="1055"/>
      <c r="I6612" s="1055"/>
      <c r="J6612" s="1055"/>
      <c r="K6612" s="1205"/>
      <c r="L6612" s="1055"/>
      <c r="M6612" s="1205"/>
      <c r="N6612" s="1054"/>
      <c r="O6612" s="1207"/>
      <c r="Q6612" s="1207"/>
    </row>
    <row r="6613" spans="3:17" s="700" customFormat="1" ht="70.5" hidden="1" customHeight="1">
      <c r="C6613" s="701"/>
      <c r="D6613" s="811"/>
      <c r="E6613" s="1276">
        <f>[11]building!Y6944</f>
        <v>0</v>
      </c>
      <c r="F6613" s="748">
        <f t="shared" si="342"/>
        <v>0</v>
      </c>
      <c r="G6613" s="1205"/>
      <c r="H6613" s="1055"/>
      <c r="I6613" s="1055"/>
      <c r="J6613" s="1055"/>
      <c r="K6613" s="1205"/>
      <c r="L6613" s="1055"/>
      <c r="M6613" s="1205"/>
      <c r="N6613" s="1054"/>
      <c r="O6613" s="1207"/>
      <c r="Q6613" s="1207"/>
    </row>
    <row r="6614" spans="3:17" s="700" customFormat="1" ht="70.5" hidden="1" customHeight="1">
      <c r="C6614" s="701"/>
      <c r="D6614" s="811"/>
      <c r="E6614" s="1276">
        <f>[11]building!Y6945</f>
        <v>0</v>
      </c>
      <c r="F6614" s="748">
        <f t="shared" si="342"/>
        <v>0</v>
      </c>
      <c r="G6614" s="1205"/>
      <c r="H6614" s="1055"/>
      <c r="I6614" s="1055"/>
      <c r="J6614" s="1055"/>
      <c r="K6614" s="1205"/>
      <c r="L6614" s="1055"/>
      <c r="M6614" s="1205"/>
      <c r="N6614" s="1054"/>
      <c r="O6614" s="1207"/>
      <c r="Q6614" s="1207"/>
    </row>
    <row r="6615" spans="3:17" s="700" customFormat="1" ht="70.5" hidden="1" customHeight="1">
      <c r="C6615" s="701"/>
      <c r="D6615" s="811"/>
      <c r="E6615" s="1276">
        <f>[11]building!Y6946</f>
        <v>0</v>
      </c>
      <c r="F6615" s="748">
        <f t="shared" si="342"/>
        <v>0</v>
      </c>
      <c r="G6615" s="1205"/>
      <c r="H6615" s="1055"/>
      <c r="I6615" s="1055"/>
      <c r="J6615" s="1055"/>
      <c r="K6615" s="1205"/>
      <c r="L6615" s="1055"/>
      <c r="M6615" s="1205"/>
      <c r="N6615" s="1054"/>
      <c r="O6615" s="1207"/>
      <c r="Q6615" s="1207"/>
    </row>
    <row r="6616" spans="3:17" s="700" customFormat="1" ht="70.5" hidden="1" customHeight="1">
      <c r="C6616" s="701"/>
      <c r="D6616" s="811"/>
      <c r="E6616" s="1276">
        <f>[11]building!Y6947</f>
        <v>0</v>
      </c>
      <c r="F6616" s="748">
        <f t="shared" si="342"/>
        <v>0</v>
      </c>
      <c r="G6616" s="1205"/>
      <c r="H6616" s="1055"/>
      <c r="I6616" s="1055"/>
      <c r="J6616" s="1055"/>
      <c r="K6616" s="1205"/>
      <c r="L6616" s="1055"/>
      <c r="M6616" s="1205"/>
      <c r="N6616" s="1054"/>
      <c r="O6616" s="1207"/>
      <c r="Q6616" s="1207"/>
    </row>
    <row r="6617" spans="3:17" s="700" customFormat="1" ht="70.5" hidden="1" customHeight="1">
      <c r="C6617" s="701"/>
      <c r="D6617" s="811"/>
      <c r="E6617" s="1276">
        <f>[11]building!Y6948</f>
        <v>0</v>
      </c>
      <c r="F6617" s="748">
        <f t="shared" si="342"/>
        <v>0</v>
      </c>
      <c r="G6617" s="1205"/>
      <c r="H6617" s="1055"/>
      <c r="I6617" s="1055"/>
      <c r="J6617" s="1055"/>
      <c r="K6617" s="1205"/>
      <c r="L6617" s="1055"/>
      <c r="M6617" s="1205"/>
      <c r="N6617" s="1054"/>
      <c r="O6617" s="1207"/>
      <c r="Q6617" s="1207"/>
    </row>
    <row r="6618" spans="3:17" s="700" customFormat="1" ht="70.5" hidden="1" customHeight="1">
      <c r="C6618" s="701"/>
      <c r="D6618" s="811"/>
      <c r="E6618" s="1276">
        <f>[11]building!Y6949</f>
        <v>0</v>
      </c>
      <c r="F6618" s="748">
        <f t="shared" si="342"/>
        <v>0</v>
      </c>
      <c r="G6618" s="1205"/>
      <c r="H6618" s="1055"/>
      <c r="I6618" s="1055"/>
      <c r="J6618" s="1055"/>
      <c r="K6618" s="1205"/>
      <c r="L6618" s="1055"/>
      <c r="M6618" s="1205"/>
      <c r="N6618" s="1054"/>
      <c r="O6618" s="1207"/>
      <c r="Q6618" s="1207"/>
    </row>
    <row r="6619" spans="3:17" s="700" customFormat="1" ht="70.5" hidden="1" customHeight="1">
      <c r="C6619" s="701"/>
      <c r="D6619" s="811"/>
      <c r="E6619" s="1276">
        <f>[11]building!Y6950</f>
        <v>0</v>
      </c>
      <c r="F6619" s="748">
        <f t="shared" si="342"/>
        <v>0</v>
      </c>
      <c r="G6619" s="1205"/>
      <c r="H6619" s="1055"/>
      <c r="I6619" s="1055"/>
      <c r="J6619" s="1055"/>
      <c r="K6619" s="1205"/>
      <c r="L6619" s="1055"/>
      <c r="M6619" s="1205"/>
      <c r="N6619" s="1054"/>
      <c r="O6619" s="1207"/>
      <c r="Q6619" s="1207"/>
    </row>
    <row r="6620" spans="3:17" s="700" customFormat="1" ht="70.5" hidden="1" customHeight="1">
      <c r="C6620" s="701"/>
      <c r="D6620" s="811"/>
      <c r="E6620" s="1276">
        <f>[11]building!Y6951</f>
        <v>0</v>
      </c>
      <c r="F6620" s="748">
        <f t="shared" si="342"/>
        <v>0</v>
      </c>
      <c r="G6620" s="1205"/>
      <c r="H6620" s="1055"/>
      <c r="I6620" s="1055"/>
      <c r="J6620" s="1055"/>
      <c r="K6620" s="1205"/>
      <c r="L6620" s="1055"/>
      <c r="M6620" s="1205"/>
      <c r="N6620" s="1054"/>
      <c r="O6620" s="1207"/>
      <c r="Q6620" s="1207"/>
    </row>
    <row r="6621" spans="3:17" s="700" customFormat="1" ht="70.5" hidden="1" customHeight="1">
      <c r="C6621" s="701"/>
      <c r="D6621" s="811"/>
      <c r="E6621" s="1276">
        <f>[11]building!Y6952</f>
        <v>0</v>
      </c>
      <c r="F6621" s="748">
        <f t="shared" si="342"/>
        <v>0</v>
      </c>
      <c r="G6621" s="1205"/>
      <c r="H6621" s="1055"/>
      <c r="I6621" s="1055"/>
      <c r="J6621" s="1055"/>
      <c r="K6621" s="1205"/>
      <c r="L6621" s="1055"/>
      <c r="M6621" s="1205"/>
      <c r="N6621" s="1054"/>
      <c r="O6621" s="1207"/>
      <c r="Q6621" s="1207"/>
    </row>
    <row r="6622" spans="3:17" s="700" customFormat="1" ht="70.5" hidden="1" customHeight="1">
      <c r="C6622" s="701"/>
      <c r="D6622" s="811"/>
      <c r="E6622" s="1276">
        <f>[11]building!Y6953</f>
        <v>0</v>
      </c>
      <c r="F6622" s="748">
        <f t="shared" si="342"/>
        <v>0</v>
      </c>
      <c r="G6622" s="1205"/>
      <c r="H6622" s="1055"/>
      <c r="I6622" s="1055"/>
      <c r="J6622" s="1055"/>
      <c r="K6622" s="1205"/>
      <c r="L6622" s="1055"/>
      <c r="M6622" s="1205"/>
      <c r="N6622" s="1054"/>
      <c r="O6622" s="1207"/>
      <c r="Q6622" s="1207"/>
    </row>
    <row r="6623" spans="3:17" s="700" customFormat="1" ht="70.5" hidden="1" customHeight="1">
      <c r="C6623" s="701"/>
      <c r="D6623" s="811"/>
      <c r="E6623" s="1276">
        <f>[11]building!Y6954</f>
        <v>0</v>
      </c>
      <c r="F6623" s="748">
        <f t="shared" si="342"/>
        <v>0</v>
      </c>
      <c r="G6623" s="1205"/>
      <c r="H6623" s="1055"/>
      <c r="I6623" s="1055"/>
      <c r="J6623" s="1055"/>
      <c r="K6623" s="1205"/>
      <c r="L6623" s="1055"/>
      <c r="M6623" s="1205"/>
      <c r="N6623" s="1054"/>
      <c r="O6623" s="1207"/>
      <c r="Q6623" s="1207"/>
    </row>
    <row r="6624" spans="3:17" s="700" customFormat="1" ht="70.5" hidden="1" customHeight="1">
      <c r="C6624" s="701"/>
      <c r="D6624" s="811"/>
      <c r="E6624" s="1276">
        <f>[11]building!Y6955</f>
        <v>0</v>
      </c>
      <c r="F6624" s="748">
        <f t="shared" si="342"/>
        <v>0</v>
      </c>
      <c r="G6624" s="1205"/>
      <c r="H6624" s="1055"/>
      <c r="I6624" s="1055"/>
      <c r="J6624" s="1055"/>
      <c r="K6624" s="1205"/>
      <c r="L6624" s="1055"/>
      <c r="M6624" s="1205"/>
      <c r="N6624" s="1054"/>
      <c r="O6624" s="1207"/>
      <c r="Q6624" s="1207"/>
    </row>
    <row r="6625" spans="3:17" s="700" customFormat="1" ht="70.5" hidden="1" customHeight="1">
      <c r="C6625" s="701"/>
      <c r="D6625" s="811"/>
      <c r="E6625" s="1276">
        <f>[11]building!Y6956</f>
        <v>0</v>
      </c>
      <c r="F6625" s="748">
        <f t="shared" si="342"/>
        <v>0</v>
      </c>
      <c r="G6625" s="1205"/>
      <c r="H6625" s="1055"/>
      <c r="I6625" s="1055"/>
      <c r="J6625" s="1055"/>
      <c r="K6625" s="1205"/>
      <c r="L6625" s="1055"/>
      <c r="M6625" s="1205"/>
      <c r="N6625" s="1054"/>
      <c r="O6625" s="1207"/>
      <c r="Q6625" s="1207"/>
    </row>
    <row r="6626" spans="3:17" s="700" customFormat="1" ht="70.5" hidden="1" customHeight="1">
      <c r="C6626" s="701"/>
      <c r="D6626" s="811"/>
      <c r="E6626" s="1276">
        <f>[11]building!Y6957</f>
        <v>0</v>
      </c>
      <c r="F6626" s="748">
        <f t="shared" si="342"/>
        <v>0</v>
      </c>
      <c r="G6626" s="1205"/>
      <c r="H6626" s="1055"/>
      <c r="I6626" s="1055"/>
      <c r="J6626" s="1055"/>
      <c r="K6626" s="1205"/>
      <c r="L6626" s="1055"/>
      <c r="M6626" s="1205"/>
      <c r="N6626" s="1054"/>
      <c r="O6626" s="1207"/>
      <c r="Q6626" s="1207"/>
    </row>
    <row r="6627" spans="3:17" s="700" customFormat="1" ht="70.5" hidden="1" customHeight="1">
      <c r="C6627" s="701"/>
      <c r="D6627" s="811"/>
      <c r="E6627" s="1276">
        <f>[11]building!Y6958</f>
        <v>0</v>
      </c>
      <c r="F6627" s="748">
        <f t="shared" si="342"/>
        <v>0</v>
      </c>
      <c r="G6627" s="1205"/>
      <c r="H6627" s="1055"/>
      <c r="I6627" s="1055"/>
      <c r="J6627" s="1055"/>
      <c r="K6627" s="1205"/>
      <c r="L6627" s="1055"/>
      <c r="M6627" s="1205"/>
      <c r="N6627" s="1054"/>
      <c r="O6627" s="1207"/>
      <c r="Q6627" s="1207"/>
    </row>
    <row r="6628" spans="3:17" s="700" customFormat="1" ht="70.5" hidden="1" customHeight="1">
      <c r="C6628" s="701"/>
      <c r="D6628" s="811"/>
      <c r="E6628" s="1276">
        <f>[11]building!Y6959</f>
        <v>0</v>
      </c>
      <c r="F6628" s="748">
        <f t="shared" si="342"/>
        <v>0</v>
      </c>
      <c r="G6628" s="1205"/>
      <c r="H6628" s="1055"/>
      <c r="I6628" s="1055"/>
      <c r="J6628" s="1055"/>
      <c r="K6628" s="1205"/>
      <c r="L6628" s="1055"/>
      <c r="M6628" s="1205"/>
      <c r="N6628" s="1054"/>
      <c r="O6628" s="1207"/>
      <c r="Q6628" s="1207"/>
    </row>
    <row r="6629" spans="3:17" s="700" customFormat="1" ht="70.5" hidden="1" customHeight="1">
      <c r="C6629" s="701"/>
      <c r="D6629" s="811"/>
      <c r="E6629" s="1276">
        <f>[11]building!Y6960</f>
        <v>0</v>
      </c>
      <c r="F6629" s="748">
        <f t="shared" si="342"/>
        <v>0</v>
      </c>
      <c r="G6629" s="1205"/>
      <c r="H6629" s="1055"/>
      <c r="I6629" s="1055"/>
      <c r="J6629" s="1055"/>
      <c r="K6629" s="1205"/>
      <c r="L6629" s="1055"/>
      <c r="M6629" s="1205"/>
      <c r="N6629" s="1054"/>
      <c r="O6629" s="1207"/>
      <c r="Q6629" s="1207"/>
    </row>
    <row r="6630" spans="3:17" s="700" customFormat="1" ht="70.5" hidden="1" customHeight="1">
      <c r="C6630" s="701"/>
      <c r="D6630" s="811"/>
      <c r="E6630" s="1276">
        <f>[11]building!Y6961</f>
        <v>0</v>
      </c>
      <c r="F6630" s="748">
        <f t="shared" si="342"/>
        <v>0</v>
      </c>
      <c r="G6630" s="1205"/>
      <c r="H6630" s="1055"/>
      <c r="I6630" s="1055"/>
      <c r="J6630" s="1055"/>
      <c r="K6630" s="1205"/>
      <c r="L6630" s="1055"/>
      <c r="M6630" s="1205"/>
      <c r="N6630" s="1054"/>
      <c r="O6630" s="1207"/>
      <c r="Q6630" s="1207"/>
    </row>
    <row r="6631" spans="3:17" s="700" customFormat="1" ht="70.5" hidden="1" customHeight="1">
      <c r="C6631" s="701"/>
      <c r="D6631" s="811"/>
      <c r="E6631" s="1276">
        <f>[11]building!Y6962</f>
        <v>0</v>
      </c>
      <c r="F6631" s="748">
        <f t="shared" si="342"/>
        <v>0</v>
      </c>
      <c r="G6631" s="1205"/>
      <c r="H6631" s="1055"/>
      <c r="I6631" s="1055"/>
      <c r="J6631" s="1055"/>
      <c r="K6631" s="1205"/>
      <c r="L6631" s="1055"/>
      <c r="M6631" s="1205"/>
      <c r="N6631" s="1054"/>
      <c r="O6631" s="1207"/>
      <c r="Q6631" s="1207"/>
    </row>
    <row r="6632" spans="3:17" s="700" customFormat="1" ht="70.5" hidden="1" customHeight="1">
      <c r="C6632" s="701"/>
      <c r="D6632" s="811"/>
      <c r="E6632" s="1276">
        <f>[11]building!Y6963</f>
        <v>0</v>
      </c>
      <c r="F6632" s="748">
        <f t="shared" si="342"/>
        <v>0</v>
      </c>
      <c r="G6632" s="1205"/>
      <c r="H6632" s="1055"/>
      <c r="I6632" s="1055"/>
      <c r="J6632" s="1055"/>
      <c r="K6632" s="1205"/>
      <c r="L6632" s="1055"/>
      <c r="M6632" s="1205"/>
      <c r="N6632" s="1054"/>
      <c r="O6632" s="1207"/>
      <c r="Q6632" s="1207"/>
    </row>
    <row r="6633" spans="3:17" s="700" customFormat="1" ht="70.5" hidden="1" customHeight="1">
      <c r="C6633" s="701"/>
      <c r="D6633" s="811"/>
      <c r="E6633" s="1276">
        <f>[11]building!Y6964</f>
        <v>0</v>
      </c>
      <c r="F6633" s="748">
        <f t="shared" si="342"/>
        <v>0</v>
      </c>
      <c r="G6633" s="1205"/>
      <c r="H6633" s="1055"/>
      <c r="I6633" s="1055"/>
      <c r="J6633" s="1055"/>
      <c r="K6633" s="1205"/>
      <c r="L6633" s="1055"/>
      <c r="M6633" s="1205"/>
      <c r="N6633" s="1054"/>
      <c r="O6633" s="1207"/>
      <c r="Q6633" s="1207"/>
    </row>
    <row r="6634" spans="3:17" s="700" customFormat="1" ht="70.5" hidden="1" customHeight="1">
      <c r="C6634" s="701"/>
      <c r="D6634" s="811"/>
      <c r="E6634" s="1276">
        <f>[11]building!Y6965</f>
        <v>0</v>
      </c>
      <c r="F6634" s="748">
        <f t="shared" si="342"/>
        <v>0</v>
      </c>
      <c r="G6634" s="1205"/>
      <c r="H6634" s="1055"/>
      <c r="I6634" s="1055"/>
      <c r="J6634" s="1055"/>
      <c r="K6634" s="1205"/>
      <c r="L6634" s="1055"/>
      <c r="M6634" s="1205"/>
      <c r="N6634" s="1054"/>
      <c r="O6634" s="1207"/>
      <c r="Q6634" s="1207"/>
    </row>
    <row r="6635" spans="3:17" s="700" customFormat="1" ht="70.5" hidden="1" customHeight="1">
      <c r="C6635" s="701"/>
      <c r="D6635" s="811"/>
      <c r="E6635" s="1276">
        <f>[11]building!Y6966</f>
        <v>0</v>
      </c>
      <c r="F6635" s="748">
        <f t="shared" si="342"/>
        <v>0</v>
      </c>
      <c r="G6635" s="1205"/>
      <c r="H6635" s="1055"/>
      <c r="I6635" s="1055"/>
      <c r="J6635" s="1055"/>
      <c r="K6635" s="1205"/>
      <c r="L6635" s="1055"/>
      <c r="M6635" s="1205"/>
      <c r="N6635" s="1054"/>
      <c r="O6635" s="1207"/>
      <c r="Q6635" s="1207"/>
    </row>
    <row r="6636" spans="3:17" s="700" customFormat="1" ht="70.5" hidden="1" customHeight="1">
      <c r="C6636" s="701"/>
      <c r="D6636" s="811"/>
      <c r="E6636" s="1276">
        <f>[11]building!Y6967</f>
        <v>0</v>
      </c>
      <c r="F6636" s="748">
        <f t="shared" si="342"/>
        <v>0</v>
      </c>
      <c r="G6636" s="1205"/>
      <c r="H6636" s="1055"/>
      <c r="I6636" s="1055"/>
      <c r="J6636" s="1055"/>
      <c r="K6636" s="1205"/>
      <c r="L6636" s="1055"/>
      <c r="M6636" s="1205"/>
      <c r="N6636" s="1054"/>
      <c r="O6636" s="1207"/>
      <c r="Q6636" s="1207"/>
    </row>
    <row r="6637" spans="3:17" s="700" customFormat="1" ht="70.5" hidden="1" customHeight="1">
      <c r="C6637" s="701"/>
      <c r="D6637" s="811"/>
      <c r="E6637" s="1276">
        <f>[11]building!Y6968</f>
        <v>0</v>
      </c>
      <c r="F6637" s="748">
        <f t="shared" si="342"/>
        <v>0</v>
      </c>
      <c r="G6637" s="1205"/>
      <c r="H6637" s="1055"/>
      <c r="I6637" s="1055"/>
      <c r="J6637" s="1055"/>
      <c r="K6637" s="1205"/>
      <c r="L6637" s="1055"/>
      <c r="M6637" s="1205"/>
      <c r="N6637" s="1054"/>
      <c r="O6637" s="1207"/>
      <c r="Q6637" s="1207"/>
    </row>
    <row r="6638" spans="3:17" s="700" customFormat="1" ht="70.5" hidden="1" customHeight="1">
      <c r="C6638" s="701"/>
      <c r="D6638" s="811"/>
      <c r="E6638" s="1276">
        <f>[11]building!Y6969</f>
        <v>0</v>
      </c>
      <c r="F6638" s="748">
        <f t="shared" si="342"/>
        <v>0</v>
      </c>
      <c r="G6638" s="1205"/>
      <c r="H6638" s="1055"/>
      <c r="I6638" s="1055"/>
      <c r="J6638" s="1055"/>
      <c r="K6638" s="1205"/>
      <c r="L6638" s="1055"/>
      <c r="M6638" s="1205"/>
      <c r="N6638" s="1054"/>
      <c r="O6638" s="1207"/>
      <c r="Q6638" s="1207"/>
    </row>
    <row r="6639" spans="3:17" s="700" customFormat="1" ht="70.5" hidden="1" customHeight="1">
      <c r="C6639" s="701"/>
      <c r="D6639" s="811"/>
      <c r="E6639" s="1276">
        <f>[11]building!Y6970</f>
        <v>0</v>
      </c>
      <c r="F6639" s="748">
        <f t="shared" si="342"/>
        <v>0</v>
      </c>
      <c r="G6639" s="1205"/>
      <c r="H6639" s="1055"/>
      <c r="I6639" s="1055"/>
      <c r="J6639" s="1055"/>
      <c r="K6639" s="1205"/>
      <c r="L6639" s="1055"/>
      <c r="M6639" s="1205"/>
      <c r="N6639" s="1054"/>
      <c r="O6639" s="1207"/>
      <c r="Q6639" s="1207"/>
    </row>
    <row r="6640" spans="3:17" s="700" customFormat="1" ht="70.5" hidden="1" customHeight="1">
      <c r="C6640" s="701"/>
      <c r="D6640" s="811"/>
      <c r="E6640" s="1276">
        <f>[11]building!Y6971</f>
        <v>0</v>
      </c>
      <c r="F6640" s="748">
        <f t="shared" si="342"/>
        <v>0</v>
      </c>
      <c r="G6640" s="1205"/>
      <c r="H6640" s="1055"/>
      <c r="I6640" s="1055"/>
      <c r="J6640" s="1055"/>
      <c r="K6640" s="1205"/>
      <c r="L6640" s="1055"/>
      <c r="M6640" s="1205"/>
      <c r="N6640" s="1054"/>
      <c r="O6640" s="1207"/>
      <c r="Q6640" s="1207"/>
    </row>
    <row r="6641" spans="3:17" s="700" customFormat="1" ht="70.5" hidden="1" customHeight="1">
      <c r="C6641" s="701"/>
      <c r="D6641" s="811"/>
      <c r="E6641" s="1276">
        <f>[11]building!Y6972</f>
        <v>0</v>
      </c>
      <c r="F6641" s="748">
        <f t="shared" si="342"/>
        <v>0</v>
      </c>
      <c r="G6641" s="1205"/>
      <c r="H6641" s="1055"/>
      <c r="I6641" s="1055"/>
      <c r="J6641" s="1055"/>
      <c r="K6641" s="1205"/>
      <c r="L6641" s="1055"/>
      <c r="M6641" s="1205"/>
      <c r="N6641" s="1054"/>
      <c r="O6641" s="1207"/>
      <c r="Q6641" s="1207"/>
    </row>
    <row r="6642" spans="3:17" s="700" customFormat="1" ht="70.5" hidden="1" customHeight="1">
      <c r="C6642" s="701"/>
      <c r="D6642" s="811"/>
      <c r="E6642" s="1276">
        <f>[11]building!Y6973</f>
        <v>0</v>
      </c>
      <c r="F6642" s="748">
        <f t="shared" si="342"/>
        <v>0</v>
      </c>
      <c r="G6642" s="1205"/>
      <c r="H6642" s="1055"/>
      <c r="I6642" s="1055"/>
      <c r="J6642" s="1055"/>
      <c r="K6642" s="1205"/>
      <c r="L6642" s="1055"/>
      <c r="M6642" s="1205"/>
      <c r="N6642" s="1054"/>
      <c r="O6642" s="1207"/>
      <c r="Q6642" s="1207"/>
    </row>
    <row r="6643" spans="3:17" s="700" customFormat="1" ht="70.5" hidden="1" customHeight="1">
      <c r="C6643" s="701"/>
      <c r="D6643" s="811"/>
      <c r="E6643" s="1276">
        <f>[11]building!Y6974</f>
        <v>0</v>
      </c>
      <c r="F6643" s="748">
        <f t="shared" si="342"/>
        <v>0</v>
      </c>
      <c r="G6643" s="1205"/>
      <c r="H6643" s="1055"/>
      <c r="I6643" s="1055"/>
      <c r="J6643" s="1055"/>
      <c r="K6643" s="1205"/>
      <c r="L6643" s="1055"/>
      <c r="M6643" s="1205"/>
      <c r="N6643" s="1054"/>
      <c r="O6643" s="1207"/>
      <c r="Q6643" s="1207"/>
    </row>
    <row r="6644" spans="3:17" s="700" customFormat="1" ht="70.5" hidden="1" customHeight="1">
      <c r="C6644" s="701"/>
      <c r="D6644" s="811"/>
      <c r="E6644" s="1276">
        <f>[11]building!Y6975</f>
        <v>0</v>
      </c>
      <c r="F6644" s="748">
        <f t="shared" si="342"/>
        <v>0</v>
      </c>
      <c r="G6644" s="1205"/>
      <c r="H6644" s="1055"/>
      <c r="I6644" s="1055"/>
      <c r="J6644" s="1055"/>
      <c r="K6644" s="1205"/>
      <c r="L6644" s="1055"/>
      <c r="M6644" s="1205"/>
      <c r="N6644" s="1054"/>
      <c r="O6644" s="1207"/>
      <c r="Q6644" s="1207"/>
    </row>
    <row r="6645" spans="3:17" s="700" customFormat="1" ht="70.5" hidden="1" customHeight="1">
      <c r="C6645" s="701"/>
      <c r="D6645" s="811"/>
      <c r="E6645" s="1276">
        <f>[11]building!Y6976</f>
        <v>0</v>
      </c>
      <c r="F6645" s="748">
        <f t="shared" si="342"/>
        <v>0</v>
      </c>
      <c r="G6645" s="1205"/>
      <c r="H6645" s="1055"/>
      <c r="I6645" s="1055"/>
      <c r="J6645" s="1055"/>
      <c r="K6645" s="1205"/>
      <c r="L6645" s="1055"/>
      <c r="M6645" s="1205"/>
      <c r="N6645" s="1054"/>
      <c r="O6645" s="1207"/>
      <c r="Q6645" s="1207"/>
    </row>
    <row r="6646" spans="3:17" s="700" customFormat="1" ht="70.5" hidden="1" customHeight="1">
      <c r="C6646" s="701"/>
      <c r="D6646" s="811"/>
      <c r="E6646" s="1276">
        <f>[11]building!Y6977</f>
        <v>0</v>
      </c>
      <c r="F6646" s="748">
        <f t="shared" si="342"/>
        <v>0</v>
      </c>
      <c r="G6646" s="1205"/>
      <c r="H6646" s="1055"/>
      <c r="I6646" s="1055"/>
      <c r="J6646" s="1055"/>
      <c r="K6646" s="1205"/>
      <c r="L6646" s="1055"/>
      <c r="M6646" s="1205"/>
      <c r="N6646" s="1054"/>
      <c r="O6646" s="1207"/>
      <c r="Q6646" s="1207"/>
    </row>
    <row r="6647" spans="3:17" s="700" customFormat="1" ht="70.5" hidden="1" customHeight="1">
      <c r="C6647" s="701"/>
      <c r="D6647" s="811"/>
      <c r="E6647" s="1276">
        <f>[11]building!Y6978</f>
        <v>0</v>
      </c>
      <c r="F6647" s="748">
        <f t="shared" si="342"/>
        <v>0</v>
      </c>
      <c r="G6647" s="1205"/>
      <c r="H6647" s="1055"/>
      <c r="I6647" s="1055"/>
      <c r="J6647" s="1055"/>
      <c r="K6647" s="1205"/>
      <c r="L6647" s="1055"/>
      <c r="M6647" s="1205"/>
      <c r="N6647" s="1054"/>
      <c r="O6647" s="1207"/>
      <c r="Q6647" s="1207"/>
    </row>
    <row r="6648" spans="3:17" s="700" customFormat="1" ht="70.5" hidden="1" customHeight="1">
      <c r="C6648" s="701"/>
      <c r="D6648" s="811"/>
      <c r="E6648" s="1276">
        <f>[11]building!Y6979</f>
        <v>0</v>
      </c>
      <c r="F6648" s="748">
        <f t="shared" si="342"/>
        <v>0</v>
      </c>
      <c r="G6648" s="1205"/>
      <c r="H6648" s="1055"/>
      <c r="I6648" s="1055"/>
      <c r="J6648" s="1055"/>
      <c r="K6648" s="1205"/>
      <c r="L6648" s="1055"/>
      <c r="M6648" s="1205"/>
      <c r="N6648" s="1054"/>
      <c r="O6648" s="1207"/>
      <c r="Q6648" s="1207"/>
    </row>
    <row r="6649" spans="3:17" s="700" customFormat="1" ht="70.5" hidden="1" customHeight="1">
      <c r="C6649" s="701"/>
      <c r="D6649" s="811"/>
      <c r="E6649" s="1276">
        <f>[11]building!Y6980</f>
        <v>0</v>
      </c>
      <c r="F6649" s="748">
        <f t="shared" si="342"/>
        <v>0</v>
      </c>
      <c r="G6649" s="1205"/>
      <c r="H6649" s="1055"/>
      <c r="I6649" s="1055"/>
      <c r="J6649" s="1055"/>
      <c r="K6649" s="1205"/>
      <c r="L6649" s="1055"/>
      <c r="M6649" s="1205"/>
      <c r="N6649" s="1054"/>
      <c r="O6649" s="1207"/>
      <c r="Q6649" s="1207"/>
    </row>
    <row r="6650" spans="3:17" s="700" customFormat="1" ht="70.5" hidden="1" customHeight="1">
      <c r="C6650" s="701"/>
      <c r="D6650" s="811"/>
      <c r="E6650" s="1276">
        <f>[11]building!Y6981</f>
        <v>0</v>
      </c>
      <c r="F6650" s="748">
        <f t="shared" si="342"/>
        <v>0</v>
      </c>
      <c r="G6650" s="1205"/>
      <c r="H6650" s="1055"/>
      <c r="I6650" s="1055"/>
      <c r="J6650" s="1055"/>
      <c r="K6650" s="1205"/>
      <c r="L6650" s="1055"/>
      <c r="M6650" s="1205"/>
      <c r="N6650" s="1054"/>
      <c r="O6650" s="1207"/>
      <c r="Q6650" s="1207"/>
    </row>
    <row r="6651" spans="3:17" s="700" customFormat="1" ht="70.5" hidden="1" customHeight="1">
      <c r="C6651" s="701"/>
      <c r="D6651" s="811"/>
      <c r="E6651" s="1276">
        <f>[11]building!Y6982</f>
        <v>0</v>
      </c>
      <c r="F6651" s="748">
        <f t="shared" si="342"/>
        <v>0</v>
      </c>
      <c r="G6651" s="1205"/>
      <c r="H6651" s="1055"/>
      <c r="I6651" s="1055"/>
      <c r="J6651" s="1055"/>
      <c r="K6651" s="1205"/>
      <c r="L6651" s="1055"/>
      <c r="M6651" s="1205"/>
      <c r="N6651" s="1054"/>
      <c r="O6651" s="1207"/>
      <c r="Q6651" s="1207"/>
    </row>
    <row r="6652" spans="3:17" s="700" customFormat="1" ht="70.5" hidden="1" customHeight="1">
      <c r="C6652" s="701"/>
      <c r="D6652" s="811"/>
      <c r="E6652" s="1276">
        <f>[11]building!Y6983</f>
        <v>0</v>
      </c>
      <c r="F6652" s="748">
        <f t="shared" si="342"/>
        <v>0</v>
      </c>
      <c r="G6652" s="1205"/>
      <c r="H6652" s="1055"/>
      <c r="I6652" s="1055"/>
      <c r="J6652" s="1055"/>
      <c r="K6652" s="1205"/>
      <c r="L6652" s="1055"/>
      <c r="M6652" s="1205"/>
      <c r="N6652" s="1054"/>
      <c r="O6652" s="1207"/>
      <c r="Q6652" s="1207"/>
    </row>
    <row r="6653" spans="3:17" s="700" customFormat="1" ht="70.5" hidden="1" customHeight="1">
      <c r="C6653" s="701"/>
      <c r="D6653" s="811"/>
      <c r="E6653" s="1276">
        <f>[11]building!Y6984</f>
        <v>0</v>
      </c>
      <c r="F6653" s="748">
        <f t="shared" si="342"/>
        <v>0</v>
      </c>
      <c r="G6653" s="1205"/>
      <c r="H6653" s="1055"/>
      <c r="I6653" s="1055"/>
      <c r="J6653" s="1055"/>
      <c r="K6653" s="1205"/>
      <c r="L6653" s="1055"/>
      <c r="M6653" s="1205"/>
      <c r="N6653" s="1054"/>
      <c r="O6653" s="1207"/>
      <c r="Q6653" s="1207"/>
    </row>
    <row r="6654" spans="3:17" s="700" customFormat="1" ht="70.5" hidden="1" customHeight="1">
      <c r="C6654" s="701"/>
      <c r="D6654" s="811"/>
      <c r="E6654" s="1276">
        <f>[11]building!Y6985</f>
        <v>0</v>
      </c>
      <c r="F6654" s="748">
        <f t="shared" si="342"/>
        <v>0</v>
      </c>
      <c r="G6654" s="1205"/>
      <c r="H6654" s="1055"/>
      <c r="I6654" s="1055"/>
      <c r="J6654" s="1055"/>
      <c r="K6654" s="1205"/>
      <c r="L6654" s="1055"/>
      <c r="M6654" s="1205"/>
      <c r="N6654" s="1054"/>
      <c r="O6654" s="1207"/>
      <c r="Q6654" s="1207"/>
    </row>
    <row r="6655" spans="3:17" s="700" customFormat="1" ht="70.5" hidden="1" customHeight="1">
      <c r="C6655" s="701"/>
      <c r="D6655" s="811"/>
      <c r="E6655" s="1276">
        <f>[11]building!Y6986</f>
        <v>0</v>
      </c>
      <c r="F6655" s="748">
        <f t="shared" si="342"/>
        <v>0</v>
      </c>
      <c r="G6655" s="1205"/>
      <c r="H6655" s="1055"/>
      <c r="I6655" s="1055"/>
      <c r="J6655" s="1055"/>
      <c r="K6655" s="1205"/>
      <c r="L6655" s="1055"/>
      <c r="M6655" s="1205"/>
      <c r="N6655" s="1054"/>
      <c r="O6655" s="1207"/>
      <c r="Q6655" s="1207"/>
    </row>
    <row r="6656" spans="3:17" s="700" customFormat="1" ht="70.5" hidden="1" customHeight="1">
      <c r="C6656" s="701"/>
      <c r="D6656" s="811"/>
      <c r="E6656" s="1276">
        <f>[11]building!Y6987</f>
        <v>0</v>
      </c>
      <c r="F6656" s="748">
        <f t="shared" ref="F6656:F6719" si="343">E6656*C6656</f>
        <v>0</v>
      </c>
      <c r="G6656" s="1205"/>
      <c r="H6656" s="1055"/>
      <c r="I6656" s="1055"/>
      <c r="J6656" s="1055"/>
      <c r="K6656" s="1205"/>
      <c r="L6656" s="1055"/>
      <c r="M6656" s="1205"/>
      <c r="N6656" s="1054"/>
      <c r="O6656" s="1207"/>
      <c r="Q6656" s="1207"/>
    </row>
    <row r="6657" spans="3:17" s="700" customFormat="1" ht="70.5" hidden="1" customHeight="1">
      <c r="C6657" s="701"/>
      <c r="D6657" s="811"/>
      <c r="E6657" s="1276">
        <f>[11]building!Y6988</f>
        <v>0</v>
      </c>
      <c r="F6657" s="748">
        <f t="shared" si="343"/>
        <v>0</v>
      </c>
      <c r="G6657" s="1205"/>
      <c r="H6657" s="1055"/>
      <c r="I6657" s="1055"/>
      <c r="J6657" s="1055"/>
      <c r="K6657" s="1205"/>
      <c r="L6657" s="1055"/>
      <c r="M6657" s="1205"/>
      <c r="N6657" s="1054"/>
      <c r="O6657" s="1207"/>
      <c r="Q6657" s="1207"/>
    </row>
    <row r="6658" spans="3:17" s="700" customFormat="1" ht="70.5" hidden="1" customHeight="1">
      <c r="C6658" s="701"/>
      <c r="D6658" s="811"/>
      <c r="E6658" s="1276">
        <f>[11]building!Y6989</f>
        <v>0</v>
      </c>
      <c r="F6658" s="748">
        <f t="shared" si="343"/>
        <v>0</v>
      </c>
      <c r="G6658" s="1205"/>
      <c r="H6658" s="1055"/>
      <c r="I6658" s="1055"/>
      <c r="J6658" s="1055"/>
      <c r="K6658" s="1205"/>
      <c r="L6658" s="1055"/>
      <c r="M6658" s="1205"/>
      <c r="N6658" s="1054"/>
      <c r="O6658" s="1207"/>
      <c r="Q6658" s="1207"/>
    </row>
    <row r="6659" spans="3:17" s="700" customFormat="1" ht="70.5" hidden="1" customHeight="1">
      <c r="C6659" s="701"/>
      <c r="D6659" s="811"/>
      <c r="E6659" s="1276">
        <f>[11]building!Y6990</f>
        <v>0</v>
      </c>
      <c r="F6659" s="748">
        <f t="shared" si="343"/>
        <v>0</v>
      </c>
      <c r="G6659" s="1205"/>
      <c r="H6659" s="1055"/>
      <c r="I6659" s="1055"/>
      <c r="J6659" s="1055"/>
      <c r="K6659" s="1205"/>
      <c r="L6659" s="1055"/>
      <c r="M6659" s="1205"/>
      <c r="N6659" s="1054"/>
      <c r="O6659" s="1207"/>
      <c r="Q6659" s="1207"/>
    </row>
    <row r="6660" spans="3:17" s="700" customFormat="1" ht="70.5" hidden="1" customHeight="1">
      <c r="C6660" s="701"/>
      <c r="D6660" s="811"/>
      <c r="E6660" s="1276">
        <f>[11]building!Y6991</f>
        <v>0</v>
      </c>
      <c r="F6660" s="748">
        <f t="shared" si="343"/>
        <v>0</v>
      </c>
      <c r="G6660" s="1205"/>
      <c r="H6660" s="1055"/>
      <c r="I6660" s="1055"/>
      <c r="J6660" s="1055"/>
      <c r="K6660" s="1205"/>
      <c r="L6660" s="1055"/>
      <c r="M6660" s="1205"/>
      <c r="N6660" s="1054"/>
      <c r="O6660" s="1207"/>
      <c r="Q6660" s="1207"/>
    </row>
    <row r="6661" spans="3:17" s="700" customFormat="1" ht="70.5" hidden="1" customHeight="1">
      <c r="C6661" s="701"/>
      <c r="D6661" s="811"/>
      <c r="E6661" s="1276">
        <f>[11]building!Y6992</f>
        <v>0</v>
      </c>
      <c r="F6661" s="748">
        <f t="shared" si="343"/>
        <v>0</v>
      </c>
      <c r="G6661" s="1205"/>
      <c r="H6661" s="1055"/>
      <c r="I6661" s="1055"/>
      <c r="J6661" s="1055"/>
      <c r="K6661" s="1205"/>
      <c r="L6661" s="1055"/>
      <c r="M6661" s="1205"/>
      <c r="N6661" s="1054"/>
      <c r="O6661" s="1207"/>
      <c r="Q6661" s="1207"/>
    </row>
    <row r="6662" spans="3:17" s="700" customFormat="1" ht="70.5" hidden="1" customHeight="1">
      <c r="C6662" s="701"/>
      <c r="D6662" s="811"/>
      <c r="E6662" s="1276">
        <f>[11]building!Y6993</f>
        <v>0</v>
      </c>
      <c r="F6662" s="748">
        <f t="shared" si="343"/>
        <v>0</v>
      </c>
      <c r="G6662" s="1205"/>
      <c r="H6662" s="1055"/>
      <c r="I6662" s="1055"/>
      <c r="J6662" s="1055"/>
      <c r="K6662" s="1205"/>
      <c r="L6662" s="1055"/>
      <c r="M6662" s="1205"/>
      <c r="N6662" s="1054"/>
      <c r="O6662" s="1207"/>
      <c r="Q6662" s="1207"/>
    </row>
    <row r="6663" spans="3:17" s="700" customFormat="1" ht="70.5" hidden="1" customHeight="1">
      <c r="C6663" s="701"/>
      <c r="D6663" s="811"/>
      <c r="E6663" s="1276">
        <f>[11]building!Y6994</f>
        <v>0</v>
      </c>
      <c r="F6663" s="748">
        <f t="shared" si="343"/>
        <v>0</v>
      </c>
      <c r="G6663" s="1205"/>
      <c r="H6663" s="1055"/>
      <c r="I6663" s="1055"/>
      <c r="J6663" s="1055"/>
      <c r="K6663" s="1205"/>
      <c r="L6663" s="1055"/>
      <c r="M6663" s="1205"/>
      <c r="N6663" s="1054"/>
      <c r="O6663" s="1207"/>
      <c r="Q6663" s="1207"/>
    </row>
    <row r="6664" spans="3:17" s="700" customFormat="1" ht="70.5" hidden="1" customHeight="1">
      <c r="C6664" s="701"/>
      <c r="D6664" s="811"/>
      <c r="E6664" s="1276">
        <f>[11]building!Y6995</f>
        <v>0</v>
      </c>
      <c r="F6664" s="748">
        <f t="shared" si="343"/>
        <v>0</v>
      </c>
      <c r="G6664" s="1205"/>
      <c r="H6664" s="1055"/>
      <c r="I6664" s="1055"/>
      <c r="J6664" s="1055"/>
      <c r="K6664" s="1205"/>
      <c r="L6664" s="1055"/>
      <c r="M6664" s="1205"/>
      <c r="N6664" s="1054"/>
      <c r="O6664" s="1207"/>
      <c r="Q6664" s="1207"/>
    </row>
    <row r="6665" spans="3:17" s="700" customFormat="1" ht="70.5" hidden="1" customHeight="1">
      <c r="C6665" s="701"/>
      <c r="D6665" s="811"/>
      <c r="E6665" s="1276">
        <f>[11]building!Y6996</f>
        <v>0</v>
      </c>
      <c r="F6665" s="748">
        <f t="shared" si="343"/>
        <v>0</v>
      </c>
      <c r="G6665" s="1205"/>
      <c r="H6665" s="1055"/>
      <c r="I6665" s="1055"/>
      <c r="J6665" s="1055"/>
      <c r="K6665" s="1205"/>
      <c r="L6665" s="1055"/>
      <c r="M6665" s="1205"/>
      <c r="N6665" s="1054"/>
      <c r="O6665" s="1207"/>
      <c r="Q6665" s="1207"/>
    </row>
    <row r="6666" spans="3:17" s="700" customFormat="1" ht="70.5" hidden="1" customHeight="1">
      <c r="C6666" s="701"/>
      <c r="D6666" s="811"/>
      <c r="E6666" s="1276">
        <f>[11]building!Y6997</f>
        <v>0</v>
      </c>
      <c r="F6666" s="748">
        <f t="shared" si="343"/>
        <v>0</v>
      </c>
      <c r="G6666" s="1205"/>
      <c r="H6666" s="1055"/>
      <c r="I6666" s="1055"/>
      <c r="J6666" s="1055"/>
      <c r="K6666" s="1205"/>
      <c r="L6666" s="1055"/>
      <c r="M6666" s="1205"/>
      <c r="N6666" s="1054"/>
      <c r="O6666" s="1207"/>
      <c r="Q6666" s="1207"/>
    </row>
    <row r="6667" spans="3:17" s="700" customFormat="1" ht="70.5" hidden="1" customHeight="1">
      <c r="C6667" s="701"/>
      <c r="D6667" s="811"/>
      <c r="E6667" s="1276">
        <f>[11]building!Y6998</f>
        <v>0</v>
      </c>
      <c r="F6667" s="748">
        <f t="shared" si="343"/>
        <v>0</v>
      </c>
      <c r="G6667" s="1205"/>
      <c r="H6667" s="1055"/>
      <c r="I6667" s="1055"/>
      <c r="J6667" s="1055"/>
      <c r="K6667" s="1205"/>
      <c r="L6667" s="1055"/>
      <c r="M6667" s="1205"/>
      <c r="N6667" s="1054"/>
      <c r="O6667" s="1207"/>
      <c r="Q6667" s="1207"/>
    </row>
    <row r="6668" spans="3:17" s="700" customFormat="1" ht="70.5" hidden="1" customHeight="1">
      <c r="C6668" s="701"/>
      <c r="D6668" s="811"/>
      <c r="E6668" s="1276">
        <f>[11]building!Y6999</f>
        <v>0</v>
      </c>
      <c r="F6668" s="748">
        <f t="shared" si="343"/>
        <v>0</v>
      </c>
      <c r="G6668" s="1205"/>
      <c r="H6668" s="1055"/>
      <c r="I6668" s="1055"/>
      <c r="J6668" s="1055"/>
      <c r="K6668" s="1205"/>
      <c r="L6668" s="1055"/>
      <c r="M6668" s="1205"/>
      <c r="N6668" s="1054"/>
      <c r="O6668" s="1207"/>
      <c r="Q6668" s="1207"/>
    </row>
    <row r="6669" spans="3:17" s="700" customFormat="1" ht="70.5" hidden="1" customHeight="1">
      <c r="C6669" s="701"/>
      <c r="D6669" s="811"/>
      <c r="E6669" s="1276">
        <f>[11]building!Y7000</f>
        <v>0</v>
      </c>
      <c r="F6669" s="748">
        <f t="shared" si="343"/>
        <v>0</v>
      </c>
      <c r="G6669" s="1205"/>
      <c r="H6669" s="1055"/>
      <c r="I6669" s="1055"/>
      <c r="J6669" s="1055"/>
      <c r="K6669" s="1205"/>
      <c r="L6669" s="1055"/>
      <c r="M6669" s="1205"/>
      <c r="N6669" s="1054"/>
      <c r="O6669" s="1207"/>
      <c r="Q6669" s="1207"/>
    </row>
    <row r="6670" spans="3:17" s="700" customFormat="1" ht="70.5" hidden="1" customHeight="1">
      <c r="C6670" s="701"/>
      <c r="D6670" s="811"/>
      <c r="E6670" s="1276">
        <f>[11]building!Y7001</f>
        <v>0</v>
      </c>
      <c r="F6670" s="748">
        <f t="shared" si="343"/>
        <v>0</v>
      </c>
      <c r="G6670" s="1205"/>
      <c r="H6670" s="1055"/>
      <c r="I6670" s="1055"/>
      <c r="J6670" s="1055"/>
      <c r="K6670" s="1205"/>
      <c r="L6670" s="1055"/>
      <c r="M6670" s="1205"/>
      <c r="N6670" s="1054"/>
      <c r="O6670" s="1207"/>
      <c r="Q6670" s="1207"/>
    </row>
    <row r="6671" spans="3:17" s="700" customFormat="1" ht="70.5" hidden="1" customHeight="1">
      <c r="C6671" s="701"/>
      <c r="D6671" s="811"/>
      <c r="E6671" s="1276">
        <f>[11]building!Y7002</f>
        <v>0</v>
      </c>
      <c r="F6671" s="748">
        <f t="shared" si="343"/>
        <v>0</v>
      </c>
      <c r="G6671" s="1205"/>
      <c r="H6671" s="1055"/>
      <c r="I6671" s="1055"/>
      <c r="J6671" s="1055"/>
      <c r="K6671" s="1205"/>
      <c r="L6671" s="1055"/>
      <c r="M6671" s="1205"/>
      <c r="N6671" s="1054"/>
      <c r="O6671" s="1207"/>
      <c r="Q6671" s="1207"/>
    </row>
    <row r="6672" spans="3:17" s="700" customFormat="1" ht="70.5" hidden="1" customHeight="1">
      <c r="C6672" s="701"/>
      <c r="D6672" s="811"/>
      <c r="E6672" s="1276">
        <f>[11]building!Y7003</f>
        <v>0</v>
      </c>
      <c r="F6672" s="748">
        <f t="shared" si="343"/>
        <v>0</v>
      </c>
      <c r="G6672" s="1205"/>
      <c r="H6672" s="1055"/>
      <c r="I6672" s="1055"/>
      <c r="J6672" s="1055"/>
      <c r="K6672" s="1205"/>
      <c r="L6672" s="1055"/>
      <c r="M6672" s="1205"/>
      <c r="N6672" s="1054"/>
      <c r="O6672" s="1207"/>
      <c r="Q6672" s="1207"/>
    </row>
    <row r="6673" spans="3:17" s="700" customFormat="1" ht="70.5" hidden="1" customHeight="1">
      <c r="C6673" s="701"/>
      <c r="D6673" s="811"/>
      <c r="E6673" s="1276">
        <f>[11]building!Y7004</f>
        <v>0</v>
      </c>
      <c r="F6673" s="748">
        <f t="shared" si="343"/>
        <v>0</v>
      </c>
      <c r="G6673" s="1205"/>
      <c r="H6673" s="1055"/>
      <c r="I6673" s="1055"/>
      <c r="J6673" s="1055"/>
      <c r="K6673" s="1205"/>
      <c r="L6673" s="1055"/>
      <c r="M6673" s="1205"/>
      <c r="N6673" s="1054"/>
      <c r="O6673" s="1207"/>
      <c r="Q6673" s="1207"/>
    </row>
    <row r="6674" spans="3:17" s="700" customFormat="1" ht="70.5" hidden="1" customHeight="1">
      <c r="C6674" s="701"/>
      <c r="D6674" s="811"/>
      <c r="E6674" s="1276">
        <f>[11]building!Y7005</f>
        <v>0</v>
      </c>
      <c r="F6674" s="748">
        <f t="shared" si="343"/>
        <v>0</v>
      </c>
      <c r="G6674" s="1205"/>
      <c r="H6674" s="1055"/>
      <c r="I6674" s="1055"/>
      <c r="J6674" s="1055"/>
      <c r="K6674" s="1205"/>
      <c r="L6674" s="1055"/>
      <c r="M6674" s="1205"/>
      <c r="N6674" s="1054"/>
      <c r="O6674" s="1207"/>
      <c r="Q6674" s="1207"/>
    </row>
    <row r="6675" spans="3:17" s="700" customFormat="1" ht="70.5" hidden="1" customHeight="1">
      <c r="C6675" s="701"/>
      <c r="D6675" s="811"/>
      <c r="E6675" s="1276">
        <f>[11]building!Y7006</f>
        <v>0</v>
      </c>
      <c r="F6675" s="748">
        <f t="shared" si="343"/>
        <v>0</v>
      </c>
      <c r="G6675" s="1205"/>
      <c r="H6675" s="1055"/>
      <c r="I6675" s="1055"/>
      <c r="J6675" s="1055"/>
      <c r="K6675" s="1205"/>
      <c r="L6675" s="1055"/>
      <c r="M6675" s="1205"/>
      <c r="N6675" s="1054"/>
      <c r="O6675" s="1207"/>
      <c r="Q6675" s="1207"/>
    </row>
    <row r="6676" spans="3:17" s="700" customFormat="1" ht="70.5" hidden="1" customHeight="1">
      <c r="C6676" s="701"/>
      <c r="D6676" s="811"/>
      <c r="E6676" s="1276">
        <f>[11]building!Y7007</f>
        <v>0</v>
      </c>
      <c r="F6676" s="748">
        <f t="shared" si="343"/>
        <v>0</v>
      </c>
      <c r="G6676" s="1205"/>
      <c r="H6676" s="1055"/>
      <c r="I6676" s="1055"/>
      <c r="J6676" s="1055"/>
      <c r="K6676" s="1205"/>
      <c r="L6676" s="1055"/>
      <c r="M6676" s="1205"/>
      <c r="N6676" s="1054"/>
      <c r="O6676" s="1207"/>
      <c r="Q6676" s="1207"/>
    </row>
    <row r="6677" spans="3:17" s="700" customFormat="1" ht="70.5" hidden="1" customHeight="1">
      <c r="C6677" s="701"/>
      <c r="D6677" s="811"/>
      <c r="E6677" s="1276">
        <f>[11]building!Y7008</f>
        <v>0</v>
      </c>
      <c r="F6677" s="748">
        <f t="shared" si="343"/>
        <v>0</v>
      </c>
      <c r="G6677" s="1205"/>
      <c r="H6677" s="1055"/>
      <c r="I6677" s="1055"/>
      <c r="J6677" s="1055"/>
      <c r="K6677" s="1205"/>
      <c r="L6677" s="1055"/>
      <c r="M6677" s="1205"/>
      <c r="N6677" s="1054"/>
      <c r="O6677" s="1207"/>
      <c r="Q6677" s="1207"/>
    </row>
    <row r="6678" spans="3:17" s="700" customFormat="1" ht="70.5" hidden="1" customHeight="1">
      <c r="C6678" s="701"/>
      <c r="D6678" s="811"/>
      <c r="E6678" s="1276">
        <f>[11]building!Y7009</f>
        <v>0</v>
      </c>
      <c r="F6678" s="748">
        <f t="shared" si="343"/>
        <v>0</v>
      </c>
      <c r="G6678" s="1205"/>
      <c r="H6678" s="1055"/>
      <c r="I6678" s="1055"/>
      <c r="J6678" s="1055"/>
      <c r="K6678" s="1205"/>
      <c r="L6678" s="1055"/>
      <c r="M6678" s="1205"/>
      <c r="N6678" s="1054"/>
      <c r="O6678" s="1207"/>
      <c r="Q6678" s="1207"/>
    </row>
    <row r="6679" spans="3:17" s="700" customFormat="1" ht="70.5" hidden="1" customHeight="1">
      <c r="C6679" s="701"/>
      <c r="D6679" s="811"/>
      <c r="E6679" s="1276">
        <f>[11]building!Y7010</f>
        <v>0</v>
      </c>
      <c r="F6679" s="748">
        <f t="shared" si="343"/>
        <v>0</v>
      </c>
      <c r="G6679" s="1205"/>
      <c r="H6679" s="1055"/>
      <c r="I6679" s="1055"/>
      <c r="J6679" s="1055"/>
      <c r="K6679" s="1205"/>
      <c r="L6679" s="1055"/>
      <c r="M6679" s="1205"/>
      <c r="N6679" s="1054"/>
      <c r="O6679" s="1207"/>
      <c r="Q6679" s="1207"/>
    </row>
    <row r="6680" spans="3:17" s="700" customFormat="1" ht="70.5" hidden="1" customHeight="1">
      <c r="C6680" s="701"/>
      <c r="D6680" s="811"/>
      <c r="E6680" s="1276">
        <f>[11]building!Y7011</f>
        <v>0</v>
      </c>
      <c r="F6680" s="748">
        <f t="shared" si="343"/>
        <v>0</v>
      </c>
      <c r="G6680" s="1205"/>
      <c r="H6680" s="1055"/>
      <c r="I6680" s="1055"/>
      <c r="J6680" s="1055"/>
      <c r="K6680" s="1205"/>
      <c r="L6680" s="1055"/>
      <c r="M6680" s="1205"/>
      <c r="N6680" s="1054"/>
      <c r="O6680" s="1207"/>
      <c r="Q6680" s="1207"/>
    </row>
    <row r="6681" spans="3:17" s="700" customFormat="1" ht="70.5" hidden="1" customHeight="1">
      <c r="C6681" s="701"/>
      <c r="D6681" s="811"/>
      <c r="E6681" s="1276">
        <f>[11]building!Y7012</f>
        <v>0</v>
      </c>
      <c r="F6681" s="748">
        <f t="shared" si="343"/>
        <v>0</v>
      </c>
      <c r="G6681" s="1205"/>
      <c r="H6681" s="1055"/>
      <c r="I6681" s="1055"/>
      <c r="J6681" s="1055"/>
      <c r="K6681" s="1205"/>
      <c r="L6681" s="1055"/>
      <c r="M6681" s="1205"/>
      <c r="N6681" s="1054"/>
      <c r="O6681" s="1207"/>
      <c r="Q6681" s="1207"/>
    </row>
    <row r="6682" spans="3:17" s="700" customFormat="1" ht="70.5" hidden="1" customHeight="1">
      <c r="C6682" s="701"/>
      <c r="D6682" s="811"/>
      <c r="E6682" s="1276">
        <f>[11]building!Y7013</f>
        <v>0</v>
      </c>
      <c r="F6682" s="748">
        <f t="shared" si="343"/>
        <v>0</v>
      </c>
      <c r="G6682" s="1205"/>
      <c r="H6682" s="1055"/>
      <c r="I6682" s="1055"/>
      <c r="J6682" s="1055"/>
      <c r="K6682" s="1205"/>
      <c r="L6682" s="1055"/>
      <c r="M6682" s="1205"/>
      <c r="N6682" s="1054"/>
      <c r="O6682" s="1207"/>
      <c r="Q6682" s="1207"/>
    </row>
    <row r="6683" spans="3:17" s="700" customFormat="1" ht="70.5" hidden="1" customHeight="1">
      <c r="C6683" s="701"/>
      <c r="D6683" s="811"/>
      <c r="E6683" s="1276">
        <f>[11]building!Y7014</f>
        <v>0</v>
      </c>
      <c r="F6683" s="748">
        <f t="shared" si="343"/>
        <v>0</v>
      </c>
      <c r="G6683" s="1205"/>
      <c r="H6683" s="1055"/>
      <c r="I6683" s="1055"/>
      <c r="J6683" s="1055"/>
      <c r="K6683" s="1205"/>
      <c r="L6683" s="1055"/>
      <c r="M6683" s="1205"/>
      <c r="N6683" s="1054"/>
      <c r="O6683" s="1207"/>
      <c r="Q6683" s="1207"/>
    </row>
    <row r="6684" spans="3:17" s="700" customFormat="1" ht="70.5" hidden="1" customHeight="1">
      <c r="C6684" s="701"/>
      <c r="D6684" s="811"/>
      <c r="E6684" s="1276">
        <f>[11]building!Y7015</f>
        <v>0</v>
      </c>
      <c r="F6684" s="748">
        <f t="shared" si="343"/>
        <v>0</v>
      </c>
      <c r="G6684" s="1205"/>
      <c r="H6684" s="1055"/>
      <c r="I6684" s="1055"/>
      <c r="J6684" s="1055"/>
      <c r="K6684" s="1205"/>
      <c r="L6684" s="1055"/>
      <c r="M6684" s="1205"/>
      <c r="N6684" s="1054"/>
      <c r="O6684" s="1207"/>
      <c r="Q6684" s="1207"/>
    </row>
    <row r="6685" spans="3:17" s="700" customFormat="1" ht="70.5" hidden="1" customHeight="1">
      <c r="C6685" s="701"/>
      <c r="D6685" s="811"/>
      <c r="E6685" s="1276">
        <f>[11]building!Y7016</f>
        <v>0</v>
      </c>
      <c r="F6685" s="748">
        <f t="shared" si="343"/>
        <v>0</v>
      </c>
      <c r="G6685" s="1205"/>
      <c r="H6685" s="1055"/>
      <c r="I6685" s="1055"/>
      <c r="J6685" s="1055"/>
      <c r="K6685" s="1205"/>
      <c r="L6685" s="1055"/>
      <c r="M6685" s="1205"/>
      <c r="N6685" s="1054"/>
      <c r="O6685" s="1207"/>
      <c r="Q6685" s="1207"/>
    </row>
    <row r="6686" spans="3:17" s="700" customFormat="1" ht="70.5" hidden="1" customHeight="1">
      <c r="C6686" s="701"/>
      <c r="D6686" s="811"/>
      <c r="E6686" s="1276">
        <f>[11]building!Y7017</f>
        <v>0</v>
      </c>
      <c r="F6686" s="748">
        <f t="shared" si="343"/>
        <v>0</v>
      </c>
      <c r="G6686" s="1205"/>
      <c r="H6686" s="1055"/>
      <c r="I6686" s="1055"/>
      <c r="J6686" s="1055"/>
      <c r="K6686" s="1205"/>
      <c r="L6686" s="1055"/>
      <c r="M6686" s="1205"/>
      <c r="N6686" s="1054"/>
      <c r="O6686" s="1207"/>
      <c r="Q6686" s="1207"/>
    </row>
    <row r="6687" spans="3:17" s="700" customFormat="1" ht="70.5" hidden="1" customHeight="1">
      <c r="C6687" s="701"/>
      <c r="D6687" s="811"/>
      <c r="E6687" s="1276">
        <f>[11]building!Y7018</f>
        <v>0</v>
      </c>
      <c r="F6687" s="748">
        <f t="shared" si="343"/>
        <v>0</v>
      </c>
      <c r="G6687" s="1205"/>
      <c r="H6687" s="1055"/>
      <c r="I6687" s="1055"/>
      <c r="J6687" s="1055"/>
      <c r="K6687" s="1205"/>
      <c r="L6687" s="1055"/>
      <c r="M6687" s="1205"/>
      <c r="N6687" s="1054"/>
      <c r="O6687" s="1207"/>
      <c r="Q6687" s="1207"/>
    </row>
    <row r="6688" spans="3:17" s="700" customFormat="1" ht="70.5" hidden="1" customHeight="1">
      <c r="C6688" s="701"/>
      <c r="D6688" s="811"/>
      <c r="E6688" s="1276">
        <f>[11]building!Y7019</f>
        <v>0</v>
      </c>
      <c r="F6688" s="748">
        <f t="shared" si="343"/>
        <v>0</v>
      </c>
      <c r="G6688" s="1205"/>
      <c r="H6688" s="1055"/>
      <c r="I6688" s="1055"/>
      <c r="J6688" s="1055"/>
      <c r="K6688" s="1205"/>
      <c r="L6688" s="1055"/>
      <c r="M6688" s="1205"/>
      <c r="N6688" s="1054"/>
      <c r="O6688" s="1207"/>
      <c r="Q6688" s="1207"/>
    </row>
    <row r="6689" spans="3:17" s="700" customFormat="1" ht="70.5" hidden="1" customHeight="1">
      <c r="C6689" s="701"/>
      <c r="D6689" s="811"/>
      <c r="E6689" s="1276">
        <f>[11]building!Y7020</f>
        <v>0</v>
      </c>
      <c r="F6689" s="748">
        <f t="shared" si="343"/>
        <v>0</v>
      </c>
      <c r="G6689" s="1205"/>
      <c r="H6689" s="1055"/>
      <c r="I6689" s="1055"/>
      <c r="J6689" s="1055"/>
      <c r="K6689" s="1205"/>
      <c r="L6689" s="1055"/>
      <c r="M6689" s="1205"/>
      <c r="N6689" s="1054"/>
      <c r="O6689" s="1207"/>
      <c r="Q6689" s="1207"/>
    </row>
    <row r="6690" spans="3:17" s="700" customFormat="1" ht="70.5" hidden="1" customHeight="1">
      <c r="C6690" s="701"/>
      <c r="D6690" s="811"/>
      <c r="E6690" s="1276">
        <f>[11]building!Y7021</f>
        <v>0</v>
      </c>
      <c r="F6690" s="748">
        <f t="shared" si="343"/>
        <v>0</v>
      </c>
      <c r="G6690" s="1205"/>
      <c r="H6690" s="1055"/>
      <c r="I6690" s="1055"/>
      <c r="J6690" s="1055"/>
      <c r="K6690" s="1205"/>
      <c r="L6690" s="1055"/>
      <c r="M6690" s="1205"/>
      <c r="N6690" s="1054"/>
      <c r="O6690" s="1207"/>
      <c r="Q6690" s="1207"/>
    </row>
    <row r="6691" spans="3:17" s="700" customFormat="1" ht="70.5" hidden="1" customHeight="1">
      <c r="C6691" s="701"/>
      <c r="D6691" s="811"/>
      <c r="E6691" s="1276">
        <f>[11]building!Y7022</f>
        <v>0</v>
      </c>
      <c r="F6691" s="748">
        <f t="shared" si="343"/>
        <v>0</v>
      </c>
      <c r="G6691" s="1205"/>
      <c r="H6691" s="1055"/>
      <c r="I6691" s="1055"/>
      <c r="J6691" s="1055"/>
      <c r="K6691" s="1205"/>
      <c r="L6691" s="1055"/>
      <c r="M6691" s="1205"/>
      <c r="N6691" s="1054"/>
      <c r="O6691" s="1207"/>
      <c r="Q6691" s="1207"/>
    </row>
    <row r="6692" spans="3:17" s="700" customFormat="1" ht="70.5" hidden="1" customHeight="1">
      <c r="C6692" s="701"/>
      <c r="D6692" s="811"/>
      <c r="E6692" s="1276">
        <f>[11]building!Y7023</f>
        <v>0</v>
      </c>
      <c r="F6692" s="748">
        <f t="shared" si="343"/>
        <v>0</v>
      </c>
      <c r="G6692" s="1205"/>
      <c r="H6692" s="1055"/>
      <c r="I6692" s="1055"/>
      <c r="J6692" s="1055"/>
      <c r="K6692" s="1205"/>
      <c r="L6692" s="1055"/>
      <c r="M6692" s="1205"/>
      <c r="N6692" s="1054"/>
      <c r="O6692" s="1207"/>
      <c r="Q6692" s="1207"/>
    </row>
    <row r="6693" spans="3:17" s="700" customFormat="1" ht="70.5" hidden="1" customHeight="1">
      <c r="C6693" s="701"/>
      <c r="D6693" s="811"/>
      <c r="E6693" s="1276">
        <f>[11]building!Y7024</f>
        <v>0</v>
      </c>
      <c r="F6693" s="748">
        <f t="shared" si="343"/>
        <v>0</v>
      </c>
      <c r="G6693" s="1205"/>
      <c r="H6693" s="1055"/>
      <c r="I6693" s="1055"/>
      <c r="J6693" s="1055"/>
      <c r="K6693" s="1205"/>
      <c r="L6693" s="1055"/>
      <c r="M6693" s="1205"/>
      <c r="N6693" s="1054"/>
      <c r="O6693" s="1207"/>
      <c r="Q6693" s="1207"/>
    </row>
    <row r="6694" spans="3:17" s="700" customFormat="1" ht="70.5" hidden="1" customHeight="1">
      <c r="C6694" s="701"/>
      <c r="D6694" s="811"/>
      <c r="E6694" s="1276">
        <f>[11]building!Y7025</f>
        <v>0</v>
      </c>
      <c r="F6694" s="748">
        <f t="shared" si="343"/>
        <v>0</v>
      </c>
      <c r="G6694" s="1205"/>
      <c r="H6694" s="1055"/>
      <c r="I6694" s="1055"/>
      <c r="J6694" s="1055"/>
      <c r="K6694" s="1205"/>
      <c r="L6694" s="1055"/>
      <c r="M6694" s="1205"/>
      <c r="N6694" s="1054"/>
      <c r="O6694" s="1207"/>
      <c r="Q6694" s="1207"/>
    </row>
    <row r="6695" spans="3:17" s="700" customFormat="1" ht="70.5" hidden="1" customHeight="1">
      <c r="C6695" s="701"/>
      <c r="D6695" s="811"/>
      <c r="E6695" s="1276">
        <f>[11]building!Y7026</f>
        <v>0</v>
      </c>
      <c r="F6695" s="748">
        <f t="shared" si="343"/>
        <v>0</v>
      </c>
      <c r="G6695" s="1205"/>
      <c r="H6695" s="1055"/>
      <c r="I6695" s="1055"/>
      <c r="J6695" s="1055"/>
      <c r="K6695" s="1205"/>
      <c r="L6695" s="1055"/>
      <c r="M6695" s="1205"/>
      <c r="N6695" s="1054"/>
      <c r="O6695" s="1207"/>
      <c r="Q6695" s="1207"/>
    </row>
    <row r="6696" spans="3:17" s="700" customFormat="1" ht="70.5" hidden="1" customHeight="1">
      <c r="C6696" s="701"/>
      <c r="D6696" s="811"/>
      <c r="E6696" s="1276">
        <f>[11]building!Y7027</f>
        <v>0</v>
      </c>
      <c r="F6696" s="748">
        <f t="shared" si="343"/>
        <v>0</v>
      </c>
      <c r="G6696" s="1205"/>
      <c r="H6696" s="1055"/>
      <c r="I6696" s="1055"/>
      <c r="J6696" s="1055"/>
      <c r="K6696" s="1205"/>
      <c r="L6696" s="1055"/>
      <c r="M6696" s="1205"/>
      <c r="N6696" s="1054"/>
      <c r="O6696" s="1207"/>
      <c r="Q6696" s="1207"/>
    </row>
    <row r="6697" spans="3:17" s="700" customFormat="1" ht="70.5" hidden="1" customHeight="1">
      <c r="C6697" s="701"/>
      <c r="D6697" s="811"/>
      <c r="E6697" s="1276">
        <f>[11]building!Y7028</f>
        <v>0</v>
      </c>
      <c r="F6697" s="748">
        <f t="shared" si="343"/>
        <v>0</v>
      </c>
      <c r="G6697" s="1205"/>
      <c r="H6697" s="1055"/>
      <c r="I6697" s="1055"/>
      <c r="J6697" s="1055"/>
      <c r="K6697" s="1205"/>
      <c r="L6697" s="1055"/>
      <c r="M6697" s="1205"/>
      <c r="N6697" s="1054"/>
      <c r="O6697" s="1207"/>
      <c r="Q6697" s="1207"/>
    </row>
    <row r="6698" spans="3:17" s="700" customFormat="1" ht="70.5" hidden="1" customHeight="1">
      <c r="C6698" s="701"/>
      <c r="D6698" s="811"/>
      <c r="E6698" s="1276">
        <f>[11]building!Y7029</f>
        <v>0</v>
      </c>
      <c r="F6698" s="748">
        <f t="shared" si="343"/>
        <v>0</v>
      </c>
      <c r="G6698" s="1205"/>
      <c r="H6698" s="1055"/>
      <c r="I6698" s="1055"/>
      <c r="J6698" s="1055"/>
      <c r="K6698" s="1205"/>
      <c r="L6698" s="1055"/>
      <c r="M6698" s="1205"/>
      <c r="N6698" s="1054"/>
      <c r="O6698" s="1207"/>
      <c r="Q6698" s="1207"/>
    </row>
    <row r="6699" spans="3:17" s="700" customFormat="1" ht="70.5" hidden="1" customHeight="1">
      <c r="C6699" s="701"/>
      <c r="D6699" s="811"/>
      <c r="E6699" s="1276">
        <f>[11]building!Y7030</f>
        <v>0</v>
      </c>
      <c r="F6699" s="748">
        <f t="shared" si="343"/>
        <v>0</v>
      </c>
      <c r="G6699" s="1205"/>
      <c r="H6699" s="1055"/>
      <c r="I6699" s="1055"/>
      <c r="J6699" s="1055"/>
      <c r="K6699" s="1205"/>
      <c r="L6699" s="1055"/>
      <c r="M6699" s="1205"/>
      <c r="N6699" s="1054"/>
      <c r="O6699" s="1207"/>
      <c r="Q6699" s="1207"/>
    </row>
    <row r="6700" spans="3:17" s="700" customFormat="1" ht="70.5" hidden="1" customHeight="1">
      <c r="C6700" s="701"/>
      <c r="D6700" s="811"/>
      <c r="E6700" s="1276">
        <f>[11]building!Y7031</f>
        <v>0</v>
      </c>
      <c r="F6700" s="748">
        <f t="shared" si="343"/>
        <v>0</v>
      </c>
      <c r="G6700" s="1205"/>
      <c r="H6700" s="1055"/>
      <c r="I6700" s="1055"/>
      <c r="J6700" s="1055"/>
      <c r="K6700" s="1205"/>
      <c r="L6700" s="1055"/>
      <c r="M6700" s="1205"/>
      <c r="N6700" s="1054"/>
      <c r="O6700" s="1207"/>
      <c r="Q6700" s="1207"/>
    </row>
    <row r="6701" spans="3:17" s="700" customFormat="1" ht="70.5" hidden="1" customHeight="1">
      <c r="C6701" s="701"/>
      <c r="D6701" s="811"/>
      <c r="E6701" s="1276">
        <f>[11]building!Y7032</f>
        <v>0</v>
      </c>
      <c r="F6701" s="748">
        <f t="shared" si="343"/>
        <v>0</v>
      </c>
      <c r="G6701" s="1205"/>
      <c r="H6701" s="1055"/>
      <c r="I6701" s="1055"/>
      <c r="J6701" s="1055"/>
      <c r="K6701" s="1205"/>
      <c r="L6701" s="1055"/>
      <c r="M6701" s="1205"/>
      <c r="N6701" s="1054"/>
      <c r="O6701" s="1207"/>
      <c r="Q6701" s="1207"/>
    </row>
    <row r="6702" spans="3:17" s="700" customFormat="1" ht="70.5" hidden="1" customHeight="1">
      <c r="C6702" s="701"/>
      <c r="D6702" s="811"/>
      <c r="E6702" s="1276">
        <f>[11]building!Y7033</f>
        <v>0</v>
      </c>
      <c r="F6702" s="748">
        <f t="shared" si="343"/>
        <v>0</v>
      </c>
      <c r="G6702" s="1205"/>
      <c r="H6702" s="1055"/>
      <c r="I6702" s="1055"/>
      <c r="J6702" s="1055"/>
      <c r="K6702" s="1205"/>
      <c r="L6702" s="1055"/>
      <c r="M6702" s="1205"/>
      <c r="N6702" s="1054"/>
      <c r="O6702" s="1207"/>
      <c r="Q6702" s="1207"/>
    </row>
    <row r="6703" spans="3:17" s="700" customFormat="1" ht="70.5" hidden="1" customHeight="1">
      <c r="C6703" s="701"/>
      <c r="D6703" s="811"/>
      <c r="E6703" s="1276">
        <f>[11]building!Y7034</f>
        <v>0</v>
      </c>
      <c r="F6703" s="748">
        <f t="shared" si="343"/>
        <v>0</v>
      </c>
      <c r="G6703" s="1205"/>
      <c r="H6703" s="1055"/>
      <c r="I6703" s="1055"/>
      <c r="J6703" s="1055"/>
      <c r="K6703" s="1205"/>
      <c r="L6703" s="1055"/>
      <c r="M6703" s="1205"/>
      <c r="N6703" s="1054"/>
      <c r="O6703" s="1207"/>
      <c r="Q6703" s="1207"/>
    </row>
    <row r="6704" spans="3:17" s="700" customFormat="1" ht="70.5" hidden="1" customHeight="1">
      <c r="C6704" s="701"/>
      <c r="D6704" s="811"/>
      <c r="E6704" s="1276">
        <f>[11]building!Y7035</f>
        <v>0</v>
      </c>
      <c r="F6704" s="748">
        <f t="shared" si="343"/>
        <v>0</v>
      </c>
      <c r="G6704" s="1205"/>
      <c r="H6704" s="1055"/>
      <c r="I6704" s="1055"/>
      <c r="J6704" s="1055"/>
      <c r="K6704" s="1205"/>
      <c r="L6704" s="1055"/>
      <c r="M6704" s="1205"/>
      <c r="N6704" s="1054"/>
      <c r="O6704" s="1207"/>
      <c r="Q6704" s="1207"/>
    </row>
    <row r="6705" spans="3:17" s="700" customFormat="1" ht="70.5" hidden="1" customHeight="1">
      <c r="C6705" s="701"/>
      <c r="D6705" s="811"/>
      <c r="E6705" s="1276">
        <f>[11]building!Y7036</f>
        <v>0</v>
      </c>
      <c r="F6705" s="748">
        <f t="shared" si="343"/>
        <v>0</v>
      </c>
      <c r="G6705" s="1205"/>
      <c r="H6705" s="1055"/>
      <c r="I6705" s="1055"/>
      <c r="J6705" s="1055"/>
      <c r="K6705" s="1205"/>
      <c r="L6705" s="1055"/>
      <c r="M6705" s="1205"/>
      <c r="N6705" s="1054"/>
      <c r="O6705" s="1207"/>
      <c r="Q6705" s="1207"/>
    </row>
    <row r="6706" spans="3:17" s="700" customFormat="1" ht="70.5" hidden="1" customHeight="1">
      <c r="C6706" s="701"/>
      <c r="D6706" s="811"/>
      <c r="E6706" s="1276">
        <f>[11]building!Y7037</f>
        <v>0</v>
      </c>
      <c r="F6706" s="748">
        <f t="shared" si="343"/>
        <v>0</v>
      </c>
      <c r="G6706" s="1205"/>
      <c r="H6706" s="1055"/>
      <c r="I6706" s="1055"/>
      <c r="J6706" s="1055"/>
      <c r="K6706" s="1205"/>
      <c r="L6706" s="1055"/>
      <c r="M6706" s="1205"/>
      <c r="N6706" s="1054"/>
      <c r="O6706" s="1207"/>
      <c r="Q6706" s="1207"/>
    </row>
    <row r="6707" spans="3:17" s="700" customFormat="1" ht="70.5" hidden="1" customHeight="1">
      <c r="C6707" s="701"/>
      <c r="D6707" s="811"/>
      <c r="E6707" s="1276">
        <f>[11]building!Y7038</f>
        <v>0</v>
      </c>
      <c r="F6707" s="748">
        <f t="shared" si="343"/>
        <v>0</v>
      </c>
      <c r="G6707" s="1205"/>
      <c r="H6707" s="1055"/>
      <c r="I6707" s="1055"/>
      <c r="J6707" s="1055"/>
      <c r="K6707" s="1205"/>
      <c r="L6707" s="1055"/>
      <c r="M6707" s="1205"/>
      <c r="N6707" s="1054"/>
      <c r="O6707" s="1207"/>
      <c r="Q6707" s="1207"/>
    </row>
    <row r="6708" spans="3:17" s="700" customFormat="1" ht="70.5" hidden="1" customHeight="1">
      <c r="C6708" s="701"/>
      <c r="D6708" s="811"/>
      <c r="E6708" s="1276">
        <f>[11]building!Y7039</f>
        <v>0</v>
      </c>
      <c r="F6708" s="748">
        <f t="shared" si="343"/>
        <v>0</v>
      </c>
      <c r="G6708" s="1205"/>
      <c r="H6708" s="1055"/>
      <c r="I6708" s="1055"/>
      <c r="J6708" s="1055"/>
      <c r="K6708" s="1205"/>
      <c r="L6708" s="1055"/>
      <c r="M6708" s="1205"/>
      <c r="N6708" s="1054"/>
      <c r="O6708" s="1207"/>
      <c r="Q6708" s="1207"/>
    </row>
    <row r="6709" spans="3:17" s="700" customFormat="1" ht="70.5" hidden="1" customHeight="1">
      <c r="C6709" s="701"/>
      <c r="D6709" s="811"/>
      <c r="E6709" s="1276">
        <f>[11]building!Y7040</f>
        <v>0</v>
      </c>
      <c r="F6709" s="748">
        <f t="shared" si="343"/>
        <v>0</v>
      </c>
      <c r="G6709" s="1205"/>
      <c r="H6709" s="1055"/>
      <c r="I6709" s="1055"/>
      <c r="J6709" s="1055"/>
      <c r="K6709" s="1205"/>
      <c r="L6709" s="1055"/>
      <c r="M6709" s="1205"/>
      <c r="N6709" s="1054"/>
      <c r="O6709" s="1207"/>
      <c r="Q6709" s="1207"/>
    </row>
    <row r="6710" spans="3:17" s="700" customFormat="1" ht="70.5" hidden="1" customHeight="1">
      <c r="C6710" s="701"/>
      <c r="D6710" s="811"/>
      <c r="E6710" s="1276">
        <f>[11]building!Y7041</f>
        <v>0</v>
      </c>
      <c r="F6710" s="748">
        <f t="shared" si="343"/>
        <v>0</v>
      </c>
      <c r="G6710" s="1205"/>
      <c r="H6710" s="1055"/>
      <c r="I6710" s="1055"/>
      <c r="J6710" s="1055"/>
      <c r="K6710" s="1205"/>
      <c r="L6710" s="1055"/>
      <c r="M6710" s="1205"/>
      <c r="N6710" s="1054"/>
      <c r="O6710" s="1207"/>
      <c r="Q6710" s="1207"/>
    </row>
    <row r="6711" spans="3:17" s="700" customFormat="1" ht="70.5" hidden="1" customHeight="1">
      <c r="C6711" s="701"/>
      <c r="D6711" s="811"/>
      <c r="E6711" s="1276">
        <f>[11]building!Y7042</f>
        <v>0</v>
      </c>
      <c r="F6711" s="748">
        <f t="shared" si="343"/>
        <v>0</v>
      </c>
      <c r="G6711" s="1205"/>
      <c r="H6711" s="1055"/>
      <c r="I6711" s="1055"/>
      <c r="J6711" s="1055"/>
      <c r="K6711" s="1205"/>
      <c r="L6711" s="1055"/>
      <c r="M6711" s="1205"/>
      <c r="N6711" s="1054"/>
      <c r="O6711" s="1207"/>
      <c r="Q6711" s="1207"/>
    </row>
    <row r="6712" spans="3:17" s="700" customFormat="1" ht="70.5" hidden="1" customHeight="1">
      <c r="C6712" s="701"/>
      <c r="D6712" s="811"/>
      <c r="E6712" s="1276">
        <f>[11]building!Y7043</f>
        <v>0</v>
      </c>
      <c r="F6712" s="748">
        <f t="shared" si="343"/>
        <v>0</v>
      </c>
      <c r="G6712" s="1205"/>
      <c r="H6712" s="1055"/>
      <c r="I6712" s="1055"/>
      <c r="J6712" s="1055"/>
      <c r="K6712" s="1205"/>
      <c r="L6712" s="1055"/>
      <c r="M6712" s="1205"/>
      <c r="N6712" s="1054"/>
      <c r="O6712" s="1207"/>
      <c r="Q6712" s="1207"/>
    </row>
    <row r="6713" spans="3:17" s="700" customFormat="1" ht="70.5" hidden="1" customHeight="1">
      <c r="C6713" s="701"/>
      <c r="D6713" s="811"/>
      <c r="E6713" s="1276">
        <f>[11]building!Y7044</f>
        <v>0</v>
      </c>
      <c r="F6713" s="748">
        <f t="shared" si="343"/>
        <v>0</v>
      </c>
      <c r="G6713" s="1205"/>
      <c r="H6713" s="1055"/>
      <c r="I6713" s="1055"/>
      <c r="J6713" s="1055"/>
      <c r="K6713" s="1205"/>
      <c r="L6713" s="1055"/>
      <c r="M6713" s="1205"/>
      <c r="N6713" s="1054"/>
      <c r="O6713" s="1207"/>
      <c r="Q6713" s="1207"/>
    </row>
    <row r="6714" spans="3:17" s="700" customFormat="1" ht="70.5" hidden="1" customHeight="1">
      <c r="C6714" s="701"/>
      <c r="D6714" s="811"/>
      <c r="E6714" s="1276">
        <f>[11]building!Y7045</f>
        <v>0</v>
      </c>
      <c r="F6714" s="748">
        <f t="shared" si="343"/>
        <v>0</v>
      </c>
      <c r="G6714" s="1205"/>
      <c r="H6714" s="1055"/>
      <c r="I6714" s="1055"/>
      <c r="J6714" s="1055"/>
      <c r="K6714" s="1205"/>
      <c r="L6714" s="1055"/>
      <c r="M6714" s="1205"/>
      <c r="N6714" s="1054"/>
      <c r="O6714" s="1207"/>
      <c r="Q6714" s="1207"/>
    </row>
    <row r="6715" spans="3:17" s="700" customFormat="1" ht="70.5" hidden="1" customHeight="1">
      <c r="C6715" s="701"/>
      <c r="D6715" s="811"/>
      <c r="E6715" s="1276">
        <f>[11]building!Y7046</f>
        <v>0</v>
      </c>
      <c r="F6715" s="748">
        <f t="shared" si="343"/>
        <v>0</v>
      </c>
      <c r="G6715" s="1205"/>
      <c r="H6715" s="1055"/>
      <c r="I6715" s="1055"/>
      <c r="J6715" s="1055"/>
      <c r="K6715" s="1205"/>
      <c r="L6715" s="1055"/>
      <c r="M6715" s="1205"/>
      <c r="N6715" s="1054"/>
      <c r="O6715" s="1207"/>
      <c r="Q6715" s="1207"/>
    </row>
    <row r="6716" spans="3:17" s="700" customFormat="1" ht="70.5" hidden="1" customHeight="1">
      <c r="C6716" s="701"/>
      <c r="D6716" s="811"/>
      <c r="E6716" s="1276">
        <f>[11]building!Y7047</f>
        <v>0</v>
      </c>
      <c r="F6716" s="748">
        <f t="shared" si="343"/>
        <v>0</v>
      </c>
      <c r="G6716" s="1205"/>
      <c r="H6716" s="1055"/>
      <c r="I6716" s="1055"/>
      <c r="J6716" s="1055"/>
      <c r="K6716" s="1205"/>
      <c r="L6716" s="1055"/>
      <c r="M6716" s="1205"/>
      <c r="N6716" s="1054"/>
      <c r="O6716" s="1207"/>
      <c r="Q6716" s="1207"/>
    </row>
    <row r="6717" spans="3:17" s="700" customFormat="1" ht="70.5" hidden="1" customHeight="1">
      <c r="C6717" s="701"/>
      <c r="D6717" s="811"/>
      <c r="E6717" s="1276">
        <f>[11]building!Y7048</f>
        <v>0</v>
      </c>
      <c r="F6717" s="748">
        <f t="shared" si="343"/>
        <v>0</v>
      </c>
      <c r="G6717" s="1205"/>
      <c r="H6717" s="1055"/>
      <c r="I6717" s="1055"/>
      <c r="J6717" s="1055"/>
      <c r="K6717" s="1205"/>
      <c r="L6717" s="1055"/>
      <c r="M6717" s="1205"/>
      <c r="N6717" s="1054"/>
      <c r="O6717" s="1207"/>
      <c r="Q6717" s="1207"/>
    </row>
    <row r="6718" spans="3:17" s="700" customFormat="1" ht="70.5" hidden="1" customHeight="1">
      <c r="C6718" s="701"/>
      <c r="D6718" s="811"/>
      <c r="E6718" s="1276">
        <f>[11]building!Y7049</f>
        <v>0</v>
      </c>
      <c r="F6718" s="748">
        <f t="shared" si="343"/>
        <v>0</v>
      </c>
      <c r="G6718" s="1205"/>
      <c r="H6718" s="1055"/>
      <c r="I6718" s="1055"/>
      <c r="J6718" s="1055"/>
      <c r="K6718" s="1205"/>
      <c r="L6718" s="1055"/>
      <c r="M6718" s="1205"/>
      <c r="N6718" s="1054"/>
      <c r="O6718" s="1207"/>
      <c r="Q6718" s="1207"/>
    </row>
    <row r="6719" spans="3:17" s="700" customFormat="1" ht="70.5" hidden="1" customHeight="1">
      <c r="C6719" s="701"/>
      <c r="D6719" s="811"/>
      <c r="E6719" s="1276">
        <f>[11]building!Y7050</f>
        <v>0</v>
      </c>
      <c r="F6719" s="748">
        <f t="shared" si="343"/>
        <v>0</v>
      </c>
      <c r="G6719" s="1205"/>
      <c r="H6719" s="1055"/>
      <c r="I6719" s="1055"/>
      <c r="J6719" s="1055"/>
      <c r="K6719" s="1205"/>
      <c r="L6719" s="1055"/>
      <c r="M6719" s="1205"/>
      <c r="N6719" s="1054"/>
      <c r="O6719" s="1207"/>
      <c r="Q6719" s="1207"/>
    </row>
    <row r="6720" spans="3:17" s="700" customFormat="1" ht="70.5" hidden="1" customHeight="1">
      <c r="C6720" s="701"/>
      <c r="D6720" s="811"/>
      <c r="E6720" s="1276">
        <f>[11]building!Y7051</f>
        <v>0</v>
      </c>
      <c r="F6720" s="748">
        <f t="shared" ref="F6720:F6783" si="344">E6720*C6720</f>
        <v>0</v>
      </c>
      <c r="G6720" s="1205"/>
      <c r="H6720" s="1055"/>
      <c r="I6720" s="1055"/>
      <c r="J6720" s="1055"/>
      <c r="K6720" s="1205"/>
      <c r="L6720" s="1055"/>
      <c r="M6720" s="1205"/>
      <c r="N6720" s="1054"/>
      <c r="O6720" s="1207"/>
      <c r="Q6720" s="1207"/>
    </row>
    <row r="6721" spans="3:17" s="700" customFormat="1" ht="70.5" hidden="1" customHeight="1">
      <c r="C6721" s="701"/>
      <c r="D6721" s="811"/>
      <c r="E6721" s="1276">
        <f>[11]building!Y7052</f>
        <v>0</v>
      </c>
      <c r="F6721" s="748">
        <f t="shared" si="344"/>
        <v>0</v>
      </c>
      <c r="G6721" s="1205"/>
      <c r="H6721" s="1055"/>
      <c r="I6721" s="1055"/>
      <c r="J6721" s="1055"/>
      <c r="K6721" s="1205"/>
      <c r="L6721" s="1055"/>
      <c r="M6721" s="1205"/>
      <c r="N6721" s="1054"/>
      <c r="O6721" s="1207"/>
      <c r="Q6721" s="1207"/>
    </row>
    <row r="6722" spans="3:17" s="700" customFormat="1" ht="70.5" hidden="1" customHeight="1">
      <c r="C6722" s="701"/>
      <c r="D6722" s="811"/>
      <c r="E6722" s="1276">
        <f>[11]building!Y7053</f>
        <v>0</v>
      </c>
      <c r="F6722" s="748">
        <f t="shared" si="344"/>
        <v>0</v>
      </c>
      <c r="G6722" s="1205"/>
      <c r="H6722" s="1055"/>
      <c r="I6722" s="1055"/>
      <c r="J6722" s="1055"/>
      <c r="K6722" s="1205"/>
      <c r="L6722" s="1055"/>
      <c r="M6722" s="1205"/>
      <c r="N6722" s="1054"/>
      <c r="O6722" s="1207"/>
      <c r="Q6722" s="1207"/>
    </row>
    <row r="6723" spans="3:17" s="700" customFormat="1" ht="70.5" hidden="1" customHeight="1">
      <c r="C6723" s="701"/>
      <c r="D6723" s="811"/>
      <c r="E6723" s="1276">
        <f>[11]building!Y7054</f>
        <v>0</v>
      </c>
      <c r="F6723" s="748">
        <f t="shared" si="344"/>
        <v>0</v>
      </c>
      <c r="G6723" s="1205"/>
      <c r="H6723" s="1055"/>
      <c r="I6723" s="1055"/>
      <c r="J6723" s="1055"/>
      <c r="K6723" s="1205"/>
      <c r="L6723" s="1055"/>
      <c r="M6723" s="1205"/>
      <c r="N6723" s="1054"/>
      <c r="O6723" s="1207"/>
      <c r="Q6723" s="1207"/>
    </row>
    <row r="6724" spans="3:17" s="700" customFormat="1" ht="70.5" hidden="1" customHeight="1">
      <c r="C6724" s="701"/>
      <c r="D6724" s="811"/>
      <c r="E6724" s="1276">
        <f>[11]building!Y7055</f>
        <v>0</v>
      </c>
      <c r="F6724" s="748">
        <f t="shared" si="344"/>
        <v>0</v>
      </c>
      <c r="G6724" s="1205"/>
      <c r="H6724" s="1055"/>
      <c r="I6724" s="1055"/>
      <c r="J6724" s="1055"/>
      <c r="K6724" s="1205"/>
      <c r="L6724" s="1055"/>
      <c r="M6724" s="1205"/>
      <c r="N6724" s="1054"/>
      <c r="O6724" s="1207"/>
      <c r="Q6724" s="1207"/>
    </row>
    <row r="6725" spans="3:17" s="700" customFormat="1" ht="70.5" hidden="1" customHeight="1">
      <c r="C6725" s="701"/>
      <c r="D6725" s="811"/>
      <c r="E6725" s="1276">
        <f>[11]building!Y7056</f>
        <v>0</v>
      </c>
      <c r="F6725" s="748">
        <f t="shared" si="344"/>
        <v>0</v>
      </c>
      <c r="G6725" s="1205"/>
      <c r="H6725" s="1055"/>
      <c r="I6725" s="1055"/>
      <c r="J6725" s="1055"/>
      <c r="K6725" s="1205"/>
      <c r="L6725" s="1055"/>
      <c r="M6725" s="1205"/>
      <c r="N6725" s="1054"/>
      <c r="O6725" s="1207"/>
      <c r="Q6725" s="1207"/>
    </row>
    <row r="6726" spans="3:17" s="700" customFormat="1" ht="70.5" hidden="1" customHeight="1">
      <c r="C6726" s="701"/>
      <c r="D6726" s="811"/>
      <c r="E6726" s="1276">
        <f>[11]building!Y7057</f>
        <v>0</v>
      </c>
      <c r="F6726" s="748">
        <f t="shared" si="344"/>
        <v>0</v>
      </c>
      <c r="G6726" s="1205"/>
      <c r="H6726" s="1055"/>
      <c r="I6726" s="1055"/>
      <c r="J6726" s="1055"/>
      <c r="K6726" s="1205"/>
      <c r="L6726" s="1055"/>
      <c r="M6726" s="1205"/>
      <c r="N6726" s="1054"/>
      <c r="O6726" s="1207"/>
      <c r="Q6726" s="1207"/>
    </row>
    <row r="6727" spans="3:17" s="700" customFormat="1" ht="70.5" hidden="1" customHeight="1">
      <c r="C6727" s="701"/>
      <c r="D6727" s="811"/>
      <c r="E6727" s="1276">
        <f>[11]building!Y7058</f>
        <v>0</v>
      </c>
      <c r="F6727" s="748">
        <f t="shared" si="344"/>
        <v>0</v>
      </c>
      <c r="G6727" s="1205"/>
      <c r="H6727" s="1055"/>
      <c r="I6727" s="1055"/>
      <c r="J6727" s="1055"/>
      <c r="K6727" s="1205"/>
      <c r="L6727" s="1055"/>
      <c r="M6727" s="1205"/>
      <c r="N6727" s="1054"/>
      <c r="O6727" s="1207"/>
      <c r="Q6727" s="1207"/>
    </row>
    <row r="6728" spans="3:17" s="700" customFormat="1" ht="70.5" hidden="1" customHeight="1">
      <c r="C6728" s="701"/>
      <c r="D6728" s="811"/>
      <c r="E6728" s="1276">
        <f>[11]building!Y7059</f>
        <v>0</v>
      </c>
      <c r="F6728" s="748">
        <f t="shared" si="344"/>
        <v>0</v>
      </c>
      <c r="G6728" s="1205"/>
      <c r="H6728" s="1055"/>
      <c r="I6728" s="1055"/>
      <c r="J6728" s="1055"/>
      <c r="K6728" s="1205"/>
      <c r="L6728" s="1055"/>
      <c r="M6728" s="1205"/>
      <c r="N6728" s="1054"/>
      <c r="O6728" s="1207"/>
      <c r="Q6728" s="1207"/>
    </row>
    <row r="6729" spans="3:17" s="700" customFormat="1" ht="70.5" hidden="1" customHeight="1">
      <c r="C6729" s="701"/>
      <c r="D6729" s="811"/>
      <c r="E6729" s="1276">
        <f>[11]building!Y7060</f>
        <v>0</v>
      </c>
      <c r="F6729" s="748">
        <f t="shared" si="344"/>
        <v>0</v>
      </c>
      <c r="G6729" s="1205"/>
      <c r="H6729" s="1055"/>
      <c r="I6729" s="1055"/>
      <c r="J6729" s="1055"/>
      <c r="K6729" s="1205"/>
      <c r="L6729" s="1055"/>
      <c r="M6729" s="1205"/>
      <c r="N6729" s="1054"/>
      <c r="O6729" s="1207"/>
      <c r="Q6729" s="1207"/>
    </row>
    <row r="6730" spans="3:17" s="700" customFormat="1" ht="70.5" hidden="1" customHeight="1">
      <c r="C6730" s="701"/>
      <c r="D6730" s="811"/>
      <c r="E6730" s="1276">
        <f>[11]building!Y7061</f>
        <v>0</v>
      </c>
      <c r="F6730" s="748">
        <f t="shared" si="344"/>
        <v>0</v>
      </c>
      <c r="G6730" s="1205"/>
      <c r="H6730" s="1055"/>
      <c r="I6730" s="1055"/>
      <c r="J6730" s="1055"/>
      <c r="K6730" s="1205"/>
      <c r="L6730" s="1055"/>
      <c r="M6730" s="1205"/>
      <c r="N6730" s="1054"/>
      <c r="O6730" s="1207"/>
      <c r="Q6730" s="1207"/>
    </row>
    <row r="6731" spans="3:17" s="700" customFormat="1" ht="70.5" hidden="1" customHeight="1">
      <c r="C6731" s="701"/>
      <c r="D6731" s="811"/>
      <c r="E6731" s="1276">
        <f>[11]building!Y7062</f>
        <v>0</v>
      </c>
      <c r="F6731" s="748">
        <f t="shared" si="344"/>
        <v>0</v>
      </c>
      <c r="G6731" s="1205"/>
      <c r="H6731" s="1055"/>
      <c r="I6731" s="1055"/>
      <c r="J6731" s="1055"/>
      <c r="K6731" s="1205"/>
      <c r="L6731" s="1055"/>
      <c r="M6731" s="1205"/>
      <c r="N6731" s="1054"/>
      <c r="O6731" s="1207"/>
      <c r="Q6731" s="1207"/>
    </row>
    <row r="6732" spans="3:17" s="700" customFormat="1" ht="70.5" hidden="1" customHeight="1">
      <c r="C6732" s="701"/>
      <c r="D6732" s="811"/>
      <c r="E6732" s="1276">
        <f>[11]building!Y7063</f>
        <v>0</v>
      </c>
      <c r="F6732" s="748">
        <f t="shared" si="344"/>
        <v>0</v>
      </c>
      <c r="G6732" s="1205"/>
      <c r="H6732" s="1055"/>
      <c r="I6732" s="1055"/>
      <c r="J6732" s="1055"/>
      <c r="K6732" s="1205"/>
      <c r="L6732" s="1055"/>
      <c r="M6732" s="1205"/>
      <c r="N6732" s="1054"/>
      <c r="O6732" s="1207"/>
      <c r="Q6732" s="1207"/>
    </row>
    <row r="6733" spans="3:17" s="700" customFormat="1" ht="70.5" hidden="1" customHeight="1">
      <c r="C6733" s="701"/>
      <c r="D6733" s="811"/>
      <c r="E6733" s="1276">
        <f>[11]building!Y7064</f>
        <v>0</v>
      </c>
      <c r="F6733" s="748">
        <f t="shared" si="344"/>
        <v>0</v>
      </c>
      <c r="G6733" s="1205"/>
      <c r="H6733" s="1055"/>
      <c r="I6733" s="1055"/>
      <c r="J6733" s="1055"/>
      <c r="K6733" s="1205"/>
      <c r="L6733" s="1055"/>
      <c r="M6733" s="1205"/>
      <c r="N6733" s="1054"/>
      <c r="O6733" s="1207"/>
      <c r="Q6733" s="1207"/>
    </row>
    <row r="6734" spans="3:17" s="700" customFormat="1" ht="70.5" hidden="1" customHeight="1">
      <c r="C6734" s="701"/>
      <c r="D6734" s="811"/>
      <c r="E6734" s="1276">
        <f>[11]building!Y7065</f>
        <v>0</v>
      </c>
      <c r="F6734" s="748">
        <f t="shared" si="344"/>
        <v>0</v>
      </c>
      <c r="G6734" s="1205"/>
      <c r="H6734" s="1055"/>
      <c r="I6734" s="1055"/>
      <c r="J6734" s="1055"/>
      <c r="K6734" s="1205"/>
      <c r="L6734" s="1055"/>
      <c r="M6734" s="1205"/>
      <c r="N6734" s="1054"/>
      <c r="O6734" s="1207"/>
      <c r="Q6734" s="1207"/>
    </row>
    <row r="6735" spans="3:17" s="700" customFormat="1" ht="70.5" hidden="1" customHeight="1">
      <c r="C6735" s="701"/>
      <c r="D6735" s="811"/>
      <c r="E6735" s="1276">
        <f>[11]building!Y7066</f>
        <v>0</v>
      </c>
      <c r="F6735" s="748">
        <f t="shared" si="344"/>
        <v>0</v>
      </c>
      <c r="G6735" s="1205"/>
      <c r="H6735" s="1055"/>
      <c r="I6735" s="1055"/>
      <c r="J6735" s="1055"/>
      <c r="K6735" s="1205"/>
      <c r="L6735" s="1055"/>
      <c r="M6735" s="1205"/>
      <c r="N6735" s="1054"/>
      <c r="O6735" s="1207"/>
      <c r="Q6735" s="1207"/>
    </row>
    <row r="6736" spans="3:17" s="700" customFormat="1" ht="70.5" hidden="1" customHeight="1">
      <c r="C6736" s="701"/>
      <c r="D6736" s="811"/>
      <c r="E6736" s="1276">
        <f>[11]building!Y7067</f>
        <v>0</v>
      </c>
      <c r="F6736" s="748">
        <f t="shared" si="344"/>
        <v>0</v>
      </c>
      <c r="G6736" s="1205"/>
      <c r="H6736" s="1055"/>
      <c r="I6736" s="1055"/>
      <c r="J6736" s="1055"/>
      <c r="K6736" s="1205"/>
      <c r="L6736" s="1055"/>
      <c r="M6736" s="1205"/>
      <c r="N6736" s="1054"/>
      <c r="O6736" s="1207"/>
      <c r="Q6736" s="1207"/>
    </row>
    <row r="6737" spans="3:17" s="700" customFormat="1" ht="70.5" hidden="1" customHeight="1">
      <c r="C6737" s="701"/>
      <c r="D6737" s="811"/>
      <c r="E6737" s="1276">
        <f>[11]building!Y7068</f>
        <v>0</v>
      </c>
      <c r="F6737" s="748">
        <f t="shared" si="344"/>
        <v>0</v>
      </c>
      <c r="G6737" s="1205"/>
      <c r="H6737" s="1055"/>
      <c r="I6737" s="1055"/>
      <c r="J6737" s="1055"/>
      <c r="K6737" s="1205"/>
      <c r="L6737" s="1055"/>
      <c r="M6737" s="1205"/>
      <c r="N6737" s="1054"/>
      <c r="O6737" s="1207"/>
      <c r="Q6737" s="1207"/>
    </row>
    <row r="6738" spans="3:17" s="700" customFormat="1" ht="70.5" hidden="1" customHeight="1">
      <c r="C6738" s="701"/>
      <c r="D6738" s="811"/>
      <c r="E6738" s="1276">
        <f>[11]building!Y7069</f>
        <v>0</v>
      </c>
      <c r="F6738" s="748">
        <f t="shared" si="344"/>
        <v>0</v>
      </c>
      <c r="G6738" s="1205"/>
      <c r="H6738" s="1055"/>
      <c r="I6738" s="1055"/>
      <c r="J6738" s="1055"/>
      <c r="K6738" s="1205"/>
      <c r="L6738" s="1055"/>
      <c r="M6738" s="1205"/>
      <c r="N6738" s="1054"/>
      <c r="O6738" s="1207"/>
      <c r="Q6738" s="1207"/>
    </row>
    <row r="6739" spans="3:17" s="700" customFormat="1" ht="70.5" hidden="1" customHeight="1">
      <c r="C6739" s="701"/>
      <c r="D6739" s="811"/>
      <c r="E6739" s="1276">
        <f>[11]building!Y7070</f>
        <v>0</v>
      </c>
      <c r="F6739" s="748">
        <f t="shared" si="344"/>
        <v>0</v>
      </c>
      <c r="G6739" s="1205"/>
      <c r="H6739" s="1055"/>
      <c r="I6739" s="1055"/>
      <c r="J6739" s="1055"/>
      <c r="K6739" s="1205"/>
      <c r="L6739" s="1055"/>
      <c r="M6739" s="1205"/>
      <c r="N6739" s="1054"/>
      <c r="O6739" s="1207"/>
      <c r="Q6739" s="1207"/>
    </row>
    <row r="6740" spans="3:17" s="700" customFormat="1" ht="70.5" hidden="1" customHeight="1">
      <c r="C6740" s="701"/>
      <c r="D6740" s="811"/>
      <c r="E6740" s="1276">
        <f>[11]building!Y7071</f>
        <v>0</v>
      </c>
      <c r="F6740" s="748">
        <f t="shared" si="344"/>
        <v>0</v>
      </c>
      <c r="G6740" s="1205"/>
      <c r="H6740" s="1055"/>
      <c r="I6740" s="1055"/>
      <c r="J6740" s="1055"/>
      <c r="K6740" s="1205"/>
      <c r="L6740" s="1055"/>
      <c r="M6740" s="1205"/>
      <c r="N6740" s="1054"/>
      <c r="O6740" s="1207"/>
      <c r="Q6740" s="1207"/>
    </row>
    <row r="6741" spans="3:17" s="700" customFormat="1" ht="70.5" hidden="1" customHeight="1">
      <c r="C6741" s="701"/>
      <c r="D6741" s="811"/>
      <c r="E6741" s="1276">
        <f>[11]building!Y7072</f>
        <v>0</v>
      </c>
      <c r="F6741" s="748">
        <f t="shared" si="344"/>
        <v>0</v>
      </c>
      <c r="G6741" s="1205"/>
      <c r="H6741" s="1055"/>
      <c r="I6741" s="1055"/>
      <c r="J6741" s="1055"/>
      <c r="K6741" s="1205"/>
      <c r="L6741" s="1055"/>
      <c r="M6741" s="1205"/>
      <c r="N6741" s="1054"/>
      <c r="O6741" s="1207"/>
      <c r="Q6741" s="1207"/>
    </row>
    <row r="6742" spans="3:17" s="700" customFormat="1" ht="70.5" hidden="1" customHeight="1">
      <c r="C6742" s="701"/>
      <c r="D6742" s="811"/>
      <c r="E6742" s="1276">
        <f>[11]building!Y7073</f>
        <v>0</v>
      </c>
      <c r="F6742" s="748">
        <f t="shared" si="344"/>
        <v>0</v>
      </c>
      <c r="G6742" s="1205"/>
      <c r="H6742" s="1055"/>
      <c r="I6742" s="1055"/>
      <c r="J6742" s="1055"/>
      <c r="K6742" s="1205"/>
      <c r="L6742" s="1055"/>
      <c r="M6742" s="1205"/>
      <c r="N6742" s="1054"/>
      <c r="O6742" s="1207"/>
      <c r="Q6742" s="1207"/>
    </row>
    <row r="6743" spans="3:17" s="700" customFormat="1" ht="70.5" hidden="1" customHeight="1">
      <c r="C6743" s="701"/>
      <c r="D6743" s="811"/>
      <c r="E6743" s="1276">
        <f>[11]building!Y7074</f>
        <v>0</v>
      </c>
      <c r="F6743" s="748">
        <f t="shared" si="344"/>
        <v>0</v>
      </c>
      <c r="G6743" s="1205"/>
      <c r="H6743" s="1055"/>
      <c r="I6743" s="1055"/>
      <c r="J6743" s="1055"/>
      <c r="K6743" s="1205"/>
      <c r="L6743" s="1055"/>
      <c r="M6743" s="1205"/>
      <c r="N6743" s="1054"/>
      <c r="O6743" s="1207"/>
      <c r="Q6743" s="1207"/>
    </row>
    <row r="6744" spans="3:17" s="700" customFormat="1" ht="70.5" hidden="1" customHeight="1">
      <c r="C6744" s="701"/>
      <c r="D6744" s="811"/>
      <c r="E6744" s="1276">
        <f>[11]building!Y7075</f>
        <v>0</v>
      </c>
      <c r="F6744" s="748">
        <f t="shared" si="344"/>
        <v>0</v>
      </c>
      <c r="G6744" s="1205"/>
      <c r="H6744" s="1055"/>
      <c r="I6744" s="1055"/>
      <c r="J6744" s="1055"/>
      <c r="K6744" s="1205"/>
      <c r="L6744" s="1055"/>
      <c r="M6744" s="1205"/>
      <c r="N6744" s="1054"/>
      <c r="O6744" s="1207"/>
      <c r="Q6744" s="1207"/>
    </row>
    <row r="6745" spans="3:17" s="700" customFormat="1" ht="70.5" hidden="1" customHeight="1">
      <c r="C6745" s="701"/>
      <c r="D6745" s="811"/>
      <c r="E6745" s="1276">
        <f>[11]building!Y7076</f>
        <v>0</v>
      </c>
      <c r="F6745" s="748">
        <f t="shared" si="344"/>
        <v>0</v>
      </c>
      <c r="G6745" s="1205"/>
      <c r="H6745" s="1055"/>
      <c r="I6745" s="1055"/>
      <c r="J6745" s="1055"/>
      <c r="K6745" s="1205"/>
      <c r="L6745" s="1055"/>
      <c r="M6745" s="1205"/>
      <c r="N6745" s="1054"/>
      <c r="O6745" s="1207"/>
      <c r="Q6745" s="1207"/>
    </row>
    <row r="6746" spans="3:17" s="700" customFormat="1" ht="70.5" hidden="1" customHeight="1">
      <c r="C6746" s="701"/>
      <c r="D6746" s="811"/>
      <c r="E6746" s="1276">
        <f>[11]building!Y7077</f>
        <v>0</v>
      </c>
      <c r="F6746" s="748">
        <f t="shared" si="344"/>
        <v>0</v>
      </c>
      <c r="G6746" s="1205"/>
      <c r="H6746" s="1055"/>
      <c r="I6746" s="1055"/>
      <c r="J6746" s="1055"/>
      <c r="K6746" s="1205"/>
      <c r="L6746" s="1055"/>
      <c r="M6746" s="1205"/>
      <c r="N6746" s="1054"/>
      <c r="O6746" s="1207"/>
      <c r="Q6746" s="1207"/>
    </row>
    <row r="6747" spans="3:17" s="700" customFormat="1" ht="70.5" hidden="1" customHeight="1">
      <c r="C6747" s="701"/>
      <c r="D6747" s="811"/>
      <c r="E6747" s="1276">
        <f>[11]building!Y7078</f>
        <v>0</v>
      </c>
      <c r="F6747" s="748">
        <f t="shared" si="344"/>
        <v>0</v>
      </c>
      <c r="G6747" s="1205"/>
      <c r="H6747" s="1055"/>
      <c r="I6747" s="1055"/>
      <c r="J6747" s="1055"/>
      <c r="K6747" s="1205"/>
      <c r="L6747" s="1055"/>
      <c r="M6747" s="1205"/>
      <c r="N6747" s="1054"/>
      <c r="O6747" s="1207"/>
      <c r="Q6747" s="1207"/>
    </row>
    <row r="6748" spans="3:17" s="700" customFormat="1" ht="70.5" hidden="1" customHeight="1">
      <c r="C6748" s="701"/>
      <c r="D6748" s="811"/>
      <c r="E6748" s="1276">
        <f>[11]building!Y7079</f>
        <v>0</v>
      </c>
      <c r="F6748" s="748">
        <f t="shared" si="344"/>
        <v>0</v>
      </c>
      <c r="G6748" s="1205"/>
      <c r="H6748" s="1055"/>
      <c r="I6748" s="1055"/>
      <c r="J6748" s="1055"/>
      <c r="K6748" s="1205"/>
      <c r="L6748" s="1055"/>
      <c r="M6748" s="1205"/>
      <c r="N6748" s="1054"/>
      <c r="O6748" s="1207"/>
      <c r="Q6748" s="1207"/>
    </row>
    <row r="6749" spans="3:17" s="700" customFormat="1" ht="70.5" hidden="1" customHeight="1">
      <c r="C6749" s="701"/>
      <c r="D6749" s="811"/>
      <c r="E6749" s="1276">
        <f>[11]building!Y7080</f>
        <v>0</v>
      </c>
      <c r="F6749" s="748">
        <f t="shared" si="344"/>
        <v>0</v>
      </c>
      <c r="G6749" s="1205"/>
      <c r="H6749" s="1055"/>
      <c r="I6749" s="1055"/>
      <c r="J6749" s="1055"/>
      <c r="K6749" s="1205"/>
      <c r="L6749" s="1055"/>
      <c r="M6749" s="1205"/>
      <c r="N6749" s="1054"/>
      <c r="O6749" s="1207"/>
      <c r="Q6749" s="1207"/>
    </row>
    <row r="6750" spans="3:17" s="700" customFormat="1" ht="70.5" hidden="1" customHeight="1">
      <c r="C6750" s="701"/>
      <c r="D6750" s="811"/>
      <c r="E6750" s="1276">
        <f>[11]building!Y7081</f>
        <v>0</v>
      </c>
      <c r="F6750" s="748">
        <f t="shared" si="344"/>
        <v>0</v>
      </c>
      <c r="G6750" s="1205"/>
      <c r="H6750" s="1055"/>
      <c r="I6750" s="1055"/>
      <c r="J6750" s="1055"/>
      <c r="K6750" s="1205"/>
      <c r="L6750" s="1055"/>
      <c r="M6750" s="1205"/>
      <c r="N6750" s="1054"/>
      <c r="O6750" s="1207"/>
      <c r="Q6750" s="1207"/>
    </row>
    <row r="6751" spans="3:17" s="700" customFormat="1" ht="70.5" hidden="1" customHeight="1">
      <c r="C6751" s="701"/>
      <c r="D6751" s="811"/>
      <c r="E6751" s="1276">
        <f>[11]building!Y7082</f>
        <v>0</v>
      </c>
      <c r="F6751" s="748">
        <f t="shared" si="344"/>
        <v>0</v>
      </c>
      <c r="G6751" s="1205"/>
      <c r="H6751" s="1055"/>
      <c r="I6751" s="1055"/>
      <c r="J6751" s="1055"/>
      <c r="K6751" s="1205"/>
      <c r="L6751" s="1055"/>
      <c r="M6751" s="1205"/>
      <c r="N6751" s="1054"/>
      <c r="O6751" s="1207"/>
      <c r="Q6751" s="1207"/>
    </row>
    <row r="6752" spans="3:17" s="700" customFormat="1" ht="70.5" hidden="1" customHeight="1">
      <c r="C6752" s="701"/>
      <c r="D6752" s="811"/>
      <c r="E6752" s="1276">
        <f>[11]building!Y7083</f>
        <v>0</v>
      </c>
      <c r="F6752" s="748">
        <f t="shared" si="344"/>
        <v>0</v>
      </c>
      <c r="G6752" s="1205"/>
      <c r="H6752" s="1055"/>
      <c r="I6752" s="1055"/>
      <c r="J6752" s="1055"/>
      <c r="K6752" s="1205"/>
      <c r="L6752" s="1055"/>
      <c r="M6752" s="1205"/>
      <c r="N6752" s="1054"/>
      <c r="O6752" s="1207"/>
      <c r="Q6752" s="1207"/>
    </row>
    <row r="6753" spans="3:17" s="700" customFormat="1" ht="70.5" hidden="1" customHeight="1">
      <c r="C6753" s="701"/>
      <c r="D6753" s="811"/>
      <c r="E6753" s="1276">
        <f>[11]building!Y7084</f>
        <v>0</v>
      </c>
      <c r="F6753" s="748">
        <f t="shared" si="344"/>
        <v>0</v>
      </c>
      <c r="G6753" s="1205"/>
      <c r="H6753" s="1055"/>
      <c r="I6753" s="1055"/>
      <c r="J6753" s="1055"/>
      <c r="K6753" s="1205"/>
      <c r="L6753" s="1055"/>
      <c r="M6753" s="1205"/>
      <c r="N6753" s="1054"/>
      <c r="O6753" s="1207"/>
      <c r="Q6753" s="1207"/>
    </row>
    <row r="6754" spans="3:17" s="700" customFormat="1" ht="70.5" hidden="1" customHeight="1">
      <c r="C6754" s="701"/>
      <c r="D6754" s="811"/>
      <c r="E6754" s="1276">
        <f>[11]building!Y7085</f>
        <v>0</v>
      </c>
      <c r="F6754" s="748">
        <f t="shared" si="344"/>
        <v>0</v>
      </c>
      <c r="G6754" s="1205"/>
      <c r="H6754" s="1055"/>
      <c r="I6754" s="1055"/>
      <c r="J6754" s="1055"/>
      <c r="K6754" s="1205"/>
      <c r="L6754" s="1055"/>
      <c r="M6754" s="1205"/>
      <c r="N6754" s="1054"/>
      <c r="O6754" s="1207"/>
      <c r="Q6754" s="1207"/>
    </row>
    <row r="6755" spans="3:17" s="700" customFormat="1" ht="70.5" hidden="1" customHeight="1">
      <c r="C6755" s="701"/>
      <c r="D6755" s="811"/>
      <c r="E6755" s="1276">
        <f>[11]building!Y7086</f>
        <v>0</v>
      </c>
      <c r="F6755" s="748">
        <f t="shared" si="344"/>
        <v>0</v>
      </c>
      <c r="G6755" s="1205"/>
      <c r="H6755" s="1055"/>
      <c r="I6755" s="1055"/>
      <c r="J6755" s="1055"/>
      <c r="K6755" s="1205"/>
      <c r="L6755" s="1055"/>
      <c r="M6755" s="1205"/>
      <c r="N6755" s="1054"/>
      <c r="O6755" s="1207"/>
      <c r="Q6755" s="1207"/>
    </row>
    <row r="6756" spans="3:17" s="700" customFormat="1" ht="70.5" hidden="1" customHeight="1">
      <c r="C6756" s="701"/>
      <c r="D6756" s="811"/>
      <c r="E6756" s="1276">
        <f>[11]building!Y7087</f>
        <v>0</v>
      </c>
      <c r="F6756" s="748">
        <f t="shared" si="344"/>
        <v>0</v>
      </c>
      <c r="G6756" s="1205"/>
      <c r="H6756" s="1055"/>
      <c r="I6756" s="1055"/>
      <c r="J6756" s="1055"/>
      <c r="K6756" s="1205"/>
      <c r="L6756" s="1055"/>
      <c r="M6756" s="1205"/>
      <c r="N6756" s="1054"/>
      <c r="O6756" s="1207"/>
      <c r="Q6756" s="1207"/>
    </row>
    <row r="6757" spans="3:17" s="700" customFormat="1" ht="70.5" hidden="1" customHeight="1">
      <c r="C6757" s="701"/>
      <c r="D6757" s="811"/>
      <c r="E6757" s="1276">
        <f>[11]building!Y7088</f>
        <v>0</v>
      </c>
      <c r="F6757" s="748">
        <f t="shared" si="344"/>
        <v>0</v>
      </c>
      <c r="G6757" s="1205"/>
      <c r="H6757" s="1055"/>
      <c r="I6757" s="1055"/>
      <c r="J6757" s="1055"/>
      <c r="K6757" s="1205"/>
      <c r="L6757" s="1055"/>
      <c r="M6757" s="1205"/>
      <c r="N6757" s="1054"/>
      <c r="O6757" s="1207"/>
      <c r="Q6757" s="1207"/>
    </row>
    <row r="6758" spans="3:17" s="700" customFormat="1" ht="70.5" hidden="1" customHeight="1">
      <c r="C6758" s="701"/>
      <c r="D6758" s="811"/>
      <c r="E6758" s="1276">
        <f>[11]building!Y7089</f>
        <v>0</v>
      </c>
      <c r="F6758" s="748">
        <f t="shared" si="344"/>
        <v>0</v>
      </c>
      <c r="G6758" s="1205"/>
      <c r="H6758" s="1055"/>
      <c r="I6758" s="1055"/>
      <c r="J6758" s="1055"/>
      <c r="K6758" s="1205"/>
      <c r="L6758" s="1055"/>
      <c r="M6758" s="1205"/>
      <c r="N6758" s="1054"/>
      <c r="O6758" s="1207"/>
      <c r="Q6758" s="1207"/>
    </row>
    <row r="6759" spans="3:17" s="700" customFormat="1" ht="70.5" hidden="1" customHeight="1">
      <c r="C6759" s="701"/>
      <c r="D6759" s="811"/>
      <c r="E6759" s="1276">
        <f>[11]building!Y7090</f>
        <v>0</v>
      </c>
      <c r="F6759" s="748">
        <f t="shared" si="344"/>
        <v>0</v>
      </c>
      <c r="G6759" s="1205"/>
      <c r="H6759" s="1055"/>
      <c r="I6759" s="1055"/>
      <c r="J6759" s="1055"/>
      <c r="K6759" s="1205"/>
      <c r="L6759" s="1055"/>
      <c r="M6759" s="1205"/>
      <c r="N6759" s="1054"/>
      <c r="O6759" s="1207"/>
      <c r="Q6759" s="1207"/>
    </row>
    <row r="6760" spans="3:17" s="700" customFormat="1" ht="70.5" hidden="1" customHeight="1">
      <c r="C6760" s="701"/>
      <c r="D6760" s="811"/>
      <c r="E6760" s="1276">
        <f>[11]building!Y7091</f>
        <v>0</v>
      </c>
      <c r="F6760" s="748">
        <f t="shared" si="344"/>
        <v>0</v>
      </c>
      <c r="G6760" s="1205"/>
      <c r="H6760" s="1055"/>
      <c r="I6760" s="1055"/>
      <c r="J6760" s="1055"/>
      <c r="K6760" s="1205"/>
      <c r="L6760" s="1055"/>
      <c r="M6760" s="1205"/>
      <c r="N6760" s="1054"/>
      <c r="O6760" s="1207"/>
      <c r="Q6760" s="1207"/>
    </row>
    <row r="6761" spans="3:17" s="700" customFormat="1" ht="70.5" hidden="1" customHeight="1">
      <c r="C6761" s="701"/>
      <c r="D6761" s="811"/>
      <c r="E6761" s="1276">
        <f>[11]building!Y7092</f>
        <v>0</v>
      </c>
      <c r="F6761" s="748">
        <f t="shared" si="344"/>
        <v>0</v>
      </c>
      <c r="G6761" s="1205"/>
      <c r="H6761" s="1055"/>
      <c r="I6761" s="1055"/>
      <c r="J6761" s="1055"/>
      <c r="K6761" s="1205"/>
      <c r="L6761" s="1055"/>
      <c r="M6761" s="1205"/>
      <c r="N6761" s="1054"/>
      <c r="O6761" s="1207"/>
      <c r="Q6761" s="1207"/>
    </row>
    <row r="6762" spans="3:17" s="700" customFormat="1" ht="70.5" hidden="1" customHeight="1">
      <c r="C6762" s="701"/>
      <c r="D6762" s="811"/>
      <c r="E6762" s="1276">
        <f>[11]building!Y7093</f>
        <v>0</v>
      </c>
      <c r="F6762" s="748">
        <f t="shared" si="344"/>
        <v>0</v>
      </c>
      <c r="G6762" s="1205"/>
      <c r="H6762" s="1055"/>
      <c r="I6762" s="1055"/>
      <c r="J6762" s="1055"/>
      <c r="K6762" s="1205"/>
      <c r="L6762" s="1055"/>
      <c r="M6762" s="1205"/>
      <c r="N6762" s="1054"/>
      <c r="O6762" s="1207"/>
      <c r="Q6762" s="1207"/>
    </row>
    <row r="6763" spans="3:17" s="700" customFormat="1" ht="70.5" hidden="1" customHeight="1">
      <c r="C6763" s="701"/>
      <c r="D6763" s="811"/>
      <c r="E6763" s="1276">
        <f>[11]building!Y7094</f>
        <v>0</v>
      </c>
      <c r="F6763" s="748">
        <f t="shared" si="344"/>
        <v>0</v>
      </c>
      <c r="G6763" s="1205"/>
      <c r="H6763" s="1055"/>
      <c r="I6763" s="1055"/>
      <c r="J6763" s="1055"/>
      <c r="K6763" s="1205"/>
      <c r="L6763" s="1055"/>
      <c r="M6763" s="1205"/>
      <c r="N6763" s="1054"/>
      <c r="O6763" s="1207"/>
      <c r="Q6763" s="1207"/>
    </row>
    <row r="6764" spans="3:17" s="700" customFormat="1" ht="70.5" hidden="1" customHeight="1">
      <c r="C6764" s="701"/>
      <c r="D6764" s="811"/>
      <c r="E6764" s="1276">
        <f>[11]building!Y7095</f>
        <v>0</v>
      </c>
      <c r="F6764" s="748">
        <f t="shared" si="344"/>
        <v>0</v>
      </c>
      <c r="G6764" s="1205"/>
      <c r="H6764" s="1055"/>
      <c r="I6764" s="1055"/>
      <c r="J6764" s="1055"/>
      <c r="K6764" s="1205"/>
      <c r="L6764" s="1055"/>
      <c r="M6764" s="1205"/>
      <c r="N6764" s="1054"/>
      <c r="O6764" s="1207"/>
      <c r="Q6764" s="1207"/>
    </row>
    <row r="6765" spans="3:17" s="700" customFormat="1" ht="70.5" hidden="1" customHeight="1">
      <c r="C6765" s="701"/>
      <c r="D6765" s="811"/>
      <c r="E6765" s="1276">
        <f>[11]building!Y7096</f>
        <v>0</v>
      </c>
      <c r="F6765" s="748">
        <f t="shared" si="344"/>
        <v>0</v>
      </c>
      <c r="G6765" s="1205"/>
      <c r="H6765" s="1055"/>
      <c r="I6765" s="1055"/>
      <c r="J6765" s="1055"/>
      <c r="K6765" s="1205"/>
      <c r="L6765" s="1055"/>
      <c r="M6765" s="1205"/>
      <c r="N6765" s="1054"/>
      <c r="O6765" s="1207"/>
      <c r="Q6765" s="1207"/>
    </row>
    <row r="6766" spans="3:17" s="700" customFormat="1" ht="70.5" hidden="1" customHeight="1">
      <c r="C6766" s="701"/>
      <c r="D6766" s="811"/>
      <c r="E6766" s="1276">
        <f>[11]building!Y7097</f>
        <v>0</v>
      </c>
      <c r="F6766" s="748">
        <f t="shared" si="344"/>
        <v>0</v>
      </c>
      <c r="G6766" s="1205"/>
      <c r="H6766" s="1055"/>
      <c r="I6766" s="1055"/>
      <c r="J6766" s="1055"/>
      <c r="K6766" s="1205"/>
      <c r="L6766" s="1055"/>
      <c r="M6766" s="1205"/>
      <c r="N6766" s="1054"/>
      <c r="O6766" s="1207"/>
      <c r="Q6766" s="1207"/>
    </row>
    <row r="6767" spans="3:17" s="700" customFormat="1" ht="70.5" hidden="1" customHeight="1">
      <c r="C6767" s="701"/>
      <c r="D6767" s="811"/>
      <c r="E6767" s="1276">
        <f>[11]building!Y7098</f>
        <v>0</v>
      </c>
      <c r="F6767" s="748">
        <f t="shared" si="344"/>
        <v>0</v>
      </c>
      <c r="G6767" s="1205"/>
      <c r="H6767" s="1055"/>
      <c r="I6767" s="1055"/>
      <c r="J6767" s="1055"/>
      <c r="K6767" s="1205"/>
      <c r="L6767" s="1055"/>
      <c r="M6767" s="1205"/>
      <c r="N6767" s="1054"/>
      <c r="O6767" s="1207"/>
      <c r="Q6767" s="1207"/>
    </row>
    <row r="6768" spans="3:17" s="700" customFormat="1" ht="70.5" hidden="1" customHeight="1">
      <c r="C6768" s="701"/>
      <c r="D6768" s="811"/>
      <c r="E6768" s="1276">
        <f>[11]building!Y7099</f>
        <v>0</v>
      </c>
      <c r="F6768" s="748">
        <f t="shared" si="344"/>
        <v>0</v>
      </c>
      <c r="G6768" s="1205"/>
      <c r="H6768" s="1055"/>
      <c r="I6768" s="1055"/>
      <c r="J6768" s="1055"/>
      <c r="K6768" s="1205"/>
      <c r="L6768" s="1055"/>
      <c r="M6768" s="1205"/>
      <c r="N6768" s="1054"/>
      <c r="O6768" s="1207"/>
      <c r="Q6768" s="1207"/>
    </row>
    <row r="6769" spans="3:17" s="700" customFormat="1" ht="70.5" hidden="1" customHeight="1">
      <c r="C6769" s="701"/>
      <c r="D6769" s="811"/>
      <c r="E6769" s="1276">
        <f>[11]building!Y7100</f>
        <v>0</v>
      </c>
      <c r="F6769" s="748">
        <f t="shared" si="344"/>
        <v>0</v>
      </c>
      <c r="G6769" s="1205"/>
      <c r="H6769" s="1055"/>
      <c r="I6769" s="1055"/>
      <c r="J6769" s="1055"/>
      <c r="K6769" s="1205"/>
      <c r="L6769" s="1055"/>
      <c r="M6769" s="1205"/>
      <c r="N6769" s="1054"/>
      <c r="O6769" s="1207"/>
      <c r="Q6769" s="1207"/>
    </row>
    <row r="6770" spans="3:17" s="700" customFormat="1" ht="70.5" hidden="1" customHeight="1">
      <c r="C6770" s="701"/>
      <c r="D6770" s="811"/>
      <c r="E6770" s="1276">
        <f>[11]building!Y7101</f>
        <v>0</v>
      </c>
      <c r="F6770" s="748">
        <f t="shared" si="344"/>
        <v>0</v>
      </c>
      <c r="G6770" s="1205"/>
      <c r="H6770" s="1055"/>
      <c r="I6770" s="1055"/>
      <c r="J6770" s="1055"/>
      <c r="K6770" s="1205"/>
      <c r="L6770" s="1055"/>
      <c r="M6770" s="1205"/>
      <c r="N6770" s="1054"/>
      <c r="O6770" s="1207"/>
      <c r="Q6770" s="1207"/>
    </row>
    <row r="6771" spans="3:17" s="700" customFormat="1" ht="70.5" hidden="1" customHeight="1">
      <c r="C6771" s="701"/>
      <c r="D6771" s="811"/>
      <c r="E6771" s="1276">
        <f>[11]building!Y7102</f>
        <v>0</v>
      </c>
      <c r="F6771" s="748">
        <f t="shared" si="344"/>
        <v>0</v>
      </c>
      <c r="G6771" s="1205"/>
      <c r="H6771" s="1055"/>
      <c r="I6771" s="1055"/>
      <c r="J6771" s="1055"/>
      <c r="K6771" s="1205"/>
      <c r="L6771" s="1055"/>
      <c r="M6771" s="1205"/>
      <c r="N6771" s="1054"/>
      <c r="O6771" s="1207"/>
      <c r="Q6771" s="1207"/>
    </row>
    <row r="6772" spans="3:17" s="700" customFormat="1" ht="70.5" hidden="1" customHeight="1">
      <c r="C6772" s="701"/>
      <c r="D6772" s="811"/>
      <c r="E6772" s="1276">
        <f>[11]building!Y7103</f>
        <v>0</v>
      </c>
      <c r="F6772" s="748">
        <f t="shared" si="344"/>
        <v>0</v>
      </c>
      <c r="G6772" s="1205"/>
      <c r="H6772" s="1055"/>
      <c r="I6772" s="1055"/>
      <c r="J6772" s="1055"/>
      <c r="K6772" s="1205"/>
      <c r="L6772" s="1055"/>
      <c r="M6772" s="1205"/>
      <c r="N6772" s="1054"/>
      <c r="O6772" s="1207"/>
      <c r="Q6772" s="1207"/>
    </row>
    <row r="6773" spans="3:17" s="700" customFormat="1" ht="70.5" hidden="1" customHeight="1">
      <c r="C6773" s="701"/>
      <c r="D6773" s="811"/>
      <c r="E6773" s="1276">
        <f>[11]building!Y7104</f>
        <v>0</v>
      </c>
      <c r="F6773" s="748">
        <f t="shared" si="344"/>
        <v>0</v>
      </c>
      <c r="G6773" s="1205"/>
      <c r="H6773" s="1055"/>
      <c r="I6773" s="1055"/>
      <c r="J6773" s="1055"/>
      <c r="K6773" s="1205"/>
      <c r="L6773" s="1055"/>
      <c r="M6773" s="1205"/>
      <c r="N6773" s="1054"/>
      <c r="O6773" s="1207"/>
      <c r="Q6773" s="1207"/>
    </row>
    <row r="6774" spans="3:17" s="700" customFormat="1" ht="70.5" hidden="1" customHeight="1">
      <c r="C6774" s="701"/>
      <c r="D6774" s="811"/>
      <c r="E6774" s="1276">
        <f>[11]building!Y7105</f>
        <v>0</v>
      </c>
      <c r="F6774" s="748">
        <f t="shared" si="344"/>
        <v>0</v>
      </c>
      <c r="G6774" s="1205"/>
      <c r="H6774" s="1055"/>
      <c r="I6774" s="1055"/>
      <c r="J6774" s="1055"/>
      <c r="K6774" s="1205"/>
      <c r="L6774" s="1055"/>
      <c r="M6774" s="1205"/>
      <c r="N6774" s="1054"/>
      <c r="O6774" s="1207"/>
      <c r="Q6774" s="1207"/>
    </row>
    <row r="6775" spans="3:17" s="700" customFormat="1" ht="70.5" hidden="1" customHeight="1">
      <c r="C6775" s="701"/>
      <c r="D6775" s="811"/>
      <c r="E6775" s="1276">
        <f>[11]building!Y7106</f>
        <v>0</v>
      </c>
      <c r="F6775" s="748">
        <f t="shared" si="344"/>
        <v>0</v>
      </c>
      <c r="G6775" s="1205"/>
      <c r="H6775" s="1055"/>
      <c r="I6775" s="1055"/>
      <c r="J6775" s="1055"/>
      <c r="K6775" s="1205"/>
      <c r="L6775" s="1055"/>
      <c r="M6775" s="1205"/>
      <c r="N6775" s="1054"/>
      <c r="O6775" s="1207"/>
      <c r="Q6775" s="1207"/>
    </row>
    <row r="6776" spans="3:17" s="700" customFormat="1" ht="70.5" hidden="1" customHeight="1">
      <c r="C6776" s="701"/>
      <c r="D6776" s="811"/>
      <c r="E6776" s="1276">
        <f>[11]building!Y7107</f>
        <v>0</v>
      </c>
      <c r="F6776" s="748">
        <f t="shared" si="344"/>
        <v>0</v>
      </c>
      <c r="G6776" s="1205"/>
      <c r="H6776" s="1055"/>
      <c r="I6776" s="1055"/>
      <c r="J6776" s="1055"/>
      <c r="K6776" s="1205"/>
      <c r="L6776" s="1055"/>
      <c r="M6776" s="1205"/>
      <c r="N6776" s="1054"/>
      <c r="O6776" s="1207"/>
      <c r="Q6776" s="1207"/>
    </row>
    <row r="6777" spans="3:17" s="700" customFormat="1" ht="70.5" hidden="1" customHeight="1">
      <c r="C6777" s="701"/>
      <c r="D6777" s="811"/>
      <c r="E6777" s="1276">
        <f>[11]building!Y7108</f>
        <v>0</v>
      </c>
      <c r="F6777" s="748">
        <f t="shared" si="344"/>
        <v>0</v>
      </c>
      <c r="G6777" s="1205"/>
      <c r="H6777" s="1055"/>
      <c r="I6777" s="1055"/>
      <c r="J6777" s="1055"/>
      <c r="K6777" s="1205"/>
      <c r="L6777" s="1055"/>
      <c r="M6777" s="1205"/>
      <c r="N6777" s="1054"/>
      <c r="O6777" s="1207"/>
      <c r="Q6777" s="1207"/>
    </row>
    <row r="6778" spans="3:17" s="700" customFormat="1" ht="70.5" hidden="1" customHeight="1">
      <c r="C6778" s="701"/>
      <c r="D6778" s="811"/>
      <c r="E6778" s="1276">
        <f>[11]building!Y7109</f>
        <v>0</v>
      </c>
      <c r="F6778" s="748">
        <f t="shared" si="344"/>
        <v>0</v>
      </c>
      <c r="G6778" s="1205"/>
      <c r="H6778" s="1055"/>
      <c r="I6778" s="1055"/>
      <c r="J6778" s="1055"/>
      <c r="K6778" s="1205"/>
      <c r="L6778" s="1055"/>
      <c r="M6778" s="1205"/>
      <c r="N6778" s="1054"/>
      <c r="O6778" s="1207"/>
      <c r="Q6778" s="1207"/>
    </row>
    <row r="6779" spans="3:17" s="700" customFormat="1" ht="70.5" hidden="1" customHeight="1">
      <c r="C6779" s="701"/>
      <c r="D6779" s="811"/>
      <c r="E6779" s="1276">
        <f>[11]building!Y7110</f>
        <v>0</v>
      </c>
      <c r="F6779" s="748">
        <f t="shared" si="344"/>
        <v>0</v>
      </c>
      <c r="G6779" s="1205"/>
      <c r="H6779" s="1055"/>
      <c r="I6779" s="1055"/>
      <c r="J6779" s="1055"/>
      <c r="K6779" s="1205"/>
      <c r="L6779" s="1055"/>
      <c r="M6779" s="1205"/>
      <c r="N6779" s="1054"/>
      <c r="O6779" s="1207"/>
      <c r="Q6779" s="1207"/>
    </row>
    <row r="6780" spans="3:17" s="700" customFormat="1" ht="70.5" hidden="1" customHeight="1">
      <c r="C6780" s="701"/>
      <c r="D6780" s="811"/>
      <c r="E6780" s="1276">
        <f>[11]building!Y7111</f>
        <v>0</v>
      </c>
      <c r="F6780" s="748">
        <f t="shared" si="344"/>
        <v>0</v>
      </c>
      <c r="G6780" s="1205"/>
      <c r="H6780" s="1055"/>
      <c r="I6780" s="1055"/>
      <c r="J6780" s="1055"/>
      <c r="K6780" s="1205"/>
      <c r="L6780" s="1055"/>
      <c r="M6780" s="1205"/>
      <c r="N6780" s="1054"/>
      <c r="O6780" s="1207"/>
      <c r="Q6780" s="1207"/>
    </row>
    <row r="6781" spans="3:17" s="700" customFormat="1" ht="70.5" hidden="1" customHeight="1">
      <c r="C6781" s="701"/>
      <c r="D6781" s="811"/>
      <c r="E6781" s="1276">
        <f>[11]building!Y7112</f>
        <v>0</v>
      </c>
      <c r="F6781" s="748">
        <f t="shared" si="344"/>
        <v>0</v>
      </c>
      <c r="G6781" s="1205"/>
      <c r="H6781" s="1055"/>
      <c r="I6781" s="1055"/>
      <c r="J6781" s="1055"/>
      <c r="K6781" s="1205"/>
      <c r="L6781" s="1055"/>
      <c r="M6781" s="1205"/>
      <c r="N6781" s="1054"/>
      <c r="O6781" s="1207"/>
      <c r="Q6781" s="1207"/>
    </row>
    <row r="6782" spans="3:17" s="700" customFormat="1" ht="70.5" hidden="1" customHeight="1">
      <c r="C6782" s="701"/>
      <c r="D6782" s="811"/>
      <c r="E6782" s="1276">
        <f>[11]building!Y7113</f>
        <v>0</v>
      </c>
      <c r="F6782" s="748">
        <f t="shared" si="344"/>
        <v>0</v>
      </c>
      <c r="G6782" s="1205"/>
      <c r="H6782" s="1055"/>
      <c r="I6782" s="1055"/>
      <c r="J6782" s="1055"/>
      <c r="K6782" s="1205"/>
      <c r="L6782" s="1055"/>
      <c r="M6782" s="1205"/>
      <c r="N6782" s="1054"/>
      <c r="O6782" s="1207"/>
      <c r="Q6782" s="1207"/>
    </row>
    <row r="6783" spans="3:17" s="700" customFormat="1" ht="70.5" hidden="1" customHeight="1">
      <c r="C6783" s="701"/>
      <c r="D6783" s="811"/>
      <c r="E6783" s="1276">
        <f>[11]building!Y7114</f>
        <v>0</v>
      </c>
      <c r="F6783" s="748">
        <f t="shared" si="344"/>
        <v>0</v>
      </c>
      <c r="G6783" s="1205"/>
      <c r="H6783" s="1055"/>
      <c r="I6783" s="1055"/>
      <c r="J6783" s="1055"/>
      <c r="K6783" s="1205"/>
      <c r="L6783" s="1055"/>
      <c r="M6783" s="1205"/>
      <c r="N6783" s="1054"/>
      <c r="O6783" s="1207"/>
      <c r="Q6783" s="1207"/>
    </row>
    <row r="6784" spans="3:17" s="700" customFormat="1" ht="70.5" hidden="1" customHeight="1">
      <c r="C6784" s="701"/>
      <c r="D6784" s="811"/>
      <c r="E6784" s="1276">
        <f>[11]building!Y7115</f>
        <v>0</v>
      </c>
      <c r="F6784" s="748">
        <f t="shared" ref="F6784:F6847" si="345">E6784*C6784</f>
        <v>0</v>
      </c>
      <c r="G6784" s="1205"/>
      <c r="H6784" s="1055"/>
      <c r="I6784" s="1055"/>
      <c r="J6784" s="1055"/>
      <c r="K6784" s="1205"/>
      <c r="L6784" s="1055"/>
      <c r="M6784" s="1205"/>
      <c r="N6784" s="1054"/>
      <c r="O6784" s="1207"/>
      <c r="Q6784" s="1207"/>
    </row>
    <row r="6785" spans="3:17" s="700" customFormat="1" ht="70.5" hidden="1" customHeight="1">
      <c r="C6785" s="701"/>
      <c r="D6785" s="811"/>
      <c r="E6785" s="1276">
        <f>[11]building!Y7116</f>
        <v>0</v>
      </c>
      <c r="F6785" s="748">
        <f t="shared" si="345"/>
        <v>0</v>
      </c>
      <c r="G6785" s="1205"/>
      <c r="H6785" s="1055"/>
      <c r="I6785" s="1055"/>
      <c r="J6785" s="1055"/>
      <c r="K6785" s="1205"/>
      <c r="L6785" s="1055"/>
      <c r="M6785" s="1205"/>
      <c r="N6785" s="1054"/>
      <c r="O6785" s="1207"/>
      <c r="Q6785" s="1207"/>
    </row>
    <row r="6786" spans="3:17" s="700" customFormat="1" ht="70.5" hidden="1" customHeight="1">
      <c r="C6786" s="701"/>
      <c r="D6786" s="811"/>
      <c r="E6786" s="1276">
        <f>[11]building!Y7117</f>
        <v>0</v>
      </c>
      <c r="F6786" s="748">
        <f t="shared" si="345"/>
        <v>0</v>
      </c>
      <c r="G6786" s="1205"/>
      <c r="H6786" s="1055"/>
      <c r="I6786" s="1055"/>
      <c r="J6786" s="1055"/>
      <c r="K6786" s="1205"/>
      <c r="L6786" s="1055"/>
      <c r="M6786" s="1205"/>
      <c r="N6786" s="1054"/>
      <c r="O6786" s="1207"/>
      <c r="Q6786" s="1207"/>
    </row>
    <row r="6787" spans="3:17" s="700" customFormat="1" ht="70.5" hidden="1" customHeight="1">
      <c r="C6787" s="701"/>
      <c r="D6787" s="811"/>
      <c r="E6787" s="1276">
        <f>[11]building!Y7118</f>
        <v>0</v>
      </c>
      <c r="F6787" s="748">
        <f t="shared" si="345"/>
        <v>0</v>
      </c>
      <c r="G6787" s="1205"/>
      <c r="H6787" s="1055"/>
      <c r="I6787" s="1055"/>
      <c r="J6787" s="1055"/>
      <c r="K6787" s="1205"/>
      <c r="L6787" s="1055"/>
      <c r="M6787" s="1205"/>
      <c r="N6787" s="1054"/>
      <c r="O6787" s="1207"/>
      <c r="Q6787" s="1207"/>
    </row>
    <row r="6788" spans="3:17" s="700" customFormat="1" ht="70.5" hidden="1" customHeight="1">
      <c r="C6788" s="701"/>
      <c r="D6788" s="811"/>
      <c r="E6788" s="1276">
        <f>[11]building!Y7119</f>
        <v>0</v>
      </c>
      <c r="F6788" s="748">
        <f t="shared" si="345"/>
        <v>0</v>
      </c>
      <c r="G6788" s="1205"/>
      <c r="H6788" s="1055"/>
      <c r="I6788" s="1055"/>
      <c r="J6788" s="1055"/>
      <c r="K6788" s="1205"/>
      <c r="L6788" s="1055"/>
      <c r="M6788" s="1205"/>
      <c r="N6788" s="1054"/>
      <c r="O6788" s="1207"/>
      <c r="Q6788" s="1207"/>
    </row>
    <row r="6789" spans="3:17" s="700" customFormat="1" ht="70.5" hidden="1" customHeight="1">
      <c r="C6789" s="701"/>
      <c r="D6789" s="811"/>
      <c r="E6789" s="1276">
        <f>[11]building!Y7120</f>
        <v>0</v>
      </c>
      <c r="F6789" s="748">
        <f t="shared" si="345"/>
        <v>0</v>
      </c>
      <c r="G6789" s="1205"/>
      <c r="H6789" s="1055"/>
      <c r="I6789" s="1055"/>
      <c r="J6789" s="1055"/>
      <c r="K6789" s="1205"/>
      <c r="L6789" s="1055"/>
      <c r="M6789" s="1205"/>
      <c r="N6789" s="1054"/>
      <c r="O6789" s="1207"/>
      <c r="Q6789" s="1207"/>
    </row>
    <row r="6790" spans="3:17" s="700" customFormat="1" ht="70.5" hidden="1" customHeight="1">
      <c r="C6790" s="701"/>
      <c r="D6790" s="811"/>
      <c r="E6790" s="1276">
        <f>[11]building!Y7121</f>
        <v>0</v>
      </c>
      <c r="F6790" s="748">
        <f t="shared" si="345"/>
        <v>0</v>
      </c>
      <c r="G6790" s="1205"/>
      <c r="H6790" s="1055"/>
      <c r="I6790" s="1055"/>
      <c r="J6790" s="1055"/>
      <c r="K6790" s="1205"/>
      <c r="L6790" s="1055"/>
      <c r="M6790" s="1205"/>
      <c r="N6790" s="1054"/>
      <c r="O6790" s="1207"/>
      <c r="Q6790" s="1207"/>
    </row>
    <row r="6791" spans="3:17" s="700" customFormat="1" ht="70.5" hidden="1" customHeight="1">
      <c r="C6791" s="701"/>
      <c r="D6791" s="811"/>
      <c r="E6791" s="1276">
        <f>[11]building!Y7122</f>
        <v>0</v>
      </c>
      <c r="F6791" s="748">
        <f t="shared" si="345"/>
        <v>0</v>
      </c>
      <c r="G6791" s="1205"/>
      <c r="H6791" s="1055"/>
      <c r="I6791" s="1055"/>
      <c r="J6791" s="1055"/>
      <c r="K6791" s="1205"/>
      <c r="L6791" s="1055"/>
      <c r="M6791" s="1205"/>
      <c r="N6791" s="1054"/>
      <c r="O6791" s="1207"/>
      <c r="Q6791" s="1207"/>
    </row>
    <row r="6792" spans="3:17" s="700" customFormat="1" ht="70.5" hidden="1" customHeight="1">
      <c r="C6792" s="701"/>
      <c r="D6792" s="811"/>
      <c r="E6792" s="1276">
        <f>[11]building!Y7123</f>
        <v>0</v>
      </c>
      <c r="F6792" s="748">
        <f t="shared" si="345"/>
        <v>0</v>
      </c>
      <c r="G6792" s="1205"/>
      <c r="H6792" s="1055"/>
      <c r="I6792" s="1055"/>
      <c r="J6792" s="1055"/>
      <c r="K6792" s="1205"/>
      <c r="L6792" s="1055"/>
      <c r="M6792" s="1205"/>
      <c r="N6792" s="1054"/>
      <c r="O6792" s="1207"/>
      <c r="Q6792" s="1207"/>
    </row>
    <row r="6793" spans="3:17" s="700" customFormat="1" ht="70.5" hidden="1" customHeight="1">
      <c r="C6793" s="701"/>
      <c r="D6793" s="811"/>
      <c r="E6793" s="1276">
        <f>[11]building!Y7124</f>
        <v>0</v>
      </c>
      <c r="F6793" s="748">
        <f t="shared" si="345"/>
        <v>0</v>
      </c>
      <c r="G6793" s="1205"/>
      <c r="H6793" s="1055"/>
      <c r="I6793" s="1055"/>
      <c r="J6793" s="1055"/>
      <c r="K6793" s="1205"/>
      <c r="L6793" s="1055"/>
      <c r="M6793" s="1205"/>
      <c r="N6793" s="1054"/>
      <c r="O6793" s="1207"/>
      <c r="Q6793" s="1207"/>
    </row>
    <row r="6794" spans="3:17" s="700" customFormat="1" ht="70.5" hidden="1" customHeight="1">
      <c r="C6794" s="701"/>
      <c r="D6794" s="811"/>
      <c r="E6794" s="1276">
        <f>[11]building!Y7125</f>
        <v>0</v>
      </c>
      <c r="F6794" s="748">
        <f t="shared" si="345"/>
        <v>0</v>
      </c>
      <c r="G6794" s="1205"/>
      <c r="H6794" s="1055"/>
      <c r="I6794" s="1055"/>
      <c r="J6794" s="1055"/>
      <c r="K6794" s="1205"/>
      <c r="L6794" s="1055"/>
      <c r="M6794" s="1205"/>
      <c r="N6794" s="1054"/>
      <c r="O6794" s="1207"/>
      <c r="Q6794" s="1207"/>
    </row>
    <row r="6795" spans="3:17" s="700" customFormat="1" ht="70.5" hidden="1" customHeight="1">
      <c r="C6795" s="701"/>
      <c r="D6795" s="811"/>
      <c r="E6795" s="1276">
        <f>[11]building!Y7126</f>
        <v>0</v>
      </c>
      <c r="F6795" s="748">
        <f t="shared" si="345"/>
        <v>0</v>
      </c>
      <c r="G6795" s="1205"/>
      <c r="H6795" s="1055"/>
      <c r="I6795" s="1055"/>
      <c r="J6795" s="1055"/>
      <c r="K6795" s="1205"/>
      <c r="L6795" s="1055"/>
      <c r="M6795" s="1205"/>
      <c r="N6795" s="1054"/>
      <c r="O6795" s="1207"/>
      <c r="Q6795" s="1207"/>
    </row>
    <row r="6796" spans="3:17" s="700" customFormat="1" ht="70.5" hidden="1" customHeight="1">
      <c r="C6796" s="701"/>
      <c r="D6796" s="811"/>
      <c r="E6796" s="1276">
        <f>[11]building!Y7127</f>
        <v>0</v>
      </c>
      <c r="F6796" s="748">
        <f t="shared" si="345"/>
        <v>0</v>
      </c>
      <c r="G6796" s="1205"/>
      <c r="H6796" s="1055"/>
      <c r="I6796" s="1055"/>
      <c r="J6796" s="1055"/>
      <c r="K6796" s="1205"/>
      <c r="L6796" s="1055"/>
      <c r="M6796" s="1205"/>
      <c r="N6796" s="1054"/>
      <c r="O6796" s="1207"/>
      <c r="Q6796" s="1207"/>
    </row>
    <row r="6797" spans="3:17" s="700" customFormat="1" ht="70.5" hidden="1" customHeight="1">
      <c r="C6797" s="701"/>
      <c r="D6797" s="811"/>
      <c r="E6797" s="1276">
        <f>[11]building!Y7128</f>
        <v>0</v>
      </c>
      <c r="F6797" s="748">
        <f t="shared" si="345"/>
        <v>0</v>
      </c>
      <c r="G6797" s="1205"/>
      <c r="H6797" s="1055"/>
      <c r="I6797" s="1055"/>
      <c r="J6797" s="1055"/>
      <c r="K6797" s="1205"/>
      <c r="L6797" s="1055"/>
      <c r="M6797" s="1205"/>
      <c r="N6797" s="1054"/>
      <c r="O6797" s="1207"/>
      <c r="Q6797" s="1207"/>
    </row>
    <row r="6798" spans="3:17" s="700" customFormat="1" ht="70.5" hidden="1" customHeight="1">
      <c r="C6798" s="701"/>
      <c r="D6798" s="811"/>
      <c r="E6798" s="1276">
        <f>[11]building!Y7129</f>
        <v>0</v>
      </c>
      <c r="F6798" s="748">
        <f t="shared" si="345"/>
        <v>0</v>
      </c>
      <c r="G6798" s="1205"/>
      <c r="H6798" s="1055"/>
      <c r="I6798" s="1055"/>
      <c r="J6798" s="1055"/>
      <c r="K6798" s="1205"/>
      <c r="L6798" s="1055"/>
      <c r="M6798" s="1205"/>
      <c r="N6798" s="1054"/>
      <c r="O6798" s="1207"/>
      <c r="Q6798" s="1207"/>
    </row>
    <row r="6799" spans="3:17" s="700" customFormat="1" ht="70.5" hidden="1" customHeight="1">
      <c r="C6799" s="701"/>
      <c r="D6799" s="811"/>
      <c r="E6799" s="1276">
        <f>[11]building!Y7130</f>
        <v>0</v>
      </c>
      <c r="F6799" s="748">
        <f t="shared" si="345"/>
        <v>0</v>
      </c>
      <c r="G6799" s="1205"/>
      <c r="H6799" s="1055"/>
      <c r="I6799" s="1055"/>
      <c r="J6799" s="1055"/>
      <c r="K6799" s="1205"/>
      <c r="L6799" s="1055"/>
      <c r="M6799" s="1205"/>
      <c r="N6799" s="1054"/>
      <c r="O6799" s="1207"/>
      <c r="Q6799" s="1207"/>
    </row>
    <row r="6800" spans="3:17" s="700" customFormat="1" ht="70.5" hidden="1" customHeight="1">
      <c r="C6800" s="701"/>
      <c r="D6800" s="811"/>
      <c r="E6800" s="1276">
        <f>[11]building!Y7131</f>
        <v>0</v>
      </c>
      <c r="F6800" s="748">
        <f t="shared" si="345"/>
        <v>0</v>
      </c>
      <c r="G6800" s="1205"/>
      <c r="H6800" s="1055"/>
      <c r="I6800" s="1055"/>
      <c r="J6800" s="1055"/>
      <c r="K6800" s="1205"/>
      <c r="L6800" s="1055"/>
      <c r="M6800" s="1205"/>
      <c r="N6800" s="1054"/>
      <c r="O6800" s="1207"/>
      <c r="Q6800" s="1207"/>
    </row>
    <row r="6801" spans="3:17" s="700" customFormat="1" ht="70.5" hidden="1" customHeight="1">
      <c r="C6801" s="701"/>
      <c r="D6801" s="811"/>
      <c r="E6801" s="1276">
        <f>[11]building!Y7132</f>
        <v>0</v>
      </c>
      <c r="F6801" s="748">
        <f t="shared" si="345"/>
        <v>0</v>
      </c>
      <c r="G6801" s="1205"/>
      <c r="H6801" s="1055"/>
      <c r="I6801" s="1055"/>
      <c r="J6801" s="1055"/>
      <c r="K6801" s="1205"/>
      <c r="L6801" s="1055"/>
      <c r="M6801" s="1205"/>
      <c r="N6801" s="1054"/>
      <c r="O6801" s="1207"/>
      <c r="Q6801" s="1207"/>
    </row>
    <row r="6802" spans="3:17" s="700" customFormat="1" ht="70.5" hidden="1" customHeight="1">
      <c r="C6802" s="701"/>
      <c r="D6802" s="811"/>
      <c r="E6802" s="1276">
        <f>[11]building!Y7133</f>
        <v>0</v>
      </c>
      <c r="F6802" s="748">
        <f t="shared" si="345"/>
        <v>0</v>
      </c>
      <c r="G6802" s="1205"/>
      <c r="H6802" s="1055"/>
      <c r="I6802" s="1055"/>
      <c r="J6802" s="1055"/>
      <c r="K6802" s="1205"/>
      <c r="L6802" s="1055"/>
      <c r="M6802" s="1205"/>
      <c r="N6802" s="1054"/>
      <c r="O6802" s="1207"/>
      <c r="Q6802" s="1207"/>
    </row>
    <row r="6803" spans="3:17" s="700" customFormat="1" ht="70.5" hidden="1" customHeight="1">
      <c r="C6803" s="701"/>
      <c r="D6803" s="811"/>
      <c r="E6803" s="1276">
        <f>[11]building!Y7134</f>
        <v>0</v>
      </c>
      <c r="F6803" s="748">
        <f t="shared" si="345"/>
        <v>0</v>
      </c>
      <c r="G6803" s="1205"/>
      <c r="H6803" s="1055"/>
      <c r="I6803" s="1055"/>
      <c r="J6803" s="1055"/>
      <c r="K6803" s="1205"/>
      <c r="L6803" s="1055"/>
      <c r="M6803" s="1205"/>
      <c r="N6803" s="1054"/>
      <c r="O6803" s="1207"/>
      <c r="Q6803" s="1207"/>
    </row>
    <row r="6804" spans="3:17" s="700" customFormat="1" ht="70.5" hidden="1" customHeight="1">
      <c r="C6804" s="701"/>
      <c r="D6804" s="811"/>
      <c r="E6804" s="1276">
        <f>[11]building!Y7135</f>
        <v>0</v>
      </c>
      <c r="F6804" s="748">
        <f t="shared" si="345"/>
        <v>0</v>
      </c>
      <c r="G6804" s="1205"/>
      <c r="H6804" s="1055"/>
      <c r="I6804" s="1055"/>
      <c r="J6804" s="1055"/>
      <c r="K6804" s="1205"/>
      <c r="L6804" s="1055"/>
      <c r="M6804" s="1205"/>
      <c r="N6804" s="1054"/>
      <c r="O6804" s="1207"/>
      <c r="Q6804" s="1207"/>
    </row>
    <row r="6805" spans="3:17" s="700" customFormat="1" ht="70.5" hidden="1" customHeight="1">
      <c r="C6805" s="701"/>
      <c r="D6805" s="811"/>
      <c r="E6805" s="1276">
        <f>[11]building!Y7136</f>
        <v>0</v>
      </c>
      <c r="F6805" s="748">
        <f t="shared" si="345"/>
        <v>0</v>
      </c>
      <c r="G6805" s="1205"/>
      <c r="H6805" s="1055"/>
      <c r="I6805" s="1055"/>
      <c r="J6805" s="1055"/>
      <c r="K6805" s="1205"/>
      <c r="L6805" s="1055"/>
      <c r="M6805" s="1205"/>
      <c r="N6805" s="1054"/>
      <c r="O6805" s="1207"/>
      <c r="Q6805" s="1207"/>
    </row>
    <row r="6806" spans="3:17" s="700" customFormat="1" ht="70.5" hidden="1" customHeight="1">
      <c r="C6806" s="701"/>
      <c r="D6806" s="811"/>
      <c r="E6806" s="1276">
        <f>[11]building!Y7137</f>
        <v>0</v>
      </c>
      <c r="F6806" s="748">
        <f t="shared" si="345"/>
        <v>0</v>
      </c>
      <c r="G6806" s="1205"/>
      <c r="H6806" s="1055"/>
      <c r="I6806" s="1055"/>
      <c r="J6806" s="1055"/>
      <c r="K6806" s="1205"/>
      <c r="L6806" s="1055"/>
      <c r="M6806" s="1205"/>
      <c r="N6806" s="1054"/>
      <c r="O6806" s="1207"/>
      <c r="Q6806" s="1207"/>
    </row>
    <row r="6807" spans="3:17" s="700" customFormat="1" ht="70.5" hidden="1" customHeight="1">
      <c r="C6807" s="701"/>
      <c r="D6807" s="811"/>
      <c r="E6807" s="1276">
        <f>[11]building!Y7138</f>
        <v>0</v>
      </c>
      <c r="F6807" s="748">
        <f t="shared" si="345"/>
        <v>0</v>
      </c>
      <c r="G6807" s="1205"/>
      <c r="H6807" s="1055"/>
      <c r="I6807" s="1055"/>
      <c r="J6807" s="1055"/>
      <c r="K6807" s="1205"/>
      <c r="L6807" s="1055"/>
      <c r="M6807" s="1205"/>
      <c r="N6807" s="1054"/>
      <c r="O6807" s="1207"/>
      <c r="Q6807" s="1207"/>
    </row>
    <row r="6808" spans="3:17" s="700" customFormat="1" ht="70.5" hidden="1" customHeight="1">
      <c r="C6808" s="701"/>
      <c r="D6808" s="811"/>
      <c r="E6808" s="1276">
        <f>[11]building!Y7139</f>
        <v>0</v>
      </c>
      <c r="F6808" s="748">
        <f t="shared" si="345"/>
        <v>0</v>
      </c>
      <c r="G6808" s="1205"/>
      <c r="H6808" s="1055"/>
      <c r="I6808" s="1055"/>
      <c r="J6808" s="1055"/>
      <c r="K6808" s="1205"/>
      <c r="L6808" s="1055"/>
      <c r="M6808" s="1205"/>
      <c r="N6808" s="1054"/>
      <c r="O6808" s="1207"/>
      <c r="Q6808" s="1207"/>
    </row>
    <row r="6809" spans="3:17" s="700" customFormat="1" ht="70.5" hidden="1" customHeight="1">
      <c r="C6809" s="701"/>
      <c r="D6809" s="811"/>
      <c r="E6809" s="1276">
        <f>[11]building!Y7140</f>
        <v>0</v>
      </c>
      <c r="F6809" s="748">
        <f t="shared" si="345"/>
        <v>0</v>
      </c>
      <c r="G6809" s="1205"/>
      <c r="H6809" s="1055"/>
      <c r="I6809" s="1055"/>
      <c r="J6809" s="1055"/>
      <c r="K6809" s="1205"/>
      <c r="L6809" s="1055"/>
      <c r="M6809" s="1205"/>
      <c r="N6809" s="1054"/>
      <c r="O6809" s="1207"/>
      <c r="Q6809" s="1207"/>
    </row>
    <row r="6810" spans="3:17" s="700" customFormat="1" ht="70.5" hidden="1" customHeight="1">
      <c r="C6810" s="701"/>
      <c r="D6810" s="811"/>
      <c r="E6810" s="1276">
        <f>[11]building!Y7141</f>
        <v>0</v>
      </c>
      <c r="F6810" s="748">
        <f t="shared" si="345"/>
        <v>0</v>
      </c>
      <c r="G6810" s="1205"/>
      <c r="H6810" s="1055"/>
      <c r="I6810" s="1055"/>
      <c r="J6810" s="1055"/>
      <c r="K6810" s="1205"/>
      <c r="L6810" s="1055"/>
      <c r="M6810" s="1205"/>
      <c r="N6810" s="1054"/>
      <c r="O6810" s="1207"/>
      <c r="Q6810" s="1207"/>
    </row>
    <row r="6811" spans="3:17" s="700" customFormat="1" ht="70.5" hidden="1" customHeight="1">
      <c r="C6811" s="701"/>
      <c r="D6811" s="811"/>
      <c r="E6811" s="1276">
        <f>[11]building!Y7142</f>
        <v>0</v>
      </c>
      <c r="F6811" s="748">
        <f t="shared" si="345"/>
        <v>0</v>
      </c>
      <c r="G6811" s="1205"/>
      <c r="H6811" s="1055"/>
      <c r="I6811" s="1055"/>
      <c r="J6811" s="1055"/>
      <c r="K6811" s="1205"/>
      <c r="L6811" s="1055"/>
      <c r="M6811" s="1205"/>
      <c r="N6811" s="1054"/>
      <c r="O6811" s="1207"/>
      <c r="Q6811" s="1207"/>
    </row>
    <row r="6812" spans="3:17" s="700" customFormat="1" ht="70.5" hidden="1" customHeight="1">
      <c r="C6812" s="701"/>
      <c r="D6812" s="811"/>
      <c r="E6812" s="1276">
        <f>[11]building!Y7143</f>
        <v>0</v>
      </c>
      <c r="F6812" s="748">
        <f t="shared" si="345"/>
        <v>0</v>
      </c>
      <c r="G6812" s="1205"/>
      <c r="H6812" s="1055"/>
      <c r="I6812" s="1055"/>
      <c r="J6812" s="1055"/>
      <c r="K6812" s="1205"/>
      <c r="L6812" s="1055"/>
      <c r="M6812" s="1205"/>
      <c r="N6812" s="1054"/>
      <c r="O6812" s="1207"/>
      <c r="Q6812" s="1207"/>
    </row>
    <row r="6813" spans="3:17" s="700" customFormat="1" ht="70.5" hidden="1" customHeight="1">
      <c r="C6813" s="701"/>
      <c r="D6813" s="811"/>
      <c r="E6813" s="1276">
        <f>[11]building!Y7144</f>
        <v>0</v>
      </c>
      <c r="F6813" s="748">
        <f t="shared" si="345"/>
        <v>0</v>
      </c>
      <c r="G6813" s="1205"/>
      <c r="H6813" s="1055"/>
      <c r="I6813" s="1055"/>
      <c r="J6813" s="1055"/>
      <c r="K6813" s="1205"/>
      <c r="L6813" s="1055"/>
      <c r="M6813" s="1205"/>
      <c r="N6813" s="1054"/>
      <c r="O6813" s="1207"/>
      <c r="Q6813" s="1207"/>
    </row>
    <row r="6814" spans="3:17" s="700" customFormat="1" ht="70.5" hidden="1" customHeight="1">
      <c r="C6814" s="701"/>
      <c r="D6814" s="811"/>
      <c r="E6814" s="1276">
        <f>[11]building!Y7145</f>
        <v>0</v>
      </c>
      <c r="F6814" s="748">
        <f t="shared" si="345"/>
        <v>0</v>
      </c>
      <c r="G6814" s="1205"/>
      <c r="H6814" s="1055"/>
      <c r="I6814" s="1055"/>
      <c r="J6814" s="1055"/>
      <c r="K6814" s="1205"/>
      <c r="L6814" s="1055"/>
      <c r="M6814" s="1205"/>
      <c r="N6814" s="1054"/>
      <c r="O6814" s="1207"/>
      <c r="Q6814" s="1207"/>
    </row>
    <row r="6815" spans="3:17" s="700" customFormat="1" ht="70.5" hidden="1" customHeight="1">
      <c r="C6815" s="701"/>
      <c r="D6815" s="811"/>
      <c r="E6815" s="1276">
        <f>[11]building!Y7146</f>
        <v>0</v>
      </c>
      <c r="F6815" s="748">
        <f t="shared" si="345"/>
        <v>0</v>
      </c>
      <c r="G6815" s="1205"/>
      <c r="H6815" s="1055"/>
      <c r="I6815" s="1055"/>
      <c r="J6815" s="1055"/>
      <c r="K6815" s="1205"/>
      <c r="L6815" s="1055"/>
      <c r="M6815" s="1205"/>
      <c r="N6815" s="1054"/>
      <c r="O6815" s="1207"/>
      <c r="Q6815" s="1207"/>
    </row>
    <row r="6816" spans="3:17" s="700" customFormat="1" ht="70.5" hidden="1" customHeight="1">
      <c r="C6816" s="701"/>
      <c r="D6816" s="811"/>
      <c r="E6816" s="1276">
        <f>[11]building!Y7147</f>
        <v>0</v>
      </c>
      <c r="F6816" s="748">
        <f t="shared" si="345"/>
        <v>0</v>
      </c>
      <c r="G6816" s="1205"/>
      <c r="H6816" s="1055"/>
      <c r="I6816" s="1055"/>
      <c r="J6816" s="1055"/>
      <c r="K6816" s="1205"/>
      <c r="L6816" s="1055"/>
      <c r="M6816" s="1205"/>
      <c r="N6816" s="1054"/>
      <c r="O6816" s="1207"/>
      <c r="Q6816" s="1207"/>
    </row>
    <row r="6817" spans="3:17" s="700" customFormat="1" ht="70.5" hidden="1" customHeight="1">
      <c r="C6817" s="701"/>
      <c r="D6817" s="811"/>
      <c r="E6817" s="1276">
        <f>[11]building!Y7148</f>
        <v>0</v>
      </c>
      <c r="F6817" s="748">
        <f t="shared" si="345"/>
        <v>0</v>
      </c>
      <c r="G6817" s="1205"/>
      <c r="H6817" s="1055"/>
      <c r="I6817" s="1055"/>
      <c r="J6817" s="1055"/>
      <c r="K6817" s="1205"/>
      <c r="L6817" s="1055"/>
      <c r="M6817" s="1205"/>
      <c r="N6817" s="1054"/>
      <c r="O6817" s="1207"/>
      <c r="Q6817" s="1207"/>
    </row>
    <row r="6818" spans="3:17" s="700" customFormat="1" ht="70.5" hidden="1" customHeight="1">
      <c r="C6818" s="701"/>
      <c r="D6818" s="811"/>
      <c r="E6818" s="1276">
        <f>[11]building!Y7149</f>
        <v>0</v>
      </c>
      <c r="F6818" s="748">
        <f t="shared" si="345"/>
        <v>0</v>
      </c>
      <c r="G6818" s="1205"/>
      <c r="H6818" s="1055"/>
      <c r="I6818" s="1055"/>
      <c r="J6818" s="1055"/>
      <c r="K6818" s="1205"/>
      <c r="L6818" s="1055"/>
      <c r="M6818" s="1205"/>
      <c r="N6818" s="1054"/>
      <c r="O6818" s="1207"/>
      <c r="Q6818" s="1207"/>
    </row>
    <row r="6819" spans="3:17" s="700" customFormat="1" ht="70.5" hidden="1" customHeight="1">
      <c r="C6819" s="701"/>
      <c r="D6819" s="811"/>
      <c r="E6819" s="1276">
        <f>[11]building!Y7150</f>
        <v>0</v>
      </c>
      <c r="F6819" s="748">
        <f t="shared" si="345"/>
        <v>0</v>
      </c>
      <c r="G6819" s="1205"/>
      <c r="H6819" s="1055"/>
      <c r="I6819" s="1055"/>
      <c r="J6819" s="1055"/>
      <c r="K6819" s="1205"/>
      <c r="L6819" s="1055"/>
      <c r="M6819" s="1205"/>
      <c r="N6819" s="1054"/>
      <c r="O6819" s="1207"/>
      <c r="Q6819" s="1207"/>
    </row>
    <row r="6820" spans="3:17" s="700" customFormat="1" ht="70.5" hidden="1" customHeight="1">
      <c r="C6820" s="701"/>
      <c r="D6820" s="811"/>
      <c r="E6820" s="1276">
        <f>[11]building!Y7151</f>
        <v>0</v>
      </c>
      <c r="F6820" s="748">
        <f t="shared" si="345"/>
        <v>0</v>
      </c>
      <c r="G6820" s="1205"/>
      <c r="H6820" s="1055"/>
      <c r="I6820" s="1055"/>
      <c r="J6820" s="1055"/>
      <c r="K6820" s="1205"/>
      <c r="L6820" s="1055"/>
      <c r="M6820" s="1205"/>
      <c r="N6820" s="1054"/>
      <c r="O6820" s="1207"/>
      <c r="Q6820" s="1207"/>
    </row>
    <row r="6821" spans="3:17" s="700" customFormat="1" ht="70.5" hidden="1" customHeight="1">
      <c r="C6821" s="701"/>
      <c r="D6821" s="811"/>
      <c r="E6821" s="1276">
        <f>[11]building!Y7152</f>
        <v>0</v>
      </c>
      <c r="F6821" s="748">
        <f t="shared" si="345"/>
        <v>0</v>
      </c>
      <c r="G6821" s="1205"/>
      <c r="H6821" s="1055"/>
      <c r="I6821" s="1055"/>
      <c r="J6821" s="1055"/>
      <c r="K6821" s="1205"/>
      <c r="L6821" s="1055"/>
      <c r="M6821" s="1205"/>
      <c r="N6821" s="1054"/>
      <c r="O6821" s="1207"/>
      <c r="Q6821" s="1207"/>
    </row>
    <row r="6822" spans="3:17" s="700" customFormat="1" ht="70.5" hidden="1" customHeight="1">
      <c r="C6822" s="701"/>
      <c r="D6822" s="811"/>
      <c r="E6822" s="1276">
        <f>[11]building!Y7153</f>
        <v>0</v>
      </c>
      <c r="F6822" s="748">
        <f t="shared" si="345"/>
        <v>0</v>
      </c>
      <c r="G6822" s="1205"/>
      <c r="H6822" s="1055"/>
      <c r="I6822" s="1055"/>
      <c r="J6822" s="1055"/>
      <c r="K6822" s="1205"/>
      <c r="L6822" s="1055"/>
      <c r="M6822" s="1205"/>
      <c r="N6822" s="1054"/>
      <c r="O6822" s="1207"/>
      <c r="Q6822" s="1207"/>
    </row>
    <row r="6823" spans="3:17" s="700" customFormat="1" ht="70.5" hidden="1" customHeight="1">
      <c r="C6823" s="701"/>
      <c r="D6823" s="811"/>
      <c r="E6823" s="1276">
        <f>[11]building!Y7154</f>
        <v>0</v>
      </c>
      <c r="F6823" s="748">
        <f t="shared" si="345"/>
        <v>0</v>
      </c>
      <c r="G6823" s="1205"/>
      <c r="H6823" s="1055"/>
      <c r="I6823" s="1055"/>
      <c r="J6823" s="1055"/>
      <c r="K6823" s="1205"/>
      <c r="L6823" s="1055"/>
      <c r="M6823" s="1205"/>
      <c r="N6823" s="1054"/>
      <c r="O6823" s="1207"/>
      <c r="Q6823" s="1207"/>
    </row>
    <row r="6824" spans="3:17" s="700" customFormat="1" ht="70.5" hidden="1" customHeight="1">
      <c r="C6824" s="701"/>
      <c r="D6824" s="811"/>
      <c r="E6824" s="1276">
        <f>[11]building!Y7155</f>
        <v>0</v>
      </c>
      <c r="F6824" s="748">
        <f t="shared" si="345"/>
        <v>0</v>
      </c>
      <c r="G6824" s="1205"/>
      <c r="H6824" s="1055"/>
      <c r="I6824" s="1055"/>
      <c r="J6824" s="1055"/>
      <c r="K6824" s="1205"/>
      <c r="L6824" s="1055"/>
      <c r="M6824" s="1205"/>
      <c r="N6824" s="1054"/>
      <c r="O6824" s="1207"/>
      <c r="Q6824" s="1207"/>
    </row>
    <row r="6825" spans="3:17" s="700" customFormat="1" ht="70.5" hidden="1" customHeight="1">
      <c r="C6825" s="701"/>
      <c r="D6825" s="811"/>
      <c r="E6825" s="1276">
        <f>[11]building!Y7156</f>
        <v>0</v>
      </c>
      <c r="F6825" s="748">
        <f t="shared" si="345"/>
        <v>0</v>
      </c>
      <c r="G6825" s="1205"/>
      <c r="H6825" s="1055"/>
      <c r="I6825" s="1055"/>
      <c r="J6825" s="1055"/>
      <c r="K6825" s="1205"/>
      <c r="L6825" s="1055"/>
      <c r="M6825" s="1205"/>
      <c r="N6825" s="1054"/>
      <c r="O6825" s="1207"/>
      <c r="Q6825" s="1207"/>
    </row>
    <row r="6826" spans="3:17" s="700" customFormat="1" ht="70.5" hidden="1" customHeight="1">
      <c r="C6826" s="701"/>
      <c r="D6826" s="811"/>
      <c r="E6826" s="1276">
        <f>[11]building!Y7157</f>
        <v>0</v>
      </c>
      <c r="F6826" s="748">
        <f t="shared" si="345"/>
        <v>0</v>
      </c>
      <c r="G6826" s="1205"/>
      <c r="H6826" s="1055"/>
      <c r="I6826" s="1055"/>
      <c r="J6826" s="1055"/>
      <c r="K6826" s="1205"/>
      <c r="L6826" s="1055"/>
      <c r="M6826" s="1205"/>
      <c r="N6826" s="1054"/>
      <c r="O6826" s="1207"/>
      <c r="Q6826" s="1207"/>
    </row>
    <row r="6827" spans="3:17" s="700" customFormat="1" ht="70.5" hidden="1" customHeight="1">
      <c r="C6827" s="701"/>
      <c r="D6827" s="811"/>
      <c r="E6827" s="1276">
        <f>[11]building!Y7158</f>
        <v>0</v>
      </c>
      <c r="F6827" s="748">
        <f t="shared" si="345"/>
        <v>0</v>
      </c>
      <c r="G6827" s="1205"/>
      <c r="H6827" s="1055"/>
      <c r="I6827" s="1055"/>
      <c r="J6827" s="1055"/>
      <c r="K6827" s="1205"/>
      <c r="L6827" s="1055"/>
      <c r="M6827" s="1205"/>
      <c r="N6827" s="1054"/>
      <c r="O6827" s="1207"/>
      <c r="Q6827" s="1207"/>
    </row>
    <row r="6828" spans="3:17" s="700" customFormat="1" ht="70.5" hidden="1" customHeight="1">
      <c r="C6828" s="701"/>
      <c r="D6828" s="811"/>
      <c r="E6828" s="1276">
        <f>[11]building!Y7159</f>
        <v>0</v>
      </c>
      <c r="F6828" s="748">
        <f t="shared" si="345"/>
        <v>0</v>
      </c>
      <c r="G6828" s="1205"/>
      <c r="H6828" s="1055"/>
      <c r="I6828" s="1055"/>
      <c r="J6828" s="1055"/>
      <c r="K6828" s="1205"/>
      <c r="L6828" s="1055"/>
      <c r="M6828" s="1205"/>
      <c r="N6828" s="1054"/>
      <c r="O6828" s="1207"/>
      <c r="Q6828" s="1207"/>
    </row>
    <row r="6829" spans="3:17" s="700" customFormat="1" ht="70.5" hidden="1" customHeight="1">
      <c r="C6829" s="701"/>
      <c r="D6829" s="811"/>
      <c r="E6829" s="1276">
        <f>[11]building!Y7160</f>
        <v>0</v>
      </c>
      <c r="F6829" s="748">
        <f t="shared" si="345"/>
        <v>0</v>
      </c>
      <c r="G6829" s="1205"/>
      <c r="H6829" s="1055"/>
      <c r="I6829" s="1055"/>
      <c r="J6829" s="1055"/>
      <c r="K6829" s="1205"/>
      <c r="L6829" s="1055"/>
      <c r="M6829" s="1205"/>
      <c r="N6829" s="1054"/>
      <c r="O6829" s="1207"/>
      <c r="Q6829" s="1207"/>
    </row>
    <row r="6830" spans="3:17" s="700" customFormat="1" ht="70.5" hidden="1" customHeight="1">
      <c r="C6830" s="701"/>
      <c r="D6830" s="811"/>
      <c r="E6830" s="1276">
        <f>[11]building!Y7161</f>
        <v>0</v>
      </c>
      <c r="F6830" s="748">
        <f t="shared" si="345"/>
        <v>0</v>
      </c>
      <c r="G6830" s="1205"/>
      <c r="H6830" s="1055"/>
      <c r="I6830" s="1055"/>
      <c r="J6830" s="1055"/>
      <c r="K6830" s="1205"/>
      <c r="L6830" s="1055"/>
      <c r="M6830" s="1205"/>
      <c r="N6830" s="1054"/>
      <c r="O6830" s="1207"/>
      <c r="Q6830" s="1207"/>
    </row>
    <row r="6831" spans="3:17" s="700" customFormat="1" ht="70.5" hidden="1" customHeight="1">
      <c r="C6831" s="701"/>
      <c r="D6831" s="811"/>
      <c r="E6831" s="1276">
        <f>[11]building!Y7162</f>
        <v>0</v>
      </c>
      <c r="F6831" s="748">
        <f t="shared" si="345"/>
        <v>0</v>
      </c>
      <c r="G6831" s="1205"/>
      <c r="H6831" s="1055"/>
      <c r="I6831" s="1055"/>
      <c r="J6831" s="1055"/>
      <c r="K6831" s="1205"/>
      <c r="L6831" s="1055"/>
      <c r="M6831" s="1205"/>
      <c r="N6831" s="1054"/>
      <c r="O6831" s="1207"/>
      <c r="Q6831" s="1207"/>
    </row>
    <row r="6832" spans="3:17" s="700" customFormat="1" ht="70.5" hidden="1" customHeight="1">
      <c r="C6832" s="701"/>
      <c r="D6832" s="811"/>
      <c r="E6832" s="1276">
        <f>[11]building!Y7163</f>
        <v>0</v>
      </c>
      <c r="F6832" s="748">
        <f t="shared" si="345"/>
        <v>0</v>
      </c>
      <c r="G6832" s="1205"/>
      <c r="H6832" s="1055"/>
      <c r="I6832" s="1055"/>
      <c r="J6832" s="1055"/>
      <c r="K6832" s="1205"/>
      <c r="L6832" s="1055"/>
      <c r="M6832" s="1205"/>
      <c r="N6832" s="1054"/>
      <c r="O6832" s="1207"/>
      <c r="Q6832" s="1207"/>
    </row>
    <row r="6833" spans="3:17" s="700" customFormat="1" ht="70.5" hidden="1" customHeight="1">
      <c r="C6833" s="701"/>
      <c r="D6833" s="811"/>
      <c r="E6833" s="1276">
        <f>[11]building!Y7164</f>
        <v>0</v>
      </c>
      <c r="F6833" s="748">
        <f t="shared" si="345"/>
        <v>0</v>
      </c>
      <c r="G6833" s="1205"/>
      <c r="H6833" s="1055"/>
      <c r="I6833" s="1055"/>
      <c r="J6833" s="1055"/>
      <c r="K6833" s="1205"/>
      <c r="L6833" s="1055"/>
      <c r="M6833" s="1205"/>
      <c r="N6833" s="1054"/>
      <c r="O6833" s="1207"/>
      <c r="Q6833" s="1207"/>
    </row>
    <row r="6834" spans="3:17" s="700" customFormat="1" ht="70.5" hidden="1" customHeight="1">
      <c r="C6834" s="701"/>
      <c r="D6834" s="811"/>
      <c r="E6834" s="1276">
        <f>[11]building!Y7165</f>
        <v>0</v>
      </c>
      <c r="F6834" s="748">
        <f t="shared" si="345"/>
        <v>0</v>
      </c>
      <c r="G6834" s="1205"/>
      <c r="H6834" s="1055"/>
      <c r="I6834" s="1055"/>
      <c r="J6834" s="1055"/>
      <c r="K6834" s="1205"/>
      <c r="L6834" s="1055"/>
      <c r="M6834" s="1205"/>
      <c r="N6834" s="1054"/>
      <c r="O6834" s="1207"/>
      <c r="Q6834" s="1207"/>
    </row>
    <row r="6835" spans="3:17" s="700" customFormat="1" ht="70.5" hidden="1" customHeight="1">
      <c r="C6835" s="701"/>
      <c r="D6835" s="811"/>
      <c r="E6835" s="1276">
        <f>[11]building!Y7166</f>
        <v>0</v>
      </c>
      <c r="F6835" s="748">
        <f t="shared" si="345"/>
        <v>0</v>
      </c>
      <c r="G6835" s="1205"/>
      <c r="H6835" s="1055"/>
      <c r="I6835" s="1055"/>
      <c r="J6835" s="1055"/>
      <c r="K6835" s="1205"/>
      <c r="L6835" s="1055"/>
      <c r="M6835" s="1205"/>
      <c r="N6835" s="1054"/>
      <c r="O6835" s="1207"/>
      <c r="Q6835" s="1207"/>
    </row>
    <row r="6836" spans="3:17" s="700" customFormat="1" ht="70.5" hidden="1" customHeight="1">
      <c r="C6836" s="701"/>
      <c r="D6836" s="811"/>
      <c r="E6836" s="1276">
        <f>[11]building!Y7167</f>
        <v>0</v>
      </c>
      <c r="F6836" s="748">
        <f t="shared" si="345"/>
        <v>0</v>
      </c>
      <c r="G6836" s="1205"/>
      <c r="H6836" s="1055"/>
      <c r="I6836" s="1055"/>
      <c r="J6836" s="1055"/>
      <c r="K6836" s="1205"/>
      <c r="L6836" s="1055"/>
      <c r="M6836" s="1205"/>
      <c r="N6836" s="1054"/>
      <c r="O6836" s="1207"/>
      <c r="Q6836" s="1207"/>
    </row>
    <row r="6837" spans="3:17" s="700" customFormat="1" ht="70.5" hidden="1" customHeight="1">
      <c r="C6837" s="701"/>
      <c r="D6837" s="811"/>
      <c r="E6837" s="1276">
        <f>[11]building!Y7168</f>
        <v>0</v>
      </c>
      <c r="F6837" s="748">
        <f t="shared" si="345"/>
        <v>0</v>
      </c>
      <c r="G6837" s="1205"/>
      <c r="H6837" s="1055"/>
      <c r="I6837" s="1055"/>
      <c r="J6837" s="1055"/>
      <c r="K6837" s="1205"/>
      <c r="L6837" s="1055"/>
      <c r="M6837" s="1205"/>
      <c r="N6837" s="1054"/>
      <c r="O6837" s="1207"/>
      <c r="Q6837" s="1207"/>
    </row>
    <row r="6838" spans="3:17" s="700" customFormat="1" ht="70.5" hidden="1" customHeight="1">
      <c r="C6838" s="701"/>
      <c r="D6838" s="811"/>
      <c r="E6838" s="1276">
        <f>[11]building!Y7169</f>
        <v>0</v>
      </c>
      <c r="F6838" s="748">
        <f t="shared" si="345"/>
        <v>0</v>
      </c>
      <c r="G6838" s="1205"/>
      <c r="H6838" s="1055"/>
      <c r="I6838" s="1055"/>
      <c r="J6838" s="1055"/>
      <c r="K6838" s="1205"/>
      <c r="L6838" s="1055"/>
      <c r="M6838" s="1205"/>
      <c r="N6838" s="1054"/>
      <c r="O6838" s="1207"/>
      <c r="Q6838" s="1207"/>
    </row>
    <row r="6839" spans="3:17" s="700" customFormat="1" ht="70.5" hidden="1" customHeight="1">
      <c r="C6839" s="701"/>
      <c r="D6839" s="811"/>
      <c r="E6839" s="1276">
        <f>[11]building!Y7170</f>
        <v>0</v>
      </c>
      <c r="F6839" s="748">
        <f t="shared" si="345"/>
        <v>0</v>
      </c>
      <c r="G6839" s="1205"/>
      <c r="H6839" s="1055"/>
      <c r="I6839" s="1055"/>
      <c r="J6839" s="1055"/>
      <c r="K6839" s="1205"/>
      <c r="L6839" s="1055"/>
      <c r="M6839" s="1205"/>
      <c r="N6839" s="1054"/>
      <c r="O6839" s="1207"/>
      <c r="Q6839" s="1207"/>
    </row>
    <row r="6840" spans="3:17" s="700" customFormat="1" ht="70.5" hidden="1" customHeight="1">
      <c r="C6840" s="701"/>
      <c r="D6840" s="811"/>
      <c r="E6840" s="1276">
        <f>[11]building!Y7171</f>
        <v>0</v>
      </c>
      <c r="F6840" s="748">
        <f t="shared" si="345"/>
        <v>0</v>
      </c>
      <c r="G6840" s="1205"/>
      <c r="H6840" s="1055"/>
      <c r="I6840" s="1055"/>
      <c r="J6840" s="1055"/>
      <c r="K6840" s="1205"/>
      <c r="L6840" s="1055"/>
      <c r="M6840" s="1205"/>
      <c r="N6840" s="1054"/>
      <c r="O6840" s="1207"/>
      <c r="Q6840" s="1207"/>
    </row>
    <row r="6841" spans="3:17" s="700" customFormat="1" ht="70.5" hidden="1" customHeight="1">
      <c r="C6841" s="701"/>
      <c r="D6841" s="811"/>
      <c r="E6841" s="1276">
        <f>[11]building!Y7172</f>
        <v>0</v>
      </c>
      <c r="F6841" s="748">
        <f t="shared" si="345"/>
        <v>0</v>
      </c>
      <c r="G6841" s="1205"/>
      <c r="H6841" s="1055"/>
      <c r="I6841" s="1055"/>
      <c r="J6841" s="1055"/>
      <c r="K6841" s="1205"/>
      <c r="L6841" s="1055"/>
      <c r="M6841" s="1205"/>
      <c r="N6841" s="1054"/>
      <c r="O6841" s="1207"/>
      <c r="Q6841" s="1207"/>
    </row>
    <row r="6842" spans="3:17" s="700" customFormat="1" ht="70.5" hidden="1" customHeight="1">
      <c r="C6842" s="701"/>
      <c r="D6842" s="811"/>
      <c r="E6842" s="1276">
        <f>[11]building!Y7173</f>
        <v>0</v>
      </c>
      <c r="F6842" s="748">
        <f t="shared" si="345"/>
        <v>0</v>
      </c>
      <c r="G6842" s="1205"/>
      <c r="H6842" s="1055"/>
      <c r="I6842" s="1055"/>
      <c r="J6842" s="1055"/>
      <c r="K6842" s="1205"/>
      <c r="L6842" s="1055"/>
      <c r="M6842" s="1205"/>
      <c r="N6842" s="1054"/>
      <c r="O6842" s="1207"/>
      <c r="Q6842" s="1207"/>
    </row>
    <row r="6843" spans="3:17" s="700" customFormat="1" ht="70.5" hidden="1" customHeight="1">
      <c r="C6843" s="701"/>
      <c r="D6843" s="811"/>
      <c r="E6843" s="1276">
        <f>[11]building!Y7174</f>
        <v>0</v>
      </c>
      <c r="F6843" s="748">
        <f t="shared" si="345"/>
        <v>0</v>
      </c>
      <c r="G6843" s="1205"/>
      <c r="H6843" s="1055"/>
      <c r="I6843" s="1055"/>
      <c r="J6843" s="1055"/>
      <c r="K6843" s="1205"/>
      <c r="L6843" s="1055"/>
      <c r="M6843" s="1205"/>
      <c r="N6843" s="1054"/>
      <c r="O6843" s="1207"/>
      <c r="Q6843" s="1207"/>
    </row>
    <row r="6844" spans="3:17" s="700" customFormat="1" ht="70.5" hidden="1" customHeight="1">
      <c r="C6844" s="701"/>
      <c r="D6844" s="811"/>
      <c r="E6844" s="1276">
        <f>[11]building!Y7175</f>
        <v>0</v>
      </c>
      <c r="F6844" s="748">
        <f t="shared" si="345"/>
        <v>0</v>
      </c>
      <c r="G6844" s="1205"/>
      <c r="H6844" s="1055"/>
      <c r="I6844" s="1055"/>
      <c r="J6844" s="1055"/>
      <c r="K6844" s="1205"/>
      <c r="L6844" s="1055"/>
      <c r="M6844" s="1205"/>
      <c r="N6844" s="1054"/>
      <c r="O6844" s="1207"/>
      <c r="Q6844" s="1207"/>
    </row>
    <row r="6845" spans="3:17" s="700" customFormat="1" ht="70.5" hidden="1" customHeight="1">
      <c r="C6845" s="701"/>
      <c r="D6845" s="811"/>
      <c r="E6845" s="1276">
        <f>[11]building!Y7176</f>
        <v>0</v>
      </c>
      <c r="F6845" s="748">
        <f t="shared" si="345"/>
        <v>0</v>
      </c>
      <c r="G6845" s="1205"/>
      <c r="H6845" s="1055"/>
      <c r="I6845" s="1055"/>
      <c r="J6845" s="1055"/>
      <c r="K6845" s="1205"/>
      <c r="L6845" s="1055"/>
      <c r="M6845" s="1205"/>
      <c r="N6845" s="1054"/>
      <c r="O6845" s="1207"/>
      <c r="Q6845" s="1207"/>
    </row>
    <row r="6846" spans="3:17" s="700" customFormat="1" ht="70.5" hidden="1" customHeight="1">
      <c r="C6846" s="701"/>
      <c r="D6846" s="811"/>
      <c r="E6846" s="1276">
        <f>[11]building!Y7177</f>
        <v>0</v>
      </c>
      <c r="F6846" s="748">
        <f t="shared" si="345"/>
        <v>0</v>
      </c>
      <c r="G6846" s="1205"/>
      <c r="H6846" s="1055"/>
      <c r="I6846" s="1055"/>
      <c r="J6846" s="1055"/>
      <c r="K6846" s="1205"/>
      <c r="L6846" s="1055"/>
      <c r="M6846" s="1205"/>
      <c r="N6846" s="1054"/>
      <c r="O6846" s="1207"/>
      <c r="Q6846" s="1207"/>
    </row>
    <row r="6847" spans="3:17" s="700" customFormat="1" ht="70.5" hidden="1" customHeight="1">
      <c r="C6847" s="701"/>
      <c r="D6847" s="811"/>
      <c r="E6847" s="1276">
        <f>[11]building!Y7178</f>
        <v>0</v>
      </c>
      <c r="F6847" s="748">
        <f t="shared" si="345"/>
        <v>0</v>
      </c>
      <c r="G6847" s="1205"/>
      <c r="H6847" s="1055"/>
      <c r="I6847" s="1055"/>
      <c r="J6847" s="1055"/>
      <c r="K6847" s="1205"/>
      <c r="L6847" s="1055"/>
      <c r="M6847" s="1205"/>
      <c r="N6847" s="1054"/>
      <c r="O6847" s="1207"/>
      <c r="Q6847" s="1207"/>
    </row>
    <row r="6848" spans="3:17" s="700" customFormat="1" ht="70.5" hidden="1" customHeight="1">
      <c r="C6848" s="701"/>
      <c r="D6848" s="811"/>
      <c r="E6848" s="1276">
        <f>[11]building!Y7179</f>
        <v>0</v>
      </c>
      <c r="F6848" s="748">
        <f t="shared" ref="F6848:F6911" si="346">E6848*C6848</f>
        <v>0</v>
      </c>
      <c r="G6848" s="1205"/>
      <c r="H6848" s="1055"/>
      <c r="I6848" s="1055"/>
      <c r="J6848" s="1055"/>
      <c r="K6848" s="1205"/>
      <c r="L6848" s="1055"/>
      <c r="M6848" s="1205"/>
      <c r="N6848" s="1054"/>
      <c r="O6848" s="1207"/>
      <c r="Q6848" s="1207"/>
    </row>
    <row r="6849" spans="3:17" s="700" customFormat="1" ht="70.5" hidden="1" customHeight="1">
      <c r="C6849" s="701"/>
      <c r="D6849" s="811"/>
      <c r="E6849" s="1276">
        <f>[11]building!Y7180</f>
        <v>0</v>
      </c>
      <c r="F6849" s="748">
        <f t="shared" si="346"/>
        <v>0</v>
      </c>
      <c r="G6849" s="1205"/>
      <c r="H6849" s="1055"/>
      <c r="I6849" s="1055"/>
      <c r="J6849" s="1055"/>
      <c r="K6849" s="1205"/>
      <c r="L6849" s="1055"/>
      <c r="M6849" s="1205"/>
      <c r="N6849" s="1054"/>
      <c r="O6849" s="1207"/>
      <c r="Q6849" s="1207"/>
    </row>
    <row r="6850" spans="3:17" s="700" customFormat="1" ht="70.5" hidden="1" customHeight="1">
      <c r="C6850" s="701"/>
      <c r="D6850" s="811"/>
      <c r="E6850" s="1276">
        <f>[11]building!Y7181</f>
        <v>0</v>
      </c>
      <c r="F6850" s="748">
        <f t="shared" si="346"/>
        <v>0</v>
      </c>
      <c r="G6850" s="1205"/>
      <c r="H6850" s="1055"/>
      <c r="I6850" s="1055"/>
      <c r="J6850" s="1055"/>
      <c r="K6850" s="1205"/>
      <c r="L6850" s="1055"/>
      <c r="M6850" s="1205"/>
      <c r="N6850" s="1054"/>
      <c r="O6850" s="1207"/>
      <c r="Q6850" s="1207"/>
    </row>
    <row r="6851" spans="3:17" s="700" customFormat="1" ht="70.5" hidden="1" customHeight="1">
      <c r="C6851" s="701"/>
      <c r="D6851" s="811"/>
      <c r="E6851" s="1276">
        <f>[11]building!Y7182</f>
        <v>0</v>
      </c>
      <c r="F6851" s="748">
        <f t="shared" si="346"/>
        <v>0</v>
      </c>
      <c r="G6851" s="1205"/>
      <c r="H6851" s="1055"/>
      <c r="I6851" s="1055"/>
      <c r="J6851" s="1055"/>
      <c r="K6851" s="1205"/>
      <c r="L6851" s="1055"/>
      <c r="M6851" s="1205"/>
      <c r="N6851" s="1054"/>
      <c r="O6851" s="1207"/>
      <c r="Q6851" s="1207"/>
    </row>
    <row r="6852" spans="3:17" s="700" customFormat="1" ht="70.5" hidden="1" customHeight="1">
      <c r="C6852" s="701"/>
      <c r="D6852" s="811"/>
      <c r="E6852" s="1276">
        <f>[11]building!Y7183</f>
        <v>0</v>
      </c>
      <c r="F6852" s="748">
        <f t="shared" si="346"/>
        <v>0</v>
      </c>
      <c r="G6852" s="1205"/>
      <c r="H6852" s="1055"/>
      <c r="I6852" s="1055"/>
      <c r="J6852" s="1055"/>
      <c r="K6852" s="1205"/>
      <c r="L6852" s="1055"/>
      <c r="M6852" s="1205"/>
      <c r="N6852" s="1054"/>
      <c r="O6852" s="1207"/>
      <c r="Q6852" s="1207"/>
    </row>
    <row r="6853" spans="3:17" s="700" customFormat="1" ht="70.5" hidden="1" customHeight="1">
      <c r="C6853" s="701"/>
      <c r="D6853" s="811"/>
      <c r="E6853" s="1276">
        <f>[11]building!Y7184</f>
        <v>0</v>
      </c>
      <c r="F6853" s="748">
        <f t="shared" si="346"/>
        <v>0</v>
      </c>
      <c r="G6853" s="1205"/>
      <c r="H6853" s="1055"/>
      <c r="I6853" s="1055"/>
      <c r="J6853" s="1055"/>
      <c r="K6853" s="1205"/>
      <c r="L6853" s="1055"/>
      <c r="M6853" s="1205"/>
      <c r="N6853" s="1054"/>
      <c r="O6853" s="1207"/>
      <c r="Q6853" s="1207"/>
    </row>
    <row r="6854" spans="3:17" s="700" customFormat="1" ht="70.5" hidden="1" customHeight="1">
      <c r="C6854" s="701"/>
      <c r="D6854" s="811"/>
      <c r="E6854" s="1276">
        <f>[11]building!Y7185</f>
        <v>0</v>
      </c>
      <c r="F6854" s="748">
        <f t="shared" si="346"/>
        <v>0</v>
      </c>
      <c r="G6854" s="1205"/>
      <c r="H6854" s="1055"/>
      <c r="I6854" s="1055"/>
      <c r="J6854" s="1055"/>
      <c r="K6854" s="1205"/>
      <c r="L6854" s="1055"/>
      <c r="M6854" s="1205"/>
      <c r="N6854" s="1054"/>
      <c r="O6854" s="1207"/>
      <c r="Q6854" s="1207"/>
    </row>
    <row r="6855" spans="3:17" s="700" customFormat="1" ht="70.5" hidden="1" customHeight="1">
      <c r="C6855" s="701"/>
      <c r="D6855" s="811"/>
      <c r="E6855" s="1276">
        <f>[11]building!Y7186</f>
        <v>0</v>
      </c>
      <c r="F6855" s="748">
        <f t="shared" si="346"/>
        <v>0</v>
      </c>
      <c r="G6855" s="1205"/>
      <c r="H6855" s="1055"/>
      <c r="I6855" s="1055"/>
      <c r="J6855" s="1055"/>
      <c r="K6855" s="1205"/>
      <c r="L6855" s="1055"/>
      <c r="M6855" s="1205"/>
      <c r="N6855" s="1054"/>
      <c r="O6855" s="1207"/>
      <c r="Q6855" s="1207"/>
    </row>
    <row r="6856" spans="3:17" s="700" customFormat="1" ht="70.5" hidden="1" customHeight="1">
      <c r="C6856" s="701"/>
      <c r="D6856" s="811"/>
      <c r="E6856" s="1276">
        <f>[11]building!Y7187</f>
        <v>0</v>
      </c>
      <c r="F6856" s="748">
        <f t="shared" si="346"/>
        <v>0</v>
      </c>
      <c r="G6856" s="1205"/>
      <c r="H6856" s="1055"/>
      <c r="I6856" s="1055"/>
      <c r="J6856" s="1055"/>
      <c r="K6856" s="1205"/>
      <c r="L6856" s="1055"/>
      <c r="M6856" s="1205"/>
      <c r="N6856" s="1054"/>
      <c r="O6856" s="1207"/>
      <c r="Q6856" s="1207"/>
    </row>
    <row r="6857" spans="3:17" s="700" customFormat="1" ht="70.5" hidden="1" customHeight="1">
      <c r="C6857" s="701"/>
      <c r="D6857" s="811"/>
      <c r="E6857" s="1276">
        <f>[11]building!Y7188</f>
        <v>0</v>
      </c>
      <c r="F6857" s="748">
        <f t="shared" si="346"/>
        <v>0</v>
      </c>
      <c r="G6857" s="1205"/>
      <c r="H6857" s="1055"/>
      <c r="I6857" s="1055"/>
      <c r="J6857" s="1055"/>
      <c r="K6857" s="1205"/>
      <c r="L6857" s="1055"/>
      <c r="M6857" s="1205"/>
      <c r="N6857" s="1054"/>
      <c r="O6857" s="1207"/>
      <c r="Q6857" s="1207"/>
    </row>
    <row r="6858" spans="3:17" s="700" customFormat="1" ht="70.5" hidden="1" customHeight="1">
      <c r="C6858" s="701"/>
      <c r="D6858" s="811"/>
      <c r="E6858" s="1276">
        <f>[11]building!Y7189</f>
        <v>0</v>
      </c>
      <c r="F6858" s="748">
        <f t="shared" si="346"/>
        <v>0</v>
      </c>
      <c r="G6858" s="1205"/>
      <c r="H6858" s="1055"/>
      <c r="I6858" s="1055"/>
      <c r="J6858" s="1055"/>
      <c r="K6858" s="1205"/>
      <c r="L6858" s="1055"/>
      <c r="M6858" s="1205"/>
      <c r="N6858" s="1054"/>
      <c r="O6858" s="1207"/>
      <c r="Q6858" s="1207"/>
    </row>
    <row r="6859" spans="3:17" s="700" customFormat="1" ht="70.5" hidden="1" customHeight="1">
      <c r="C6859" s="701"/>
      <c r="D6859" s="811"/>
      <c r="E6859" s="1276">
        <f>[11]building!Y7190</f>
        <v>0</v>
      </c>
      <c r="F6859" s="748">
        <f t="shared" si="346"/>
        <v>0</v>
      </c>
      <c r="G6859" s="1205"/>
      <c r="H6859" s="1055"/>
      <c r="I6859" s="1055"/>
      <c r="J6859" s="1055"/>
      <c r="K6859" s="1205"/>
      <c r="L6859" s="1055"/>
      <c r="M6859" s="1205"/>
      <c r="N6859" s="1054"/>
      <c r="O6859" s="1207"/>
      <c r="Q6859" s="1207"/>
    </row>
    <row r="6860" spans="3:17" s="700" customFormat="1" ht="70.5" hidden="1" customHeight="1">
      <c r="C6860" s="701"/>
      <c r="D6860" s="811"/>
      <c r="E6860" s="1276">
        <f>[11]building!Y7191</f>
        <v>0</v>
      </c>
      <c r="F6860" s="748">
        <f t="shared" si="346"/>
        <v>0</v>
      </c>
      <c r="G6860" s="1205"/>
      <c r="H6860" s="1055"/>
      <c r="I6860" s="1055"/>
      <c r="J6860" s="1055"/>
      <c r="K6860" s="1205"/>
      <c r="L6860" s="1055"/>
      <c r="M6860" s="1205"/>
      <c r="N6860" s="1054"/>
      <c r="O6860" s="1207"/>
      <c r="Q6860" s="1207"/>
    </row>
    <row r="6861" spans="3:17" s="700" customFormat="1" ht="70.5" hidden="1" customHeight="1">
      <c r="C6861" s="701"/>
      <c r="D6861" s="811"/>
      <c r="E6861" s="1276">
        <f>[11]building!Y7192</f>
        <v>0</v>
      </c>
      <c r="F6861" s="748">
        <f t="shared" si="346"/>
        <v>0</v>
      </c>
      <c r="G6861" s="1205"/>
      <c r="H6861" s="1055"/>
      <c r="I6861" s="1055"/>
      <c r="J6861" s="1055"/>
      <c r="K6861" s="1205"/>
      <c r="L6861" s="1055"/>
      <c r="M6861" s="1205"/>
      <c r="N6861" s="1054"/>
      <c r="O6861" s="1207"/>
      <c r="Q6861" s="1207"/>
    </row>
    <row r="6862" spans="3:17" s="700" customFormat="1" ht="70.5" hidden="1" customHeight="1">
      <c r="C6862" s="701"/>
      <c r="D6862" s="811"/>
      <c r="E6862" s="1276">
        <f>[11]building!Y7193</f>
        <v>0</v>
      </c>
      <c r="F6862" s="748">
        <f t="shared" si="346"/>
        <v>0</v>
      </c>
      <c r="G6862" s="1205"/>
      <c r="H6862" s="1055"/>
      <c r="I6862" s="1055"/>
      <c r="J6862" s="1055"/>
      <c r="K6862" s="1205"/>
      <c r="L6862" s="1055"/>
      <c r="M6862" s="1205"/>
      <c r="N6862" s="1054"/>
      <c r="O6862" s="1207"/>
      <c r="Q6862" s="1207"/>
    </row>
    <row r="6863" spans="3:17" s="700" customFormat="1" ht="70.5" hidden="1" customHeight="1">
      <c r="C6863" s="701"/>
      <c r="D6863" s="811"/>
      <c r="E6863" s="1276">
        <f>[11]building!Y7194</f>
        <v>0</v>
      </c>
      <c r="F6863" s="748">
        <f t="shared" si="346"/>
        <v>0</v>
      </c>
      <c r="G6863" s="1205"/>
      <c r="H6863" s="1055"/>
      <c r="I6863" s="1055"/>
      <c r="J6863" s="1055"/>
      <c r="K6863" s="1205"/>
      <c r="L6863" s="1055"/>
      <c r="M6863" s="1205"/>
      <c r="N6863" s="1054"/>
      <c r="O6863" s="1207"/>
      <c r="Q6863" s="1207"/>
    </row>
    <row r="6864" spans="3:17" s="700" customFormat="1" ht="70.5" hidden="1" customHeight="1">
      <c r="C6864" s="701"/>
      <c r="D6864" s="811"/>
      <c r="E6864" s="1276">
        <f>[11]building!Y7195</f>
        <v>0</v>
      </c>
      <c r="F6864" s="748">
        <f t="shared" si="346"/>
        <v>0</v>
      </c>
      <c r="G6864" s="1205"/>
      <c r="H6864" s="1055"/>
      <c r="I6864" s="1055"/>
      <c r="J6864" s="1055"/>
      <c r="K6864" s="1205"/>
      <c r="L6864" s="1055"/>
      <c r="M6864" s="1205"/>
      <c r="N6864" s="1054"/>
      <c r="O6864" s="1207"/>
      <c r="Q6864" s="1207"/>
    </row>
    <row r="6865" spans="3:17" s="700" customFormat="1" ht="70.5" hidden="1" customHeight="1">
      <c r="C6865" s="701"/>
      <c r="D6865" s="811"/>
      <c r="E6865" s="1276">
        <f>[11]building!Y7196</f>
        <v>0</v>
      </c>
      <c r="F6865" s="748">
        <f t="shared" si="346"/>
        <v>0</v>
      </c>
      <c r="G6865" s="1205"/>
      <c r="H6865" s="1055"/>
      <c r="I6865" s="1055"/>
      <c r="J6865" s="1055"/>
      <c r="K6865" s="1205"/>
      <c r="L6865" s="1055"/>
      <c r="M6865" s="1205"/>
      <c r="N6865" s="1054"/>
      <c r="O6865" s="1207"/>
      <c r="Q6865" s="1207"/>
    </row>
    <row r="6866" spans="3:17" s="700" customFormat="1" ht="70.5" hidden="1" customHeight="1">
      <c r="C6866" s="701"/>
      <c r="D6866" s="811"/>
      <c r="E6866" s="1276">
        <f>[11]building!Y7197</f>
        <v>0</v>
      </c>
      <c r="F6866" s="748">
        <f t="shared" si="346"/>
        <v>0</v>
      </c>
      <c r="G6866" s="1205"/>
      <c r="H6866" s="1055"/>
      <c r="I6866" s="1055"/>
      <c r="J6866" s="1055"/>
      <c r="K6866" s="1205"/>
      <c r="L6866" s="1055"/>
      <c r="M6866" s="1205"/>
      <c r="N6866" s="1054"/>
      <c r="O6866" s="1207"/>
      <c r="Q6866" s="1207"/>
    </row>
    <row r="6867" spans="3:17" s="700" customFormat="1" ht="70.5" hidden="1" customHeight="1">
      <c r="C6867" s="701"/>
      <c r="D6867" s="811"/>
      <c r="E6867" s="1276">
        <f>[11]building!Y7198</f>
        <v>0</v>
      </c>
      <c r="F6867" s="748">
        <f t="shared" si="346"/>
        <v>0</v>
      </c>
      <c r="G6867" s="1205"/>
      <c r="H6867" s="1055"/>
      <c r="I6867" s="1055"/>
      <c r="J6867" s="1055"/>
      <c r="K6867" s="1205"/>
      <c r="L6867" s="1055"/>
      <c r="M6867" s="1205"/>
      <c r="N6867" s="1054"/>
      <c r="O6867" s="1207"/>
      <c r="Q6867" s="1207"/>
    </row>
    <row r="6868" spans="3:17" s="700" customFormat="1" ht="70.5" hidden="1" customHeight="1">
      <c r="C6868" s="701"/>
      <c r="D6868" s="811"/>
      <c r="E6868" s="1276">
        <f>[11]building!Y7199</f>
        <v>0</v>
      </c>
      <c r="F6868" s="748">
        <f t="shared" si="346"/>
        <v>0</v>
      </c>
      <c r="G6868" s="1205"/>
      <c r="H6868" s="1055"/>
      <c r="I6868" s="1055"/>
      <c r="J6868" s="1055"/>
      <c r="K6868" s="1205"/>
      <c r="L6868" s="1055"/>
      <c r="M6868" s="1205"/>
      <c r="N6868" s="1054"/>
      <c r="O6868" s="1207"/>
      <c r="Q6868" s="1207"/>
    </row>
    <row r="6869" spans="3:17" s="700" customFormat="1" ht="70.5" hidden="1" customHeight="1">
      <c r="C6869" s="701"/>
      <c r="D6869" s="811"/>
      <c r="E6869" s="1276">
        <f>[11]building!Y7200</f>
        <v>0</v>
      </c>
      <c r="F6869" s="748">
        <f t="shared" si="346"/>
        <v>0</v>
      </c>
      <c r="G6869" s="1205"/>
      <c r="H6869" s="1055"/>
      <c r="I6869" s="1055"/>
      <c r="J6869" s="1055"/>
      <c r="K6869" s="1205"/>
      <c r="L6869" s="1055"/>
      <c r="M6869" s="1205"/>
      <c r="N6869" s="1054"/>
      <c r="O6869" s="1207"/>
      <c r="Q6869" s="1207"/>
    </row>
    <row r="6870" spans="3:17" s="700" customFormat="1" ht="70.5" hidden="1" customHeight="1">
      <c r="C6870" s="701"/>
      <c r="D6870" s="811"/>
      <c r="E6870" s="1276">
        <f>[11]building!Y7201</f>
        <v>0</v>
      </c>
      <c r="F6870" s="748">
        <f t="shared" si="346"/>
        <v>0</v>
      </c>
      <c r="G6870" s="1205"/>
      <c r="H6870" s="1055"/>
      <c r="I6870" s="1055"/>
      <c r="J6870" s="1055"/>
      <c r="K6870" s="1205"/>
      <c r="L6870" s="1055"/>
      <c r="M6870" s="1205"/>
      <c r="N6870" s="1054"/>
      <c r="O6870" s="1207"/>
      <c r="Q6870" s="1207"/>
    </row>
    <row r="6871" spans="3:17" s="700" customFormat="1" ht="70.5" hidden="1" customHeight="1">
      <c r="C6871" s="701"/>
      <c r="D6871" s="811"/>
      <c r="E6871" s="1276">
        <f>[11]building!Y7202</f>
        <v>0</v>
      </c>
      <c r="F6871" s="748">
        <f t="shared" si="346"/>
        <v>0</v>
      </c>
      <c r="G6871" s="1205"/>
      <c r="H6871" s="1055"/>
      <c r="I6871" s="1055"/>
      <c r="J6871" s="1055"/>
      <c r="K6871" s="1205"/>
      <c r="L6871" s="1055"/>
      <c r="M6871" s="1205"/>
      <c r="N6871" s="1054"/>
      <c r="O6871" s="1207"/>
      <c r="Q6871" s="1207"/>
    </row>
    <row r="6872" spans="3:17" s="700" customFormat="1" ht="70.5" hidden="1" customHeight="1">
      <c r="C6872" s="701"/>
      <c r="D6872" s="811"/>
      <c r="E6872" s="1276">
        <f>[11]building!Y7203</f>
        <v>0</v>
      </c>
      <c r="F6872" s="748">
        <f t="shared" si="346"/>
        <v>0</v>
      </c>
      <c r="G6872" s="1205"/>
      <c r="H6872" s="1055"/>
      <c r="I6872" s="1055"/>
      <c r="J6872" s="1055"/>
      <c r="K6872" s="1205"/>
      <c r="L6872" s="1055"/>
      <c r="M6872" s="1205"/>
      <c r="N6872" s="1054"/>
      <c r="O6872" s="1207"/>
      <c r="Q6872" s="1207"/>
    </row>
    <row r="6873" spans="3:17" s="700" customFormat="1" ht="70.5" hidden="1" customHeight="1">
      <c r="C6873" s="701"/>
      <c r="D6873" s="811"/>
      <c r="E6873" s="1276">
        <f>[11]building!Y7204</f>
        <v>0</v>
      </c>
      <c r="F6873" s="748">
        <f t="shared" si="346"/>
        <v>0</v>
      </c>
      <c r="G6873" s="1205"/>
      <c r="H6873" s="1055"/>
      <c r="I6873" s="1055"/>
      <c r="J6873" s="1055"/>
      <c r="K6873" s="1205"/>
      <c r="L6873" s="1055"/>
      <c r="M6873" s="1205"/>
      <c r="N6873" s="1054"/>
      <c r="O6873" s="1207"/>
      <c r="Q6873" s="1207"/>
    </row>
    <row r="6874" spans="3:17" s="700" customFormat="1" ht="70.5" hidden="1" customHeight="1">
      <c r="C6874" s="701"/>
      <c r="D6874" s="811"/>
      <c r="E6874" s="1276">
        <f>[11]building!Y7205</f>
        <v>0</v>
      </c>
      <c r="F6874" s="748">
        <f t="shared" si="346"/>
        <v>0</v>
      </c>
      <c r="G6874" s="1205"/>
      <c r="H6874" s="1055"/>
      <c r="I6874" s="1055"/>
      <c r="J6874" s="1055"/>
      <c r="K6874" s="1205"/>
      <c r="L6874" s="1055"/>
      <c r="M6874" s="1205"/>
      <c r="N6874" s="1054"/>
      <c r="O6874" s="1207"/>
      <c r="Q6874" s="1207"/>
    </row>
    <row r="6875" spans="3:17" s="700" customFormat="1" ht="70.5" hidden="1" customHeight="1">
      <c r="C6875" s="701"/>
      <c r="D6875" s="811"/>
      <c r="E6875" s="1276">
        <f>[11]building!Y7206</f>
        <v>0</v>
      </c>
      <c r="F6875" s="748">
        <f t="shared" si="346"/>
        <v>0</v>
      </c>
      <c r="G6875" s="1205"/>
      <c r="H6875" s="1055"/>
      <c r="I6875" s="1055"/>
      <c r="J6875" s="1055"/>
      <c r="K6875" s="1205"/>
      <c r="L6875" s="1055"/>
      <c r="M6875" s="1205"/>
      <c r="N6875" s="1054"/>
      <c r="O6875" s="1207"/>
      <c r="Q6875" s="1207"/>
    </row>
    <row r="6876" spans="3:17" s="700" customFormat="1" ht="70.5" hidden="1" customHeight="1">
      <c r="C6876" s="701"/>
      <c r="D6876" s="811"/>
      <c r="E6876" s="1276">
        <f>[11]building!Y7207</f>
        <v>0</v>
      </c>
      <c r="F6876" s="748">
        <f t="shared" si="346"/>
        <v>0</v>
      </c>
      <c r="G6876" s="1205"/>
      <c r="H6876" s="1055"/>
      <c r="I6876" s="1055"/>
      <c r="J6876" s="1055"/>
      <c r="K6876" s="1205"/>
      <c r="L6876" s="1055"/>
      <c r="M6876" s="1205"/>
      <c r="N6876" s="1054"/>
      <c r="O6876" s="1207"/>
      <c r="Q6876" s="1207"/>
    </row>
    <row r="6877" spans="3:17" s="700" customFormat="1" ht="70.5" hidden="1" customHeight="1">
      <c r="C6877" s="701"/>
      <c r="D6877" s="811"/>
      <c r="E6877" s="1276">
        <f>[11]building!Y7208</f>
        <v>0</v>
      </c>
      <c r="F6877" s="748">
        <f t="shared" si="346"/>
        <v>0</v>
      </c>
      <c r="G6877" s="1205"/>
      <c r="H6877" s="1055"/>
      <c r="I6877" s="1055"/>
      <c r="J6877" s="1055"/>
      <c r="K6877" s="1205"/>
      <c r="L6877" s="1055"/>
      <c r="M6877" s="1205"/>
      <c r="N6877" s="1054"/>
      <c r="O6877" s="1207"/>
      <c r="Q6877" s="1207"/>
    </row>
    <row r="6878" spans="3:17" s="700" customFormat="1" ht="70.5" hidden="1" customHeight="1">
      <c r="C6878" s="701"/>
      <c r="D6878" s="811"/>
      <c r="E6878" s="1276">
        <f>[11]building!Y7209</f>
        <v>0</v>
      </c>
      <c r="F6878" s="748">
        <f t="shared" si="346"/>
        <v>0</v>
      </c>
      <c r="G6878" s="1205"/>
      <c r="H6878" s="1055"/>
      <c r="I6878" s="1055"/>
      <c r="J6878" s="1055"/>
      <c r="K6878" s="1205"/>
      <c r="L6878" s="1055"/>
      <c r="M6878" s="1205"/>
      <c r="N6878" s="1054"/>
      <c r="O6878" s="1207"/>
      <c r="Q6878" s="1207"/>
    </row>
    <row r="6879" spans="3:17" s="700" customFormat="1" ht="70.5" hidden="1" customHeight="1">
      <c r="C6879" s="701"/>
      <c r="D6879" s="811"/>
      <c r="E6879" s="1276">
        <f>[11]building!Y7210</f>
        <v>0</v>
      </c>
      <c r="F6879" s="748">
        <f t="shared" si="346"/>
        <v>0</v>
      </c>
      <c r="G6879" s="1205"/>
      <c r="H6879" s="1055"/>
      <c r="I6879" s="1055"/>
      <c r="J6879" s="1055"/>
      <c r="K6879" s="1205"/>
      <c r="L6879" s="1055"/>
      <c r="M6879" s="1205"/>
      <c r="N6879" s="1054"/>
      <c r="O6879" s="1207"/>
      <c r="Q6879" s="1207"/>
    </row>
    <row r="6880" spans="3:17" s="700" customFormat="1" ht="70.5" hidden="1" customHeight="1">
      <c r="C6880" s="701"/>
      <c r="D6880" s="811"/>
      <c r="E6880" s="1276">
        <f>[11]building!Y7211</f>
        <v>0</v>
      </c>
      <c r="F6880" s="748">
        <f t="shared" si="346"/>
        <v>0</v>
      </c>
      <c r="G6880" s="1205"/>
      <c r="H6880" s="1055"/>
      <c r="I6880" s="1055"/>
      <c r="J6880" s="1055"/>
      <c r="K6880" s="1205"/>
      <c r="L6880" s="1055"/>
      <c r="M6880" s="1205"/>
      <c r="N6880" s="1054"/>
      <c r="O6880" s="1207"/>
      <c r="Q6880" s="1207"/>
    </row>
    <row r="6881" spans="3:17" s="700" customFormat="1" ht="70.5" hidden="1" customHeight="1">
      <c r="C6881" s="701"/>
      <c r="D6881" s="811"/>
      <c r="E6881" s="1276">
        <f>[11]building!Y7212</f>
        <v>0</v>
      </c>
      <c r="F6881" s="748">
        <f t="shared" si="346"/>
        <v>0</v>
      </c>
      <c r="G6881" s="1205"/>
      <c r="H6881" s="1055"/>
      <c r="I6881" s="1055"/>
      <c r="J6881" s="1055"/>
      <c r="K6881" s="1205"/>
      <c r="L6881" s="1055"/>
      <c r="M6881" s="1205"/>
      <c r="N6881" s="1054"/>
      <c r="O6881" s="1207"/>
      <c r="Q6881" s="1207"/>
    </row>
    <row r="6882" spans="3:17" s="700" customFormat="1" ht="70.5" hidden="1" customHeight="1">
      <c r="C6882" s="701"/>
      <c r="D6882" s="811"/>
      <c r="E6882" s="1276">
        <f>[11]building!Y7213</f>
        <v>0</v>
      </c>
      <c r="F6882" s="748">
        <f t="shared" si="346"/>
        <v>0</v>
      </c>
      <c r="G6882" s="1205"/>
      <c r="H6882" s="1055"/>
      <c r="I6882" s="1055"/>
      <c r="J6882" s="1055"/>
      <c r="K6882" s="1205"/>
      <c r="L6882" s="1055"/>
      <c r="M6882" s="1205"/>
      <c r="N6882" s="1054"/>
      <c r="O6882" s="1207"/>
      <c r="Q6882" s="1207"/>
    </row>
    <row r="6883" spans="3:17" s="700" customFormat="1" ht="70.5" hidden="1" customHeight="1">
      <c r="C6883" s="701"/>
      <c r="D6883" s="811"/>
      <c r="E6883" s="1276">
        <f>[11]building!Y7214</f>
        <v>0</v>
      </c>
      <c r="F6883" s="748">
        <f t="shared" si="346"/>
        <v>0</v>
      </c>
      <c r="G6883" s="1205"/>
      <c r="H6883" s="1055"/>
      <c r="I6883" s="1055"/>
      <c r="J6883" s="1055"/>
      <c r="K6883" s="1205"/>
      <c r="L6883" s="1055"/>
      <c r="M6883" s="1205"/>
      <c r="N6883" s="1054"/>
      <c r="O6883" s="1207"/>
      <c r="Q6883" s="1207"/>
    </row>
    <row r="6884" spans="3:17" s="700" customFormat="1" ht="70.5" hidden="1" customHeight="1">
      <c r="C6884" s="701"/>
      <c r="D6884" s="811"/>
      <c r="E6884" s="1276">
        <f>[11]building!Y7215</f>
        <v>0</v>
      </c>
      <c r="F6884" s="748">
        <f t="shared" si="346"/>
        <v>0</v>
      </c>
      <c r="G6884" s="1205"/>
      <c r="H6884" s="1055"/>
      <c r="I6884" s="1055"/>
      <c r="J6884" s="1055"/>
      <c r="K6884" s="1205"/>
      <c r="L6884" s="1055"/>
      <c r="M6884" s="1205"/>
      <c r="N6884" s="1054"/>
      <c r="O6884" s="1207"/>
      <c r="Q6884" s="1207"/>
    </row>
    <row r="6885" spans="3:17" s="700" customFormat="1" ht="70.5" hidden="1" customHeight="1">
      <c r="C6885" s="701"/>
      <c r="D6885" s="811"/>
      <c r="E6885" s="1276">
        <f>[11]building!Y7216</f>
        <v>0</v>
      </c>
      <c r="F6885" s="748">
        <f t="shared" si="346"/>
        <v>0</v>
      </c>
      <c r="G6885" s="1205"/>
      <c r="H6885" s="1055"/>
      <c r="I6885" s="1055"/>
      <c r="J6885" s="1055"/>
      <c r="K6885" s="1205"/>
      <c r="L6885" s="1055"/>
      <c r="M6885" s="1205"/>
      <c r="N6885" s="1054"/>
      <c r="O6885" s="1207"/>
      <c r="Q6885" s="1207"/>
    </row>
    <row r="6886" spans="3:17" s="700" customFormat="1" ht="70.5" hidden="1" customHeight="1">
      <c r="C6886" s="701"/>
      <c r="D6886" s="811"/>
      <c r="E6886" s="1276">
        <f>[11]building!Y7217</f>
        <v>0</v>
      </c>
      <c r="F6886" s="748">
        <f t="shared" si="346"/>
        <v>0</v>
      </c>
      <c r="G6886" s="1205"/>
      <c r="H6886" s="1055"/>
      <c r="I6886" s="1055"/>
      <c r="J6886" s="1055"/>
      <c r="K6886" s="1205"/>
      <c r="L6886" s="1055"/>
      <c r="M6886" s="1205"/>
      <c r="N6886" s="1054"/>
      <c r="O6886" s="1207"/>
      <c r="Q6886" s="1207"/>
    </row>
    <row r="6887" spans="3:17" s="700" customFormat="1" ht="70.5" hidden="1" customHeight="1">
      <c r="C6887" s="701"/>
      <c r="D6887" s="811"/>
      <c r="E6887" s="1276">
        <f>[11]building!Y7218</f>
        <v>0</v>
      </c>
      <c r="F6887" s="748">
        <f t="shared" si="346"/>
        <v>0</v>
      </c>
      <c r="G6887" s="1205"/>
      <c r="H6887" s="1055"/>
      <c r="I6887" s="1055"/>
      <c r="J6887" s="1055"/>
      <c r="K6887" s="1205"/>
      <c r="L6887" s="1055"/>
      <c r="M6887" s="1205"/>
      <c r="N6887" s="1054"/>
      <c r="O6887" s="1207"/>
      <c r="Q6887" s="1207"/>
    </row>
    <row r="6888" spans="3:17" s="700" customFormat="1" ht="70.5" hidden="1" customHeight="1">
      <c r="C6888" s="701"/>
      <c r="D6888" s="811"/>
      <c r="E6888" s="1276">
        <f>[11]building!Y7219</f>
        <v>0</v>
      </c>
      <c r="F6888" s="748">
        <f t="shared" si="346"/>
        <v>0</v>
      </c>
      <c r="G6888" s="1205"/>
      <c r="H6888" s="1055"/>
      <c r="I6888" s="1055"/>
      <c r="J6888" s="1055"/>
      <c r="K6888" s="1205"/>
      <c r="L6888" s="1055"/>
      <c r="M6888" s="1205"/>
      <c r="N6888" s="1054"/>
      <c r="O6888" s="1207"/>
      <c r="Q6888" s="1207"/>
    </row>
    <row r="6889" spans="3:17" s="700" customFormat="1" ht="70.5" hidden="1" customHeight="1">
      <c r="C6889" s="701"/>
      <c r="D6889" s="811"/>
      <c r="E6889" s="1276">
        <f>[11]building!Y7220</f>
        <v>0</v>
      </c>
      <c r="F6889" s="748">
        <f t="shared" si="346"/>
        <v>0</v>
      </c>
      <c r="G6889" s="1205"/>
      <c r="H6889" s="1055"/>
      <c r="I6889" s="1055"/>
      <c r="J6889" s="1055"/>
      <c r="K6889" s="1205"/>
      <c r="L6889" s="1055"/>
      <c r="M6889" s="1205"/>
      <c r="N6889" s="1054"/>
      <c r="O6889" s="1207"/>
      <c r="Q6889" s="1207"/>
    </row>
    <row r="6890" spans="3:17" s="700" customFormat="1" ht="70.5" hidden="1" customHeight="1">
      <c r="C6890" s="701"/>
      <c r="D6890" s="811"/>
      <c r="E6890" s="1276">
        <f>[11]building!Y7221</f>
        <v>0</v>
      </c>
      <c r="F6890" s="748">
        <f t="shared" si="346"/>
        <v>0</v>
      </c>
      <c r="G6890" s="1205"/>
      <c r="H6890" s="1055"/>
      <c r="I6890" s="1055"/>
      <c r="J6890" s="1055"/>
      <c r="K6890" s="1205"/>
      <c r="L6890" s="1055"/>
      <c r="M6890" s="1205"/>
      <c r="N6890" s="1054"/>
      <c r="O6890" s="1207"/>
      <c r="Q6890" s="1207"/>
    </row>
    <row r="6891" spans="3:17" s="700" customFormat="1" ht="70.5" hidden="1" customHeight="1">
      <c r="C6891" s="701"/>
      <c r="D6891" s="811"/>
      <c r="E6891" s="1276">
        <f>[11]building!Y7222</f>
        <v>0</v>
      </c>
      <c r="F6891" s="748">
        <f t="shared" si="346"/>
        <v>0</v>
      </c>
      <c r="G6891" s="1205"/>
      <c r="H6891" s="1055"/>
      <c r="I6891" s="1055"/>
      <c r="J6891" s="1055"/>
      <c r="K6891" s="1205"/>
      <c r="L6891" s="1055"/>
      <c r="M6891" s="1205"/>
      <c r="N6891" s="1054"/>
      <c r="O6891" s="1207"/>
      <c r="Q6891" s="1207"/>
    </row>
    <row r="6892" spans="3:17" s="700" customFormat="1" ht="70.5" hidden="1" customHeight="1">
      <c r="C6892" s="701"/>
      <c r="D6892" s="811"/>
      <c r="E6892" s="1276">
        <f>[11]building!Y7223</f>
        <v>0</v>
      </c>
      <c r="F6892" s="748">
        <f t="shared" si="346"/>
        <v>0</v>
      </c>
      <c r="G6892" s="1205"/>
      <c r="H6892" s="1055"/>
      <c r="I6892" s="1055"/>
      <c r="J6892" s="1055"/>
      <c r="K6892" s="1205"/>
      <c r="L6892" s="1055"/>
      <c r="M6892" s="1205"/>
      <c r="N6892" s="1054"/>
      <c r="O6892" s="1207"/>
      <c r="Q6892" s="1207"/>
    </row>
    <row r="6893" spans="3:17" s="700" customFormat="1" ht="70.5" hidden="1" customHeight="1">
      <c r="C6893" s="701"/>
      <c r="D6893" s="811"/>
      <c r="E6893" s="1276">
        <f>[11]building!Y7224</f>
        <v>0</v>
      </c>
      <c r="F6893" s="748">
        <f t="shared" si="346"/>
        <v>0</v>
      </c>
      <c r="G6893" s="1205"/>
      <c r="H6893" s="1055"/>
      <c r="I6893" s="1055"/>
      <c r="J6893" s="1055"/>
      <c r="K6893" s="1205"/>
      <c r="L6893" s="1055"/>
      <c r="M6893" s="1205"/>
      <c r="N6893" s="1054"/>
      <c r="O6893" s="1207"/>
      <c r="Q6893" s="1207"/>
    </row>
    <row r="6894" spans="3:17" s="700" customFormat="1" ht="70.5" hidden="1" customHeight="1">
      <c r="C6894" s="701"/>
      <c r="D6894" s="811"/>
      <c r="E6894" s="1276">
        <f>[11]building!Y7225</f>
        <v>0</v>
      </c>
      <c r="F6894" s="748">
        <f t="shared" si="346"/>
        <v>0</v>
      </c>
      <c r="G6894" s="1205"/>
      <c r="H6894" s="1055"/>
      <c r="I6894" s="1055"/>
      <c r="J6894" s="1055"/>
      <c r="K6894" s="1205"/>
      <c r="L6894" s="1055"/>
      <c r="M6894" s="1205"/>
      <c r="N6894" s="1054"/>
      <c r="O6894" s="1207"/>
      <c r="Q6894" s="1207"/>
    </row>
    <row r="6895" spans="3:17" s="700" customFormat="1" ht="70.5" hidden="1" customHeight="1">
      <c r="C6895" s="701"/>
      <c r="D6895" s="811"/>
      <c r="E6895" s="1276">
        <f>[11]building!Y7226</f>
        <v>0</v>
      </c>
      <c r="F6895" s="748">
        <f t="shared" si="346"/>
        <v>0</v>
      </c>
      <c r="G6895" s="1205"/>
      <c r="H6895" s="1055"/>
      <c r="I6895" s="1055"/>
      <c r="J6895" s="1055"/>
      <c r="K6895" s="1205"/>
      <c r="L6895" s="1055"/>
      <c r="M6895" s="1205"/>
      <c r="N6895" s="1054"/>
      <c r="O6895" s="1207"/>
      <c r="Q6895" s="1207"/>
    </row>
    <row r="6896" spans="3:17" s="700" customFormat="1" ht="70.5" hidden="1" customHeight="1">
      <c r="C6896" s="701"/>
      <c r="D6896" s="811"/>
      <c r="E6896" s="1276">
        <f>[11]building!Y7227</f>
        <v>0</v>
      </c>
      <c r="F6896" s="748">
        <f t="shared" si="346"/>
        <v>0</v>
      </c>
      <c r="G6896" s="1205"/>
      <c r="H6896" s="1055"/>
      <c r="I6896" s="1055"/>
      <c r="J6896" s="1055"/>
      <c r="K6896" s="1205"/>
      <c r="L6896" s="1055"/>
      <c r="M6896" s="1205"/>
      <c r="N6896" s="1054"/>
      <c r="O6896" s="1207"/>
      <c r="Q6896" s="1207"/>
    </row>
    <row r="6897" spans="3:17" s="700" customFormat="1" ht="70.5" hidden="1" customHeight="1">
      <c r="C6897" s="701"/>
      <c r="D6897" s="811"/>
      <c r="E6897" s="1276">
        <f>[11]building!Y7228</f>
        <v>0</v>
      </c>
      <c r="F6897" s="748">
        <f t="shared" si="346"/>
        <v>0</v>
      </c>
      <c r="G6897" s="1205"/>
      <c r="H6897" s="1055"/>
      <c r="I6897" s="1055"/>
      <c r="J6897" s="1055"/>
      <c r="K6897" s="1205"/>
      <c r="L6897" s="1055"/>
      <c r="M6897" s="1205"/>
      <c r="N6897" s="1054"/>
      <c r="O6897" s="1207"/>
      <c r="Q6897" s="1207"/>
    </row>
    <row r="6898" spans="3:17" s="700" customFormat="1" ht="70.5" hidden="1" customHeight="1">
      <c r="C6898" s="701"/>
      <c r="D6898" s="811"/>
      <c r="E6898" s="1276">
        <f>[11]building!Y7229</f>
        <v>0</v>
      </c>
      <c r="F6898" s="748">
        <f t="shared" si="346"/>
        <v>0</v>
      </c>
      <c r="G6898" s="1205"/>
      <c r="H6898" s="1055"/>
      <c r="I6898" s="1055"/>
      <c r="J6898" s="1055"/>
      <c r="K6898" s="1205"/>
      <c r="L6898" s="1055"/>
      <c r="M6898" s="1205"/>
      <c r="N6898" s="1054"/>
      <c r="O6898" s="1207"/>
      <c r="Q6898" s="1207"/>
    </row>
    <row r="6899" spans="3:17" s="700" customFormat="1" ht="70.5" hidden="1" customHeight="1">
      <c r="C6899" s="701"/>
      <c r="D6899" s="811"/>
      <c r="E6899" s="1276">
        <f>[11]building!Y7230</f>
        <v>0</v>
      </c>
      <c r="F6899" s="748">
        <f t="shared" si="346"/>
        <v>0</v>
      </c>
      <c r="G6899" s="1205"/>
      <c r="H6899" s="1055"/>
      <c r="I6899" s="1055"/>
      <c r="J6899" s="1055"/>
      <c r="K6899" s="1205"/>
      <c r="L6899" s="1055"/>
      <c r="M6899" s="1205"/>
      <c r="N6899" s="1054"/>
      <c r="O6899" s="1207"/>
      <c r="Q6899" s="1207"/>
    </row>
    <row r="6900" spans="3:17" s="700" customFormat="1" ht="70.5" hidden="1" customHeight="1">
      <c r="C6900" s="701"/>
      <c r="D6900" s="811"/>
      <c r="E6900" s="1276">
        <f>[11]building!Y7231</f>
        <v>0</v>
      </c>
      <c r="F6900" s="748">
        <f t="shared" si="346"/>
        <v>0</v>
      </c>
      <c r="G6900" s="1205"/>
      <c r="H6900" s="1055"/>
      <c r="I6900" s="1055"/>
      <c r="J6900" s="1055"/>
      <c r="K6900" s="1205"/>
      <c r="L6900" s="1055"/>
      <c r="M6900" s="1205"/>
      <c r="N6900" s="1054"/>
      <c r="O6900" s="1207"/>
      <c r="Q6900" s="1207"/>
    </row>
    <row r="6901" spans="3:17" s="700" customFormat="1" ht="70.5" hidden="1" customHeight="1">
      <c r="C6901" s="701"/>
      <c r="D6901" s="811"/>
      <c r="E6901" s="1276">
        <f>[11]building!Y7232</f>
        <v>0</v>
      </c>
      <c r="F6901" s="748">
        <f t="shared" si="346"/>
        <v>0</v>
      </c>
      <c r="G6901" s="1205"/>
      <c r="H6901" s="1055"/>
      <c r="I6901" s="1055"/>
      <c r="J6901" s="1055"/>
      <c r="K6901" s="1205"/>
      <c r="L6901" s="1055"/>
      <c r="M6901" s="1205"/>
      <c r="N6901" s="1054"/>
      <c r="O6901" s="1207"/>
      <c r="Q6901" s="1207"/>
    </row>
    <row r="6902" spans="3:17" s="700" customFormat="1" ht="70.5" hidden="1" customHeight="1">
      <c r="C6902" s="701"/>
      <c r="D6902" s="811"/>
      <c r="E6902" s="1276">
        <f>[11]building!Y7233</f>
        <v>0</v>
      </c>
      <c r="F6902" s="748">
        <f t="shared" si="346"/>
        <v>0</v>
      </c>
      <c r="G6902" s="1205"/>
      <c r="H6902" s="1055"/>
      <c r="I6902" s="1055"/>
      <c r="J6902" s="1055"/>
      <c r="K6902" s="1205"/>
      <c r="L6902" s="1055"/>
      <c r="M6902" s="1205"/>
      <c r="N6902" s="1054"/>
      <c r="O6902" s="1207"/>
      <c r="Q6902" s="1207"/>
    </row>
    <row r="6903" spans="3:17" s="700" customFormat="1" ht="70.5" hidden="1" customHeight="1">
      <c r="C6903" s="701"/>
      <c r="D6903" s="811"/>
      <c r="E6903" s="1276">
        <f>[11]building!Y7234</f>
        <v>0</v>
      </c>
      <c r="F6903" s="748">
        <f t="shared" si="346"/>
        <v>0</v>
      </c>
      <c r="G6903" s="1205"/>
      <c r="H6903" s="1055"/>
      <c r="I6903" s="1055"/>
      <c r="J6903" s="1055"/>
      <c r="K6903" s="1205"/>
      <c r="L6903" s="1055"/>
      <c r="M6903" s="1205"/>
      <c r="N6903" s="1054"/>
      <c r="O6903" s="1207"/>
      <c r="Q6903" s="1207"/>
    </row>
    <row r="6904" spans="3:17" s="700" customFormat="1" ht="70.5" hidden="1" customHeight="1">
      <c r="C6904" s="701"/>
      <c r="D6904" s="811"/>
      <c r="E6904" s="1276">
        <f>[11]building!Y7235</f>
        <v>0</v>
      </c>
      <c r="F6904" s="748">
        <f t="shared" si="346"/>
        <v>0</v>
      </c>
      <c r="G6904" s="1205"/>
      <c r="H6904" s="1055"/>
      <c r="I6904" s="1055"/>
      <c r="J6904" s="1055"/>
      <c r="K6904" s="1205"/>
      <c r="L6904" s="1055"/>
      <c r="M6904" s="1205"/>
      <c r="N6904" s="1054"/>
      <c r="O6904" s="1207"/>
      <c r="Q6904" s="1207"/>
    </row>
    <row r="6905" spans="3:17" s="700" customFormat="1" ht="70.5" hidden="1" customHeight="1">
      <c r="C6905" s="701"/>
      <c r="D6905" s="811"/>
      <c r="E6905" s="1276">
        <f>[11]building!Y7236</f>
        <v>0</v>
      </c>
      <c r="F6905" s="748">
        <f t="shared" si="346"/>
        <v>0</v>
      </c>
      <c r="G6905" s="1205"/>
      <c r="H6905" s="1055"/>
      <c r="I6905" s="1055"/>
      <c r="J6905" s="1055"/>
      <c r="K6905" s="1205"/>
      <c r="L6905" s="1055"/>
      <c r="M6905" s="1205"/>
      <c r="N6905" s="1054"/>
      <c r="O6905" s="1207"/>
      <c r="Q6905" s="1207"/>
    </row>
    <row r="6906" spans="3:17" s="700" customFormat="1" ht="70.5" hidden="1" customHeight="1">
      <c r="C6906" s="701"/>
      <c r="D6906" s="811"/>
      <c r="E6906" s="1276">
        <f>[11]building!Y7237</f>
        <v>0</v>
      </c>
      <c r="F6906" s="748">
        <f t="shared" si="346"/>
        <v>0</v>
      </c>
      <c r="G6906" s="1205"/>
      <c r="H6906" s="1055"/>
      <c r="I6906" s="1055"/>
      <c r="J6906" s="1055"/>
      <c r="K6906" s="1205"/>
      <c r="L6906" s="1055"/>
      <c r="M6906" s="1205"/>
      <c r="N6906" s="1054"/>
      <c r="O6906" s="1207"/>
      <c r="Q6906" s="1207"/>
    </row>
    <row r="6907" spans="3:17" s="700" customFormat="1" ht="70.5" hidden="1" customHeight="1">
      <c r="C6907" s="701"/>
      <c r="D6907" s="811"/>
      <c r="E6907" s="1276">
        <f>[11]building!Y7238</f>
        <v>0</v>
      </c>
      <c r="F6907" s="748">
        <f t="shared" si="346"/>
        <v>0</v>
      </c>
      <c r="G6907" s="1205"/>
      <c r="H6907" s="1055"/>
      <c r="I6907" s="1055"/>
      <c r="J6907" s="1055"/>
      <c r="K6907" s="1205"/>
      <c r="L6907" s="1055"/>
      <c r="M6907" s="1205"/>
      <c r="N6907" s="1054"/>
      <c r="O6907" s="1207"/>
      <c r="Q6907" s="1207"/>
    </row>
    <row r="6908" spans="3:17" s="700" customFormat="1" ht="70.5" hidden="1" customHeight="1">
      <c r="C6908" s="701"/>
      <c r="D6908" s="811"/>
      <c r="E6908" s="1276">
        <f>[11]building!Y7239</f>
        <v>0</v>
      </c>
      <c r="F6908" s="748">
        <f t="shared" si="346"/>
        <v>0</v>
      </c>
      <c r="G6908" s="1205"/>
      <c r="H6908" s="1055"/>
      <c r="I6908" s="1055"/>
      <c r="J6908" s="1055"/>
      <c r="K6908" s="1205"/>
      <c r="L6908" s="1055"/>
      <c r="M6908" s="1205"/>
      <c r="N6908" s="1054"/>
      <c r="O6908" s="1207"/>
      <c r="Q6908" s="1207"/>
    </row>
    <row r="6909" spans="3:17" s="700" customFormat="1" ht="70.5" hidden="1" customHeight="1">
      <c r="C6909" s="701"/>
      <c r="D6909" s="811"/>
      <c r="E6909" s="1276">
        <f>[11]building!Y7240</f>
        <v>0</v>
      </c>
      <c r="F6909" s="748">
        <f t="shared" si="346"/>
        <v>0</v>
      </c>
      <c r="G6909" s="1205"/>
      <c r="H6909" s="1055"/>
      <c r="I6909" s="1055"/>
      <c r="J6909" s="1055"/>
      <c r="K6909" s="1205"/>
      <c r="L6909" s="1055"/>
      <c r="M6909" s="1205"/>
      <c r="N6909" s="1054"/>
      <c r="O6909" s="1207"/>
      <c r="Q6909" s="1207"/>
    </row>
    <row r="6910" spans="3:17" s="700" customFormat="1" ht="70.5" hidden="1" customHeight="1">
      <c r="C6910" s="701"/>
      <c r="D6910" s="811"/>
      <c r="E6910" s="1276">
        <f>[11]building!Y7241</f>
        <v>0</v>
      </c>
      <c r="F6910" s="748">
        <f t="shared" si="346"/>
        <v>0</v>
      </c>
      <c r="G6910" s="1205"/>
      <c r="H6910" s="1055"/>
      <c r="I6910" s="1055"/>
      <c r="J6910" s="1055"/>
      <c r="K6910" s="1205"/>
      <c r="L6910" s="1055"/>
      <c r="M6910" s="1205"/>
      <c r="N6910" s="1054"/>
      <c r="O6910" s="1207"/>
      <c r="Q6910" s="1207"/>
    </row>
    <row r="6911" spans="3:17" s="700" customFormat="1" ht="70.5" hidden="1" customHeight="1">
      <c r="C6911" s="701"/>
      <c r="D6911" s="811"/>
      <c r="E6911" s="1276">
        <f>[11]building!Y7242</f>
        <v>0</v>
      </c>
      <c r="F6911" s="748">
        <f t="shared" si="346"/>
        <v>0</v>
      </c>
      <c r="G6911" s="1205"/>
      <c r="H6911" s="1055"/>
      <c r="I6911" s="1055"/>
      <c r="J6911" s="1055"/>
      <c r="K6911" s="1205"/>
      <c r="L6911" s="1055"/>
      <c r="M6911" s="1205"/>
      <c r="N6911" s="1054"/>
      <c r="O6911" s="1207"/>
      <c r="Q6911" s="1207"/>
    </row>
    <row r="6912" spans="3:17" s="700" customFormat="1" ht="70.5" hidden="1" customHeight="1">
      <c r="C6912" s="701"/>
      <c r="D6912" s="811"/>
      <c r="E6912" s="1276">
        <f>[11]building!Y7243</f>
        <v>0</v>
      </c>
      <c r="F6912" s="748">
        <f t="shared" ref="F6912:F6975" si="347">E6912*C6912</f>
        <v>0</v>
      </c>
      <c r="G6912" s="1205"/>
      <c r="H6912" s="1055"/>
      <c r="I6912" s="1055"/>
      <c r="J6912" s="1055"/>
      <c r="K6912" s="1205"/>
      <c r="L6912" s="1055"/>
      <c r="M6912" s="1205"/>
      <c r="N6912" s="1054"/>
      <c r="O6912" s="1207"/>
      <c r="Q6912" s="1207"/>
    </row>
    <row r="6913" spans="3:17" s="700" customFormat="1" ht="70.5" hidden="1" customHeight="1">
      <c r="C6913" s="701"/>
      <c r="D6913" s="811"/>
      <c r="E6913" s="1276">
        <f>[11]building!Y7244</f>
        <v>0</v>
      </c>
      <c r="F6913" s="748">
        <f t="shared" si="347"/>
        <v>0</v>
      </c>
      <c r="G6913" s="1205"/>
      <c r="H6913" s="1055"/>
      <c r="I6913" s="1055"/>
      <c r="J6913" s="1055"/>
      <c r="K6913" s="1205"/>
      <c r="L6913" s="1055"/>
      <c r="M6913" s="1205"/>
      <c r="N6913" s="1054"/>
      <c r="O6913" s="1207"/>
      <c r="Q6913" s="1207"/>
    </row>
    <row r="6914" spans="3:17" s="700" customFormat="1" ht="70.5" hidden="1" customHeight="1">
      <c r="C6914" s="701"/>
      <c r="D6914" s="811"/>
      <c r="E6914" s="1276">
        <f>[11]building!Y7245</f>
        <v>0</v>
      </c>
      <c r="F6914" s="748">
        <f t="shared" si="347"/>
        <v>0</v>
      </c>
      <c r="G6914" s="1205"/>
      <c r="H6914" s="1055"/>
      <c r="I6914" s="1055"/>
      <c r="J6914" s="1055"/>
      <c r="K6914" s="1205"/>
      <c r="L6914" s="1055"/>
      <c r="M6914" s="1205"/>
      <c r="N6914" s="1054"/>
      <c r="O6914" s="1207"/>
      <c r="Q6914" s="1207"/>
    </row>
    <row r="6915" spans="3:17" s="700" customFormat="1" ht="70.5" hidden="1" customHeight="1">
      <c r="C6915" s="701"/>
      <c r="D6915" s="811"/>
      <c r="E6915" s="1276">
        <f>[11]building!Y7246</f>
        <v>0</v>
      </c>
      <c r="F6915" s="748">
        <f t="shared" si="347"/>
        <v>0</v>
      </c>
      <c r="G6915" s="1205"/>
      <c r="H6915" s="1055"/>
      <c r="I6915" s="1055"/>
      <c r="J6915" s="1055"/>
      <c r="K6915" s="1205"/>
      <c r="L6915" s="1055"/>
      <c r="M6915" s="1205"/>
      <c r="N6915" s="1054"/>
      <c r="O6915" s="1207"/>
      <c r="Q6915" s="1207"/>
    </row>
    <row r="6916" spans="3:17" s="700" customFormat="1" ht="70.5" hidden="1" customHeight="1">
      <c r="C6916" s="701"/>
      <c r="D6916" s="811"/>
      <c r="E6916" s="1276">
        <f>[11]building!Y7247</f>
        <v>0</v>
      </c>
      <c r="F6916" s="748">
        <f t="shared" si="347"/>
        <v>0</v>
      </c>
      <c r="G6916" s="1205"/>
      <c r="H6916" s="1055"/>
      <c r="I6916" s="1055"/>
      <c r="J6916" s="1055"/>
      <c r="K6916" s="1205"/>
      <c r="L6916" s="1055"/>
      <c r="M6916" s="1205"/>
      <c r="N6916" s="1054"/>
      <c r="O6916" s="1207"/>
      <c r="Q6916" s="1207"/>
    </row>
    <row r="6917" spans="3:17" s="700" customFormat="1" ht="70.5" hidden="1" customHeight="1">
      <c r="C6917" s="701"/>
      <c r="D6917" s="811"/>
      <c r="E6917" s="1276">
        <f>[11]building!Y7248</f>
        <v>0</v>
      </c>
      <c r="F6917" s="748">
        <f t="shared" si="347"/>
        <v>0</v>
      </c>
      <c r="G6917" s="1205"/>
      <c r="H6917" s="1055"/>
      <c r="I6917" s="1055"/>
      <c r="J6917" s="1055"/>
      <c r="K6917" s="1205"/>
      <c r="L6917" s="1055"/>
      <c r="M6917" s="1205"/>
      <c r="N6917" s="1054"/>
      <c r="O6917" s="1207"/>
      <c r="Q6917" s="1207"/>
    </row>
    <row r="6918" spans="3:17" s="700" customFormat="1" ht="70.5" hidden="1" customHeight="1">
      <c r="C6918" s="701"/>
      <c r="D6918" s="811"/>
      <c r="E6918" s="1276">
        <f>[11]building!Y7249</f>
        <v>0</v>
      </c>
      <c r="F6918" s="748">
        <f t="shared" si="347"/>
        <v>0</v>
      </c>
      <c r="G6918" s="1205"/>
      <c r="H6918" s="1055"/>
      <c r="I6918" s="1055"/>
      <c r="J6918" s="1055"/>
      <c r="K6918" s="1205"/>
      <c r="L6918" s="1055"/>
      <c r="M6918" s="1205"/>
      <c r="N6918" s="1054"/>
      <c r="O6918" s="1207"/>
      <c r="Q6918" s="1207"/>
    </row>
    <row r="6919" spans="3:17" s="700" customFormat="1" ht="70.5" hidden="1" customHeight="1">
      <c r="C6919" s="701"/>
      <c r="D6919" s="811"/>
      <c r="E6919" s="1276">
        <f>[11]building!Y7250</f>
        <v>0</v>
      </c>
      <c r="F6919" s="748">
        <f t="shared" si="347"/>
        <v>0</v>
      </c>
      <c r="G6919" s="1205"/>
      <c r="H6919" s="1055"/>
      <c r="I6919" s="1055"/>
      <c r="J6919" s="1055"/>
      <c r="K6919" s="1205"/>
      <c r="L6919" s="1055"/>
      <c r="M6919" s="1205"/>
      <c r="N6919" s="1054"/>
      <c r="O6919" s="1207"/>
      <c r="Q6919" s="1207"/>
    </row>
    <row r="6920" spans="3:17" s="700" customFormat="1" ht="70.5" hidden="1" customHeight="1">
      <c r="C6920" s="701"/>
      <c r="D6920" s="811"/>
      <c r="E6920" s="1276">
        <f>[11]building!Y7251</f>
        <v>0</v>
      </c>
      <c r="F6920" s="748">
        <f t="shared" si="347"/>
        <v>0</v>
      </c>
      <c r="G6920" s="1205"/>
      <c r="H6920" s="1055"/>
      <c r="I6920" s="1055"/>
      <c r="J6920" s="1055"/>
      <c r="K6920" s="1205"/>
      <c r="L6920" s="1055"/>
      <c r="M6920" s="1205"/>
      <c r="N6920" s="1054"/>
      <c r="O6920" s="1207"/>
      <c r="Q6920" s="1207"/>
    </row>
    <row r="6921" spans="3:17" s="700" customFormat="1" ht="70.5" hidden="1" customHeight="1">
      <c r="C6921" s="701"/>
      <c r="D6921" s="811"/>
      <c r="E6921" s="1276">
        <f>[11]building!Y7252</f>
        <v>0</v>
      </c>
      <c r="F6921" s="748">
        <f t="shared" si="347"/>
        <v>0</v>
      </c>
      <c r="G6921" s="1205"/>
      <c r="H6921" s="1055"/>
      <c r="I6921" s="1055"/>
      <c r="J6921" s="1055"/>
      <c r="K6921" s="1205"/>
      <c r="L6921" s="1055"/>
      <c r="M6921" s="1205"/>
      <c r="N6921" s="1054"/>
      <c r="O6921" s="1207"/>
      <c r="Q6921" s="1207"/>
    </row>
    <row r="6922" spans="3:17" s="700" customFormat="1" ht="70.5" hidden="1" customHeight="1">
      <c r="C6922" s="701"/>
      <c r="D6922" s="811"/>
      <c r="E6922" s="1276">
        <f>[11]building!Y7253</f>
        <v>0</v>
      </c>
      <c r="F6922" s="748">
        <f t="shared" si="347"/>
        <v>0</v>
      </c>
      <c r="G6922" s="1205"/>
      <c r="H6922" s="1055"/>
      <c r="I6922" s="1055"/>
      <c r="J6922" s="1055"/>
      <c r="K6922" s="1205"/>
      <c r="L6922" s="1055"/>
      <c r="M6922" s="1205"/>
      <c r="N6922" s="1054"/>
      <c r="O6922" s="1207"/>
      <c r="Q6922" s="1207"/>
    </row>
    <row r="6923" spans="3:17" s="700" customFormat="1" ht="70.5" hidden="1" customHeight="1">
      <c r="C6923" s="701"/>
      <c r="D6923" s="811"/>
      <c r="E6923" s="1276">
        <f>[11]building!Y7254</f>
        <v>0</v>
      </c>
      <c r="F6923" s="748">
        <f t="shared" si="347"/>
        <v>0</v>
      </c>
      <c r="G6923" s="1205"/>
      <c r="H6923" s="1055"/>
      <c r="I6923" s="1055"/>
      <c r="J6923" s="1055"/>
      <c r="K6923" s="1205"/>
      <c r="L6923" s="1055"/>
      <c r="M6923" s="1205"/>
      <c r="N6923" s="1054"/>
      <c r="O6923" s="1207"/>
      <c r="Q6923" s="1207"/>
    </row>
    <row r="6924" spans="3:17" s="700" customFormat="1" ht="70.5" hidden="1" customHeight="1">
      <c r="C6924" s="701"/>
      <c r="D6924" s="811"/>
      <c r="E6924" s="1276">
        <f>[11]building!Y7255</f>
        <v>0</v>
      </c>
      <c r="F6924" s="748">
        <f t="shared" si="347"/>
        <v>0</v>
      </c>
      <c r="G6924" s="1205"/>
      <c r="H6924" s="1055"/>
      <c r="I6924" s="1055"/>
      <c r="J6924" s="1055"/>
      <c r="K6924" s="1205"/>
      <c r="L6924" s="1055"/>
      <c r="M6924" s="1205"/>
      <c r="N6924" s="1054"/>
      <c r="O6924" s="1207"/>
      <c r="Q6924" s="1207"/>
    </row>
    <row r="6925" spans="3:17" s="700" customFormat="1" ht="70.5" hidden="1" customHeight="1">
      <c r="C6925" s="701"/>
      <c r="D6925" s="811"/>
      <c r="E6925" s="1276">
        <f>[11]building!Y7256</f>
        <v>0</v>
      </c>
      <c r="F6925" s="748">
        <f t="shared" si="347"/>
        <v>0</v>
      </c>
      <c r="G6925" s="1205"/>
      <c r="H6925" s="1055"/>
      <c r="I6925" s="1055"/>
      <c r="J6925" s="1055"/>
      <c r="K6925" s="1205"/>
      <c r="L6925" s="1055"/>
      <c r="M6925" s="1205"/>
      <c r="N6925" s="1054"/>
      <c r="O6925" s="1207"/>
      <c r="Q6925" s="1207"/>
    </row>
    <row r="6926" spans="3:17" s="700" customFormat="1" ht="70.5" hidden="1" customHeight="1">
      <c r="C6926" s="701"/>
      <c r="D6926" s="811"/>
      <c r="E6926" s="1276">
        <f>[11]building!Y7257</f>
        <v>0</v>
      </c>
      <c r="F6926" s="748">
        <f t="shared" si="347"/>
        <v>0</v>
      </c>
      <c r="G6926" s="1205"/>
      <c r="H6926" s="1055"/>
      <c r="I6926" s="1055"/>
      <c r="J6926" s="1055"/>
      <c r="K6926" s="1205"/>
      <c r="L6926" s="1055"/>
      <c r="M6926" s="1205"/>
      <c r="N6926" s="1054"/>
      <c r="O6926" s="1207"/>
      <c r="Q6926" s="1207"/>
    </row>
    <row r="6927" spans="3:17" s="700" customFormat="1" ht="70.5" hidden="1" customHeight="1">
      <c r="C6927" s="701"/>
      <c r="D6927" s="811"/>
      <c r="E6927" s="1276">
        <f>[11]building!Y7258</f>
        <v>0</v>
      </c>
      <c r="F6927" s="748">
        <f t="shared" si="347"/>
        <v>0</v>
      </c>
      <c r="G6927" s="1205"/>
      <c r="H6927" s="1055"/>
      <c r="I6927" s="1055"/>
      <c r="J6927" s="1055"/>
      <c r="K6927" s="1205"/>
      <c r="L6927" s="1055"/>
      <c r="M6927" s="1205"/>
      <c r="N6927" s="1054"/>
      <c r="O6927" s="1207"/>
      <c r="Q6927" s="1207"/>
    </row>
    <row r="6928" spans="3:17" s="700" customFormat="1" ht="70.5" hidden="1" customHeight="1">
      <c r="C6928" s="701"/>
      <c r="D6928" s="811"/>
      <c r="E6928" s="1276">
        <f>[11]building!Y7259</f>
        <v>0</v>
      </c>
      <c r="F6928" s="748">
        <f t="shared" si="347"/>
        <v>0</v>
      </c>
      <c r="G6928" s="1205"/>
      <c r="H6928" s="1055"/>
      <c r="I6928" s="1055"/>
      <c r="J6928" s="1055"/>
      <c r="K6928" s="1205"/>
      <c r="L6928" s="1055"/>
      <c r="M6928" s="1205"/>
      <c r="N6928" s="1054"/>
      <c r="O6928" s="1207"/>
      <c r="Q6928" s="1207"/>
    </row>
    <row r="6929" spans="3:17" s="700" customFormat="1" ht="70.5" hidden="1" customHeight="1">
      <c r="C6929" s="701"/>
      <c r="D6929" s="811"/>
      <c r="E6929" s="1276">
        <f>[11]building!Y7260</f>
        <v>0</v>
      </c>
      <c r="F6929" s="748">
        <f t="shared" si="347"/>
        <v>0</v>
      </c>
      <c r="G6929" s="1205"/>
      <c r="H6929" s="1055"/>
      <c r="I6929" s="1055"/>
      <c r="J6929" s="1055"/>
      <c r="K6929" s="1205"/>
      <c r="L6929" s="1055"/>
      <c r="M6929" s="1205"/>
      <c r="N6929" s="1054"/>
      <c r="O6929" s="1207"/>
      <c r="Q6929" s="1207"/>
    </row>
    <row r="6930" spans="3:17" s="700" customFormat="1" ht="70.5" hidden="1" customHeight="1">
      <c r="C6930" s="701"/>
      <c r="D6930" s="811"/>
      <c r="E6930" s="1276">
        <f>[11]building!Y7261</f>
        <v>0</v>
      </c>
      <c r="F6930" s="748">
        <f t="shared" si="347"/>
        <v>0</v>
      </c>
      <c r="G6930" s="1205"/>
      <c r="H6930" s="1055"/>
      <c r="I6930" s="1055"/>
      <c r="J6930" s="1055"/>
      <c r="K6930" s="1205"/>
      <c r="L6930" s="1055"/>
      <c r="M6930" s="1205"/>
      <c r="N6930" s="1054"/>
      <c r="O6930" s="1207"/>
      <c r="Q6930" s="1207"/>
    </row>
    <row r="6931" spans="3:17" s="700" customFormat="1" ht="70.5" hidden="1" customHeight="1">
      <c r="C6931" s="701"/>
      <c r="D6931" s="811"/>
      <c r="E6931" s="1276">
        <f>[11]building!Y7262</f>
        <v>0</v>
      </c>
      <c r="F6931" s="748">
        <f t="shared" si="347"/>
        <v>0</v>
      </c>
      <c r="G6931" s="1205"/>
      <c r="H6931" s="1055"/>
      <c r="I6931" s="1055"/>
      <c r="J6931" s="1055"/>
      <c r="K6931" s="1205"/>
      <c r="L6931" s="1055"/>
      <c r="M6931" s="1205"/>
      <c r="N6931" s="1054"/>
      <c r="O6931" s="1207"/>
      <c r="Q6931" s="1207"/>
    </row>
    <row r="6932" spans="3:17" s="700" customFormat="1" ht="70.5" hidden="1" customHeight="1">
      <c r="C6932" s="701"/>
      <c r="D6932" s="811"/>
      <c r="E6932" s="1276">
        <f>[11]building!Y7263</f>
        <v>0</v>
      </c>
      <c r="F6932" s="748">
        <f t="shared" si="347"/>
        <v>0</v>
      </c>
      <c r="G6932" s="1205"/>
      <c r="H6932" s="1055"/>
      <c r="I6932" s="1055"/>
      <c r="J6932" s="1055"/>
      <c r="K6932" s="1205"/>
      <c r="L6932" s="1055"/>
      <c r="M6932" s="1205"/>
      <c r="N6932" s="1054"/>
      <c r="O6932" s="1207"/>
      <c r="Q6932" s="1207"/>
    </row>
    <row r="6933" spans="3:17" s="700" customFormat="1" ht="70.5" hidden="1" customHeight="1">
      <c r="C6933" s="701"/>
      <c r="D6933" s="811"/>
      <c r="E6933" s="1276">
        <f>[11]building!Y7264</f>
        <v>0</v>
      </c>
      <c r="F6933" s="748">
        <f t="shared" si="347"/>
        <v>0</v>
      </c>
      <c r="G6933" s="1205"/>
      <c r="H6933" s="1055"/>
      <c r="I6933" s="1055"/>
      <c r="J6933" s="1055"/>
      <c r="K6933" s="1205"/>
      <c r="L6933" s="1055"/>
      <c r="M6933" s="1205"/>
      <c r="N6933" s="1054"/>
      <c r="O6933" s="1207"/>
      <c r="Q6933" s="1207"/>
    </row>
    <row r="6934" spans="3:17" s="700" customFormat="1" ht="70.5" hidden="1" customHeight="1">
      <c r="C6934" s="701"/>
      <c r="D6934" s="811"/>
      <c r="E6934" s="1276">
        <f>[11]building!Y7265</f>
        <v>0</v>
      </c>
      <c r="F6934" s="748">
        <f t="shared" si="347"/>
        <v>0</v>
      </c>
      <c r="G6934" s="1205"/>
      <c r="H6934" s="1055"/>
      <c r="I6934" s="1055"/>
      <c r="J6934" s="1055"/>
      <c r="K6934" s="1205"/>
      <c r="L6934" s="1055"/>
      <c r="M6934" s="1205"/>
      <c r="N6934" s="1054"/>
      <c r="O6934" s="1207"/>
      <c r="Q6934" s="1207"/>
    </row>
    <row r="6935" spans="3:17" s="700" customFormat="1" ht="70.5" hidden="1" customHeight="1">
      <c r="C6935" s="701"/>
      <c r="D6935" s="811"/>
      <c r="E6935" s="1276">
        <f>[11]building!Y7266</f>
        <v>0</v>
      </c>
      <c r="F6935" s="748">
        <f t="shared" si="347"/>
        <v>0</v>
      </c>
      <c r="G6935" s="1205"/>
      <c r="H6935" s="1055"/>
      <c r="I6935" s="1055"/>
      <c r="J6935" s="1055"/>
      <c r="K6935" s="1205"/>
      <c r="L6935" s="1055"/>
      <c r="M6935" s="1205"/>
      <c r="N6935" s="1054"/>
      <c r="O6935" s="1207"/>
      <c r="Q6935" s="1207"/>
    </row>
    <row r="6936" spans="3:17" s="700" customFormat="1" ht="70.5" hidden="1" customHeight="1">
      <c r="C6936" s="701"/>
      <c r="D6936" s="811"/>
      <c r="E6936" s="1276">
        <f>[11]building!Y7267</f>
        <v>0</v>
      </c>
      <c r="F6936" s="748">
        <f t="shared" si="347"/>
        <v>0</v>
      </c>
      <c r="G6936" s="1205"/>
      <c r="H6936" s="1055"/>
      <c r="I6936" s="1055"/>
      <c r="J6936" s="1055"/>
      <c r="K6936" s="1205"/>
      <c r="L6936" s="1055"/>
      <c r="M6936" s="1205"/>
      <c r="N6936" s="1054"/>
      <c r="O6936" s="1207"/>
      <c r="Q6936" s="1207"/>
    </row>
    <row r="6937" spans="3:17" s="700" customFormat="1" ht="70.5" hidden="1" customHeight="1">
      <c r="C6937" s="701"/>
      <c r="D6937" s="811"/>
      <c r="E6937" s="1276">
        <f>[11]building!Y7268</f>
        <v>0</v>
      </c>
      <c r="F6937" s="748">
        <f t="shared" si="347"/>
        <v>0</v>
      </c>
      <c r="G6937" s="1205"/>
      <c r="H6937" s="1055"/>
      <c r="I6937" s="1055"/>
      <c r="J6937" s="1055"/>
      <c r="K6937" s="1205"/>
      <c r="L6937" s="1055"/>
      <c r="M6937" s="1205"/>
      <c r="N6937" s="1054"/>
      <c r="O6937" s="1207"/>
      <c r="Q6937" s="1207"/>
    </row>
    <row r="6938" spans="3:17" s="700" customFormat="1" ht="70.5" hidden="1" customHeight="1">
      <c r="C6938" s="701"/>
      <c r="D6938" s="811"/>
      <c r="E6938" s="1276">
        <f>[11]building!Y7269</f>
        <v>0</v>
      </c>
      <c r="F6938" s="748">
        <f t="shared" si="347"/>
        <v>0</v>
      </c>
      <c r="G6938" s="1205"/>
      <c r="H6938" s="1055"/>
      <c r="I6938" s="1055"/>
      <c r="J6938" s="1055"/>
      <c r="K6938" s="1205"/>
      <c r="L6938" s="1055"/>
      <c r="M6938" s="1205"/>
      <c r="N6938" s="1054"/>
      <c r="O6938" s="1207"/>
      <c r="Q6938" s="1207"/>
    </row>
    <row r="6939" spans="3:17" s="700" customFormat="1" ht="70.5" hidden="1" customHeight="1">
      <c r="C6939" s="701"/>
      <c r="D6939" s="811"/>
      <c r="E6939" s="1276">
        <f>[11]building!Y7270</f>
        <v>0</v>
      </c>
      <c r="F6939" s="748">
        <f t="shared" si="347"/>
        <v>0</v>
      </c>
      <c r="G6939" s="1205"/>
      <c r="H6939" s="1055"/>
      <c r="I6939" s="1055"/>
      <c r="J6939" s="1055"/>
      <c r="K6939" s="1205"/>
      <c r="L6939" s="1055"/>
      <c r="M6939" s="1205"/>
      <c r="N6939" s="1054"/>
      <c r="O6939" s="1207"/>
      <c r="Q6939" s="1207"/>
    </row>
    <row r="6940" spans="3:17" s="700" customFormat="1" ht="70.5" hidden="1" customHeight="1">
      <c r="C6940" s="701"/>
      <c r="D6940" s="811"/>
      <c r="E6940" s="1276">
        <f>[11]building!Y7271</f>
        <v>0</v>
      </c>
      <c r="F6940" s="748">
        <f t="shared" si="347"/>
        <v>0</v>
      </c>
      <c r="G6940" s="1205"/>
      <c r="H6940" s="1055"/>
      <c r="I6940" s="1055"/>
      <c r="J6940" s="1055"/>
      <c r="K6940" s="1205"/>
      <c r="L6940" s="1055"/>
      <c r="M6940" s="1205"/>
      <c r="N6940" s="1054"/>
      <c r="O6940" s="1207"/>
      <c r="Q6940" s="1207"/>
    </row>
    <row r="6941" spans="3:17" s="700" customFormat="1" ht="70.5" hidden="1" customHeight="1">
      <c r="C6941" s="701"/>
      <c r="D6941" s="811"/>
      <c r="E6941" s="1276">
        <f>[11]building!Y7272</f>
        <v>0</v>
      </c>
      <c r="F6941" s="748">
        <f t="shared" si="347"/>
        <v>0</v>
      </c>
      <c r="G6941" s="1205"/>
      <c r="H6941" s="1055"/>
      <c r="I6941" s="1055"/>
      <c r="J6941" s="1055"/>
      <c r="K6941" s="1205"/>
      <c r="L6941" s="1055"/>
      <c r="M6941" s="1205"/>
      <c r="N6941" s="1054"/>
      <c r="O6941" s="1207"/>
      <c r="Q6941" s="1207"/>
    </row>
    <row r="6942" spans="3:17" s="700" customFormat="1" ht="70.5" hidden="1" customHeight="1">
      <c r="C6942" s="701"/>
      <c r="D6942" s="811"/>
      <c r="E6942" s="1276">
        <f>[11]building!Y7273</f>
        <v>0</v>
      </c>
      <c r="F6942" s="748">
        <f t="shared" si="347"/>
        <v>0</v>
      </c>
      <c r="G6942" s="1205"/>
      <c r="H6942" s="1055"/>
      <c r="I6942" s="1055"/>
      <c r="J6942" s="1055"/>
      <c r="K6942" s="1205"/>
      <c r="L6942" s="1055"/>
      <c r="M6942" s="1205"/>
      <c r="N6942" s="1054"/>
      <c r="O6942" s="1207"/>
      <c r="Q6942" s="1207"/>
    </row>
    <row r="6943" spans="3:17" s="700" customFormat="1" ht="70.5" hidden="1" customHeight="1">
      <c r="C6943" s="701"/>
      <c r="D6943" s="811"/>
      <c r="E6943" s="1276">
        <f>[11]building!Y7274</f>
        <v>0</v>
      </c>
      <c r="F6943" s="748">
        <f t="shared" si="347"/>
        <v>0</v>
      </c>
      <c r="G6943" s="1205"/>
      <c r="H6943" s="1055"/>
      <c r="I6943" s="1055"/>
      <c r="J6943" s="1055"/>
      <c r="K6943" s="1205"/>
      <c r="L6943" s="1055"/>
      <c r="M6943" s="1205"/>
      <c r="N6943" s="1054"/>
      <c r="O6943" s="1207"/>
      <c r="Q6943" s="1207"/>
    </row>
    <row r="6944" spans="3:17" s="700" customFormat="1" ht="70.5" hidden="1" customHeight="1">
      <c r="C6944" s="701"/>
      <c r="D6944" s="811"/>
      <c r="E6944" s="1276">
        <f>[11]building!Y7275</f>
        <v>0</v>
      </c>
      <c r="F6944" s="748">
        <f t="shared" si="347"/>
        <v>0</v>
      </c>
      <c r="G6944" s="1205"/>
      <c r="H6944" s="1055"/>
      <c r="I6944" s="1055"/>
      <c r="J6944" s="1055"/>
      <c r="K6944" s="1205"/>
      <c r="L6944" s="1055"/>
      <c r="M6944" s="1205"/>
      <c r="N6944" s="1054"/>
      <c r="O6944" s="1207"/>
      <c r="Q6944" s="1207"/>
    </row>
    <row r="6945" spans="3:17" s="700" customFormat="1" ht="70.5" hidden="1" customHeight="1">
      <c r="C6945" s="701"/>
      <c r="D6945" s="811"/>
      <c r="E6945" s="1276">
        <f>[11]building!Y7276</f>
        <v>0</v>
      </c>
      <c r="F6945" s="748">
        <f t="shared" si="347"/>
        <v>0</v>
      </c>
      <c r="G6945" s="1205"/>
      <c r="H6945" s="1055"/>
      <c r="I6945" s="1055"/>
      <c r="J6945" s="1055"/>
      <c r="K6945" s="1205"/>
      <c r="L6945" s="1055"/>
      <c r="M6945" s="1205"/>
      <c r="N6945" s="1054"/>
      <c r="O6945" s="1207"/>
      <c r="Q6945" s="1207"/>
    </row>
    <row r="6946" spans="3:17" s="700" customFormat="1" ht="70.5" hidden="1" customHeight="1">
      <c r="C6946" s="701"/>
      <c r="D6946" s="811"/>
      <c r="E6946" s="1276">
        <f>[11]building!Y7277</f>
        <v>0</v>
      </c>
      <c r="F6946" s="748">
        <f t="shared" si="347"/>
        <v>0</v>
      </c>
      <c r="G6946" s="1205"/>
      <c r="H6946" s="1055"/>
      <c r="I6946" s="1055"/>
      <c r="J6946" s="1055"/>
      <c r="K6946" s="1205"/>
      <c r="L6946" s="1055"/>
      <c r="M6946" s="1205"/>
      <c r="N6946" s="1054"/>
      <c r="O6946" s="1207"/>
      <c r="Q6946" s="1207"/>
    </row>
    <row r="6947" spans="3:17" s="700" customFormat="1" ht="70.5" hidden="1" customHeight="1">
      <c r="C6947" s="701"/>
      <c r="D6947" s="811"/>
      <c r="E6947" s="1276">
        <f>[11]building!Y7278</f>
        <v>0</v>
      </c>
      <c r="F6947" s="748">
        <f t="shared" si="347"/>
        <v>0</v>
      </c>
      <c r="G6947" s="1205"/>
      <c r="H6947" s="1055"/>
      <c r="I6947" s="1055"/>
      <c r="J6947" s="1055"/>
      <c r="K6947" s="1205"/>
      <c r="L6947" s="1055"/>
      <c r="M6947" s="1205"/>
      <c r="N6947" s="1054"/>
      <c r="O6947" s="1207"/>
      <c r="Q6947" s="1207"/>
    </row>
    <row r="6948" spans="3:17" s="700" customFormat="1" ht="70.5" hidden="1" customHeight="1">
      <c r="C6948" s="701"/>
      <c r="D6948" s="811"/>
      <c r="E6948" s="1276">
        <f>[11]building!Y7279</f>
        <v>0</v>
      </c>
      <c r="F6948" s="748">
        <f t="shared" si="347"/>
        <v>0</v>
      </c>
      <c r="G6948" s="1205"/>
      <c r="H6948" s="1055"/>
      <c r="I6948" s="1055"/>
      <c r="J6948" s="1055"/>
      <c r="K6948" s="1205"/>
      <c r="L6948" s="1055"/>
      <c r="M6948" s="1205"/>
      <c r="N6948" s="1054"/>
      <c r="O6948" s="1207"/>
      <c r="Q6948" s="1207"/>
    </row>
    <row r="6949" spans="3:17" s="700" customFormat="1" ht="70.5" hidden="1" customHeight="1">
      <c r="C6949" s="701"/>
      <c r="D6949" s="811"/>
      <c r="E6949" s="1276">
        <f>[11]building!Y7280</f>
        <v>0</v>
      </c>
      <c r="F6949" s="748">
        <f t="shared" si="347"/>
        <v>0</v>
      </c>
      <c r="G6949" s="1205"/>
      <c r="H6949" s="1055"/>
      <c r="I6949" s="1055"/>
      <c r="J6949" s="1055"/>
      <c r="K6949" s="1205"/>
      <c r="L6949" s="1055"/>
      <c r="M6949" s="1205"/>
      <c r="N6949" s="1054"/>
      <c r="O6949" s="1207"/>
      <c r="Q6949" s="1207"/>
    </row>
    <row r="6950" spans="3:17" s="700" customFormat="1" ht="70.5" hidden="1" customHeight="1">
      <c r="C6950" s="701"/>
      <c r="D6950" s="811"/>
      <c r="E6950" s="1276">
        <f>[11]building!Y7281</f>
        <v>0</v>
      </c>
      <c r="F6950" s="748">
        <f t="shared" si="347"/>
        <v>0</v>
      </c>
      <c r="G6950" s="1205"/>
      <c r="H6950" s="1055"/>
      <c r="I6950" s="1055"/>
      <c r="J6950" s="1055"/>
      <c r="K6950" s="1205"/>
      <c r="L6950" s="1055"/>
      <c r="M6950" s="1205"/>
      <c r="N6950" s="1054"/>
      <c r="O6950" s="1207"/>
      <c r="Q6950" s="1207"/>
    </row>
    <row r="6951" spans="3:17" s="700" customFormat="1" ht="70.5" hidden="1" customHeight="1">
      <c r="C6951" s="701"/>
      <c r="D6951" s="811"/>
      <c r="E6951" s="1276">
        <f>[11]building!Y7282</f>
        <v>0</v>
      </c>
      <c r="F6951" s="748">
        <f t="shared" si="347"/>
        <v>0</v>
      </c>
      <c r="G6951" s="1205"/>
      <c r="H6951" s="1055"/>
      <c r="I6951" s="1055"/>
      <c r="J6951" s="1055"/>
      <c r="K6951" s="1205"/>
      <c r="L6951" s="1055"/>
      <c r="M6951" s="1205"/>
      <c r="N6951" s="1054"/>
      <c r="O6951" s="1207"/>
      <c r="Q6951" s="1207"/>
    </row>
    <row r="6952" spans="3:17" s="700" customFormat="1" ht="70.5" hidden="1" customHeight="1">
      <c r="C6952" s="701"/>
      <c r="D6952" s="811"/>
      <c r="E6952" s="1276">
        <f>[11]building!Y7283</f>
        <v>0</v>
      </c>
      <c r="F6952" s="748">
        <f t="shared" si="347"/>
        <v>0</v>
      </c>
      <c r="G6952" s="1205"/>
      <c r="H6952" s="1055"/>
      <c r="I6952" s="1055"/>
      <c r="J6952" s="1055"/>
      <c r="K6952" s="1205"/>
      <c r="L6952" s="1055"/>
      <c r="M6952" s="1205"/>
      <c r="N6952" s="1054"/>
      <c r="O6952" s="1207"/>
      <c r="Q6952" s="1207"/>
    </row>
    <row r="6953" spans="3:17" s="700" customFormat="1" ht="70.5" hidden="1" customHeight="1">
      <c r="C6953" s="701"/>
      <c r="D6953" s="811"/>
      <c r="E6953" s="1276">
        <f>[11]building!Y7284</f>
        <v>0</v>
      </c>
      <c r="F6953" s="748">
        <f t="shared" si="347"/>
        <v>0</v>
      </c>
      <c r="G6953" s="1205"/>
      <c r="H6953" s="1055"/>
      <c r="I6953" s="1055"/>
      <c r="J6953" s="1055"/>
      <c r="K6953" s="1205"/>
      <c r="L6953" s="1055"/>
      <c r="M6953" s="1205"/>
      <c r="N6953" s="1054"/>
      <c r="O6953" s="1207"/>
      <c r="Q6953" s="1207"/>
    </row>
    <row r="6954" spans="3:17" s="700" customFormat="1" ht="70.5" hidden="1" customHeight="1">
      <c r="C6954" s="701"/>
      <c r="D6954" s="811"/>
      <c r="E6954" s="1276">
        <f>[11]building!Y7285</f>
        <v>0</v>
      </c>
      <c r="F6954" s="748">
        <f t="shared" si="347"/>
        <v>0</v>
      </c>
      <c r="G6954" s="1205"/>
      <c r="H6954" s="1055"/>
      <c r="I6954" s="1055"/>
      <c r="J6954" s="1055"/>
      <c r="K6954" s="1205"/>
      <c r="L6954" s="1055"/>
      <c r="M6954" s="1205"/>
      <c r="N6954" s="1054"/>
      <c r="O6954" s="1207"/>
      <c r="Q6954" s="1207"/>
    </row>
    <row r="6955" spans="3:17" s="700" customFormat="1" ht="70.5" hidden="1" customHeight="1">
      <c r="C6955" s="701"/>
      <c r="D6955" s="811"/>
      <c r="E6955" s="1276">
        <f>[11]building!Y7286</f>
        <v>0</v>
      </c>
      <c r="F6955" s="748">
        <f t="shared" si="347"/>
        <v>0</v>
      </c>
      <c r="G6955" s="1205"/>
      <c r="H6955" s="1055"/>
      <c r="I6955" s="1055"/>
      <c r="J6955" s="1055"/>
      <c r="K6955" s="1205"/>
      <c r="L6955" s="1055"/>
      <c r="M6955" s="1205"/>
      <c r="N6955" s="1054"/>
      <c r="O6955" s="1207"/>
      <c r="Q6955" s="1207"/>
    </row>
    <row r="6956" spans="3:17" s="700" customFormat="1" ht="70.5" hidden="1" customHeight="1">
      <c r="C6956" s="701"/>
      <c r="D6956" s="811"/>
      <c r="E6956" s="1276">
        <f>[11]building!Y7287</f>
        <v>0</v>
      </c>
      <c r="F6956" s="748">
        <f t="shared" si="347"/>
        <v>0</v>
      </c>
      <c r="G6956" s="1205"/>
      <c r="H6956" s="1055"/>
      <c r="I6956" s="1055"/>
      <c r="J6956" s="1055"/>
      <c r="K6956" s="1205"/>
      <c r="L6956" s="1055"/>
      <c r="M6956" s="1205"/>
      <c r="N6956" s="1054"/>
      <c r="O6956" s="1207"/>
      <c r="Q6956" s="1207"/>
    </row>
    <row r="6957" spans="3:17" s="700" customFormat="1" ht="70.5" hidden="1" customHeight="1">
      <c r="C6957" s="701"/>
      <c r="D6957" s="811"/>
      <c r="E6957" s="1276">
        <f>[11]building!Y7288</f>
        <v>0</v>
      </c>
      <c r="F6957" s="748">
        <f t="shared" si="347"/>
        <v>0</v>
      </c>
      <c r="G6957" s="1205"/>
      <c r="H6957" s="1055"/>
      <c r="I6957" s="1055"/>
      <c r="J6957" s="1055"/>
      <c r="K6957" s="1205"/>
      <c r="L6957" s="1055"/>
      <c r="M6957" s="1205"/>
      <c r="N6957" s="1054"/>
      <c r="O6957" s="1207"/>
      <c r="Q6957" s="1207"/>
    </row>
    <row r="6958" spans="3:17" s="700" customFormat="1" ht="70.5" hidden="1" customHeight="1">
      <c r="C6958" s="701"/>
      <c r="D6958" s="811"/>
      <c r="E6958" s="1276">
        <f>[11]building!Y7289</f>
        <v>0</v>
      </c>
      <c r="F6958" s="748">
        <f t="shared" si="347"/>
        <v>0</v>
      </c>
      <c r="G6958" s="1205"/>
      <c r="H6958" s="1055"/>
      <c r="I6958" s="1055"/>
      <c r="J6958" s="1055"/>
      <c r="K6958" s="1205"/>
      <c r="L6958" s="1055"/>
      <c r="M6958" s="1205"/>
      <c r="N6958" s="1054"/>
      <c r="O6958" s="1207"/>
      <c r="Q6958" s="1207"/>
    </row>
    <row r="6959" spans="3:17" s="700" customFormat="1" ht="70.5" hidden="1" customHeight="1">
      <c r="C6959" s="701"/>
      <c r="D6959" s="811"/>
      <c r="E6959" s="1276">
        <f>[11]building!Y7290</f>
        <v>0</v>
      </c>
      <c r="F6959" s="748">
        <f t="shared" si="347"/>
        <v>0</v>
      </c>
      <c r="G6959" s="1205"/>
      <c r="H6959" s="1055"/>
      <c r="I6959" s="1055"/>
      <c r="J6959" s="1055"/>
      <c r="K6959" s="1205"/>
      <c r="L6959" s="1055"/>
      <c r="M6959" s="1205"/>
      <c r="N6959" s="1054"/>
      <c r="O6959" s="1207"/>
      <c r="Q6959" s="1207"/>
    </row>
    <row r="6960" spans="3:17" s="700" customFormat="1" ht="70.5" hidden="1" customHeight="1">
      <c r="C6960" s="701"/>
      <c r="D6960" s="811"/>
      <c r="E6960" s="1276">
        <f>[11]building!Y7291</f>
        <v>0</v>
      </c>
      <c r="F6960" s="748">
        <f t="shared" si="347"/>
        <v>0</v>
      </c>
      <c r="G6960" s="1205"/>
      <c r="H6960" s="1055"/>
      <c r="I6960" s="1055"/>
      <c r="J6960" s="1055"/>
      <c r="K6960" s="1205"/>
      <c r="L6960" s="1055"/>
      <c r="M6960" s="1205"/>
      <c r="N6960" s="1054"/>
      <c r="O6960" s="1207"/>
      <c r="Q6960" s="1207"/>
    </row>
    <row r="6961" spans="3:17" s="700" customFormat="1" ht="70.5" hidden="1" customHeight="1">
      <c r="C6961" s="701"/>
      <c r="D6961" s="811"/>
      <c r="E6961" s="1276">
        <f>[11]building!Y7292</f>
        <v>0</v>
      </c>
      <c r="F6961" s="748">
        <f t="shared" si="347"/>
        <v>0</v>
      </c>
      <c r="G6961" s="1205"/>
      <c r="H6961" s="1055"/>
      <c r="I6961" s="1055"/>
      <c r="J6961" s="1055"/>
      <c r="K6961" s="1205"/>
      <c r="L6961" s="1055"/>
      <c r="M6961" s="1205"/>
      <c r="N6961" s="1054"/>
      <c r="O6961" s="1207"/>
      <c r="Q6961" s="1207"/>
    </row>
    <row r="6962" spans="3:17" s="700" customFormat="1" ht="70.5" hidden="1" customHeight="1">
      <c r="C6962" s="701"/>
      <c r="D6962" s="811"/>
      <c r="E6962" s="1276">
        <f>[11]building!Y7293</f>
        <v>0</v>
      </c>
      <c r="F6962" s="748">
        <f t="shared" si="347"/>
        <v>0</v>
      </c>
      <c r="G6962" s="1205"/>
      <c r="H6962" s="1055"/>
      <c r="I6962" s="1055"/>
      <c r="J6962" s="1055"/>
      <c r="K6962" s="1205"/>
      <c r="L6962" s="1055"/>
      <c r="M6962" s="1205"/>
      <c r="N6962" s="1054"/>
      <c r="O6962" s="1207"/>
      <c r="Q6962" s="1207"/>
    </row>
    <row r="6963" spans="3:17" s="700" customFormat="1" ht="70.5" hidden="1" customHeight="1">
      <c r="C6963" s="701"/>
      <c r="D6963" s="811"/>
      <c r="E6963" s="1276">
        <f>[11]building!Y7294</f>
        <v>0</v>
      </c>
      <c r="F6963" s="748">
        <f t="shared" si="347"/>
        <v>0</v>
      </c>
      <c r="G6963" s="1205"/>
      <c r="H6963" s="1055"/>
      <c r="I6963" s="1055"/>
      <c r="J6963" s="1055"/>
      <c r="K6963" s="1205"/>
      <c r="L6963" s="1055"/>
      <c r="M6963" s="1205"/>
      <c r="N6963" s="1054"/>
      <c r="O6963" s="1207"/>
      <c r="Q6963" s="1207"/>
    </row>
    <row r="6964" spans="3:17" s="700" customFormat="1" ht="70.5" hidden="1" customHeight="1">
      <c r="C6964" s="701"/>
      <c r="D6964" s="811"/>
      <c r="E6964" s="1276">
        <f>[11]building!Y7295</f>
        <v>0</v>
      </c>
      <c r="F6964" s="748">
        <f t="shared" si="347"/>
        <v>0</v>
      </c>
      <c r="G6964" s="1205"/>
      <c r="H6964" s="1055"/>
      <c r="I6964" s="1055"/>
      <c r="J6964" s="1055"/>
      <c r="K6964" s="1205"/>
      <c r="L6964" s="1055"/>
      <c r="M6964" s="1205"/>
      <c r="N6964" s="1054"/>
      <c r="O6964" s="1207"/>
      <c r="Q6964" s="1207"/>
    </row>
    <row r="6965" spans="3:17" s="700" customFormat="1" ht="70.5" hidden="1" customHeight="1">
      <c r="C6965" s="701"/>
      <c r="D6965" s="811"/>
      <c r="E6965" s="1276">
        <f>[11]building!Y7296</f>
        <v>0</v>
      </c>
      <c r="F6965" s="748">
        <f t="shared" si="347"/>
        <v>0</v>
      </c>
      <c r="G6965" s="1205"/>
      <c r="H6965" s="1055"/>
      <c r="I6965" s="1055"/>
      <c r="J6965" s="1055"/>
      <c r="K6965" s="1205"/>
      <c r="L6965" s="1055"/>
      <c r="M6965" s="1205"/>
      <c r="N6965" s="1054"/>
      <c r="O6965" s="1207"/>
      <c r="Q6965" s="1207"/>
    </row>
    <row r="6966" spans="3:17" s="700" customFormat="1" ht="70.5" hidden="1" customHeight="1">
      <c r="C6966" s="701"/>
      <c r="D6966" s="811"/>
      <c r="E6966" s="1276">
        <f>[11]building!Y7297</f>
        <v>0</v>
      </c>
      <c r="F6966" s="748">
        <f t="shared" si="347"/>
        <v>0</v>
      </c>
      <c r="G6966" s="1205"/>
      <c r="H6966" s="1055"/>
      <c r="I6966" s="1055"/>
      <c r="J6966" s="1055"/>
      <c r="K6966" s="1205"/>
      <c r="L6966" s="1055"/>
      <c r="M6966" s="1205"/>
      <c r="N6966" s="1054"/>
      <c r="O6966" s="1207"/>
      <c r="Q6966" s="1207"/>
    </row>
    <row r="6967" spans="3:17" s="700" customFormat="1" ht="70.5" hidden="1" customHeight="1">
      <c r="C6967" s="701"/>
      <c r="D6967" s="811"/>
      <c r="E6967" s="1276">
        <f>[11]building!Y7298</f>
        <v>0</v>
      </c>
      <c r="F6967" s="748">
        <f t="shared" si="347"/>
        <v>0</v>
      </c>
      <c r="G6967" s="1205"/>
      <c r="H6967" s="1055"/>
      <c r="I6967" s="1055"/>
      <c r="J6967" s="1055"/>
      <c r="K6967" s="1205"/>
      <c r="L6967" s="1055"/>
      <c r="M6967" s="1205"/>
      <c r="N6967" s="1054"/>
      <c r="O6967" s="1207"/>
      <c r="Q6967" s="1207"/>
    </row>
    <row r="6968" spans="3:17" s="700" customFormat="1" ht="70.5" hidden="1" customHeight="1">
      <c r="C6968" s="701"/>
      <c r="D6968" s="811"/>
      <c r="E6968" s="1276">
        <f>[11]building!Y7299</f>
        <v>0</v>
      </c>
      <c r="F6968" s="748">
        <f t="shared" si="347"/>
        <v>0</v>
      </c>
      <c r="G6968" s="1205"/>
      <c r="H6968" s="1055"/>
      <c r="I6968" s="1055"/>
      <c r="J6968" s="1055"/>
      <c r="K6968" s="1205"/>
      <c r="L6968" s="1055"/>
      <c r="M6968" s="1205"/>
      <c r="N6968" s="1054"/>
      <c r="O6968" s="1207"/>
      <c r="Q6968" s="1207"/>
    </row>
    <row r="6969" spans="3:17" s="700" customFormat="1" ht="70.5" hidden="1" customHeight="1">
      <c r="C6969" s="701"/>
      <c r="D6969" s="811"/>
      <c r="E6969" s="1276">
        <f>[11]building!Y7300</f>
        <v>0</v>
      </c>
      <c r="F6969" s="748">
        <f t="shared" si="347"/>
        <v>0</v>
      </c>
      <c r="G6969" s="1205"/>
      <c r="H6969" s="1055"/>
      <c r="I6969" s="1055"/>
      <c r="J6969" s="1055"/>
      <c r="K6969" s="1205"/>
      <c r="L6969" s="1055"/>
      <c r="M6969" s="1205"/>
      <c r="N6969" s="1054"/>
      <c r="O6969" s="1207"/>
      <c r="Q6969" s="1207"/>
    </row>
    <row r="6970" spans="3:17" s="700" customFormat="1" ht="70.5" hidden="1" customHeight="1">
      <c r="C6970" s="701"/>
      <c r="D6970" s="811"/>
      <c r="E6970" s="1276">
        <f>[11]building!Y7301</f>
        <v>0</v>
      </c>
      <c r="F6970" s="748">
        <f t="shared" si="347"/>
        <v>0</v>
      </c>
      <c r="G6970" s="1205"/>
      <c r="H6970" s="1055"/>
      <c r="I6970" s="1055"/>
      <c r="J6970" s="1055"/>
      <c r="K6970" s="1205"/>
      <c r="L6970" s="1055"/>
      <c r="M6970" s="1205"/>
      <c r="N6970" s="1054"/>
      <c r="O6970" s="1207"/>
      <c r="Q6970" s="1207"/>
    </row>
    <row r="6971" spans="3:17" s="700" customFormat="1" ht="70.5" hidden="1" customHeight="1">
      <c r="C6971" s="701"/>
      <c r="D6971" s="811"/>
      <c r="E6971" s="1276">
        <f>[11]building!Y7302</f>
        <v>0</v>
      </c>
      <c r="F6971" s="748">
        <f t="shared" si="347"/>
        <v>0</v>
      </c>
      <c r="G6971" s="1205"/>
      <c r="H6971" s="1055"/>
      <c r="I6971" s="1055"/>
      <c r="J6971" s="1055"/>
      <c r="K6971" s="1205"/>
      <c r="L6971" s="1055"/>
      <c r="M6971" s="1205"/>
      <c r="N6971" s="1054"/>
      <c r="O6971" s="1207"/>
      <c r="Q6971" s="1207"/>
    </row>
    <row r="6972" spans="3:17" s="700" customFormat="1" ht="70.5" hidden="1" customHeight="1">
      <c r="C6972" s="701"/>
      <c r="D6972" s="811"/>
      <c r="E6972" s="1276">
        <f>[11]building!Y7303</f>
        <v>0</v>
      </c>
      <c r="F6972" s="748">
        <f t="shared" si="347"/>
        <v>0</v>
      </c>
      <c r="G6972" s="1205"/>
      <c r="H6972" s="1055"/>
      <c r="I6972" s="1055"/>
      <c r="J6972" s="1055"/>
      <c r="K6972" s="1205"/>
      <c r="L6972" s="1055"/>
      <c r="M6972" s="1205"/>
      <c r="N6972" s="1054"/>
      <c r="O6972" s="1207"/>
      <c r="Q6972" s="1207"/>
    </row>
    <row r="6973" spans="3:17" s="700" customFormat="1" ht="70.5" hidden="1" customHeight="1">
      <c r="C6973" s="701"/>
      <c r="D6973" s="811"/>
      <c r="E6973" s="1276">
        <f>[11]building!Y7304</f>
        <v>0</v>
      </c>
      <c r="F6973" s="748">
        <f t="shared" si="347"/>
        <v>0</v>
      </c>
      <c r="G6973" s="1205"/>
      <c r="H6973" s="1055"/>
      <c r="I6973" s="1055"/>
      <c r="J6973" s="1055"/>
      <c r="K6973" s="1205"/>
      <c r="L6973" s="1055"/>
      <c r="M6973" s="1205"/>
      <c r="N6973" s="1054"/>
      <c r="O6973" s="1207"/>
      <c r="Q6973" s="1207"/>
    </row>
    <row r="6974" spans="3:17" s="700" customFormat="1" ht="70.5" hidden="1" customHeight="1">
      <c r="C6974" s="701"/>
      <c r="D6974" s="811"/>
      <c r="E6974" s="1276">
        <f>[11]building!Y7305</f>
        <v>0</v>
      </c>
      <c r="F6974" s="748">
        <f t="shared" si="347"/>
        <v>0</v>
      </c>
      <c r="G6974" s="1205"/>
      <c r="H6974" s="1055"/>
      <c r="I6974" s="1055"/>
      <c r="J6974" s="1055"/>
      <c r="K6974" s="1205"/>
      <c r="L6974" s="1055"/>
      <c r="M6974" s="1205"/>
      <c r="N6974" s="1054"/>
      <c r="O6974" s="1207"/>
      <c r="Q6974" s="1207"/>
    </row>
    <row r="6975" spans="3:17" s="700" customFormat="1" ht="70.5" hidden="1" customHeight="1">
      <c r="C6975" s="701"/>
      <c r="D6975" s="811"/>
      <c r="E6975" s="1276">
        <f>[11]building!Y7306</f>
        <v>0</v>
      </c>
      <c r="F6975" s="748">
        <f t="shared" si="347"/>
        <v>0</v>
      </c>
      <c r="G6975" s="1205"/>
      <c r="H6975" s="1055"/>
      <c r="I6975" s="1055"/>
      <c r="J6975" s="1055"/>
      <c r="K6975" s="1205"/>
      <c r="L6975" s="1055"/>
      <c r="M6975" s="1205"/>
      <c r="N6975" s="1054"/>
      <c r="O6975" s="1207"/>
      <c r="Q6975" s="1207"/>
    </row>
    <row r="6976" spans="3:17" s="700" customFormat="1" ht="70.5" hidden="1" customHeight="1">
      <c r="C6976" s="701"/>
      <c r="D6976" s="811"/>
      <c r="E6976" s="1276">
        <f>[11]building!Y7307</f>
        <v>0</v>
      </c>
      <c r="F6976" s="748">
        <f t="shared" ref="F6976:F7039" si="348">E6976*C6976</f>
        <v>0</v>
      </c>
      <c r="G6976" s="1205"/>
      <c r="H6976" s="1055"/>
      <c r="I6976" s="1055"/>
      <c r="J6976" s="1055"/>
      <c r="K6976" s="1205"/>
      <c r="L6976" s="1055"/>
      <c r="M6976" s="1205"/>
      <c r="N6976" s="1054"/>
      <c r="O6976" s="1207"/>
      <c r="Q6976" s="1207"/>
    </row>
    <row r="6977" spans="3:17" s="700" customFormat="1" ht="70.5" hidden="1" customHeight="1">
      <c r="C6977" s="701"/>
      <c r="D6977" s="811"/>
      <c r="E6977" s="1276">
        <f>[11]building!Y7308</f>
        <v>0</v>
      </c>
      <c r="F6977" s="748">
        <f t="shared" si="348"/>
        <v>0</v>
      </c>
      <c r="G6977" s="1205"/>
      <c r="H6977" s="1055"/>
      <c r="I6977" s="1055"/>
      <c r="J6977" s="1055"/>
      <c r="K6977" s="1205"/>
      <c r="L6977" s="1055"/>
      <c r="M6977" s="1205"/>
      <c r="N6977" s="1054"/>
      <c r="O6977" s="1207"/>
      <c r="Q6977" s="1207"/>
    </row>
    <row r="6978" spans="3:17" s="700" customFormat="1" ht="70.5" hidden="1" customHeight="1">
      <c r="C6978" s="701"/>
      <c r="D6978" s="811"/>
      <c r="E6978" s="1276">
        <f>[11]building!Y7309</f>
        <v>0</v>
      </c>
      <c r="F6978" s="748">
        <f t="shared" si="348"/>
        <v>0</v>
      </c>
      <c r="G6978" s="1205"/>
      <c r="H6978" s="1055"/>
      <c r="I6978" s="1055"/>
      <c r="J6978" s="1055"/>
      <c r="K6978" s="1205"/>
      <c r="L6978" s="1055"/>
      <c r="M6978" s="1205"/>
      <c r="N6978" s="1054"/>
      <c r="O6978" s="1207"/>
      <c r="Q6978" s="1207"/>
    </row>
    <row r="6979" spans="3:17" s="700" customFormat="1" ht="70.5" hidden="1" customHeight="1">
      <c r="C6979" s="701"/>
      <c r="D6979" s="811"/>
      <c r="E6979" s="1276">
        <f>[11]building!Y7310</f>
        <v>0</v>
      </c>
      <c r="F6979" s="748">
        <f t="shared" si="348"/>
        <v>0</v>
      </c>
      <c r="G6979" s="1205"/>
      <c r="H6979" s="1055"/>
      <c r="I6979" s="1055"/>
      <c r="J6979" s="1055"/>
      <c r="K6979" s="1205"/>
      <c r="L6979" s="1055"/>
      <c r="M6979" s="1205"/>
      <c r="N6979" s="1054"/>
      <c r="O6979" s="1207"/>
      <c r="Q6979" s="1207"/>
    </row>
    <row r="6980" spans="3:17" s="700" customFormat="1" ht="70.5" hidden="1" customHeight="1">
      <c r="C6980" s="701"/>
      <c r="D6980" s="811"/>
      <c r="E6980" s="1276">
        <f>[11]building!Y7311</f>
        <v>0</v>
      </c>
      <c r="F6980" s="748">
        <f t="shared" si="348"/>
        <v>0</v>
      </c>
      <c r="G6980" s="1205"/>
      <c r="H6980" s="1055"/>
      <c r="I6980" s="1055"/>
      <c r="J6980" s="1055"/>
      <c r="K6980" s="1205"/>
      <c r="L6980" s="1055"/>
      <c r="M6980" s="1205"/>
      <c r="N6980" s="1054"/>
      <c r="O6980" s="1207"/>
      <c r="Q6980" s="1207"/>
    </row>
    <row r="6981" spans="3:17" s="700" customFormat="1" ht="70.5" hidden="1" customHeight="1">
      <c r="C6981" s="701"/>
      <c r="D6981" s="811"/>
      <c r="E6981" s="1276">
        <f>[11]building!Y7312</f>
        <v>0</v>
      </c>
      <c r="F6981" s="748">
        <f t="shared" si="348"/>
        <v>0</v>
      </c>
      <c r="G6981" s="1205"/>
      <c r="H6981" s="1055"/>
      <c r="I6981" s="1055"/>
      <c r="J6981" s="1055"/>
      <c r="K6981" s="1205"/>
      <c r="L6981" s="1055"/>
      <c r="M6981" s="1205"/>
      <c r="N6981" s="1054"/>
      <c r="O6981" s="1207"/>
      <c r="Q6981" s="1207"/>
    </row>
    <row r="6982" spans="3:17" s="700" customFormat="1" ht="70.5" hidden="1" customHeight="1">
      <c r="C6982" s="701"/>
      <c r="D6982" s="811"/>
      <c r="E6982" s="1276">
        <f>[11]building!Y7313</f>
        <v>0</v>
      </c>
      <c r="F6982" s="748">
        <f t="shared" si="348"/>
        <v>0</v>
      </c>
      <c r="G6982" s="1205"/>
      <c r="H6982" s="1055"/>
      <c r="I6982" s="1055"/>
      <c r="J6982" s="1055"/>
      <c r="K6982" s="1205"/>
      <c r="L6982" s="1055"/>
      <c r="M6982" s="1205"/>
      <c r="N6982" s="1054"/>
      <c r="O6982" s="1207"/>
      <c r="Q6982" s="1207"/>
    </row>
    <row r="6983" spans="3:17" s="700" customFormat="1" ht="70.5" hidden="1" customHeight="1">
      <c r="C6983" s="701"/>
      <c r="D6983" s="811"/>
      <c r="E6983" s="1276">
        <f>[11]building!Y7314</f>
        <v>0</v>
      </c>
      <c r="F6983" s="748">
        <f t="shared" si="348"/>
        <v>0</v>
      </c>
      <c r="G6983" s="1205"/>
      <c r="H6983" s="1055"/>
      <c r="I6983" s="1055"/>
      <c r="J6983" s="1055"/>
      <c r="K6983" s="1205"/>
      <c r="L6983" s="1055"/>
      <c r="M6983" s="1205"/>
      <c r="N6983" s="1054"/>
      <c r="O6983" s="1207"/>
      <c r="Q6983" s="1207"/>
    </row>
    <row r="6984" spans="3:17" s="700" customFormat="1" ht="70.5" hidden="1" customHeight="1">
      <c r="C6984" s="701"/>
      <c r="D6984" s="811"/>
      <c r="E6984" s="1276">
        <f>[11]building!Y7315</f>
        <v>0</v>
      </c>
      <c r="F6984" s="748">
        <f t="shared" si="348"/>
        <v>0</v>
      </c>
      <c r="G6984" s="1205"/>
      <c r="H6984" s="1055"/>
      <c r="I6984" s="1055"/>
      <c r="J6984" s="1055"/>
      <c r="K6984" s="1205"/>
      <c r="L6984" s="1055"/>
      <c r="M6984" s="1205"/>
      <c r="N6984" s="1054"/>
      <c r="O6984" s="1207"/>
      <c r="Q6984" s="1207"/>
    </row>
    <row r="6985" spans="3:17" s="700" customFormat="1" ht="70.5" hidden="1" customHeight="1">
      <c r="C6985" s="701"/>
      <c r="D6985" s="811"/>
      <c r="E6985" s="1276">
        <f>[11]building!Y7316</f>
        <v>0</v>
      </c>
      <c r="F6985" s="748">
        <f t="shared" si="348"/>
        <v>0</v>
      </c>
      <c r="G6985" s="1205"/>
      <c r="H6985" s="1055"/>
      <c r="I6985" s="1055"/>
      <c r="J6985" s="1055"/>
      <c r="K6985" s="1205"/>
      <c r="L6985" s="1055"/>
      <c r="M6985" s="1205"/>
      <c r="N6985" s="1054"/>
      <c r="O6985" s="1207"/>
      <c r="Q6985" s="1207"/>
    </row>
    <row r="6986" spans="3:17" s="700" customFormat="1" ht="70.5" hidden="1" customHeight="1">
      <c r="C6986" s="701"/>
      <c r="D6986" s="811"/>
      <c r="E6986" s="1276">
        <f>[11]building!Y7317</f>
        <v>0</v>
      </c>
      <c r="F6986" s="748">
        <f t="shared" si="348"/>
        <v>0</v>
      </c>
      <c r="G6986" s="1205"/>
      <c r="H6986" s="1055"/>
      <c r="I6986" s="1055"/>
      <c r="J6986" s="1055"/>
      <c r="K6986" s="1205"/>
      <c r="L6986" s="1055"/>
      <c r="M6986" s="1205"/>
      <c r="N6986" s="1054"/>
      <c r="O6986" s="1207"/>
      <c r="Q6986" s="1207"/>
    </row>
    <row r="6987" spans="3:17" s="700" customFormat="1" ht="70.5" hidden="1" customHeight="1">
      <c r="C6987" s="701"/>
      <c r="D6987" s="811"/>
      <c r="E6987" s="1276">
        <f>[11]building!Y7318</f>
        <v>0</v>
      </c>
      <c r="F6987" s="748">
        <f t="shared" si="348"/>
        <v>0</v>
      </c>
      <c r="G6987" s="1205"/>
      <c r="H6987" s="1055"/>
      <c r="I6987" s="1055"/>
      <c r="J6987" s="1055"/>
      <c r="K6987" s="1205"/>
      <c r="L6987" s="1055"/>
      <c r="M6987" s="1205"/>
      <c r="N6987" s="1054"/>
      <c r="O6987" s="1207"/>
      <c r="Q6987" s="1207"/>
    </row>
    <row r="6988" spans="3:17" s="700" customFormat="1" ht="70.5" hidden="1" customHeight="1">
      <c r="C6988" s="701"/>
      <c r="D6988" s="811"/>
      <c r="E6988" s="1276">
        <f>[11]building!Y7319</f>
        <v>0</v>
      </c>
      <c r="F6988" s="748">
        <f t="shared" si="348"/>
        <v>0</v>
      </c>
      <c r="G6988" s="1205"/>
      <c r="H6988" s="1055"/>
      <c r="I6988" s="1055"/>
      <c r="J6988" s="1055"/>
      <c r="K6988" s="1205"/>
      <c r="L6988" s="1055"/>
      <c r="M6988" s="1205"/>
      <c r="N6988" s="1054"/>
      <c r="O6988" s="1207"/>
      <c r="Q6988" s="1207"/>
    </row>
    <row r="6989" spans="3:17" s="700" customFormat="1" ht="70.5" hidden="1" customHeight="1">
      <c r="C6989" s="701"/>
      <c r="D6989" s="811"/>
      <c r="E6989" s="1276">
        <f>[11]building!Y7320</f>
        <v>0</v>
      </c>
      <c r="F6989" s="748">
        <f t="shared" si="348"/>
        <v>0</v>
      </c>
      <c r="G6989" s="1205"/>
      <c r="H6989" s="1055"/>
      <c r="I6989" s="1055"/>
      <c r="J6989" s="1055"/>
      <c r="K6989" s="1205"/>
      <c r="L6989" s="1055"/>
      <c r="M6989" s="1205"/>
      <c r="N6989" s="1054"/>
      <c r="O6989" s="1207"/>
      <c r="Q6989" s="1207"/>
    </row>
    <row r="6990" spans="3:17" s="700" customFormat="1" ht="70.5" hidden="1" customHeight="1">
      <c r="C6990" s="701"/>
      <c r="D6990" s="811"/>
      <c r="E6990" s="1276">
        <f>[11]building!Y7321</f>
        <v>0</v>
      </c>
      <c r="F6990" s="748">
        <f t="shared" si="348"/>
        <v>0</v>
      </c>
      <c r="G6990" s="1205"/>
      <c r="H6990" s="1055"/>
      <c r="I6990" s="1055"/>
      <c r="J6990" s="1055"/>
      <c r="K6990" s="1205"/>
      <c r="L6990" s="1055"/>
      <c r="M6990" s="1205"/>
      <c r="N6990" s="1054"/>
      <c r="O6990" s="1207"/>
      <c r="Q6990" s="1207"/>
    </row>
    <row r="6991" spans="3:17" s="700" customFormat="1" ht="70.5" hidden="1" customHeight="1">
      <c r="C6991" s="701"/>
      <c r="D6991" s="811"/>
      <c r="E6991" s="1276">
        <f>[11]building!Y7322</f>
        <v>0</v>
      </c>
      <c r="F6991" s="748">
        <f t="shared" si="348"/>
        <v>0</v>
      </c>
      <c r="G6991" s="1205"/>
      <c r="H6991" s="1055"/>
      <c r="I6991" s="1055"/>
      <c r="J6991" s="1055"/>
      <c r="K6991" s="1205"/>
      <c r="L6991" s="1055"/>
      <c r="M6991" s="1205"/>
      <c r="N6991" s="1054"/>
      <c r="O6991" s="1207"/>
      <c r="Q6991" s="1207"/>
    </row>
    <row r="6992" spans="3:17" s="700" customFormat="1" ht="70.5" hidden="1" customHeight="1">
      <c r="C6992" s="701"/>
      <c r="D6992" s="811"/>
      <c r="E6992" s="1276">
        <f>[11]building!Y7323</f>
        <v>0</v>
      </c>
      <c r="F6992" s="748">
        <f t="shared" si="348"/>
        <v>0</v>
      </c>
      <c r="G6992" s="1205"/>
      <c r="H6992" s="1055"/>
      <c r="I6992" s="1055"/>
      <c r="J6992" s="1055"/>
      <c r="K6992" s="1205"/>
      <c r="L6992" s="1055"/>
      <c r="M6992" s="1205"/>
      <c r="N6992" s="1054"/>
      <c r="O6992" s="1207"/>
      <c r="Q6992" s="1207"/>
    </row>
    <row r="6993" spans="3:17" s="700" customFormat="1" ht="70.5" hidden="1" customHeight="1">
      <c r="C6993" s="701"/>
      <c r="D6993" s="811"/>
      <c r="E6993" s="1276">
        <f>[11]building!Y7324</f>
        <v>0</v>
      </c>
      <c r="F6993" s="748">
        <f t="shared" si="348"/>
        <v>0</v>
      </c>
      <c r="G6993" s="1205"/>
      <c r="H6993" s="1055"/>
      <c r="I6993" s="1055"/>
      <c r="J6993" s="1055"/>
      <c r="K6993" s="1205"/>
      <c r="L6993" s="1055"/>
      <c r="M6993" s="1205"/>
      <c r="N6993" s="1054"/>
      <c r="O6993" s="1207"/>
      <c r="Q6993" s="1207"/>
    </row>
    <row r="6994" spans="3:17" s="700" customFormat="1" ht="70.5" hidden="1" customHeight="1">
      <c r="C6994" s="701"/>
      <c r="D6994" s="811"/>
      <c r="E6994" s="1276">
        <f>[11]building!Y7325</f>
        <v>0</v>
      </c>
      <c r="F6994" s="748">
        <f t="shared" si="348"/>
        <v>0</v>
      </c>
      <c r="G6994" s="1205"/>
      <c r="H6994" s="1055"/>
      <c r="I6994" s="1055"/>
      <c r="J6994" s="1055"/>
      <c r="K6994" s="1205"/>
      <c r="L6994" s="1055"/>
      <c r="M6994" s="1205"/>
      <c r="N6994" s="1054"/>
      <c r="O6994" s="1207"/>
      <c r="Q6994" s="1207"/>
    </row>
    <row r="6995" spans="3:17" s="700" customFormat="1" ht="70.5" hidden="1" customHeight="1">
      <c r="C6995" s="701"/>
      <c r="D6995" s="811"/>
      <c r="E6995" s="1276">
        <f>[11]building!Y7326</f>
        <v>0</v>
      </c>
      <c r="F6995" s="748">
        <f t="shared" si="348"/>
        <v>0</v>
      </c>
      <c r="G6995" s="1205"/>
      <c r="H6995" s="1055"/>
      <c r="I6995" s="1055"/>
      <c r="J6995" s="1055"/>
      <c r="K6995" s="1205"/>
      <c r="L6995" s="1055"/>
      <c r="M6995" s="1205"/>
      <c r="N6995" s="1054"/>
      <c r="O6995" s="1207"/>
      <c r="Q6995" s="1207"/>
    </row>
    <row r="6996" spans="3:17" s="700" customFormat="1" ht="70.5" hidden="1" customHeight="1">
      <c r="C6996" s="701"/>
      <c r="D6996" s="811"/>
      <c r="E6996" s="1276">
        <f>[11]building!Y7327</f>
        <v>0</v>
      </c>
      <c r="F6996" s="748">
        <f t="shared" si="348"/>
        <v>0</v>
      </c>
      <c r="G6996" s="1205"/>
      <c r="H6996" s="1055"/>
      <c r="I6996" s="1055"/>
      <c r="J6996" s="1055"/>
      <c r="K6996" s="1205"/>
      <c r="L6996" s="1055"/>
      <c r="M6996" s="1205"/>
      <c r="N6996" s="1054"/>
      <c r="O6996" s="1207"/>
      <c r="Q6996" s="1207"/>
    </row>
    <row r="6997" spans="3:17" s="700" customFormat="1" ht="70.5" hidden="1" customHeight="1">
      <c r="C6997" s="701"/>
      <c r="D6997" s="811"/>
      <c r="E6997" s="1276">
        <f>[11]building!Y7328</f>
        <v>0</v>
      </c>
      <c r="F6997" s="748">
        <f t="shared" si="348"/>
        <v>0</v>
      </c>
      <c r="G6997" s="1205"/>
      <c r="H6997" s="1055"/>
      <c r="I6997" s="1055"/>
      <c r="J6997" s="1055"/>
      <c r="K6997" s="1205"/>
      <c r="L6997" s="1055"/>
      <c r="M6997" s="1205"/>
      <c r="N6997" s="1054"/>
      <c r="O6997" s="1207"/>
      <c r="Q6997" s="1207"/>
    </row>
    <row r="6998" spans="3:17" s="700" customFormat="1" ht="70.5" hidden="1" customHeight="1">
      <c r="C6998" s="701"/>
      <c r="D6998" s="811"/>
      <c r="E6998" s="1276">
        <f>[11]building!Y7329</f>
        <v>0</v>
      </c>
      <c r="F6998" s="748">
        <f t="shared" si="348"/>
        <v>0</v>
      </c>
      <c r="G6998" s="1205"/>
      <c r="H6998" s="1055"/>
      <c r="I6998" s="1055"/>
      <c r="J6998" s="1055"/>
      <c r="K6998" s="1205"/>
      <c r="L6998" s="1055"/>
      <c r="M6998" s="1205"/>
      <c r="N6998" s="1054"/>
      <c r="O6998" s="1207"/>
      <c r="Q6998" s="1207"/>
    </row>
    <row r="6999" spans="3:17" s="700" customFormat="1" ht="70.5" hidden="1" customHeight="1">
      <c r="C6999" s="701"/>
      <c r="D6999" s="811"/>
      <c r="E6999" s="1276">
        <f>[11]building!Y7330</f>
        <v>0</v>
      </c>
      <c r="F6999" s="748">
        <f t="shared" si="348"/>
        <v>0</v>
      </c>
      <c r="G6999" s="1205"/>
      <c r="H6999" s="1055"/>
      <c r="I6999" s="1055"/>
      <c r="J6999" s="1055"/>
      <c r="K6999" s="1205"/>
      <c r="L6999" s="1055"/>
      <c r="M6999" s="1205"/>
      <c r="N6999" s="1054"/>
      <c r="O6999" s="1207"/>
      <c r="Q6999" s="1207"/>
    </row>
    <row r="7000" spans="3:17" s="700" customFormat="1" ht="70.5" hidden="1" customHeight="1">
      <c r="C7000" s="701"/>
      <c r="D7000" s="811"/>
      <c r="E7000" s="1276">
        <f>[11]building!Y7331</f>
        <v>0</v>
      </c>
      <c r="F7000" s="748">
        <f t="shared" si="348"/>
        <v>0</v>
      </c>
      <c r="G7000" s="1205"/>
      <c r="H7000" s="1055"/>
      <c r="I7000" s="1055"/>
      <c r="J7000" s="1055"/>
      <c r="K7000" s="1205"/>
      <c r="L7000" s="1055"/>
      <c r="M7000" s="1205"/>
      <c r="N7000" s="1054"/>
      <c r="O7000" s="1207"/>
      <c r="Q7000" s="1207"/>
    </row>
    <row r="7001" spans="3:17" s="700" customFormat="1" ht="70.5" hidden="1" customHeight="1">
      <c r="C7001" s="701"/>
      <c r="D7001" s="811"/>
      <c r="E7001" s="1276">
        <f>[11]building!Y7332</f>
        <v>0</v>
      </c>
      <c r="F7001" s="748">
        <f t="shared" si="348"/>
        <v>0</v>
      </c>
      <c r="G7001" s="1205"/>
      <c r="H7001" s="1055"/>
      <c r="I7001" s="1055"/>
      <c r="J7001" s="1055"/>
      <c r="K7001" s="1205"/>
      <c r="L7001" s="1055"/>
      <c r="M7001" s="1205"/>
      <c r="N7001" s="1054"/>
      <c r="O7001" s="1207"/>
      <c r="Q7001" s="1207"/>
    </row>
    <row r="7002" spans="3:17" s="700" customFormat="1" ht="70.5" hidden="1" customHeight="1">
      <c r="C7002" s="701"/>
      <c r="D7002" s="811"/>
      <c r="E7002" s="1276">
        <f>[11]building!Y7333</f>
        <v>0</v>
      </c>
      <c r="F7002" s="748">
        <f t="shared" si="348"/>
        <v>0</v>
      </c>
      <c r="G7002" s="1205"/>
      <c r="H7002" s="1055"/>
      <c r="I7002" s="1055"/>
      <c r="J7002" s="1055"/>
      <c r="K7002" s="1205"/>
      <c r="L7002" s="1055"/>
      <c r="M7002" s="1205"/>
      <c r="N7002" s="1054"/>
      <c r="O7002" s="1207"/>
      <c r="Q7002" s="1207"/>
    </row>
    <row r="7003" spans="3:17" s="700" customFormat="1" ht="70.5" hidden="1" customHeight="1">
      <c r="C7003" s="701"/>
      <c r="D7003" s="811"/>
      <c r="E7003" s="1276">
        <f>[11]building!Y7334</f>
        <v>0</v>
      </c>
      <c r="F7003" s="748">
        <f t="shared" si="348"/>
        <v>0</v>
      </c>
      <c r="G7003" s="1205"/>
      <c r="H7003" s="1055"/>
      <c r="I7003" s="1055"/>
      <c r="J7003" s="1055"/>
      <c r="K7003" s="1205"/>
      <c r="L7003" s="1055"/>
      <c r="M7003" s="1205"/>
      <c r="N7003" s="1054"/>
      <c r="O7003" s="1207"/>
      <c r="Q7003" s="1207"/>
    </row>
    <row r="7004" spans="3:17" s="700" customFormat="1" ht="70.5" hidden="1" customHeight="1">
      <c r="C7004" s="701"/>
      <c r="D7004" s="811"/>
      <c r="E7004" s="1276">
        <f>[11]building!Y7335</f>
        <v>0</v>
      </c>
      <c r="F7004" s="748">
        <f t="shared" si="348"/>
        <v>0</v>
      </c>
      <c r="G7004" s="1205"/>
      <c r="H7004" s="1055"/>
      <c r="I7004" s="1055"/>
      <c r="J7004" s="1055"/>
      <c r="K7004" s="1205"/>
      <c r="L7004" s="1055"/>
      <c r="M7004" s="1205"/>
      <c r="N7004" s="1054"/>
      <c r="O7004" s="1207"/>
      <c r="Q7004" s="1207"/>
    </row>
    <row r="7005" spans="3:17" s="700" customFormat="1" ht="70.5" hidden="1" customHeight="1">
      <c r="C7005" s="701"/>
      <c r="D7005" s="811"/>
      <c r="E7005" s="1276">
        <f>[11]building!Y7336</f>
        <v>0</v>
      </c>
      <c r="F7005" s="748">
        <f t="shared" si="348"/>
        <v>0</v>
      </c>
      <c r="G7005" s="1205"/>
      <c r="H7005" s="1055"/>
      <c r="I7005" s="1055"/>
      <c r="J7005" s="1055"/>
      <c r="K7005" s="1205"/>
      <c r="L7005" s="1055"/>
      <c r="M7005" s="1205"/>
      <c r="N7005" s="1054"/>
      <c r="O7005" s="1207"/>
      <c r="Q7005" s="1207"/>
    </row>
    <row r="7006" spans="3:17" s="700" customFormat="1" ht="70.5" hidden="1" customHeight="1">
      <c r="C7006" s="701"/>
      <c r="D7006" s="811"/>
      <c r="E7006" s="1276">
        <f>[11]building!Y7337</f>
        <v>0</v>
      </c>
      <c r="F7006" s="748">
        <f t="shared" si="348"/>
        <v>0</v>
      </c>
      <c r="G7006" s="1205"/>
      <c r="H7006" s="1055"/>
      <c r="I7006" s="1055"/>
      <c r="J7006" s="1055"/>
      <c r="K7006" s="1205"/>
      <c r="L7006" s="1055"/>
      <c r="M7006" s="1205"/>
      <c r="N7006" s="1054"/>
      <c r="O7006" s="1207"/>
      <c r="Q7006" s="1207"/>
    </row>
    <row r="7007" spans="3:17" s="700" customFormat="1" ht="70.5" hidden="1" customHeight="1">
      <c r="C7007" s="701"/>
      <c r="D7007" s="811"/>
      <c r="E7007" s="1276">
        <f>[11]building!Y7338</f>
        <v>0</v>
      </c>
      <c r="F7007" s="748">
        <f t="shared" si="348"/>
        <v>0</v>
      </c>
      <c r="G7007" s="1205"/>
      <c r="H7007" s="1055"/>
      <c r="I7007" s="1055"/>
      <c r="J7007" s="1055"/>
      <c r="K7007" s="1205"/>
      <c r="L7007" s="1055"/>
      <c r="M7007" s="1205"/>
      <c r="N7007" s="1054"/>
      <c r="O7007" s="1207"/>
      <c r="Q7007" s="1207"/>
    </row>
    <row r="7008" spans="3:17" s="700" customFormat="1" ht="70.5" hidden="1" customHeight="1">
      <c r="C7008" s="701"/>
      <c r="D7008" s="811"/>
      <c r="E7008" s="1276">
        <f>[11]building!Y7339</f>
        <v>0</v>
      </c>
      <c r="F7008" s="748">
        <f t="shared" si="348"/>
        <v>0</v>
      </c>
      <c r="G7008" s="1205"/>
      <c r="H7008" s="1055"/>
      <c r="I7008" s="1055"/>
      <c r="J7008" s="1055"/>
      <c r="K7008" s="1205"/>
      <c r="L7008" s="1055"/>
      <c r="M7008" s="1205"/>
      <c r="N7008" s="1054"/>
      <c r="O7008" s="1207"/>
      <c r="Q7008" s="1207"/>
    </row>
    <row r="7009" spans="3:17" s="700" customFormat="1" ht="70.5" hidden="1" customHeight="1">
      <c r="C7009" s="701"/>
      <c r="D7009" s="811"/>
      <c r="E7009" s="1276">
        <f>[11]building!Y7340</f>
        <v>0</v>
      </c>
      <c r="F7009" s="748">
        <f t="shared" si="348"/>
        <v>0</v>
      </c>
      <c r="G7009" s="1205"/>
      <c r="H7009" s="1055"/>
      <c r="I7009" s="1055"/>
      <c r="J7009" s="1055"/>
      <c r="K7009" s="1205"/>
      <c r="L7009" s="1055"/>
      <c r="M7009" s="1205"/>
      <c r="N7009" s="1054"/>
      <c r="O7009" s="1207"/>
      <c r="Q7009" s="1207"/>
    </row>
    <row r="7010" spans="3:17" s="700" customFormat="1" ht="70.5" hidden="1" customHeight="1">
      <c r="C7010" s="701"/>
      <c r="D7010" s="811"/>
      <c r="E7010" s="1276">
        <f>[11]building!Y7341</f>
        <v>0</v>
      </c>
      <c r="F7010" s="748">
        <f t="shared" si="348"/>
        <v>0</v>
      </c>
      <c r="G7010" s="1205"/>
      <c r="H7010" s="1055"/>
      <c r="I7010" s="1055"/>
      <c r="J7010" s="1055"/>
      <c r="K7010" s="1205"/>
      <c r="L7010" s="1055"/>
      <c r="M7010" s="1205"/>
      <c r="N7010" s="1054"/>
      <c r="O7010" s="1207"/>
      <c r="Q7010" s="1207"/>
    </row>
    <row r="7011" spans="3:17" s="700" customFormat="1" ht="70.5" hidden="1" customHeight="1">
      <c r="C7011" s="701"/>
      <c r="D7011" s="811"/>
      <c r="E7011" s="1276">
        <f>[11]building!Y7342</f>
        <v>0</v>
      </c>
      <c r="F7011" s="748">
        <f t="shared" si="348"/>
        <v>0</v>
      </c>
      <c r="G7011" s="1205"/>
      <c r="H7011" s="1055"/>
      <c r="I7011" s="1055"/>
      <c r="J7011" s="1055"/>
      <c r="K7011" s="1205"/>
      <c r="L7011" s="1055"/>
      <c r="M7011" s="1205"/>
      <c r="N7011" s="1054"/>
      <c r="O7011" s="1207"/>
      <c r="Q7011" s="1207"/>
    </row>
    <row r="7012" spans="3:17" s="700" customFormat="1" ht="70.5" hidden="1" customHeight="1">
      <c r="C7012" s="701"/>
      <c r="D7012" s="811"/>
      <c r="E7012" s="1276">
        <f>[11]building!Y7343</f>
        <v>0</v>
      </c>
      <c r="F7012" s="748">
        <f t="shared" si="348"/>
        <v>0</v>
      </c>
      <c r="G7012" s="1205"/>
      <c r="H7012" s="1055"/>
      <c r="I7012" s="1055"/>
      <c r="J7012" s="1055"/>
      <c r="K7012" s="1205"/>
      <c r="L7012" s="1055"/>
      <c r="M7012" s="1205"/>
      <c r="N7012" s="1054"/>
      <c r="O7012" s="1207"/>
      <c r="Q7012" s="1207"/>
    </row>
    <row r="7013" spans="3:17" s="700" customFormat="1" ht="70.5" hidden="1" customHeight="1">
      <c r="C7013" s="701"/>
      <c r="D7013" s="811"/>
      <c r="E7013" s="1276">
        <f>[11]building!Y7344</f>
        <v>0</v>
      </c>
      <c r="F7013" s="748">
        <f t="shared" si="348"/>
        <v>0</v>
      </c>
      <c r="G7013" s="1205"/>
      <c r="H7013" s="1055"/>
      <c r="I7013" s="1055"/>
      <c r="J7013" s="1055"/>
      <c r="K7013" s="1205"/>
      <c r="L7013" s="1055"/>
      <c r="M7013" s="1205"/>
      <c r="N7013" s="1054"/>
      <c r="O7013" s="1207"/>
      <c r="Q7013" s="1207"/>
    </row>
    <row r="7014" spans="3:17" s="700" customFormat="1" ht="70.5" hidden="1" customHeight="1">
      <c r="C7014" s="701"/>
      <c r="D7014" s="811"/>
      <c r="E7014" s="1276">
        <f>[11]building!Y7345</f>
        <v>0</v>
      </c>
      <c r="F7014" s="748">
        <f t="shared" si="348"/>
        <v>0</v>
      </c>
      <c r="G7014" s="1205"/>
      <c r="H7014" s="1055"/>
      <c r="I7014" s="1055"/>
      <c r="J7014" s="1055"/>
      <c r="K7014" s="1205"/>
      <c r="L7014" s="1055"/>
      <c r="M7014" s="1205"/>
      <c r="N7014" s="1054"/>
      <c r="O7014" s="1207"/>
      <c r="Q7014" s="1207"/>
    </row>
    <row r="7015" spans="3:17" s="700" customFormat="1" ht="70.5" hidden="1" customHeight="1">
      <c r="C7015" s="701"/>
      <c r="D7015" s="811"/>
      <c r="E7015" s="1276">
        <f>[11]building!Y7346</f>
        <v>0</v>
      </c>
      <c r="F7015" s="748">
        <f t="shared" si="348"/>
        <v>0</v>
      </c>
      <c r="G7015" s="1205"/>
      <c r="H7015" s="1055"/>
      <c r="I7015" s="1055"/>
      <c r="J7015" s="1055"/>
      <c r="K7015" s="1205"/>
      <c r="L7015" s="1055"/>
      <c r="M7015" s="1205"/>
      <c r="N7015" s="1054"/>
      <c r="O7015" s="1207"/>
      <c r="Q7015" s="1207"/>
    </row>
    <row r="7016" spans="3:17" s="700" customFormat="1" ht="70.5" hidden="1" customHeight="1">
      <c r="C7016" s="701"/>
      <c r="D7016" s="811"/>
      <c r="E7016" s="1276">
        <f>[11]building!Y7347</f>
        <v>0</v>
      </c>
      <c r="F7016" s="748">
        <f t="shared" si="348"/>
        <v>0</v>
      </c>
      <c r="G7016" s="1205"/>
      <c r="H7016" s="1055"/>
      <c r="I7016" s="1055"/>
      <c r="J7016" s="1055"/>
      <c r="K7016" s="1205"/>
      <c r="L7016" s="1055"/>
      <c r="M7016" s="1205"/>
      <c r="N7016" s="1054"/>
      <c r="O7016" s="1207"/>
      <c r="Q7016" s="1207"/>
    </row>
    <row r="7017" spans="3:17" s="700" customFormat="1" ht="70.5" hidden="1" customHeight="1">
      <c r="C7017" s="701"/>
      <c r="D7017" s="811"/>
      <c r="E7017" s="1276">
        <f>[11]building!Y7348</f>
        <v>0</v>
      </c>
      <c r="F7017" s="748">
        <f t="shared" si="348"/>
        <v>0</v>
      </c>
      <c r="G7017" s="1205"/>
      <c r="H7017" s="1055"/>
      <c r="I7017" s="1055"/>
      <c r="J7017" s="1055"/>
      <c r="K7017" s="1205"/>
      <c r="L7017" s="1055"/>
      <c r="M7017" s="1205"/>
      <c r="N7017" s="1054"/>
      <c r="O7017" s="1207"/>
      <c r="Q7017" s="1207"/>
    </row>
    <row r="7018" spans="3:17" s="700" customFormat="1" ht="70.5" hidden="1" customHeight="1">
      <c r="C7018" s="701"/>
      <c r="D7018" s="811"/>
      <c r="E7018" s="1276">
        <f>[11]building!Y7349</f>
        <v>0</v>
      </c>
      <c r="F7018" s="748">
        <f t="shared" si="348"/>
        <v>0</v>
      </c>
      <c r="G7018" s="1205"/>
      <c r="H7018" s="1055"/>
      <c r="I7018" s="1055"/>
      <c r="J7018" s="1055"/>
      <c r="K7018" s="1205"/>
      <c r="L7018" s="1055"/>
      <c r="M7018" s="1205"/>
      <c r="N7018" s="1054"/>
      <c r="O7018" s="1207"/>
      <c r="Q7018" s="1207"/>
    </row>
    <row r="7019" spans="3:17" s="700" customFormat="1" ht="70.5" hidden="1" customHeight="1">
      <c r="C7019" s="701"/>
      <c r="D7019" s="811"/>
      <c r="E7019" s="1276">
        <f>[11]building!Y7350</f>
        <v>0</v>
      </c>
      <c r="F7019" s="748">
        <f t="shared" si="348"/>
        <v>0</v>
      </c>
      <c r="G7019" s="1205"/>
      <c r="H7019" s="1055"/>
      <c r="I7019" s="1055"/>
      <c r="J7019" s="1055"/>
      <c r="K7019" s="1205"/>
      <c r="L7019" s="1055"/>
      <c r="M7019" s="1205"/>
      <c r="N7019" s="1054"/>
      <c r="O7019" s="1207"/>
      <c r="Q7019" s="1207"/>
    </row>
    <row r="7020" spans="3:17" s="700" customFormat="1" ht="70.5" hidden="1" customHeight="1">
      <c r="C7020" s="701"/>
      <c r="D7020" s="811"/>
      <c r="E7020" s="1276">
        <f>[11]building!Y7351</f>
        <v>0</v>
      </c>
      <c r="F7020" s="748">
        <f t="shared" si="348"/>
        <v>0</v>
      </c>
      <c r="G7020" s="1205"/>
      <c r="H7020" s="1055"/>
      <c r="I7020" s="1055"/>
      <c r="J7020" s="1055"/>
      <c r="K7020" s="1205"/>
      <c r="L7020" s="1055"/>
      <c r="M7020" s="1205"/>
      <c r="N7020" s="1054"/>
      <c r="O7020" s="1207"/>
      <c r="Q7020" s="1207"/>
    </row>
    <row r="7021" spans="3:17" s="700" customFormat="1" ht="70.5" hidden="1" customHeight="1">
      <c r="C7021" s="701"/>
      <c r="D7021" s="811"/>
      <c r="E7021" s="1276">
        <f>[11]building!Y7352</f>
        <v>0</v>
      </c>
      <c r="F7021" s="748">
        <f t="shared" si="348"/>
        <v>0</v>
      </c>
      <c r="G7021" s="1205"/>
      <c r="H7021" s="1055"/>
      <c r="I7021" s="1055"/>
      <c r="J7021" s="1055"/>
      <c r="K7021" s="1205"/>
      <c r="L7021" s="1055"/>
      <c r="M7021" s="1205"/>
      <c r="N7021" s="1054"/>
      <c r="O7021" s="1207"/>
      <c r="Q7021" s="1207"/>
    </row>
    <row r="7022" spans="3:17" s="700" customFormat="1" ht="70.5" hidden="1" customHeight="1">
      <c r="C7022" s="701"/>
      <c r="D7022" s="811"/>
      <c r="E7022" s="1276">
        <f>[11]building!Y7353</f>
        <v>0</v>
      </c>
      <c r="F7022" s="748">
        <f t="shared" si="348"/>
        <v>0</v>
      </c>
      <c r="G7022" s="1205"/>
      <c r="H7022" s="1055"/>
      <c r="I7022" s="1055"/>
      <c r="J7022" s="1055"/>
      <c r="K7022" s="1205"/>
      <c r="L7022" s="1055"/>
      <c r="M7022" s="1205"/>
      <c r="N7022" s="1054"/>
      <c r="O7022" s="1207"/>
      <c r="Q7022" s="1207"/>
    </row>
    <row r="7023" spans="3:17" s="700" customFormat="1" ht="70.5" hidden="1" customHeight="1">
      <c r="C7023" s="701"/>
      <c r="D7023" s="811"/>
      <c r="E7023" s="1276">
        <f>[11]building!Y7354</f>
        <v>0</v>
      </c>
      <c r="F7023" s="748">
        <f t="shared" si="348"/>
        <v>0</v>
      </c>
      <c r="G7023" s="1205"/>
      <c r="H7023" s="1055"/>
      <c r="I7023" s="1055"/>
      <c r="J7023" s="1055"/>
      <c r="K7023" s="1205"/>
      <c r="L7023" s="1055"/>
      <c r="M7023" s="1205"/>
      <c r="N7023" s="1054"/>
      <c r="O7023" s="1207"/>
      <c r="Q7023" s="1207"/>
    </row>
    <row r="7024" spans="3:17" s="700" customFormat="1" ht="70.5" hidden="1" customHeight="1">
      <c r="C7024" s="701"/>
      <c r="D7024" s="811"/>
      <c r="E7024" s="1276">
        <f>[11]building!Y7355</f>
        <v>0</v>
      </c>
      <c r="F7024" s="748">
        <f t="shared" si="348"/>
        <v>0</v>
      </c>
      <c r="G7024" s="1205"/>
      <c r="H7024" s="1055"/>
      <c r="I7024" s="1055"/>
      <c r="J7024" s="1055"/>
      <c r="K7024" s="1205"/>
      <c r="L7024" s="1055"/>
      <c r="M7024" s="1205"/>
      <c r="N7024" s="1054"/>
      <c r="O7024" s="1207"/>
      <c r="Q7024" s="1207"/>
    </row>
    <row r="7025" spans="3:17" s="700" customFormat="1" ht="70.5" hidden="1" customHeight="1">
      <c r="C7025" s="701"/>
      <c r="D7025" s="811"/>
      <c r="E7025" s="1276">
        <f>[11]building!Y7356</f>
        <v>0</v>
      </c>
      <c r="F7025" s="748">
        <f t="shared" si="348"/>
        <v>0</v>
      </c>
      <c r="G7025" s="1205"/>
      <c r="H7025" s="1055"/>
      <c r="I7025" s="1055"/>
      <c r="J7025" s="1055"/>
      <c r="K7025" s="1205"/>
      <c r="L7025" s="1055"/>
      <c r="M7025" s="1205"/>
      <c r="N7025" s="1054"/>
      <c r="O7025" s="1207"/>
      <c r="Q7025" s="1207"/>
    </row>
    <row r="7026" spans="3:17" s="700" customFormat="1" ht="70.5" hidden="1" customHeight="1">
      <c r="C7026" s="701"/>
      <c r="D7026" s="811"/>
      <c r="E7026" s="1276">
        <f>[11]building!Y7357</f>
        <v>0</v>
      </c>
      <c r="F7026" s="748">
        <f t="shared" si="348"/>
        <v>0</v>
      </c>
      <c r="G7026" s="1205"/>
      <c r="H7026" s="1055"/>
      <c r="I7026" s="1055"/>
      <c r="J7026" s="1055"/>
      <c r="K7026" s="1205"/>
      <c r="L7026" s="1055"/>
      <c r="M7026" s="1205"/>
      <c r="N7026" s="1054"/>
      <c r="O7026" s="1207"/>
      <c r="Q7026" s="1207"/>
    </row>
    <row r="7027" spans="3:17" s="700" customFormat="1" ht="70.5" hidden="1" customHeight="1">
      <c r="C7027" s="701"/>
      <c r="D7027" s="811"/>
      <c r="E7027" s="1276">
        <f>[11]building!Y7358</f>
        <v>0</v>
      </c>
      <c r="F7027" s="748">
        <f t="shared" si="348"/>
        <v>0</v>
      </c>
      <c r="G7027" s="1205"/>
      <c r="H7027" s="1055"/>
      <c r="I7027" s="1055"/>
      <c r="J7027" s="1055"/>
      <c r="K7027" s="1205"/>
      <c r="L7027" s="1055"/>
      <c r="M7027" s="1205"/>
      <c r="N7027" s="1054"/>
      <c r="O7027" s="1207"/>
      <c r="Q7027" s="1207"/>
    </row>
    <row r="7028" spans="3:17" s="700" customFormat="1" ht="70.5" hidden="1" customHeight="1">
      <c r="C7028" s="701"/>
      <c r="D7028" s="811"/>
      <c r="E7028" s="1276">
        <f>[11]building!Y7359</f>
        <v>0</v>
      </c>
      <c r="F7028" s="748">
        <f t="shared" si="348"/>
        <v>0</v>
      </c>
      <c r="G7028" s="1205"/>
      <c r="H7028" s="1055"/>
      <c r="I7028" s="1055"/>
      <c r="J7028" s="1055"/>
      <c r="K7028" s="1205"/>
      <c r="L7028" s="1055"/>
      <c r="M7028" s="1205"/>
      <c r="N7028" s="1054"/>
      <c r="O7028" s="1207"/>
      <c r="Q7028" s="1207"/>
    </row>
    <row r="7029" spans="3:17" s="700" customFormat="1" ht="70.5" hidden="1" customHeight="1">
      <c r="C7029" s="701"/>
      <c r="D7029" s="811"/>
      <c r="E7029" s="1276">
        <f>[11]building!Y7360</f>
        <v>0</v>
      </c>
      <c r="F7029" s="748">
        <f t="shared" si="348"/>
        <v>0</v>
      </c>
      <c r="G7029" s="1205"/>
      <c r="H7029" s="1055"/>
      <c r="I7029" s="1055"/>
      <c r="J7029" s="1055"/>
      <c r="K7029" s="1205"/>
      <c r="L7029" s="1055"/>
      <c r="M7029" s="1205"/>
      <c r="N7029" s="1054"/>
      <c r="O7029" s="1207"/>
      <c r="Q7029" s="1207"/>
    </row>
    <row r="7030" spans="3:17" s="700" customFormat="1" ht="70.5" hidden="1" customHeight="1">
      <c r="C7030" s="701"/>
      <c r="D7030" s="811"/>
      <c r="E7030" s="1276">
        <f>[11]building!Y7361</f>
        <v>0</v>
      </c>
      <c r="F7030" s="748">
        <f t="shared" si="348"/>
        <v>0</v>
      </c>
      <c r="G7030" s="1205"/>
      <c r="H7030" s="1055"/>
      <c r="I7030" s="1055"/>
      <c r="J7030" s="1055"/>
      <c r="K7030" s="1205"/>
      <c r="L7030" s="1055"/>
      <c r="M7030" s="1205"/>
      <c r="N7030" s="1054"/>
      <c r="O7030" s="1207"/>
      <c r="Q7030" s="1207"/>
    </row>
    <row r="7031" spans="3:17" s="700" customFormat="1" ht="70.5" hidden="1" customHeight="1">
      <c r="C7031" s="701"/>
      <c r="D7031" s="811"/>
      <c r="E7031" s="1276">
        <f>[11]building!Y7362</f>
        <v>0</v>
      </c>
      <c r="F7031" s="748">
        <f t="shared" si="348"/>
        <v>0</v>
      </c>
      <c r="G7031" s="1205"/>
      <c r="H7031" s="1055"/>
      <c r="I7031" s="1055"/>
      <c r="J7031" s="1055"/>
      <c r="K7031" s="1205"/>
      <c r="L7031" s="1055"/>
      <c r="M7031" s="1205"/>
      <c r="N7031" s="1054"/>
      <c r="O7031" s="1207"/>
      <c r="Q7031" s="1207"/>
    </row>
    <row r="7032" spans="3:17" s="700" customFormat="1" ht="70.5" hidden="1" customHeight="1">
      <c r="C7032" s="701"/>
      <c r="D7032" s="811"/>
      <c r="E7032" s="1276">
        <f>[11]building!Y7363</f>
        <v>0</v>
      </c>
      <c r="F7032" s="748">
        <f t="shared" si="348"/>
        <v>0</v>
      </c>
      <c r="G7032" s="1205"/>
      <c r="H7032" s="1055"/>
      <c r="I7032" s="1055"/>
      <c r="J7032" s="1055"/>
      <c r="K7032" s="1205"/>
      <c r="L7032" s="1055"/>
      <c r="M7032" s="1205"/>
      <c r="N7032" s="1054"/>
      <c r="O7032" s="1207"/>
      <c r="Q7032" s="1207"/>
    </row>
    <row r="7033" spans="3:17" s="700" customFormat="1" ht="70.5" hidden="1" customHeight="1">
      <c r="C7033" s="701"/>
      <c r="D7033" s="811"/>
      <c r="E7033" s="1276">
        <f>[11]building!Y7364</f>
        <v>0</v>
      </c>
      <c r="F7033" s="748">
        <f t="shared" si="348"/>
        <v>0</v>
      </c>
      <c r="G7033" s="1205"/>
      <c r="H7033" s="1055"/>
      <c r="I7033" s="1055"/>
      <c r="J7033" s="1055"/>
      <c r="K7033" s="1205"/>
      <c r="L7033" s="1055"/>
      <c r="M7033" s="1205"/>
      <c r="N7033" s="1054"/>
      <c r="O7033" s="1207"/>
      <c r="Q7033" s="1207"/>
    </row>
    <row r="7034" spans="3:17" s="700" customFormat="1" ht="70.5" hidden="1" customHeight="1">
      <c r="C7034" s="701"/>
      <c r="D7034" s="811"/>
      <c r="E7034" s="1276">
        <f>[11]building!Y7365</f>
        <v>0</v>
      </c>
      <c r="F7034" s="748">
        <f t="shared" si="348"/>
        <v>0</v>
      </c>
      <c r="G7034" s="1205"/>
      <c r="H7034" s="1055"/>
      <c r="I7034" s="1055"/>
      <c r="J7034" s="1055"/>
      <c r="K7034" s="1205"/>
      <c r="L7034" s="1055"/>
      <c r="M7034" s="1205"/>
      <c r="N7034" s="1054"/>
      <c r="O7034" s="1207"/>
      <c r="Q7034" s="1207"/>
    </row>
    <row r="7035" spans="3:17" s="700" customFormat="1" ht="70.5" hidden="1" customHeight="1">
      <c r="C7035" s="701"/>
      <c r="D7035" s="811"/>
      <c r="E7035" s="1276">
        <f>[11]building!Y7366</f>
        <v>0</v>
      </c>
      <c r="F7035" s="748">
        <f t="shared" si="348"/>
        <v>0</v>
      </c>
      <c r="G7035" s="1205"/>
      <c r="H7035" s="1055"/>
      <c r="I7035" s="1055"/>
      <c r="J7035" s="1055"/>
      <c r="K7035" s="1205"/>
      <c r="L7035" s="1055"/>
      <c r="M7035" s="1205"/>
      <c r="N7035" s="1054"/>
      <c r="O7035" s="1207"/>
      <c r="Q7035" s="1207"/>
    </row>
    <row r="7036" spans="3:17" s="700" customFormat="1" ht="70.5" hidden="1" customHeight="1">
      <c r="C7036" s="701"/>
      <c r="D7036" s="811"/>
      <c r="E7036" s="1276">
        <f>[11]building!Y7367</f>
        <v>0</v>
      </c>
      <c r="F7036" s="748">
        <f t="shared" si="348"/>
        <v>0</v>
      </c>
      <c r="G7036" s="1205"/>
      <c r="H7036" s="1055"/>
      <c r="I7036" s="1055"/>
      <c r="J7036" s="1055"/>
      <c r="K7036" s="1205"/>
      <c r="L7036" s="1055"/>
      <c r="M7036" s="1205"/>
      <c r="N7036" s="1054"/>
      <c r="O7036" s="1207"/>
      <c r="Q7036" s="1207"/>
    </row>
    <row r="7037" spans="3:17" s="700" customFormat="1" ht="70.5" hidden="1" customHeight="1">
      <c r="C7037" s="701"/>
      <c r="D7037" s="811"/>
      <c r="E7037" s="1276">
        <f>[11]building!Y7368</f>
        <v>0</v>
      </c>
      <c r="F7037" s="748">
        <f t="shared" si="348"/>
        <v>0</v>
      </c>
      <c r="G7037" s="1205"/>
      <c r="H7037" s="1055"/>
      <c r="I7037" s="1055"/>
      <c r="J7037" s="1055"/>
      <c r="K7037" s="1205"/>
      <c r="L7037" s="1055"/>
      <c r="M7037" s="1205"/>
      <c r="N7037" s="1054"/>
      <c r="O7037" s="1207"/>
      <c r="Q7037" s="1207"/>
    </row>
    <row r="7038" spans="3:17" s="700" customFormat="1" ht="70.5" hidden="1" customHeight="1">
      <c r="C7038" s="701"/>
      <c r="D7038" s="811"/>
      <c r="E7038" s="1276">
        <f>[11]building!Y7369</f>
        <v>0</v>
      </c>
      <c r="F7038" s="748">
        <f t="shared" si="348"/>
        <v>0</v>
      </c>
      <c r="G7038" s="1205"/>
      <c r="H7038" s="1055"/>
      <c r="I7038" s="1055"/>
      <c r="J7038" s="1055"/>
      <c r="K7038" s="1205"/>
      <c r="L7038" s="1055"/>
      <c r="M7038" s="1205"/>
      <c r="N7038" s="1054"/>
      <c r="O7038" s="1207"/>
      <c r="Q7038" s="1207"/>
    </row>
    <row r="7039" spans="3:17" s="700" customFormat="1" ht="70.5" hidden="1" customHeight="1">
      <c r="C7039" s="701"/>
      <c r="D7039" s="811"/>
      <c r="E7039" s="1276">
        <f>[11]building!Y7370</f>
        <v>0</v>
      </c>
      <c r="F7039" s="748">
        <f t="shared" si="348"/>
        <v>0</v>
      </c>
      <c r="G7039" s="1205"/>
      <c r="H7039" s="1055"/>
      <c r="I7039" s="1055"/>
      <c r="J7039" s="1055"/>
      <c r="K7039" s="1205"/>
      <c r="L7039" s="1055"/>
      <c r="M7039" s="1205"/>
      <c r="N7039" s="1054"/>
      <c r="O7039" s="1207"/>
      <c r="Q7039" s="1207"/>
    </row>
    <row r="7040" spans="3:17" s="700" customFormat="1" ht="70.5" hidden="1" customHeight="1">
      <c r="C7040" s="701"/>
      <c r="D7040" s="811"/>
      <c r="E7040" s="1276">
        <f>[11]building!Y7371</f>
        <v>0</v>
      </c>
      <c r="F7040" s="748">
        <f t="shared" ref="F7040:F7103" si="349">E7040*C7040</f>
        <v>0</v>
      </c>
      <c r="G7040" s="1205"/>
      <c r="H7040" s="1055"/>
      <c r="I7040" s="1055"/>
      <c r="J7040" s="1055"/>
      <c r="K7040" s="1205"/>
      <c r="L7040" s="1055"/>
      <c r="M7040" s="1205"/>
      <c r="N7040" s="1054"/>
      <c r="O7040" s="1207"/>
      <c r="Q7040" s="1207"/>
    </row>
    <row r="7041" spans="3:17" s="700" customFormat="1" ht="70.5" hidden="1" customHeight="1">
      <c r="C7041" s="701"/>
      <c r="D7041" s="811"/>
      <c r="E7041" s="1276">
        <f>[11]building!Y7372</f>
        <v>0</v>
      </c>
      <c r="F7041" s="748">
        <f t="shared" si="349"/>
        <v>0</v>
      </c>
      <c r="G7041" s="1205"/>
      <c r="H7041" s="1055"/>
      <c r="I7041" s="1055"/>
      <c r="J7041" s="1055"/>
      <c r="K7041" s="1205"/>
      <c r="L7041" s="1055"/>
      <c r="M7041" s="1205"/>
      <c r="N7041" s="1054"/>
      <c r="O7041" s="1207"/>
      <c r="Q7041" s="1207"/>
    </row>
    <row r="7042" spans="3:17" s="700" customFormat="1" ht="70.5" hidden="1" customHeight="1">
      <c r="C7042" s="701"/>
      <c r="D7042" s="811"/>
      <c r="E7042" s="1276">
        <f>[11]building!Y7373</f>
        <v>0</v>
      </c>
      <c r="F7042" s="748">
        <f t="shared" si="349"/>
        <v>0</v>
      </c>
      <c r="G7042" s="1205"/>
      <c r="H7042" s="1055"/>
      <c r="I7042" s="1055"/>
      <c r="J7042" s="1055"/>
      <c r="K7042" s="1205"/>
      <c r="L7042" s="1055"/>
      <c r="M7042" s="1205"/>
      <c r="N7042" s="1054"/>
      <c r="O7042" s="1207"/>
      <c r="Q7042" s="1207"/>
    </row>
    <row r="7043" spans="3:17" s="700" customFormat="1" ht="70.5" hidden="1" customHeight="1">
      <c r="C7043" s="701"/>
      <c r="D7043" s="811"/>
      <c r="E7043" s="1276">
        <f>[11]building!Y7374</f>
        <v>0</v>
      </c>
      <c r="F7043" s="748">
        <f t="shared" si="349"/>
        <v>0</v>
      </c>
      <c r="G7043" s="1205"/>
      <c r="H7043" s="1055"/>
      <c r="I7043" s="1055"/>
      <c r="J7043" s="1055"/>
      <c r="K7043" s="1205"/>
      <c r="L7043" s="1055"/>
      <c r="M7043" s="1205"/>
      <c r="N7043" s="1054"/>
      <c r="O7043" s="1207"/>
      <c r="Q7043" s="1207"/>
    </row>
    <row r="7044" spans="3:17" s="700" customFormat="1" ht="70.5" hidden="1" customHeight="1">
      <c r="C7044" s="701"/>
      <c r="D7044" s="811"/>
      <c r="E7044" s="1276">
        <f>[11]building!Y7375</f>
        <v>0</v>
      </c>
      <c r="F7044" s="748">
        <f t="shared" si="349"/>
        <v>0</v>
      </c>
      <c r="G7044" s="1205"/>
      <c r="H7044" s="1055"/>
      <c r="I7044" s="1055"/>
      <c r="J7044" s="1055"/>
      <c r="K7044" s="1205"/>
      <c r="L7044" s="1055"/>
      <c r="M7044" s="1205"/>
      <c r="N7044" s="1054"/>
      <c r="O7044" s="1207"/>
      <c r="Q7044" s="1207"/>
    </row>
    <row r="7045" spans="3:17" s="700" customFormat="1" ht="70.5" hidden="1" customHeight="1">
      <c r="C7045" s="701"/>
      <c r="D7045" s="811"/>
      <c r="E7045" s="1276">
        <f>[11]building!Y7376</f>
        <v>0</v>
      </c>
      <c r="F7045" s="748">
        <f t="shared" si="349"/>
        <v>0</v>
      </c>
      <c r="G7045" s="1205"/>
      <c r="H7045" s="1055"/>
      <c r="I7045" s="1055"/>
      <c r="J7045" s="1055"/>
      <c r="K7045" s="1205"/>
      <c r="L7045" s="1055"/>
      <c r="M7045" s="1205"/>
      <c r="N7045" s="1054"/>
      <c r="O7045" s="1207"/>
      <c r="Q7045" s="1207"/>
    </row>
    <row r="7046" spans="3:17" s="700" customFormat="1" ht="70.5" hidden="1" customHeight="1">
      <c r="C7046" s="701"/>
      <c r="D7046" s="811"/>
      <c r="E7046" s="1276">
        <f>[11]building!Y7377</f>
        <v>0</v>
      </c>
      <c r="F7046" s="748">
        <f t="shared" si="349"/>
        <v>0</v>
      </c>
      <c r="G7046" s="1205"/>
      <c r="H7046" s="1055"/>
      <c r="I7046" s="1055"/>
      <c r="J7046" s="1055"/>
      <c r="K7046" s="1205"/>
      <c r="L7046" s="1055"/>
      <c r="M7046" s="1205"/>
      <c r="N7046" s="1054"/>
      <c r="O7046" s="1207"/>
      <c r="Q7046" s="1207"/>
    </row>
    <row r="7047" spans="3:17" s="700" customFormat="1" ht="70.5" hidden="1" customHeight="1">
      <c r="C7047" s="701"/>
      <c r="D7047" s="811"/>
      <c r="E7047" s="1276">
        <f>[11]building!Y7378</f>
        <v>0</v>
      </c>
      <c r="F7047" s="748">
        <f t="shared" si="349"/>
        <v>0</v>
      </c>
      <c r="G7047" s="1205"/>
      <c r="H7047" s="1055"/>
      <c r="I7047" s="1055"/>
      <c r="J7047" s="1055"/>
      <c r="K7047" s="1205"/>
      <c r="L7047" s="1055"/>
      <c r="M7047" s="1205"/>
      <c r="N7047" s="1054"/>
      <c r="O7047" s="1207"/>
      <c r="Q7047" s="1207"/>
    </row>
    <row r="7048" spans="3:17" s="700" customFormat="1" ht="70.5" hidden="1" customHeight="1">
      <c r="C7048" s="701"/>
      <c r="D7048" s="811"/>
      <c r="E7048" s="1276">
        <f>[11]building!Y7379</f>
        <v>0</v>
      </c>
      <c r="F7048" s="748">
        <f t="shared" si="349"/>
        <v>0</v>
      </c>
      <c r="G7048" s="1205"/>
      <c r="H7048" s="1055"/>
      <c r="I7048" s="1055"/>
      <c r="J7048" s="1055"/>
      <c r="K7048" s="1205"/>
      <c r="L7048" s="1055"/>
      <c r="M7048" s="1205"/>
      <c r="N7048" s="1054"/>
      <c r="O7048" s="1207"/>
      <c r="Q7048" s="1207"/>
    </row>
    <row r="7049" spans="3:17" s="700" customFormat="1" ht="70.5" hidden="1" customHeight="1">
      <c r="C7049" s="701"/>
      <c r="D7049" s="811"/>
      <c r="E7049" s="1276">
        <f>[11]building!Y7380</f>
        <v>0</v>
      </c>
      <c r="F7049" s="748">
        <f t="shared" si="349"/>
        <v>0</v>
      </c>
      <c r="G7049" s="1205"/>
      <c r="H7049" s="1055"/>
      <c r="I7049" s="1055"/>
      <c r="J7049" s="1055"/>
      <c r="K7049" s="1205"/>
      <c r="L7049" s="1055"/>
      <c r="M7049" s="1205"/>
      <c r="N7049" s="1054"/>
      <c r="O7049" s="1207"/>
      <c r="Q7049" s="1207"/>
    </row>
    <row r="7050" spans="3:17" s="700" customFormat="1" ht="70.5" hidden="1" customHeight="1">
      <c r="C7050" s="701"/>
      <c r="D7050" s="811"/>
      <c r="E7050" s="1276">
        <f>[11]building!Y7381</f>
        <v>0</v>
      </c>
      <c r="F7050" s="748">
        <f t="shared" si="349"/>
        <v>0</v>
      </c>
      <c r="G7050" s="1205"/>
      <c r="H7050" s="1055"/>
      <c r="I7050" s="1055"/>
      <c r="J7050" s="1055"/>
      <c r="K7050" s="1205"/>
      <c r="L7050" s="1055"/>
      <c r="M7050" s="1205"/>
      <c r="N7050" s="1054"/>
      <c r="O7050" s="1207"/>
      <c r="Q7050" s="1207"/>
    </row>
    <row r="7051" spans="3:17" s="700" customFormat="1" ht="70.5" hidden="1" customHeight="1">
      <c r="C7051" s="701"/>
      <c r="D7051" s="811"/>
      <c r="E7051" s="1276">
        <f>[11]building!Y7382</f>
        <v>0</v>
      </c>
      <c r="F7051" s="748">
        <f t="shared" si="349"/>
        <v>0</v>
      </c>
      <c r="G7051" s="1205"/>
      <c r="H7051" s="1055"/>
      <c r="I7051" s="1055"/>
      <c r="J7051" s="1055"/>
      <c r="K7051" s="1205"/>
      <c r="L7051" s="1055"/>
      <c r="M7051" s="1205"/>
      <c r="N7051" s="1054"/>
      <c r="O7051" s="1207"/>
      <c r="Q7051" s="1207"/>
    </row>
    <row r="7052" spans="3:17" s="700" customFormat="1" ht="70.5" hidden="1" customHeight="1">
      <c r="C7052" s="701"/>
      <c r="D7052" s="811"/>
      <c r="E7052" s="1276">
        <f>[11]building!Y7383</f>
        <v>0</v>
      </c>
      <c r="F7052" s="748">
        <f t="shared" si="349"/>
        <v>0</v>
      </c>
      <c r="G7052" s="1205"/>
      <c r="H7052" s="1055"/>
      <c r="I7052" s="1055"/>
      <c r="J7052" s="1055"/>
      <c r="K7052" s="1205"/>
      <c r="L7052" s="1055"/>
      <c r="M7052" s="1205"/>
      <c r="N7052" s="1054"/>
      <c r="O7052" s="1207"/>
      <c r="Q7052" s="1207"/>
    </row>
    <row r="7053" spans="3:17" s="700" customFormat="1" ht="70.5" hidden="1" customHeight="1">
      <c r="C7053" s="701"/>
      <c r="D7053" s="811"/>
      <c r="E7053" s="1276">
        <f>[11]building!Y7384</f>
        <v>0</v>
      </c>
      <c r="F7053" s="748">
        <f t="shared" si="349"/>
        <v>0</v>
      </c>
      <c r="G7053" s="1205"/>
      <c r="H7053" s="1055"/>
      <c r="I7053" s="1055"/>
      <c r="J7053" s="1055"/>
      <c r="K7053" s="1205"/>
      <c r="L7053" s="1055"/>
      <c r="M7053" s="1205"/>
      <c r="N7053" s="1054"/>
      <c r="O7053" s="1207"/>
      <c r="Q7053" s="1207"/>
    </row>
    <row r="7054" spans="3:17" s="700" customFormat="1" ht="70.5" hidden="1" customHeight="1">
      <c r="C7054" s="701"/>
      <c r="D7054" s="811"/>
      <c r="E7054" s="1276">
        <f>[11]building!Y7385</f>
        <v>0</v>
      </c>
      <c r="F7054" s="748">
        <f t="shared" si="349"/>
        <v>0</v>
      </c>
      <c r="G7054" s="1205"/>
      <c r="H7054" s="1055"/>
      <c r="I7054" s="1055"/>
      <c r="J7054" s="1055"/>
      <c r="K7054" s="1205"/>
      <c r="L7054" s="1055"/>
      <c r="M7054" s="1205"/>
      <c r="N7054" s="1054"/>
      <c r="O7054" s="1207"/>
      <c r="Q7054" s="1207"/>
    </row>
    <row r="7055" spans="3:17" s="700" customFormat="1" ht="70.5" hidden="1" customHeight="1">
      <c r="C7055" s="701"/>
      <c r="D7055" s="811"/>
      <c r="E7055" s="1276">
        <f>[11]building!Y7386</f>
        <v>0</v>
      </c>
      <c r="F7055" s="748">
        <f t="shared" si="349"/>
        <v>0</v>
      </c>
      <c r="G7055" s="1205"/>
      <c r="H7055" s="1055"/>
      <c r="I7055" s="1055"/>
      <c r="J7055" s="1055"/>
      <c r="K7055" s="1205"/>
      <c r="L7055" s="1055"/>
      <c r="M7055" s="1205"/>
      <c r="N7055" s="1054"/>
      <c r="O7055" s="1207"/>
      <c r="Q7055" s="1207"/>
    </row>
    <row r="7056" spans="3:17" s="700" customFormat="1" ht="70.5" hidden="1" customHeight="1">
      <c r="C7056" s="701"/>
      <c r="D7056" s="811"/>
      <c r="E7056" s="1276">
        <f>[11]building!Y7387</f>
        <v>0</v>
      </c>
      <c r="F7056" s="748">
        <f t="shared" si="349"/>
        <v>0</v>
      </c>
      <c r="G7056" s="1205"/>
      <c r="H7056" s="1055"/>
      <c r="I7056" s="1055"/>
      <c r="J7056" s="1055"/>
      <c r="K7056" s="1205"/>
      <c r="L7056" s="1055"/>
      <c r="M7056" s="1205"/>
      <c r="N7056" s="1054"/>
      <c r="O7056" s="1207"/>
      <c r="Q7056" s="1207"/>
    </row>
    <row r="7057" spans="3:17" s="700" customFormat="1" ht="70.5" hidden="1" customHeight="1">
      <c r="C7057" s="701"/>
      <c r="D7057" s="811"/>
      <c r="E7057" s="1276">
        <f>[11]building!Y7388</f>
        <v>0</v>
      </c>
      <c r="F7057" s="748">
        <f t="shared" si="349"/>
        <v>0</v>
      </c>
      <c r="G7057" s="1205"/>
      <c r="H7057" s="1055"/>
      <c r="I7057" s="1055"/>
      <c r="J7057" s="1055"/>
      <c r="K7057" s="1205"/>
      <c r="L7057" s="1055"/>
      <c r="M7057" s="1205"/>
      <c r="N7057" s="1054"/>
      <c r="O7057" s="1207"/>
      <c r="Q7057" s="1207"/>
    </row>
    <row r="7058" spans="3:17" s="700" customFormat="1" ht="70.5" hidden="1" customHeight="1">
      <c r="C7058" s="701"/>
      <c r="D7058" s="811"/>
      <c r="E7058" s="1276">
        <f>[11]building!Y7389</f>
        <v>0</v>
      </c>
      <c r="F7058" s="748">
        <f t="shared" si="349"/>
        <v>0</v>
      </c>
      <c r="G7058" s="1205"/>
      <c r="H7058" s="1055"/>
      <c r="I7058" s="1055"/>
      <c r="J7058" s="1055"/>
      <c r="K7058" s="1205"/>
      <c r="L7058" s="1055"/>
      <c r="M7058" s="1205"/>
      <c r="N7058" s="1054"/>
      <c r="O7058" s="1207"/>
      <c r="Q7058" s="1207"/>
    </row>
    <row r="7059" spans="3:17" s="700" customFormat="1" ht="70.5" hidden="1" customHeight="1">
      <c r="C7059" s="701"/>
      <c r="D7059" s="811"/>
      <c r="E7059" s="1276">
        <f>[11]building!Y7390</f>
        <v>0</v>
      </c>
      <c r="F7059" s="748">
        <f t="shared" si="349"/>
        <v>0</v>
      </c>
      <c r="G7059" s="1205"/>
      <c r="H7059" s="1055"/>
      <c r="I7059" s="1055"/>
      <c r="J7059" s="1055"/>
      <c r="K7059" s="1205"/>
      <c r="L7059" s="1055"/>
      <c r="M7059" s="1205"/>
      <c r="N7059" s="1054"/>
      <c r="O7059" s="1207"/>
      <c r="Q7059" s="1207"/>
    </row>
    <row r="7060" spans="3:17" s="700" customFormat="1" ht="70.5" hidden="1" customHeight="1">
      <c r="C7060" s="701"/>
      <c r="D7060" s="811"/>
      <c r="E7060" s="1276">
        <f>[11]building!Y7391</f>
        <v>0</v>
      </c>
      <c r="F7060" s="748">
        <f t="shared" si="349"/>
        <v>0</v>
      </c>
      <c r="G7060" s="1205"/>
      <c r="H7060" s="1055"/>
      <c r="I7060" s="1055"/>
      <c r="J7060" s="1055"/>
      <c r="K7060" s="1205"/>
      <c r="L7060" s="1055"/>
      <c r="M7060" s="1205"/>
      <c r="N7060" s="1054"/>
      <c r="O7060" s="1207"/>
      <c r="Q7060" s="1207"/>
    </row>
    <row r="7061" spans="3:17" s="700" customFormat="1" ht="70.5" hidden="1" customHeight="1">
      <c r="C7061" s="701"/>
      <c r="D7061" s="811"/>
      <c r="E7061" s="1276">
        <f>[11]building!Y7392</f>
        <v>0</v>
      </c>
      <c r="F7061" s="748">
        <f t="shared" si="349"/>
        <v>0</v>
      </c>
      <c r="G7061" s="1205"/>
      <c r="H7061" s="1055"/>
      <c r="I7061" s="1055"/>
      <c r="J7061" s="1055"/>
      <c r="K7061" s="1205"/>
      <c r="L7061" s="1055"/>
      <c r="M7061" s="1205"/>
      <c r="N7061" s="1054"/>
      <c r="O7061" s="1207"/>
      <c r="Q7061" s="1207"/>
    </row>
    <row r="7062" spans="3:17" s="700" customFormat="1" ht="70.5" hidden="1" customHeight="1">
      <c r="C7062" s="701"/>
      <c r="D7062" s="811"/>
      <c r="E7062" s="1276">
        <f>[11]building!Y7393</f>
        <v>0</v>
      </c>
      <c r="F7062" s="748">
        <f t="shared" si="349"/>
        <v>0</v>
      </c>
      <c r="G7062" s="1205"/>
      <c r="H7062" s="1055"/>
      <c r="I7062" s="1055"/>
      <c r="J7062" s="1055"/>
      <c r="K7062" s="1205"/>
      <c r="L7062" s="1055"/>
      <c r="M7062" s="1205"/>
      <c r="N7062" s="1054"/>
      <c r="O7062" s="1207"/>
      <c r="Q7062" s="1207"/>
    </row>
    <row r="7063" spans="3:17" s="700" customFormat="1" ht="70.5" hidden="1" customHeight="1">
      <c r="C7063" s="701"/>
      <c r="D7063" s="811"/>
      <c r="E7063" s="1276">
        <f>[11]building!Y7394</f>
        <v>0</v>
      </c>
      <c r="F7063" s="748">
        <f t="shared" si="349"/>
        <v>0</v>
      </c>
      <c r="G7063" s="1205"/>
      <c r="H7063" s="1055"/>
      <c r="I7063" s="1055"/>
      <c r="J7063" s="1055"/>
      <c r="K7063" s="1205"/>
      <c r="L7063" s="1055"/>
      <c r="M7063" s="1205"/>
      <c r="N7063" s="1054"/>
      <c r="O7063" s="1207"/>
      <c r="Q7063" s="1207"/>
    </row>
    <row r="7064" spans="3:17" s="700" customFormat="1" ht="70.5" hidden="1" customHeight="1">
      <c r="C7064" s="701"/>
      <c r="D7064" s="811"/>
      <c r="E7064" s="1276">
        <f>[11]building!Y7395</f>
        <v>0</v>
      </c>
      <c r="F7064" s="748">
        <f t="shared" si="349"/>
        <v>0</v>
      </c>
      <c r="G7064" s="1205"/>
      <c r="H7064" s="1055"/>
      <c r="I7064" s="1055"/>
      <c r="J7064" s="1055"/>
      <c r="K7064" s="1205"/>
      <c r="L7064" s="1055"/>
      <c r="M7064" s="1205"/>
      <c r="N7064" s="1054"/>
      <c r="O7064" s="1207"/>
      <c r="Q7064" s="1207"/>
    </row>
    <row r="7065" spans="3:17" s="700" customFormat="1" ht="70.5" hidden="1" customHeight="1">
      <c r="C7065" s="701"/>
      <c r="D7065" s="811"/>
      <c r="E7065" s="1276">
        <f>[11]building!Y7396</f>
        <v>0</v>
      </c>
      <c r="F7065" s="748">
        <f t="shared" si="349"/>
        <v>0</v>
      </c>
      <c r="G7065" s="1205"/>
      <c r="H7065" s="1055"/>
      <c r="I7065" s="1055"/>
      <c r="J7065" s="1055"/>
      <c r="K7065" s="1205"/>
      <c r="L7065" s="1055"/>
      <c r="M7065" s="1205"/>
      <c r="N7065" s="1054"/>
      <c r="O7065" s="1207"/>
      <c r="Q7065" s="1207"/>
    </row>
    <row r="7066" spans="3:17" s="700" customFormat="1" ht="70.5" hidden="1" customHeight="1">
      <c r="C7066" s="701"/>
      <c r="D7066" s="811"/>
      <c r="E7066" s="1276">
        <f>[11]building!Y7397</f>
        <v>0</v>
      </c>
      <c r="F7066" s="748">
        <f t="shared" si="349"/>
        <v>0</v>
      </c>
      <c r="G7066" s="1205"/>
      <c r="H7066" s="1055"/>
      <c r="I7066" s="1055"/>
      <c r="J7066" s="1055"/>
      <c r="K7066" s="1205"/>
      <c r="L7066" s="1055"/>
      <c r="M7066" s="1205"/>
      <c r="N7066" s="1054"/>
      <c r="O7066" s="1207"/>
      <c r="Q7066" s="1207"/>
    </row>
    <row r="7067" spans="3:17" s="700" customFormat="1" ht="70.5" hidden="1" customHeight="1">
      <c r="C7067" s="701"/>
      <c r="D7067" s="811"/>
      <c r="E7067" s="1276">
        <f>[11]building!Y7398</f>
        <v>0</v>
      </c>
      <c r="F7067" s="748">
        <f t="shared" si="349"/>
        <v>0</v>
      </c>
      <c r="G7067" s="1205"/>
      <c r="H7067" s="1055"/>
      <c r="I7067" s="1055"/>
      <c r="J7067" s="1055"/>
      <c r="K7067" s="1205"/>
      <c r="L7067" s="1055"/>
      <c r="M7067" s="1205"/>
      <c r="N7067" s="1054"/>
      <c r="O7067" s="1207"/>
      <c r="Q7067" s="1207"/>
    </row>
    <row r="7068" spans="3:17" s="700" customFormat="1" ht="70.5" hidden="1" customHeight="1">
      <c r="C7068" s="701"/>
      <c r="D7068" s="811"/>
      <c r="E7068" s="1276">
        <f>[11]building!Y7399</f>
        <v>0</v>
      </c>
      <c r="F7068" s="748">
        <f t="shared" si="349"/>
        <v>0</v>
      </c>
      <c r="G7068" s="1205"/>
      <c r="H7068" s="1055"/>
      <c r="I7068" s="1055"/>
      <c r="J7068" s="1055"/>
      <c r="K7068" s="1205"/>
      <c r="L7068" s="1055"/>
      <c r="M7068" s="1205"/>
      <c r="N7068" s="1054"/>
      <c r="O7068" s="1207"/>
      <c r="Q7068" s="1207"/>
    </row>
    <row r="7069" spans="3:17" s="700" customFormat="1" ht="70.5" hidden="1" customHeight="1">
      <c r="C7069" s="701"/>
      <c r="D7069" s="811"/>
      <c r="E7069" s="1276">
        <f>[11]building!Y7400</f>
        <v>0</v>
      </c>
      <c r="F7069" s="748">
        <f t="shared" si="349"/>
        <v>0</v>
      </c>
      <c r="G7069" s="1205"/>
      <c r="H7069" s="1055"/>
      <c r="I7069" s="1055"/>
      <c r="J7069" s="1055"/>
      <c r="K7069" s="1205"/>
      <c r="L7069" s="1055"/>
      <c r="M7069" s="1205"/>
      <c r="N7069" s="1054"/>
      <c r="O7069" s="1207"/>
      <c r="Q7069" s="1207"/>
    </row>
    <row r="7070" spans="3:17" s="700" customFormat="1" ht="70.5" hidden="1" customHeight="1">
      <c r="C7070" s="701"/>
      <c r="D7070" s="811"/>
      <c r="E7070" s="1276">
        <f>[11]building!Y7401</f>
        <v>0</v>
      </c>
      <c r="F7070" s="748">
        <f t="shared" si="349"/>
        <v>0</v>
      </c>
      <c r="G7070" s="1205"/>
      <c r="H7070" s="1055"/>
      <c r="I7070" s="1055"/>
      <c r="J7070" s="1055"/>
      <c r="K7070" s="1205"/>
      <c r="L7070" s="1055"/>
      <c r="M7070" s="1205"/>
      <c r="N7070" s="1054"/>
      <c r="O7070" s="1207"/>
      <c r="Q7070" s="1207"/>
    </row>
    <row r="7071" spans="3:17" s="700" customFormat="1" ht="70.5" hidden="1" customHeight="1">
      <c r="C7071" s="701"/>
      <c r="D7071" s="811"/>
      <c r="E7071" s="1276">
        <f>[11]building!Y7402</f>
        <v>0</v>
      </c>
      <c r="F7071" s="748">
        <f t="shared" si="349"/>
        <v>0</v>
      </c>
      <c r="G7071" s="1205"/>
      <c r="H7071" s="1055"/>
      <c r="I7071" s="1055"/>
      <c r="J7071" s="1055"/>
      <c r="K7071" s="1205"/>
      <c r="L7071" s="1055"/>
      <c r="M7071" s="1205"/>
      <c r="N7071" s="1054"/>
      <c r="O7071" s="1207"/>
      <c r="Q7071" s="1207"/>
    </row>
    <row r="7072" spans="3:17" s="700" customFormat="1" ht="70.5" hidden="1" customHeight="1">
      <c r="C7072" s="701"/>
      <c r="D7072" s="811"/>
      <c r="E7072" s="1276">
        <f>[11]building!Y7403</f>
        <v>0</v>
      </c>
      <c r="F7072" s="748">
        <f t="shared" si="349"/>
        <v>0</v>
      </c>
      <c r="G7072" s="1205"/>
      <c r="H7072" s="1055"/>
      <c r="I7072" s="1055"/>
      <c r="J7072" s="1055"/>
      <c r="K7072" s="1205"/>
      <c r="L7072" s="1055"/>
      <c r="M7072" s="1205"/>
      <c r="N7072" s="1054"/>
      <c r="O7072" s="1207"/>
      <c r="Q7072" s="1207"/>
    </row>
    <row r="7073" spans="3:17" s="700" customFormat="1" ht="70.5" hidden="1" customHeight="1">
      <c r="C7073" s="701"/>
      <c r="D7073" s="811"/>
      <c r="E7073" s="1276">
        <f>[11]building!Y7404</f>
        <v>0</v>
      </c>
      <c r="F7073" s="748">
        <f t="shared" si="349"/>
        <v>0</v>
      </c>
      <c r="G7073" s="1205"/>
      <c r="H7073" s="1055"/>
      <c r="I7073" s="1055"/>
      <c r="J7073" s="1055"/>
      <c r="K7073" s="1205"/>
      <c r="L7073" s="1055"/>
      <c r="M7073" s="1205"/>
      <c r="N7073" s="1054"/>
      <c r="O7073" s="1207"/>
      <c r="Q7073" s="1207"/>
    </row>
    <row r="7074" spans="3:17" s="700" customFormat="1" ht="70.5" hidden="1" customHeight="1">
      <c r="C7074" s="701"/>
      <c r="D7074" s="811"/>
      <c r="E7074" s="1276">
        <f>[11]building!Y7405</f>
        <v>0</v>
      </c>
      <c r="F7074" s="748">
        <f t="shared" si="349"/>
        <v>0</v>
      </c>
      <c r="G7074" s="1205"/>
      <c r="H7074" s="1055"/>
      <c r="I7074" s="1055"/>
      <c r="J7074" s="1055"/>
      <c r="K7074" s="1205"/>
      <c r="L7074" s="1055"/>
      <c r="M7074" s="1205"/>
      <c r="N7074" s="1054"/>
      <c r="O7074" s="1207"/>
      <c r="Q7074" s="1207"/>
    </row>
    <row r="7075" spans="3:17" s="700" customFormat="1" ht="70.5" hidden="1" customHeight="1">
      <c r="C7075" s="701"/>
      <c r="D7075" s="811"/>
      <c r="E7075" s="1276">
        <f>[11]building!Y7406</f>
        <v>0</v>
      </c>
      <c r="F7075" s="748">
        <f t="shared" si="349"/>
        <v>0</v>
      </c>
      <c r="G7075" s="1205"/>
      <c r="H7075" s="1055"/>
      <c r="I7075" s="1055"/>
      <c r="J7075" s="1055"/>
      <c r="K7075" s="1205"/>
      <c r="L7075" s="1055"/>
      <c r="M7075" s="1205"/>
      <c r="N7075" s="1054"/>
      <c r="O7075" s="1207"/>
      <c r="Q7075" s="1207"/>
    </row>
    <row r="7076" spans="3:17" s="700" customFormat="1" ht="70.5" hidden="1" customHeight="1">
      <c r="C7076" s="701"/>
      <c r="D7076" s="811"/>
      <c r="E7076" s="1276">
        <f>[11]building!Y7407</f>
        <v>0</v>
      </c>
      <c r="F7076" s="748">
        <f t="shared" si="349"/>
        <v>0</v>
      </c>
      <c r="G7076" s="1205"/>
      <c r="H7076" s="1055"/>
      <c r="I7076" s="1055"/>
      <c r="J7076" s="1055"/>
      <c r="K7076" s="1205"/>
      <c r="L7076" s="1055"/>
      <c r="M7076" s="1205"/>
      <c r="N7076" s="1054"/>
      <c r="O7076" s="1207"/>
      <c r="Q7076" s="1207"/>
    </row>
    <row r="7077" spans="3:17" s="700" customFormat="1" ht="70.5" hidden="1" customHeight="1">
      <c r="C7077" s="701"/>
      <c r="D7077" s="811"/>
      <c r="E7077" s="1276">
        <f>[11]building!Y7408</f>
        <v>0</v>
      </c>
      <c r="F7077" s="748">
        <f t="shared" si="349"/>
        <v>0</v>
      </c>
      <c r="G7077" s="1205"/>
      <c r="H7077" s="1055"/>
      <c r="I7077" s="1055"/>
      <c r="J7077" s="1055"/>
      <c r="K7077" s="1205"/>
      <c r="L7077" s="1055"/>
      <c r="M7077" s="1205"/>
      <c r="N7077" s="1054"/>
      <c r="O7077" s="1207"/>
      <c r="Q7077" s="1207"/>
    </row>
    <row r="7078" spans="3:17" s="700" customFormat="1" ht="70.5" hidden="1" customHeight="1">
      <c r="C7078" s="701"/>
      <c r="D7078" s="811"/>
      <c r="E7078" s="1276">
        <f>[11]building!Y7409</f>
        <v>0</v>
      </c>
      <c r="F7078" s="748">
        <f t="shared" si="349"/>
        <v>0</v>
      </c>
      <c r="G7078" s="1205"/>
      <c r="H7078" s="1055"/>
      <c r="I7078" s="1055"/>
      <c r="J7078" s="1055"/>
      <c r="K7078" s="1205"/>
      <c r="L7078" s="1055"/>
      <c r="M7078" s="1205"/>
      <c r="N7078" s="1054"/>
      <c r="O7078" s="1207"/>
      <c r="Q7078" s="1207"/>
    </row>
    <row r="7079" spans="3:17" s="700" customFormat="1" ht="70.5" hidden="1" customHeight="1">
      <c r="C7079" s="701"/>
      <c r="D7079" s="811"/>
      <c r="E7079" s="1276">
        <f>[11]building!Y7410</f>
        <v>0</v>
      </c>
      <c r="F7079" s="748">
        <f t="shared" si="349"/>
        <v>0</v>
      </c>
      <c r="G7079" s="1205"/>
      <c r="H7079" s="1055"/>
      <c r="I7079" s="1055"/>
      <c r="J7079" s="1055"/>
      <c r="K7079" s="1205"/>
      <c r="L7079" s="1055"/>
      <c r="M7079" s="1205"/>
      <c r="N7079" s="1054"/>
      <c r="O7079" s="1207"/>
      <c r="Q7079" s="1207"/>
    </row>
    <row r="7080" spans="3:17" s="700" customFormat="1" ht="70.5" hidden="1" customHeight="1">
      <c r="C7080" s="701"/>
      <c r="D7080" s="811"/>
      <c r="E7080" s="1276">
        <f>[11]building!Y7411</f>
        <v>0</v>
      </c>
      <c r="F7080" s="748">
        <f t="shared" si="349"/>
        <v>0</v>
      </c>
      <c r="G7080" s="1205"/>
      <c r="H7080" s="1055"/>
      <c r="I7080" s="1055"/>
      <c r="J7080" s="1055"/>
      <c r="K7080" s="1205"/>
      <c r="L7080" s="1055"/>
      <c r="M7080" s="1205"/>
      <c r="N7080" s="1054"/>
      <c r="O7080" s="1207"/>
      <c r="Q7080" s="1207"/>
    </row>
    <row r="7081" spans="3:17" s="700" customFormat="1" ht="70.5" hidden="1" customHeight="1">
      <c r="C7081" s="701"/>
      <c r="D7081" s="811"/>
      <c r="E7081" s="1276">
        <f>[11]building!Y7412</f>
        <v>0</v>
      </c>
      <c r="F7081" s="748">
        <f t="shared" si="349"/>
        <v>0</v>
      </c>
      <c r="G7081" s="1205"/>
      <c r="H7081" s="1055"/>
      <c r="I7081" s="1055"/>
      <c r="J7081" s="1055"/>
      <c r="K7081" s="1205"/>
      <c r="L7081" s="1055"/>
      <c r="M7081" s="1205"/>
      <c r="N7081" s="1054"/>
      <c r="O7081" s="1207"/>
      <c r="Q7081" s="1207"/>
    </row>
    <row r="7082" spans="3:17" s="700" customFormat="1" ht="70.5" hidden="1" customHeight="1">
      <c r="C7082" s="701"/>
      <c r="D7082" s="811"/>
      <c r="E7082" s="1276">
        <f>[11]building!Y7413</f>
        <v>0</v>
      </c>
      <c r="F7082" s="748">
        <f t="shared" si="349"/>
        <v>0</v>
      </c>
      <c r="G7082" s="1205"/>
      <c r="H7082" s="1055"/>
      <c r="I7082" s="1055"/>
      <c r="J7082" s="1055"/>
      <c r="K7082" s="1205"/>
      <c r="L7082" s="1055"/>
      <c r="M7082" s="1205"/>
      <c r="N7082" s="1054"/>
      <c r="O7082" s="1207"/>
      <c r="Q7082" s="1207"/>
    </row>
    <row r="7083" spans="3:17" s="700" customFormat="1" ht="70.5" hidden="1" customHeight="1">
      <c r="C7083" s="701"/>
      <c r="D7083" s="811"/>
      <c r="E7083" s="1276">
        <f>[11]building!Y7414</f>
        <v>0</v>
      </c>
      <c r="F7083" s="748">
        <f t="shared" si="349"/>
        <v>0</v>
      </c>
      <c r="G7083" s="1205"/>
      <c r="H7083" s="1055"/>
      <c r="I7083" s="1055"/>
      <c r="J7083" s="1055"/>
      <c r="K7083" s="1205"/>
      <c r="L7083" s="1055"/>
      <c r="M7083" s="1205"/>
      <c r="N7083" s="1054"/>
      <c r="O7083" s="1207"/>
      <c r="Q7083" s="1207"/>
    </row>
    <row r="7084" spans="3:17" s="700" customFormat="1" ht="70.5" hidden="1" customHeight="1">
      <c r="C7084" s="701"/>
      <c r="D7084" s="811"/>
      <c r="E7084" s="1276">
        <f>[11]building!Y7415</f>
        <v>0</v>
      </c>
      <c r="F7084" s="748">
        <f t="shared" si="349"/>
        <v>0</v>
      </c>
      <c r="G7084" s="1205"/>
      <c r="H7084" s="1055"/>
      <c r="I7084" s="1055"/>
      <c r="J7084" s="1055"/>
      <c r="K7084" s="1205"/>
      <c r="L7084" s="1055"/>
      <c r="M7084" s="1205"/>
      <c r="N7084" s="1054"/>
      <c r="O7084" s="1207"/>
      <c r="Q7084" s="1207"/>
    </row>
    <row r="7085" spans="3:17" s="700" customFormat="1" ht="70.5" hidden="1" customHeight="1">
      <c r="C7085" s="701"/>
      <c r="D7085" s="811"/>
      <c r="E7085" s="1276">
        <f>[11]building!Y7416</f>
        <v>0</v>
      </c>
      <c r="F7085" s="748">
        <f t="shared" si="349"/>
        <v>0</v>
      </c>
      <c r="G7085" s="1205"/>
      <c r="H7085" s="1055"/>
      <c r="I7085" s="1055"/>
      <c r="J7085" s="1055"/>
      <c r="K7085" s="1205"/>
      <c r="L7085" s="1055"/>
      <c r="M7085" s="1205"/>
      <c r="N7085" s="1054"/>
      <c r="O7085" s="1207"/>
      <c r="Q7085" s="1207"/>
    </row>
    <row r="7086" spans="3:17" s="700" customFormat="1" ht="70.5" hidden="1" customHeight="1">
      <c r="C7086" s="701"/>
      <c r="D7086" s="811"/>
      <c r="E7086" s="1276">
        <f>[11]building!Y7417</f>
        <v>0</v>
      </c>
      <c r="F7086" s="748">
        <f t="shared" si="349"/>
        <v>0</v>
      </c>
      <c r="G7086" s="1205"/>
      <c r="H7086" s="1055"/>
      <c r="I7086" s="1055"/>
      <c r="J7086" s="1055"/>
      <c r="K7086" s="1205"/>
      <c r="L7086" s="1055"/>
      <c r="M7086" s="1205"/>
      <c r="N7086" s="1054"/>
      <c r="O7086" s="1207"/>
      <c r="Q7086" s="1207"/>
    </row>
    <row r="7087" spans="3:17" s="700" customFormat="1" ht="70.5" hidden="1" customHeight="1">
      <c r="C7087" s="701"/>
      <c r="D7087" s="811"/>
      <c r="E7087" s="1276">
        <f>[11]building!Y7418</f>
        <v>0</v>
      </c>
      <c r="F7087" s="748">
        <f t="shared" si="349"/>
        <v>0</v>
      </c>
      <c r="G7087" s="1205"/>
      <c r="H7087" s="1055"/>
      <c r="I7087" s="1055"/>
      <c r="J7087" s="1055"/>
      <c r="K7087" s="1205"/>
      <c r="L7087" s="1055"/>
      <c r="M7087" s="1205"/>
      <c r="N7087" s="1054"/>
      <c r="O7087" s="1207"/>
      <c r="Q7087" s="1207"/>
    </row>
    <row r="7088" spans="3:17" s="700" customFormat="1" ht="70.5" hidden="1" customHeight="1">
      <c r="C7088" s="701"/>
      <c r="D7088" s="811"/>
      <c r="E7088" s="1276">
        <f>[11]building!Y7419</f>
        <v>0</v>
      </c>
      <c r="F7088" s="748">
        <f t="shared" si="349"/>
        <v>0</v>
      </c>
      <c r="G7088" s="1205"/>
      <c r="H7088" s="1055"/>
      <c r="I7088" s="1055"/>
      <c r="J7088" s="1055"/>
      <c r="K7088" s="1205"/>
      <c r="L7088" s="1055"/>
      <c r="M7088" s="1205"/>
      <c r="N7088" s="1054"/>
      <c r="O7088" s="1207"/>
      <c r="Q7088" s="1207"/>
    </row>
    <row r="7089" spans="3:17" s="700" customFormat="1" ht="70.5" hidden="1" customHeight="1">
      <c r="C7089" s="701"/>
      <c r="D7089" s="811"/>
      <c r="E7089" s="1276">
        <f>[11]building!Y7420</f>
        <v>0</v>
      </c>
      <c r="F7089" s="748">
        <f t="shared" si="349"/>
        <v>0</v>
      </c>
      <c r="G7089" s="1205"/>
      <c r="H7089" s="1055"/>
      <c r="I7089" s="1055"/>
      <c r="J7089" s="1055"/>
      <c r="K7089" s="1205"/>
      <c r="L7089" s="1055"/>
      <c r="M7089" s="1205"/>
      <c r="N7089" s="1054"/>
      <c r="O7089" s="1207"/>
      <c r="Q7089" s="1207"/>
    </row>
    <row r="7090" spans="3:17" s="700" customFormat="1" ht="70.5" hidden="1" customHeight="1">
      <c r="C7090" s="701"/>
      <c r="D7090" s="811"/>
      <c r="E7090" s="1276">
        <f>[11]building!Y7421</f>
        <v>0</v>
      </c>
      <c r="F7090" s="748">
        <f t="shared" si="349"/>
        <v>0</v>
      </c>
      <c r="G7090" s="1205"/>
      <c r="H7090" s="1055"/>
      <c r="I7090" s="1055"/>
      <c r="J7090" s="1055"/>
      <c r="K7090" s="1205"/>
      <c r="L7090" s="1055"/>
      <c r="M7090" s="1205"/>
      <c r="N7090" s="1054"/>
      <c r="O7090" s="1207"/>
      <c r="Q7090" s="1207"/>
    </row>
    <row r="7091" spans="3:17" s="700" customFormat="1" ht="70.5" hidden="1" customHeight="1">
      <c r="C7091" s="701"/>
      <c r="D7091" s="811"/>
      <c r="E7091" s="1276">
        <f>[11]building!Y7422</f>
        <v>0</v>
      </c>
      <c r="F7091" s="748">
        <f t="shared" si="349"/>
        <v>0</v>
      </c>
      <c r="G7091" s="1205"/>
      <c r="H7091" s="1055"/>
      <c r="I7091" s="1055"/>
      <c r="J7091" s="1055"/>
      <c r="K7091" s="1205"/>
      <c r="L7091" s="1055"/>
      <c r="M7091" s="1205"/>
      <c r="N7091" s="1054"/>
      <c r="O7091" s="1207"/>
      <c r="Q7091" s="1207"/>
    </row>
    <row r="7092" spans="3:17" s="700" customFormat="1" ht="70.5" hidden="1" customHeight="1">
      <c r="C7092" s="701"/>
      <c r="D7092" s="811"/>
      <c r="E7092" s="1276">
        <f>[11]building!Y7423</f>
        <v>0</v>
      </c>
      <c r="F7092" s="748">
        <f t="shared" si="349"/>
        <v>0</v>
      </c>
      <c r="G7092" s="1205"/>
      <c r="H7092" s="1055"/>
      <c r="I7092" s="1055"/>
      <c r="J7092" s="1055"/>
      <c r="K7092" s="1205"/>
      <c r="L7092" s="1055"/>
      <c r="M7092" s="1205"/>
      <c r="N7092" s="1054"/>
      <c r="O7092" s="1207"/>
      <c r="Q7092" s="1207"/>
    </row>
    <row r="7093" spans="3:17" s="700" customFormat="1" ht="70.5" hidden="1" customHeight="1">
      <c r="C7093" s="701"/>
      <c r="D7093" s="811"/>
      <c r="E7093" s="1276">
        <f>[11]building!Y7424</f>
        <v>0</v>
      </c>
      <c r="F7093" s="748">
        <f t="shared" si="349"/>
        <v>0</v>
      </c>
      <c r="G7093" s="1205"/>
      <c r="H7093" s="1055"/>
      <c r="I7093" s="1055"/>
      <c r="J7093" s="1055"/>
      <c r="K7093" s="1205"/>
      <c r="L7093" s="1055"/>
      <c r="M7093" s="1205"/>
      <c r="N7093" s="1054"/>
      <c r="O7093" s="1207"/>
      <c r="Q7093" s="1207"/>
    </row>
    <row r="7094" spans="3:17" s="700" customFormat="1" ht="70.5" hidden="1" customHeight="1">
      <c r="C7094" s="701"/>
      <c r="D7094" s="811"/>
      <c r="E7094" s="1276">
        <f>[11]building!Y7425</f>
        <v>0</v>
      </c>
      <c r="F7094" s="748">
        <f t="shared" si="349"/>
        <v>0</v>
      </c>
      <c r="G7094" s="1205"/>
      <c r="H7094" s="1055"/>
      <c r="I7094" s="1055"/>
      <c r="J7094" s="1055"/>
      <c r="K7094" s="1205"/>
      <c r="L7094" s="1055"/>
      <c r="M7094" s="1205"/>
      <c r="N7094" s="1054"/>
      <c r="O7094" s="1207"/>
      <c r="Q7094" s="1207"/>
    </row>
    <row r="7095" spans="3:17" s="700" customFormat="1" ht="70.5" hidden="1" customHeight="1">
      <c r="C7095" s="701"/>
      <c r="D7095" s="811"/>
      <c r="E7095" s="1276">
        <f>[11]building!Y7426</f>
        <v>0</v>
      </c>
      <c r="F7095" s="748">
        <f t="shared" si="349"/>
        <v>0</v>
      </c>
      <c r="G7095" s="1205"/>
      <c r="H7095" s="1055"/>
      <c r="I7095" s="1055"/>
      <c r="J7095" s="1055"/>
      <c r="K7095" s="1205"/>
      <c r="L7095" s="1055"/>
      <c r="M7095" s="1205"/>
      <c r="N7095" s="1054"/>
      <c r="O7095" s="1207"/>
      <c r="Q7095" s="1207"/>
    </row>
    <row r="7096" spans="3:17" s="700" customFormat="1" ht="70.5" hidden="1" customHeight="1">
      <c r="C7096" s="701"/>
      <c r="D7096" s="811"/>
      <c r="E7096" s="1276">
        <f>[11]building!Y7427</f>
        <v>0</v>
      </c>
      <c r="F7096" s="748">
        <f t="shared" si="349"/>
        <v>0</v>
      </c>
      <c r="G7096" s="1205"/>
      <c r="H7096" s="1055"/>
      <c r="I7096" s="1055"/>
      <c r="J7096" s="1055"/>
      <c r="K7096" s="1205"/>
      <c r="L7096" s="1055"/>
      <c r="M7096" s="1205"/>
      <c r="N7096" s="1054"/>
      <c r="O7096" s="1207"/>
      <c r="Q7096" s="1207"/>
    </row>
    <row r="7097" spans="3:17" s="700" customFormat="1" ht="70.5" hidden="1" customHeight="1">
      <c r="C7097" s="701"/>
      <c r="D7097" s="811"/>
      <c r="E7097" s="1276">
        <f>[11]building!Y7428</f>
        <v>0</v>
      </c>
      <c r="F7097" s="748">
        <f t="shared" si="349"/>
        <v>0</v>
      </c>
      <c r="G7097" s="1205"/>
      <c r="H7097" s="1055"/>
      <c r="I7097" s="1055"/>
      <c r="J7097" s="1055"/>
      <c r="K7097" s="1205"/>
      <c r="L7097" s="1055"/>
      <c r="M7097" s="1205"/>
      <c r="N7097" s="1054"/>
      <c r="O7097" s="1207"/>
      <c r="Q7097" s="1207"/>
    </row>
    <row r="7098" spans="3:17" s="700" customFormat="1" ht="70.5" hidden="1" customHeight="1">
      <c r="C7098" s="701"/>
      <c r="D7098" s="811"/>
      <c r="E7098" s="1276">
        <f>[11]building!Y7429</f>
        <v>0</v>
      </c>
      <c r="F7098" s="748">
        <f t="shared" si="349"/>
        <v>0</v>
      </c>
      <c r="G7098" s="1205"/>
      <c r="H7098" s="1055"/>
      <c r="I7098" s="1055"/>
      <c r="J7098" s="1055"/>
      <c r="K7098" s="1205"/>
      <c r="L7098" s="1055"/>
      <c r="M7098" s="1205"/>
      <c r="N7098" s="1054"/>
      <c r="O7098" s="1207"/>
      <c r="Q7098" s="1207"/>
    </row>
    <row r="7099" spans="3:17" s="700" customFormat="1" ht="70.5" hidden="1" customHeight="1">
      <c r="C7099" s="701"/>
      <c r="D7099" s="811"/>
      <c r="E7099" s="1276">
        <f>[11]building!Y7430</f>
        <v>0</v>
      </c>
      <c r="F7099" s="748">
        <f t="shared" si="349"/>
        <v>0</v>
      </c>
      <c r="G7099" s="1205"/>
      <c r="H7099" s="1055"/>
      <c r="I7099" s="1055"/>
      <c r="J7099" s="1055"/>
      <c r="K7099" s="1205"/>
      <c r="L7099" s="1055"/>
      <c r="M7099" s="1205"/>
      <c r="N7099" s="1054"/>
      <c r="O7099" s="1207"/>
      <c r="Q7099" s="1207"/>
    </row>
    <row r="7100" spans="3:17" s="700" customFormat="1" ht="70.5" hidden="1" customHeight="1">
      <c r="C7100" s="701"/>
      <c r="D7100" s="811"/>
      <c r="E7100" s="1276">
        <f>[11]building!Y7431</f>
        <v>0</v>
      </c>
      <c r="F7100" s="748">
        <f t="shared" si="349"/>
        <v>0</v>
      </c>
      <c r="G7100" s="1205"/>
      <c r="H7100" s="1055"/>
      <c r="I7100" s="1055"/>
      <c r="J7100" s="1055"/>
      <c r="K7100" s="1205"/>
      <c r="L7100" s="1055"/>
      <c r="M7100" s="1205"/>
      <c r="N7100" s="1054"/>
      <c r="O7100" s="1207"/>
      <c r="Q7100" s="1207"/>
    </row>
    <row r="7101" spans="3:17" s="700" customFormat="1" ht="70.5" hidden="1" customHeight="1">
      <c r="C7101" s="701"/>
      <c r="D7101" s="811"/>
      <c r="E7101" s="1276">
        <f>[11]building!Y7432</f>
        <v>0</v>
      </c>
      <c r="F7101" s="748">
        <f t="shared" si="349"/>
        <v>0</v>
      </c>
      <c r="G7101" s="1205"/>
      <c r="H7101" s="1055"/>
      <c r="I7101" s="1055"/>
      <c r="J7101" s="1055"/>
      <c r="K7101" s="1205"/>
      <c r="L7101" s="1055"/>
      <c r="M7101" s="1205"/>
      <c r="N7101" s="1054"/>
      <c r="O7101" s="1207"/>
      <c r="Q7101" s="1207"/>
    </row>
    <row r="7102" spans="3:17" s="700" customFormat="1" ht="70.5" hidden="1" customHeight="1">
      <c r="C7102" s="701"/>
      <c r="D7102" s="811"/>
      <c r="E7102" s="1276">
        <f>[11]building!Y7433</f>
        <v>0</v>
      </c>
      <c r="F7102" s="748">
        <f t="shared" si="349"/>
        <v>0</v>
      </c>
      <c r="G7102" s="1205"/>
      <c r="H7102" s="1055"/>
      <c r="I7102" s="1055"/>
      <c r="J7102" s="1055"/>
      <c r="K7102" s="1205"/>
      <c r="L7102" s="1055"/>
      <c r="M7102" s="1205"/>
      <c r="N7102" s="1054"/>
      <c r="O7102" s="1207"/>
      <c r="Q7102" s="1207"/>
    </row>
    <row r="7103" spans="3:17" s="700" customFormat="1" ht="70.5" hidden="1" customHeight="1">
      <c r="C7103" s="701"/>
      <c r="D7103" s="811"/>
      <c r="E7103" s="1276">
        <f>[11]building!Y7434</f>
        <v>0</v>
      </c>
      <c r="F7103" s="748">
        <f t="shared" si="349"/>
        <v>0</v>
      </c>
      <c r="G7103" s="1205"/>
      <c r="H7103" s="1055"/>
      <c r="I7103" s="1055"/>
      <c r="J7103" s="1055"/>
      <c r="K7103" s="1205"/>
      <c r="L7103" s="1055"/>
      <c r="M7103" s="1205"/>
      <c r="N7103" s="1054"/>
      <c r="O7103" s="1207"/>
      <c r="Q7103" s="1207"/>
    </row>
    <row r="7104" spans="3:17" s="700" customFormat="1" ht="70.5" hidden="1" customHeight="1">
      <c r="C7104" s="701"/>
      <c r="D7104" s="811"/>
      <c r="E7104" s="1276">
        <f>[11]building!Y7435</f>
        <v>0</v>
      </c>
      <c r="F7104" s="748">
        <f t="shared" ref="F7104:F7167" si="350">E7104*C7104</f>
        <v>0</v>
      </c>
      <c r="G7104" s="1205"/>
      <c r="H7104" s="1055"/>
      <c r="I7104" s="1055"/>
      <c r="J7104" s="1055"/>
      <c r="K7104" s="1205"/>
      <c r="L7104" s="1055"/>
      <c r="M7104" s="1205"/>
      <c r="N7104" s="1054"/>
      <c r="O7104" s="1207"/>
      <c r="Q7104" s="1207"/>
    </row>
    <row r="7105" spans="3:17" s="700" customFormat="1" ht="70.5" hidden="1" customHeight="1">
      <c r="C7105" s="701"/>
      <c r="D7105" s="811"/>
      <c r="E7105" s="1276">
        <f>[11]building!Y7436</f>
        <v>0</v>
      </c>
      <c r="F7105" s="748">
        <f t="shared" si="350"/>
        <v>0</v>
      </c>
      <c r="G7105" s="1205"/>
      <c r="H7105" s="1055"/>
      <c r="I7105" s="1055"/>
      <c r="J7105" s="1055"/>
      <c r="K7105" s="1205"/>
      <c r="L7105" s="1055"/>
      <c r="M7105" s="1205"/>
      <c r="N7105" s="1054"/>
      <c r="O7105" s="1207"/>
      <c r="Q7105" s="1207"/>
    </row>
    <row r="7106" spans="3:17" s="700" customFormat="1" ht="70.5" hidden="1" customHeight="1">
      <c r="C7106" s="701"/>
      <c r="D7106" s="811"/>
      <c r="E7106" s="1276">
        <f>[11]building!Y7437</f>
        <v>0</v>
      </c>
      <c r="F7106" s="748">
        <f t="shared" si="350"/>
        <v>0</v>
      </c>
      <c r="G7106" s="1205"/>
      <c r="H7106" s="1055"/>
      <c r="I7106" s="1055"/>
      <c r="J7106" s="1055"/>
      <c r="K7106" s="1205"/>
      <c r="L7106" s="1055"/>
      <c r="M7106" s="1205"/>
      <c r="N7106" s="1054"/>
      <c r="O7106" s="1207"/>
      <c r="Q7106" s="1207"/>
    </row>
    <row r="7107" spans="3:17" s="700" customFormat="1" ht="70.5" hidden="1" customHeight="1">
      <c r="C7107" s="701"/>
      <c r="D7107" s="811"/>
      <c r="E7107" s="1276">
        <f>[11]building!Y7438</f>
        <v>0</v>
      </c>
      <c r="F7107" s="748">
        <f t="shared" si="350"/>
        <v>0</v>
      </c>
      <c r="G7107" s="1205"/>
      <c r="H7107" s="1055"/>
      <c r="I7107" s="1055"/>
      <c r="J7107" s="1055"/>
      <c r="K7107" s="1205"/>
      <c r="L7107" s="1055"/>
      <c r="M7107" s="1205"/>
      <c r="N7107" s="1054"/>
      <c r="O7107" s="1207"/>
      <c r="Q7107" s="1207"/>
    </row>
    <row r="7108" spans="3:17" s="700" customFormat="1" ht="70.5" hidden="1" customHeight="1">
      <c r="C7108" s="701"/>
      <c r="D7108" s="811"/>
      <c r="E7108" s="1276">
        <f>[11]building!Y7439</f>
        <v>0</v>
      </c>
      <c r="F7108" s="748">
        <f t="shared" si="350"/>
        <v>0</v>
      </c>
      <c r="G7108" s="1205"/>
      <c r="H7108" s="1055"/>
      <c r="I7108" s="1055"/>
      <c r="J7108" s="1055"/>
      <c r="K7108" s="1205"/>
      <c r="L7108" s="1055"/>
      <c r="M7108" s="1205"/>
      <c r="N7108" s="1054"/>
      <c r="O7108" s="1207"/>
      <c r="Q7108" s="1207"/>
    </row>
    <row r="7109" spans="3:17" s="700" customFormat="1" ht="70.5" hidden="1" customHeight="1">
      <c r="C7109" s="701"/>
      <c r="D7109" s="811"/>
      <c r="E7109" s="1276">
        <f>[11]building!Y7440</f>
        <v>0</v>
      </c>
      <c r="F7109" s="748">
        <f t="shared" si="350"/>
        <v>0</v>
      </c>
      <c r="G7109" s="1205"/>
      <c r="H7109" s="1055"/>
      <c r="I7109" s="1055"/>
      <c r="J7109" s="1055"/>
      <c r="K7109" s="1205"/>
      <c r="L7109" s="1055"/>
      <c r="M7109" s="1205"/>
      <c r="N7109" s="1054"/>
      <c r="O7109" s="1207"/>
      <c r="Q7109" s="1207"/>
    </row>
    <row r="7110" spans="3:17" s="700" customFormat="1" ht="70.5" hidden="1" customHeight="1">
      <c r="C7110" s="701"/>
      <c r="D7110" s="811"/>
      <c r="E7110" s="1276">
        <f>[11]building!Y7441</f>
        <v>0</v>
      </c>
      <c r="F7110" s="748">
        <f t="shared" si="350"/>
        <v>0</v>
      </c>
      <c r="G7110" s="1205"/>
      <c r="H7110" s="1055"/>
      <c r="I7110" s="1055"/>
      <c r="J7110" s="1055"/>
      <c r="K7110" s="1205"/>
      <c r="L7110" s="1055"/>
      <c r="M7110" s="1205"/>
      <c r="N7110" s="1054"/>
      <c r="O7110" s="1207"/>
      <c r="Q7110" s="1207"/>
    </row>
    <row r="7111" spans="3:17" s="700" customFormat="1" ht="70.5" hidden="1" customHeight="1">
      <c r="C7111" s="701"/>
      <c r="D7111" s="811"/>
      <c r="E7111" s="1276">
        <f>[11]building!Y7442</f>
        <v>0</v>
      </c>
      <c r="F7111" s="748">
        <f t="shared" si="350"/>
        <v>0</v>
      </c>
      <c r="G7111" s="1205"/>
      <c r="H7111" s="1055"/>
      <c r="I7111" s="1055"/>
      <c r="J7111" s="1055"/>
      <c r="K7111" s="1205"/>
      <c r="L7111" s="1055"/>
      <c r="M7111" s="1205"/>
      <c r="N7111" s="1054"/>
      <c r="O7111" s="1207"/>
      <c r="Q7111" s="1207"/>
    </row>
    <row r="7112" spans="3:17" s="700" customFormat="1" ht="70.5" hidden="1" customHeight="1">
      <c r="C7112" s="701"/>
      <c r="D7112" s="811"/>
      <c r="E7112" s="1276">
        <f>[11]building!Y7443</f>
        <v>0</v>
      </c>
      <c r="F7112" s="748">
        <f t="shared" si="350"/>
        <v>0</v>
      </c>
      <c r="G7112" s="1205"/>
      <c r="H7112" s="1055"/>
      <c r="I7112" s="1055"/>
      <c r="J7112" s="1055"/>
      <c r="K7112" s="1205"/>
      <c r="L7112" s="1055"/>
      <c r="M7112" s="1205"/>
      <c r="N7112" s="1054"/>
      <c r="O7112" s="1207"/>
      <c r="Q7112" s="1207"/>
    </row>
    <row r="7113" spans="3:17" s="700" customFormat="1" ht="70.5" hidden="1" customHeight="1">
      <c r="C7113" s="701"/>
      <c r="D7113" s="811"/>
      <c r="E7113" s="1276">
        <f>[11]building!Y7444</f>
        <v>0</v>
      </c>
      <c r="F7113" s="748">
        <f t="shared" si="350"/>
        <v>0</v>
      </c>
      <c r="G7113" s="1205"/>
      <c r="H7113" s="1055"/>
      <c r="I7113" s="1055"/>
      <c r="J7113" s="1055"/>
      <c r="K7113" s="1205"/>
      <c r="L7113" s="1055"/>
      <c r="M7113" s="1205"/>
      <c r="N7113" s="1054"/>
      <c r="O7113" s="1207"/>
      <c r="Q7113" s="1207"/>
    </row>
    <row r="7114" spans="3:17" s="700" customFormat="1" ht="70.5" hidden="1" customHeight="1">
      <c r="C7114" s="701"/>
      <c r="D7114" s="811"/>
      <c r="E7114" s="1276">
        <f>[11]building!Y7445</f>
        <v>0</v>
      </c>
      <c r="F7114" s="748">
        <f t="shared" si="350"/>
        <v>0</v>
      </c>
      <c r="G7114" s="1205"/>
      <c r="H7114" s="1055"/>
      <c r="I7114" s="1055"/>
      <c r="J7114" s="1055"/>
      <c r="K7114" s="1205"/>
      <c r="L7114" s="1055"/>
      <c r="M7114" s="1205"/>
      <c r="N7114" s="1054"/>
      <c r="O7114" s="1207"/>
      <c r="Q7114" s="1207"/>
    </row>
    <row r="7115" spans="3:17" s="700" customFormat="1" ht="70.5" hidden="1" customHeight="1">
      <c r="C7115" s="701"/>
      <c r="D7115" s="811"/>
      <c r="E7115" s="1276">
        <f>[11]building!Y7446</f>
        <v>0</v>
      </c>
      <c r="F7115" s="748">
        <f t="shared" si="350"/>
        <v>0</v>
      </c>
      <c r="G7115" s="1205"/>
      <c r="H7115" s="1055"/>
      <c r="I7115" s="1055"/>
      <c r="J7115" s="1055"/>
      <c r="K7115" s="1205"/>
      <c r="L7115" s="1055"/>
      <c r="M7115" s="1205"/>
      <c r="N7115" s="1054"/>
      <c r="O7115" s="1207"/>
      <c r="Q7115" s="1207"/>
    </row>
    <row r="7116" spans="3:17" s="700" customFormat="1" ht="70.5" hidden="1" customHeight="1">
      <c r="C7116" s="701"/>
      <c r="D7116" s="811"/>
      <c r="E7116" s="1276">
        <f>[11]building!Y7447</f>
        <v>0</v>
      </c>
      <c r="F7116" s="748">
        <f t="shared" si="350"/>
        <v>0</v>
      </c>
      <c r="G7116" s="1205"/>
      <c r="H7116" s="1055"/>
      <c r="I7116" s="1055"/>
      <c r="J7116" s="1055"/>
      <c r="K7116" s="1205"/>
      <c r="L7116" s="1055"/>
      <c r="M7116" s="1205"/>
      <c r="N7116" s="1054"/>
      <c r="O7116" s="1207"/>
      <c r="Q7116" s="1207"/>
    </row>
    <row r="7117" spans="3:17" s="700" customFormat="1" ht="70.5" hidden="1" customHeight="1">
      <c r="C7117" s="701"/>
      <c r="D7117" s="811"/>
      <c r="E7117" s="1276">
        <f>[11]building!Y7448</f>
        <v>0</v>
      </c>
      <c r="F7117" s="748">
        <f t="shared" si="350"/>
        <v>0</v>
      </c>
      <c r="G7117" s="1205"/>
      <c r="H7117" s="1055"/>
      <c r="I7117" s="1055"/>
      <c r="J7117" s="1055"/>
      <c r="K7117" s="1205"/>
      <c r="L7117" s="1055"/>
      <c r="M7117" s="1205"/>
      <c r="N7117" s="1054"/>
      <c r="O7117" s="1207"/>
      <c r="Q7117" s="1207"/>
    </row>
    <row r="7118" spans="3:17" s="700" customFormat="1" ht="70.5" hidden="1" customHeight="1">
      <c r="C7118" s="701"/>
      <c r="D7118" s="811"/>
      <c r="E7118" s="1276">
        <f>[11]building!Y7449</f>
        <v>0</v>
      </c>
      <c r="F7118" s="748">
        <f t="shared" si="350"/>
        <v>0</v>
      </c>
      <c r="G7118" s="1205"/>
      <c r="H7118" s="1055"/>
      <c r="I7118" s="1055"/>
      <c r="J7118" s="1055"/>
      <c r="K7118" s="1205"/>
      <c r="L7118" s="1055"/>
      <c r="M7118" s="1205"/>
      <c r="N7118" s="1054"/>
      <c r="O7118" s="1207"/>
      <c r="Q7118" s="1207"/>
    </row>
    <row r="7119" spans="3:17" s="700" customFormat="1" ht="70.5" hidden="1" customHeight="1">
      <c r="C7119" s="701"/>
      <c r="D7119" s="811"/>
      <c r="E7119" s="1276">
        <f>[11]building!Y7450</f>
        <v>0</v>
      </c>
      <c r="F7119" s="748">
        <f t="shared" si="350"/>
        <v>0</v>
      </c>
      <c r="G7119" s="1205"/>
      <c r="H7119" s="1055"/>
      <c r="I7119" s="1055"/>
      <c r="J7119" s="1055"/>
      <c r="K7119" s="1205"/>
      <c r="L7119" s="1055"/>
      <c r="M7119" s="1205"/>
      <c r="N7119" s="1054"/>
      <c r="O7119" s="1207"/>
      <c r="Q7119" s="1207"/>
    </row>
    <row r="7120" spans="3:17" s="700" customFormat="1" ht="70.5" hidden="1" customHeight="1">
      <c r="C7120" s="701"/>
      <c r="D7120" s="811"/>
      <c r="E7120" s="1276">
        <f>[11]building!Y7451</f>
        <v>0</v>
      </c>
      <c r="F7120" s="748">
        <f t="shared" si="350"/>
        <v>0</v>
      </c>
      <c r="G7120" s="1205"/>
      <c r="H7120" s="1055"/>
      <c r="I7120" s="1055"/>
      <c r="J7120" s="1055"/>
      <c r="K7120" s="1205"/>
      <c r="L7120" s="1055"/>
      <c r="M7120" s="1205"/>
      <c r="N7120" s="1054"/>
      <c r="O7120" s="1207"/>
      <c r="Q7120" s="1207"/>
    </row>
    <row r="7121" spans="3:17" s="700" customFormat="1" ht="70.5" hidden="1" customHeight="1">
      <c r="C7121" s="701"/>
      <c r="D7121" s="811"/>
      <c r="E7121" s="1276">
        <f>[11]building!Y7452</f>
        <v>0</v>
      </c>
      <c r="F7121" s="748">
        <f t="shared" si="350"/>
        <v>0</v>
      </c>
      <c r="G7121" s="1205"/>
      <c r="H7121" s="1055"/>
      <c r="I7121" s="1055"/>
      <c r="J7121" s="1055"/>
      <c r="K7121" s="1205"/>
      <c r="L7121" s="1055"/>
      <c r="M7121" s="1205"/>
      <c r="N7121" s="1054"/>
      <c r="O7121" s="1207"/>
      <c r="Q7121" s="1207"/>
    </row>
    <row r="7122" spans="3:17" s="700" customFormat="1" ht="70.5" hidden="1" customHeight="1">
      <c r="C7122" s="701"/>
      <c r="D7122" s="811"/>
      <c r="E7122" s="1276">
        <f>[11]building!Y7453</f>
        <v>0</v>
      </c>
      <c r="F7122" s="748">
        <f t="shared" si="350"/>
        <v>0</v>
      </c>
      <c r="G7122" s="1205"/>
      <c r="H7122" s="1055"/>
      <c r="I7122" s="1055"/>
      <c r="J7122" s="1055"/>
      <c r="K7122" s="1205"/>
      <c r="L7122" s="1055"/>
      <c r="M7122" s="1205"/>
      <c r="N7122" s="1054"/>
      <c r="O7122" s="1207"/>
      <c r="Q7122" s="1207"/>
    </row>
    <row r="7123" spans="3:17" s="700" customFormat="1" ht="70.5" hidden="1" customHeight="1">
      <c r="C7123" s="701"/>
      <c r="D7123" s="811"/>
      <c r="E7123" s="1276">
        <f>[11]building!Y7454</f>
        <v>0</v>
      </c>
      <c r="F7123" s="748">
        <f t="shared" si="350"/>
        <v>0</v>
      </c>
      <c r="G7123" s="1205"/>
      <c r="H7123" s="1055"/>
      <c r="I7123" s="1055"/>
      <c r="J7123" s="1055"/>
      <c r="K7123" s="1205"/>
      <c r="L7123" s="1055"/>
      <c r="M7123" s="1205"/>
      <c r="N7123" s="1054"/>
      <c r="O7123" s="1207"/>
      <c r="Q7123" s="1207"/>
    </row>
    <row r="7124" spans="3:17" s="700" customFormat="1" ht="70.5" hidden="1" customHeight="1">
      <c r="C7124" s="701"/>
      <c r="D7124" s="811"/>
      <c r="E7124" s="1276">
        <f>[11]building!Y7455</f>
        <v>0</v>
      </c>
      <c r="F7124" s="748">
        <f t="shared" si="350"/>
        <v>0</v>
      </c>
      <c r="G7124" s="1205"/>
      <c r="H7124" s="1055"/>
      <c r="I7124" s="1055"/>
      <c r="J7124" s="1055"/>
      <c r="K7124" s="1205"/>
      <c r="L7124" s="1055"/>
      <c r="M7124" s="1205"/>
      <c r="N7124" s="1054"/>
      <c r="O7124" s="1207"/>
      <c r="Q7124" s="1207"/>
    </row>
    <row r="7125" spans="3:17" s="700" customFormat="1" ht="70.5" hidden="1" customHeight="1">
      <c r="C7125" s="701"/>
      <c r="D7125" s="811"/>
      <c r="E7125" s="1276">
        <f>[11]building!Y7456</f>
        <v>0</v>
      </c>
      <c r="F7125" s="748">
        <f t="shared" si="350"/>
        <v>0</v>
      </c>
      <c r="G7125" s="1205"/>
      <c r="H7125" s="1055"/>
      <c r="I7125" s="1055"/>
      <c r="J7125" s="1055"/>
      <c r="K7125" s="1205"/>
      <c r="L7125" s="1055"/>
      <c r="M7125" s="1205"/>
      <c r="N7125" s="1054"/>
      <c r="O7125" s="1207"/>
      <c r="Q7125" s="1207"/>
    </row>
    <row r="7126" spans="3:17" s="700" customFormat="1" ht="70.5" hidden="1" customHeight="1">
      <c r="C7126" s="701"/>
      <c r="D7126" s="811"/>
      <c r="E7126" s="1276">
        <f>[11]building!Y7457</f>
        <v>0</v>
      </c>
      <c r="F7126" s="748">
        <f t="shared" si="350"/>
        <v>0</v>
      </c>
      <c r="G7126" s="1205"/>
      <c r="H7126" s="1055"/>
      <c r="I7126" s="1055"/>
      <c r="J7126" s="1055"/>
      <c r="K7126" s="1205"/>
      <c r="L7126" s="1055"/>
      <c r="M7126" s="1205"/>
      <c r="N7126" s="1054"/>
      <c r="O7126" s="1207"/>
      <c r="Q7126" s="1207"/>
    </row>
    <row r="7127" spans="3:17" s="700" customFormat="1" ht="70.5" hidden="1" customHeight="1">
      <c r="C7127" s="701"/>
      <c r="D7127" s="811"/>
      <c r="E7127" s="1276">
        <f>[11]building!Y7458</f>
        <v>0</v>
      </c>
      <c r="F7127" s="748">
        <f t="shared" si="350"/>
        <v>0</v>
      </c>
      <c r="G7127" s="1205"/>
      <c r="H7127" s="1055"/>
      <c r="I7127" s="1055"/>
      <c r="J7127" s="1055"/>
      <c r="K7127" s="1205"/>
      <c r="L7127" s="1055"/>
      <c r="M7127" s="1205"/>
      <c r="N7127" s="1054"/>
      <c r="O7127" s="1207"/>
      <c r="Q7127" s="1207"/>
    </row>
    <row r="7128" spans="3:17" s="700" customFormat="1" ht="70.5" hidden="1" customHeight="1">
      <c r="C7128" s="701"/>
      <c r="D7128" s="811"/>
      <c r="E7128" s="1276">
        <f>[11]building!Y7459</f>
        <v>0</v>
      </c>
      <c r="F7128" s="748">
        <f t="shared" si="350"/>
        <v>0</v>
      </c>
      <c r="G7128" s="1205"/>
      <c r="H7128" s="1055"/>
      <c r="I7128" s="1055"/>
      <c r="J7128" s="1055"/>
      <c r="K7128" s="1205"/>
      <c r="L7128" s="1055"/>
      <c r="M7128" s="1205"/>
      <c r="N7128" s="1054"/>
      <c r="O7128" s="1207"/>
      <c r="Q7128" s="1207"/>
    </row>
    <row r="7129" spans="3:17" s="700" customFormat="1" ht="70.5" hidden="1" customHeight="1">
      <c r="C7129" s="701"/>
      <c r="D7129" s="811"/>
      <c r="E7129" s="1276">
        <f>[11]building!Y7460</f>
        <v>0</v>
      </c>
      <c r="F7129" s="748">
        <f t="shared" si="350"/>
        <v>0</v>
      </c>
      <c r="G7129" s="1205"/>
      <c r="H7129" s="1055"/>
      <c r="I7129" s="1055"/>
      <c r="J7129" s="1055"/>
      <c r="K7129" s="1205"/>
      <c r="L7129" s="1055"/>
      <c r="M7129" s="1205"/>
      <c r="N7129" s="1054"/>
      <c r="O7129" s="1207"/>
      <c r="Q7129" s="1207"/>
    </row>
    <row r="7130" spans="3:17" s="700" customFormat="1" ht="70.5" hidden="1" customHeight="1">
      <c r="C7130" s="701"/>
      <c r="D7130" s="811"/>
      <c r="E7130" s="1276">
        <f>[11]building!Y7461</f>
        <v>0</v>
      </c>
      <c r="F7130" s="748">
        <f t="shared" si="350"/>
        <v>0</v>
      </c>
      <c r="G7130" s="1205"/>
      <c r="H7130" s="1055"/>
      <c r="I7130" s="1055"/>
      <c r="J7130" s="1055"/>
      <c r="K7130" s="1205"/>
      <c r="L7130" s="1055"/>
      <c r="M7130" s="1205"/>
      <c r="N7130" s="1054"/>
      <c r="O7130" s="1207"/>
      <c r="Q7130" s="1207"/>
    </row>
    <row r="7131" spans="3:17" s="700" customFormat="1" ht="70.5" hidden="1" customHeight="1">
      <c r="C7131" s="701"/>
      <c r="D7131" s="811"/>
      <c r="E7131" s="1276">
        <f>[11]building!Y7462</f>
        <v>0</v>
      </c>
      <c r="F7131" s="748">
        <f t="shared" si="350"/>
        <v>0</v>
      </c>
      <c r="G7131" s="1205"/>
      <c r="H7131" s="1055"/>
      <c r="I7131" s="1055"/>
      <c r="J7131" s="1055"/>
      <c r="K7131" s="1205"/>
      <c r="L7131" s="1055"/>
      <c r="M7131" s="1205"/>
      <c r="N7131" s="1054"/>
      <c r="O7131" s="1207"/>
      <c r="Q7131" s="1207"/>
    </row>
    <row r="7132" spans="3:17" s="700" customFormat="1" ht="70.5" hidden="1" customHeight="1">
      <c r="C7132" s="701"/>
      <c r="D7132" s="811"/>
      <c r="E7132" s="1276">
        <f>[11]building!Y7463</f>
        <v>0</v>
      </c>
      <c r="F7132" s="748">
        <f t="shared" si="350"/>
        <v>0</v>
      </c>
      <c r="G7132" s="1205"/>
      <c r="H7132" s="1055"/>
      <c r="I7132" s="1055"/>
      <c r="J7132" s="1055"/>
      <c r="K7132" s="1205"/>
      <c r="L7132" s="1055"/>
      <c r="M7132" s="1205"/>
      <c r="N7132" s="1054"/>
      <c r="O7132" s="1207"/>
      <c r="Q7132" s="1207"/>
    </row>
    <row r="7133" spans="3:17" s="700" customFormat="1" ht="70.5" hidden="1" customHeight="1">
      <c r="C7133" s="701"/>
      <c r="D7133" s="811"/>
      <c r="E7133" s="1276">
        <f>[11]building!Y7464</f>
        <v>0</v>
      </c>
      <c r="F7133" s="748">
        <f t="shared" si="350"/>
        <v>0</v>
      </c>
      <c r="G7133" s="1205"/>
      <c r="H7133" s="1055"/>
      <c r="I7133" s="1055"/>
      <c r="J7133" s="1055"/>
      <c r="K7133" s="1205"/>
      <c r="L7133" s="1055"/>
      <c r="M7133" s="1205"/>
      <c r="N7133" s="1054"/>
      <c r="O7133" s="1207"/>
      <c r="Q7133" s="1207"/>
    </row>
    <row r="7134" spans="3:17" s="700" customFormat="1" ht="70.5" hidden="1" customHeight="1">
      <c r="C7134" s="701"/>
      <c r="D7134" s="811"/>
      <c r="E7134" s="1276">
        <f>[11]building!Y7465</f>
        <v>0</v>
      </c>
      <c r="F7134" s="748">
        <f t="shared" si="350"/>
        <v>0</v>
      </c>
      <c r="G7134" s="1205"/>
      <c r="H7134" s="1055"/>
      <c r="I7134" s="1055"/>
      <c r="J7134" s="1055"/>
      <c r="K7134" s="1205"/>
      <c r="L7134" s="1055"/>
      <c r="M7134" s="1205"/>
      <c r="N7134" s="1054"/>
      <c r="O7134" s="1207"/>
      <c r="Q7134" s="1207"/>
    </row>
    <row r="7135" spans="3:17" s="700" customFormat="1" ht="70.5" hidden="1" customHeight="1">
      <c r="C7135" s="701"/>
      <c r="D7135" s="811"/>
      <c r="E7135" s="1276">
        <f>[11]building!Y7466</f>
        <v>0</v>
      </c>
      <c r="F7135" s="748">
        <f t="shared" si="350"/>
        <v>0</v>
      </c>
      <c r="G7135" s="1205"/>
      <c r="H7135" s="1055"/>
      <c r="I7135" s="1055"/>
      <c r="J7135" s="1055"/>
      <c r="K7135" s="1205"/>
      <c r="L7135" s="1055"/>
      <c r="M7135" s="1205"/>
      <c r="N7135" s="1054"/>
      <c r="O7135" s="1207"/>
      <c r="Q7135" s="1207"/>
    </row>
    <row r="7136" spans="3:17" s="700" customFormat="1" ht="70.5" hidden="1" customHeight="1">
      <c r="C7136" s="701"/>
      <c r="D7136" s="811"/>
      <c r="E7136" s="1276">
        <f>[11]building!Y7467</f>
        <v>0</v>
      </c>
      <c r="F7136" s="748">
        <f t="shared" si="350"/>
        <v>0</v>
      </c>
      <c r="G7136" s="1205"/>
      <c r="H7136" s="1055"/>
      <c r="I7136" s="1055"/>
      <c r="J7136" s="1055"/>
      <c r="K7136" s="1205"/>
      <c r="L7136" s="1055"/>
      <c r="M7136" s="1205"/>
      <c r="N7136" s="1054"/>
      <c r="O7136" s="1207"/>
      <c r="Q7136" s="1207"/>
    </row>
    <row r="7137" spans="3:17" s="700" customFormat="1" ht="70.5" hidden="1" customHeight="1">
      <c r="C7137" s="701"/>
      <c r="D7137" s="811"/>
      <c r="E7137" s="1276">
        <f>[11]building!Y7468</f>
        <v>0</v>
      </c>
      <c r="F7137" s="748">
        <f t="shared" si="350"/>
        <v>0</v>
      </c>
      <c r="G7137" s="1205"/>
      <c r="H7137" s="1055"/>
      <c r="I7137" s="1055"/>
      <c r="J7137" s="1055"/>
      <c r="K7137" s="1205"/>
      <c r="L7137" s="1055"/>
      <c r="M7137" s="1205"/>
      <c r="N7137" s="1054"/>
      <c r="O7137" s="1207"/>
      <c r="Q7137" s="1207"/>
    </row>
    <row r="7138" spans="3:17" s="700" customFormat="1" ht="70.5" hidden="1" customHeight="1">
      <c r="C7138" s="701"/>
      <c r="D7138" s="811"/>
      <c r="E7138" s="1276">
        <f>[11]building!Y7469</f>
        <v>0</v>
      </c>
      <c r="F7138" s="748">
        <f t="shared" si="350"/>
        <v>0</v>
      </c>
      <c r="G7138" s="1205"/>
      <c r="H7138" s="1055"/>
      <c r="I7138" s="1055"/>
      <c r="J7138" s="1055"/>
      <c r="K7138" s="1205"/>
      <c r="L7138" s="1055"/>
      <c r="M7138" s="1205"/>
      <c r="N7138" s="1054"/>
      <c r="O7138" s="1207"/>
      <c r="Q7138" s="1207"/>
    </row>
    <row r="7139" spans="3:17" s="700" customFormat="1" ht="70.5" hidden="1" customHeight="1">
      <c r="C7139" s="701"/>
      <c r="D7139" s="811"/>
      <c r="E7139" s="1276">
        <f>[11]building!Y7470</f>
        <v>0</v>
      </c>
      <c r="F7139" s="748">
        <f t="shared" si="350"/>
        <v>0</v>
      </c>
      <c r="G7139" s="1205"/>
      <c r="H7139" s="1055"/>
      <c r="I7139" s="1055"/>
      <c r="J7139" s="1055"/>
      <c r="K7139" s="1205"/>
      <c r="L7139" s="1055"/>
      <c r="M7139" s="1205"/>
      <c r="N7139" s="1054"/>
      <c r="O7139" s="1207"/>
      <c r="Q7139" s="1207"/>
    </row>
    <row r="7140" spans="3:17" s="700" customFormat="1" ht="70.5" hidden="1" customHeight="1">
      <c r="C7140" s="701"/>
      <c r="D7140" s="811"/>
      <c r="E7140" s="1276">
        <f>[11]building!Y7471</f>
        <v>0</v>
      </c>
      <c r="F7140" s="748">
        <f t="shared" si="350"/>
        <v>0</v>
      </c>
      <c r="G7140" s="1205"/>
      <c r="H7140" s="1055"/>
      <c r="I7140" s="1055"/>
      <c r="J7140" s="1055"/>
      <c r="K7140" s="1205"/>
      <c r="L7140" s="1055"/>
      <c r="M7140" s="1205"/>
      <c r="N7140" s="1054"/>
      <c r="O7140" s="1207"/>
      <c r="Q7140" s="1207"/>
    </row>
    <row r="7141" spans="3:17" s="700" customFormat="1" ht="70.5" hidden="1" customHeight="1">
      <c r="C7141" s="701"/>
      <c r="D7141" s="811"/>
      <c r="E7141" s="1276">
        <f>[11]building!Y7472</f>
        <v>0</v>
      </c>
      <c r="F7141" s="748">
        <f t="shared" si="350"/>
        <v>0</v>
      </c>
      <c r="G7141" s="1205"/>
      <c r="H7141" s="1055"/>
      <c r="I7141" s="1055"/>
      <c r="J7141" s="1055"/>
      <c r="K7141" s="1205"/>
      <c r="L7141" s="1055"/>
      <c r="M7141" s="1205"/>
      <c r="N7141" s="1054"/>
      <c r="O7141" s="1207"/>
      <c r="Q7141" s="1207"/>
    </row>
    <row r="7142" spans="3:17" s="700" customFormat="1" ht="70.5" hidden="1" customHeight="1">
      <c r="C7142" s="701"/>
      <c r="D7142" s="811"/>
      <c r="E7142" s="1276">
        <f>[11]building!Y7473</f>
        <v>0</v>
      </c>
      <c r="F7142" s="748">
        <f t="shared" si="350"/>
        <v>0</v>
      </c>
      <c r="G7142" s="1205"/>
      <c r="H7142" s="1055"/>
      <c r="I7142" s="1055"/>
      <c r="J7142" s="1055"/>
      <c r="K7142" s="1205"/>
      <c r="L7142" s="1055"/>
      <c r="M7142" s="1205"/>
      <c r="N7142" s="1054"/>
      <c r="O7142" s="1207"/>
      <c r="Q7142" s="1207"/>
    </row>
    <row r="7143" spans="3:17" s="700" customFormat="1" ht="70.5" hidden="1" customHeight="1">
      <c r="C7143" s="701"/>
      <c r="D7143" s="811"/>
      <c r="E7143" s="1276">
        <f>[11]building!Y7474</f>
        <v>0</v>
      </c>
      <c r="F7143" s="748">
        <f t="shared" si="350"/>
        <v>0</v>
      </c>
      <c r="G7143" s="1205"/>
      <c r="H7143" s="1055"/>
      <c r="I7143" s="1055"/>
      <c r="J7143" s="1055"/>
      <c r="K7143" s="1205"/>
      <c r="L7143" s="1055"/>
      <c r="M7143" s="1205"/>
      <c r="N7143" s="1054"/>
      <c r="O7143" s="1207"/>
      <c r="Q7143" s="1207"/>
    </row>
    <row r="7144" spans="3:17" s="700" customFormat="1" ht="70.5" hidden="1" customHeight="1">
      <c r="C7144" s="701"/>
      <c r="D7144" s="811"/>
      <c r="E7144" s="1276">
        <f>[11]building!Y7475</f>
        <v>0</v>
      </c>
      <c r="F7144" s="748">
        <f t="shared" si="350"/>
        <v>0</v>
      </c>
      <c r="G7144" s="1205"/>
      <c r="H7144" s="1055"/>
      <c r="I7144" s="1055"/>
      <c r="J7144" s="1055"/>
      <c r="K7144" s="1205"/>
      <c r="L7144" s="1055"/>
      <c r="M7144" s="1205"/>
      <c r="N7144" s="1054"/>
      <c r="O7144" s="1207"/>
      <c r="Q7144" s="1207"/>
    </row>
    <row r="7145" spans="3:17" s="700" customFormat="1" ht="70.5" hidden="1" customHeight="1">
      <c r="C7145" s="701"/>
      <c r="D7145" s="811"/>
      <c r="E7145" s="1276">
        <f>[11]building!Y7476</f>
        <v>0</v>
      </c>
      <c r="F7145" s="748">
        <f t="shared" si="350"/>
        <v>0</v>
      </c>
      <c r="G7145" s="1205"/>
      <c r="H7145" s="1055"/>
      <c r="I7145" s="1055"/>
      <c r="J7145" s="1055"/>
      <c r="K7145" s="1205"/>
      <c r="L7145" s="1055"/>
      <c r="M7145" s="1205"/>
      <c r="N7145" s="1054"/>
      <c r="O7145" s="1207"/>
      <c r="Q7145" s="1207"/>
    </row>
    <row r="7146" spans="3:17" s="700" customFormat="1" ht="70.5" hidden="1" customHeight="1">
      <c r="C7146" s="701"/>
      <c r="D7146" s="811"/>
      <c r="E7146" s="1276">
        <f>[11]building!Y7477</f>
        <v>0</v>
      </c>
      <c r="F7146" s="748">
        <f t="shared" si="350"/>
        <v>0</v>
      </c>
      <c r="G7146" s="1205"/>
      <c r="H7146" s="1055"/>
      <c r="I7146" s="1055"/>
      <c r="J7146" s="1055"/>
      <c r="K7146" s="1205"/>
      <c r="L7146" s="1055"/>
      <c r="M7146" s="1205"/>
      <c r="N7146" s="1054"/>
      <c r="O7146" s="1207"/>
      <c r="Q7146" s="1207"/>
    </row>
    <row r="7147" spans="3:17" s="700" customFormat="1" ht="70.5" hidden="1" customHeight="1">
      <c r="C7147" s="701"/>
      <c r="D7147" s="811"/>
      <c r="E7147" s="1276">
        <f>[11]building!Y7478</f>
        <v>0</v>
      </c>
      <c r="F7147" s="748">
        <f t="shared" si="350"/>
        <v>0</v>
      </c>
      <c r="G7147" s="1205"/>
      <c r="H7147" s="1055"/>
      <c r="I7147" s="1055"/>
      <c r="J7147" s="1055"/>
      <c r="K7147" s="1205"/>
      <c r="L7147" s="1055"/>
      <c r="M7147" s="1205"/>
      <c r="N7147" s="1054"/>
      <c r="O7147" s="1207"/>
      <c r="Q7147" s="1207"/>
    </row>
    <row r="7148" spans="3:17" s="700" customFormat="1" ht="70.5" hidden="1" customHeight="1">
      <c r="C7148" s="701"/>
      <c r="D7148" s="811"/>
      <c r="E7148" s="1276">
        <f>[11]building!Y7479</f>
        <v>0</v>
      </c>
      <c r="F7148" s="748">
        <f t="shared" si="350"/>
        <v>0</v>
      </c>
      <c r="G7148" s="1205"/>
      <c r="H7148" s="1055"/>
      <c r="I7148" s="1055"/>
      <c r="J7148" s="1055"/>
      <c r="K7148" s="1205"/>
      <c r="L7148" s="1055"/>
      <c r="M7148" s="1205"/>
      <c r="N7148" s="1054"/>
      <c r="O7148" s="1207"/>
      <c r="Q7148" s="1207"/>
    </row>
    <row r="7149" spans="3:17" s="700" customFormat="1" ht="70.5" hidden="1" customHeight="1">
      <c r="C7149" s="701"/>
      <c r="D7149" s="811"/>
      <c r="E7149" s="1276">
        <f>[11]building!Y7480</f>
        <v>0</v>
      </c>
      <c r="F7149" s="748">
        <f t="shared" si="350"/>
        <v>0</v>
      </c>
      <c r="G7149" s="1205"/>
      <c r="H7149" s="1055"/>
      <c r="I7149" s="1055"/>
      <c r="J7149" s="1055"/>
      <c r="K7149" s="1205"/>
      <c r="L7149" s="1055"/>
      <c r="M7149" s="1205"/>
      <c r="N7149" s="1054"/>
      <c r="O7149" s="1207"/>
      <c r="Q7149" s="1207"/>
    </row>
    <row r="7150" spans="3:17" s="700" customFormat="1" ht="70.5" hidden="1" customHeight="1">
      <c r="C7150" s="701"/>
      <c r="D7150" s="811"/>
      <c r="E7150" s="1276">
        <f>[11]building!Y7481</f>
        <v>0</v>
      </c>
      <c r="F7150" s="748">
        <f t="shared" si="350"/>
        <v>0</v>
      </c>
      <c r="G7150" s="1205"/>
      <c r="H7150" s="1055"/>
      <c r="I7150" s="1055"/>
      <c r="J7150" s="1055"/>
      <c r="K7150" s="1205"/>
      <c r="L7150" s="1055"/>
      <c r="M7150" s="1205"/>
      <c r="N7150" s="1054"/>
      <c r="O7150" s="1207"/>
      <c r="Q7150" s="1207"/>
    </row>
    <row r="7151" spans="3:17" s="700" customFormat="1" ht="70.5" hidden="1" customHeight="1">
      <c r="C7151" s="701"/>
      <c r="D7151" s="811"/>
      <c r="E7151" s="1276">
        <f>[11]building!Y7482</f>
        <v>0</v>
      </c>
      <c r="F7151" s="748">
        <f t="shared" si="350"/>
        <v>0</v>
      </c>
      <c r="G7151" s="1205"/>
      <c r="H7151" s="1055"/>
      <c r="I7151" s="1055"/>
      <c r="J7151" s="1055"/>
      <c r="K7151" s="1205"/>
      <c r="L7151" s="1055"/>
      <c r="M7151" s="1205"/>
      <c r="N7151" s="1054"/>
      <c r="O7151" s="1207"/>
      <c r="Q7151" s="1207"/>
    </row>
    <row r="7152" spans="3:17" s="700" customFormat="1" ht="70.5" hidden="1" customHeight="1">
      <c r="C7152" s="701"/>
      <c r="D7152" s="811"/>
      <c r="E7152" s="1276">
        <f>[11]building!Y7483</f>
        <v>0</v>
      </c>
      <c r="F7152" s="748">
        <f t="shared" si="350"/>
        <v>0</v>
      </c>
      <c r="G7152" s="1205"/>
      <c r="H7152" s="1055"/>
      <c r="I7152" s="1055"/>
      <c r="J7152" s="1055"/>
      <c r="K7152" s="1205"/>
      <c r="L7152" s="1055"/>
      <c r="M7152" s="1205"/>
      <c r="N7152" s="1054"/>
      <c r="O7152" s="1207"/>
      <c r="Q7152" s="1207"/>
    </row>
    <row r="7153" spans="3:17" s="700" customFormat="1" ht="70.5" hidden="1" customHeight="1">
      <c r="C7153" s="701"/>
      <c r="D7153" s="811"/>
      <c r="E7153" s="1276">
        <f>[11]building!Y7484</f>
        <v>0</v>
      </c>
      <c r="F7153" s="748">
        <f t="shared" si="350"/>
        <v>0</v>
      </c>
      <c r="G7153" s="1205"/>
      <c r="H7153" s="1055"/>
      <c r="I7153" s="1055"/>
      <c r="J7153" s="1055"/>
      <c r="K7153" s="1205"/>
      <c r="L7153" s="1055"/>
      <c r="M7153" s="1205"/>
      <c r="N7153" s="1054"/>
      <c r="O7153" s="1207"/>
      <c r="Q7153" s="1207"/>
    </row>
    <row r="7154" spans="3:17" s="700" customFormat="1" ht="70.5" hidden="1" customHeight="1">
      <c r="C7154" s="701"/>
      <c r="D7154" s="811"/>
      <c r="E7154" s="1276">
        <f>[11]building!Y7485</f>
        <v>0</v>
      </c>
      <c r="F7154" s="748">
        <f t="shared" si="350"/>
        <v>0</v>
      </c>
      <c r="G7154" s="1205"/>
      <c r="H7154" s="1055"/>
      <c r="I7154" s="1055"/>
      <c r="J7154" s="1055"/>
      <c r="K7154" s="1205"/>
      <c r="L7154" s="1055"/>
      <c r="M7154" s="1205"/>
      <c r="N7154" s="1054"/>
      <c r="O7154" s="1207"/>
      <c r="Q7154" s="1207"/>
    </row>
    <row r="7155" spans="3:17" s="700" customFormat="1" ht="70.5" hidden="1" customHeight="1">
      <c r="C7155" s="701"/>
      <c r="D7155" s="811"/>
      <c r="E7155" s="1276">
        <f>[11]building!Y7486</f>
        <v>0</v>
      </c>
      <c r="F7155" s="748">
        <f t="shared" si="350"/>
        <v>0</v>
      </c>
      <c r="G7155" s="1205"/>
      <c r="H7155" s="1055"/>
      <c r="I7155" s="1055"/>
      <c r="J7155" s="1055"/>
      <c r="K7155" s="1205"/>
      <c r="L7155" s="1055"/>
      <c r="M7155" s="1205"/>
      <c r="N7155" s="1054"/>
      <c r="O7155" s="1207"/>
      <c r="Q7155" s="1207"/>
    </row>
    <row r="7156" spans="3:17" s="700" customFormat="1" ht="70.5" hidden="1" customHeight="1">
      <c r="C7156" s="701"/>
      <c r="D7156" s="811"/>
      <c r="E7156" s="1276">
        <f>[11]building!Y7487</f>
        <v>0</v>
      </c>
      <c r="F7156" s="748">
        <f t="shared" si="350"/>
        <v>0</v>
      </c>
      <c r="G7156" s="1205"/>
      <c r="H7156" s="1055"/>
      <c r="I7156" s="1055"/>
      <c r="J7156" s="1055"/>
      <c r="K7156" s="1205"/>
      <c r="L7156" s="1055"/>
      <c r="M7156" s="1205"/>
      <c r="N7156" s="1054"/>
      <c r="O7156" s="1207"/>
      <c r="Q7156" s="1207"/>
    </row>
    <row r="7157" spans="3:17" s="700" customFormat="1" ht="70.5" hidden="1" customHeight="1">
      <c r="C7157" s="701"/>
      <c r="D7157" s="811"/>
      <c r="E7157" s="1276">
        <f>[11]building!Y7488</f>
        <v>0</v>
      </c>
      <c r="F7157" s="748">
        <f t="shared" si="350"/>
        <v>0</v>
      </c>
      <c r="G7157" s="1205"/>
      <c r="H7157" s="1055"/>
      <c r="I7157" s="1055"/>
      <c r="J7157" s="1055"/>
      <c r="K7157" s="1205"/>
      <c r="L7157" s="1055"/>
      <c r="M7157" s="1205"/>
      <c r="N7157" s="1054"/>
      <c r="O7157" s="1207"/>
      <c r="Q7157" s="1207"/>
    </row>
    <row r="7158" spans="3:17" s="700" customFormat="1" ht="70.5" hidden="1" customHeight="1">
      <c r="C7158" s="701"/>
      <c r="D7158" s="811"/>
      <c r="E7158" s="1276">
        <f>[11]building!Y7489</f>
        <v>0</v>
      </c>
      <c r="F7158" s="748">
        <f t="shared" si="350"/>
        <v>0</v>
      </c>
      <c r="G7158" s="1205"/>
      <c r="H7158" s="1055"/>
      <c r="I7158" s="1055"/>
      <c r="J7158" s="1055"/>
      <c r="K7158" s="1205"/>
      <c r="L7158" s="1055"/>
      <c r="M7158" s="1205"/>
      <c r="N7158" s="1054"/>
      <c r="O7158" s="1207"/>
      <c r="Q7158" s="1207"/>
    </row>
    <row r="7159" spans="3:17" s="700" customFormat="1" ht="70.5" hidden="1" customHeight="1">
      <c r="C7159" s="701"/>
      <c r="D7159" s="811"/>
      <c r="E7159" s="1276">
        <f>[11]building!Y7490</f>
        <v>0</v>
      </c>
      <c r="F7159" s="748">
        <f t="shared" si="350"/>
        <v>0</v>
      </c>
      <c r="G7159" s="1205"/>
      <c r="H7159" s="1055"/>
      <c r="I7159" s="1055"/>
      <c r="J7159" s="1055"/>
      <c r="K7159" s="1205"/>
      <c r="L7159" s="1055"/>
      <c r="M7159" s="1205"/>
      <c r="N7159" s="1054"/>
      <c r="O7159" s="1207"/>
      <c r="Q7159" s="1207"/>
    </row>
    <row r="7160" spans="3:17" s="700" customFormat="1" ht="70.5" hidden="1" customHeight="1">
      <c r="C7160" s="701"/>
      <c r="D7160" s="811"/>
      <c r="E7160" s="1276">
        <f>[11]building!Y7491</f>
        <v>0</v>
      </c>
      <c r="F7160" s="748">
        <f t="shared" si="350"/>
        <v>0</v>
      </c>
      <c r="G7160" s="1205"/>
      <c r="H7160" s="1055"/>
      <c r="I7160" s="1055"/>
      <c r="J7160" s="1055"/>
      <c r="K7160" s="1205"/>
      <c r="L7160" s="1055"/>
      <c r="M7160" s="1205"/>
      <c r="N7160" s="1054"/>
      <c r="O7160" s="1207"/>
      <c r="Q7160" s="1207"/>
    </row>
    <row r="7161" spans="3:17" s="700" customFormat="1" ht="70.5" hidden="1" customHeight="1">
      <c r="C7161" s="701"/>
      <c r="D7161" s="811"/>
      <c r="E7161" s="1276">
        <f>[11]building!Y7492</f>
        <v>0</v>
      </c>
      <c r="F7161" s="748">
        <f t="shared" si="350"/>
        <v>0</v>
      </c>
      <c r="G7161" s="1205"/>
      <c r="H7161" s="1055"/>
      <c r="I7161" s="1055"/>
      <c r="J7161" s="1055"/>
      <c r="K7161" s="1205"/>
      <c r="L7161" s="1055"/>
      <c r="M7161" s="1205"/>
      <c r="N7161" s="1054"/>
      <c r="O7161" s="1207"/>
      <c r="Q7161" s="1207"/>
    </row>
    <row r="7162" spans="3:17" s="700" customFormat="1" ht="70.5" hidden="1" customHeight="1">
      <c r="C7162" s="701"/>
      <c r="D7162" s="811"/>
      <c r="E7162" s="1276">
        <f>[11]building!Y7493</f>
        <v>0</v>
      </c>
      <c r="F7162" s="748">
        <f t="shared" si="350"/>
        <v>0</v>
      </c>
      <c r="G7162" s="1205"/>
      <c r="H7162" s="1055"/>
      <c r="I7162" s="1055"/>
      <c r="J7162" s="1055"/>
      <c r="K7162" s="1205"/>
      <c r="L7162" s="1055"/>
      <c r="M7162" s="1205"/>
      <c r="N7162" s="1054"/>
      <c r="O7162" s="1207"/>
      <c r="Q7162" s="1207"/>
    </row>
    <row r="7163" spans="3:17" s="700" customFormat="1" ht="70.5" hidden="1" customHeight="1">
      <c r="C7163" s="701"/>
      <c r="D7163" s="811"/>
      <c r="E7163" s="1276">
        <f>[11]building!Y7494</f>
        <v>0</v>
      </c>
      <c r="F7163" s="748">
        <f t="shared" si="350"/>
        <v>0</v>
      </c>
      <c r="G7163" s="1205"/>
      <c r="H7163" s="1055"/>
      <c r="I7163" s="1055"/>
      <c r="J7163" s="1055"/>
      <c r="K7163" s="1205"/>
      <c r="L7163" s="1055"/>
      <c r="M7163" s="1205"/>
      <c r="N7163" s="1054"/>
      <c r="O7163" s="1207"/>
      <c r="Q7163" s="1207"/>
    </row>
    <row r="7164" spans="3:17" s="700" customFormat="1" ht="70.5" hidden="1" customHeight="1">
      <c r="C7164" s="701"/>
      <c r="D7164" s="811"/>
      <c r="E7164" s="1276">
        <f>[11]building!Y7495</f>
        <v>0</v>
      </c>
      <c r="F7164" s="748">
        <f t="shared" si="350"/>
        <v>0</v>
      </c>
      <c r="G7164" s="1205"/>
      <c r="H7164" s="1055"/>
      <c r="I7164" s="1055"/>
      <c r="J7164" s="1055"/>
      <c r="K7164" s="1205"/>
      <c r="L7164" s="1055"/>
      <c r="M7164" s="1205"/>
      <c r="N7164" s="1054"/>
      <c r="O7164" s="1207"/>
      <c r="Q7164" s="1207"/>
    </row>
    <row r="7165" spans="3:17" s="700" customFormat="1" ht="70.5" hidden="1" customHeight="1">
      <c r="C7165" s="701"/>
      <c r="D7165" s="811"/>
      <c r="E7165" s="1276">
        <f>[11]building!Y7496</f>
        <v>0</v>
      </c>
      <c r="F7165" s="748">
        <f t="shared" si="350"/>
        <v>0</v>
      </c>
      <c r="G7165" s="1205"/>
      <c r="H7165" s="1055"/>
      <c r="I7165" s="1055"/>
      <c r="J7165" s="1055"/>
      <c r="K7165" s="1205"/>
      <c r="L7165" s="1055"/>
      <c r="M7165" s="1205"/>
      <c r="N7165" s="1054"/>
      <c r="O7165" s="1207"/>
      <c r="Q7165" s="1207"/>
    </row>
    <row r="7166" spans="3:17" s="700" customFormat="1" ht="70.5" hidden="1" customHeight="1">
      <c r="C7166" s="701"/>
      <c r="D7166" s="811"/>
      <c r="E7166" s="1276">
        <f>[11]building!Y7497</f>
        <v>0</v>
      </c>
      <c r="F7166" s="748">
        <f t="shared" si="350"/>
        <v>0</v>
      </c>
      <c r="G7166" s="1205"/>
      <c r="H7166" s="1055"/>
      <c r="I7166" s="1055"/>
      <c r="J7166" s="1055"/>
      <c r="K7166" s="1205"/>
      <c r="L7166" s="1055"/>
      <c r="M7166" s="1205"/>
      <c r="N7166" s="1054"/>
      <c r="O7166" s="1207"/>
      <c r="Q7166" s="1207"/>
    </row>
    <row r="7167" spans="3:17" s="700" customFormat="1" ht="70.5" hidden="1" customHeight="1">
      <c r="C7167" s="701"/>
      <c r="D7167" s="811"/>
      <c r="E7167" s="1276">
        <f>[11]building!Y7498</f>
        <v>0</v>
      </c>
      <c r="F7167" s="748">
        <f t="shared" si="350"/>
        <v>0</v>
      </c>
      <c r="G7167" s="1205"/>
      <c r="H7167" s="1055"/>
      <c r="I7167" s="1055"/>
      <c r="J7167" s="1055"/>
      <c r="K7167" s="1205"/>
      <c r="L7167" s="1055"/>
      <c r="M7167" s="1205"/>
      <c r="N7167" s="1054"/>
      <c r="O7167" s="1207"/>
      <c r="Q7167" s="1207"/>
    </row>
    <row r="7168" spans="3:17" s="700" customFormat="1" ht="70.5" hidden="1" customHeight="1">
      <c r="C7168" s="701"/>
      <c r="D7168" s="811"/>
      <c r="E7168" s="1276">
        <f>[11]building!Y7499</f>
        <v>0</v>
      </c>
      <c r="F7168" s="748">
        <f t="shared" ref="F7168:F7231" si="351">E7168*C7168</f>
        <v>0</v>
      </c>
      <c r="G7168" s="1205"/>
      <c r="H7168" s="1055"/>
      <c r="I7168" s="1055"/>
      <c r="J7168" s="1055"/>
      <c r="K7168" s="1205"/>
      <c r="L7168" s="1055"/>
      <c r="M7168" s="1205"/>
      <c r="N7168" s="1054"/>
      <c r="O7168" s="1207"/>
      <c r="Q7168" s="1207"/>
    </row>
    <row r="7169" spans="3:17" s="700" customFormat="1" ht="70.5" hidden="1" customHeight="1">
      <c r="C7169" s="701"/>
      <c r="D7169" s="811"/>
      <c r="E7169" s="1276">
        <f>[11]building!Y7500</f>
        <v>0</v>
      </c>
      <c r="F7169" s="748">
        <f t="shared" si="351"/>
        <v>0</v>
      </c>
      <c r="G7169" s="1205"/>
      <c r="H7169" s="1055"/>
      <c r="I7169" s="1055"/>
      <c r="J7169" s="1055"/>
      <c r="K7169" s="1205"/>
      <c r="L7169" s="1055"/>
      <c r="M7169" s="1205"/>
      <c r="N7169" s="1054"/>
      <c r="O7169" s="1207"/>
      <c r="Q7169" s="1207"/>
    </row>
    <row r="7170" spans="3:17" s="700" customFormat="1" ht="70.5" hidden="1" customHeight="1">
      <c r="C7170" s="701"/>
      <c r="D7170" s="811"/>
      <c r="E7170" s="1276">
        <f>[11]building!Y7501</f>
        <v>0</v>
      </c>
      <c r="F7170" s="748">
        <f t="shared" si="351"/>
        <v>0</v>
      </c>
      <c r="G7170" s="1205"/>
      <c r="H7170" s="1055"/>
      <c r="I7170" s="1055"/>
      <c r="J7170" s="1055"/>
      <c r="K7170" s="1205"/>
      <c r="L7170" s="1055"/>
      <c r="M7170" s="1205"/>
      <c r="N7170" s="1054"/>
      <c r="O7170" s="1207"/>
      <c r="Q7170" s="1207"/>
    </row>
    <row r="7171" spans="3:17" s="700" customFormat="1" ht="70.5" hidden="1" customHeight="1">
      <c r="C7171" s="701"/>
      <c r="D7171" s="811"/>
      <c r="E7171" s="1276">
        <f>[11]building!Y7502</f>
        <v>0</v>
      </c>
      <c r="F7171" s="748">
        <f t="shared" si="351"/>
        <v>0</v>
      </c>
      <c r="G7171" s="1205"/>
      <c r="H7171" s="1055"/>
      <c r="I7171" s="1055"/>
      <c r="J7171" s="1055"/>
      <c r="K7171" s="1205"/>
      <c r="L7171" s="1055"/>
      <c r="M7171" s="1205"/>
      <c r="N7171" s="1054"/>
      <c r="O7171" s="1207"/>
      <c r="Q7171" s="1207"/>
    </row>
    <row r="7172" spans="3:17" s="700" customFormat="1" ht="70.5" hidden="1" customHeight="1">
      <c r="C7172" s="701"/>
      <c r="D7172" s="811"/>
      <c r="E7172" s="1276">
        <f>[11]building!Y7503</f>
        <v>0</v>
      </c>
      <c r="F7172" s="748">
        <f t="shared" si="351"/>
        <v>0</v>
      </c>
      <c r="G7172" s="1205"/>
      <c r="H7172" s="1055"/>
      <c r="I7172" s="1055"/>
      <c r="J7172" s="1055"/>
      <c r="K7172" s="1205"/>
      <c r="L7172" s="1055"/>
      <c r="M7172" s="1205"/>
      <c r="N7172" s="1054"/>
      <c r="O7172" s="1207"/>
      <c r="Q7172" s="1207"/>
    </row>
    <row r="7173" spans="3:17" s="700" customFormat="1" ht="70.5" hidden="1" customHeight="1">
      <c r="C7173" s="701"/>
      <c r="D7173" s="811"/>
      <c r="E7173" s="1276">
        <f>[11]building!Y7504</f>
        <v>0</v>
      </c>
      <c r="F7173" s="748">
        <f t="shared" si="351"/>
        <v>0</v>
      </c>
      <c r="G7173" s="1205"/>
      <c r="H7173" s="1055"/>
      <c r="I7173" s="1055"/>
      <c r="J7173" s="1055"/>
      <c r="K7173" s="1205"/>
      <c r="L7173" s="1055"/>
      <c r="M7173" s="1205"/>
      <c r="N7173" s="1054"/>
      <c r="O7173" s="1207"/>
      <c r="Q7173" s="1207"/>
    </row>
    <row r="7174" spans="3:17" s="700" customFormat="1" ht="70.5" hidden="1" customHeight="1">
      <c r="C7174" s="701"/>
      <c r="D7174" s="811"/>
      <c r="E7174" s="1276">
        <f>[11]building!Y7505</f>
        <v>0</v>
      </c>
      <c r="F7174" s="748">
        <f t="shared" si="351"/>
        <v>0</v>
      </c>
      <c r="G7174" s="1205"/>
      <c r="H7174" s="1055"/>
      <c r="I7174" s="1055"/>
      <c r="J7174" s="1055"/>
      <c r="K7174" s="1205"/>
      <c r="L7174" s="1055"/>
      <c r="M7174" s="1205"/>
      <c r="N7174" s="1054"/>
      <c r="O7174" s="1207"/>
      <c r="Q7174" s="1207"/>
    </row>
    <row r="7175" spans="3:17" s="700" customFormat="1" ht="70.5" hidden="1" customHeight="1">
      <c r="C7175" s="701"/>
      <c r="D7175" s="811"/>
      <c r="E7175" s="1276">
        <f>[11]building!Y7506</f>
        <v>0</v>
      </c>
      <c r="F7175" s="748">
        <f t="shared" si="351"/>
        <v>0</v>
      </c>
      <c r="G7175" s="1205"/>
      <c r="H7175" s="1055"/>
      <c r="I7175" s="1055"/>
      <c r="J7175" s="1055"/>
      <c r="K7175" s="1205"/>
      <c r="L7175" s="1055"/>
      <c r="M7175" s="1205"/>
      <c r="N7175" s="1054"/>
      <c r="O7175" s="1207"/>
      <c r="Q7175" s="1207"/>
    </row>
    <row r="7176" spans="3:17" s="700" customFormat="1" ht="70.5" hidden="1" customHeight="1">
      <c r="C7176" s="701"/>
      <c r="D7176" s="811"/>
      <c r="E7176" s="1276">
        <f>[11]building!Y7507</f>
        <v>0</v>
      </c>
      <c r="F7176" s="748">
        <f t="shared" si="351"/>
        <v>0</v>
      </c>
      <c r="G7176" s="1205"/>
      <c r="H7176" s="1055"/>
      <c r="I7176" s="1055"/>
      <c r="J7176" s="1055"/>
      <c r="K7176" s="1205"/>
      <c r="L7176" s="1055"/>
      <c r="M7176" s="1205"/>
      <c r="N7176" s="1054"/>
      <c r="O7176" s="1207"/>
      <c r="Q7176" s="1207"/>
    </row>
    <row r="7177" spans="3:17" s="700" customFormat="1" ht="70.5" hidden="1" customHeight="1">
      <c r="C7177" s="701"/>
      <c r="D7177" s="811"/>
      <c r="E7177" s="1276">
        <f>[11]building!Y7508</f>
        <v>0</v>
      </c>
      <c r="F7177" s="748">
        <f t="shared" si="351"/>
        <v>0</v>
      </c>
      <c r="G7177" s="1205"/>
      <c r="H7177" s="1055"/>
      <c r="I7177" s="1055"/>
      <c r="J7177" s="1055"/>
      <c r="K7177" s="1205"/>
      <c r="L7177" s="1055"/>
      <c r="M7177" s="1205"/>
      <c r="N7177" s="1054"/>
      <c r="O7177" s="1207"/>
      <c r="Q7177" s="1207"/>
    </row>
    <row r="7178" spans="3:17" s="700" customFormat="1" ht="70.5" hidden="1" customHeight="1">
      <c r="C7178" s="701"/>
      <c r="D7178" s="811"/>
      <c r="E7178" s="1276">
        <f>[11]building!Y7509</f>
        <v>0</v>
      </c>
      <c r="F7178" s="748">
        <f t="shared" si="351"/>
        <v>0</v>
      </c>
      <c r="G7178" s="1205"/>
      <c r="H7178" s="1055"/>
      <c r="I7178" s="1055"/>
      <c r="J7178" s="1055"/>
      <c r="K7178" s="1205"/>
      <c r="L7178" s="1055"/>
      <c r="M7178" s="1205"/>
      <c r="N7178" s="1054"/>
      <c r="O7178" s="1207"/>
      <c r="Q7178" s="1207"/>
    </row>
    <row r="7179" spans="3:17" s="700" customFormat="1" ht="70.5" hidden="1" customHeight="1">
      <c r="C7179" s="701"/>
      <c r="D7179" s="811"/>
      <c r="E7179" s="1276">
        <f>[11]building!Y7510</f>
        <v>0</v>
      </c>
      <c r="F7179" s="748">
        <f t="shared" si="351"/>
        <v>0</v>
      </c>
      <c r="G7179" s="1205"/>
      <c r="H7179" s="1055"/>
      <c r="I7179" s="1055"/>
      <c r="J7179" s="1055"/>
      <c r="K7179" s="1205"/>
      <c r="L7179" s="1055"/>
      <c r="M7179" s="1205"/>
      <c r="N7179" s="1054"/>
      <c r="O7179" s="1207"/>
      <c r="Q7179" s="1207"/>
    </row>
    <row r="7180" spans="3:17" s="700" customFormat="1" ht="70.5" hidden="1" customHeight="1">
      <c r="C7180" s="701"/>
      <c r="D7180" s="811"/>
      <c r="E7180" s="1276">
        <f>[11]building!Y7511</f>
        <v>0</v>
      </c>
      <c r="F7180" s="748">
        <f t="shared" si="351"/>
        <v>0</v>
      </c>
      <c r="G7180" s="1205"/>
      <c r="H7180" s="1055"/>
      <c r="I7180" s="1055"/>
      <c r="J7180" s="1055"/>
      <c r="K7180" s="1205"/>
      <c r="L7180" s="1055"/>
      <c r="M7180" s="1205"/>
      <c r="N7180" s="1054"/>
      <c r="O7180" s="1207"/>
      <c r="Q7180" s="1207"/>
    </row>
    <row r="7181" spans="3:17" s="700" customFormat="1" ht="70.5" hidden="1" customHeight="1">
      <c r="C7181" s="701"/>
      <c r="D7181" s="811"/>
      <c r="E7181" s="1276">
        <f>[11]building!Y7512</f>
        <v>0</v>
      </c>
      <c r="F7181" s="748">
        <f t="shared" si="351"/>
        <v>0</v>
      </c>
      <c r="G7181" s="1205"/>
      <c r="H7181" s="1055"/>
      <c r="I7181" s="1055"/>
      <c r="J7181" s="1055"/>
      <c r="K7181" s="1205"/>
      <c r="L7181" s="1055"/>
      <c r="M7181" s="1205"/>
      <c r="N7181" s="1054"/>
      <c r="O7181" s="1207"/>
      <c r="Q7181" s="1207"/>
    </row>
    <row r="7182" spans="3:17" s="700" customFormat="1" ht="70.5" hidden="1" customHeight="1">
      <c r="C7182" s="701"/>
      <c r="D7182" s="811"/>
      <c r="E7182" s="1276">
        <f>[11]building!Y7513</f>
        <v>0</v>
      </c>
      <c r="F7182" s="748">
        <f t="shared" si="351"/>
        <v>0</v>
      </c>
      <c r="G7182" s="1205"/>
      <c r="H7182" s="1055"/>
      <c r="I7182" s="1055"/>
      <c r="J7182" s="1055"/>
      <c r="K7182" s="1205"/>
      <c r="L7182" s="1055"/>
      <c r="M7182" s="1205"/>
      <c r="N7182" s="1054"/>
      <c r="O7182" s="1207"/>
      <c r="Q7182" s="1207"/>
    </row>
    <row r="7183" spans="3:17" s="700" customFormat="1" ht="70.5" hidden="1" customHeight="1">
      <c r="C7183" s="701"/>
      <c r="D7183" s="811"/>
      <c r="E7183" s="1276">
        <f>[11]building!Y7514</f>
        <v>0</v>
      </c>
      <c r="F7183" s="748">
        <f t="shared" si="351"/>
        <v>0</v>
      </c>
      <c r="G7183" s="1205"/>
      <c r="H7183" s="1055"/>
      <c r="I7183" s="1055"/>
      <c r="J7183" s="1055"/>
      <c r="K7183" s="1205"/>
      <c r="L7183" s="1055"/>
      <c r="M7183" s="1205"/>
      <c r="N7183" s="1054"/>
      <c r="O7183" s="1207"/>
      <c r="Q7183" s="1207"/>
    </row>
    <row r="7184" spans="3:17" s="700" customFormat="1" ht="70.5" hidden="1" customHeight="1">
      <c r="C7184" s="701"/>
      <c r="D7184" s="811"/>
      <c r="E7184" s="1276">
        <f>[11]building!Y7515</f>
        <v>0</v>
      </c>
      <c r="F7184" s="748">
        <f t="shared" si="351"/>
        <v>0</v>
      </c>
      <c r="G7184" s="1205"/>
      <c r="H7184" s="1055"/>
      <c r="I7184" s="1055"/>
      <c r="J7184" s="1055"/>
      <c r="K7184" s="1205"/>
      <c r="L7184" s="1055"/>
      <c r="M7184" s="1205"/>
      <c r="N7184" s="1054"/>
      <c r="O7184" s="1207"/>
      <c r="Q7184" s="1207"/>
    </row>
    <row r="7185" spans="3:17" s="700" customFormat="1" ht="70.5" hidden="1" customHeight="1">
      <c r="C7185" s="701"/>
      <c r="D7185" s="811"/>
      <c r="E7185" s="1276">
        <f>[11]building!Y7516</f>
        <v>0</v>
      </c>
      <c r="F7185" s="748">
        <f t="shared" si="351"/>
        <v>0</v>
      </c>
      <c r="G7185" s="1205"/>
      <c r="H7185" s="1055"/>
      <c r="I7185" s="1055"/>
      <c r="J7185" s="1055"/>
      <c r="K7185" s="1205"/>
      <c r="L7185" s="1055"/>
      <c r="M7185" s="1205"/>
      <c r="N7185" s="1054"/>
      <c r="O7185" s="1207"/>
      <c r="Q7185" s="1207"/>
    </row>
    <row r="7186" spans="3:17" s="700" customFormat="1" ht="70.5" hidden="1" customHeight="1">
      <c r="C7186" s="701"/>
      <c r="D7186" s="811"/>
      <c r="E7186" s="1276">
        <f>[11]building!Y7517</f>
        <v>0</v>
      </c>
      <c r="F7186" s="748">
        <f t="shared" si="351"/>
        <v>0</v>
      </c>
      <c r="G7186" s="1205"/>
      <c r="H7186" s="1055"/>
      <c r="I7186" s="1055"/>
      <c r="J7186" s="1055"/>
      <c r="K7186" s="1205"/>
      <c r="L7186" s="1055"/>
      <c r="M7186" s="1205"/>
      <c r="N7186" s="1054"/>
      <c r="O7186" s="1207"/>
      <c r="Q7186" s="1207"/>
    </row>
    <row r="7187" spans="3:17" s="700" customFormat="1" ht="70.5" hidden="1" customHeight="1">
      <c r="C7187" s="701"/>
      <c r="D7187" s="811"/>
      <c r="E7187" s="1276">
        <f>[11]building!Y7518</f>
        <v>0</v>
      </c>
      <c r="F7187" s="748">
        <f t="shared" si="351"/>
        <v>0</v>
      </c>
      <c r="G7187" s="1205"/>
      <c r="H7187" s="1055"/>
      <c r="I7187" s="1055"/>
      <c r="J7187" s="1055"/>
      <c r="K7187" s="1205"/>
      <c r="L7187" s="1055"/>
      <c r="M7187" s="1205"/>
      <c r="N7187" s="1054"/>
      <c r="O7187" s="1207"/>
      <c r="Q7187" s="1207"/>
    </row>
    <row r="7188" spans="3:17" s="700" customFormat="1" ht="70.5" hidden="1" customHeight="1">
      <c r="C7188" s="701"/>
      <c r="D7188" s="811"/>
      <c r="E7188" s="1276">
        <f>[11]building!Y7519</f>
        <v>0</v>
      </c>
      <c r="F7188" s="748">
        <f t="shared" si="351"/>
        <v>0</v>
      </c>
      <c r="G7188" s="1205"/>
      <c r="H7188" s="1055"/>
      <c r="I7188" s="1055"/>
      <c r="J7188" s="1055"/>
      <c r="K7188" s="1205"/>
      <c r="L7188" s="1055"/>
      <c r="M7188" s="1205"/>
      <c r="N7188" s="1054"/>
      <c r="O7188" s="1207"/>
      <c r="Q7188" s="1207"/>
    </row>
    <row r="7189" spans="3:17" s="700" customFormat="1" ht="70.5" hidden="1" customHeight="1">
      <c r="C7189" s="701"/>
      <c r="D7189" s="811"/>
      <c r="E7189" s="1276">
        <f>[11]building!Y7520</f>
        <v>0</v>
      </c>
      <c r="F7189" s="748">
        <f t="shared" si="351"/>
        <v>0</v>
      </c>
      <c r="G7189" s="1205"/>
      <c r="H7189" s="1055"/>
      <c r="I7189" s="1055"/>
      <c r="J7189" s="1055"/>
      <c r="K7189" s="1205"/>
      <c r="L7189" s="1055"/>
      <c r="M7189" s="1205"/>
      <c r="N7189" s="1054"/>
      <c r="O7189" s="1207"/>
      <c r="Q7189" s="1207"/>
    </row>
    <row r="7190" spans="3:17" s="700" customFormat="1" ht="70.5" hidden="1" customHeight="1">
      <c r="C7190" s="701"/>
      <c r="D7190" s="811"/>
      <c r="E7190" s="1276">
        <f>[11]building!Y7521</f>
        <v>0</v>
      </c>
      <c r="F7190" s="748">
        <f t="shared" si="351"/>
        <v>0</v>
      </c>
      <c r="G7190" s="1205"/>
      <c r="H7190" s="1055"/>
      <c r="I7190" s="1055"/>
      <c r="J7190" s="1055"/>
      <c r="K7190" s="1205"/>
      <c r="L7190" s="1055"/>
      <c r="M7190" s="1205"/>
      <c r="N7190" s="1054"/>
      <c r="O7190" s="1207"/>
      <c r="Q7190" s="1207"/>
    </row>
    <row r="7191" spans="3:17" s="700" customFormat="1" ht="70.5" hidden="1" customHeight="1">
      <c r="C7191" s="701"/>
      <c r="D7191" s="811"/>
      <c r="E7191" s="1276">
        <f>[11]building!Y7522</f>
        <v>0</v>
      </c>
      <c r="F7191" s="748">
        <f t="shared" si="351"/>
        <v>0</v>
      </c>
      <c r="G7191" s="1205"/>
      <c r="H7191" s="1055"/>
      <c r="I7191" s="1055"/>
      <c r="J7191" s="1055"/>
      <c r="K7191" s="1205"/>
      <c r="L7191" s="1055"/>
      <c r="M7191" s="1205"/>
      <c r="N7191" s="1054"/>
      <c r="O7191" s="1207"/>
      <c r="Q7191" s="1207"/>
    </row>
    <row r="7192" spans="3:17" s="700" customFormat="1" ht="70.5" hidden="1" customHeight="1">
      <c r="C7192" s="701"/>
      <c r="D7192" s="811"/>
      <c r="E7192" s="1276">
        <f>[11]building!Y7523</f>
        <v>0</v>
      </c>
      <c r="F7192" s="748">
        <f t="shared" si="351"/>
        <v>0</v>
      </c>
      <c r="G7192" s="1205"/>
      <c r="H7192" s="1055"/>
      <c r="I7192" s="1055"/>
      <c r="J7192" s="1055"/>
      <c r="K7192" s="1205"/>
      <c r="L7192" s="1055"/>
      <c r="M7192" s="1205"/>
      <c r="N7192" s="1054"/>
      <c r="O7192" s="1207"/>
      <c r="Q7192" s="1207"/>
    </row>
    <row r="7193" spans="3:17" s="700" customFormat="1" ht="70.5" hidden="1" customHeight="1">
      <c r="C7193" s="701"/>
      <c r="D7193" s="811"/>
      <c r="E7193" s="1276">
        <f>[11]building!Y7524</f>
        <v>0</v>
      </c>
      <c r="F7193" s="748">
        <f t="shared" si="351"/>
        <v>0</v>
      </c>
      <c r="G7193" s="1205"/>
      <c r="H7193" s="1055"/>
      <c r="I7193" s="1055"/>
      <c r="J7193" s="1055"/>
      <c r="K7193" s="1205"/>
      <c r="L7193" s="1055"/>
      <c r="M7193" s="1205"/>
      <c r="N7193" s="1054"/>
      <c r="O7193" s="1207"/>
      <c r="Q7193" s="1207"/>
    </row>
    <row r="7194" spans="3:17" s="700" customFormat="1" ht="70.5" hidden="1" customHeight="1">
      <c r="C7194" s="701"/>
      <c r="D7194" s="811"/>
      <c r="E7194" s="1276">
        <f>[11]building!Y7525</f>
        <v>0</v>
      </c>
      <c r="F7194" s="748">
        <f t="shared" si="351"/>
        <v>0</v>
      </c>
      <c r="G7194" s="1205"/>
      <c r="H7194" s="1055"/>
      <c r="I7194" s="1055"/>
      <c r="J7194" s="1055"/>
      <c r="K7194" s="1205"/>
      <c r="L7194" s="1055"/>
      <c r="M7194" s="1205"/>
      <c r="N7194" s="1054"/>
      <c r="O7194" s="1207"/>
      <c r="Q7194" s="1207"/>
    </row>
    <row r="7195" spans="3:17" s="700" customFormat="1" ht="70.5" hidden="1" customHeight="1">
      <c r="C7195" s="701"/>
      <c r="D7195" s="811"/>
      <c r="E7195" s="1276">
        <f>[11]building!Y7526</f>
        <v>0</v>
      </c>
      <c r="F7195" s="748">
        <f t="shared" si="351"/>
        <v>0</v>
      </c>
      <c r="G7195" s="1205"/>
      <c r="H7195" s="1055"/>
      <c r="I7195" s="1055"/>
      <c r="J7195" s="1055"/>
      <c r="K7195" s="1205"/>
      <c r="L7195" s="1055"/>
      <c r="M7195" s="1205"/>
      <c r="N7195" s="1054"/>
      <c r="O7195" s="1207"/>
      <c r="Q7195" s="1207"/>
    </row>
    <row r="7196" spans="3:17" s="700" customFormat="1" ht="70.5" hidden="1" customHeight="1">
      <c r="C7196" s="701"/>
      <c r="D7196" s="811"/>
      <c r="E7196" s="1276">
        <f>[11]building!Y7527</f>
        <v>0</v>
      </c>
      <c r="F7196" s="748">
        <f t="shared" si="351"/>
        <v>0</v>
      </c>
      <c r="G7196" s="1205"/>
      <c r="H7196" s="1055"/>
      <c r="I7196" s="1055"/>
      <c r="J7196" s="1055"/>
      <c r="K7196" s="1205"/>
      <c r="L7196" s="1055"/>
      <c r="M7196" s="1205"/>
      <c r="N7196" s="1054"/>
      <c r="O7196" s="1207"/>
      <c r="Q7196" s="1207"/>
    </row>
    <row r="7197" spans="3:17" s="700" customFormat="1" ht="70.5" hidden="1" customHeight="1">
      <c r="C7197" s="701"/>
      <c r="D7197" s="811"/>
      <c r="E7197" s="1276">
        <f>[11]building!Y7528</f>
        <v>0</v>
      </c>
      <c r="F7197" s="748">
        <f t="shared" si="351"/>
        <v>0</v>
      </c>
      <c r="G7197" s="1205"/>
      <c r="H7197" s="1055"/>
      <c r="I7197" s="1055"/>
      <c r="J7197" s="1055"/>
      <c r="K7197" s="1205"/>
      <c r="L7197" s="1055"/>
      <c r="M7197" s="1205"/>
      <c r="N7197" s="1054"/>
      <c r="O7197" s="1207"/>
      <c r="Q7197" s="1207"/>
    </row>
    <row r="7198" spans="3:17" s="700" customFormat="1" ht="70.5" hidden="1" customHeight="1">
      <c r="C7198" s="701"/>
      <c r="D7198" s="811"/>
      <c r="E7198" s="1276">
        <f>[11]building!Y7529</f>
        <v>0</v>
      </c>
      <c r="F7198" s="748">
        <f t="shared" si="351"/>
        <v>0</v>
      </c>
      <c r="G7198" s="1205"/>
      <c r="H7198" s="1055"/>
      <c r="I7198" s="1055"/>
      <c r="J7198" s="1055"/>
      <c r="K7198" s="1205"/>
      <c r="L7198" s="1055"/>
      <c r="M7198" s="1205"/>
      <c r="N7198" s="1054"/>
      <c r="O7198" s="1207"/>
      <c r="Q7198" s="1207"/>
    </row>
    <row r="7199" spans="3:17" s="700" customFormat="1" ht="70.5" hidden="1" customHeight="1">
      <c r="C7199" s="701"/>
      <c r="D7199" s="811"/>
      <c r="E7199" s="1276">
        <f>[11]building!Y7530</f>
        <v>0</v>
      </c>
      <c r="F7199" s="748">
        <f t="shared" si="351"/>
        <v>0</v>
      </c>
      <c r="G7199" s="1205"/>
      <c r="H7199" s="1055"/>
      <c r="I7199" s="1055"/>
      <c r="J7199" s="1055"/>
      <c r="K7199" s="1205"/>
      <c r="L7199" s="1055"/>
      <c r="M7199" s="1205"/>
      <c r="N7199" s="1054"/>
      <c r="O7199" s="1207"/>
      <c r="Q7199" s="1207"/>
    </row>
    <row r="7200" spans="3:17" s="700" customFormat="1" ht="70.5" hidden="1" customHeight="1">
      <c r="C7200" s="701"/>
      <c r="D7200" s="811"/>
      <c r="E7200" s="1276">
        <f>[11]building!Y7531</f>
        <v>0</v>
      </c>
      <c r="F7200" s="748">
        <f t="shared" si="351"/>
        <v>0</v>
      </c>
      <c r="G7200" s="1205"/>
      <c r="H7200" s="1055"/>
      <c r="I7200" s="1055"/>
      <c r="J7200" s="1055"/>
      <c r="K7200" s="1205"/>
      <c r="L7200" s="1055"/>
      <c r="M7200" s="1205"/>
      <c r="N7200" s="1054"/>
      <c r="O7200" s="1207"/>
      <c r="Q7200" s="1207"/>
    </row>
    <row r="7201" spans="3:17" s="700" customFormat="1" ht="70.5" hidden="1" customHeight="1">
      <c r="C7201" s="701"/>
      <c r="D7201" s="811"/>
      <c r="E7201" s="1276">
        <f>[11]building!Y7532</f>
        <v>0</v>
      </c>
      <c r="F7201" s="748">
        <f t="shared" si="351"/>
        <v>0</v>
      </c>
      <c r="G7201" s="1205"/>
      <c r="H7201" s="1055"/>
      <c r="I7201" s="1055"/>
      <c r="J7201" s="1055"/>
      <c r="K7201" s="1205"/>
      <c r="L7201" s="1055"/>
      <c r="M7201" s="1205"/>
      <c r="N7201" s="1054"/>
      <c r="O7201" s="1207"/>
      <c r="Q7201" s="1207"/>
    </row>
    <row r="7202" spans="3:17" s="700" customFormat="1" ht="70.5" hidden="1" customHeight="1">
      <c r="C7202" s="701"/>
      <c r="D7202" s="811"/>
      <c r="E7202" s="1276">
        <f>[11]building!Y7533</f>
        <v>0</v>
      </c>
      <c r="F7202" s="748">
        <f t="shared" si="351"/>
        <v>0</v>
      </c>
      <c r="G7202" s="1205"/>
      <c r="H7202" s="1055"/>
      <c r="I7202" s="1055"/>
      <c r="J7202" s="1055"/>
      <c r="K7202" s="1205"/>
      <c r="L7202" s="1055"/>
      <c r="M7202" s="1205"/>
      <c r="N7202" s="1054"/>
      <c r="O7202" s="1207"/>
      <c r="Q7202" s="1207"/>
    </row>
    <row r="7203" spans="3:17" s="700" customFormat="1" ht="70.5" hidden="1" customHeight="1">
      <c r="C7203" s="701"/>
      <c r="D7203" s="811"/>
      <c r="E7203" s="1276">
        <f>[11]building!Y7534</f>
        <v>0</v>
      </c>
      <c r="F7203" s="748">
        <f t="shared" si="351"/>
        <v>0</v>
      </c>
      <c r="G7203" s="1205"/>
      <c r="H7203" s="1055"/>
      <c r="I7203" s="1055"/>
      <c r="J7203" s="1055"/>
      <c r="K7203" s="1205"/>
      <c r="L7203" s="1055"/>
      <c r="M7203" s="1205"/>
      <c r="N7203" s="1054"/>
      <c r="O7203" s="1207"/>
      <c r="Q7203" s="1207"/>
    </row>
    <row r="7204" spans="3:17" s="700" customFormat="1" ht="70.5" hidden="1" customHeight="1">
      <c r="C7204" s="701"/>
      <c r="D7204" s="811"/>
      <c r="E7204" s="1276">
        <f>[11]building!Y7535</f>
        <v>0</v>
      </c>
      <c r="F7204" s="748">
        <f t="shared" si="351"/>
        <v>0</v>
      </c>
      <c r="G7204" s="1205"/>
      <c r="H7204" s="1055"/>
      <c r="I7204" s="1055"/>
      <c r="J7204" s="1055"/>
      <c r="K7204" s="1205"/>
      <c r="L7204" s="1055"/>
      <c r="M7204" s="1205"/>
      <c r="N7204" s="1054"/>
      <c r="O7204" s="1207"/>
      <c r="Q7204" s="1207"/>
    </row>
    <row r="7205" spans="3:17" s="700" customFormat="1" ht="70.5" hidden="1" customHeight="1">
      <c r="C7205" s="701"/>
      <c r="D7205" s="811"/>
      <c r="E7205" s="1276">
        <f>[11]building!Y7536</f>
        <v>0</v>
      </c>
      <c r="F7205" s="748">
        <f t="shared" si="351"/>
        <v>0</v>
      </c>
      <c r="G7205" s="1205"/>
      <c r="H7205" s="1055"/>
      <c r="I7205" s="1055"/>
      <c r="J7205" s="1055"/>
      <c r="K7205" s="1205"/>
      <c r="L7205" s="1055"/>
      <c r="M7205" s="1205"/>
      <c r="N7205" s="1054"/>
      <c r="O7205" s="1207"/>
      <c r="Q7205" s="1207"/>
    </row>
    <row r="7206" spans="3:17" s="700" customFormat="1" ht="70.5" hidden="1" customHeight="1">
      <c r="C7206" s="701"/>
      <c r="D7206" s="811"/>
      <c r="E7206" s="1276">
        <f>[11]building!Y7537</f>
        <v>0</v>
      </c>
      <c r="F7206" s="748">
        <f t="shared" si="351"/>
        <v>0</v>
      </c>
      <c r="G7206" s="1205"/>
      <c r="H7206" s="1055"/>
      <c r="I7206" s="1055"/>
      <c r="J7206" s="1055"/>
      <c r="K7206" s="1205"/>
      <c r="L7206" s="1055"/>
      <c r="M7206" s="1205"/>
      <c r="N7206" s="1054"/>
      <c r="O7206" s="1207"/>
      <c r="Q7206" s="1207"/>
    </row>
    <row r="7207" spans="3:17" s="700" customFormat="1" ht="70.5" hidden="1" customHeight="1">
      <c r="C7207" s="701"/>
      <c r="D7207" s="811"/>
      <c r="E7207" s="1276">
        <f>[11]building!Y7538</f>
        <v>0</v>
      </c>
      <c r="F7207" s="748">
        <f t="shared" si="351"/>
        <v>0</v>
      </c>
      <c r="G7207" s="1205"/>
      <c r="H7207" s="1055"/>
      <c r="I7207" s="1055"/>
      <c r="J7207" s="1055"/>
      <c r="K7207" s="1205"/>
      <c r="L7207" s="1055"/>
      <c r="M7207" s="1205"/>
      <c r="N7207" s="1054"/>
      <c r="O7207" s="1207"/>
      <c r="Q7207" s="1207"/>
    </row>
    <row r="7208" spans="3:17" s="700" customFormat="1" ht="70.5" hidden="1" customHeight="1">
      <c r="C7208" s="701"/>
      <c r="D7208" s="811"/>
      <c r="E7208" s="1276">
        <f>[11]building!Y7539</f>
        <v>0</v>
      </c>
      <c r="F7208" s="748">
        <f t="shared" si="351"/>
        <v>0</v>
      </c>
      <c r="G7208" s="1205"/>
      <c r="H7208" s="1055"/>
      <c r="I7208" s="1055"/>
      <c r="J7208" s="1055"/>
      <c r="K7208" s="1205"/>
      <c r="L7208" s="1055"/>
      <c r="M7208" s="1205"/>
      <c r="N7208" s="1054"/>
      <c r="O7208" s="1207"/>
      <c r="Q7208" s="1207"/>
    </row>
    <row r="7209" spans="3:17" s="700" customFormat="1" ht="70.5" hidden="1" customHeight="1">
      <c r="C7209" s="701"/>
      <c r="D7209" s="811"/>
      <c r="E7209" s="1276">
        <f>[11]building!Y7540</f>
        <v>0</v>
      </c>
      <c r="F7209" s="748">
        <f t="shared" si="351"/>
        <v>0</v>
      </c>
      <c r="G7209" s="1205"/>
      <c r="H7209" s="1055"/>
      <c r="I7209" s="1055"/>
      <c r="J7209" s="1055"/>
      <c r="K7209" s="1205"/>
      <c r="L7209" s="1055"/>
      <c r="M7209" s="1205"/>
      <c r="N7209" s="1054"/>
      <c r="O7209" s="1207"/>
      <c r="Q7209" s="1207"/>
    </row>
    <row r="7210" spans="3:17" s="700" customFormat="1" ht="70.5" hidden="1" customHeight="1">
      <c r="C7210" s="701"/>
      <c r="D7210" s="811"/>
      <c r="E7210" s="1276">
        <f>[11]building!Y7541</f>
        <v>0</v>
      </c>
      <c r="F7210" s="748">
        <f t="shared" si="351"/>
        <v>0</v>
      </c>
      <c r="G7210" s="1205"/>
      <c r="H7210" s="1055"/>
      <c r="I7210" s="1055"/>
      <c r="J7210" s="1055"/>
      <c r="K7210" s="1205"/>
      <c r="L7210" s="1055"/>
      <c r="M7210" s="1205"/>
      <c r="N7210" s="1054"/>
      <c r="O7210" s="1207"/>
      <c r="Q7210" s="1207"/>
    </row>
    <row r="7211" spans="3:17" s="700" customFormat="1" ht="70.5" hidden="1" customHeight="1">
      <c r="C7211" s="701"/>
      <c r="D7211" s="811"/>
      <c r="E7211" s="1276">
        <f>[11]building!Y7542</f>
        <v>0</v>
      </c>
      <c r="F7211" s="748">
        <f t="shared" si="351"/>
        <v>0</v>
      </c>
      <c r="G7211" s="1205"/>
      <c r="H7211" s="1055"/>
      <c r="I7211" s="1055"/>
      <c r="J7211" s="1055"/>
      <c r="K7211" s="1205"/>
      <c r="L7211" s="1055"/>
      <c r="M7211" s="1205"/>
      <c r="N7211" s="1054"/>
      <c r="O7211" s="1207"/>
      <c r="Q7211" s="1207"/>
    </row>
    <row r="7212" spans="3:17" s="700" customFormat="1" ht="70.5" hidden="1" customHeight="1">
      <c r="C7212" s="701"/>
      <c r="D7212" s="811"/>
      <c r="E7212" s="1276">
        <f>[11]building!Y7543</f>
        <v>0</v>
      </c>
      <c r="F7212" s="748">
        <f t="shared" si="351"/>
        <v>0</v>
      </c>
      <c r="G7212" s="1205"/>
      <c r="H7212" s="1055"/>
      <c r="I7212" s="1055"/>
      <c r="J7212" s="1055"/>
      <c r="K7212" s="1205"/>
      <c r="L7212" s="1055"/>
      <c r="M7212" s="1205"/>
      <c r="N7212" s="1054"/>
      <c r="O7212" s="1207"/>
      <c r="Q7212" s="1207"/>
    </row>
    <row r="7213" spans="3:17" s="700" customFormat="1" ht="70.5" hidden="1" customHeight="1">
      <c r="C7213" s="701"/>
      <c r="D7213" s="811"/>
      <c r="E7213" s="1276">
        <f>[11]building!Y7544</f>
        <v>0</v>
      </c>
      <c r="F7213" s="748">
        <f t="shared" si="351"/>
        <v>0</v>
      </c>
      <c r="G7213" s="1205"/>
      <c r="H7213" s="1055"/>
      <c r="I7213" s="1055"/>
      <c r="J7213" s="1055"/>
      <c r="K7213" s="1205"/>
      <c r="L7213" s="1055"/>
      <c r="M7213" s="1205"/>
      <c r="N7213" s="1054"/>
      <c r="O7213" s="1207"/>
      <c r="Q7213" s="1207"/>
    </row>
    <row r="7214" spans="3:17" s="700" customFormat="1" ht="70.5" hidden="1" customHeight="1">
      <c r="C7214" s="701"/>
      <c r="D7214" s="811"/>
      <c r="E7214" s="1276">
        <f>[11]building!Y7545</f>
        <v>0</v>
      </c>
      <c r="F7214" s="748">
        <f t="shared" si="351"/>
        <v>0</v>
      </c>
      <c r="G7214" s="1205"/>
      <c r="H7214" s="1055"/>
      <c r="I7214" s="1055"/>
      <c r="J7214" s="1055"/>
      <c r="K7214" s="1205"/>
      <c r="L7214" s="1055"/>
      <c r="M7214" s="1205"/>
      <c r="N7214" s="1054"/>
      <c r="O7214" s="1207"/>
      <c r="Q7214" s="1207"/>
    </row>
    <row r="7215" spans="3:17" s="700" customFormat="1" ht="70.5" hidden="1" customHeight="1">
      <c r="C7215" s="701"/>
      <c r="D7215" s="811"/>
      <c r="E7215" s="1276">
        <f>[11]building!Y7546</f>
        <v>0</v>
      </c>
      <c r="F7215" s="748">
        <f t="shared" si="351"/>
        <v>0</v>
      </c>
      <c r="G7215" s="1205"/>
      <c r="H7215" s="1055"/>
      <c r="I7215" s="1055"/>
      <c r="J7215" s="1055"/>
      <c r="K7215" s="1205"/>
      <c r="L7215" s="1055"/>
      <c r="M7215" s="1205"/>
      <c r="N7215" s="1054"/>
      <c r="O7215" s="1207"/>
      <c r="Q7215" s="1207"/>
    </row>
    <row r="7216" spans="3:17" s="700" customFormat="1" ht="70.5" hidden="1" customHeight="1">
      <c r="C7216" s="701"/>
      <c r="D7216" s="811"/>
      <c r="E7216" s="1276">
        <f>[11]building!Y7547</f>
        <v>0</v>
      </c>
      <c r="F7216" s="748">
        <f t="shared" si="351"/>
        <v>0</v>
      </c>
      <c r="G7216" s="1205"/>
      <c r="H7216" s="1055"/>
      <c r="I7216" s="1055"/>
      <c r="J7216" s="1055"/>
      <c r="K7216" s="1205"/>
      <c r="L7216" s="1055"/>
      <c r="M7216" s="1205"/>
      <c r="N7216" s="1054"/>
      <c r="O7216" s="1207"/>
      <c r="Q7216" s="1207"/>
    </row>
    <row r="7217" spans="3:17" s="700" customFormat="1" ht="70.5" hidden="1" customHeight="1">
      <c r="C7217" s="701"/>
      <c r="D7217" s="811"/>
      <c r="E7217" s="1276">
        <f>[11]building!Y7548</f>
        <v>0</v>
      </c>
      <c r="F7217" s="748">
        <f t="shared" si="351"/>
        <v>0</v>
      </c>
      <c r="G7217" s="1205"/>
      <c r="H7217" s="1055"/>
      <c r="I7217" s="1055"/>
      <c r="J7217" s="1055"/>
      <c r="K7217" s="1205"/>
      <c r="L7217" s="1055"/>
      <c r="M7217" s="1205"/>
      <c r="N7217" s="1054"/>
      <c r="O7217" s="1207"/>
      <c r="Q7217" s="1207"/>
    </row>
    <row r="7218" spans="3:17" s="700" customFormat="1" ht="70.5" hidden="1" customHeight="1">
      <c r="C7218" s="701"/>
      <c r="D7218" s="811"/>
      <c r="E7218" s="1276">
        <f>[11]building!Y7549</f>
        <v>0</v>
      </c>
      <c r="F7218" s="748">
        <f t="shared" si="351"/>
        <v>0</v>
      </c>
      <c r="G7218" s="1205"/>
      <c r="H7218" s="1055"/>
      <c r="I7218" s="1055"/>
      <c r="J7218" s="1055"/>
      <c r="K7218" s="1205"/>
      <c r="L7218" s="1055"/>
      <c r="M7218" s="1205"/>
      <c r="N7218" s="1054"/>
      <c r="O7218" s="1207"/>
      <c r="Q7218" s="1207"/>
    </row>
    <row r="7219" spans="3:17" s="700" customFormat="1" ht="70.5" hidden="1" customHeight="1">
      <c r="C7219" s="701"/>
      <c r="D7219" s="811"/>
      <c r="E7219" s="1276">
        <f>[11]building!Y7550</f>
        <v>0</v>
      </c>
      <c r="F7219" s="748">
        <f t="shared" si="351"/>
        <v>0</v>
      </c>
      <c r="G7219" s="1205"/>
      <c r="H7219" s="1055"/>
      <c r="I7219" s="1055"/>
      <c r="J7219" s="1055"/>
      <c r="K7219" s="1205"/>
      <c r="L7219" s="1055"/>
      <c r="M7219" s="1205"/>
      <c r="N7219" s="1054"/>
      <c r="O7219" s="1207"/>
      <c r="Q7219" s="1207"/>
    </row>
    <row r="7220" spans="3:17" s="700" customFormat="1" ht="70.5" hidden="1" customHeight="1">
      <c r="C7220" s="701"/>
      <c r="D7220" s="811"/>
      <c r="E7220" s="1276">
        <f>[11]building!Y7551</f>
        <v>0</v>
      </c>
      <c r="F7220" s="748">
        <f t="shared" si="351"/>
        <v>0</v>
      </c>
      <c r="G7220" s="1205"/>
      <c r="H7220" s="1055"/>
      <c r="I7220" s="1055"/>
      <c r="J7220" s="1055"/>
      <c r="K7220" s="1205"/>
      <c r="L7220" s="1055"/>
      <c r="M7220" s="1205"/>
      <c r="N7220" s="1054"/>
      <c r="O7220" s="1207"/>
      <c r="Q7220" s="1207"/>
    </row>
    <row r="7221" spans="3:17" s="700" customFormat="1" ht="70.5" hidden="1" customHeight="1">
      <c r="C7221" s="701"/>
      <c r="D7221" s="811"/>
      <c r="E7221" s="1276">
        <f>[11]building!Y7552</f>
        <v>0</v>
      </c>
      <c r="F7221" s="748">
        <f t="shared" si="351"/>
        <v>0</v>
      </c>
      <c r="G7221" s="1205"/>
      <c r="H7221" s="1055"/>
      <c r="I7221" s="1055"/>
      <c r="J7221" s="1055"/>
      <c r="K7221" s="1205"/>
      <c r="L7221" s="1055"/>
      <c r="M7221" s="1205"/>
      <c r="N7221" s="1054"/>
      <c r="O7221" s="1207"/>
      <c r="Q7221" s="1207"/>
    </row>
    <row r="7222" spans="3:17" s="700" customFormat="1" ht="70.5" hidden="1" customHeight="1">
      <c r="C7222" s="701"/>
      <c r="D7222" s="811"/>
      <c r="E7222" s="1276">
        <f>[11]building!Y7553</f>
        <v>0</v>
      </c>
      <c r="F7222" s="748">
        <f t="shared" si="351"/>
        <v>0</v>
      </c>
      <c r="G7222" s="1205"/>
      <c r="H7222" s="1055"/>
      <c r="I7222" s="1055"/>
      <c r="J7222" s="1055"/>
      <c r="K7222" s="1205"/>
      <c r="L7222" s="1055"/>
      <c r="M7222" s="1205"/>
      <c r="N7222" s="1054"/>
      <c r="O7222" s="1207"/>
      <c r="Q7222" s="1207"/>
    </row>
    <row r="7223" spans="3:17" s="700" customFormat="1" ht="70.5" hidden="1" customHeight="1">
      <c r="C7223" s="701"/>
      <c r="D7223" s="811"/>
      <c r="E7223" s="1276">
        <f>[11]building!Y7554</f>
        <v>0</v>
      </c>
      <c r="F7223" s="748">
        <f t="shared" si="351"/>
        <v>0</v>
      </c>
      <c r="G7223" s="1205"/>
      <c r="H7223" s="1055"/>
      <c r="I7223" s="1055"/>
      <c r="J7223" s="1055"/>
      <c r="K7223" s="1205"/>
      <c r="L7223" s="1055"/>
      <c r="M7223" s="1205"/>
      <c r="N7223" s="1054"/>
      <c r="O7223" s="1207"/>
      <c r="Q7223" s="1207"/>
    </row>
    <row r="7224" spans="3:17" s="700" customFormat="1" ht="70.5" hidden="1" customHeight="1">
      <c r="C7224" s="701"/>
      <c r="D7224" s="811"/>
      <c r="E7224" s="1276">
        <f>[11]building!Y7555</f>
        <v>0</v>
      </c>
      <c r="F7224" s="748">
        <f t="shared" si="351"/>
        <v>0</v>
      </c>
      <c r="G7224" s="1205"/>
      <c r="H7224" s="1055"/>
      <c r="I7224" s="1055"/>
      <c r="J7224" s="1055"/>
      <c r="K7224" s="1205"/>
      <c r="L7224" s="1055"/>
      <c r="M7224" s="1205"/>
      <c r="N7224" s="1054"/>
      <c r="O7224" s="1207"/>
      <c r="Q7224" s="1207"/>
    </row>
    <row r="7225" spans="3:17" s="700" customFormat="1" ht="70.5" hidden="1" customHeight="1">
      <c r="C7225" s="701"/>
      <c r="D7225" s="811"/>
      <c r="E7225" s="1276">
        <f>[11]building!Y7556</f>
        <v>0</v>
      </c>
      <c r="F7225" s="748">
        <f t="shared" si="351"/>
        <v>0</v>
      </c>
      <c r="G7225" s="1205"/>
      <c r="H7225" s="1055"/>
      <c r="I7225" s="1055"/>
      <c r="J7225" s="1055"/>
      <c r="K7225" s="1205"/>
      <c r="L7225" s="1055"/>
      <c r="M7225" s="1205"/>
      <c r="N7225" s="1054"/>
      <c r="O7225" s="1207"/>
      <c r="Q7225" s="1207"/>
    </row>
    <row r="7226" spans="3:17" s="700" customFormat="1" ht="70.5" hidden="1" customHeight="1">
      <c r="C7226" s="701"/>
      <c r="D7226" s="811"/>
      <c r="E7226" s="1276">
        <f>[11]building!Y7557</f>
        <v>0</v>
      </c>
      <c r="F7226" s="748">
        <f t="shared" si="351"/>
        <v>0</v>
      </c>
      <c r="G7226" s="1205"/>
      <c r="H7226" s="1055"/>
      <c r="I7226" s="1055"/>
      <c r="J7226" s="1055"/>
      <c r="K7226" s="1205"/>
      <c r="L7226" s="1055"/>
      <c r="M7226" s="1205"/>
      <c r="N7226" s="1054"/>
      <c r="O7226" s="1207"/>
      <c r="Q7226" s="1207"/>
    </row>
    <row r="7227" spans="3:17" s="700" customFormat="1" ht="70.5" hidden="1" customHeight="1">
      <c r="C7227" s="701"/>
      <c r="D7227" s="811"/>
      <c r="E7227" s="1276">
        <f>[11]building!Y7558</f>
        <v>0</v>
      </c>
      <c r="F7227" s="748">
        <f t="shared" si="351"/>
        <v>0</v>
      </c>
      <c r="G7227" s="1205"/>
      <c r="H7227" s="1055"/>
      <c r="I7227" s="1055"/>
      <c r="J7227" s="1055"/>
      <c r="K7227" s="1205"/>
      <c r="L7227" s="1055"/>
      <c r="M7227" s="1205"/>
      <c r="N7227" s="1054"/>
      <c r="O7227" s="1207"/>
      <c r="Q7227" s="1207"/>
    </row>
    <row r="7228" spans="3:17" s="700" customFormat="1" ht="70.5" hidden="1" customHeight="1">
      <c r="C7228" s="701"/>
      <c r="D7228" s="811"/>
      <c r="E7228" s="1276">
        <f>[11]building!Y7559</f>
        <v>0</v>
      </c>
      <c r="F7228" s="748">
        <f t="shared" si="351"/>
        <v>0</v>
      </c>
      <c r="G7228" s="1205"/>
      <c r="H7228" s="1055"/>
      <c r="I7228" s="1055"/>
      <c r="J7228" s="1055"/>
      <c r="K7228" s="1205"/>
      <c r="L7228" s="1055"/>
      <c r="M7228" s="1205"/>
      <c r="N7228" s="1054"/>
      <c r="O7228" s="1207"/>
      <c r="Q7228" s="1207"/>
    </row>
    <row r="7229" spans="3:17" s="700" customFormat="1" ht="70.5" hidden="1" customHeight="1">
      <c r="C7229" s="701"/>
      <c r="D7229" s="811"/>
      <c r="E7229" s="1276">
        <f>[11]building!Y7560</f>
        <v>0</v>
      </c>
      <c r="F7229" s="748">
        <f t="shared" si="351"/>
        <v>0</v>
      </c>
      <c r="G7229" s="1205"/>
      <c r="H7229" s="1055"/>
      <c r="I7229" s="1055"/>
      <c r="J7229" s="1055"/>
      <c r="K7229" s="1205"/>
      <c r="L7229" s="1055"/>
      <c r="M7229" s="1205"/>
      <c r="N7229" s="1054"/>
      <c r="O7229" s="1207"/>
      <c r="Q7229" s="1207"/>
    </row>
    <row r="7230" spans="3:17" s="700" customFormat="1" ht="70.5" hidden="1" customHeight="1">
      <c r="C7230" s="701"/>
      <c r="D7230" s="811"/>
      <c r="E7230" s="1276">
        <f>[11]building!Y7561</f>
        <v>0</v>
      </c>
      <c r="F7230" s="748">
        <f t="shared" si="351"/>
        <v>0</v>
      </c>
      <c r="G7230" s="1205"/>
      <c r="H7230" s="1055"/>
      <c r="I7230" s="1055"/>
      <c r="J7230" s="1055"/>
      <c r="K7230" s="1205"/>
      <c r="L7230" s="1055"/>
      <c r="M7230" s="1205"/>
      <c r="N7230" s="1054"/>
      <c r="O7230" s="1207"/>
      <c r="Q7230" s="1207"/>
    </row>
    <row r="7231" spans="3:17" s="700" customFormat="1" ht="70.5" hidden="1" customHeight="1">
      <c r="C7231" s="701"/>
      <c r="D7231" s="811"/>
      <c r="E7231" s="1276">
        <f>[11]building!Y7562</f>
        <v>0</v>
      </c>
      <c r="F7231" s="748">
        <f t="shared" si="351"/>
        <v>0</v>
      </c>
      <c r="G7231" s="1205"/>
      <c r="H7231" s="1055"/>
      <c r="I7231" s="1055"/>
      <c r="J7231" s="1055"/>
      <c r="K7231" s="1205"/>
      <c r="L7231" s="1055"/>
      <c r="M7231" s="1205"/>
      <c r="N7231" s="1054"/>
      <c r="O7231" s="1207"/>
      <c r="Q7231" s="1207"/>
    </row>
    <row r="7232" spans="3:17" s="700" customFormat="1" ht="70.5" hidden="1" customHeight="1">
      <c r="C7232" s="701"/>
      <c r="D7232" s="811"/>
      <c r="E7232" s="1276">
        <f>[11]building!Y7563</f>
        <v>0</v>
      </c>
      <c r="F7232" s="748">
        <f t="shared" ref="F7232:F7295" si="352">E7232*C7232</f>
        <v>0</v>
      </c>
      <c r="G7232" s="1205"/>
      <c r="H7232" s="1055"/>
      <c r="I7232" s="1055"/>
      <c r="J7232" s="1055"/>
      <c r="K7232" s="1205"/>
      <c r="L7232" s="1055"/>
      <c r="M7232" s="1205"/>
      <c r="N7232" s="1054"/>
      <c r="O7232" s="1207"/>
      <c r="Q7232" s="1207"/>
    </row>
    <row r="7233" spans="3:17" s="700" customFormat="1" ht="70.5" hidden="1" customHeight="1">
      <c r="C7233" s="701"/>
      <c r="D7233" s="811"/>
      <c r="E7233" s="1276">
        <f>[11]building!Y7564</f>
        <v>0</v>
      </c>
      <c r="F7233" s="748">
        <f t="shared" si="352"/>
        <v>0</v>
      </c>
      <c r="G7233" s="1205"/>
      <c r="H7233" s="1055"/>
      <c r="I7233" s="1055"/>
      <c r="J7233" s="1055"/>
      <c r="K7233" s="1205"/>
      <c r="L7233" s="1055"/>
      <c r="M7233" s="1205"/>
      <c r="N7233" s="1054"/>
      <c r="O7233" s="1207"/>
      <c r="Q7233" s="1207"/>
    </row>
    <row r="7234" spans="3:17" s="700" customFormat="1" ht="70.5" hidden="1" customHeight="1">
      <c r="C7234" s="701"/>
      <c r="D7234" s="811"/>
      <c r="E7234" s="1276">
        <f>[11]building!Y7565</f>
        <v>0</v>
      </c>
      <c r="F7234" s="748">
        <f t="shared" si="352"/>
        <v>0</v>
      </c>
      <c r="G7234" s="1205"/>
      <c r="H7234" s="1055"/>
      <c r="I7234" s="1055"/>
      <c r="J7234" s="1055"/>
      <c r="K7234" s="1205"/>
      <c r="L7234" s="1055"/>
      <c r="M7234" s="1205"/>
      <c r="N7234" s="1054"/>
      <c r="O7234" s="1207"/>
      <c r="Q7234" s="1207"/>
    </row>
    <row r="7235" spans="3:17" s="700" customFormat="1" ht="70.5" hidden="1" customHeight="1">
      <c r="C7235" s="701"/>
      <c r="D7235" s="811"/>
      <c r="E7235" s="1276">
        <f>[11]building!Y7566</f>
        <v>0</v>
      </c>
      <c r="F7235" s="748">
        <f t="shared" si="352"/>
        <v>0</v>
      </c>
      <c r="G7235" s="1205"/>
      <c r="H7235" s="1055"/>
      <c r="I7235" s="1055"/>
      <c r="J7235" s="1055"/>
      <c r="K7235" s="1205"/>
      <c r="L7235" s="1055"/>
      <c r="M7235" s="1205"/>
      <c r="N7235" s="1054"/>
      <c r="O7235" s="1207"/>
      <c r="Q7235" s="1207"/>
    </row>
    <row r="7236" spans="3:17" s="700" customFormat="1" ht="70.5" hidden="1" customHeight="1">
      <c r="C7236" s="701"/>
      <c r="D7236" s="811"/>
      <c r="E7236" s="1276">
        <f>[11]building!Y7567</f>
        <v>0</v>
      </c>
      <c r="F7236" s="748">
        <f t="shared" si="352"/>
        <v>0</v>
      </c>
      <c r="G7236" s="1205"/>
      <c r="H7236" s="1055"/>
      <c r="I7236" s="1055"/>
      <c r="J7236" s="1055"/>
      <c r="K7236" s="1205"/>
      <c r="L7236" s="1055"/>
      <c r="M7236" s="1205"/>
      <c r="N7236" s="1054"/>
      <c r="O7236" s="1207"/>
      <c r="Q7236" s="1207"/>
    </row>
    <row r="7237" spans="3:17" s="700" customFormat="1" ht="70.5" hidden="1" customHeight="1">
      <c r="C7237" s="701"/>
      <c r="D7237" s="811"/>
      <c r="E7237" s="1276">
        <f>[11]building!Y7568</f>
        <v>0</v>
      </c>
      <c r="F7237" s="748">
        <f t="shared" si="352"/>
        <v>0</v>
      </c>
      <c r="G7237" s="1205"/>
      <c r="H7237" s="1055"/>
      <c r="I7237" s="1055"/>
      <c r="J7237" s="1055"/>
      <c r="K7237" s="1205"/>
      <c r="L7237" s="1055"/>
      <c r="M7237" s="1205"/>
      <c r="N7237" s="1054"/>
      <c r="O7237" s="1207"/>
      <c r="Q7237" s="1207"/>
    </row>
    <row r="7238" spans="3:17" s="700" customFormat="1" ht="70.5" hidden="1" customHeight="1">
      <c r="C7238" s="701"/>
      <c r="D7238" s="811"/>
      <c r="E7238" s="1276">
        <f>[11]building!Y7569</f>
        <v>0</v>
      </c>
      <c r="F7238" s="748">
        <f t="shared" si="352"/>
        <v>0</v>
      </c>
      <c r="G7238" s="1205"/>
      <c r="H7238" s="1055"/>
      <c r="I7238" s="1055"/>
      <c r="J7238" s="1055"/>
      <c r="K7238" s="1205"/>
      <c r="L7238" s="1055"/>
      <c r="M7238" s="1205"/>
      <c r="N7238" s="1054"/>
      <c r="O7238" s="1207"/>
      <c r="Q7238" s="1207"/>
    </row>
    <row r="7239" spans="3:17" s="700" customFormat="1" ht="70.5" hidden="1" customHeight="1">
      <c r="C7239" s="701"/>
      <c r="D7239" s="811"/>
      <c r="E7239" s="1276">
        <f>[11]building!Y7570</f>
        <v>0</v>
      </c>
      <c r="F7239" s="748">
        <f t="shared" si="352"/>
        <v>0</v>
      </c>
      <c r="G7239" s="1205"/>
      <c r="H7239" s="1055"/>
      <c r="I7239" s="1055"/>
      <c r="J7239" s="1055"/>
      <c r="K7239" s="1205"/>
      <c r="L7239" s="1055"/>
      <c r="M7239" s="1205"/>
      <c r="N7239" s="1054"/>
      <c r="O7239" s="1207"/>
      <c r="Q7239" s="1207"/>
    </row>
    <row r="7240" spans="3:17" s="700" customFormat="1" ht="70.5" hidden="1" customHeight="1">
      <c r="C7240" s="701"/>
      <c r="D7240" s="811"/>
      <c r="E7240" s="1276">
        <f>[11]building!Y7571</f>
        <v>0</v>
      </c>
      <c r="F7240" s="748">
        <f t="shared" si="352"/>
        <v>0</v>
      </c>
      <c r="G7240" s="1205"/>
      <c r="H7240" s="1055"/>
      <c r="I7240" s="1055"/>
      <c r="J7240" s="1055"/>
      <c r="K7240" s="1205"/>
      <c r="L7240" s="1055"/>
      <c r="M7240" s="1205"/>
      <c r="N7240" s="1054"/>
      <c r="O7240" s="1207"/>
      <c r="Q7240" s="1207"/>
    </row>
    <row r="7241" spans="3:17" s="700" customFormat="1" ht="70.5" hidden="1" customHeight="1">
      <c r="C7241" s="701"/>
      <c r="D7241" s="811"/>
      <c r="E7241" s="1276">
        <f>[11]building!Y7572</f>
        <v>0</v>
      </c>
      <c r="F7241" s="748">
        <f t="shared" si="352"/>
        <v>0</v>
      </c>
      <c r="G7241" s="1205"/>
      <c r="H7241" s="1055"/>
      <c r="I7241" s="1055"/>
      <c r="J7241" s="1055"/>
      <c r="K7241" s="1205"/>
      <c r="L7241" s="1055"/>
      <c r="M7241" s="1205"/>
      <c r="N7241" s="1054"/>
      <c r="O7241" s="1207"/>
      <c r="Q7241" s="1207"/>
    </row>
    <row r="7242" spans="3:17" s="700" customFormat="1" ht="70.5" hidden="1" customHeight="1">
      <c r="C7242" s="701"/>
      <c r="D7242" s="811"/>
      <c r="E7242" s="1276">
        <f>[11]building!Y7573</f>
        <v>0</v>
      </c>
      <c r="F7242" s="748">
        <f t="shared" si="352"/>
        <v>0</v>
      </c>
      <c r="G7242" s="1205"/>
      <c r="H7242" s="1055"/>
      <c r="I7242" s="1055"/>
      <c r="J7242" s="1055"/>
      <c r="K7242" s="1205"/>
      <c r="L7242" s="1055"/>
      <c r="M7242" s="1205"/>
      <c r="N7242" s="1054"/>
      <c r="O7242" s="1207"/>
      <c r="Q7242" s="1207"/>
    </row>
    <row r="7243" spans="3:17" s="700" customFormat="1" ht="70.5" hidden="1" customHeight="1">
      <c r="C7243" s="701"/>
      <c r="D7243" s="811"/>
      <c r="E7243" s="1276">
        <f>[11]building!Y7574</f>
        <v>0</v>
      </c>
      <c r="F7243" s="748">
        <f t="shared" si="352"/>
        <v>0</v>
      </c>
      <c r="G7243" s="1205"/>
      <c r="H7243" s="1055"/>
      <c r="I7243" s="1055"/>
      <c r="J7243" s="1055"/>
      <c r="K7243" s="1205"/>
      <c r="L7243" s="1055"/>
      <c r="M7243" s="1205"/>
      <c r="N7243" s="1054"/>
      <c r="O7243" s="1207"/>
      <c r="Q7243" s="1207"/>
    </row>
    <row r="7244" spans="3:17" s="700" customFormat="1" ht="70.5" hidden="1" customHeight="1">
      <c r="C7244" s="701"/>
      <c r="D7244" s="811"/>
      <c r="E7244" s="1276">
        <f>[11]building!Y7575</f>
        <v>0</v>
      </c>
      <c r="F7244" s="748">
        <f t="shared" si="352"/>
        <v>0</v>
      </c>
      <c r="G7244" s="1205"/>
      <c r="H7244" s="1055"/>
      <c r="I7244" s="1055"/>
      <c r="J7244" s="1055"/>
      <c r="K7244" s="1205"/>
      <c r="L7244" s="1055"/>
      <c r="M7244" s="1205"/>
      <c r="N7244" s="1054"/>
      <c r="O7244" s="1207"/>
      <c r="Q7244" s="1207"/>
    </row>
    <row r="7245" spans="3:17" s="700" customFormat="1" ht="70.5" hidden="1" customHeight="1">
      <c r="C7245" s="701"/>
      <c r="D7245" s="811"/>
      <c r="E7245" s="1276">
        <f>[11]building!Y7576</f>
        <v>0</v>
      </c>
      <c r="F7245" s="748">
        <f t="shared" si="352"/>
        <v>0</v>
      </c>
      <c r="G7245" s="1205"/>
      <c r="H7245" s="1055"/>
      <c r="I7245" s="1055"/>
      <c r="J7245" s="1055"/>
      <c r="K7245" s="1205"/>
      <c r="L7245" s="1055"/>
      <c r="M7245" s="1205"/>
      <c r="N7245" s="1054"/>
      <c r="O7245" s="1207"/>
      <c r="Q7245" s="1207"/>
    </row>
    <row r="7246" spans="3:17" s="700" customFormat="1" ht="70.5" hidden="1" customHeight="1">
      <c r="C7246" s="701"/>
      <c r="D7246" s="811"/>
      <c r="E7246" s="1276">
        <f>[11]building!Y7577</f>
        <v>0</v>
      </c>
      <c r="F7246" s="748">
        <f t="shared" si="352"/>
        <v>0</v>
      </c>
      <c r="G7246" s="1205"/>
      <c r="H7246" s="1055"/>
      <c r="I7246" s="1055"/>
      <c r="J7246" s="1055"/>
      <c r="K7246" s="1205"/>
      <c r="L7246" s="1055"/>
      <c r="M7246" s="1205"/>
      <c r="N7246" s="1054"/>
      <c r="O7246" s="1207"/>
      <c r="Q7246" s="1207"/>
    </row>
    <row r="7247" spans="3:17" s="700" customFormat="1" ht="70.5" hidden="1" customHeight="1">
      <c r="C7247" s="701"/>
      <c r="D7247" s="811"/>
      <c r="E7247" s="1276">
        <f>[11]building!Y7578</f>
        <v>0</v>
      </c>
      <c r="F7247" s="748">
        <f t="shared" si="352"/>
        <v>0</v>
      </c>
      <c r="G7247" s="1205"/>
      <c r="H7247" s="1055"/>
      <c r="I7247" s="1055"/>
      <c r="J7247" s="1055"/>
      <c r="K7247" s="1205"/>
      <c r="L7247" s="1055"/>
      <c r="M7247" s="1205"/>
      <c r="N7247" s="1054"/>
      <c r="O7247" s="1207"/>
      <c r="Q7247" s="1207"/>
    </row>
    <row r="7248" spans="3:17" s="700" customFormat="1" ht="70.5" hidden="1" customHeight="1">
      <c r="C7248" s="701"/>
      <c r="D7248" s="811"/>
      <c r="E7248" s="1276">
        <f>[11]building!Y7579</f>
        <v>0</v>
      </c>
      <c r="F7248" s="748">
        <f t="shared" si="352"/>
        <v>0</v>
      </c>
      <c r="G7248" s="1205"/>
      <c r="H7248" s="1055"/>
      <c r="I7248" s="1055"/>
      <c r="J7248" s="1055"/>
      <c r="K7248" s="1205"/>
      <c r="L7248" s="1055"/>
      <c r="M7248" s="1205"/>
      <c r="N7248" s="1054"/>
      <c r="O7248" s="1207"/>
      <c r="Q7248" s="1207"/>
    </row>
    <row r="7249" spans="3:17" s="700" customFormat="1" ht="70.5" hidden="1" customHeight="1">
      <c r="C7249" s="701"/>
      <c r="D7249" s="811"/>
      <c r="E7249" s="1276">
        <f>[11]building!Y7580</f>
        <v>0</v>
      </c>
      <c r="F7249" s="748">
        <f t="shared" si="352"/>
        <v>0</v>
      </c>
      <c r="G7249" s="1205"/>
      <c r="H7249" s="1055"/>
      <c r="I7249" s="1055"/>
      <c r="J7249" s="1055"/>
      <c r="K7249" s="1205"/>
      <c r="L7249" s="1055"/>
      <c r="M7249" s="1205"/>
      <c r="N7249" s="1054"/>
      <c r="O7249" s="1207"/>
      <c r="Q7249" s="1207"/>
    </row>
    <row r="7250" spans="3:17" s="700" customFormat="1" ht="70.5" hidden="1" customHeight="1">
      <c r="C7250" s="701"/>
      <c r="D7250" s="811"/>
      <c r="E7250" s="1276">
        <f>[11]building!Y7581</f>
        <v>0</v>
      </c>
      <c r="F7250" s="748">
        <f t="shared" si="352"/>
        <v>0</v>
      </c>
      <c r="G7250" s="1205"/>
      <c r="H7250" s="1055"/>
      <c r="I7250" s="1055"/>
      <c r="J7250" s="1055"/>
      <c r="K7250" s="1205"/>
      <c r="L7250" s="1055"/>
      <c r="M7250" s="1205"/>
      <c r="N7250" s="1054"/>
      <c r="O7250" s="1207"/>
      <c r="Q7250" s="1207"/>
    </row>
    <row r="7251" spans="3:17" s="700" customFormat="1" ht="70.5" hidden="1" customHeight="1">
      <c r="C7251" s="701"/>
      <c r="D7251" s="811"/>
      <c r="E7251" s="1276">
        <f>[11]building!Y7582</f>
        <v>0</v>
      </c>
      <c r="F7251" s="748">
        <f t="shared" si="352"/>
        <v>0</v>
      </c>
      <c r="G7251" s="1205"/>
      <c r="H7251" s="1055"/>
      <c r="I7251" s="1055"/>
      <c r="J7251" s="1055"/>
      <c r="K7251" s="1205"/>
      <c r="L7251" s="1055"/>
      <c r="M7251" s="1205"/>
      <c r="N7251" s="1054"/>
      <c r="O7251" s="1207"/>
      <c r="Q7251" s="1207"/>
    </row>
    <row r="7252" spans="3:17" s="700" customFormat="1" ht="70.5" hidden="1" customHeight="1">
      <c r="C7252" s="701"/>
      <c r="D7252" s="811"/>
      <c r="E7252" s="1276">
        <f>[11]building!Y7583</f>
        <v>0</v>
      </c>
      <c r="F7252" s="748">
        <f t="shared" si="352"/>
        <v>0</v>
      </c>
      <c r="G7252" s="1205"/>
      <c r="H7252" s="1055"/>
      <c r="I7252" s="1055"/>
      <c r="J7252" s="1055"/>
      <c r="K7252" s="1205"/>
      <c r="L7252" s="1055"/>
      <c r="M7252" s="1205"/>
      <c r="N7252" s="1054"/>
      <c r="O7252" s="1207"/>
      <c r="Q7252" s="1207"/>
    </row>
    <row r="7253" spans="3:17" s="700" customFormat="1" ht="70.5" hidden="1" customHeight="1">
      <c r="C7253" s="701"/>
      <c r="D7253" s="811"/>
      <c r="E7253" s="1276">
        <f>[11]building!Y7584</f>
        <v>0</v>
      </c>
      <c r="F7253" s="748">
        <f t="shared" si="352"/>
        <v>0</v>
      </c>
      <c r="G7253" s="1205"/>
      <c r="H7253" s="1055"/>
      <c r="I7253" s="1055"/>
      <c r="J7253" s="1055"/>
      <c r="K7253" s="1205"/>
      <c r="L7253" s="1055"/>
      <c r="M7253" s="1205"/>
      <c r="N7253" s="1054"/>
      <c r="O7253" s="1207"/>
      <c r="Q7253" s="1207"/>
    </row>
    <row r="7254" spans="3:17" s="700" customFormat="1" ht="70.5" hidden="1" customHeight="1">
      <c r="C7254" s="701"/>
      <c r="D7254" s="811"/>
      <c r="E7254" s="1276">
        <f>[11]building!Y7585</f>
        <v>0</v>
      </c>
      <c r="F7254" s="748">
        <f t="shared" si="352"/>
        <v>0</v>
      </c>
      <c r="G7254" s="1205"/>
      <c r="H7254" s="1055"/>
      <c r="I7254" s="1055"/>
      <c r="J7254" s="1055"/>
      <c r="K7254" s="1205"/>
      <c r="L7254" s="1055"/>
      <c r="M7254" s="1205"/>
      <c r="N7254" s="1054"/>
      <c r="O7254" s="1207"/>
      <c r="Q7254" s="1207"/>
    </row>
    <row r="7255" spans="3:17" s="700" customFormat="1" ht="70.5" hidden="1" customHeight="1">
      <c r="C7255" s="701"/>
      <c r="D7255" s="811"/>
      <c r="E7255" s="1276">
        <f>[11]building!Y7586</f>
        <v>0</v>
      </c>
      <c r="F7255" s="748">
        <f t="shared" si="352"/>
        <v>0</v>
      </c>
      <c r="G7255" s="1205"/>
      <c r="H7255" s="1055"/>
      <c r="I7255" s="1055"/>
      <c r="J7255" s="1055"/>
      <c r="K7255" s="1205"/>
      <c r="L7255" s="1055"/>
      <c r="M7255" s="1205"/>
      <c r="N7255" s="1054"/>
      <c r="O7255" s="1207"/>
      <c r="Q7255" s="1207"/>
    </row>
    <row r="7256" spans="3:17" s="700" customFormat="1" ht="70.5" hidden="1" customHeight="1">
      <c r="C7256" s="701"/>
      <c r="D7256" s="811"/>
      <c r="E7256" s="1276">
        <f>[11]building!Y7587</f>
        <v>0</v>
      </c>
      <c r="F7256" s="748">
        <f t="shared" si="352"/>
        <v>0</v>
      </c>
      <c r="G7256" s="1205"/>
      <c r="H7256" s="1055"/>
      <c r="I7256" s="1055"/>
      <c r="J7256" s="1055"/>
      <c r="K7256" s="1205"/>
      <c r="L7256" s="1055"/>
      <c r="M7256" s="1205"/>
      <c r="N7256" s="1054"/>
      <c r="O7256" s="1207"/>
      <c r="Q7256" s="1207"/>
    </row>
    <row r="7257" spans="3:17" s="700" customFormat="1" ht="70.5" hidden="1" customHeight="1">
      <c r="C7257" s="701"/>
      <c r="D7257" s="811"/>
      <c r="E7257" s="1276">
        <f>[11]building!Y7588</f>
        <v>0</v>
      </c>
      <c r="F7257" s="748">
        <f t="shared" si="352"/>
        <v>0</v>
      </c>
      <c r="G7257" s="1205"/>
      <c r="H7257" s="1055"/>
      <c r="I7257" s="1055"/>
      <c r="J7257" s="1055"/>
      <c r="K7257" s="1205"/>
      <c r="L7257" s="1055"/>
      <c r="M7257" s="1205"/>
      <c r="N7257" s="1054"/>
      <c r="O7257" s="1207"/>
      <c r="Q7257" s="1207"/>
    </row>
    <row r="7258" spans="3:17" s="700" customFormat="1" ht="70.5" hidden="1" customHeight="1">
      <c r="C7258" s="701"/>
      <c r="D7258" s="811"/>
      <c r="E7258" s="1276">
        <f>[11]building!Y7589</f>
        <v>0</v>
      </c>
      <c r="F7258" s="748">
        <f t="shared" si="352"/>
        <v>0</v>
      </c>
      <c r="G7258" s="1205"/>
      <c r="H7258" s="1055"/>
      <c r="I7258" s="1055"/>
      <c r="J7258" s="1055"/>
      <c r="K7258" s="1205"/>
      <c r="L7258" s="1055"/>
      <c r="M7258" s="1205"/>
      <c r="N7258" s="1054"/>
      <c r="O7258" s="1207"/>
      <c r="Q7258" s="1207"/>
    </row>
    <row r="7259" spans="3:17" s="700" customFormat="1" ht="70.5" hidden="1" customHeight="1">
      <c r="C7259" s="701"/>
      <c r="D7259" s="811"/>
      <c r="E7259" s="1276">
        <f>[11]building!Y7590</f>
        <v>0</v>
      </c>
      <c r="F7259" s="748">
        <f t="shared" si="352"/>
        <v>0</v>
      </c>
      <c r="G7259" s="1205"/>
      <c r="H7259" s="1055"/>
      <c r="I7259" s="1055"/>
      <c r="J7259" s="1055"/>
      <c r="K7259" s="1205"/>
      <c r="L7259" s="1055"/>
      <c r="M7259" s="1205"/>
      <c r="N7259" s="1054"/>
      <c r="O7259" s="1207"/>
      <c r="Q7259" s="1207"/>
    </row>
    <row r="7260" spans="3:17" s="700" customFormat="1" ht="70.5" hidden="1" customHeight="1">
      <c r="C7260" s="701"/>
      <c r="D7260" s="811"/>
      <c r="E7260" s="1276">
        <f>[11]building!Y7591</f>
        <v>0</v>
      </c>
      <c r="F7260" s="748">
        <f t="shared" si="352"/>
        <v>0</v>
      </c>
      <c r="G7260" s="1205"/>
      <c r="H7260" s="1055"/>
      <c r="I7260" s="1055"/>
      <c r="J7260" s="1055"/>
      <c r="K7260" s="1205"/>
      <c r="L7260" s="1055"/>
      <c r="M7260" s="1205"/>
      <c r="N7260" s="1054"/>
      <c r="O7260" s="1207"/>
      <c r="Q7260" s="1207"/>
    </row>
    <row r="7261" spans="3:17" s="700" customFormat="1" ht="70.5" hidden="1" customHeight="1">
      <c r="C7261" s="701"/>
      <c r="D7261" s="811"/>
      <c r="E7261" s="1276">
        <f>[11]building!Y7592</f>
        <v>0</v>
      </c>
      <c r="F7261" s="748">
        <f t="shared" si="352"/>
        <v>0</v>
      </c>
      <c r="G7261" s="1205"/>
      <c r="H7261" s="1055"/>
      <c r="I7261" s="1055"/>
      <c r="J7261" s="1055"/>
      <c r="K7261" s="1205"/>
      <c r="L7261" s="1055"/>
      <c r="M7261" s="1205"/>
      <c r="N7261" s="1054"/>
      <c r="O7261" s="1207"/>
      <c r="Q7261" s="1207"/>
    </row>
    <row r="7262" spans="3:17" s="700" customFormat="1" ht="70.5" hidden="1" customHeight="1">
      <c r="C7262" s="701"/>
      <c r="D7262" s="811"/>
      <c r="E7262" s="1276">
        <f>[11]building!Y7593</f>
        <v>0</v>
      </c>
      <c r="F7262" s="748">
        <f t="shared" si="352"/>
        <v>0</v>
      </c>
      <c r="G7262" s="1205"/>
      <c r="H7262" s="1055"/>
      <c r="I7262" s="1055"/>
      <c r="J7262" s="1055"/>
      <c r="K7262" s="1205"/>
      <c r="L7262" s="1055"/>
      <c r="M7262" s="1205"/>
      <c r="N7262" s="1054"/>
      <c r="O7262" s="1207"/>
      <c r="Q7262" s="1207"/>
    </row>
    <row r="7263" spans="3:17" s="700" customFormat="1" ht="70.5" hidden="1" customHeight="1">
      <c r="C7263" s="701"/>
      <c r="D7263" s="811"/>
      <c r="E7263" s="1276">
        <f>[11]building!Y7594</f>
        <v>0</v>
      </c>
      <c r="F7263" s="748">
        <f t="shared" si="352"/>
        <v>0</v>
      </c>
      <c r="G7263" s="1205"/>
      <c r="H7263" s="1055"/>
      <c r="I7263" s="1055"/>
      <c r="J7263" s="1055"/>
      <c r="K7263" s="1205"/>
      <c r="L7263" s="1055"/>
      <c r="M7263" s="1205"/>
      <c r="N7263" s="1054"/>
      <c r="O7263" s="1207"/>
      <c r="Q7263" s="1207"/>
    </row>
    <row r="7264" spans="3:17" s="700" customFormat="1" ht="70.5" hidden="1" customHeight="1">
      <c r="C7264" s="701"/>
      <c r="D7264" s="811"/>
      <c r="E7264" s="1276">
        <f>[11]building!Y7595</f>
        <v>0</v>
      </c>
      <c r="F7264" s="748">
        <f t="shared" si="352"/>
        <v>0</v>
      </c>
      <c r="G7264" s="1205"/>
      <c r="H7264" s="1055"/>
      <c r="I7264" s="1055"/>
      <c r="J7264" s="1055"/>
      <c r="K7264" s="1205"/>
      <c r="L7264" s="1055"/>
      <c r="M7264" s="1205"/>
      <c r="N7264" s="1054"/>
      <c r="O7264" s="1207"/>
      <c r="Q7264" s="1207"/>
    </row>
    <row r="7265" spans="3:17" s="700" customFormat="1" ht="70.5" hidden="1" customHeight="1">
      <c r="C7265" s="701"/>
      <c r="D7265" s="811"/>
      <c r="E7265" s="1276">
        <f>[11]building!Y7596</f>
        <v>0</v>
      </c>
      <c r="F7265" s="748">
        <f t="shared" si="352"/>
        <v>0</v>
      </c>
      <c r="G7265" s="1205"/>
      <c r="H7265" s="1055"/>
      <c r="I7265" s="1055"/>
      <c r="J7265" s="1055"/>
      <c r="K7265" s="1205"/>
      <c r="L7265" s="1055"/>
      <c r="M7265" s="1205"/>
      <c r="N7265" s="1054"/>
      <c r="O7265" s="1207"/>
      <c r="Q7265" s="1207"/>
    </row>
    <row r="7266" spans="3:17" s="700" customFormat="1" ht="70.5" hidden="1" customHeight="1">
      <c r="C7266" s="701"/>
      <c r="D7266" s="811"/>
      <c r="E7266" s="1276">
        <f>[11]building!Y7597</f>
        <v>0</v>
      </c>
      <c r="F7266" s="748">
        <f t="shared" si="352"/>
        <v>0</v>
      </c>
      <c r="G7266" s="1205"/>
      <c r="H7266" s="1055"/>
      <c r="I7266" s="1055"/>
      <c r="J7266" s="1055"/>
      <c r="K7266" s="1205"/>
      <c r="L7266" s="1055"/>
      <c r="M7266" s="1205"/>
      <c r="N7266" s="1054"/>
      <c r="O7266" s="1207"/>
      <c r="Q7266" s="1207"/>
    </row>
    <row r="7267" spans="3:17" s="700" customFormat="1" ht="70.5" hidden="1" customHeight="1">
      <c r="C7267" s="701"/>
      <c r="D7267" s="811"/>
      <c r="E7267" s="1276">
        <f>[11]building!Y7598</f>
        <v>0</v>
      </c>
      <c r="F7267" s="748">
        <f t="shared" si="352"/>
        <v>0</v>
      </c>
      <c r="G7267" s="1205"/>
      <c r="H7267" s="1055"/>
      <c r="I7267" s="1055"/>
      <c r="J7267" s="1055"/>
      <c r="K7267" s="1205"/>
      <c r="L7267" s="1055"/>
      <c r="M7267" s="1205"/>
      <c r="N7267" s="1054"/>
      <c r="O7267" s="1207"/>
      <c r="Q7267" s="1207"/>
    </row>
    <row r="7268" spans="3:17" s="700" customFormat="1" ht="70.5" hidden="1" customHeight="1">
      <c r="C7268" s="701"/>
      <c r="D7268" s="811"/>
      <c r="E7268" s="1276">
        <f>[11]building!Y7599</f>
        <v>0</v>
      </c>
      <c r="F7268" s="748">
        <f t="shared" si="352"/>
        <v>0</v>
      </c>
      <c r="G7268" s="1205"/>
      <c r="H7268" s="1055"/>
      <c r="I7268" s="1055"/>
      <c r="J7268" s="1055"/>
      <c r="K7268" s="1205"/>
      <c r="L7268" s="1055"/>
      <c r="M7268" s="1205"/>
      <c r="N7268" s="1054"/>
      <c r="O7268" s="1207"/>
      <c r="Q7268" s="1207"/>
    </row>
    <row r="7269" spans="3:17" s="700" customFormat="1" ht="70.5" hidden="1" customHeight="1">
      <c r="C7269" s="701"/>
      <c r="D7269" s="811"/>
      <c r="E7269" s="1276">
        <f>[11]building!Y7600</f>
        <v>0</v>
      </c>
      <c r="F7269" s="748">
        <f t="shared" si="352"/>
        <v>0</v>
      </c>
      <c r="G7269" s="1205"/>
      <c r="H7269" s="1055"/>
      <c r="I7269" s="1055"/>
      <c r="J7269" s="1055"/>
      <c r="K7269" s="1205"/>
      <c r="L7269" s="1055"/>
      <c r="M7269" s="1205"/>
      <c r="N7269" s="1054"/>
      <c r="O7269" s="1207"/>
      <c r="Q7269" s="1207"/>
    </row>
    <row r="7270" spans="3:17" s="700" customFormat="1" ht="70.5" hidden="1" customHeight="1">
      <c r="C7270" s="701"/>
      <c r="D7270" s="811"/>
      <c r="E7270" s="1276">
        <f>[11]building!Y7601</f>
        <v>0</v>
      </c>
      <c r="F7270" s="748">
        <f t="shared" si="352"/>
        <v>0</v>
      </c>
      <c r="G7270" s="1205"/>
      <c r="H7270" s="1055"/>
      <c r="I7270" s="1055"/>
      <c r="J7270" s="1055"/>
      <c r="K7270" s="1205"/>
      <c r="L7270" s="1055"/>
      <c r="M7270" s="1205"/>
      <c r="N7270" s="1054"/>
      <c r="O7270" s="1207"/>
      <c r="Q7270" s="1207"/>
    </row>
    <row r="7271" spans="3:17" s="700" customFormat="1" ht="70.5" hidden="1" customHeight="1">
      <c r="C7271" s="701"/>
      <c r="D7271" s="811"/>
      <c r="E7271" s="1276">
        <f>[11]building!Y7602</f>
        <v>0</v>
      </c>
      <c r="F7271" s="748">
        <f t="shared" si="352"/>
        <v>0</v>
      </c>
      <c r="G7271" s="1205"/>
      <c r="H7271" s="1055"/>
      <c r="I7271" s="1055"/>
      <c r="J7271" s="1055"/>
      <c r="K7271" s="1205"/>
      <c r="L7271" s="1055"/>
      <c r="M7271" s="1205"/>
      <c r="N7271" s="1054"/>
      <c r="O7271" s="1207"/>
      <c r="Q7271" s="1207"/>
    </row>
    <row r="7272" spans="3:17" s="700" customFormat="1" ht="70.5" hidden="1" customHeight="1">
      <c r="C7272" s="701"/>
      <c r="D7272" s="811"/>
      <c r="E7272" s="1276">
        <f>[11]building!Y7603</f>
        <v>0</v>
      </c>
      <c r="F7272" s="748">
        <f t="shared" si="352"/>
        <v>0</v>
      </c>
      <c r="G7272" s="1205"/>
      <c r="H7272" s="1055"/>
      <c r="I7272" s="1055"/>
      <c r="J7272" s="1055"/>
      <c r="K7272" s="1205"/>
      <c r="L7272" s="1055"/>
      <c r="M7272" s="1205"/>
      <c r="N7272" s="1054"/>
      <c r="O7272" s="1207"/>
      <c r="Q7272" s="1207"/>
    </row>
    <row r="7273" spans="3:17" s="700" customFormat="1" ht="70.5" hidden="1" customHeight="1">
      <c r="C7273" s="701"/>
      <c r="D7273" s="811"/>
      <c r="E7273" s="1276">
        <f>[11]building!Y7604</f>
        <v>0</v>
      </c>
      <c r="F7273" s="748">
        <f t="shared" si="352"/>
        <v>0</v>
      </c>
      <c r="G7273" s="1205"/>
      <c r="H7273" s="1055"/>
      <c r="I7273" s="1055"/>
      <c r="J7273" s="1055"/>
      <c r="K7273" s="1205"/>
      <c r="L7273" s="1055"/>
      <c r="M7273" s="1205"/>
      <c r="N7273" s="1054"/>
      <c r="O7273" s="1207"/>
      <c r="Q7273" s="1207"/>
    </row>
    <row r="7274" spans="3:17" s="700" customFormat="1" ht="70.5" hidden="1" customHeight="1">
      <c r="C7274" s="701"/>
      <c r="D7274" s="811"/>
      <c r="E7274" s="1276">
        <f>[11]building!Y7605</f>
        <v>0</v>
      </c>
      <c r="F7274" s="748">
        <f t="shared" si="352"/>
        <v>0</v>
      </c>
      <c r="G7274" s="1205"/>
      <c r="H7274" s="1055"/>
      <c r="I7274" s="1055"/>
      <c r="J7274" s="1055"/>
      <c r="K7274" s="1205"/>
      <c r="L7274" s="1055"/>
      <c r="M7274" s="1205"/>
      <c r="N7274" s="1054"/>
      <c r="O7274" s="1207"/>
      <c r="Q7274" s="1207"/>
    </row>
    <row r="7275" spans="3:17" s="700" customFormat="1" ht="70.5" hidden="1" customHeight="1">
      <c r="C7275" s="701"/>
      <c r="D7275" s="811"/>
      <c r="E7275" s="1276">
        <f>[11]building!Y7606</f>
        <v>0</v>
      </c>
      <c r="F7275" s="748">
        <f t="shared" si="352"/>
        <v>0</v>
      </c>
      <c r="G7275" s="1205"/>
      <c r="H7275" s="1055"/>
      <c r="I7275" s="1055"/>
      <c r="J7275" s="1055"/>
      <c r="K7275" s="1205"/>
      <c r="L7275" s="1055"/>
      <c r="M7275" s="1205"/>
      <c r="N7275" s="1054"/>
      <c r="O7275" s="1207"/>
      <c r="Q7275" s="1207"/>
    </row>
    <row r="7276" spans="3:17" s="700" customFormat="1" ht="70.5" hidden="1" customHeight="1">
      <c r="C7276" s="701"/>
      <c r="D7276" s="811"/>
      <c r="E7276" s="1276">
        <f>[11]building!Y7607</f>
        <v>0</v>
      </c>
      <c r="F7276" s="748">
        <f t="shared" si="352"/>
        <v>0</v>
      </c>
      <c r="G7276" s="1205"/>
      <c r="H7276" s="1055"/>
      <c r="I7276" s="1055"/>
      <c r="J7276" s="1055"/>
      <c r="K7276" s="1205"/>
      <c r="L7276" s="1055"/>
      <c r="M7276" s="1205"/>
      <c r="N7276" s="1054"/>
      <c r="O7276" s="1207"/>
      <c r="Q7276" s="1207"/>
    </row>
    <row r="7277" spans="3:17" s="700" customFormat="1" ht="70.5" hidden="1" customHeight="1">
      <c r="C7277" s="701"/>
      <c r="D7277" s="811"/>
      <c r="E7277" s="1276">
        <f>[11]building!Y7608</f>
        <v>0</v>
      </c>
      <c r="F7277" s="748">
        <f t="shared" si="352"/>
        <v>0</v>
      </c>
      <c r="G7277" s="1205"/>
      <c r="H7277" s="1055"/>
      <c r="I7277" s="1055"/>
      <c r="J7277" s="1055"/>
      <c r="K7277" s="1205"/>
      <c r="L7277" s="1055"/>
      <c r="M7277" s="1205"/>
      <c r="N7277" s="1054"/>
      <c r="O7277" s="1207"/>
      <c r="Q7277" s="1207"/>
    </row>
    <row r="7278" spans="3:17" s="700" customFormat="1" ht="70.5" hidden="1" customHeight="1">
      <c r="C7278" s="701"/>
      <c r="D7278" s="811"/>
      <c r="E7278" s="1276">
        <f>[11]building!Y7609</f>
        <v>0</v>
      </c>
      <c r="F7278" s="748">
        <f t="shared" si="352"/>
        <v>0</v>
      </c>
      <c r="G7278" s="1205"/>
      <c r="H7278" s="1055"/>
      <c r="I7278" s="1055"/>
      <c r="J7278" s="1055"/>
      <c r="K7278" s="1205"/>
      <c r="L7278" s="1055"/>
      <c r="M7278" s="1205"/>
      <c r="N7278" s="1054"/>
      <c r="O7278" s="1207"/>
      <c r="Q7278" s="1207"/>
    </row>
    <row r="7279" spans="3:17" s="700" customFormat="1" ht="70.5" hidden="1" customHeight="1">
      <c r="C7279" s="701"/>
      <c r="D7279" s="811"/>
      <c r="E7279" s="1276">
        <f>[11]building!Y7610</f>
        <v>0</v>
      </c>
      <c r="F7279" s="748">
        <f t="shared" si="352"/>
        <v>0</v>
      </c>
      <c r="G7279" s="1205"/>
      <c r="H7279" s="1055"/>
      <c r="I7279" s="1055"/>
      <c r="J7279" s="1055"/>
      <c r="K7279" s="1205"/>
      <c r="L7279" s="1055"/>
      <c r="M7279" s="1205"/>
      <c r="N7279" s="1054"/>
      <c r="O7279" s="1207"/>
      <c r="Q7279" s="1207"/>
    </row>
    <row r="7280" spans="3:17" s="700" customFormat="1" ht="70.5" hidden="1" customHeight="1">
      <c r="C7280" s="701"/>
      <c r="D7280" s="811"/>
      <c r="E7280" s="1276">
        <f>[11]building!Y7611</f>
        <v>0</v>
      </c>
      <c r="F7280" s="748">
        <f t="shared" si="352"/>
        <v>0</v>
      </c>
      <c r="G7280" s="1205"/>
      <c r="H7280" s="1055"/>
      <c r="I7280" s="1055"/>
      <c r="J7280" s="1055"/>
      <c r="K7280" s="1205"/>
      <c r="L7280" s="1055"/>
      <c r="M7280" s="1205"/>
      <c r="N7280" s="1054"/>
      <c r="O7280" s="1207"/>
      <c r="Q7280" s="1207"/>
    </row>
    <row r="7281" spans="3:17" s="700" customFormat="1" ht="70.5" hidden="1" customHeight="1">
      <c r="C7281" s="701"/>
      <c r="D7281" s="811"/>
      <c r="E7281" s="1276">
        <f>[11]building!Y7612</f>
        <v>0</v>
      </c>
      <c r="F7281" s="748">
        <f t="shared" si="352"/>
        <v>0</v>
      </c>
      <c r="G7281" s="1205"/>
      <c r="H7281" s="1055"/>
      <c r="I7281" s="1055"/>
      <c r="J7281" s="1055"/>
      <c r="K7281" s="1205"/>
      <c r="L7281" s="1055"/>
      <c r="M7281" s="1205"/>
      <c r="N7281" s="1054"/>
      <c r="O7281" s="1207"/>
      <c r="Q7281" s="1207"/>
    </row>
    <row r="7282" spans="3:17" s="700" customFormat="1" ht="70.5" hidden="1" customHeight="1">
      <c r="C7282" s="701"/>
      <c r="D7282" s="811"/>
      <c r="E7282" s="1276">
        <f>[11]building!Y7613</f>
        <v>0</v>
      </c>
      <c r="F7282" s="748">
        <f t="shared" si="352"/>
        <v>0</v>
      </c>
      <c r="G7282" s="1205"/>
      <c r="H7282" s="1055"/>
      <c r="I7282" s="1055"/>
      <c r="J7282" s="1055"/>
      <c r="K7282" s="1205"/>
      <c r="L7282" s="1055"/>
      <c r="M7282" s="1205"/>
      <c r="N7282" s="1054"/>
      <c r="O7282" s="1207"/>
      <c r="Q7282" s="1207"/>
    </row>
    <row r="7283" spans="3:17" s="700" customFormat="1" ht="70.5" hidden="1" customHeight="1">
      <c r="C7283" s="701"/>
      <c r="D7283" s="811"/>
      <c r="E7283" s="1276">
        <f>[11]building!Y7614</f>
        <v>0</v>
      </c>
      <c r="F7283" s="748">
        <f t="shared" si="352"/>
        <v>0</v>
      </c>
      <c r="G7283" s="1205"/>
      <c r="H7283" s="1055"/>
      <c r="I7283" s="1055"/>
      <c r="J7283" s="1055"/>
      <c r="K7283" s="1205"/>
      <c r="L7283" s="1055"/>
      <c r="M7283" s="1205"/>
      <c r="N7283" s="1054"/>
      <c r="O7283" s="1207"/>
      <c r="Q7283" s="1207"/>
    </row>
    <row r="7284" spans="3:17" s="700" customFormat="1" ht="70.5" hidden="1" customHeight="1">
      <c r="C7284" s="701"/>
      <c r="D7284" s="811"/>
      <c r="E7284" s="1276">
        <f>[11]building!Y7615</f>
        <v>0</v>
      </c>
      <c r="F7284" s="748">
        <f t="shared" si="352"/>
        <v>0</v>
      </c>
      <c r="G7284" s="1205"/>
      <c r="H7284" s="1055"/>
      <c r="I7284" s="1055"/>
      <c r="J7284" s="1055"/>
      <c r="K7284" s="1205"/>
      <c r="L7284" s="1055"/>
      <c r="M7284" s="1205"/>
      <c r="N7284" s="1054"/>
      <c r="O7284" s="1207"/>
      <c r="Q7284" s="1207"/>
    </row>
    <row r="7285" spans="3:17" s="700" customFormat="1" ht="70.5" hidden="1" customHeight="1">
      <c r="C7285" s="701"/>
      <c r="D7285" s="811"/>
      <c r="E7285" s="1276">
        <f>[11]building!Y7616</f>
        <v>0</v>
      </c>
      <c r="F7285" s="748">
        <f t="shared" si="352"/>
        <v>0</v>
      </c>
      <c r="G7285" s="1205"/>
      <c r="H7285" s="1055"/>
      <c r="I7285" s="1055"/>
      <c r="J7285" s="1055"/>
      <c r="K7285" s="1205"/>
      <c r="L7285" s="1055"/>
      <c r="M7285" s="1205"/>
      <c r="N7285" s="1054"/>
      <c r="O7285" s="1207"/>
      <c r="Q7285" s="1207"/>
    </row>
    <row r="7286" spans="3:17" s="700" customFormat="1" ht="70.5" hidden="1" customHeight="1">
      <c r="C7286" s="701"/>
      <c r="D7286" s="811"/>
      <c r="E7286" s="1276">
        <f>[11]building!Y7617</f>
        <v>0</v>
      </c>
      <c r="F7286" s="748">
        <f t="shared" si="352"/>
        <v>0</v>
      </c>
      <c r="G7286" s="1205"/>
      <c r="H7286" s="1055"/>
      <c r="I7286" s="1055"/>
      <c r="J7286" s="1055"/>
      <c r="K7286" s="1205"/>
      <c r="L7286" s="1055"/>
      <c r="M7286" s="1205"/>
      <c r="N7286" s="1054"/>
      <c r="O7286" s="1207"/>
      <c r="Q7286" s="1207"/>
    </row>
    <row r="7287" spans="3:17" s="700" customFormat="1" ht="70.5" hidden="1" customHeight="1">
      <c r="C7287" s="701"/>
      <c r="D7287" s="811"/>
      <c r="E7287" s="1276">
        <f>[11]building!Y7618</f>
        <v>0</v>
      </c>
      <c r="F7287" s="748">
        <f t="shared" si="352"/>
        <v>0</v>
      </c>
      <c r="G7287" s="1205"/>
      <c r="H7287" s="1055"/>
      <c r="I7287" s="1055"/>
      <c r="J7287" s="1055"/>
      <c r="K7287" s="1205"/>
      <c r="L7287" s="1055"/>
      <c r="M7287" s="1205"/>
      <c r="N7287" s="1054"/>
      <c r="O7287" s="1207"/>
      <c r="Q7287" s="1207"/>
    </row>
    <row r="7288" spans="3:17" s="700" customFormat="1" ht="70.5" hidden="1" customHeight="1">
      <c r="C7288" s="701"/>
      <c r="D7288" s="811"/>
      <c r="E7288" s="1276">
        <f>[11]building!Y7619</f>
        <v>0</v>
      </c>
      <c r="F7288" s="748">
        <f t="shared" si="352"/>
        <v>0</v>
      </c>
      <c r="G7288" s="1205"/>
      <c r="H7288" s="1055"/>
      <c r="I7288" s="1055"/>
      <c r="J7288" s="1055"/>
      <c r="K7288" s="1205"/>
      <c r="L7288" s="1055"/>
      <c r="M7288" s="1205"/>
      <c r="N7288" s="1054"/>
      <c r="O7288" s="1207"/>
      <c r="Q7288" s="1207"/>
    </row>
    <row r="7289" spans="3:17" s="700" customFormat="1" ht="70.5" hidden="1" customHeight="1">
      <c r="C7289" s="701"/>
      <c r="D7289" s="811"/>
      <c r="E7289" s="1276">
        <f>[11]building!Y7620</f>
        <v>0</v>
      </c>
      <c r="F7289" s="748">
        <f t="shared" si="352"/>
        <v>0</v>
      </c>
      <c r="G7289" s="1205"/>
      <c r="H7289" s="1055"/>
      <c r="I7289" s="1055"/>
      <c r="J7289" s="1055"/>
      <c r="K7289" s="1205"/>
      <c r="L7289" s="1055"/>
      <c r="M7289" s="1205"/>
      <c r="N7289" s="1054"/>
      <c r="O7289" s="1207"/>
      <c r="Q7289" s="1207"/>
    </row>
    <row r="7290" spans="3:17" s="700" customFormat="1" ht="70.5" hidden="1" customHeight="1">
      <c r="C7290" s="701"/>
      <c r="D7290" s="811"/>
      <c r="E7290" s="1276">
        <f>[11]building!Y7621</f>
        <v>0</v>
      </c>
      <c r="F7290" s="748">
        <f t="shared" si="352"/>
        <v>0</v>
      </c>
      <c r="G7290" s="1205"/>
      <c r="H7290" s="1055"/>
      <c r="I7290" s="1055"/>
      <c r="J7290" s="1055"/>
      <c r="K7290" s="1205"/>
      <c r="L7290" s="1055"/>
      <c r="M7290" s="1205"/>
      <c r="N7290" s="1054"/>
      <c r="O7290" s="1207"/>
      <c r="Q7290" s="1207"/>
    </row>
    <row r="7291" spans="3:17" s="700" customFormat="1" ht="70.5" hidden="1" customHeight="1">
      <c r="C7291" s="701"/>
      <c r="D7291" s="811"/>
      <c r="E7291" s="1276">
        <f>[11]building!Y7622</f>
        <v>0</v>
      </c>
      <c r="F7291" s="748">
        <f t="shared" si="352"/>
        <v>0</v>
      </c>
      <c r="G7291" s="1205"/>
      <c r="H7291" s="1055"/>
      <c r="I7291" s="1055"/>
      <c r="J7291" s="1055"/>
      <c r="K7291" s="1205"/>
      <c r="L7291" s="1055"/>
      <c r="M7291" s="1205"/>
      <c r="N7291" s="1054"/>
      <c r="O7291" s="1207"/>
      <c r="Q7291" s="1207"/>
    </row>
    <row r="7292" spans="3:17" s="700" customFormat="1" ht="70.5" hidden="1" customHeight="1">
      <c r="C7292" s="701"/>
      <c r="D7292" s="811"/>
      <c r="E7292" s="1276">
        <f>[11]building!Y7623</f>
        <v>0</v>
      </c>
      <c r="F7292" s="748">
        <f t="shared" si="352"/>
        <v>0</v>
      </c>
      <c r="G7292" s="1205"/>
      <c r="H7292" s="1055"/>
      <c r="I7292" s="1055"/>
      <c r="J7292" s="1055"/>
      <c r="K7292" s="1205"/>
      <c r="L7292" s="1055"/>
      <c r="M7292" s="1205"/>
      <c r="N7292" s="1054"/>
      <c r="O7292" s="1207"/>
      <c r="Q7292" s="1207"/>
    </row>
    <row r="7293" spans="3:17" s="700" customFormat="1" ht="70.5" hidden="1" customHeight="1">
      <c r="C7293" s="701"/>
      <c r="D7293" s="811"/>
      <c r="E7293" s="1276">
        <f>[11]building!Y7624</f>
        <v>0</v>
      </c>
      <c r="F7293" s="748">
        <f t="shared" si="352"/>
        <v>0</v>
      </c>
      <c r="G7293" s="1205"/>
      <c r="H7293" s="1055"/>
      <c r="I7293" s="1055"/>
      <c r="J7293" s="1055"/>
      <c r="K7293" s="1205"/>
      <c r="L7293" s="1055"/>
      <c r="M7293" s="1205"/>
      <c r="N7293" s="1054"/>
      <c r="O7293" s="1207"/>
      <c r="Q7293" s="1207"/>
    </row>
    <row r="7294" spans="3:17" s="700" customFormat="1" ht="70.5" hidden="1" customHeight="1">
      <c r="C7294" s="701"/>
      <c r="D7294" s="811"/>
      <c r="E7294" s="1276">
        <f>[11]building!Y7625</f>
        <v>0</v>
      </c>
      <c r="F7294" s="748">
        <f t="shared" si="352"/>
        <v>0</v>
      </c>
      <c r="G7294" s="1205"/>
      <c r="H7294" s="1055"/>
      <c r="I7294" s="1055"/>
      <c r="J7294" s="1055"/>
      <c r="K7294" s="1205"/>
      <c r="L7294" s="1055"/>
      <c r="M7294" s="1205"/>
      <c r="N7294" s="1054"/>
      <c r="O7294" s="1207"/>
      <c r="Q7294" s="1207"/>
    </row>
    <row r="7295" spans="3:17" s="700" customFormat="1" ht="70.5" hidden="1" customHeight="1">
      <c r="C7295" s="701"/>
      <c r="D7295" s="811"/>
      <c r="E7295" s="1276">
        <f>[11]building!Y7626</f>
        <v>0</v>
      </c>
      <c r="F7295" s="748">
        <f t="shared" si="352"/>
        <v>0</v>
      </c>
      <c r="G7295" s="1205"/>
      <c r="H7295" s="1055"/>
      <c r="I7295" s="1055"/>
      <c r="J7295" s="1055"/>
      <c r="K7295" s="1205"/>
      <c r="L7295" s="1055"/>
      <c r="M7295" s="1205"/>
      <c r="N7295" s="1054"/>
      <c r="O7295" s="1207"/>
      <c r="Q7295" s="1207"/>
    </row>
    <row r="7296" spans="3:17" s="700" customFormat="1" ht="70.5" hidden="1" customHeight="1">
      <c r="C7296" s="701"/>
      <c r="D7296" s="811"/>
      <c r="E7296" s="1276">
        <f>[11]building!Y7627</f>
        <v>0</v>
      </c>
      <c r="F7296" s="748">
        <f t="shared" ref="F7296:F7359" si="353">E7296*C7296</f>
        <v>0</v>
      </c>
      <c r="G7296" s="1205"/>
      <c r="H7296" s="1055"/>
      <c r="I7296" s="1055"/>
      <c r="J7296" s="1055"/>
      <c r="K7296" s="1205"/>
      <c r="L7296" s="1055"/>
      <c r="M7296" s="1205"/>
      <c r="N7296" s="1054"/>
      <c r="O7296" s="1207"/>
      <c r="Q7296" s="1207"/>
    </row>
    <row r="7297" spans="3:17" s="700" customFormat="1" ht="70.5" hidden="1" customHeight="1">
      <c r="C7297" s="701"/>
      <c r="D7297" s="811"/>
      <c r="E7297" s="1276">
        <f>[11]building!Y7628</f>
        <v>0</v>
      </c>
      <c r="F7297" s="748">
        <f t="shared" si="353"/>
        <v>0</v>
      </c>
      <c r="G7297" s="1205"/>
      <c r="H7297" s="1055"/>
      <c r="I7297" s="1055"/>
      <c r="J7297" s="1055"/>
      <c r="K7297" s="1205"/>
      <c r="L7297" s="1055"/>
      <c r="M7297" s="1205"/>
      <c r="N7297" s="1054"/>
      <c r="O7297" s="1207"/>
      <c r="Q7297" s="1207"/>
    </row>
    <row r="7298" spans="3:17" s="700" customFormat="1" ht="70.5" hidden="1" customHeight="1">
      <c r="C7298" s="701"/>
      <c r="D7298" s="811"/>
      <c r="E7298" s="1276">
        <f>[11]building!Y7629</f>
        <v>0</v>
      </c>
      <c r="F7298" s="748">
        <f t="shared" si="353"/>
        <v>0</v>
      </c>
      <c r="G7298" s="1205"/>
      <c r="H7298" s="1055"/>
      <c r="I7298" s="1055"/>
      <c r="J7298" s="1055"/>
      <c r="K7298" s="1205"/>
      <c r="L7298" s="1055"/>
      <c r="M7298" s="1205"/>
      <c r="N7298" s="1054"/>
      <c r="O7298" s="1207"/>
      <c r="Q7298" s="1207"/>
    </row>
    <row r="7299" spans="3:17" s="700" customFormat="1" ht="70.5" hidden="1" customHeight="1">
      <c r="C7299" s="701"/>
      <c r="D7299" s="811"/>
      <c r="E7299" s="1276">
        <f>[11]building!Y7630</f>
        <v>0</v>
      </c>
      <c r="F7299" s="748">
        <f t="shared" si="353"/>
        <v>0</v>
      </c>
      <c r="G7299" s="1205"/>
      <c r="H7299" s="1055"/>
      <c r="I7299" s="1055"/>
      <c r="J7299" s="1055"/>
      <c r="K7299" s="1205"/>
      <c r="L7299" s="1055"/>
      <c r="M7299" s="1205"/>
      <c r="N7299" s="1054"/>
      <c r="O7299" s="1207"/>
      <c r="Q7299" s="1207"/>
    </row>
    <row r="7300" spans="3:17" s="700" customFormat="1" ht="70.5" hidden="1" customHeight="1">
      <c r="C7300" s="701"/>
      <c r="D7300" s="811"/>
      <c r="E7300" s="1276">
        <f>[11]building!Y7631</f>
        <v>0</v>
      </c>
      <c r="F7300" s="748">
        <f t="shared" si="353"/>
        <v>0</v>
      </c>
      <c r="G7300" s="1205"/>
      <c r="H7300" s="1055"/>
      <c r="I7300" s="1055"/>
      <c r="J7300" s="1055"/>
      <c r="K7300" s="1205"/>
      <c r="L7300" s="1055"/>
      <c r="M7300" s="1205"/>
      <c r="N7300" s="1054"/>
      <c r="O7300" s="1207"/>
      <c r="Q7300" s="1207"/>
    </row>
    <row r="7301" spans="3:17" s="700" customFormat="1" ht="70.5" hidden="1" customHeight="1">
      <c r="C7301" s="701"/>
      <c r="D7301" s="811"/>
      <c r="E7301" s="1276">
        <f>[11]building!Y7632</f>
        <v>0</v>
      </c>
      <c r="F7301" s="748">
        <f t="shared" si="353"/>
        <v>0</v>
      </c>
      <c r="G7301" s="1205"/>
      <c r="H7301" s="1055"/>
      <c r="I7301" s="1055"/>
      <c r="J7301" s="1055"/>
      <c r="K7301" s="1205"/>
      <c r="L7301" s="1055"/>
      <c r="M7301" s="1205"/>
      <c r="N7301" s="1054"/>
      <c r="O7301" s="1207"/>
      <c r="Q7301" s="1207"/>
    </row>
    <row r="7302" spans="3:17" s="700" customFormat="1" ht="70.5" hidden="1" customHeight="1">
      <c r="C7302" s="701"/>
      <c r="D7302" s="811"/>
      <c r="E7302" s="1276">
        <f>[11]building!Y7633</f>
        <v>0</v>
      </c>
      <c r="F7302" s="748">
        <f t="shared" si="353"/>
        <v>0</v>
      </c>
      <c r="G7302" s="1205"/>
      <c r="H7302" s="1055"/>
      <c r="I7302" s="1055"/>
      <c r="J7302" s="1055"/>
      <c r="K7302" s="1205"/>
      <c r="L7302" s="1055"/>
      <c r="M7302" s="1205"/>
      <c r="N7302" s="1054"/>
      <c r="O7302" s="1207"/>
      <c r="Q7302" s="1207"/>
    </row>
    <row r="7303" spans="3:17" s="700" customFormat="1" ht="70.5" hidden="1" customHeight="1">
      <c r="C7303" s="701"/>
      <c r="D7303" s="811"/>
      <c r="E7303" s="1276">
        <f>[11]building!Y7634</f>
        <v>0</v>
      </c>
      <c r="F7303" s="748">
        <f t="shared" si="353"/>
        <v>0</v>
      </c>
      <c r="G7303" s="1205"/>
      <c r="H7303" s="1055"/>
      <c r="I7303" s="1055"/>
      <c r="J7303" s="1055"/>
      <c r="K7303" s="1205"/>
      <c r="L7303" s="1055"/>
      <c r="M7303" s="1205"/>
      <c r="N7303" s="1054"/>
      <c r="O7303" s="1207"/>
      <c r="Q7303" s="1207"/>
    </row>
    <row r="7304" spans="3:17" s="700" customFormat="1" ht="70.5" hidden="1" customHeight="1">
      <c r="C7304" s="701"/>
      <c r="D7304" s="811"/>
      <c r="E7304" s="1276">
        <f>[11]building!Y7635</f>
        <v>0</v>
      </c>
      <c r="F7304" s="748">
        <f t="shared" si="353"/>
        <v>0</v>
      </c>
      <c r="G7304" s="1205"/>
      <c r="H7304" s="1055"/>
      <c r="I7304" s="1055"/>
      <c r="J7304" s="1055"/>
      <c r="K7304" s="1205"/>
      <c r="L7304" s="1055"/>
      <c r="M7304" s="1205"/>
      <c r="N7304" s="1054"/>
      <c r="O7304" s="1207"/>
      <c r="Q7304" s="1207"/>
    </row>
    <row r="7305" spans="3:17" s="700" customFormat="1" ht="70.5" hidden="1" customHeight="1">
      <c r="C7305" s="701"/>
      <c r="D7305" s="811"/>
      <c r="E7305" s="1276">
        <f>[11]building!Y7636</f>
        <v>0</v>
      </c>
      <c r="F7305" s="748">
        <f t="shared" si="353"/>
        <v>0</v>
      </c>
      <c r="G7305" s="1205"/>
      <c r="H7305" s="1055"/>
      <c r="I7305" s="1055"/>
      <c r="J7305" s="1055"/>
      <c r="K7305" s="1205"/>
      <c r="L7305" s="1055"/>
      <c r="M7305" s="1205"/>
      <c r="N7305" s="1054"/>
      <c r="O7305" s="1207"/>
      <c r="Q7305" s="1207"/>
    </row>
    <row r="7306" spans="3:17" s="700" customFormat="1" ht="70.5" hidden="1" customHeight="1">
      <c r="C7306" s="701"/>
      <c r="D7306" s="811"/>
      <c r="E7306" s="1276">
        <f>[11]building!Y7637</f>
        <v>0</v>
      </c>
      <c r="F7306" s="748">
        <f t="shared" si="353"/>
        <v>0</v>
      </c>
      <c r="G7306" s="1205"/>
      <c r="H7306" s="1055"/>
      <c r="I7306" s="1055"/>
      <c r="J7306" s="1055"/>
      <c r="K7306" s="1205"/>
      <c r="L7306" s="1055"/>
      <c r="M7306" s="1205"/>
      <c r="N7306" s="1054"/>
      <c r="O7306" s="1207"/>
      <c r="Q7306" s="1207"/>
    </row>
    <row r="7307" spans="3:17" s="700" customFormat="1" ht="70.5" hidden="1" customHeight="1">
      <c r="C7307" s="701"/>
      <c r="D7307" s="811"/>
      <c r="E7307" s="1276">
        <f>[11]building!Y7638</f>
        <v>0</v>
      </c>
      <c r="F7307" s="748">
        <f t="shared" si="353"/>
        <v>0</v>
      </c>
      <c r="G7307" s="1205"/>
      <c r="H7307" s="1055"/>
      <c r="I7307" s="1055"/>
      <c r="J7307" s="1055"/>
      <c r="K7307" s="1205"/>
      <c r="L7307" s="1055"/>
      <c r="M7307" s="1205"/>
      <c r="N7307" s="1054"/>
      <c r="O7307" s="1207"/>
      <c r="Q7307" s="1207"/>
    </row>
    <row r="7308" spans="3:17" s="700" customFormat="1" ht="70.5" hidden="1" customHeight="1">
      <c r="C7308" s="701"/>
      <c r="D7308" s="811"/>
      <c r="E7308" s="1276">
        <f>[11]building!Y7639</f>
        <v>0</v>
      </c>
      <c r="F7308" s="748">
        <f t="shared" si="353"/>
        <v>0</v>
      </c>
      <c r="G7308" s="1205"/>
      <c r="H7308" s="1055"/>
      <c r="I7308" s="1055"/>
      <c r="J7308" s="1055"/>
      <c r="K7308" s="1205"/>
      <c r="L7308" s="1055"/>
      <c r="M7308" s="1205"/>
      <c r="N7308" s="1054"/>
      <c r="O7308" s="1207"/>
      <c r="Q7308" s="1207"/>
    </row>
    <row r="7309" spans="3:17" s="700" customFormat="1" ht="70.5" hidden="1" customHeight="1">
      <c r="C7309" s="701"/>
      <c r="D7309" s="811"/>
      <c r="E7309" s="1276">
        <f>[11]building!Y7640</f>
        <v>0</v>
      </c>
      <c r="F7309" s="748">
        <f t="shared" si="353"/>
        <v>0</v>
      </c>
      <c r="G7309" s="1205"/>
      <c r="H7309" s="1055"/>
      <c r="I7309" s="1055"/>
      <c r="J7309" s="1055"/>
      <c r="K7309" s="1205"/>
      <c r="L7309" s="1055"/>
      <c r="M7309" s="1205"/>
      <c r="N7309" s="1054"/>
      <c r="O7309" s="1207"/>
      <c r="Q7309" s="1207"/>
    </row>
    <row r="7310" spans="3:17" s="700" customFormat="1" ht="70.5" hidden="1" customHeight="1">
      <c r="C7310" s="701"/>
      <c r="D7310" s="811"/>
      <c r="E7310" s="1276">
        <f>[11]building!Y7641</f>
        <v>0</v>
      </c>
      <c r="F7310" s="748">
        <f t="shared" si="353"/>
        <v>0</v>
      </c>
      <c r="G7310" s="1205"/>
      <c r="H7310" s="1055"/>
      <c r="I7310" s="1055"/>
      <c r="J7310" s="1055"/>
      <c r="K7310" s="1205"/>
      <c r="L7310" s="1055"/>
      <c r="M7310" s="1205"/>
      <c r="N7310" s="1054"/>
      <c r="O7310" s="1207"/>
      <c r="Q7310" s="1207"/>
    </row>
    <row r="7311" spans="3:17" s="700" customFormat="1" ht="70.5" hidden="1" customHeight="1">
      <c r="C7311" s="701"/>
      <c r="D7311" s="811"/>
      <c r="E7311" s="1276">
        <f>[11]building!Y7642</f>
        <v>0</v>
      </c>
      <c r="F7311" s="748">
        <f t="shared" si="353"/>
        <v>0</v>
      </c>
      <c r="G7311" s="1205"/>
      <c r="H7311" s="1055"/>
      <c r="I7311" s="1055"/>
      <c r="J7311" s="1055"/>
      <c r="K7311" s="1205"/>
      <c r="L7311" s="1055"/>
      <c r="M7311" s="1205"/>
      <c r="N7311" s="1054"/>
      <c r="O7311" s="1207"/>
      <c r="Q7311" s="1207"/>
    </row>
    <row r="7312" spans="3:17" s="700" customFormat="1" ht="70.5" hidden="1" customHeight="1">
      <c r="C7312" s="701"/>
      <c r="D7312" s="811"/>
      <c r="E7312" s="1276">
        <f>[11]building!Y7643</f>
        <v>0</v>
      </c>
      <c r="F7312" s="748">
        <f t="shared" si="353"/>
        <v>0</v>
      </c>
      <c r="G7312" s="1205"/>
      <c r="H7312" s="1055"/>
      <c r="I7312" s="1055"/>
      <c r="J7312" s="1055"/>
      <c r="K7312" s="1205"/>
      <c r="L7312" s="1055"/>
      <c r="M7312" s="1205"/>
      <c r="N7312" s="1054"/>
      <c r="O7312" s="1207"/>
      <c r="Q7312" s="1207"/>
    </row>
    <row r="7313" spans="3:17" s="700" customFormat="1" ht="70.5" hidden="1" customHeight="1">
      <c r="C7313" s="701"/>
      <c r="D7313" s="811"/>
      <c r="E7313" s="1276">
        <f>[11]building!Y7644</f>
        <v>0</v>
      </c>
      <c r="F7313" s="748">
        <f t="shared" si="353"/>
        <v>0</v>
      </c>
      <c r="G7313" s="1205"/>
      <c r="H7313" s="1055"/>
      <c r="I7313" s="1055"/>
      <c r="J7313" s="1055"/>
      <c r="K7313" s="1205"/>
      <c r="L7313" s="1055"/>
      <c r="M7313" s="1205"/>
      <c r="N7313" s="1054"/>
      <c r="O7313" s="1207"/>
      <c r="Q7313" s="1207"/>
    </row>
    <row r="7314" spans="3:17" s="700" customFormat="1" ht="70.5" hidden="1" customHeight="1">
      <c r="C7314" s="701"/>
      <c r="D7314" s="811"/>
      <c r="E7314" s="1276">
        <f>[11]building!Y7645</f>
        <v>0</v>
      </c>
      <c r="F7314" s="748">
        <f t="shared" si="353"/>
        <v>0</v>
      </c>
      <c r="G7314" s="1205"/>
      <c r="H7314" s="1055"/>
      <c r="I7314" s="1055"/>
      <c r="J7314" s="1055"/>
      <c r="K7314" s="1205"/>
      <c r="L7314" s="1055"/>
      <c r="M7314" s="1205"/>
      <c r="N7314" s="1054"/>
      <c r="O7314" s="1207"/>
      <c r="Q7314" s="1207"/>
    </row>
    <row r="7315" spans="3:17" s="700" customFormat="1" ht="70.5" hidden="1" customHeight="1">
      <c r="C7315" s="701"/>
      <c r="D7315" s="811"/>
      <c r="E7315" s="1276">
        <f>[11]building!Y7646</f>
        <v>0</v>
      </c>
      <c r="F7315" s="748">
        <f t="shared" si="353"/>
        <v>0</v>
      </c>
      <c r="G7315" s="1205"/>
      <c r="H7315" s="1055"/>
      <c r="I7315" s="1055"/>
      <c r="J7315" s="1055"/>
      <c r="K7315" s="1205"/>
      <c r="L7315" s="1055"/>
      <c r="M7315" s="1205"/>
      <c r="N7315" s="1054"/>
      <c r="O7315" s="1207"/>
      <c r="Q7315" s="1207"/>
    </row>
    <row r="7316" spans="3:17" s="700" customFormat="1" ht="70.5" hidden="1" customHeight="1">
      <c r="C7316" s="701"/>
      <c r="D7316" s="811"/>
      <c r="E7316" s="1276">
        <f>[11]building!Y7647</f>
        <v>0</v>
      </c>
      <c r="F7316" s="748">
        <f t="shared" si="353"/>
        <v>0</v>
      </c>
      <c r="G7316" s="1205"/>
      <c r="H7316" s="1055"/>
      <c r="I7316" s="1055"/>
      <c r="J7316" s="1055"/>
      <c r="K7316" s="1205"/>
      <c r="L7316" s="1055"/>
      <c r="M7316" s="1205"/>
      <c r="N7316" s="1054"/>
      <c r="O7316" s="1207"/>
      <c r="Q7316" s="1207"/>
    </row>
    <row r="7317" spans="3:17" s="700" customFormat="1" ht="70.5" hidden="1" customHeight="1">
      <c r="C7317" s="701"/>
      <c r="D7317" s="811"/>
      <c r="E7317" s="1276">
        <f>[11]building!Y7648</f>
        <v>0</v>
      </c>
      <c r="F7317" s="748">
        <f t="shared" si="353"/>
        <v>0</v>
      </c>
      <c r="G7317" s="1205"/>
      <c r="H7317" s="1055"/>
      <c r="I7317" s="1055"/>
      <c r="J7317" s="1055"/>
      <c r="K7317" s="1205"/>
      <c r="L7317" s="1055"/>
      <c r="M7317" s="1205"/>
      <c r="N7317" s="1054"/>
      <c r="O7317" s="1207"/>
      <c r="Q7317" s="1207"/>
    </row>
    <row r="7318" spans="3:17" s="700" customFormat="1" ht="70.5" hidden="1" customHeight="1">
      <c r="C7318" s="701"/>
      <c r="D7318" s="811"/>
      <c r="E7318" s="1276">
        <f>[11]building!Y7649</f>
        <v>0</v>
      </c>
      <c r="F7318" s="748">
        <f t="shared" si="353"/>
        <v>0</v>
      </c>
      <c r="G7318" s="1205"/>
      <c r="H7318" s="1055"/>
      <c r="I7318" s="1055"/>
      <c r="J7318" s="1055"/>
      <c r="K7318" s="1205"/>
      <c r="L7318" s="1055"/>
      <c r="M7318" s="1205"/>
      <c r="N7318" s="1054"/>
      <c r="O7318" s="1207"/>
      <c r="Q7318" s="1207"/>
    </row>
    <row r="7319" spans="3:17" s="700" customFormat="1" ht="70.5" hidden="1" customHeight="1">
      <c r="C7319" s="701"/>
      <c r="D7319" s="811"/>
      <c r="E7319" s="1276">
        <f>[11]building!Y7650</f>
        <v>0</v>
      </c>
      <c r="F7319" s="748">
        <f t="shared" si="353"/>
        <v>0</v>
      </c>
      <c r="G7319" s="1205"/>
      <c r="H7319" s="1055"/>
      <c r="I7319" s="1055"/>
      <c r="J7319" s="1055"/>
      <c r="K7319" s="1205"/>
      <c r="L7319" s="1055"/>
      <c r="M7319" s="1205"/>
      <c r="N7319" s="1054"/>
      <c r="O7319" s="1207"/>
      <c r="Q7319" s="1207"/>
    </row>
    <row r="7320" spans="3:17" s="700" customFormat="1" ht="70.5" hidden="1" customHeight="1">
      <c r="C7320" s="701"/>
      <c r="D7320" s="811"/>
      <c r="E7320" s="1276">
        <f>[11]building!Y7651</f>
        <v>0</v>
      </c>
      <c r="F7320" s="748">
        <f t="shared" si="353"/>
        <v>0</v>
      </c>
      <c r="G7320" s="1205"/>
      <c r="H7320" s="1055"/>
      <c r="I7320" s="1055"/>
      <c r="J7320" s="1055"/>
      <c r="K7320" s="1205"/>
      <c r="L7320" s="1055"/>
      <c r="M7320" s="1205"/>
      <c r="N7320" s="1054"/>
      <c r="O7320" s="1207"/>
      <c r="Q7320" s="1207"/>
    </row>
    <row r="7321" spans="3:17" s="700" customFormat="1" ht="70.5" hidden="1" customHeight="1">
      <c r="C7321" s="701"/>
      <c r="D7321" s="811"/>
      <c r="E7321" s="1276">
        <f>[11]building!Y7652</f>
        <v>0</v>
      </c>
      <c r="F7321" s="748">
        <f t="shared" si="353"/>
        <v>0</v>
      </c>
      <c r="G7321" s="1205"/>
      <c r="H7321" s="1055"/>
      <c r="I7321" s="1055"/>
      <c r="J7321" s="1055"/>
      <c r="K7321" s="1205"/>
      <c r="L7321" s="1055"/>
      <c r="M7321" s="1205"/>
      <c r="N7321" s="1054"/>
      <c r="O7321" s="1207"/>
      <c r="Q7321" s="1207"/>
    </row>
    <row r="7322" spans="3:17" s="700" customFormat="1" ht="70.5" hidden="1" customHeight="1">
      <c r="C7322" s="701"/>
      <c r="D7322" s="811"/>
      <c r="E7322" s="1276">
        <f>[11]building!Y7653</f>
        <v>0</v>
      </c>
      <c r="F7322" s="748">
        <f t="shared" si="353"/>
        <v>0</v>
      </c>
      <c r="G7322" s="1205"/>
      <c r="H7322" s="1055"/>
      <c r="I7322" s="1055"/>
      <c r="J7322" s="1055"/>
      <c r="K7322" s="1205"/>
      <c r="L7322" s="1055"/>
      <c r="M7322" s="1205"/>
      <c r="N7322" s="1054"/>
      <c r="O7322" s="1207"/>
      <c r="Q7322" s="1207"/>
    </row>
    <row r="7323" spans="3:17" s="700" customFormat="1" ht="70.5" hidden="1" customHeight="1">
      <c r="C7323" s="701"/>
      <c r="D7323" s="811"/>
      <c r="E7323" s="1276">
        <f>[11]building!Y7654</f>
        <v>0</v>
      </c>
      <c r="F7323" s="748">
        <f t="shared" si="353"/>
        <v>0</v>
      </c>
      <c r="G7323" s="1205"/>
      <c r="H7323" s="1055"/>
      <c r="I7323" s="1055"/>
      <c r="J7323" s="1055"/>
      <c r="K7323" s="1205"/>
      <c r="L7323" s="1055"/>
      <c r="M7323" s="1205"/>
      <c r="N7323" s="1054"/>
      <c r="O7323" s="1207"/>
      <c r="Q7323" s="1207"/>
    </row>
    <row r="7324" spans="3:17" s="700" customFormat="1" ht="70.5" hidden="1" customHeight="1">
      <c r="C7324" s="701"/>
      <c r="D7324" s="811"/>
      <c r="E7324" s="1276">
        <f>[11]building!Y7655</f>
        <v>0</v>
      </c>
      <c r="F7324" s="748">
        <f t="shared" si="353"/>
        <v>0</v>
      </c>
      <c r="G7324" s="1205"/>
      <c r="H7324" s="1055"/>
      <c r="I7324" s="1055"/>
      <c r="J7324" s="1055"/>
      <c r="K7324" s="1205"/>
      <c r="L7324" s="1055"/>
      <c r="M7324" s="1205"/>
      <c r="N7324" s="1054"/>
      <c r="O7324" s="1207"/>
      <c r="Q7324" s="1207"/>
    </row>
    <row r="7325" spans="3:17" s="700" customFormat="1" ht="70.5" hidden="1" customHeight="1">
      <c r="C7325" s="701"/>
      <c r="D7325" s="811"/>
      <c r="E7325" s="1276">
        <f>[11]building!Y7656</f>
        <v>0</v>
      </c>
      <c r="F7325" s="748">
        <f t="shared" si="353"/>
        <v>0</v>
      </c>
      <c r="G7325" s="1205"/>
      <c r="H7325" s="1055"/>
      <c r="I7325" s="1055"/>
      <c r="J7325" s="1055"/>
      <c r="K7325" s="1205"/>
      <c r="L7325" s="1055"/>
      <c r="M7325" s="1205"/>
      <c r="N7325" s="1054"/>
      <c r="O7325" s="1207"/>
      <c r="Q7325" s="1207"/>
    </row>
    <row r="7326" spans="3:17" s="700" customFormat="1" ht="70.5" hidden="1" customHeight="1">
      <c r="C7326" s="701"/>
      <c r="D7326" s="811"/>
      <c r="E7326" s="1276">
        <f>[11]building!Y7657</f>
        <v>0</v>
      </c>
      <c r="F7326" s="748">
        <f t="shared" si="353"/>
        <v>0</v>
      </c>
      <c r="G7326" s="1205"/>
      <c r="H7326" s="1055"/>
      <c r="I7326" s="1055"/>
      <c r="J7326" s="1055"/>
      <c r="K7326" s="1205"/>
      <c r="L7326" s="1055"/>
      <c r="M7326" s="1205"/>
      <c r="N7326" s="1054"/>
      <c r="O7326" s="1207"/>
      <c r="Q7326" s="1207"/>
    </row>
    <row r="7327" spans="3:17" s="700" customFormat="1" ht="70.5" hidden="1" customHeight="1">
      <c r="C7327" s="701"/>
      <c r="D7327" s="811"/>
      <c r="E7327" s="1276">
        <f>[11]building!Y7658</f>
        <v>0</v>
      </c>
      <c r="F7327" s="748">
        <f t="shared" si="353"/>
        <v>0</v>
      </c>
      <c r="G7327" s="1205"/>
      <c r="H7327" s="1055"/>
      <c r="I7327" s="1055"/>
      <c r="J7327" s="1055"/>
      <c r="K7327" s="1205"/>
      <c r="L7327" s="1055"/>
      <c r="M7327" s="1205"/>
      <c r="N7327" s="1054"/>
      <c r="O7327" s="1207"/>
      <c r="Q7327" s="1207"/>
    </row>
    <row r="7328" spans="3:17" s="700" customFormat="1" ht="70.5" hidden="1" customHeight="1">
      <c r="C7328" s="701"/>
      <c r="D7328" s="811"/>
      <c r="E7328" s="1276">
        <f>[11]building!Y7659</f>
        <v>0</v>
      </c>
      <c r="F7328" s="748">
        <f t="shared" si="353"/>
        <v>0</v>
      </c>
      <c r="G7328" s="1205"/>
      <c r="H7328" s="1055"/>
      <c r="I7328" s="1055"/>
      <c r="J7328" s="1055"/>
      <c r="K7328" s="1205"/>
      <c r="L7328" s="1055"/>
      <c r="M7328" s="1205"/>
      <c r="N7328" s="1054"/>
      <c r="O7328" s="1207"/>
      <c r="Q7328" s="1207"/>
    </row>
    <row r="7329" spans="3:17" s="700" customFormat="1" ht="70.5" hidden="1" customHeight="1">
      <c r="C7329" s="701"/>
      <c r="D7329" s="811"/>
      <c r="E7329" s="1276">
        <f>[11]building!Y7660</f>
        <v>0</v>
      </c>
      <c r="F7329" s="748">
        <f t="shared" si="353"/>
        <v>0</v>
      </c>
      <c r="G7329" s="1205"/>
      <c r="H7329" s="1055"/>
      <c r="I7329" s="1055"/>
      <c r="J7329" s="1055"/>
      <c r="K7329" s="1205"/>
      <c r="L7329" s="1055"/>
      <c r="M7329" s="1205"/>
      <c r="N7329" s="1054"/>
      <c r="O7329" s="1207"/>
      <c r="Q7329" s="1207"/>
    </row>
    <row r="7330" spans="3:17" s="700" customFormat="1" ht="70.5" hidden="1" customHeight="1">
      <c r="C7330" s="701"/>
      <c r="D7330" s="811"/>
      <c r="E7330" s="1276">
        <f>[11]building!Y7661</f>
        <v>0</v>
      </c>
      <c r="F7330" s="748">
        <f t="shared" si="353"/>
        <v>0</v>
      </c>
      <c r="G7330" s="1205"/>
      <c r="H7330" s="1055"/>
      <c r="I7330" s="1055"/>
      <c r="J7330" s="1055"/>
      <c r="K7330" s="1205"/>
      <c r="L7330" s="1055"/>
      <c r="M7330" s="1205"/>
      <c r="N7330" s="1054"/>
      <c r="O7330" s="1207"/>
      <c r="Q7330" s="1207"/>
    </row>
    <row r="7331" spans="3:17" s="700" customFormat="1" ht="70.5" hidden="1" customHeight="1">
      <c r="C7331" s="701"/>
      <c r="D7331" s="811"/>
      <c r="E7331" s="1276">
        <f>[11]building!Y7662</f>
        <v>0</v>
      </c>
      <c r="F7331" s="748">
        <f t="shared" si="353"/>
        <v>0</v>
      </c>
      <c r="G7331" s="1205"/>
      <c r="H7331" s="1055"/>
      <c r="I7331" s="1055"/>
      <c r="J7331" s="1055"/>
      <c r="K7331" s="1205"/>
      <c r="L7331" s="1055"/>
      <c r="M7331" s="1205"/>
      <c r="N7331" s="1054"/>
      <c r="O7331" s="1207"/>
      <c r="Q7331" s="1207"/>
    </row>
    <row r="7332" spans="3:17" s="700" customFormat="1" ht="70.5" hidden="1" customHeight="1">
      <c r="C7332" s="701"/>
      <c r="D7332" s="811"/>
      <c r="E7332" s="1276">
        <f>[11]building!Y7663</f>
        <v>0</v>
      </c>
      <c r="F7332" s="748">
        <f t="shared" si="353"/>
        <v>0</v>
      </c>
      <c r="G7332" s="1205"/>
      <c r="H7332" s="1055"/>
      <c r="I7332" s="1055"/>
      <c r="J7332" s="1055"/>
      <c r="K7332" s="1205"/>
      <c r="L7332" s="1055"/>
      <c r="M7332" s="1205"/>
      <c r="N7332" s="1054"/>
      <c r="O7332" s="1207"/>
      <c r="Q7332" s="1207"/>
    </row>
    <row r="7333" spans="3:17" s="700" customFormat="1" ht="70.5" hidden="1" customHeight="1">
      <c r="C7333" s="701"/>
      <c r="D7333" s="811"/>
      <c r="E7333" s="1276">
        <f>[11]building!Y7664</f>
        <v>0</v>
      </c>
      <c r="F7333" s="748">
        <f t="shared" si="353"/>
        <v>0</v>
      </c>
      <c r="G7333" s="1205"/>
      <c r="H7333" s="1055"/>
      <c r="I7333" s="1055"/>
      <c r="J7333" s="1055"/>
      <c r="K7333" s="1205"/>
      <c r="L7333" s="1055"/>
      <c r="M7333" s="1205"/>
      <c r="N7333" s="1054"/>
      <c r="O7333" s="1207"/>
      <c r="Q7333" s="1207"/>
    </row>
    <row r="7334" spans="3:17" s="700" customFormat="1" ht="70.5" hidden="1" customHeight="1">
      <c r="C7334" s="701"/>
      <c r="D7334" s="811"/>
      <c r="E7334" s="1276">
        <f>[11]building!Y7665</f>
        <v>0</v>
      </c>
      <c r="F7334" s="748">
        <f t="shared" si="353"/>
        <v>0</v>
      </c>
      <c r="G7334" s="1205"/>
      <c r="H7334" s="1055"/>
      <c r="I7334" s="1055"/>
      <c r="J7334" s="1055"/>
      <c r="K7334" s="1205"/>
      <c r="L7334" s="1055"/>
      <c r="M7334" s="1205"/>
      <c r="N7334" s="1054"/>
      <c r="O7334" s="1207"/>
      <c r="Q7334" s="1207"/>
    </row>
    <row r="7335" spans="3:17" s="700" customFormat="1" ht="70.5" hidden="1" customHeight="1">
      <c r="C7335" s="701"/>
      <c r="D7335" s="811"/>
      <c r="E7335" s="1276">
        <f>[11]building!Y7666</f>
        <v>0</v>
      </c>
      <c r="F7335" s="748">
        <f t="shared" si="353"/>
        <v>0</v>
      </c>
      <c r="G7335" s="1205"/>
      <c r="H7335" s="1055"/>
      <c r="I7335" s="1055"/>
      <c r="J7335" s="1055"/>
      <c r="K7335" s="1205"/>
      <c r="L7335" s="1055"/>
      <c r="M7335" s="1205"/>
      <c r="N7335" s="1054"/>
      <c r="O7335" s="1207"/>
      <c r="Q7335" s="1207"/>
    </row>
    <row r="7336" spans="3:17" s="700" customFormat="1" ht="70.5" hidden="1" customHeight="1">
      <c r="C7336" s="701"/>
      <c r="D7336" s="811"/>
      <c r="E7336" s="1276">
        <f>[11]building!Y7667</f>
        <v>0</v>
      </c>
      <c r="F7336" s="748">
        <f t="shared" si="353"/>
        <v>0</v>
      </c>
      <c r="G7336" s="1205"/>
      <c r="H7336" s="1055"/>
      <c r="I7336" s="1055"/>
      <c r="J7336" s="1055"/>
      <c r="K7336" s="1205"/>
      <c r="L7336" s="1055"/>
      <c r="M7336" s="1205"/>
      <c r="N7336" s="1054"/>
      <c r="O7336" s="1207"/>
      <c r="Q7336" s="1207"/>
    </row>
    <row r="7337" spans="3:17" s="700" customFormat="1" ht="70.5" hidden="1" customHeight="1">
      <c r="C7337" s="701"/>
      <c r="D7337" s="811"/>
      <c r="E7337" s="1276">
        <f>[11]building!Y7668</f>
        <v>0</v>
      </c>
      <c r="F7337" s="748">
        <f t="shared" si="353"/>
        <v>0</v>
      </c>
      <c r="G7337" s="1205"/>
      <c r="H7337" s="1055"/>
      <c r="I7337" s="1055"/>
      <c r="J7337" s="1055"/>
      <c r="K7337" s="1205"/>
      <c r="L7337" s="1055"/>
      <c r="M7337" s="1205"/>
      <c r="N7337" s="1054"/>
      <c r="O7337" s="1207"/>
      <c r="Q7337" s="1207"/>
    </row>
    <row r="7338" spans="3:17" s="700" customFormat="1" ht="70.5" hidden="1" customHeight="1">
      <c r="C7338" s="701"/>
      <c r="D7338" s="811"/>
      <c r="E7338" s="1276">
        <f>[11]building!Y7669</f>
        <v>0</v>
      </c>
      <c r="F7338" s="748">
        <f t="shared" si="353"/>
        <v>0</v>
      </c>
      <c r="G7338" s="1205"/>
      <c r="H7338" s="1055"/>
      <c r="I7338" s="1055"/>
      <c r="J7338" s="1055"/>
      <c r="K7338" s="1205"/>
      <c r="L7338" s="1055"/>
      <c r="M7338" s="1205"/>
      <c r="N7338" s="1054"/>
      <c r="O7338" s="1207"/>
      <c r="Q7338" s="1207"/>
    </row>
    <row r="7339" spans="3:17" s="700" customFormat="1" ht="70.5" hidden="1" customHeight="1">
      <c r="C7339" s="701"/>
      <c r="D7339" s="811"/>
      <c r="E7339" s="1276">
        <f>[11]building!Y7670</f>
        <v>0</v>
      </c>
      <c r="F7339" s="748">
        <f t="shared" si="353"/>
        <v>0</v>
      </c>
      <c r="G7339" s="1205"/>
      <c r="H7339" s="1055"/>
      <c r="I7339" s="1055"/>
      <c r="J7339" s="1055"/>
      <c r="K7339" s="1205"/>
      <c r="L7339" s="1055"/>
      <c r="M7339" s="1205"/>
      <c r="N7339" s="1054"/>
      <c r="O7339" s="1207"/>
      <c r="Q7339" s="1207"/>
    </row>
    <row r="7340" spans="3:17" s="700" customFormat="1" ht="70.5" hidden="1" customHeight="1">
      <c r="C7340" s="701"/>
      <c r="D7340" s="811"/>
      <c r="E7340" s="1276">
        <f>[11]building!Y7671</f>
        <v>0</v>
      </c>
      <c r="F7340" s="748">
        <f t="shared" si="353"/>
        <v>0</v>
      </c>
      <c r="G7340" s="1205"/>
      <c r="H7340" s="1055"/>
      <c r="I7340" s="1055"/>
      <c r="J7340" s="1055"/>
      <c r="K7340" s="1205"/>
      <c r="L7340" s="1055"/>
      <c r="M7340" s="1205"/>
      <c r="N7340" s="1054"/>
      <c r="O7340" s="1207"/>
      <c r="Q7340" s="1207"/>
    </row>
    <row r="7341" spans="3:17" s="700" customFormat="1" ht="70.5" hidden="1" customHeight="1">
      <c r="C7341" s="701"/>
      <c r="D7341" s="811"/>
      <c r="E7341" s="1276">
        <f>[11]building!Y7672</f>
        <v>0</v>
      </c>
      <c r="F7341" s="748">
        <f t="shared" si="353"/>
        <v>0</v>
      </c>
      <c r="G7341" s="1205"/>
      <c r="H7341" s="1055"/>
      <c r="I7341" s="1055"/>
      <c r="J7341" s="1055"/>
      <c r="K7341" s="1205"/>
      <c r="L7341" s="1055"/>
      <c r="M7341" s="1205"/>
      <c r="N7341" s="1054"/>
      <c r="O7341" s="1207"/>
      <c r="Q7341" s="1207"/>
    </row>
    <row r="7342" spans="3:17" s="700" customFormat="1" ht="70.5" hidden="1" customHeight="1">
      <c r="C7342" s="701"/>
      <c r="D7342" s="811"/>
      <c r="E7342" s="1276">
        <f>[11]building!Y7673</f>
        <v>0</v>
      </c>
      <c r="F7342" s="748">
        <f t="shared" si="353"/>
        <v>0</v>
      </c>
      <c r="G7342" s="1205"/>
      <c r="H7342" s="1055"/>
      <c r="I7342" s="1055"/>
      <c r="J7342" s="1055"/>
      <c r="K7342" s="1205"/>
      <c r="L7342" s="1055"/>
      <c r="M7342" s="1205"/>
      <c r="N7342" s="1054"/>
      <c r="O7342" s="1207"/>
      <c r="Q7342" s="1207"/>
    </row>
    <row r="7343" spans="3:17" s="700" customFormat="1" ht="70.5" hidden="1" customHeight="1">
      <c r="C7343" s="701"/>
      <c r="D7343" s="811"/>
      <c r="E7343" s="1276">
        <f>[11]building!Y7674</f>
        <v>0</v>
      </c>
      <c r="F7343" s="748">
        <f t="shared" si="353"/>
        <v>0</v>
      </c>
      <c r="G7343" s="1205"/>
      <c r="H7343" s="1055"/>
      <c r="I7343" s="1055"/>
      <c r="J7343" s="1055"/>
      <c r="K7343" s="1205"/>
      <c r="L7343" s="1055"/>
      <c r="M7343" s="1205"/>
      <c r="N7343" s="1054"/>
      <c r="O7343" s="1207"/>
      <c r="Q7343" s="1207"/>
    </row>
    <row r="7344" spans="3:17" s="700" customFormat="1" ht="70.5" hidden="1" customHeight="1">
      <c r="C7344" s="701"/>
      <c r="D7344" s="811"/>
      <c r="E7344" s="1276">
        <f>[11]building!Y7675</f>
        <v>0</v>
      </c>
      <c r="F7344" s="748">
        <f t="shared" si="353"/>
        <v>0</v>
      </c>
      <c r="G7344" s="1205"/>
      <c r="H7344" s="1055"/>
      <c r="I7344" s="1055"/>
      <c r="J7344" s="1055"/>
      <c r="K7344" s="1205"/>
      <c r="L7344" s="1055"/>
      <c r="M7344" s="1205"/>
      <c r="N7344" s="1054"/>
      <c r="O7344" s="1207"/>
      <c r="Q7344" s="1207"/>
    </row>
    <row r="7345" spans="3:17" s="700" customFormat="1" ht="70.5" hidden="1" customHeight="1">
      <c r="C7345" s="701"/>
      <c r="D7345" s="811"/>
      <c r="E7345" s="1276">
        <f>[11]building!Y7676</f>
        <v>0</v>
      </c>
      <c r="F7345" s="748">
        <f t="shared" si="353"/>
        <v>0</v>
      </c>
      <c r="G7345" s="1205"/>
      <c r="H7345" s="1055"/>
      <c r="I7345" s="1055"/>
      <c r="J7345" s="1055"/>
      <c r="K7345" s="1205"/>
      <c r="L7345" s="1055"/>
      <c r="M7345" s="1205"/>
      <c r="N7345" s="1054"/>
      <c r="O7345" s="1207"/>
      <c r="Q7345" s="1207"/>
    </row>
    <row r="7346" spans="3:17" s="700" customFormat="1" ht="70.5" hidden="1" customHeight="1">
      <c r="C7346" s="701"/>
      <c r="D7346" s="811"/>
      <c r="E7346" s="1276">
        <f>[11]building!Y7677</f>
        <v>0</v>
      </c>
      <c r="F7346" s="748">
        <f t="shared" si="353"/>
        <v>0</v>
      </c>
      <c r="G7346" s="1205"/>
      <c r="H7346" s="1055"/>
      <c r="I7346" s="1055"/>
      <c r="J7346" s="1055"/>
      <c r="K7346" s="1205"/>
      <c r="L7346" s="1055"/>
      <c r="M7346" s="1205"/>
      <c r="N7346" s="1054"/>
      <c r="O7346" s="1207"/>
      <c r="Q7346" s="1207"/>
    </row>
    <row r="7347" spans="3:17" s="700" customFormat="1" ht="70.5" hidden="1" customHeight="1">
      <c r="C7347" s="701"/>
      <c r="D7347" s="811"/>
      <c r="E7347" s="1276">
        <f>[11]building!Y7678</f>
        <v>0</v>
      </c>
      <c r="F7347" s="748">
        <f t="shared" si="353"/>
        <v>0</v>
      </c>
      <c r="G7347" s="1205"/>
      <c r="H7347" s="1055"/>
      <c r="I7347" s="1055"/>
      <c r="J7347" s="1055"/>
      <c r="K7347" s="1205"/>
      <c r="L7347" s="1055"/>
      <c r="M7347" s="1205"/>
      <c r="N7347" s="1054"/>
      <c r="O7347" s="1207"/>
      <c r="Q7347" s="1207"/>
    </row>
    <row r="7348" spans="3:17" s="700" customFormat="1" ht="70.5" hidden="1" customHeight="1">
      <c r="C7348" s="701"/>
      <c r="D7348" s="811"/>
      <c r="E7348" s="1276">
        <f>[11]building!Y7679</f>
        <v>0</v>
      </c>
      <c r="F7348" s="748">
        <f t="shared" si="353"/>
        <v>0</v>
      </c>
      <c r="G7348" s="1205"/>
      <c r="H7348" s="1055"/>
      <c r="I7348" s="1055"/>
      <c r="J7348" s="1055"/>
      <c r="K7348" s="1205"/>
      <c r="L7348" s="1055"/>
      <c r="M7348" s="1205"/>
      <c r="N7348" s="1054"/>
      <c r="O7348" s="1207"/>
      <c r="Q7348" s="1207"/>
    </row>
    <row r="7349" spans="3:17" s="700" customFormat="1" ht="70.5" hidden="1" customHeight="1">
      <c r="C7349" s="701"/>
      <c r="D7349" s="811"/>
      <c r="E7349" s="1276">
        <f>[11]building!Y7680</f>
        <v>0</v>
      </c>
      <c r="F7349" s="748">
        <f t="shared" si="353"/>
        <v>0</v>
      </c>
      <c r="G7349" s="1205"/>
      <c r="H7349" s="1055"/>
      <c r="I7349" s="1055"/>
      <c r="J7349" s="1055"/>
      <c r="K7349" s="1205"/>
      <c r="L7349" s="1055"/>
      <c r="M7349" s="1205"/>
      <c r="N7349" s="1054"/>
      <c r="O7349" s="1207"/>
      <c r="Q7349" s="1207"/>
    </row>
    <row r="7350" spans="3:17" s="700" customFormat="1" ht="70.5" hidden="1" customHeight="1">
      <c r="C7350" s="701"/>
      <c r="D7350" s="811"/>
      <c r="E7350" s="1276">
        <f>[11]building!Y7681</f>
        <v>0</v>
      </c>
      <c r="F7350" s="748">
        <f t="shared" si="353"/>
        <v>0</v>
      </c>
      <c r="G7350" s="1205"/>
      <c r="H7350" s="1055"/>
      <c r="I7350" s="1055"/>
      <c r="J7350" s="1055"/>
      <c r="K7350" s="1205"/>
      <c r="L7350" s="1055"/>
      <c r="M7350" s="1205"/>
      <c r="N7350" s="1054"/>
      <c r="O7350" s="1207"/>
      <c r="Q7350" s="1207"/>
    </row>
    <row r="7351" spans="3:17" s="700" customFormat="1" ht="70.5" hidden="1" customHeight="1">
      <c r="C7351" s="701"/>
      <c r="D7351" s="811"/>
      <c r="E7351" s="1276">
        <f>[11]building!Y7682</f>
        <v>0</v>
      </c>
      <c r="F7351" s="748">
        <f t="shared" si="353"/>
        <v>0</v>
      </c>
      <c r="G7351" s="1205"/>
      <c r="H7351" s="1055"/>
      <c r="I7351" s="1055"/>
      <c r="J7351" s="1055"/>
      <c r="K7351" s="1205"/>
      <c r="L7351" s="1055"/>
      <c r="M7351" s="1205"/>
      <c r="N7351" s="1054"/>
      <c r="O7351" s="1207"/>
      <c r="Q7351" s="1207"/>
    </row>
    <row r="7352" spans="3:17" s="700" customFormat="1" ht="70.5" hidden="1" customHeight="1">
      <c r="C7352" s="701"/>
      <c r="D7352" s="811"/>
      <c r="E7352" s="1276">
        <f>[11]building!Y7683</f>
        <v>0</v>
      </c>
      <c r="F7352" s="748">
        <f t="shared" si="353"/>
        <v>0</v>
      </c>
      <c r="G7352" s="1205"/>
      <c r="H7352" s="1055"/>
      <c r="I7352" s="1055"/>
      <c r="J7352" s="1055"/>
      <c r="K7352" s="1205"/>
      <c r="L7352" s="1055"/>
      <c r="M7352" s="1205"/>
      <c r="N7352" s="1054"/>
      <c r="O7352" s="1207"/>
      <c r="Q7352" s="1207"/>
    </row>
    <row r="7353" spans="3:17" s="700" customFormat="1" ht="70.5" hidden="1" customHeight="1">
      <c r="C7353" s="701"/>
      <c r="D7353" s="811"/>
      <c r="E7353" s="1276">
        <f>[11]building!Y7684</f>
        <v>0</v>
      </c>
      <c r="F7353" s="748">
        <f t="shared" si="353"/>
        <v>0</v>
      </c>
      <c r="G7353" s="1205"/>
      <c r="H7353" s="1055"/>
      <c r="I7353" s="1055"/>
      <c r="J7353" s="1055"/>
      <c r="K7353" s="1205"/>
      <c r="L7353" s="1055"/>
      <c r="M7353" s="1205"/>
      <c r="N7353" s="1054"/>
      <c r="O7353" s="1207"/>
      <c r="Q7353" s="1207"/>
    </row>
    <row r="7354" spans="3:17" s="700" customFormat="1" ht="70.5" hidden="1" customHeight="1">
      <c r="C7354" s="701"/>
      <c r="D7354" s="811"/>
      <c r="E7354" s="1276">
        <f>[11]building!Y7685</f>
        <v>0</v>
      </c>
      <c r="F7354" s="748">
        <f t="shared" si="353"/>
        <v>0</v>
      </c>
      <c r="G7354" s="1205"/>
      <c r="H7354" s="1055"/>
      <c r="I7354" s="1055"/>
      <c r="J7354" s="1055"/>
      <c r="K7354" s="1205"/>
      <c r="L7354" s="1055"/>
      <c r="M7354" s="1205"/>
      <c r="N7354" s="1054"/>
      <c r="O7354" s="1207"/>
      <c r="Q7354" s="1207"/>
    </row>
    <row r="7355" spans="3:17" s="700" customFormat="1" ht="70.5" hidden="1" customHeight="1">
      <c r="C7355" s="701"/>
      <c r="D7355" s="811"/>
      <c r="E7355" s="1276">
        <f>[11]building!Y7686</f>
        <v>0</v>
      </c>
      <c r="F7355" s="748">
        <f t="shared" si="353"/>
        <v>0</v>
      </c>
      <c r="G7355" s="1205"/>
      <c r="H7355" s="1055"/>
      <c r="I7355" s="1055"/>
      <c r="J7355" s="1055"/>
      <c r="K7355" s="1205"/>
      <c r="L7355" s="1055"/>
      <c r="M7355" s="1205"/>
      <c r="N7355" s="1054"/>
      <c r="O7355" s="1207"/>
      <c r="Q7355" s="1207"/>
    </row>
    <row r="7356" spans="3:17" s="700" customFormat="1" ht="70.5" hidden="1" customHeight="1">
      <c r="C7356" s="701"/>
      <c r="D7356" s="811"/>
      <c r="E7356" s="1276">
        <f>[11]building!Y7687</f>
        <v>0</v>
      </c>
      <c r="F7356" s="748">
        <f t="shared" si="353"/>
        <v>0</v>
      </c>
      <c r="G7356" s="1205"/>
      <c r="H7356" s="1055"/>
      <c r="I7356" s="1055"/>
      <c r="J7356" s="1055"/>
      <c r="K7356" s="1205"/>
      <c r="L7356" s="1055"/>
      <c r="M7356" s="1205"/>
      <c r="N7356" s="1054"/>
      <c r="O7356" s="1207"/>
      <c r="Q7356" s="1207"/>
    </row>
    <row r="7357" spans="3:17" s="700" customFormat="1" ht="70.5" hidden="1" customHeight="1">
      <c r="C7357" s="701"/>
      <c r="D7357" s="811"/>
      <c r="E7357" s="1276">
        <f>[11]building!Y7688</f>
        <v>0</v>
      </c>
      <c r="F7357" s="748">
        <f t="shared" si="353"/>
        <v>0</v>
      </c>
      <c r="G7357" s="1205"/>
      <c r="H7357" s="1055"/>
      <c r="I7357" s="1055"/>
      <c r="J7357" s="1055"/>
      <c r="K7357" s="1205"/>
      <c r="L7357" s="1055"/>
      <c r="M7357" s="1205"/>
      <c r="N7357" s="1054"/>
      <c r="O7357" s="1207"/>
      <c r="Q7357" s="1207"/>
    </row>
    <row r="7358" spans="3:17" s="700" customFormat="1" ht="70.5" hidden="1" customHeight="1">
      <c r="C7358" s="701"/>
      <c r="D7358" s="811"/>
      <c r="E7358" s="1276">
        <f>[11]building!Y7689</f>
        <v>0</v>
      </c>
      <c r="F7358" s="748">
        <f t="shared" si="353"/>
        <v>0</v>
      </c>
      <c r="G7358" s="1205"/>
      <c r="H7358" s="1055"/>
      <c r="I7358" s="1055"/>
      <c r="J7358" s="1055"/>
      <c r="K7358" s="1205"/>
      <c r="L7358" s="1055"/>
      <c r="M7358" s="1205"/>
      <c r="N7358" s="1054"/>
      <c r="O7358" s="1207"/>
      <c r="Q7358" s="1207"/>
    </row>
    <row r="7359" spans="3:17" s="700" customFormat="1" ht="70.5" hidden="1" customHeight="1">
      <c r="C7359" s="701"/>
      <c r="D7359" s="811"/>
      <c r="E7359" s="1276">
        <f>[11]building!Y7690</f>
        <v>0</v>
      </c>
      <c r="F7359" s="748">
        <f t="shared" si="353"/>
        <v>0</v>
      </c>
      <c r="G7359" s="1205"/>
      <c r="H7359" s="1055"/>
      <c r="I7359" s="1055"/>
      <c r="J7359" s="1055"/>
      <c r="K7359" s="1205"/>
      <c r="L7359" s="1055"/>
      <c r="M7359" s="1205"/>
      <c r="N7359" s="1054"/>
      <c r="O7359" s="1207"/>
      <c r="Q7359" s="1207"/>
    </row>
    <row r="7360" spans="3:17" s="700" customFormat="1" ht="70.5" hidden="1" customHeight="1">
      <c r="C7360" s="701"/>
      <c r="D7360" s="811"/>
      <c r="E7360" s="1276">
        <f>[11]building!Y7691</f>
        <v>0</v>
      </c>
      <c r="F7360" s="748">
        <f t="shared" ref="F7360:F7423" si="354">E7360*C7360</f>
        <v>0</v>
      </c>
      <c r="G7360" s="1205"/>
      <c r="H7360" s="1055"/>
      <c r="I7360" s="1055"/>
      <c r="J7360" s="1055"/>
      <c r="K7360" s="1205"/>
      <c r="L7360" s="1055"/>
      <c r="M7360" s="1205"/>
      <c r="N7360" s="1054"/>
      <c r="O7360" s="1207"/>
      <c r="Q7360" s="1207"/>
    </row>
    <row r="7361" spans="3:17" s="700" customFormat="1" ht="70.5" hidden="1" customHeight="1">
      <c r="C7361" s="701"/>
      <c r="D7361" s="811"/>
      <c r="E7361" s="1276">
        <f>[11]building!Y7692</f>
        <v>0</v>
      </c>
      <c r="F7361" s="748">
        <f t="shared" si="354"/>
        <v>0</v>
      </c>
      <c r="G7361" s="1205"/>
      <c r="H7361" s="1055"/>
      <c r="I7361" s="1055"/>
      <c r="J7361" s="1055"/>
      <c r="K7361" s="1205"/>
      <c r="L7361" s="1055"/>
      <c r="M7361" s="1205"/>
      <c r="N7361" s="1054"/>
      <c r="O7361" s="1207"/>
      <c r="Q7361" s="1207"/>
    </row>
    <row r="7362" spans="3:17" s="700" customFormat="1" ht="70.5" hidden="1" customHeight="1">
      <c r="C7362" s="701"/>
      <c r="D7362" s="811"/>
      <c r="E7362" s="1276">
        <f>[11]building!Y7693</f>
        <v>0</v>
      </c>
      <c r="F7362" s="748">
        <f t="shared" si="354"/>
        <v>0</v>
      </c>
      <c r="G7362" s="1205"/>
      <c r="H7362" s="1055"/>
      <c r="I7362" s="1055"/>
      <c r="J7362" s="1055"/>
      <c r="K7362" s="1205"/>
      <c r="L7362" s="1055"/>
      <c r="M7362" s="1205"/>
      <c r="N7362" s="1054"/>
      <c r="O7362" s="1207"/>
      <c r="Q7362" s="1207"/>
    </row>
    <row r="7363" spans="3:17" s="700" customFormat="1" ht="70.5" hidden="1" customHeight="1">
      <c r="C7363" s="701"/>
      <c r="D7363" s="811"/>
      <c r="E7363" s="1276">
        <f>[11]building!Y7694</f>
        <v>0</v>
      </c>
      <c r="F7363" s="748">
        <f t="shared" si="354"/>
        <v>0</v>
      </c>
      <c r="G7363" s="1205"/>
      <c r="H7363" s="1055"/>
      <c r="I7363" s="1055"/>
      <c r="J7363" s="1055"/>
      <c r="K7363" s="1205"/>
      <c r="L7363" s="1055"/>
      <c r="M7363" s="1205"/>
      <c r="N7363" s="1054"/>
      <c r="O7363" s="1207"/>
      <c r="Q7363" s="1207"/>
    </row>
    <row r="7364" spans="3:17" s="700" customFormat="1" ht="70.5" hidden="1" customHeight="1">
      <c r="C7364" s="701"/>
      <c r="D7364" s="811"/>
      <c r="E7364" s="1276">
        <f>[11]building!Y7695</f>
        <v>0</v>
      </c>
      <c r="F7364" s="748">
        <f t="shared" si="354"/>
        <v>0</v>
      </c>
      <c r="G7364" s="1205"/>
      <c r="H7364" s="1055"/>
      <c r="I7364" s="1055"/>
      <c r="J7364" s="1055"/>
      <c r="K7364" s="1205"/>
      <c r="L7364" s="1055"/>
      <c r="M7364" s="1205"/>
      <c r="N7364" s="1054"/>
      <c r="O7364" s="1207"/>
      <c r="Q7364" s="1207"/>
    </row>
    <row r="7365" spans="3:17" s="700" customFormat="1" ht="70.5" hidden="1" customHeight="1">
      <c r="C7365" s="701"/>
      <c r="D7365" s="811"/>
      <c r="E7365" s="1276">
        <f>[11]building!Y7696</f>
        <v>0</v>
      </c>
      <c r="F7365" s="748">
        <f t="shared" si="354"/>
        <v>0</v>
      </c>
      <c r="G7365" s="1205"/>
      <c r="H7365" s="1055"/>
      <c r="I7365" s="1055"/>
      <c r="J7365" s="1055"/>
      <c r="K7365" s="1205"/>
      <c r="L7365" s="1055"/>
      <c r="M7365" s="1205"/>
      <c r="N7365" s="1054"/>
      <c r="O7365" s="1207"/>
      <c r="Q7365" s="1207"/>
    </row>
    <row r="7366" spans="3:17" s="700" customFormat="1" ht="70.5" hidden="1" customHeight="1">
      <c r="C7366" s="701"/>
      <c r="D7366" s="811"/>
      <c r="E7366" s="1276">
        <f>[11]building!Y7697</f>
        <v>0</v>
      </c>
      <c r="F7366" s="748">
        <f t="shared" si="354"/>
        <v>0</v>
      </c>
      <c r="G7366" s="1205"/>
      <c r="H7366" s="1055"/>
      <c r="I7366" s="1055"/>
      <c r="J7366" s="1055"/>
      <c r="K7366" s="1205"/>
      <c r="L7366" s="1055"/>
      <c r="M7366" s="1205"/>
      <c r="N7366" s="1054"/>
      <c r="O7366" s="1207"/>
      <c r="Q7366" s="1207"/>
    </row>
    <row r="7367" spans="3:17" s="700" customFormat="1" ht="70.5" hidden="1" customHeight="1">
      <c r="C7367" s="701"/>
      <c r="D7367" s="811"/>
      <c r="E7367" s="1276">
        <f>[11]building!Y7698</f>
        <v>0</v>
      </c>
      <c r="F7367" s="748">
        <f t="shared" si="354"/>
        <v>0</v>
      </c>
      <c r="G7367" s="1205"/>
      <c r="H7367" s="1055"/>
      <c r="I7367" s="1055"/>
      <c r="J7367" s="1055"/>
      <c r="K7367" s="1205"/>
      <c r="L7367" s="1055"/>
      <c r="M7367" s="1205"/>
      <c r="N7367" s="1054"/>
      <c r="O7367" s="1207"/>
      <c r="Q7367" s="1207"/>
    </row>
    <row r="7368" spans="3:17" s="700" customFormat="1" ht="70.5" hidden="1" customHeight="1">
      <c r="C7368" s="701"/>
      <c r="D7368" s="811"/>
      <c r="E7368" s="1276">
        <f>[11]building!Y7699</f>
        <v>0</v>
      </c>
      <c r="F7368" s="748">
        <f t="shared" si="354"/>
        <v>0</v>
      </c>
      <c r="G7368" s="1205"/>
      <c r="H7368" s="1055"/>
      <c r="I7368" s="1055"/>
      <c r="J7368" s="1055"/>
      <c r="K7368" s="1205"/>
      <c r="L7368" s="1055"/>
      <c r="M7368" s="1205"/>
      <c r="N7368" s="1054"/>
      <c r="O7368" s="1207"/>
      <c r="Q7368" s="1207"/>
    </row>
    <row r="7369" spans="3:17" s="700" customFormat="1" ht="70.5" hidden="1" customHeight="1">
      <c r="C7369" s="701"/>
      <c r="D7369" s="811"/>
      <c r="E7369" s="1276">
        <f>[11]building!Y7700</f>
        <v>0</v>
      </c>
      <c r="F7369" s="748">
        <f t="shared" si="354"/>
        <v>0</v>
      </c>
      <c r="G7369" s="1205"/>
      <c r="H7369" s="1055"/>
      <c r="I7369" s="1055"/>
      <c r="J7369" s="1055"/>
      <c r="K7369" s="1205"/>
      <c r="L7369" s="1055"/>
      <c r="M7369" s="1205"/>
      <c r="N7369" s="1054"/>
      <c r="O7369" s="1207"/>
      <c r="Q7369" s="1207"/>
    </row>
    <row r="7370" spans="3:17" s="700" customFormat="1" ht="70.5" hidden="1" customHeight="1">
      <c r="C7370" s="701"/>
      <c r="D7370" s="811"/>
      <c r="E7370" s="1276">
        <f>[11]building!Y7701</f>
        <v>0</v>
      </c>
      <c r="F7370" s="748">
        <f t="shared" si="354"/>
        <v>0</v>
      </c>
      <c r="G7370" s="1205"/>
      <c r="H7370" s="1055"/>
      <c r="I7370" s="1055"/>
      <c r="J7370" s="1055"/>
      <c r="K7370" s="1205"/>
      <c r="L7370" s="1055"/>
      <c r="M7370" s="1205"/>
      <c r="N7370" s="1054"/>
      <c r="O7370" s="1207"/>
      <c r="Q7370" s="1207"/>
    </row>
    <row r="7371" spans="3:17" s="700" customFormat="1" ht="70.5" hidden="1" customHeight="1">
      <c r="C7371" s="701"/>
      <c r="D7371" s="811"/>
      <c r="E7371" s="1276">
        <f>[11]building!Y7702</f>
        <v>0</v>
      </c>
      <c r="F7371" s="748">
        <f t="shared" si="354"/>
        <v>0</v>
      </c>
      <c r="G7371" s="1205"/>
      <c r="H7371" s="1055"/>
      <c r="I7371" s="1055"/>
      <c r="J7371" s="1055"/>
      <c r="K7371" s="1205"/>
      <c r="L7371" s="1055"/>
      <c r="M7371" s="1205"/>
      <c r="N7371" s="1054"/>
      <c r="O7371" s="1207"/>
      <c r="Q7371" s="1207"/>
    </row>
    <row r="7372" spans="3:17" s="700" customFormat="1" ht="70.5" hidden="1" customHeight="1">
      <c r="C7372" s="701"/>
      <c r="D7372" s="811"/>
      <c r="E7372" s="1276">
        <f>[11]building!Y7703</f>
        <v>0</v>
      </c>
      <c r="F7372" s="748">
        <f t="shared" si="354"/>
        <v>0</v>
      </c>
      <c r="G7372" s="1205"/>
      <c r="H7372" s="1055"/>
      <c r="I7372" s="1055"/>
      <c r="J7372" s="1055"/>
      <c r="K7372" s="1205"/>
      <c r="L7372" s="1055"/>
      <c r="M7372" s="1205"/>
      <c r="N7372" s="1054"/>
      <c r="O7372" s="1207"/>
      <c r="Q7372" s="1207"/>
    </row>
    <row r="7373" spans="3:17" s="700" customFormat="1" ht="70.5" hidden="1" customHeight="1">
      <c r="C7373" s="701"/>
      <c r="D7373" s="811"/>
      <c r="E7373" s="1276">
        <f>[11]building!Y7704</f>
        <v>0</v>
      </c>
      <c r="F7373" s="748">
        <f t="shared" si="354"/>
        <v>0</v>
      </c>
      <c r="G7373" s="1205"/>
      <c r="H7373" s="1055"/>
      <c r="I7373" s="1055"/>
      <c r="J7373" s="1055"/>
      <c r="K7373" s="1205"/>
      <c r="L7373" s="1055"/>
      <c r="M7373" s="1205"/>
      <c r="N7373" s="1054"/>
      <c r="O7373" s="1207"/>
      <c r="Q7373" s="1207"/>
    </row>
    <row r="7374" spans="3:17" s="700" customFormat="1" ht="70.5" hidden="1" customHeight="1">
      <c r="C7374" s="701"/>
      <c r="D7374" s="811"/>
      <c r="E7374" s="1276">
        <f>[11]building!Y7705</f>
        <v>0</v>
      </c>
      <c r="F7374" s="748">
        <f t="shared" si="354"/>
        <v>0</v>
      </c>
      <c r="G7374" s="1205"/>
      <c r="H7374" s="1055"/>
      <c r="I7374" s="1055"/>
      <c r="J7374" s="1055"/>
      <c r="K7374" s="1205"/>
      <c r="L7374" s="1055"/>
      <c r="M7374" s="1205"/>
      <c r="N7374" s="1054"/>
      <c r="O7374" s="1207"/>
      <c r="Q7374" s="1207"/>
    </row>
    <row r="7375" spans="3:17" s="700" customFormat="1" ht="70.5" hidden="1" customHeight="1">
      <c r="C7375" s="701"/>
      <c r="D7375" s="811"/>
      <c r="E7375" s="1276">
        <f>[11]building!Y7706</f>
        <v>0</v>
      </c>
      <c r="F7375" s="748">
        <f t="shared" si="354"/>
        <v>0</v>
      </c>
      <c r="G7375" s="1205"/>
      <c r="H7375" s="1055"/>
      <c r="I7375" s="1055"/>
      <c r="J7375" s="1055"/>
      <c r="K7375" s="1205"/>
      <c r="L7375" s="1055"/>
      <c r="M7375" s="1205"/>
      <c r="N7375" s="1054"/>
      <c r="O7375" s="1207"/>
      <c r="Q7375" s="1207"/>
    </row>
    <row r="7376" spans="3:17" s="700" customFormat="1" ht="70.5" hidden="1" customHeight="1">
      <c r="C7376" s="701"/>
      <c r="D7376" s="811"/>
      <c r="E7376" s="1276">
        <f>[11]building!Y7707</f>
        <v>0</v>
      </c>
      <c r="F7376" s="748">
        <f t="shared" si="354"/>
        <v>0</v>
      </c>
      <c r="G7376" s="1205"/>
      <c r="H7376" s="1055"/>
      <c r="I7376" s="1055"/>
      <c r="J7376" s="1055"/>
      <c r="K7376" s="1205"/>
      <c r="L7376" s="1055"/>
      <c r="M7376" s="1205"/>
      <c r="N7376" s="1054"/>
      <c r="O7376" s="1207"/>
      <c r="Q7376" s="1207"/>
    </row>
    <row r="7377" spans="3:17" s="700" customFormat="1" ht="70.5" hidden="1" customHeight="1">
      <c r="C7377" s="701"/>
      <c r="D7377" s="811"/>
      <c r="E7377" s="1276">
        <f>[11]building!Y7708</f>
        <v>0</v>
      </c>
      <c r="F7377" s="748">
        <f t="shared" si="354"/>
        <v>0</v>
      </c>
      <c r="G7377" s="1205"/>
      <c r="H7377" s="1055"/>
      <c r="I7377" s="1055"/>
      <c r="J7377" s="1055"/>
      <c r="K7377" s="1205"/>
      <c r="L7377" s="1055"/>
      <c r="M7377" s="1205"/>
      <c r="N7377" s="1054"/>
      <c r="O7377" s="1207"/>
      <c r="Q7377" s="1207"/>
    </row>
    <row r="7378" spans="3:17" s="700" customFormat="1" ht="70.5" hidden="1" customHeight="1">
      <c r="C7378" s="701"/>
      <c r="D7378" s="811"/>
      <c r="E7378" s="1276">
        <f>[11]building!Y7709</f>
        <v>0</v>
      </c>
      <c r="F7378" s="748">
        <f t="shared" si="354"/>
        <v>0</v>
      </c>
      <c r="G7378" s="1205"/>
      <c r="H7378" s="1055"/>
      <c r="I7378" s="1055"/>
      <c r="J7378" s="1055"/>
      <c r="K7378" s="1205"/>
      <c r="L7378" s="1055"/>
      <c r="M7378" s="1205"/>
      <c r="N7378" s="1054"/>
      <c r="O7378" s="1207"/>
      <c r="Q7378" s="1207"/>
    </row>
    <row r="7379" spans="3:17" s="700" customFormat="1" ht="70.5" hidden="1" customHeight="1">
      <c r="C7379" s="701"/>
      <c r="D7379" s="811"/>
      <c r="E7379" s="1276">
        <f>[11]building!Y7710</f>
        <v>0</v>
      </c>
      <c r="F7379" s="748">
        <f t="shared" si="354"/>
        <v>0</v>
      </c>
      <c r="G7379" s="1205"/>
      <c r="H7379" s="1055"/>
      <c r="I7379" s="1055"/>
      <c r="J7379" s="1055"/>
      <c r="K7379" s="1205"/>
      <c r="L7379" s="1055"/>
      <c r="M7379" s="1205"/>
      <c r="N7379" s="1054"/>
      <c r="O7379" s="1207"/>
      <c r="Q7379" s="1207"/>
    </row>
    <row r="7380" spans="3:17" s="700" customFormat="1" ht="70.5" hidden="1" customHeight="1">
      <c r="C7380" s="701"/>
      <c r="D7380" s="811"/>
      <c r="E7380" s="1276">
        <f>[11]building!Y7711</f>
        <v>0</v>
      </c>
      <c r="F7380" s="748">
        <f t="shared" si="354"/>
        <v>0</v>
      </c>
      <c r="G7380" s="1205"/>
      <c r="H7380" s="1055"/>
      <c r="I7380" s="1055"/>
      <c r="J7380" s="1055"/>
      <c r="K7380" s="1205"/>
      <c r="L7380" s="1055"/>
      <c r="M7380" s="1205"/>
      <c r="N7380" s="1054"/>
      <c r="O7380" s="1207"/>
      <c r="Q7380" s="1207"/>
    </row>
    <row r="7381" spans="3:17" s="700" customFormat="1" ht="70.5" hidden="1" customHeight="1">
      <c r="C7381" s="701"/>
      <c r="D7381" s="811"/>
      <c r="E7381" s="1276">
        <f>[11]building!Y7712</f>
        <v>0</v>
      </c>
      <c r="F7381" s="748">
        <f t="shared" si="354"/>
        <v>0</v>
      </c>
      <c r="G7381" s="1205"/>
      <c r="H7381" s="1055"/>
      <c r="I7381" s="1055"/>
      <c r="J7381" s="1055"/>
      <c r="K7381" s="1205"/>
      <c r="L7381" s="1055"/>
      <c r="M7381" s="1205"/>
      <c r="N7381" s="1054"/>
      <c r="O7381" s="1207"/>
      <c r="Q7381" s="1207"/>
    </row>
    <row r="7382" spans="3:17" s="700" customFormat="1" ht="70.5" hidden="1" customHeight="1">
      <c r="C7382" s="701"/>
      <c r="D7382" s="811"/>
      <c r="E7382" s="1276">
        <f>[11]building!Y7713</f>
        <v>0</v>
      </c>
      <c r="F7382" s="748">
        <f t="shared" si="354"/>
        <v>0</v>
      </c>
      <c r="G7382" s="1205"/>
      <c r="H7382" s="1055"/>
      <c r="I7382" s="1055"/>
      <c r="J7382" s="1055"/>
      <c r="K7382" s="1205"/>
      <c r="L7382" s="1055"/>
      <c r="M7382" s="1205"/>
      <c r="N7382" s="1054"/>
      <c r="O7382" s="1207"/>
      <c r="Q7382" s="1207"/>
    </row>
    <row r="7383" spans="3:17" s="700" customFormat="1" ht="70.5" hidden="1" customHeight="1">
      <c r="C7383" s="701"/>
      <c r="D7383" s="811"/>
      <c r="E7383" s="1276">
        <f>[11]building!Y7714</f>
        <v>0</v>
      </c>
      <c r="F7383" s="748">
        <f t="shared" si="354"/>
        <v>0</v>
      </c>
      <c r="G7383" s="1205"/>
      <c r="H7383" s="1055"/>
      <c r="I7383" s="1055"/>
      <c r="J7383" s="1055"/>
      <c r="K7383" s="1205"/>
      <c r="L7383" s="1055"/>
      <c r="M7383" s="1205"/>
      <c r="N7383" s="1054"/>
      <c r="O7383" s="1207"/>
      <c r="Q7383" s="1207"/>
    </row>
    <row r="7384" spans="3:17" s="700" customFormat="1" ht="70.5" hidden="1" customHeight="1">
      <c r="C7384" s="701"/>
      <c r="D7384" s="811"/>
      <c r="E7384" s="1276">
        <f>[11]building!Y7715</f>
        <v>0</v>
      </c>
      <c r="F7384" s="748">
        <f t="shared" si="354"/>
        <v>0</v>
      </c>
      <c r="G7384" s="1205"/>
      <c r="H7384" s="1055"/>
      <c r="I7384" s="1055"/>
      <c r="J7384" s="1055"/>
      <c r="K7384" s="1205"/>
      <c r="L7384" s="1055"/>
      <c r="M7384" s="1205"/>
      <c r="N7384" s="1054"/>
      <c r="O7384" s="1207"/>
      <c r="Q7384" s="1207"/>
    </row>
    <row r="7385" spans="3:17" s="700" customFormat="1" ht="70.5" hidden="1" customHeight="1">
      <c r="C7385" s="701"/>
      <c r="D7385" s="811"/>
      <c r="E7385" s="1276">
        <f>[11]building!Y7716</f>
        <v>0</v>
      </c>
      <c r="F7385" s="748">
        <f t="shared" si="354"/>
        <v>0</v>
      </c>
      <c r="G7385" s="1205"/>
      <c r="H7385" s="1055"/>
      <c r="I7385" s="1055"/>
      <c r="J7385" s="1055"/>
      <c r="K7385" s="1205"/>
      <c r="L7385" s="1055"/>
      <c r="M7385" s="1205"/>
      <c r="N7385" s="1054"/>
      <c r="O7385" s="1207"/>
      <c r="Q7385" s="1207"/>
    </row>
    <row r="7386" spans="3:17" s="700" customFormat="1" ht="70.5" hidden="1" customHeight="1">
      <c r="C7386" s="701"/>
      <c r="D7386" s="811"/>
      <c r="E7386" s="1276">
        <f>[11]building!Y7717</f>
        <v>0</v>
      </c>
      <c r="F7386" s="748">
        <f t="shared" si="354"/>
        <v>0</v>
      </c>
      <c r="G7386" s="1205"/>
      <c r="H7386" s="1055"/>
      <c r="I7386" s="1055"/>
      <c r="J7386" s="1055"/>
      <c r="K7386" s="1205"/>
      <c r="L7386" s="1055"/>
      <c r="M7386" s="1205"/>
      <c r="N7386" s="1054"/>
      <c r="O7386" s="1207"/>
      <c r="Q7386" s="1207"/>
    </row>
    <row r="7387" spans="3:17" s="700" customFormat="1" ht="70.5" hidden="1" customHeight="1">
      <c r="C7387" s="701"/>
      <c r="D7387" s="811"/>
      <c r="E7387" s="1276">
        <f>[11]building!Y7718</f>
        <v>0</v>
      </c>
      <c r="F7387" s="748">
        <f t="shared" si="354"/>
        <v>0</v>
      </c>
      <c r="G7387" s="1205"/>
      <c r="H7387" s="1055"/>
      <c r="I7387" s="1055"/>
      <c r="J7387" s="1055"/>
      <c r="K7387" s="1205"/>
      <c r="L7387" s="1055"/>
      <c r="M7387" s="1205"/>
      <c r="N7387" s="1054"/>
      <c r="O7387" s="1207"/>
      <c r="Q7387" s="1207"/>
    </row>
    <row r="7388" spans="3:17" s="700" customFormat="1" ht="70.5" hidden="1" customHeight="1">
      <c r="C7388" s="701"/>
      <c r="D7388" s="811"/>
      <c r="E7388" s="1276">
        <f>[11]building!Y7719</f>
        <v>0</v>
      </c>
      <c r="F7388" s="748">
        <f t="shared" si="354"/>
        <v>0</v>
      </c>
      <c r="G7388" s="1205"/>
      <c r="H7388" s="1055"/>
      <c r="I7388" s="1055"/>
      <c r="J7388" s="1055"/>
      <c r="K7388" s="1205"/>
      <c r="L7388" s="1055"/>
      <c r="M7388" s="1205"/>
      <c r="N7388" s="1054"/>
      <c r="O7388" s="1207"/>
      <c r="Q7388" s="1207"/>
    </row>
    <row r="7389" spans="3:17" s="700" customFormat="1" ht="70.5" hidden="1" customHeight="1">
      <c r="C7389" s="701"/>
      <c r="D7389" s="811"/>
      <c r="E7389" s="1276">
        <f>[11]building!Y7720</f>
        <v>0</v>
      </c>
      <c r="F7389" s="748">
        <f t="shared" si="354"/>
        <v>0</v>
      </c>
      <c r="G7389" s="1205"/>
      <c r="H7389" s="1055"/>
      <c r="I7389" s="1055"/>
      <c r="J7389" s="1055"/>
      <c r="K7389" s="1205"/>
      <c r="L7389" s="1055"/>
      <c r="M7389" s="1205"/>
      <c r="N7389" s="1054"/>
      <c r="O7389" s="1207"/>
      <c r="Q7389" s="1207"/>
    </row>
    <row r="7390" spans="3:17" s="700" customFormat="1" ht="70.5" hidden="1" customHeight="1">
      <c r="C7390" s="701"/>
      <c r="D7390" s="811"/>
      <c r="E7390" s="1276">
        <f>[11]building!Y7721</f>
        <v>0</v>
      </c>
      <c r="F7390" s="748">
        <f t="shared" si="354"/>
        <v>0</v>
      </c>
      <c r="G7390" s="1205"/>
      <c r="H7390" s="1055"/>
      <c r="I7390" s="1055"/>
      <c r="J7390" s="1055"/>
      <c r="K7390" s="1205"/>
      <c r="L7390" s="1055"/>
      <c r="M7390" s="1205"/>
      <c r="N7390" s="1054"/>
      <c r="O7390" s="1207"/>
      <c r="Q7390" s="1207"/>
    </row>
    <row r="7391" spans="3:17" s="700" customFormat="1" ht="70.5" hidden="1" customHeight="1">
      <c r="C7391" s="701"/>
      <c r="D7391" s="811"/>
      <c r="E7391" s="1276">
        <f>[11]building!Y7722</f>
        <v>0</v>
      </c>
      <c r="F7391" s="748">
        <f t="shared" si="354"/>
        <v>0</v>
      </c>
      <c r="G7391" s="1205"/>
      <c r="H7391" s="1055"/>
      <c r="I7391" s="1055"/>
      <c r="J7391" s="1055"/>
      <c r="K7391" s="1205"/>
      <c r="L7391" s="1055"/>
      <c r="M7391" s="1205"/>
      <c r="N7391" s="1054"/>
      <c r="O7391" s="1207"/>
      <c r="Q7391" s="1207"/>
    </row>
    <row r="7392" spans="3:17" s="700" customFormat="1" ht="70.5" hidden="1" customHeight="1">
      <c r="C7392" s="701"/>
      <c r="D7392" s="811"/>
      <c r="E7392" s="1276">
        <f>[11]building!Y7723</f>
        <v>0</v>
      </c>
      <c r="F7392" s="748">
        <f t="shared" si="354"/>
        <v>0</v>
      </c>
      <c r="G7392" s="1205"/>
      <c r="H7392" s="1055"/>
      <c r="I7392" s="1055"/>
      <c r="J7392" s="1055"/>
      <c r="K7392" s="1205"/>
      <c r="L7392" s="1055"/>
      <c r="M7392" s="1205"/>
      <c r="N7392" s="1054"/>
      <c r="O7392" s="1207"/>
      <c r="Q7392" s="1207"/>
    </row>
    <row r="7393" spans="3:17" s="700" customFormat="1" ht="70.5" hidden="1" customHeight="1">
      <c r="C7393" s="701"/>
      <c r="D7393" s="811"/>
      <c r="E7393" s="1276">
        <f>[11]building!Y7724</f>
        <v>0</v>
      </c>
      <c r="F7393" s="748">
        <f t="shared" si="354"/>
        <v>0</v>
      </c>
      <c r="G7393" s="1205"/>
      <c r="H7393" s="1055"/>
      <c r="I7393" s="1055"/>
      <c r="J7393" s="1055"/>
      <c r="K7393" s="1205"/>
      <c r="L7393" s="1055"/>
      <c r="M7393" s="1205"/>
      <c r="N7393" s="1054"/>
      <c r="O7393" s="1207"/>
      <c r="Q7393" s="1207"/>
    </row>
    <row r="7394" spans="3:17" s="700" customFormat="1" ht="70.5" hidden="1" customHeight="1">
      <c r="C7394" s="701"/>
      <c r="D7394" s="811"/>
      <c r="E7394" s="1276">
        <f>[11]building!Y7725</f>
        <v>0</v>
      </c>
      <c r="F7394" s="748">
        <f t="shared" si="354"/>
        <v>0</v>
      </c>
      <c r="G7394" s="1205"/>
      <c r="H7394" s="1055"/>
      <c r="I7394" s="1055"/>
      <c r="J7394" s="1055"/>
      <c r="K7394" s="1205"/>
      <c r="L7394" s="1055"/>
      <c r="M7394" s="1205"/>
      <c r="N7394" s="1054"/>
      <c r="O7394" s="1207"/>
      <c r="Q7394" s="1207"/>
    </row>
    <row r="7395" spans="3:17" s="700" customFormat="1" ht="70.5" hidden="1" customHeight="1">
      <c r="C7395" s="701"/>
      <c r="D7395" s="811"/>
      <c r="E7395" s="1276">
        <f>[11]building!Y7726</f>
        <v>0</v>
      </c>
      <c r="F7395" s="748">
        <f t="shared" si="354"/>
        <v>0</v>
      </c>
      <c r="G7395" s="1205"/>
      <c r="H7395" s="1055"/>
      <c r="I7395" s="1055"/>
      <c r="J7395" s="1055"/>
      <c r="K7395" s="1205"/>
      <c r="L7395" s="1055"/>
      <c r="M7395" s="1205"/>
      <c r="N7395" s="1054"/>
      <c r="O7395" s="1207"/>
      <c r="Q7395" s="1207"/>
    </row>
    <row r="7396" spans="3:17" s="700" customFormat="1" ht="70.5" hidden="1" customHeight="1">
      <c r="C7396" s="701"/>
      <c r="D7396" s="811"/>
      <c r="E7396" s="1276">
        <f>[11]building!Y7727</f>
        <v>0</v>
      </c>
      <c r="F7396" s="748">
        <f t="shared" si="354"/>
        <v>0</v>
      </c>
      <c r="G7396" s="1205"/>
      <c r="H7396" s="1055"/>
      <c r="I7396" s="1055"/>
      <c r="J7396" s="1055"/>
      <c r="K7396" s="1205"/>
      <c r="L7396" s="1055"/>
      <c r="M7396" s="1205"/>
      <c r="N7396" s="1054"/>
      <c r="O7396" s="1207"/>
      <c r="Q7396" s="1207"/>
    </row>
    <row r="7397" spans="3:17" s="700" customFormat="1" ht="70.5" hidden="1" customHeight="1">
      <c r="C7397" s="701"/>
      <c r="D7397" s="811"/>
      <c r="E7397" s="1276">
        <f>[11]building!Y7728</f>
        <v>0</v>
      </c>
      <c r="F7397" s="748">
        <f t="shared" si="354"/>
        <v>0</v>
      </c>
      <c r="G7397" s="1205"/>
      <c r="H7397" s="1055"/>
      <c r="I7397" s="1055"/>
      <c r="J7397" s="1055"/>
      <c r="K7397" s="1205"/>
      <c r="L7397" s="1055"/>
      <c r="M7397" s="1205"/>
      <c r="N7397" s="1054"/>
      <c r="O7397" s="1207"/>
      <c r="Q7397" s="1207"/>
    </row>
    <row r="7398" spans="3:17" s="700" customFormat="1" ht="70.5" hidden="1" customHeight="1">
      <c r="C7398" s="701"/>
      <c r="D7398" s="811"/>
      <c r="E7398" s="1276">
        <f>[11]building!Y7729</f>
        <v>0</v>
      </c>
      <c r="F7398" s="748">
        <f t="shared" si="354"/>
        <v>0</v>
      </c>
      <c r="G7398" s="1205"/>
      <c r="H7398" s="1055"/>
      <c r="I7398" s="1055"/>
      <c r="J7398" s="1055"/>
      <c r="K7398" s="1205"/>
      <c r="L7398" s="1055"/>
      <c r="M7398" s="1205"/>
      <c r="N7398" s="1054"/>
      <c r="O7398" s="1207"/>
      <c r="Q7398" s="1207"/>
    </row>
    <row r="7399" spans="3:17" s="700" customFormat="1" ht="70.5" hidden="1" customHeight="1">
      <c r="C7399" s="701"/>
      <c r="D7399" s="811"/>
      <c r="E7399" s="1276">
        <f>[11]building!Y7730</f>
        <v>0</v>
      </c>
      <c r="F7399" s="748">
        <f t="shared" si="354"/>
        <v>0</v>
      </c>
      <c r="G7399" s="1205"/>
      <c r="H7399" s="1055"/>
      <c r="I7399" s="1055"/>
      <c r="J7399" s="1055"/>
      <c r="K7399" s="1205"/>
      <c r="L7399" s="1055"/>
      <c r="M7399" s="1205"/>
      <c r="N7399" s="1054"/>
      <c r="O7399" s="1207"/>
      <c r="Q7399" s="1207"/>
    </row>
    <row r="7400" spans="3:17" s="700" customFormat="1" ht="70.5" hidden="1" customHeight="1">
      <c r="C7400" s="701"/>
      <c r="D7400" s="811"/>
      <c r="E7400" s="1276">
        <f>[11]building!Y7731</f>
        <v>0</v>
      </c>
      <c r="F7400" s="748">
        <f t="shared" si="354"/>
        <v>0</v>
      </c>
      <c r="G7400" s="1205"/>
      <c r="H7400" s="1055"/>
      <c r="I7400" s="1055"/>
      <c r="J7400" s="1055"/>
      <c r="K7400" s="1205"/>
      <c r="L7400" s="1055"/>
      <c r="M7400" s="1205"/>
      <c r="N7400" s="1054"/>
      <c r="O7400" s="1207"/>
      <c r="Q7400" s="1207"/>
    </row>
    <row r="7401" spans="3:17" s="700" customFormat="1" ht="70.5" hidden="1" customHeight="1">
      <c r="C7401" s="701"/>
      <c r="D7401" s="811"/>
      <c r="E7401" s="1276">
        <f>[11]building!Y7732</f>
        <v>0</v>
      </c>
      <c r="F7401" s="748">
        <f t="shared" si="354"/>
        <v>0</v>
      </c>
      <c r="G7401" s="1205"/>
      <c r="H7401" s="1055"/>
      <c r="I7401" s="1055"/>
      <c r="J7401" s="1055"/>
      <c r="K7401" s="1205"/>
      <c r="L7401" s="1055"/>
      <c r="M7401" s="1205"/>
      <c r="N7401" s="1054"/>
      <c r="O7401" s="1207"/>
      <c r="Q7401" s="1207"/>
    </row>
    <row r="7402" spans="3:17" s="700" customFormat="1" ht="70.5" hidden="1" customHeight="1">
      <c r="C7402" s="701"/>
      <c r="D7402" s="811"/>
      <c r="E7402" s="1276">
        <f>[11]building!Y7733</f>
        <v>0</v>
      </c>
      <c r="F7402" s="748">
        <f t="shared" si="354"/>
        <v>0</v>
      </c>
      <c r="G7402" s="1205"/>
      <c r="H7402" s="1055"/>
      <c r="I7402" s="1055"/>
      <c r="J7402" s="1055"/>
      <c r="K7402" s="1205"/>
      <c r="L7402" s="1055"/>
      <c r="M7402" s="1205"/>
      <c r="N7402" s="1054"/>
      <c r="O7402" s="1207"/>
      <c r="Q7402" s="1207"/>
    </row>
    <row r="7403" spans="3:17" s="700" customFormat="1" ht="70.5" hidden="1" customHeight="1">
      <c r="C7403" s="701"/>
      <c r="D7403" s="811"/>
      <c r="E7403" s="1276">
        <f>[11]building!Y7734</f>
        <v>0</v>
      </c>
      <c r="F7403" s="748">
        <f t="shared" si="354"/>
        <v>0</v>
      </c>
      <c r="G7403" s="1205"/>
      <c r="H7403" s="1055"/>
      <c r="I7403" s="1055"/>
      <c r="J7403" s="1055"/>
      <c r="K7403" s="1205"/>
      <c r="L7403" s="1055"/>
      <c r="M7403" s="1205"/>
      <c r="N7403" s="1054"/>
      <c r="O7403" s="1207"/>
      <c r="Q7403" s="1207"/>
    </row>
    <row r="7404" spans="3:17" s="700" customFormat="1" ht="70.5" hidden="1" customHeight="1">
      <c r="C7404" s="701"/>
      <c r="D7404" s="811"/>
      <c r="E7404" s="1276">
        <f>[11]building!Y7735</f>
        <v>0</v>
      </c>
      <c r="F7404" s="748">
        <f t="shared" si="354"/>
        <v>0</v>
      </c>
      <c r="G7404" s="1205"/>
      <c r="H7404" s="1055"/>
      <c r="I7404" s="1055"/>
      <c r="J7404" s="1055"/>
      <c r="K7404" s="1205"/>
      <c r="L7404" s="1055"/>
      <c r="M7404" s="1205"/>
      <c r="N7404" s="1054"/>
      <c r="O7404" s="1207"/>
      <c r="Q7404" s="1207"/>
    </row>
    <row r="7405" spans="3:17" s="700" customFormat="1" ht="70.5" hidden="1" customHeight="1">
      <c r="C7405" s="701"/>
      <c r="D7405" s="811"/>
      <c r="E7405" s="1276">
        <f>[11]building!Y7736</f>
        <v>0</v>
      </c>
      <c r="F7405" s="748">
        <f t="shared" si="354"/>
        <v>0</v>
      </c>
      <c r="G7405" s="1205"/>
      <c r="H7405" s="1055"/>
      <c r="I7405" s="1055"/>
      <c r="J7405" s="1055"/>
      <c r="K7405" s="1205"/>
      <c r="L7405" s="1055"/>
      <c r="M7405" s="1205"/>
      <c r="N7405" s="1054"/>
      <c r="O7405" s="1207"/>
      <c r="Q7405" s="1207"/>
    </row>
    <row r="7406" spans="3:17" s="700" customFormat="1" ht="70.5" hidden="1" customHeight="1">
      <c r="C7406" s="701"/>
      <c r="D7406" s="811"/>
      <c r="E7406" s="1276">
        <f>[11]building!Y7737</f>
        <v>0</v>
      </c>
      <c r="F7406" s="748">
        <f t="shared" si="354"/>
        <v>0</v>
      </c>
      <c r="G7406" s="1205"/>
      <c r="H7406" s="1055"/>
      <c r="I7406" s="1055"/>
      <c r="J7406" s="1055"/>
      <c r="K7406" s="1205"/>
      <c r="L7406" s="1055"/>
      <c r="M7406" s="1205"/>
      <c r="N7406" s="1054"/>
      <c r="O7406" s="1207"/>
      <c r="Q7406" s="1207"/>
    </row>
    <row r="7407" spans="3:17" s="700" customFormat="1" ht="70.5" hidden="1" customHeight="1">
      <c r="C7407" s="701"/>
      <c r="D7407" s="811"/>
      <c r="E7407" s="1276">
        <f>[11]building!Y7738</f>
        <v>0</v>
      </c>
      <c r="F7407" s="748">
        <f t="shared" si="354"/>
        <v>0</v>
      </c>
      <c r="G7407" s="1205"/>
      <c r="H7407" s="1055"/>
      <c r="I7407" s="1055"/>
      <c r="J7407" s="1055"/>
      <c r="K7407" s="1205"/>
      <c r="L7407" s="1055"/>
      <c r="M7407" s="1205"/>
      <c r="N7407" s="1054"/>
      <c r="O7407" s="1207"/>
      <c r="Q7407" s="1207"/>
    </row>
    <row r="7408" spans="3:17" s="700" customFormat="1" ht="70.5" hidden="1" customHeight="1">
      <c r="C7408" s="701"/>
      <c r="D7408" s="811"/>
      <c r="E7408" s="1276">
        <f>[11]building!Y7739</f>
        <v>0</v>
      </c>
      <c r="F7408" s="748">
        <f t="shared" si="354"/>
        <v>0</v>
      </c>
      <c r="G7408" s="1205"/>
      <c r="H7408" s="1055"/>
      <c r="I7408" s="1055"/>
      <c r="J7408" s="1055"/>
      <c r="K7408" s="1205"/>
      <c r="L7408" s="1055"/>
      <c r="M7408" s="1205"/>
      <c r="N7408" s="1054"/>
      <c r="O7408" s="1207"/>
      <c r="Q7408" s="1207"/>
    </row>
    <row r="7409" spans="3:17" s="700" customFormat="1" ht="70.5" hidden="1" customHeight="1">
      <c r="C7409" s="701"/>
      <c r="D7409" s="811"/>
      <c r="E7409" s="1276">
        <f>[11]building!Y7740</f>
        <v>0</v>
      </c>
      <c r="F7409" s="748">
        <f t="shared" si="354"/>
        <v>0</v>
      </c>
      <c r="G7409" s="1205"/>
      <c r="H7409" s="1055"/>
      <c r="I7409" s="1055"/>
      <c r="J7409" s="1055"/>
      <c r="K7409" s="1205"/>
      <c r="L7409" s="1055"/>
      <c r="M7409" s="1205"/>
      <c r="N7409" s="1054"/>
      <c r="O7409" s="1207"/>
      <c r="Q7409" s="1207"/>
    </row>
    <row r="7410" spans="3:17" s="700" customFormat="1" ht="70.5" hidden="1" customHeight="1">
      <c r="C7410" s="701"/>
      <c r="D7410" s="811"/>
      <c r="E7410" s="1276">
        <f>[11]building!Y7741</f>
        <v>0</v>
      </c>
      <c r="F7410" s="748">
        <f t="shared" si="354"/>
        <v>0</v>
      </c>
      <c r="G7410" s="1205"/>
      <c r="H7410" s="1055"/>
      <c r="I7410" s="1055"/>
      <c r="J7410" s="1055"/>
      <c r="K7410" s="1205"/>
      <c r="L7410" s="1055"/>
      <c r="M7410" s="1205"/>
      <c r="N7410" s="1054"/>
      <c r="O7410" s="1207"/>
      <c r="Q7410" s="1207"/>
    </row>
    <row r="7411" spans="3:17" s="700" customFormat="1" ht="70.5" hidden="1" customHeight="1">
      <c r="C7411" s="701"/>
      <c r="D7411" s="811"/>
      <c r="E7411" s="1276">
        <f>[11]building!Y7742</f>
        <v>0</v>
      </c>
      <c r="F7411" s="748">
        <f t="shared" si="354"/>
        <v>0</v>
      </c>
      <c r="G7411" s="1205"/>
      <c r="H7411" s="1055"/>
      <c r="I7411" s="1055"/>
      <c r="J7411" s="1055"/>
      <c r="K7411" s="1205"/>
      <c r="L7411" s="1055"/>
      <c r="M7411" s="1205"/>
      <c r="N7411" s="1054"/>
      <c r="O7411" s="1207"/>
      <c r="Q7411" s="1207"/>
    </row>
    <row r="7412" spans="3:17" s="700" customFormat="1" ht="70.5" hidden="1" customHeight="1">
      <c r="C7412" s="701"/>
      <c r="D7412" s="811"/>
      <c r="E7412" s="1276">
        <f>[11]building!Y7743</f>
        <v>0</v>
      </c>
      <c r="F7412" s="748">
        <f t="shared" si="354"/>
        <v>0</v>
      </c>
      <c r="G7412" s="1205"/>
      <c r="H7412" s="1055"/>
      <c r="I7412" s="1055"/>
      <c r="J7412" s="1055"/>
      <c r="K7412" s="1205"/>
      <c r="L7412" s="1055"/>
      <c r="M7412" s="1205"/>
      <c r="N7412" s="1054"/>
      <c r="O7412" s="1207"/>
      <c r="Q7412" s="1207"/>
    </row>
    <row r="7413" spans="3:17" s="700" customFormat="1" ht="70.5" hidden="1" customHeight="1">
      <c r="C7413" s="701"/>
      <c r="D7413" s="811"/>
      <c r="E7413" s="1276">
        <f>[11]building!Y7744</f>
        <v>0</v>
      </c>
      <c r="F7413" s="748">
        <f t="shared" si="354"/>
        <v>0</v>
      </c>
      <c r="G7413" s="1205"/>
      <c r="H7413" s="1055"/>
      <c r="I7413" s="1055"/>
      <c r="J7413" s="1055"/>
      <c r="K7413" s="1205"/>
      <c r="L7413" s="1055"/>
      <c r="M7413" s="1205"/>
      <c r="N7413" s="1054"/>
      <c r="O7413" s="1207"/>
      <c r="Q7413" s="1207"/>
    </row>
    <row r="7414" spans="3:17" s="700" customFormat="1" ht="70.5" hidden="1" customHeight="1">
      <c r="C7414" s="701"/>
      <c r="D7414" s="811"/>
      <c r="E7414" s="1276">
        <f>[11]building!Y7745</f>
        <v>0</v>
      </c>
      <c r="F7414" s="748">
        <f t="shared" si="354"/>
        <v>0</v>
      </c>
      <c r="G7414" s="1205"/>
      <c r="H7414" s="1055"/>
      <c r="I7414" s="1055"/>
      <c r="J7414" s="1055"/>
      <c r="K7414" s="1205"/>
      <c r="L7414" s="1055"/>
      <c r="M7414" s="1205"/>
      <c r="N7414" s="1054"/>
      <c r="O7414" s="1207"/>
      <c r="Q7414" s="1207"/>
    </row>
    <row r="7415" spans="3:17" s="700" customFormat="1" ht="70.5" hidden="1" customHeight="1">
      <c r="C7415" s="701"/>
      <c r="D7415" s="811"/>
      <c r="E7415" s="1276">
        <f>[11]building!Y7746</f>
        <v>0</v>
      </c>
      <c r="F7415" s="748">
        <f t="shared" si="354"/>
        <v>0</v>
      </c>
      <c r="G7415" s="1205"/>
      <c r="H7415" s="1055"/>
      <c r="I7415" s="1055"/>
      <c r="J7415" s="1055"/>
      <c r="K7415" s="1205"/>
      <c r="L7415" s="1055"/>
      <c r="M7415" s="1205"/>
      <c r="N7415" s="1054"/>
      <c r="O7415" s="1207"/>
      <c r="Q7415" s="1207"/>
    </row>
    <row r="7416" spans="3:17" s="700" customFormat="1" ht="70.5" hidden="1" customHeight="1">
      <c r="C7416" s="701"/>
      <c r="D7416" s="811"/>
      <c r="E7416" s="1276">
        <f>[11]building!Y7747</f>
        <v>0</v>
      </c>
      <c r="F7416" s="748">
        <f t="shared" si="354"/>
        <v>0</v>
      </c>
      <c r="G7416" s="1205"/>
      <c r="H7416" s="1055"/>
      <c r="I7416" s="1055"/>
      <c r="J7416" s="1055"/>
      <c r="K7416" s="1205"/>
      <c r="L7416" s="1055"/>
      <c r="M7416" s="1205"/>
      <c r="N7416" s="1054"/>
      <c r="O7416" s="1207"/>
      <c r="Q7416" s="1207"/>
    </row>
    <row r="7417" spans="3:17" s="700" customFormat="1" ht="70.5" hidden="1" customHeight="1">
      <c r="C7417" s="701"/>
      <c r="D7417" s="811"/>
      <c r="E7417" s="1276">
        <f>[11]building!Y7748</f>
        <v>0</v>
      </c>
      <c r="F7417" s="748">
        <f t="shared" si="354"/>
        <v>0</v>
      </c>
      <c r="G7417" s="1205"/>
      <c r="H7417" s="1055"/>
      <c r="I7417" s="1055"/>
      <c r="J7417" s="1055"/>
      <c r="K7417" s="1205"/>
      <c r="L7417" s="1055"/>
      <c r="M7417" s="1205"/>
      <c r="N7417" s="1054"/>
      <c r="O7417" s="1207"/>
      <c r="Q7417" s="1207"/>
    </row>
    <row r="7418" spans="3:17" s="700" customFormat="1" ht="70.5" hidden="1" customHeight="1">
      <c r="C7418" s="701"/>
      <c r="D7418" s="811"/>
      <c r="E7418" s="1276">
        <f>[11]building!Y7749</f>
        <v>0</v>
      </c>
      <c r="F7418" s="748">
        <f t="shared" si="354"/>
        <v>0</v>
      </c>
      <c r="G7418" s="1205"/>
      <c r="H7418" s="1055"/>
      <c r="I7418" s="1055"/>
      <c r="J7418" s="1055"/>
      <c r="K7418" s="1205"/>
      <c r="L7418" s="1055"/>
      <c r="M7418" s="1205"/>
      <c r="N7418" s="1054"/>
      <c r="O7418" s="1207"/>
      <c r="Q7418" s="1207"/>
    </row>
    <row r="7419" spans="3:17" s="700" customFormat="1" ht="70.5" hidden="1" customHeight="1">
      <c r="C7419" s="701"/>
      <c r="D7419" s="811"/>
      <c r="E7419" s="1276">
        <f>[11]building!Y7750</f>
        <v>0</v>
      </c>
      <c r="F7419" s="748">
        <f t="shared" si="354"/>
        <v>0</v>
      </c>
      <c r="G7419" s="1205"/>
      <c r="H7419" s="1055"/>
      <c r="I7419" s="1055"/>
      <c r="J7419" s="1055"/>
      <c r="K7419" s="1205"/>
      <c r="L7419" s="1055"/>
      <c r="M7419" s="1205"/>
      <c r="N7419" s="1054"/>
      <c r="O7419" s="1207"/>
      <c r="Q7419" s="1207"/>
    </row>
    <row r="7420" spans="3:17" s="700" customFormat="1" ht="70.5" hidden="1" customHeight="1">
      <c r="C7420" s="701"/>
      <c r="D7420" s="811"/>
      <c r="E7420" s="1276">
        <f>[11]building!Y7751</f>
        <v>0</v>
      </c>
      <c r="F7420" s="748">
        <f t="shared" si="354"/>
        <v>0</v>
      </c>
      <c r="G7420" s="1205"/>
      <c r="H7420" s="1055"/>
      <c r="I7420" s="1055"/>
      <c r="J7420" s="1055"/>
      <c r="K7420" s="1205"/>
      <c r="L7420" s="1055"/>
      <c r="M7420" s="1205"/>
      <c r="N7420" s="1054"/>
      <c r="O7420" s="1207"/>
      <c r="Q7420" s="1207"/>
    </row>
    <row r="7421" spans="3:17" s="700" customFormat="1" ht="70.5" hidden="1" customHeight="1">
      <c r="C7421" s="701"/>
      <c r="D7421" s="811"/>
      <c r="E7421" s="1276">
        <f>[11]building!Y7752</f>
        <v>0</v>
      </c>
      <c r="F7421" s="748">
        <f t="shared" si="354"/>
        <v>0</v>
      </c>
      <c r="G7421" s="1205"/>
      <c r="H7421" s="1055"/>
      <c r="I7421" s="1055"/>
      <c r="J7421" s="1055"/>
      <c r="K7421" s="1205"/>
      <c r="L7421" s="1055"/>
      <c r="M7421" s="1205"/>
      <c r="N7421" s="1054"/>
      <c r="O7421" s="1207"/>
      <c r="Q7421" s="1207"/>
    </row>
    <row r="7422" spans="3:17" s="700" customFormat="1" ht="70.5" hidden="1" customHeight="1">
      <c r="C7422" s="701"/>
      <c r="D7422" s="811"/>
      <c r="E7422" s="1276">
        <f>[11]building!Y7753</f>
        <v>0</v>
      </c>
      <c r="F7422" s="748">
        <f t="shared" si="354"/>
        <v>0</v>
      </c>
      <c r="G7422" s="1205"/>
      <c r="H7422" s="1055"/>
      <c r="I7422" s="1055"/>
      <c r="J7422" s="1055"/>
      <c r="K7422" s="1205"/>
      <c r="L7422" s="1055"/>
      <c r="M7422" s="1205"/>
      <c r="N7422" s="1054"/>
      <c r="O7422" s="1207"/>
      <c r="Q7422" s="1207"/>
    </row>
    <row r="7423" spans="3:17" s="700" customFormat="1" ht="70.5" hidden="1" customHeight="1">
      <c r="C7423" s="701"/>
      <c r="D7423" s="811"/>
      <c r="E7423" s="1276">
        <f>[11]building!Y7754</f>
        <v>0</v>
      </c>
      <c r="F7423" s="748">
        <f t="shared" si="354"/>
        <v>0</v>
      </c>
      <c r="G7423" s="1205"/>
      <c r="H7423" s="1055"/>
      <c r="I7423" s="1055"/>
      <c r="J7423" s="1055"/>
      <c r="K7423" s="1205"/>
      <c r="L7423" s="1055"/>
      <c r="M7423" s="1205"/>
      <c r="N7423" s="1054"/>
      <c r="O7423" s="1207"/>
      <c r="Q7423" s="1207"/>
    </row>
    <row r="7424" spans="3:17" s="700" customFormat="1" ht="70.5" hidden="1" customHeight="1">
      <c r="C7424" s="701"/>
      <c r="D7424" s="811"/>
      <c r="E7424" s="1276">
        <f>[11]building!Y7755</f>
        <v>0</v>
      </c>
      <c r="F7424" s="748">
        <f t="shared" ref="F7424:F7487" si="355">E7424*C7424</f>
        <v>0</v>
      </c>
      <c r="G7424" s="1205"/>
      <c r="H7424" s="1055"/>
      <c r="I7424" s="1055"/>
      <c r="J7424" s="1055"/>
      <c r="K7424" s="1205"/>
      <c r="L7424" s="1055"/>
      <c r="M7424" s="1205"/>
      <c r="N7424" s="1054"/>
      <c r="O7424" s="1207"/>
      <c r="Q7424" s="1207"/>
    </row>
    <row r="7425" spans="3:17" s="700" customFormat="1" ht="70.5" hidden="1" customHeight="1">
      <c r="C7425" s="701"/>
      <c r="D7425" s="811"/>
      <c r="E7425" s="1276">
        <f>[11]building!Y7756</f>
        <v>0</v>
      </c>
      <c r="F7425" s="748">
        <f t="shared" si="355"/>
        <v>0</v>
      </c>
      <c r="G7425" s="1205"/>
      <c r="H7425" s="1055"/>
      <c r="I7425" s="1055"/>
      <c r="J7425" s="1055"/>
      <c r="K7425" s="1205"/>
      <c r="L7425" s="1055"/>
      <c r="M7425" s="1205"/>
      <c r="N7425" s="1054"/>
      <c r="O7425" s="1207"/>
      <c r="Q7425" s="1207"/>
    </row>
    <row r="7426" spans="3:17" s="700" customFormat="1" ht="70.5" hidden="1" customHeight="1">
      <c r="C7426" s="701"/>
      <c r="D7426" s="811"/>
      <c r="E7426" s="1276">
        <f>[11]building!Y7757</f>
        <v>0</v>
      </c>
      <c r="F7426" s="748">
        <f t="shared" si="355"/>
        <v>0</v>
      </c>
      <c r="G7426" s="1205"/>
      <c r="H7426" s="1055"/>
      <c r="I7426" s="1055"/>
      <c r="J7426" s="1055"/>
      <c r="K7426" s="1205"/>
      <c r="L7426" s="1055"/>
      <c r="M7426" s="1205"/>
      <c r="N7426" s="1054"/>
      <c r="O7426" s="1207"/>
      <c r="Q7426" s="1207"/>
    </row>
    <row r="7427" spans="3:17" s="700" customFormat="1" ht="70.5" hidden="1" customHeight="1">
      <c r="C7427" s="701"/>
      <c r="D7427" s="811"/>
      <c r="E7427" s="1276">
        <f>[11]building!Y7758</f>
        <v>0</v>
      </c>
      <c r="F7427" s="748">
        <f t="shared" si="355"/>
        <v>0</v>
      </c>
      <c r="G7427" s="1205"/>
      <c r="H7427" s="1055"/>
      <c r="I7427" s="1055"/>
      <c r="J7427" s="1055"/>
      <c r="K7427" s="1205"/>
      <c r="L7427" s="1055"/>
      <c r="M7427" s="1205"/>
      <c r="N7427" s="1054"/>
      <c r="O7427" s="1207"/>
      <c r="Q7427" s="1207"/>
    </row>
    <row r="7428" spans="3:17" s="700" customFormat="1" ht="70.5" hidden="1" customHeight="1">
      <c r="C7428" s="701"/>
      <c r="D7428" s="811"/>
      <c r="E7428" s="1276">
        <f>[11]building!Y7759</f>
        <v>0</v>
      </c>
      <c r="F7428" s="748">
        <f t="shared" si="355"/>
        <v>0</v>
      </c>
      <c r="G7428" s="1205"/>
      <c r="H7428" s="1055"/>
      <c r="I7428" s="1055"/>
      <c r="J7428" s="1055"/>
      <c r="K7428" s="1205"/>
      <c r="L7428" s="1055"/>
      <c r="M7428" s="1205"/>
      <c r="N7428" s="1054"/>
      <c r="O7428" s="1207"/>
      <c r="Q7428" s="1207"/>
    </row>
    <row r="7429" spans="3:17" s="700" customFormat="1" ht="70.5" hidden="1" customHeight="1">
      <c r="C7429" s="701"/>
      <c r="D7429" s="811"/>
      <c r="E7429" s="1276">
        <f>[11]building!Y7760</f>
        <v>0</v>
      </c>
      <c r="F7429" s="748">
        <f t="shared" si="355"/>
        <v>0</v>
      </c>
      <c r="G7429" s="1205"/>
      <c r="H7429" s="1055"/>
      <c r="I7429" s="1055"/>
      <c r="J7429" s="1055"/>
      <c r="K7429" s="1205"/>
      <c r="L7429" s="1055"/>
      <c r="M7429" s="1205"/>
      <c r="N7429" s="1054"/>
      <c r="O7429" s="1207"/>
      <c r="Q7429" s="1207"/>
    </row>
    <row r="7430" spans="3:17" s="700" customFormat="1" ht="70.5" hidden="1" customHeight="1">
      <c r="C7430" s="701"/>
      <c r="D7430" s="811"/>
      <c r="E7430" s="1276">
        <f>[11]building!Y7761</f>
        <v>0</v>
      </c>
      <c r="F7430" s="748">
        <f t="shared" si="355"/>
        <v>0</v>
      </c>
      <c r="G7430" s="1205"/>
      <c r="H7430" s="1055"/>
      <c r="I7430" s="1055"/>
      <c r="J7430" s="1055"/>
      <c r="K7430" s="1205"/>
      <c r="L7430" s="1055"/>
      <c r="M7430" s="1205"/>
      <c r="N7430" s="1054"/>
      <c r="O7430" s="1207"/>
      <c r="Q7430" s="1207"/>
    </row>
    <row r="7431" spans="3:17" s="700" customFormat="1" ht="70.5" hidden="1" customHeight="1">
      <c r="C7431" s="701"/>
      <c r="D7431" s="811"/>
      <c r="E7431" s="1276">
        <f>[11]building!Y7762</f>
        <v>0</v>
      </c>
      <c r="F7431" s="748">
        <f t="shared" si="355"/>
        <v>0</v>
      </c>
      <c r="G7431" s="1205"/>
      <c r="H7431" s="1055"/>
      <c r="I7431" s="1055"/>
      <c r="J7431" s="1055"/>
      <c r="K7431" s="1205"/>
      <c r="L7431" s="1055"/>
      <c r="M7431" s="1205"/>
      <c r="N7431" s="1054"/>
      <c r="O7431" s="1207"/>
      <c r="Q7431" s="1207"/>
    </row>
    <row r="7432" spans="3:17" s="700" customFormat="1" ht="70.5" hidden="1" customHeight="1">
      <c r="C7432" s="701"/>
      <c r="D7432" s="811"/>
      <c r="E7432" s="1276">
        <f>[11]building!Y7763</f>
        <v>0</v>
      </c>
      <c r="F7432" s="748">
        <f t="shared" si="355"/>
        <v>0</v>
      </c>
      <c r="G7432" s="1205"/>
      <c r="H7432" s="1055"/>
      <c r="I7432" s="1055"/>
      <c r="J7432" s="1055"/>
      <c r="K7432" s="1205"/>
      <c r="L7432" s="1055"/>
      <c r="M7432" s="1205"/>
      <c r="N7432" s="1054"/>
      <c r="O7432" s="1207"/>
      <c r="Q7432" s="1207"/>
    </row>
    <row r="7433" spans="3:17" s="700" customFormat="1" ht="70.5" hidden="1" customHeight="1">
      <c r="C7433" s="701"/>
      <c r="D7433" s="811"/>
      <c r="E7433" s="1276">
        <f>[11]building!Y7764</f>
        <v>0</v>
      </c>
      <c r="F7433" s="748">
        <f t="shared" si="355"/>
        <v>0</v>
      </c>
      <c r="G7433" s="1205"/>
      <c r="H7433" s="1055"/>
      <c r="I7433" s="1055"/>
      <c r="J7433" s="1055"/>
      <c r="K7433" s="1205"/>
      <c r="L7433" s="1055"/>
      <c r="M7433" s="1205"/>
      <c r="N7433" s="1054"/>
      <c r="O7433" s="1207"/>
      <c r="Q7433" s="1207"/>
    </row>
    <row r="7434" spans="3:17" s="700" customFormat="1" ht="70.5" hidden="1" customHeight="1">
      <c r="C7434" s="701"/>
      <c r="D7434" s="811"/>
      <c r="E7434" s="1276">
        <f>[11]building!Y7765</f>
        <v>0</v>
      </c>
      <c r="F7434" s="748">
        <f t="shared" si="355"/>
        <v>0</v>
      </c>
      <c r="G7434" s="1205"/>
      <c r="H7434" s="1055"/>
      <c r="I7434" s="1055"/>
      <c r="J7434" s="1055"/>
      <c r="K7434" s="1205"/>
      <c r="L7434" s="1055"/>
      <c r="M7434" s="1205"/>
      <c r="N7434" s="1054"/>
      <c r="O7434" s="1207"/>
      <c r="Q7434" s="1207"/>
    </row>
    <row r="7435" spans="3:17" s="700" customFormat="1" ht="70.5" hidden="1" customHeight="1">
      <c r="C7435" s="701"/>
      <c r="D7435" s="811"/>
      <c r="E7435" s="1276">
        <f>[11]building!Y7766</f>
        <v>0</v>
      </c>
      <c r="F7435" s="748">
        <f t="shared" si="355"/>
        <v>0</v>
      </c>
      <c r="G7435" s="1205"/>
      <c r="H7435" s="1055"/>
      <c r="I7435" s="1055"/>
      <c r="J7435" s="1055"/>
      <c r="K7435" s="1205"/>
      <c r="L7435" s="1055"/>
      <c r="M7435" s="1205"/>
      <c r="N7435" s="1054"/>
      <c r="O7435" s="1207"/>
      <c r="Q7435" s="1207"/>
    </row>
    <row r="7436" spans="3:17" s="700" customFormat="1" ht="70.5" hidden="1" customHeight="1">
      <c r="C7436" s="701"/>
      <c r="D7436" s="811"/>
      <c r="E7436" s="1276">
        <f>[11]building!Y7767</f>
        <v>0</v>
      </c>
      <c r="F7436" s="748">
        <f t="shared" si="355"/>
        <v>0</v>
      </c>
      <c r="G7436" s="1205"/>
      <c r="H7436" s="1055"/>
      <c r="I7436" s="1055"/>
      <c r="J7436" s="1055"/>
      <c r="K7436" s="1205"/>
      <c r="L7436" s="1055"/>
      <c r="M7436" s="1205"/>
      <c r="N7436" s="1054"/>
      <c r="O7436" s="1207"/>
      <c r="Q7436" s="1207"/>
    </row>
    <row r="7437" spans="3:17" s="700" customFormat="1" ht="70.5" hidden="1" customHeight="1">
      <c r="C7437" s="701"/>
      <c r="D7437" s="811"/>
      <c r="E7437" s="1276">
        <f>[11]building!Y7768</f>
        <v>0</v>
      </c>
      <c r="F7437" s="748">
        <f t="shared" si="355"/>
        <v>0</v>
      </c>
      <c r="G7437" s="1205"/>
      <c r="H7437" s="1055"/>
      <c r="I7437" s="1055"/>
      <c r="J7437" s="1055"/>
      <c r="K7437" s="1205"/>
      <c r="L7437" s="1055"/>
      <c r="M7437" s="1205"/>
      <c r="N7437" s="1054"/>
      <c r="O7437" s="1207"/>
      <c r="Q7437" s="1207"/>
    </row>
    <row r="7438" spans="3:17" s="700" customFormat="1" ht="70.5" hidden="1" customHeight="1">
      <c r="C7438" s="701"/>
      <c r="D7438" s="811"/>
      <c r="E7438" s="1276">
        <f>[11]building!Y7769</f>
        <v>0</v>
      </c>
      <c r="F7438" s="748">
        <f t="shared" si="355"/>
        <v>0</v>
      </c>
      <c r="G7438" s="1205"/>
      <c r="H7438" s="1055"/>
      <c r="I7438" s="1055"/>
      <c r="J7438" s="1055"/>
      <c r="K7438" s="1205"/>
      <c r="L7438" s="1055"/>
      <c r="M7438" s="1205"/>
      <c r="N7438" s="1054"/>
      <c r="O7438" s="1207"/>
      <c r="Q7438" s="1207"/>
    </row>
    <row r="7439" spans="3:17" s="700" customFormat="1" ht="70.5" hidden="1" customHeight="1">
      <c r="C7439" s="701"/>
      <c r="D7439" s="811"/>
      <c r="E7439" s="1276">
        <f>[11]building!Y7770</f>
        <v>0</v>
      </c>
      <c r="F7439" s="748">
        <f t="shared" si="355"/>
        <v>0</v>
      </c>
      <c r="G7439" s="1205"/>
      <c r="H7439" s="1055"/>
      <c r="I7439" s="1055"/>
      <c r="J7439" s="1055"/>
      <c r="K7439" s="1205"/>
      <c r="L7439" s="1055"/>
      <c r="M7439" s="1205"/>
      <c r="N7439" s="1054"/>
      <c r="O7439" s="1207"/>
      <c r="Q7439" s="1207"/>
    </row>
    <row r="7440" spans="3:17" s="700" customFormat="1" ht="70.5" hidden="1" customHeight="1">
      <c r="C7440" s="701"/>
      <c r="D7440" s="811"/>
      <c r="E7440" s="1276">
        <f>[11]building!Y7771</f>
        <v>0</v>
      </c>
      <c r="F7440" s="748">
        <f t="shared" si="355"/>
        <v>0</v>
      </c>
      <c r="G7440" s="1205"/>
      <c r="H7440" s="1055"/>
      <c r="I7440" s="1055"/>
      <c r="J7440" s="1055"/>
      <c r="K7440" s="1205"/>
      <c r="L7440" s="1055"/>
      <c r="M7440" s="1205"/>
      <c r="N7440" s="1054"/>
      <c r="O7440" s="1207"/>
      <c r="Q7440" s="1207"/>
    </row>
    <row r="7441" spans="3:17" s="700" customFormat="1" ht="70.5" hidden="1" customHeight="1">
      <c r="C7441" s="701"/>
      <c r="D7441" s="811"/>
      <c r="E7441" s="1276">
        <f>[11]building!Y7772</f>
        <v>0</v>
      </c>
      <c r="F7441" s="748">
        <f t="shared" si="355"/>
        <v>0</v>
      </c>
      <c r="G7441" s="1205"/>
      <c r="H7441" s="1055"/>
      <c r="I7441" s="1055"/>
      <c r="J7441" s="1055"/>
      <c r="K7441" s="1205"/>
      <c r="L7441" s="1055"/>
      <c r="M7441" s="1205"/>
      <c r="N7441" s="1054"/>
      <c r="O7441" s="1207"/>
      <c r="Q7441" s="1207"/>
    </row>
    <row r="7442" spans="3:17" s="700" customFormat="1" ht="70.5" hidden="1" customHeight="1">
      <c r="C7442" s="701"/>
      <c r="D7442" s="811"/>
      <c r="E7442" s="1276">
        <f>[11]building!Y7773</f>
        <v>0</v>
      </c>
      <c r="F7442" s="748">
        <f t="shared" si="355"/>
        <v>0</v>
      </c>
      <c r="G7442" s="1205"/>
      <c r="H7442" s="1055"/>
      <c r="I7442" s="1055"/>
      <c r="J7442" s="1055"/>
      <c r="K7442" s="1205"/>
      <c r="L7442" s="1055"/>
      <c r="M7442" s="1205"/>
      <c r="N7442" s="1054"/>
      <c r="O7442" s="1207"/>
      <c r="Q7442" s="1207"/>
    </row>
    <row r="7443" spans="3:17" s="700" customFormat="1" ht="70.5" hidden="1" customHeight="1">
      <c r="C7443" s="701"/>
      <c r="D7443" s="811"/>
      <c r="E7443" s="1276">
        <f>[11]building!Y7774</f>
        <v>0</v>
      </c>
      <c r="F7443" s="748">
        <f t="shared" si="355"/>
        <v>0</v>
      </c>
      <c r="G7443" s="1205"/>
      <c r="H7443" s="1055"/>
      <c r="I7443" s="1055"/>
      <c r="J7443" s="1055"/>
      <c r="K7443" s="1205"/>
      <c r="L7443" s="1055"/>
      <c r="M7443" s="1205"/>
      <c r="N7443" s="1054"/>
      <c r="O7443" s="1207"/>
      <c r="Q7443" s="1207"/>
    </row>
    <row r="7444" spans="3:17" s="700" customFormat="1" ht="70.5" hidden="1" customHeight="1">
      <c r="C7444" s="701"/>
      <c r="D7444" s="811"/>
      <c r="E7444" s="1276">
        <f>[11]building!Y7775</f>
        <v>0</v>
      </c>
      <c r="F7444" s="748">
        <f t="shared" si="355"/>
        <v>0</v>
      </c>
      <c r="G7444" s="1205"/>
      <c r="H7444" s="1055"/>
      <c r="I7444" s="1055"/>
      <c r="J7444" s="1055"/>
      <c r="K7444" s="1205"/>
      <c r="L7444" s="1055"/>
      <c r="M7444" s="1205"/>
      <c r="N7444" s="1054"/>
      <c r="O7444" s="1207"/>
      <c r="Q7444" s="1207"/>
    </row>
    <row r="7445" spans="3:17" s="700" customFormat="1" ht="70.5" hidden="1" customHeight="1">
      <c r="C7445" s="701"/>
      <c r="D7445" s="811"/>
      <c r="E7445" s="1276">
        <f>[11]building!Y7776</f>
        <v>0</v>
      </c>
      <c r="F7445" s="748">
        <f t="shared" si="355"/>
        <v>0</v>
      </c>
      <c r="G7445" s="1205"/>
      <c r="H7445" s="1055"/>
      <c r="I7445" s="1055"/>
      <c r="J7445" s="1055"/>
      <c r="K7445" s="1205"/>
      <c r="L7445" s="1055"/>
      <c r="M7445" s="1205"/>
      <c r="N7445" s="1054"/>
      <c r="O7445" s="1207"/>
      <c r="Q7445" s="1207"/>
    </row>
    <row r="7446" spans="3:17" s="700" customFormat="1" ht="70.5" hidden="1" customHeight="1">
      <c r="C7446" s="701"/>
      <c r="D7446" s="811"/>
      <c r="E7446" s="1276">
        <f>[11]building!Y7777</f>
        <v>0</v>
      </c>
      <c r="F7446" s="748">
        <f t="shared" si="355"/>
        <v>0</v>
      </c>
      <c r="G7446" s="1205"/>
      <c r="H7446" s="1055"/>
      <c r="I7446" s="1055"/>
      <c r="J7446" s="1055"/>
      <c r="K7446" s="1205"/>
      <c r="L7446" s="1055"/>
      <c r="M7446" s="1205"/>
      <c r="N7446" s="1054"/>
      <c r="O7446" s="1207"/>
      <c r="Q7446" s="1207"/>
    </row>
    <row r="7447" spans="3:17" s="700" customFormat="1" ht="70.5" hidden="1" customHeight="1">
      <c r="C7447" s="701"/>
      <c r="D7447" s="811"/>
      <c r="E7447" s="1276">
        <f>[11]building!Y7778</f>
        <v>0</v>
      </c>
      <c r="F7447" s="748">
        <f t="shared" si="355"/>
        <v>0</v>
      </c>
      <c r="G7447" s="1205"/>
      <c r="H7447" s="1055"/>
      <c r="I7447" s="1055"/>
      <c r="J7447" s="1055"/>
      <c r="K7447" s="1205"/>
      <c r="L7447" s="1055"/>
      <c r="M7447" s="1205"/>
      <c r="N7447" s="1054"/>
      <c r="O7447" s="1207"/>
      <c r="Q7447" s="1207"/>
    </row>
    <row r="7448" spans="3:17" s="700" customFormat="1" ht="70.5" hidden="1" customHeight="1">
      <c r="C7448" s="701"/>
      <c r="D7448" s="811"/>
      <c r="E7448" s="1276">
        <f>[11]building!Y7779</f>
        <v>0</v>
      </c>
      <c r="F7448" s="748">
        <f t="shared" si="355"/>
        <v>0</v>
      </c>
      <c r="G7448" s="1205"/>
      <c r="H7448" s="1055"/>
      <c r="I7448" s="1055"/>
      <c r="J7448" s="1055"/>
      <c r="K7448" s="1205"/>
      <c r="L7448" s="1055"/>
      <c r="M7448" s="1205"/>
      <c r="N7448" s="1054"/>
      <c r="O7448" s="1207"/>
      <c r="Q7448" s="1207"/>
    </row>
    <row r="7449" spans="3:17" s="700" customFormat="1" ht="70.5" hidden="1" customHeight="1">
      <c r="C7449" s="701"/>
      <c r="D7449" s="811"/>
      <c r="E7449" s="1276">
        <f>[11]building!Y7780</f>
        <v>0</v>
      </c>
      <c r="F7449" s="748">
        <f t="shared" si="355"/>
        <v>0</v>
      </c>
      <c r="G7449" s="1205"/>
      <c r="H7449" s="1055"/>
      <c r="I7449" s="1055"/>
      <c r="J7449" s="1055"/>
      <c r="K7449" s="1205"/>
      <c r="L7449" s="1055"/>
      <c r="M7449" s="1205"/>
      <c r="N7449" s="1054"/>
      <c r="O7449" s="1207"/>
      <c r="Q7449" s="1207"/>
    </row>
    <row r="7450" spans="3:17" s="700" customFormat="1" ht="70.5" hidden="1" customHeight="1">
      <c r="C7450" s="701"/>
      <c r="D7450" s="811"/>
      <c r="E7450" s="1276">
        <f>[11]building!Y7781</f>
        <v>0</v>
      </c>
      <c r="F7450" s="748">
        <f t="shared" si="355"/>
        <v>0</v>
      </c>
      <c r="G7450" s="1205"/>
      <c r="H7450" s="1055"/>
      <c r="I7450" s="1055"/>
      <c r="J7450" s="1055"/>
      <c r="K7450" s="1205"/>
      <c r="L7450" s="1055"/>
      <c r="M7450" s="1205"/>
      <c r="N7450" s="1054"/>
      <c r="O7450" s="1207"/>
      <c r="Q7450" s="1207"/>
    </row>
    <row r="7451" spans="3:17" s="700" customFormat="1" ht="70.5" hidden="1" customHeight="1">
      <c r="C7451" s="701"/>
      <c r="D7451" s="811"/>
      <c r="E7451" s="1276">
        <f>[11]building!Y7782</f>
        <v>0</v>
      </c>
      <c r="F7451" s="748">
        <f t="shared" si="355"/>
        <v>0</v>
      </c>
      <c r="G7451" s="1205"/>
      <c r="H7451" s="1055"/>
      <c r="I7451" s="1055"/>
      <c r="J7451" s="1055"/>
      <c r="K7451" s="1205"/>
      <c r="L7451" s="1055"/>
      <c r="M7451" s="1205"/>
      <c r="N7451" s="1054"/>
      <c r="O7451" s="1207"/>
      <c r="Q7451" s="1207"/>
    </row>
    <row r="7452" spans="3:17" s="700" customFormat="1" ht="70.5" hidden="1" customHeight="1">
      <c r="C7452" s="701"/>
      <c r="D7452" s="811"/>
      <c r="E7452" s="1276">
        <f>[11]building!Y7783</f>
        <v>0</v>
      </c>
      <c r="F7452" s="748">
        <f t="shared" si="355"/>
        <v>0</v>
      </c>
      <c r="G7452" s="1205"/>
      <c r="H7452" s="1055"/>
      <c r="I7452" s="1055"/>
      <c r="J7452" s="1055"/>
      <c r="K7452" s="1205"/>
      <c r="L7452" s="1055"/>
      <c r="M7452" s="1205"/>
      <c r="N7452" s="1054"/>
      <c r="O7452" s="1207"/>
      <c r="Q7452" s="1207"/>
    </row>
    <row r="7453" spans="3:17" s="700" customFormat="1" ht="70.5" hidden="1" customHeight="1">
      <c r="C7453" s="701"/>
      <c r="D7453" s="811"/>
      <c r="E7453" s="1276">
        <f>[11]building!Y7784</f>
        <v>0</v>
      </c>
      <c r="F7453" s="748">
        <f t="shared" si="355"/>
        <v>0</v>
      </c>
      <c r="G7453" s="1205"/>
      <c r="H7453" s="1055"/>
      <c r="I7453" s="1055"/>
      <c r="J7453" s="1055"/>
      <c r="K7453" s="1205"/>
      <c r="L7453" s="1055"/>
      <c r="M7453" s="1205"/>
      <c r="N7453" s="1054"/>
      <c r="O7453" s="1207"/>
      <c r="Q7453" s="1207"/>
    </row>
    <row r="7454" spans="3:17" s="700" customFormat="1" ht="70.5" hidden="1" customHeight="1">
      <c r="C7454" s="701"/>
      <c r="D7454" s="811"/>
      <c r="E7454" s="1276">
        <f>[11]building!Y7785</f>
        <v>0</v>
      </c>
      <c r="F7454" s="748">
        <f t="shared" si="355"/>
        <v>0</v>
      </c>
      <c r="G7454" s="1205"/>
      <c r="H7454" s="1055"/>
      <c r="I7454" s="1055"/>
      <c r="J7454" s="1055"/>
      <c r="K7454" s="1205"/>
      <c r="L7454" s="1055"/>
      <c r="M7454" s="1205"/>
      <c r="N7454" s="1054"/>
      <c r="O7454" s="1207"/>
      <c r="Q7454" s="1207"/>
    </row>
    <row r="7455" spans="3:17" s="700" customFormat="1" ht="70.5" hidden="1" customHeight="1">
      <c r="C7455" s="701"/>
      <c r="D7455" s="811"/>
      <c r="E7455" s="1276">
        <f>[11]building!Y7786</f>
        <v>0</v>
      </c>
      <c r="F7455" s="748">
        <f t="shared" si="355"/>
        <v>0</v>
      </c>
      <c r="G7455" s="1205"/>
      <c r="H7455" s="1055"/>
      <c r="I7455" s="1055"/>
      <c r="J7455" s="1055"/>
      <c r="K7455" s="1205"/>
      <c r="L7455" s="1055"/>
      <c r="M7455" s="1205"/>
      <c r="N7455" s="1054"/>
      <c r="O7455" s="1207"/>
      <c r="Q7455" s="1207"/>
    </row>
    <row r="7456" spans="3:17" s="700" customFormat="1" ht="70.5" hidden="1" customHeight="1">
      <c r="C7456" s="701"/>
      <c r="D7456" s="811"/>
      <c r="E7456" s="1276">
        <f>[11]building!Y7787</f>
        <v>0</v>
      </c>
      <c r="F7456" s="748">
        <f t="shared" si="355"/>
        <v>0</v>
      </c>
      <c r="G7456" s="1205"/>
      <c r="H7456" s="1055"/>
      <c r="I7456" s="1055"/>
      <c r="J7456" s="1055"/>
      <c r="K7456" s="1205"/>
      <c r="L7456" s="1055"/>
      <c r="M7456" s="1205"/>
      <c r="N7456" s="1054"/>
      <c r="O7456" s="1207"/>
      <c r="Q7456" s="1207"/>
    </row>
    <row r="7457" spans="3:17" s="700" customFormat="1" ht="70.5" hidden="1" customHeight="1">
      <c r="C7457" s="701"/>
      <c r="D7457" s="811"/>
      <c r="E7457" s="1276">
        <f>[11]building!Y7788</f>
        <v>0</v>
      </c>
      <c r="F7457" s="748">
        <f t="shared" si="355"/>
        <v>0</v>
      </c>
      <c r="G7457" s="1205"/>
      <c r="H7457" s="1055"/>
      <c r="I7457" s="1055"/>
      <c r="J7457" s="1055"/>
      <c r="K7457" s="1205"/>
      <c r="L7457" s="1055"/>
      <c r="M7457" s="1205"/>
      <c r="N7457" s="1054"/>
      <c r="O7457" s="1207"/>
      <c r="Q7457" s="1207"/>
    </row>
    <row r="7458" spans="3:17" s="700" customFormat="1" ht="70.5" hidden="1" customHeight="1">
      <c r="C7458" s="701"/>
      <c r="D7458" s="811"/>
      <c r="E7458" s="1276">
        <f>[11]building!Y7789</f>
        <v>0</v>
      </c>
      <c r="F7458" s="748">
        <f t="shared" si="355"/>
        <v>0</v>
      </c>
      <c r="G7458" s="1205"/>
      <c r="H7458" s="1055"/>
      <c r="I7458" s="1055"/>
      <c r="J7458" s="1055"/>
      <c r="K7458" s="1205"/>
      <c r="L7458" s="1055"/>
      <c r="M7458" s="1205"/>
      <c r="N7458" s="1054"/>
      <c r="O7458" s="1207"/>
      <c r="Q7458" s="1207"/>
    </row>
    <row r="7459" spans="3:17" s="700" customFormat="1" ht="70.5" hidden="1" customHeight="1">
      <c r="C7459" s="701"/>
      <c r="D7459" s="811"/>
      <c r="E7459" s="1276">
        <f>[11]building!Y7790</f>
        <v>0</v>
      </c>
      <c r="F7459" s="748">
        <f t="shared" si="355"/>
        <v>0</v>
      </c>
      <c r="G7459" s="1205"/>
      <c r="H7459" s="1055"/>
      <c r="I7459" s="1055"/>
      <c r="J7459" s="1055"/>
      <c r="K7459" s="1205"/>
      <c r="L7459" s="1055"/>
      <c r="M7459" s="1205"/>
      <c r="N7459" s="1054"/>
      <c r="O7459" s="1207"/>
      <c r="Q7459" s="1207"/>
    </row>
    <row r="7460" spans="3:17" s="700" customFormat="1" ht="70.5" hidden="1" customHeight="1">
      <c r="C7460" s="701"/>
      <c r="D7460" s="811"/>
      <c r="E7460" s="1276">
        <f>[11]building!Y7791</f>
        <v>0</v>
      </c>
      <c r="F7460" s="748">
        <f t="shared" si="355"/>
        <v>0</v>
      </c>
      <c r="G7460" s="1205"/>
      <c r="H7460" s="1055"/>
      <c r="I7460" s="1055"/>
      <c r="J7460" s="1055"/>
      <c r="K7460" s="1205"/>
      <c r="L7460" s="1055"/>
      <c r="M7460" s="1205"/>
      <c r="N7460" s="1054"/>
      <c r="O7460" s="1207"/>
      <c r="Q7460" s="1207"/>
    </row>
    <row r="7461" spans="3:17" s="700" customFormat="1" ht="70.5" hidden="1" customHeight="1">
      <c r="C7461" s="701"/>
      <c r="D7461" s="811"/>
      <c r="E7461" s="1276">
        <f>[11]building!Y7792</f>
        <v>0</v>
      </c>
      <c r="F7461" s="748">
        <f t="shared" si="355"/>
        <v>0</v>
      </c>
      <c r="G7461" s="1205"/>
      <c r="H7461" s="1055"/>
      <c r="I7461" s="1055"/>
      <c r="J7461" s="1055"/>
      <c r="K7461" s="1205"/>
      <c r="L7461" s="1055"/>
      <c r="M7461" s="1205"/>
      <c r="N7461" s="1054"/>
      <c r="O7461" s="1207"/>
      <c r="Q7461" s="1207"/>
    </row>
    <row r="7462" spans="3:17" s="700" customFormat="1" ht="70.5" hidden="1" customHeight="1">
      <c r="C7462" s="701"/>
      <c r="D7462" s="811"/>
      <c r="E7462" s="1276">
        <f>[11]building!Y7793</f>
        <v>0</v>
      </c>
      <c r="F7462" s="748">
        <f t="shared" si="355"/>
        <v>0</v>
      </c>
      <c r="G7462" s="1205"/>
      <c r="H7462" s="1055"/>
      <c r="I7462" s="1055"/>
      <c r="J7462" s="1055"/>
      <c r="K7462" s="1205"/>
      <c r="L7462" s="1055"/>
      <c r="M7462" s="1205"/>
      <c r="N7462" s="1054"/>
      <c r="O7462" s="1207"/>
      <c r="Q7462" s="1207"/>
    </row>
    <row r="7463" spans="3:17" s="700" customFormat="1" ht="70.5" hidden="1" customHeight="1">
      <c r="C7463" s="701"/>
      <c r="D7463" s="811"/>
      <c r="E7463" s="1276">
        <f>[11]building!Y7794</f>
        <v>0</v>
      </c>
      <c r="F7463" s="748">
        <f t="shared" si="355"/>
        <v>0</v>
      </c>
      <c r="G7463" s="1205"/>
      <c r="H7463" s="1055"/>
      <c r="I7463" s="1055"/>
      <c r="J7463" s="1055"/>
      <c r="K7463" s="1205"/>
      <c r="L7463" s="1055"/>
      <c r="M7463" s="1205"/>
      <c r="N7463" s="1054"/>
      <c r="O7463" s="1207"/>
      <c r="Q7463" s="1207"/>
    </row>
    <row r="7464" spans="3:17" s="700" customFormat="1" ht="70.5" hidden="1" customHeight="1">
      <c r="C7464" s="701"/>
      <c r="D7464" s="811"/>
      <c r="E7464" s="1276">
        <f>[11]building!Y7795</f>
        <v>0</v>
      </c>
      <c r="F7464" s="748">
        <f t="shared" si="355"/>
        <v>0</v>
      </c>
      <c r="G7464" s="1205"/>
      <c r="H7464" s="1055"/>
      <c r="I7464" s="1055"/>
      <c r="J7464" s="1055"/>
      <c r="K7464" s="1205"/>
      <c r="L7464" s="1055"/>
      <c r="M7464" s="1205"/>
      <c r="N7464" s="1054"/>
      <c r="O7464" s="1207"/>
      <c r="Q7464" s="1207"/>
    </row>
    <row r="7465" spans="3:17" s="700" customFormat="1" ht="70.5" hidden="1" customHeight="1">
      <c r="C7465" s="701"/>
      <c r="D7465" s="811"/>
      <c r="E7465" s="1276">
        <f>[11]building!Y7796</f>
        <v>0</v>
      </c>
      <c r="F7465" s="748">
        <f t="shared" si="355"/>
        <v>0</v>
      </c>
      <c r="G7465" s="1205"/>
      <c r="H7465" s="1055"/>
      <c r="I7465" s="1055"/>
      <c r="J7465" s="1055"/>
      <c r="K7465" s="1205"/>
      <c r="L7465" s="1055"/>
      <c r="M7465" s="1205"/>
      <c r="N7465" s="1054"/>
      <c r="O7465" s="1207"/>
      <c r="Q7465" s="1207"/>
    </row>
    <row r="7466" spans="3:17" s="700" customFormat="1" ht="70.5" hidden="1" customHeight="1">
      <c r="C7466" s="701"/>
      <c r="D7466" s="811"/>
      <c r="E7466" s="1276">
        <f>[11]building!Y7797</f>
        <v>0</v>
      </c>
      <c r="F7466" s="748">
        <f t="shared" si="355"/>
        <v>0</v>
      </c>
      <c r="G7466" s="1205"/>
      <c r="H7466" s="1055"/>
      <c r="I7466" s="1055"/>
      <c r="J7466" s="1055"/>
      <c r="K7466" s="1205"/>
      <c r="L7466" s="1055"/>
      <c r="M7466" s="1205"/>
      <c r="N7466" s="1054"/>
      <c r="O7466" s="1207"/>
      <c r="Q7466" s="1207"/>
    </row>
    <row r="7467" spans="3:17" s="700" customFormat="1" ht="70.5" hidden="1" customHeight="1">
      <c r="C7467" s="701"/>
      <c r="D7467" s="811"/>
      <c r="E7467" s="1276">
        <f>[11]building!Y7798</f>
        <v>0</v>
      </c>
      <c r="F7467" s="748">
        <f t="shared" si="355"/>
        <v>0</v>
      </c>
      <c r="G7467" s="1205"/>
      <c r="H7467" s="1055"/>
      <c r="I7467" s="1055"/>
      <c r="J7467" s="1055"/>
      <c r="K7467" s="1205"/>
      <c r="L7467" s="1055"/>
      <c r="M7467" s="1205"/>
      <c r="N7467" s="1054"/>
      <c r="O7467" s="1207"/>
      <c r="Q7467" s="1207"/>
    </row>
    <row r="7468" spans="3:17" s="700" customFormat="1" ht="70.5" hidden="1" customHeight="1">
      <c r="C7468" s="701"/>
      <c r="D7468" s="811"/>
      <c r="E7468" s="1276">
        <f>[11]building!Y7799</f>
        <v>0</v>
      </c>
      <c r="F7468" s="748">
        <f t="shared" si="355"/>
        <v>0</v>
      </c>
      <c r="G7468" s="1205"/>
      <c r="H7468" s="1055"/>
      <c r="I7468" s="1055"/>
      <c r="J7468" s="1055"/>
      <c r="K7468" s="1205"/>
      <c r="L7468" s="1055"/>
      <c r="M7468" s="1205"/>
      <c r="N7468" s="1054"/>
      <c r="O7468" s="1207"/>
      <c r="Q7468" s="1207"/>
    </row>
    <row r="7469" spans="3:17" s="700" customFormat="1" ht="70.5" hidden="1" customHeight="1">
      <c r="C7469" s="701"/>
      <c r="D7469" s="811"/>
      <c r="E7469" s="1276">
        <f>[11]building!Y7800</f>
        <v>0</v>
      </c>
      <c r="F7469" s="748">
        <f t="shared" si="355"/>
        <v>0</v>
      </c>
      <c r="G7469" s="1205"/>
      <c r="H7469" s="1055"/>
      <c r="I7469" s="1055"/>
      <c r="J7469" s="1055"/>
      <c r="K7469" s="1205"/>
      <c r="L7469" s="1055"/>
      <c r="M7469" s="1205"/>
      <c r="N7469" s="1054"/>
      <c r="O7469" s="1207"/>
      <c r="Q7469" s="1207"/>
    </row>
    <row r="7470" spans="3:17" s="700" customFormat="1" ht="70.5" hidden="1" customHeight="1">
      <c r="C7470" s="701"/>
      <c r="D7470" s="811"/>
      <c r="E7470" s="1276">
        <f>[11]building!Y7801</f>
        <v>0</v>
      </c>
      <c r="F7470" s="748">
        <f t="shared" si="355"/>
        <v>0</v>
      </c>
      <c r="G7470" s="1205"/>
      <c r="H7470" s="1055"/>
      <c r="I7470" s="1055"/>
      <c r="J7470" s="1055"/>
      <c r="K7470" s="1205"/>
      <c r="L7470" s="1055"/>
      <c r="M7470" s="1205"/>
      <c r="N7470" s="1054"/>
      <c r="O7470" s="1207"/>
      <c r="Q7470" s="1207"/>
    </row>
    <row r="7471" spans="3:17" s="700" customFormat="1" ht="70.5" hidden="1" customHeight="1">
      <c r="C7471" s="701"/>
      <c r="D7471" s="811"/>
      <c r="E7471" s="1276">
        <f>[11]building!Y7802</f>
        <v>0</v>
      </c>
      <c r="F7471" s="748">
        <f t="shared" si="355"/>
        <v>0</v>
      </c>
      <c r="G7471" s="1205"/>
      <c r="H7471" s="1055"/>
      <c r="I7471" s="1055"/>
      <c r="J7471" s="1055"/>
      <c r="K7471" s="1205"/>
      <c r="L7471" s="1055"/>
      <c r="M7471" s="1205"/>
      <c r="N7471" s="1054"/>
      <c r="O7471" s="1207"/>
      <c r="Q7471" s="1207"/>
    </row>
    <row r="7472" spans="3:17" s="700" customFormat="1" ht="70.5" hidden="1" customHeight="1">
      <c r="C7472" s="701"/>
      <c r="D7472" s="811"/>
      <c r="E7472" s="1276">
        <f>[11]building!Y7803</f>
        <v>0</v>
      </c>
      <c r="F7472" s="748">
        <f t="shared" si="355"/>
        <v>0</v>
      </c>
      <c r="G7472" s="1205"/>
      <c r="H7472" s="1055"/>
      <c r="I7472" s="1055"/>
      <c r="J7472" s="1055"/>
      <c r="K7472" s="1205"/>
      <c r="L7472" s="1055"/>
      <c r="M7472" s="1205"/>
      <c r="N7472" s="1054"/>
      <c r="O7472" s="1207"/>
      <c r="Q7472" s="1207"/>
    </row>
    <row r="7473" spans="3:17" s="700" customFormat="1" ht="70.5" hidden="1" customHeight="1">
      <c r="C7473" s="701"/>
      <c r="D7473" s="811"/>
      <c r="E7473" s="1276">
        <f>[11]building!Y7804</f>
        <v>0</v>
      </c>
      <c r="F7473" s="748">
        <f t="shared" si="355"/>
        <v>0</v>
      </c>
      <c r="G7473" s="1205"/>
      <c r="H7473" s="1055"/>
      <c r="I7473" s="1055"/>
      <c r="J7473" s="1055"/>
      <c r="K7473" s="1205"/>
      <c r="L7473" s="1055"/>
      <c r="M7473" s="1205"/>
      <c r="N7473" s="1054"/>
      <c r="O7473" s="1207"/>
      <c r="Q7473" s="1207"/>
    </row>
    <row r="7474" spans="3:17" s="700" customFormat="1" ht="70.5" hidden="1" customHeight="1">
      <c r="C7474" s="701"/>
      <c r="D7474" s="811"/>
      <c r="E7474" s="1276">
        <f>[11]building!Y7805</f>
        <v>0</v>
      </c>
      <c r="F7474" s="748">
        <f t="shared" si="355"/>
        <v>0</v>
      </c>
      <c r="G7474" s="1205"/>
      <c r="H7474" s="1055"/>
      <c r="I7474" s="1055"/>
      <c r="J7474" s="1055"/>
      <c r="K7474" s="1205"/>
      <c r="L7474" s="1055"/>
      <c r="M7474" s="1205"/>
      <c r="N7474" s="1054"/>
      <c r="O7474" s="1207"/>
      <c r="Q7474" s="1207"/>
    </row>
    <row r="7475" spans="3:17" s="700" customFormat="1" ht="70.5" hidden="1" customHeight="1">
      <c r="C7475" s="701"/>
      <c r="D7475" s="811"/>
      <c r="E7475" s="1276">
        <f>[11]building!Y7806</f>
        <v>0</v>
      </c>
      <c r="F7475" s="748">
        <f t="shared" si="355"/>
        <v>0</v>
      </c>
      <c r="G7475" s="1205"/>
      <c r="H7475" s="1055"/>
      <c r="I7475" s="1055"/>
      <c r="J7475" s="1055"/>
      <c r="K7475" s="1205"/>
      <c r="L7475" s="1055"/>
      <c r="M7475" s="1205"/>
      <c r="N7475" s="1054"/>
      <c r="O7475" s="1207"/>
      <c r="Q7475" s="1207"/>
    </row>
    <row r="7476" spans="3:17" s="700" customFormat="1" ht="70.5" hidden="1" customHeight="1">
      <c r="C7476" s="701"/>
      <c r="D7476" s="811"/>
      <c r="E7476" s="1276">
        <f>[11]building!Y7807</f>
        <v>0</v>
      </c>
      <c r="F7476" s="748">
        <f t="shared" si="355"/>
        <v>0</v>
      </c>
      <c r="G7476" s="1205"/>
      <c r="H7476" s="1055"/>
      <c r="I7476" s="1055"/>
      <c r="J7476" s="1055"/>
      <c r="K7476" s="1205"/>
      <c r="L7476" s="1055"/>
      <c r="M7476" s="1205"/>
      <c r="N7476" s="1054"/>
      <c r="O7476" s="1207"/>
      <c r="Q7476" s="1207"/>
    </row>
    <row r="7477" spans="3:17" s="700" customFormat="1" ht="70.5" hidden="1" customHeight="1">
      <c r="C7477" s="701"/>
      <c r="D7477" s="811"/>
      <c r="E7477" s="1276">
        <f>[11]building!Y7808</f>
        <v>0</v>
      </c>
      <c r="F7477" s="748">
        <f t="shared" si="355"/>
        <v>0</v>
      </c>
      <c r="G7477" s="1205"/>
      <c r="H7477" s="1055"/>
      <c r="I7477" s="1055"/>
      <c r="J7477" s="1055"/>
      <c r="K7477" s="1205"/>
      <c r="L7477" s="1055"/>
      <c r="M7477" s="1205"/>
      <c r="N7477" s="1054"/>
      <c r="O7477" s="1207"/>
      <c r="Q7477" s="1207"/>
    </row>
    <row r="7478" spans="3:17" s="700" customFormat="1" ht="70.5" hidden="1" customHeight="1">
      <c r="C7478" s="701"/>
      <c r="D7478" s="811"/>
      <c r="E7478" s="1276">
        <f>[11]building!Y7809</f>
        <v>0</v>
      </c>
      <c r="F7478" s="748">
        <f t="shared" si="355"/>
        <v>0</v>
      </c>
      <c r="G7478" s="1205"/>
      <c r="H7478" s="1055"/>
      <c r="I7478" s="1055"/>
      <c r="J7478" s="1055"/>
      <c r="K7478" s="1205"/>
      <c r="L7478" s="1055"/>
      <c r="M7478" s="1205"/>
      <c r="N7478" s="1054"/>
      <c r="O7478" s="1207"/>
      <c r="Q7478" s="1207"/>
    </row>
    <row r="7479" spans="3:17" s="700" customFormat="1" ht="70.5" hidden="1" customHeight="1">
      <c r="C7479" s="701"/>
      <c r="D7479" s="811"/>
      <c r="E7479" s="1276">
        <f>[11]building!Y7810</f>
        <v>0</v>
      </c>
      <c r="F7479" s="748">
        <f t="shared" si="355"/>
        <v>0</v>
      </c>
      <c r="G7479" s="1205"/>
      <c r="H7479" s="1055"/>
      <c r="I7479" s="1055"/>
      <c r="J7479" s="1055"/>
      <c r="K7479" s="1205"/>
      <c r="L7479" s="1055"/>
      <c r="M7479" s="1205"/>
      <c r="N7479" s="1054"/>
      <c r="O7479" s="1207"/>
      <c r="Q7479" s="1207"/>
    </row>
    <row r="7480" spans="3:17" s="700" customFormat="1" ht="70.5" hidden="1" customHeight="1">
      <c r="C7480" s="701"/>
      <c r="D7480" s="811"/>
      <c r="E7480" s="1276">
        <f>[11]building!Y7811</f>
        <v>0</v>
      </c>
      <c r="F7480" s="748">
        <f t="shared" si="355"/>
        <v>0</v>
      </c>
      <c r="G7480" s="1205"/>
      <c r="H7480" s="1055"/>
      <c r="I7480" s="1055"/>
      <c r="J7480" s="1055"/>
      <c r="K7480" s="1205"/>
      <c r="L7480" s="1055"/>
      <c r="M7480" s="1205"/>
      <c r="N7480" s="1054"/>
      <c r="O7480" s="1207"/>
      <c r="Q7480" s="1207"/>
    </row>
    <row r="7481" spans="3:17" s="700" customFormat="1" ht="70.5" hidden="1" customHeight="1">
      <c r="C7481" s="701"/>
      <c r="D7481" s="811"/>
      <c r="E7481" s="1276">
        <f>[11]building!Y7812</f>
        <v>0</v>
      </c>
      <c r="F7481" s="748">
        <f t="shared" si="355"/>
        <v>0</v>
      </c>
      <c r="G7481" s="1205"/>
      <c r="H7481" s="1055"/>
      <c r="I7481" s="1055"/>
      <c r="J7481" s="1055"/>
      <c r="K7481" s="1205"/>
      <c r="L7481" s="1055"/>
      <c r="M7481" s="1205"/>
      <c r="N7481" s="1054"/>
      <c r="O7481" s="1207"/>
      <c r="Q7481" s="1207"/>
    </row>
    <row r="7482" spans="3:17" s="700" customFormat="1" ht="70.5" hidden="1" customHeight="1">
      <c r="C7482" s="701"/>
      <c r="D7482" s="811"/>
      <c r="E7482" s="1276">
        <f>[11]building!Y7813</f>
        <v>0</v>
      </c>
      <c r="F7482" s="748">
        <f t="shared" si="355"/>
        <v>0</v>
      </c>
      <c r="G7482" s="1205"/>
      <c r="H7482" s="1055"/>
      <c r="I7482" s="1055"/>
      <c r="J7482" s="1055"/>
      <c r="K7482" s="1205"/>
      <c r="L7482" s="1055"/>
      <c r="M7482" s="1205"/>
      <c r="N7482" s="1054"/>
      <c r="O7482" s="1207"/>
      <c r="Q7482" s="1207"/>
    </row>
    <row r="7483" spans="3:17" s="700" customFormat="1" ht="70.5" hidden="1" customHeight="1">
      <c r="C7483" s="701"/>
      <c r="D7483" s="811"/>
      <c r="E7483" s="1276">
        <f>[11]building!Y7814</f>
        <v>0</v>
      </c>
      <c r="F7483" s="748">
        <f t="shared" si="355"/>
        <v>0</v>
      </c>
      <c r="G7483" s="1205"/>
      <c r="H7483" s="1055"/>
      <c r="I7483" s="1055"/>
      <c r="J7483" s="1055"/>
      <c r="K7483" s="1205"/>
      <c r="L7483" s="1055"/>
      <c r="M7483" s="1205"/>
      <c r="N7483" s="1054"/>
      <c r="O7483" s="1207"/>
      <c r="Q7483" s="1207"/>
    </row>
    <row r="7484" spans="3:17" s="700" customFormat="1" ht="70.5" hidden="1" customHeight="1">
      <c r="C7484" s="701"/>
      <c r="D7484" s="811"/>
      <c r="E7484" s="1276">
        <f>[11]building!Y7815</f>
        <v>0</v>
      </c>
      <c r="F7484" s="748">
        <f t="shared" si="355"/>
        <v>0</v>
      </c>
      <c r="G7484" s="1205"/>
      <c r="H7484" s="1055"/>
      <c r="I7484" s="1055"/>
      <c r="J7484" s="1055"/>
      <c r="K7484" s="1205"/>
      <c r="L7484" s="1055"/>
      <c r="M7484" s="1205"/>
      <c r="N7484" s="1054"/>
      <c r="O7484" s="1207"/>
      <c r="Q7484" s="1207"/>
    </row>
    <row r="7485" spans="3:17" s="700" customFormat="1" ht="70.5" hidden="1" customHeight="1">
      <c r="C7485" s="701"/>
      <c r="D7485" s="811"/>
      <c r="E7485" s="1276">
        <f>[11]building!Y7816</f>
        <v>0</v>
      </c>
      <c r="F7485" s="748">
        <f t="shared" si="355"/>
        <v>0</v>
      </c>
      <c r="G7485" s="1205"/>
      <c r="H7485" s="1055"/>
      <c r="I7485" s="1055"/>
      <c r="J7485" s="1055"/>
      <c r="K7485" s="1205"/>
      <c r="L7485" s="1055"/>
      <c r="M7485" s="1205"/>
      <c r="N7485" s="1054"/>
      <c r="O7485" s="1207"/>
      <c r="Q7485" s="1207"/>
    </row>
    <row r="7486" spans="3:17" s="700" customFormat="1" ht="70.5" hidden="1" customHeight="1">
      <c r="C7486" s="701"/>
      <c r="D7486" s="811"/>
      <c r="E7486" s="1276">
        <f>[11]building!Y7817</f>
        <v>0</v>
      </c>
      <c r="F7486" s="748">
        <f t="shared" si="355"/>
        <v>0</v>
      </c>
      <c r="G7486" s="1205"/>
      <c r="H7486" s="1055"/>
      <c r="I7486" s="1055"/>
      <c r="J7486" s="1055"/>
      <c r="K7486" s="1205"/>
      <c r="L7486" s="1055"/>
      <c r="M7486" s="1205"/>
      <c r="N7486" s="1054"/>
      <c r="O7486" s="1207"/>
      <c r="Q7486" s="1207"/>
    </row>
    <row r="7487" spans="3:17" s="700" customFormat="1" ht="70.5" hidden="1" customHeight="1">
      <c r="C7487" s="701"/>
      <c r="D7487" s="811"/>
      <c r="E7487" s="1276">
        <f>[11]building!Y7818</f>
        <v>0</v>
      </c>
      <c r="F7487" s="748">
        <f t="shared" si="355"/>
        <v>0</v>
      </c>
      <c r="G7487" s="1205"/>
      <c r="H7487" s="1055"/>
      <c r="I7487" s="1055"/>
      <c r="J7487" s="1055"/>
      <c r="K7487" s="1205"/>
      <c r="L7487" s="1055"/>
      <c r="M7487" s="1205"/>
      <c r="N7487" s="1054"/>
      <c r="O7487" s="1207"/>
      <c r="Q7487" s="1207"/>
    </row>
    <row r="7488" spans="3:17" s="700" customFormat="1" ht="70.5" hidden="1" customHeight="1">
      <c r="C7488" s="701"/>
      <c r="D7488" s="811"/>
      <c r="E7488" s="1276">
        <f>[11]building!Y7819</f>
        <v>0</v>
      </c>
      <c r="F7488" s="748">
        <f t="shared" ref="F7488:F7551" si="356">E7488*C7488</f>
        <v>0</v>
      </c>
      <c r="G7488" s="1205"/>
      <c r="H7488" s="1055"/>
      <c r="I7488" s="1055"/>
      <c r="J7488" s="1055"/>
      <c r="K7488" s="1205"/>
      <c r="L7488" s="1055"/>
      <c r="M7488" s="1205"/>
      <c r="N7488" s="1054"/>
      <c r="O7488" s="1207"/>
      <c r="Q7488" s="1207"/>
    </row>
    <row r="7489" spans="3:17" s="700" customFormat="1" ht="70.5" hidden="1" customHeight="1">
      <c r="C7489" s="701"/>
      <c r="D7489" s="811"/>
      <c r="E7489" s="1276">
        <f>[11]building!Y7820</f>
        <v>0</v>
      </c>
      <c r="F7489" s="748">
        <f t="shared" si="356"/>
        <v>0</v>
      </c>
      <c r="G7489" s="1205"/>
      <c r="H7489" s="1055"/>
      <c r="I7489" s="1055"/>
      <c r="J7489" s="1055"/>
      <c r="K7489" s="1205"/>
      <c r="L7489" s="1055"/>
      <c r="M7489" s="1205"/>
      <c r="N7489" s="1054"/>
      <c r="O7489" s="1207"/>
      <c r="Q7489" s="1207"/>
    </row>
    <row r="7490" spans="3:17" s="700" customFormat="1" ht="70.5" hidden="1" customHeight="1">
      <c r="C7490" s="701"/>
      <c r="D7490" s="811"/>
      <c r="E7490" s="1276">
        <f>[11]building!Y7821</f>
        <v>0</v>
      </c>
      <c r="F7490" s="748">
        <f t="shared" si="356"/>
        <v>0</v>
      </c>
      <c r="G7490" s="1205"/>
      <c r="H7490" s="1055"/>
      <c r="I7490" s="1055"/>
      <c r="J7490" s="1055"/>
      <c r="K7490" s="1205"/>
      <c r="L7490" s="1055"/>
      <c r="M7490" s="1205"/>
      <c r="N7490" s="1054"/>
      <c r="O7490" s="1207"/>
      <c r="Q7490" s="1207"/>
    </row>
    <row r="7491" spans="3:17" s="700" customFormat="1" ht="70.5" hidden="1" customHeight="1">
      <c r="C7491" s="701"/>
      <c r="D7491" s="811"/>
      <c r="E7491" s="1276">
        <f>[11]building!Y7822</f>
        <v>0</v>
      </c>
      <c r="F7491" s="748">
        <f t="shared" si="356"/>
        <v>0</v>
      </c>
      <c r="G7491" s="1205"/>
      <c r="H7491" s="1055"/>
      <c r="I7491" s="1055"/>
      <c r="J7491" s="1055"/>
      <c r="K7491" s="1205"/>
      <c r="L7491" s="1055"/>
      <c r="M7491" s="1205"/>
      <c r="N7491" s="1054"/>
      <c r="O7491" s="1207"/>
      <c r="Q7491" s="1207"/>
    </row>
    <row r="7492" spans="3:17" s="700" customFormat="1" ht="70.5" hidden="1" customHeight="1">
      <c r="C7492" s="701"/>
      <c r="D7492" s="811"/>
      <c r="E7492" s="1276">
        <f>[11]building!Y7823</f>
        <v>0</v>
      </c>
      <c r="F7492" s="748">
        <f t="shared" si="356"/>
        <v>0</v>
      </c>
      <c r="G7492" s="1205"/>
      <c r="H7492" s="1055"/>
      <c r="I7492" s="1055"/>
      <c r="J7492" s="1055"/>
      <c r="K7492" s="1205"/>
      <c r="L7492" s="1055"/>
      <c r="M7492" s="1205"/>
      <c r="N7492" s="1054"/>
      <c r="O7492" s="1207"/>
      <c r="Q7492" s="1207"/>
    </row>
    <row r="7493" spans="3:17" s="700" customFormat="1" ht="70.5" hidden="1" customHeight="1">
      <c r="C7493" s="701"/>
      <c r="D7493" s="811"/>
      <c r="E7493" s="1276">
        <f>[11]building!Y7824</f>
        <v>0</v>
      </c>
      <c r="F7493" s="748">
        <f t="shared" si="356"/>
        <v>0</v>
      </c>
      <c r="G7493" s="1205"/>
      <c r="H7493" s="1055"/>
      <c r="I7493" s="1055"/>
      <c r="J7493" s="1055"/>
      <c r="K7493" s="1205"/>
      <c r="L7493" s="1055"/>
      <c r="M7493" s="1205"/>
      <c r="N7493" s="1054"/>
      <c r="O7493" s="1207"/>
      <c r="Q7493" s="1207"/>
    </row>
    <row r="7494" spans="3:17" s="700" customFormat="1" ht="70.5" hidden="1" customHeight="1">
      <c r="C7494" s="701"/>
      <c r="D7494" s="811"/>
      <c r="E7494" s="1276">
        <f>[11]building!Y7825</f>
        <v>0</v>
      </c>
      <c r="F7494" s="748">
        <f t="shared" si="356"/>
        <v>0</v>
      </c>
      <c r="G7494" s="1205"/>
      <c r="H7494" s="1055"/>
      <c r="I7494" s="1055"/>
      <c r="J7494" s="1055"/>
      <c r="K7494" s="1205"/>
      <c r="L7494" s="1055"/>
      <c r="M7494" s="1205"/>
      <c r="N7494" s="1054"/>
      <c r="O7494" s="1207"/>
      <c r="Q7494" s="1207"/>
    </row>
    <row r="7495" spans="3:17" s="700" customFormat="1" ht="70.5" hidden="1" customHeight="1">
      <c r="C7495" s="701"/>
      <c r="D7495" s="811"/>
      <c r="E7495" s="1276">
        <f>[11]building!Y7826</f>
        <v>0</v>
      </c>
      <c r="F7495" s="748">
        <f t="shared" si="356"/>
        <v>0</v>
      </c>
      <c r="G7495" s="1205"/>
      <c r="H7495" s="1055"/>
      <c r="I7495" s="1055"/>
      <c r="J7495" s="1055"/>
      <c r="K7495" s="1205"/>
      <c r="L7495" s="1055"/>
      <c r="M7495" s="1205"/>
      <c r="N7495" s="1054"/>
      <c r="O7495" s="1207"/>
      <c r="Q7495" s="1207"/>
    </row>
    <row r="7496" spans="3:17" s="700" customFormat="1" ht="70.5" hidden="1" customHeight="1">
      <c r="C7496" s="701"/>
      <c r="D7496" s="811"/>
      <c r="E7496" s="1276">
        <f>[11]building!Y7827</f>
        <v>0</v>
      </c>
      <c r="F7496" s="748">
        <f t="shared" si="356"/>
        <v>0</v>
      </c>
      <c r="G7496" s="1205"/>
      <c r="H7496" s="1055"/>
      <c r="I7496" s="1055"/>
      <c r="J7496" s="1055"/>
      <c r="K7496" s="1205"/>
      <c r="L7496" s="1055"/>
      <c r="M7496" s="1205"/>
      <c r="N7496" s="1054"/>
      <c r="O7496" s="1207"/>
      <c r="Q7496" s="1207"/>
    </row>
    <row r="7497" spans="3:17" s="700" customFormat="1" ht="70.5" hidden="1" customHeight="1">
      <c r="C7497" s="701"/>
      <c r="D7497" s="811"/>
      <c r="E7497" s="1276">
        <f>[11]building!Y7828</f>
        <v>0</v>
      </c>
      <c r="F7497" s="748">
        <f t="shared" si="356"/>
        <v>0</v>
      </c>
      <c r="G7497" s="1205"/>
      <c r="H7497" s="1055"/>
      <c r="I7497" s="1055"/>
      <c r="J7497" s="1055"/>
      <c r="K7497" s="1205"/>
      <c r="L7497" s="1055"/>
      <c r="M7497" s="1205"/>
      <c r="N7497" s="1054"/>
      <c r="O7497" s="1207"/>
      <c r="Q7497" s="1207"/>
    </row>
    <row r="7498" spans="3:17" s="700" customFormat="1" ht="70.5" hidden="1" customHeight="1">
      <c r="C7498" s="701"/>
      <c r="D7498" s="811"/>
      <c r="E7498" s="1276">
        <f>[11]building!Y7829</f>
        <v>0</v>
      </c>
      <c r="F7498" s="748">
        <f t="shared" si="356"/>
        <v>0</v>
      </c>
      <c r="G7498" s="1205"/>
      <c r="H7498" s="1055"/>
      <c r="I7498" s="1055"/>
      <c r="J7498" s="1055"/>
      <c r="K7498" s="1205"/>
      <c r="L7498" s="1055"/>
      <c r="M7498" s="1205"/>
      <c r="N7498" s="1054"/>
      <c r="O7498" s="1207"/>
      <c r="Q7498" s="1207"/>
    </row>
    <row r="7499" spans="3:17" s="700" customFormat="1" ht="70.5" hidden="1" customHeight="1">
      <c r="C7499" s="701"/>
      <c r="D7499" s="811"/>
      <c r="E7499" s="1276">
        <f>[11]building!Y7830</f>
        <v>0</v>
      </c>
      <c r="F7499" s="748">
        <f t="shared" si="356"/>
        <v>0</v>
      </c>
      <c r="G7499" s="1205"/>
      <c r="H7499" s="1055"/>
      <c r="I7499" s="1055"/>
      <c r="J7499" s="1055"/>
      <c r="K7499" s="1205"/>
      <c r="L7499" s="1055"/>
      <c r="M7499" s="1205"/>
      <c r="N7499" s="1054"/>
      <c r="O7499" s="1207"/>
      <c r="Q7499" s="1207"/>
    </row>
    <row r="7500" spans="3:17" s="700" customFormat="1" ht="70.5" hidden="1" customHeight="1">
      <c r="C7500" s="701"/>
      <c r="D7500" s="811"/>
      <c r="E7500" s="1276">
        <f>[11]building!Y7831</f>
        <v>0</v>
      </c>
      <c r="F7500" s="748">
        <f t="shared" si="356"/>
        <v>0</v>
      </c>
      <c r="G7500" s="1205"/>
      <c r="H7500" s="1055"/>
      <c r="I7500" s="1055"/>
      <c r="J7500" s="1055"/>
      <c r="K7500" s="1205"/>
      <c r="L7500" s="1055"/>
      <c r="M7500" s="1205"/>
      <c r="N7500" s="1054"/>
      <c r="O7500" s="1207"/>
      <c r="Q7500" s="1207"/>
    </row>
    <row r="7501" spans="3:17" s="700" customFormat="1" ht="70.5" hidden="1" customHeight="1">
      <c r="C7501" s="701"/>
      <c r="D7501" s="811"/>
      <c r="E7501" s="1276">
        <f>[11]building!Y7832</f>
        <v>0</v>
      </c>
      <c r="F7501" s="748">
        <f t="shared" si="356"/>
        <v>0</v>
      </c>
      <c r="G7501" s="1205"/>
      <c r="H7501" s="1055"/>
      <c r="I7501" s="1055"/>
      <c r="J7501" s="1055"/>
      <c r="K7501" s="1205"/>
      <c r="L7501" s="1055"/>
      <c r="M7501" s="1205"/>
      <c r="N7501" s="1054"/>
      <c r="O7501" s="1207"/>
      <c r="Q7501" s="1207"/>
    </row>
    <row r="7502" spans="3:17" s="700" customFormat="1" ht="70.5" hidden="1" customHeight="1">
      <c r="C7502" s="701"/>
      <c r="D7502" s="811"/>
      <c r="E7502" s="1276">
        <f>[11]building!Y7833</f>
        <v>0</v>
      </c>
      <c r="F7502" s="748">
        <f t="shared" si="356"/>
        <v>0</v>
      </c>
      <c r="G7502" s="1205"/>
      <c r="H7502" s="1055"/>
      <c r="I7502" s="1055"/>
      <c r="J7502" s="1055"/>
      <c r="K7502" s="1205"/>
      <c r="L7502" s="1055"/>
      <c r="M7502" s="1205"/>
      <c r="N7502" s="1054"/>
      <c r="O7502" s="1207"/>
      <c r="Q7502" s="1207"/>
    </row>
    <row r="7503" spans="3:17" s="700" customFormat="1" ht="70.5" hidden="1" customHeight="1">
      <c r="C7503" s="701"/>
      <c r="D7503" s="811"/>
      <c r="E7503" s="1276">
        <f>[11]building!Y7834</f>
        <v>0</v>
      </c>
      <c r="F7503" s="748">
        <f t="shared" si="356"/>
        <v>0</v>
      </c>
      <c r="G7503" s="1205"/>
      <c r="H7503" s="1055"/>
      <c r="I7503" s="1055"/>
      <c r="J7503" s="1055"/>
      <c r="K7503" s="1205"/>
      <c r="L7503" s="1055"/>
      <c r="M7503" s="1205"/>
      <c r="N7503" s="1054"/>
      <c r="O7503" s="1207"/>
      <c r="Q7503" s="1207"/>
    </row>
    <row r="7504" spans="3:17" s="700" customFormat="1" ht="70.5" hidden="1" customHeight="1">
      <c r="C7504" s="701"/>
      <c r="D7504" s="811"/>
      <c r="E7504" s="1276">
        <f>[11]building!Y7835</f>
        <v>0</v>
      </c>
      <c r="F7504" s="748">
        <f t="shared" si="356"/>
        <v>0</v>
      </c>
      <c r="G7504" s="1205"/>
      <c r="H7504" s="1055"/>
      <c r="I7504" s="1055"/>
      <c r="J7504" s="1055"/>
      <c r="K7504" s="1205"/>
      <c r="L7504" s="1055"/>
      <c r="M7504" s="1205"/>
      <c r="N7504" s="1054"/>
      <c r="O7504" s="1207"/>
      <c r="Q7504" s="1207"/>
    </row>
    <row r="7505" spans="3:17" s="700" customFormat="1" ht="70.5" hidden="1" customHeight="1">
      <c r="C7505" s="701"/>
      <c r="D7505" s="811"/>
      <c r="E7505" s="1276">
        <f>[11]building!Y7836</f>
        <v>0</v>
      </c>
      <c r="F7505" s="748">
        <f t="shared" si="356"/>
        <v>0</v>
      </c>
      <c r="G7505" s="1205"/>
      <c r="H7505" s="1055"/>
      <c r="I7505" s="1055"/>
      <c r="J7505" s="1055"/>
      <c r="K7505" s="1205"/>
      <c r="L7505" s="1055"/>
      <c r="M7505" s="1205"/>
      <c r="N7505" s="1054"/>
      <c r="O7505" s="1207"/>
      <c r="Q7505" s="1207"/>
    </row>
    <row r="7506" spans="3:17" s="700" customFormat="1" ht="70.5" hidden="1" customHeight="1">
      <c r="C7506" s="701"/>
      <c r="D7506" s="811"/>
      <c r="E7506" s="1276">
        <f>[11]building!Y7837</f>
        <v>0</v>
      </c>
      <c r="F7506" s="748">
        <f t="shared" si="356"/>
        <v>0</v>
      </c>
      <c r="G7506" s="1205"/>
      <c r="H7506" s="1055"/>
      <c r="I7506" s="1055"/>
      <c r="J7506" s="1055"/>
      <c r="K7506" s="1205"/>
      <c r="L7506" s="1055"/>
      <c r="M7506" s="1205"/>
      <c r="N7506" s="1054"/>
      <c r="O7506" s="1207"/>
      <c r="Q7506" s="1207"/>
    </row>
    <row r="7507" spans="3:17" s="700" customFormat="1" ht="70.5" hidden="1" customHeight="1">
      <c r="C7507" s="701"/>
      <c r="D7507" s="811"/>
      <c r="E7507" s="1276">
        <f>[11]building!Y7838</f>
        <v>0</v>
      </c>
      <c r="F7507" s="748">
        <f t="shared" si="356"/>
        <v>0</v>
      </c>
      <c r="G7507" s="1205"/>
      <c r="H7507" s="1055"/>
      <c r="I7507" s="1055"/>
      <c r="J7507" s="1055"/>
      <c r="K7507" s="1205"/>
      <c r="L7507" s="1055"/>
      <c r="M7507" s="1205"/>
      <c r="N7507" s="1054"/>
      <c r="O7507" s="1207"/>
      <c r="Q7507" s="1207"/>
    </row>
    <row r="7508" spans="3:17" s="700" customFormat="1" ht="70.5" hidden="1" customHeight="1">
      <c r="C7508" s="701"/>
      <c r="D7508" s="811"/>
      <c r="E7508" s="1276">
        <f>[11]building!Y7839</f>
        <v>0</v>
      </c>
      <c r="F7508" s="748">
        <f t="shared" si="356"/>
        <v>0</v>
      </c>
      <c r="G7508" s="1205"/>
      <c r="H7508" s="1055"/>
      <c r="I7508" s="1055"/>
      <c r="J7508" s="1055"/>
      <c r="K7508" s="1205"/>
      <c r="L7508" s="1055"/>
      <c r="M7508" s="1205"/>
      <c r="N7508" s="1054"/>
      <c r="O7508" s="1207"/>
      <c r="Q7508" s="1207"/>
    </row>
    <row r="7509" spans="3:17" s="700" customFormat="1" ht="70.5" hidden="1" customHeight="1">
      <c r="C7509" s="701"/>
      <c r="D7509" s="811"/>
      <c r="E7509" s="1276">
        <f>[11]building!Y7840</f>
        <v>0</v>
      </c>
      <c r="F7509" s="748">
        <f t="shared" si="356"/>
        <v>0</v>
      </c>
      <c r="G7509" s="1205"/>
      <c r="H7509" s="1055"/>
      <c r="I7509" s="1055"/>
      <c r="J7509" s="1055"/>
      <c r="K7509" s="1205"/>
      <c r="L7509" s="1055"/>
      <c r="M7509" s="1205"/>
      <c r="N7509" s="1054"/>
      <c r="O7509" s="1207"/>
      <c r="Q7509" s="1207"/>
    </row>
    <row r="7510" spans="3:17" s="700" customFormat="1" ht="70.5" hidden="1" customHeight="1">
      <c r="C7510" s="701"/>
      <c r="D7510" s="811"/>
      <c r="E7510" s="1276">
        <f>[11]building!Y7841</f>
        <v>0</v>
      </c>
      <c r="F7510" s="748">
        <f t="shared" si="356"/>
        <v>0</v>
      </c>
      <c r="G7510" s="1205"/>
      <c r="H7510" s="1055"/>
      <c r="I7510" s="1055"/>
      <c r="J7510" s="1055"/>
      <c r="K7510" s="1205"/>
      <c r="L7510" s="1055"/>
      <c r="M7510" s="1205"/>
      <c r="N7510" s="1054"/>
      <c r="O7510" s="1207"/>
      <c r="Q7510" s="1207"/>
    </row>
    <row r="7511" spans="3:17" s="700" customFormat="1" ht="70.5" hidden="1" customHeight="1">
      <c r="C7511" s="701"/>
      <c r="D7511" s="811"/>
      <c r="E7511" s="1276">
        <f>[11]building!Y7842</f>
        <v>0</v>
      </c>
      <c r="F7511" s="748">
        <f t="shared" si="356"/>
        <v>0</v>
      </c>
      <c r="G7511" s="1205"/>
      <c r="H7511" s="1055"/>
      <c r="I7511" s="1055"/>
      <c r="J7511" s="1055"/>
      <c r="K7511" s="1205"/>
      <c r="L7511" s="1055"/>
      <c r="M7511" s="1205"/>
      <c r="N7511" s="1054"/>
      <c r="O7511" s="1207"/>
      <c r="Q7511" s="1207"/>
    </row>
    <row r="7512" spans="3:17" s="700" customFormat="1" ht="70.5" hidden="1" customHeight="1">
      <c r="C7512" s="701"/>
      <c r="D7512" s="811"/>
      <c r="E7512" s="1276">
        <f>[11]building!Y7843</f>
        <v>0</v>
      </c>
      <c r="F7512" s="748">
        <f t="shared" si="356"/>
        <v>0</v>
      </c>
      <c r="G7512" s="1205"/>
      <c r="H7512" s="1055"/>
      <c r="I7512" s="1055"/>
      <c r="J7512" s="1055"/>
      <c r="K7512" s="1205"/>
      <c r="L7512" s="1055"/>
      <c r="M7512" s="1205"/>
      <c r="N7512" s="1054"/>
      <c r="O7512" s="1207"/>
      <c r="Q7512" s="1207"/>
    </row>
    <row r="7513" spans="3:17" s="700" customFormat="1" ht="70.5" hidden="1" customHeight="1">
      <c r="C7513" s="701"/>
      <c r="D7513" s="811"/>
      <c r="E7513" s="1276">
        <f>[11]building!Y7844</f>
        <v>0</v>
      </c>
      <c r="F7513" s="748">
        <f t="shared" si="356"/>
        <v>0</v>
      </c>
      <c r="G7513" s="1205"/>
      <c r="H7513" s="1055"/>
      <c r="I7513" s="1055"/>
      <c r="J7513" s="1055"/>
      <c r="K7513" s="1205"/>
      <c r="L7513" s="1055"/>
      <c r="M7513" s="1205"/>
      <c r="N7513" s="1054"/>
      <c r="O7513" s="1207"/>
      <c r="Q7513" s="1207"/>
    </row>
    <row r="7514" spans="3:17" s="700" customFormat="1" ht="70.5" hidden="1" customHeight="1">
      <c r="C7514" s="701"/>
      <c r="D7514" s="811"/>
      <c r="E7514" s="1276">
        <f>[11]building!Y7845</f>
        <v>0</v>
      </c>
      <c r="F7514" s="748">
        <f t="shared" si="356"/>
        <v>0</v>
      </c>
      <c r="G7514" s="1205"/>
      <c r="H7514" s="1055"/>
      <c r="I7514" s="1055"/>
      <c r="J7514" s="1055"/>
      <c r="K7514" s="1205"/>
      <c r="L7514" s="1055"/>
      <c r="M7514" s="1205"/>
      <c r="N7514" s="1054"/>
      <c r="O7514" s="1207"/>
      <c r="Q7514" s="1207"/>
    </row>
    <row r="7515" spans="3:17" s="700" customFormat="1" ht="70.5" hidden="1" customHeight="1">
      <c r="C7515" s="701"/>
      <c r="D7515" s="811"/>
      <c r="E7515" s="1276">
        <f>[11]building!Y7846</f>
        <v>0</v>
      </c>
      <c r="F7515" s="748">
        <f t="shared" si="356"/>
        <v>0</v>
      </c>
      <c r="G7515" s="1205"/>
      <c r="H7515" s="1055"/>
      <c r="I7515" s="1055"/>
      <c r="J7515" s="1055"/>
      <c r="K7515" s="1205"/>
      <c r="L7515" s="1055"/>
      <c r="M7515" s="1205"/>
      <c r="N7515" s="1054"/>
      <c r="O7515" s="1207"/>
      <c r="Q7515" s="1207"/>
    </row>
    <row r="7516" spans="3:17" s="700" customFormat="1" ht="70.5" hidden="1" customHeight="1">
      <c r="C7516" s="701"/>
      <c r="D7516" s="811"/>
      <c r="E7516" s="1276">
        <f>[11]building!Y7847</f>
        <v>0</v>
      </c>
      <c r="F7516" s="748">
        <f t="shared" si="356"/>
        <v>0</v>
      </c>
      <c r="G7516" s="1205"/>
      <c r="H7516" s="1055"/>
      <c r="I7516" s="1055"/>
      <c r="J7516" s="1055"/>
      <c r="K7516" s="1205"/>
      <c r="L7516" s="1055"/>
      <c r="M7516" s="1205"/>
      <c r="N7516" s="1054"/>
      <c r="O7516" s="1207"/>
      <c r="Q7516" s="1207"/>
    </row>
    <row r="7517" spans="3:17" s="700" customFormat="1" ht="70.5" hidden="1" customHeight="1">
      <c r="C7517" s="701"/>
      <c r="D7517" s="811"/>
      <c r="E7517" s="1276">
        <f>[11]building!Y7848</f>
        <v>0</v>
      </c>
      <c r="F7517" s="748">
        <f t="shared" si="356"/>
        <v>0</v>
      </c>
      <c r="G7517" s="1205"/>
      <c r="H7517" s="1055"/>
      <c r="I7517" s="1055"/>
      <c r="J7517" s="1055"/>
      <c r="K7517" s="1205"/>
      <c r="L7517" s="1055"/>
      <c r="M7517" s="1205"/>
      <c r="N7517" s="1054"/>
      <c r="O7517" s="1207"/>
      <c r="Q7517" s="1207"/>
    </row>
    <row r="7518" spans="3:17" s="700" customFormat="1" ht="70.5" hidden="1" customHeight="1">
      <c r="C7518" s="701"/>
      <c r="D7518" s="811"/>
      <c r="E7518" s="1276">
        <f>[11]building!Y7849</f>
        <v>0</v>
      </c>
      <c r="F7518" s="748">
        <f t="shared" si="356"/>
        <v>0</v>
      </c>
      <c r="G7518" s="1205"/>
      <c r="H7518" s="1055"/>
      <c r="I7518" s="1055"/>
      <c r="J7518" s="1055"/>
      <c r="K7518" s="1205"/>
      <c r="L7518" s="1055"/>
      <c r="M7518" s="1205"/>
      <c r="N7518" s="1054"/>
      <c r="O7518" s="1207"/>
      <c r="Q7518" s="1207"/>
    </row>
    <row r="7519" spans="3:17" s="700" customFormat="1" ht="70.5" hidden="1" customHeight="1">
      <c r="C7519" s="701"/>
      <c r="D7519" s="811"/>
      <c r="E7519" s="1276">
        <f>[11]building!Y7850</f>
        <v>0</v>
      </c>
      <c r="F7519" s="748">
        <f t="shared" si="356"/>
        <v>0</v>
      </c>
      <c r="G7519" s="1205"/>
      <c r="H7519" s="1055"/>
      <c r="I7519" s="1055"/>
      <c r="J7519" s="1055"/>
      <c r="K7519" s="1205"/>
      <c r="L7519" s="1055"/>
      <c r="M7519" s="1205"/>
      <c r="N7519" s="1054"/>
      <c r="O7519" s="1207"/>
      <c r="Q7519" s="1207"/>
    </row>
    <row r="7520" spans="3:17" s="700" customFormat="1" ht="70.5" hidden="1" customHeight="1">
      <c r="C7520" s="701"/>
      <c r="D7520" s="811"/>
      <c r="E7520" s="1276">
        <f>[11]building!Y7851</f>
        <v>0</v>
      </c>
      <c r="F7520" s="748">
        <f t="shared" si="356"/>
        <v>0</v>
      </c>
      <c r="G7520" s="1205"/>
      <c r="H7520" s="1055"/>
      <c r="I7520" s="1055"/>
      <c r="J7520" s="1055"/>
      <c r="K7520" s="1205"/>
      <c r="L7520" s="1055"/>
      <c r="M7520" s="1205"/>
      <c r="N7520" s="1054"/>
      <c r="O7520" s="1207"/>
      <c r="Q7520" s="1207"/>
    </row>
    <row r="7521" spans="3:17" s="700" customFormat="1" ht="70.5" hidden="1" customHeight="1">
      <c r="C7521" s="701"/>
      <c r="D7521" s="811"/>
      <c r="E7521" s="1276">
        <f>[11]building!Y7852</f>
        <v>0</v>
      </c>
      <c r="F7521" s="748">
        <f t="shared" si="356"/>
        <v>0</v>
      </c>
      <c r="G7521" s="1205"/>
      <c r="H7521" s="1055"/>
      <c r="I7521" s="1055"/>
      <c r="J7521" s="1055"/>
      <c r="K7521" s="1205"/>
      <c r="L7521" s="1055"/>
      <c r="M7521" s="1205"/>
      <c r="N7521" s="1054"/>
      <c r="O7521" s="1207"/>
      <c r="Q7521" s="1207"/>
    </row>
    <row r="7522" spans="3:17" s="700" customFormat="1" ht="70.5" hidden="1" customHeight="1">
      <c r="C7522" s="701"/>
      <c r="D7522" s="811"/>
      <c r="E7522" s="1276">
        <f>[11]building!Y7853</f>
        <v>0</v>
      </c>
      <c r="F7522" s="748">
        <f t="shared" si="356"/>
        <v>0</v>
      </c>
      <c r="G7522" s="1205"/>
      <c r="H7522" s="1055"/>
      <c r="I7522" s="1055"/>
      <c r="J7522" s="1055"/>
      <c r="K7522" s="1205"/>
      <c r="L7522" s="1055"/>
      <c r="M7522" s="1205"/>
      <c r="N7522" s="1054"/>
      <c r="O7522" s="1207"/>
      <c r="Q7522" s="1207"/>
    </row>
    <row r="7523" spans="3:17" s="700" customFormat="1" ht="70.5" hidden="1" customHeight="1">
      <c r="C7523" s="701"/>
      <c r="D7523" s="811"/>
      <c r="E7523" s="1276">
        <f>[11]building!Y7854</f>
        <v>0</v>
      </c>
      <c r="F7523" s="748">
        <f t="shared" si="356"/>
        <v>0</v>
      </c>
      <c r="G7523" s="1205"/>
      <c r="H7523" s="1055"/>
      <c r="I7523" s="1055"/>
      <c r="J7523" s="1055"/>
      <c r="K7523" s="1205"/>
      <c r="L7523" s="1055"/>
      <c r="M7523" s="1205"/>
      <c r="N7523" s="1054"/>
      <c r="O7523" s="1207"/>
      <c r="Q7523" s="1207"/>
    </row>
    <row r="7524" spans="3:17" s="700" customFormat="1" ht="70.5" hidden="1" customHeight="1">
      <c r="C7524" s="701"/>
      <c r="D7524" s="811"/>
      <c r="E7524" s="1276">
        <f>[11]building!Y7855</f>
        <v>0</v>
      </c>
      <c r="F7524" s="748">
        <f t="shared" si="356"/>
        <v>0</v>
      </c>
      <c r="G7524" s="1205"/>
      <c r="H7524" s="1055"/>
      <c r="I7524" s="1055"/>
      <c r="J7524" s="1055"/>
      <c r="K7524" s="1205"/>
      <c r="L7524" s="1055"/>
      <c r="M7524" s="1205"/>
      <c r="N7524" s="1054"/>
      <c r="O7524" s="1207"/>
      <c r="Q7524" s="1207"/>
    </row>
    <row r="7525" spans="3:17" s="700" customFormat="1" ht="70.5" hidden="1" customHeight="1">
      <c r="C7525" s="701"/>
      <c r="D7525" s="811"/>
      <c r="E7525" s="1276">
        <f>[11]building!Y7856</f>
        <v>0</v>
      </c>
      <c r="F7525" s="748">
        <f t="shared" si="356"/>
        <v>0</v>
      </c>
      <c r="G7525" s="1205"/>
      <c r="H7525" s="1055"/>
      <c r="I7525" s="1055"/>
      <c r="J7525" s="1055"/>
      <c r="K7525" s="1205"/>
      <c r="L7525" s="1055"/>
      <c r="M7525" s="1205"/>
      <c r="N7525" s="1054"/>
      <c r="O7525" s="1207"/>
      <c r="Q7525" s="1207"/>
    </row>
    <row r="7526" spans="3:17" s="700" customFormat="1" ht="70.5" hidden="1" customHeight="1">
      <c r="C7526" s="701"/>
      <c r="D7526" s="811"/>
      <c r="E7526" s="1276">
        <f>[11]building!Y7857</f>
        <v>0</v>
      </c>
      <c r="F7526" s="748">
        <f t="shared" si="356"/>
        <v>0</v>
      </c>
      <c r="G7526" s="1205"/>
      <c r="H7526" s="1055"/>
      <c r="I7526" s="1055"/>
      <c r="J7526" s="1055"/>
      <c r="K7526" s="1205"/>
      <c r="L7526" s="1055"/>
      <c r="M7526" s="1205"/>
      <c r="N7526" s="1054"/>
      <c r="O7526" s="1207"/>
      <c r="Q7526" s="1207"/>
    </row>
    <row r="7527" spans="3:17" s="700" customFormat="1" ht="70.5" hidden="1" customHeight="1">
      <c r="C7527" s="701"/>
      <c r="D7527" s="811"/>
      <c r="E7527" s="1276">
        <f>[11]building!Y7858</f>
        <v>0</v>
      </c>
      <c r="F7527" s="748">
        <f t="shared" si="356"/>
        <v>0</v>
      </c>
      <c r="G7527" s="1205"/>
      <c r="H7527" s="1055"/>
      <c r="I7527" s="1055"/>
      <c r="J7527" s="1055"/>
      <c r="K7527" s="1205"/>
      <c r="L7527" s="1055"/>
      <c r="M7527" s="1205"/>
      <c r="N7527" s="1054"/>
      <c r="O7527" s="1207"/>
      <c r="Q7527" s="1207"/>
    </row>
    <row r="7528" spans="3:17" s="700" customFormat="1" ht="70.5" hidden="1" customHeight="1">
      <c r="C7528" s="701"/>
      <c r="D7528" s="811"/>
      <c r="E7528" s="1276">
        <f>[11]building!Y7859</f>
        <v>0</v>
      </c>
      <c r="F7528" s="748">
        <f t="shared" si="356"/>
        <v>0</v>
      </c>
      <c r="G7528" s="1205"/>
      <c r="H7528" s="1055"/>
      <c r="I7528" s="1055"/>
      <c r="J7528" s="1055"/>
      <c r="K7528" s="1205"/>
      <c r="L7528" s="1055"/>
      <c r="M7528" s="1205"/>
      <c r="N7528" s="1054"/>
      <c r="O7528" s="1207"/>
      <c r="Q7528" s="1207"/>
    </row>
    <row r="7529" spans="3:17" s="700" customFormat="1" ht="70.5" hidden="1" customHeight="1">
      <c r="C7529" s="701"/>
      <c r="D7529" s="811"/>
      <c r="E7529" s="1276">
        <f>[11]building!Y7860</f>
        <v>0</v>
      </c>
      <c r="F7529" s="748">
        <f t="shared" si="356"/>
        <v>0</v>
      </c>
      <c r="G7529" s="1205"/>
      <c r="H7529" s="1055"/>
      <c r="I7529" s="1055"/>
      <c r="J7529" s="1055"/>
      <c r="K7529" s="1205"/>
      <c r="L7529" s="1055"/>
      <c r="M7529" s="1205"/>
      <c r="N7529" s="1054"/>
      <c r="O7529" s="1207"/>
      <c r="Q7529" s="1207"/>
    </row>
    <row r="7530" spans="3:17" s="700" customFormat="1" ht="70.5" hidden="1" customHeight="1">
      <c r="C7530" s="701"/>
      <c r="D7530" s="811"/>
      <c r="E7530" s="1276">
        <f>[11]building!Y7861</f>
        <v>0</v>
      </c>
      <c r="F7530" s="748">
        <f t="shared" si="356"/>
        <v>0</v>
      </c>
      <c r="G7530" s="1205"/>
      <c r="H7530" s="1055"/>
      <c r="I7530" s="1055"/>
      <c r="J7530" s="1055"/>
      <c r="K7530" s="1205"/>
      <c r="L7530" s="1055"/>
      <c r="M7530" s="1205"/>
      <c r="N7530" s="1054"/>
      <c r="O7530" s="1207"/>
      <c r="Q7530" s="1207"/>
    </row>
    <row r="7531" spans="3:17" s="700" customFormat="1" ht="70.5" hidden="1" customHeight="1">
      <c r="C7531" s="701"/>
      <c r="D7531" s="811"/>
      <c r="E7531" s="1276">
        <f>[11]building!Y7862</f>
        <v>0</v>
      </c>
      <c r="F7531" s="748">
        <f t="shared" si="356"/>
        <v>0</v>
      </c>
      <c r="G7531" s="1205"/>
      <c r="H7531" s="1055"/>
      <c r="I7531" s="1055"/>
      <c r="J7531" s="1055"/>
      <c r="K7531" s="1205"/>
      <c r="L7531" s="1055"/>
      <c r="M7531" s="1205"/>
      <c r="N7531" s="1054"/>
      <c r="O7531" s="1207"/>
      <c r="Q7531" s="1207"/>
    </row>
    <row r="7532" spans="3:17" s="700" customFormat="1" ht="70.5" hidden="1" customHeight="1">
      <c r="C7532" s="701"/>
      <c r="D7532" s="811"/>
      <c r="E7532" s="1276">
        <f>[11]building!Y7863</f>
        <v>0</v>
      </c>
      <c r="F7532" s="748">
        <f t="shared" si="356"/>
        <v>0</v>
      </c>
      <c r="G7532" s="1205"/>
      <c r="H7532" s="1055"/>
      <c r="I7532" s="1055"/>
      <c r="J7532" s="1055"/>
      <c r="K7532" s="1205"/>
      <c r="L7532" s="1055"/>
      <c r="M7532" s="1205"/>
      <c r="N7532" s="1054"/>
      <c r="O7532" s="1207"/>
      <c r="Q7532" s="1207"/>
    </row>
    <row r="7533" spans="3:17" s="700" customFormat="1" ht="70.5" hidden="1" customHeight="1">
      <c r="C7533" s="701"/>
      <c r="D7533" s="811"/>
      <c r="E7533" s="1276">
        <f>[11]building!Y7864</f>
        <v>0</v>
      </c>
      <c r="F7533" s="748">
        <f t="shared" si="356"/>
        <v>0</v>
      </c>
      <c r="G7533" s="1205"/>
      <c r="H7533" s="1055"/>
      <c r="I7533" s="1055"/>
      <c r="J7533" s="1055"/>
      <c r="K7533" s="1205"/>
      <c r="L7533" s="1055"/>
      <c r="M7533" s="1205"/>
      <c r="N7533" s="1054"/>
      <c r="O7533" s="1207"/>
      <c r="Q7533" s="1207"/>
    </row>
    <row r="7534" spans="3:17" s="700" customFormat="1" ht="70.5" hidden="1" customHeight="1">
      <c r="C7534" s="701"/>
      <c r="D7534" s="811"/>
      <c r="E7534" s="1276">
        <f>[11]building!Y7865</f>
        <v>0</v>
      </c>
      <c r="F7534" s="748">
        <f t="shared" si="356"/>
        <v>0</v>
      </c>
      <c r="G7534" s="1205"/>
      <c r="H7534" s="1055"/>
      <c r="I7534" s="1055"/>
      <c r="J7534" s="1055"/>
      <c r="K7534" s="1205"/>
      <c r="L7534" s="1055"/>
      <c r="M7534" s="1205"/>
      <c r="N7534" s="1054"/>
      <c r="O7534" s="1207"/>
      <c r="Q7534" s="1207"/>
    </row>
    <row r="7535" spans="3:17" s="700" customFormat="1" ht="70.5" hidden="1" customHeight="1">
      <c r="C7535" s="701"/>
      <c r="D7535" s="811"/>
      <c r="E7535" s="1276">
        <f>[11]building!Y7866</f>
        <v>0</v>
      </c>
      <c r="F7535" s="748">
        <f t="shared" si="356"/>
        <v>0</v>
      </c>
      <c r="G7535" s="1205"/>
      <c r="H7535" s="1055"/>
      <c r="I7535" s="1055"/>
      <c r="J7535" s="1055"/>
      <c r="K7535" s="1205"/>
      <c r="L7535" s="1055"/>
      <c r="M7535" s="1205"/>
      <c r="N7535" s="1054"/>
      <c r="O7535" s="1207"/>
      <c r="Q7535" s="1207"/>
    </row>
    <row r="7536" spans="3:17" s="700" customFormat="1" ht="70.5" hidden="1" customHeight="1">
      <c r="C7536" s="701"/>
      <c r="D7536" s="811"/>
      <c r="E7536" s="1276">
        <f>[11]building!Y7867</f>
        <v>0</v>
      </c>
      <c r="F7536" s="748">
        <f t="shared" si="356"/>
        <v>0</v>
      </c>
      <c r="G7536" s="1205"/>
      <c r="H7536" s="1055"/>
      <c r="I7536" s="1055"/>
      <c r="J7536" s="1055"/>
      <c r="K7536" s="1205"/>
      <c r="L7536" s="1055"/>
      <c r="M7536" s="1205"/>
      <c r="N7536" s="1054"/>
      <c r="O7536" s="1207"/>
      <c r="Q7536" s="1207"/>
    </row>
    <row r="7537" spans="3:17" s="700" customFormat="1" ht="70.5" hidden="1" customHeight="1">
      <c r="C7537" s="701"/>
      <c r="D7537" s="811"/>
      <c r="E7537" s="1276">
        <f>[11]building!Y7868</f>
        <v>0</v>
      </c>
      <c r="F7537" s="748">
        <f t="shared" si="356"/>
        <v>0</v>
      </c>
      <c r="G7537" s="1205"/>
      <c r="H7537" s="1055"/>
      <c r="I7537" s="1055"/>
      <c r="J7537" s="1055"/>
      <c r="K7537" s="1205"/>
      <c r="L7537" s="1055"/>
      <c r="M7537" s="1205"/>
      <c r="N7537" s="1054"/>
      <c r="O7537" s="1207"/>
      <c r="Q7537" s="1207"/>
    </row>
    <row r="7538" spans="3:17" s="700" customFormat="1" ht="70.5" hidden="1" customHeight="1">
      <c r="C7538" s="701"/>
      <c r="D7538" s="811"/>
      <c r="E7538" s="1276">
        <f>[11]building!Y7869</f>
        <v>0</v>
      </c>
      <c r="F7538" s="748">
        <f t="shared" si="356"/>
        <v>0</v>
      </c>
      <c r="G7538" s="1205"/>
      <c r="H7538" s="1055"/>
      <c r="I7538" s="1055"/>
      <c r="J7538" s="1055"/>
      <c r="K7538" s="1205"/>
      <c r="L7538" s="1055"/>
      <c r="M7538" s="1205"/>
      <c r="N7538" s="1054"/>
      <c r="O7538" s="1207"/>
      <c r="Q7538" s="1207"/>
    </row>
    <row r="7539" spans="3:17" s="700" customFormat="1" ht="70.5" hidden="1" customHeight="1">
      <c r="C7539" s="701"/>
      <c r="D7539" s="811"/>
      <c r="E7539" s="1276">
        <f>[11]building!Y7870</f>
        <v>0</v>
      </c>
      <c r="F7539" s="748">
        <f t="shared" si="356"/>
        <v>0</v>
      </c>
      <c r="G7539" s="1205"/>
      <c r="H7539" s="1055"/>
      <c r="I7539" s="1055"/>
      <c r="J7539" s="1055"/>
      <c r="K7539" s="1205"/>
      <c r="L7539" s="1055"/>
      <c r="M7539" s="1205"/>
      <c r="N7539" s="1054"/>
      <c r="O7539" s="1207"/>
      <c r="Q7539" s="1207"/>
    </row>
    <row r="7540" spans="3:17" s="700" customFormat="1" ht="70.5" hidden="1" customHeight="1">
      <c r="C7540" s="701"/>
      <c r="D7540" s="811"/>
      <c r="E7540" s="1276">
        <f>[11]building!Y7871</f>
        <v>0</v>
      </c>
      <c r="F7540" s="748">
        <f t="shared" si="356"/>
        <v>0</v>
      </c>
      <c r="G7540" s="1205"/>
      <c r="H7540" s="1055"/>
      <c r="I7540" s="1055"/>
      <c r="J7540" s="1055"/>
      <c r="K7540" s="1205"/>
      <c r="L7540" s="1055"/>
      <c r="M7540" s="1205"/>
      <c r="N7540" s="1054"/>
      <c r="O7540" s="1207"/>
      <c r="Q7540" s="1207"/>
    </row>
    <row r="7541" spans="3:17" s="700" customFormat="1" ht="70.5" hidden="1" customHeight="1">
      <c r="C7541" s="701"/>
      <c r="D7541" s="811"/>
      <c r="E7541" s="1276">
        <f>[11]building!Y7872</f>
        <v>0</v>
      </c>
      <c r="F7541" s="748">
        <f t="shared" si="356"/>
        <v>0</v>
      </c>
      <c r="G7541" s="1205"/>
      <c r="H7541" s="1055"/>
      <c r="I7541" s="1055"/>
      <c r="J7541" s="1055"/>
      <c r="K7541" s="1205"/>
      <c r="L7541" s="1055"/>
      <c r="M7541" s="1205"/>
      <c r="N7541" s="1054"/>
      <c r="O7541" s="1207"/>
      <c r="Q7541" s="1207"/>
    </row>
    <row r="7542" spans="3:17" s="700" customFormat="1" ht="70.5" hidden="1" customHeight="1">
      <c r="C7542" s="701"/>
      <c r="D7542" s="811"/>
      <c r="E7542" s="1276">
        <f>[11]building!Y7873</f>
        <v>0</v>
      </c>
      <c r="F7542" s="748">
        <f t="shared" si="356"/>
        <v>0</v>
      </c>
      <c r="G7542" s="1205"/>
      <c r="H7542" s="1055"/>
      <c r="I7542" s="1055"/>
      <c r="J7542" s="1055"/>
      <c r="K7542" s="1205"/>
      <c r="L7542" s="1055"/>
      <c r="M7542" s="1205"/>
      <c r="N7542" s="1054"/>
      <c r="O7542" s="1207"/>
      <c r="Q7542" s="1207"/>
    </row>
    <row r="7543" spans="3:17" s="700" customFormat="1" ht="70.5" hidden="1" customHeight="1">
      <c r="C7543" s="701"/>
      <c r="D7543" s="811"/>
      <c r="E7543" s="1276">
        <f>[11]building!Y7874</f>
        <v>0</v>
      </c>
      <c r="F7543" s="748">
        <f t="shared" si="356"/>
        <v>0</v>
      </c>
      <c r="G7543" s="1205"/>
      <c r="H7543" s="1055"/>
      <c r="I7543" s="1055"/>
      <c r="J7543" s="1055"/>
      <c r="K7543" s="1205"/>
      <c r="L7543" s="1055"/>
      <c r="M7543" s="1205"/>
      <c r="N7543" s="1054"/>
      <c r="O7543" s="1207"/>
      <c r="Q7543" s="1207"/>
    </row>
    <row r="7544" spans="3:17" s="700" customFormat="1" ht="70.5" hidden="1" customHeight="1">
      <c r="C7544" s="701"/>
      <c r="D7544" s="811"/>
      <c r="E7544" s="1276">
        <f>[11]building!Y7875</f>
        <v>0</v>
      </c>
      <c r="F7544" s="748">
        <f t="shared" si="356"/>
        <v>0</v>
      </c>
      <c r="G7544" s="1205"/>
      <c r="H7544" s="1055"/>
      <c r="I7544" s="1055"/>
      <c r="J7544" s="1055"/>
      <c r="K7544" s="1205"/>
      <c r="L7544" s="1055"/>
      <c r="M7544" s="1205"/>
      <c r="N7544" s="1054"/>
      <c r="O7544" s="1207"/>
      <c r="Q7544" s="1207"/>
    </row>
    <row r="7545" spans="3:17" s="700" customFormat="1" ht="70.5" hidden="1" customHeight="1">
      <c r="C7545" s="701"/>
      <c r="D7545" s="811"/>
      <c r="E7545" s="1276">
        <f>[11]building!Y7876</f>
        <v>0</v>
      </c>
      <c r="F7545" s="748">
        <f t="shared" si="356"/>
        <v>0</v>
      </c>
      <c r="G7545" s="1205"/>
      <c r="H7545" s="1055"/>
      <c r="I7545" s="1055"/>
      <c r="J7545" s="1055"/>
      <c r="K7545" s="1205"/>
      <c r="L7545" s="1055"/>
      <c r="M7545" s="1205"/>
      <c r="N7545" s="1054"/>
      <c r="O7545" s="1207"/>
      <c r="Q7545" s="1207"/>
    </row>
    <row r="7546" spans="3:17" s="700" customFormat="1" ht="70.5" hidden="1" customHeight="1">
      <c r="C7546" s="701"/>
      <c r="D7546" s="811"/>
      <c r="E7546" s="1276">
        <f>[11]building!Y7877</f>
        <v>0</v>
      </c>
      <c r="F7546" s="748">
        <f t="shared" si="356"/>
        <v>0</v>
      </c>
      <c r="G7546" s="1205"/>
      <c r="H7546" s="1055"/>
      <c r="I7546" s="1055"/>
      <c r="J7546" s="1055"/>
      <c r="K7546" s="1205"/>
      <c r="L7546" s="1055"/>
      <c r="M7546" s="1205"/>
      <c r="N7546" s="1054"/>
      <c r="O7546" s="1207"/>
      <c r="Q7546" s="1207"/>
    </row>
    <row r="7547" spans="3:17" s="700" customFormat="1" ht="70.5" hidden="1" customHeight="1">
      <c r="C7547" s="701"/>
      <c r="D7547" s="811"/>
      <c r="E7547" s="1276">
        <f>[11]building!Y7878</f>
        <v>0</v>
      </c>
      <c r="F7547" s="748">
        <f t="shared" si="356"/>
        <v>0</v>
      </c>
      <c r="G7547" s="1205"/>
      <c r="H7547" s="1055"/>
      <c r="I7547" s="1055"/>
      <c r="J7547" s="1055"/>
      <c r="K7547" s="1205"/>
      <c r="L7547" s="1055"/>
      <c r="M7547" s="1205"/>
      <c r="N7547" s="1054"/>
      <c r="O7547" s="1207"/>
      <c r="Q7547" s="1207"/>
    </row>
    <row r="7548" spans="3:17" s="700" customFormat="1" ht="70.5" hidden="1" customHeight="1">
      <c r="C7548" s="701"/>
      <c r="D7548" s="811"/>
      <c r="E7548" s="1276">
        <f>[11]building!Y7879</f>
        <v>0</v>
      </c>
      <c r="F7548" s="748">
        <f t="shared" si="356"/>
        <v>0</v>
      </c>
      <c r="G7548" s="1205"/>
      <c r="H7548" s="1055"/>
      <c r="I7548" s="1055"/>
      <c r="J7548" s="1055"/>
      <c r="K7548" s="1205"/>
      <c r="L7548" s="1055"/>
      <c r="M7548" s="1205"/>
      <c r="N7548" s="1054"/>
      <c r="O7548" s="1207"/>
      <c r="Q7548" s="1207"/>
    </row>
    <row r="7549" spans="3:17" s="700" customFormat="1" ht="70.5" hidden="1" customHeight="1">
      <c r="C7549" s="701"/>
      <c r="D7549" s="811"/>
      <c r="E7549" s="1276">
        <f>[11]building!Y7880</f>
        <v>0</v>
      </c>
      <c r="F7549" s="748">
        <f t="shared" si="356"/>
        <v>0</v>
      </c>
      <c r="G7549" s="1205"/>
      <c r="H7549" s="1055"/>
      <c r="I7549" s="1055"/>
      <c r="J7549" s="1055"/>
      <c r="K7549" s="1205"/>
      <c r="L7549" s="1055"/>
      <c r="M7549" s="1205"/>
      <c r="N7549" s="1054"/>
      <c r="O7549" s="1207"/>
      <c r="Q7549" s="1207"/>
    </row>
    <row r="7550" spans="3:17" s="700" customFormat="1" ht="70.5" hidden="1" customHeight="1">
      <c r="C7550" s="701"/>
      <c r="D7550" s="811"/>
      <c r="E7550" s="1276">
        <f>[11]building!Y7881</f>
        <v>0</v>
      </c>
      <c r="F7550" s="748">
        <f t="shared" si="356"/>
        <v>0</v>
      </c>
      <c r="G7550" s="1205"/>
      <c r="H7550" s="1055"/>
      <c r="I7550" s="1055"/>
      <c r="J7550" s="1055"/>
      <c r="K7550" s="1205"/>
      <c r="L7550" s="1055"/>
      <c r="M7550" s="1205"/>
      <c r="N7550" s="1054"/>
      <c r="O7550" s="1207"/>
      <c r="Q7550" s="1207"/>
    </row>
    <row r="7551" spans="3:17" s="700" customFormat="1" ht="70.5" hidden="1" customHeight="1">
      <c r="C7551" s="701"/>
      <c r="D7551" s="811"/>
      <c r="E7551" s="1276">
        <f>[11]building!Y7882</f>
        <v>0</v>
      </c>
      <c r="F7551" s="748">
        <f t="shared" si="356"/>
        <v>0</v>
      </c>
      <c r="G7551" s="1205"/>
      <c r="H7551" s="1055"/>
      <c r="I7551" s="1055"/>
      <c r="J7551" s="1055"/>
      <c r="K7551" s="1205"/>
      <c r="L7551" s="1055"/>
      <c r="M7551" s="1205"/>
      <c r="N7551" s="1054"/>
      <c r="O7551" s="1207"/>
      <c r="Q7551" s="1207"/>
    </row>
    <row r="7552" spans="3:17" s="700" customFormat="1" ht="70.5" hidden="1" customHeight="1">
      <c r="C7552" s="701"/>
      <c r="D7552" s="811"/>
      <c r="E7552" s="1276">
        <f>[11]building!Y7883</f>
        <v>0</v>
      </c>
      <c r="F7552" s="748">
        <f t="shared" ref="F7552:F7615" si="357">E7552*C7552</f>
        <v>0</v>
      </c>
      <c r="G7552" s="1205"/>
      <c r="H7552" s="1055"/>
      <c r="I7552" s="1055"/>
      <c r="J7552" s="1055"/>
      <c r="K7552" s="1205"/>
      <c r="L7552" s="1055"/>
      <c r="M7552" s="1205"/>
      <c r="N7552" s="1054"/>
      <c r="O7552" s="1207"/>
      <c r="Q7552" s="1207"/>
    </row>
    <row r="7553" spans="3:17" s="700" customFormat="1" ht="70.5" hidden="1" customHeight="1">
      <c r="C7553" s="701"/>
      <c r="D7553" s="811"/>
      <c r="E7553" s="1276">
        <f>[11]building!Y7884</f>
        <v>0</v>
      </c>
      <c r="F7553" s="748">
        <f t="shared" si="357"/>
        <v>0</v>
      </c>
      <c r="G7553" s="1205"/>
      <c r="H7553" s="1055"/>
      <c r="I7553" s="1055"/>
      <c r="J7553" s="1055"/>
      <c r="K7553" s="1205"/>
      <c r="L7553" s="1055"/>
      <c r="M7553" s="1205"/>
      <c r="N7553" s="1054"/>
      <c r="O7553" s="1207"/>
      <c r="Q7553" s="1207"/>
    </row>
    <row r="7554" spans="3:17" s="700" customFormat="1" ht="70.5" hidden="1" customHeight="1">
      <c r="C7554" s="701"/>
      <c r="D7554" s="811"/>
      <c r="E7554" s="1276">
        <f>[11]building!Y7885</f>
        <v>0</v>
      </c>
      <c r="F7554" s="748">
        <f t="shared" si="357"/>
        <v>0</v>
      </c>
      <c r="G7554" s="1205"/>
      <c r="H7554" s="1055"/>
      <c r="I7554" s="1055"/>
      <c r="J7554" s="1055"/>
      <c r="K7554" s="1205"/>
      <c r="L7554" s="1055"/>
      <c r="M7554" s="1205"/>
      <c r="N7554" s="1054"/>
      <c r="O7554" s="1207"/>
      <c r="Q7554" s="1207"/>
    </row>
    <row r="7555" spans="3:17" s="700" customFormat="1" ht="70.5" hidden="1" customHeight="1">
      <c r="C7555" s="701"/>
      <c r="D7555" s="811"/>
      <c r="E7555" s="1276">
        <f>[11]building!Y7886</f>
        <v>0</v>
      </c>
      <c r="F7555" s="748">
        <f t="shared" si="357"/>
        <v>0</v>
      </c>
      <c r="G7555" s="1205"/>
      <c r="H7555" s="1055"/>
      <c r="I7555" s="1055"/>
      <c r="J7555" s="1055"/>
      <c r="K7555" s="1205"/>
      <c r="L7555" s="1055"/>
      <c r="M7555" s="1205"/>
      <c r="N7555" s="1054"/>
      <c r="O7555" s="1207"/>
      <c r="Q7555" s="1207"/>
    </row>
    <row r="7556" spans="3:17" s="700" customFormat="1" ht="70.5" hidden="1" customHeight="1">
      <c r="C7556" s="701"/>
      <c r="D7556" s="811"/>
      <c r="E7556" s="1276">
        <f>[11]building!Y7887</f>
        <v>0</v>
      </c>
      <c r="F7556" s="748">
        <f t="shared" si="357"/>
        <v>0</v>
      </c>
      <c r="G7556" s="1205"/>
      <c r="H7556" s="1055"/>
      <c r="I7556" s="1055"/>
      <c r="J7556" s="1055"/>
      <c r="K7556" s="1205"/>
      <c r="L7556" s="1055"/>
      <c r="M7556" s="1205"/>
      <c r="N7556" s="1054"/>
      <c r="O7556" s="1207"/>
      <c r="Q7556" s="1207"/>
    </row>
    <row r="7557" spans="3:17" s="700" customFormat="1" ht="70.5" hidden="1" customHeight="1">
      <c r="C7557" s="701"/>
      <c r="D7557" s="811"/>
      <c r="E7557" s="1276">
        <f>[11]building!Y7888</f>
        <v>0</v>
      </c>
      <c r="F7557" s="748">
        <f t="shared" si="357"/>
        <v>0</v>
      </c>
      <c r="G7557" s="1205"/>
      <c r="H7557" s="1055"/>
      <c r="I7557" s="1055"/>
      <c r="J7557" s="1055"/>
      <c r="K7557" s="1205"/>
      <c r="L7557" s="1055"/>
      <c r="M7557" s="1205"/>
      <c r="N7557" s="1054"/>
      <c r="O7557" s="1207"/>
      <c r="Q7557" s="1207"/>
    </row>
    <row r="7558" spans="3:17" s="700" customFormat="1" ht="70.5" hidden="1" customHeight="1">
      <c r="C7558" s="701"/>
      <c r="D7558" s="811"/>
      <c r="E7558" s="1276">
        <f>[11]building!Y7889</f>
        <v>0</v>
      </c>
      <c r="F7558" s="748">
        <f t="shared" si="357"/>
        <v>0</v>
      </c>
      <c r="G7558" s="1205"/>
      <c r="H7558" s="1055"/>
      <c r="I7558" s="1055"/>
      <c r="J7558" s="1055"/>
      <c r="K7558" s="1205"/>
      <c r="L7558" s="1055"/>
      <c r="M7558" s="1205"/>
      <c r="N7558" s="1054"/>
      <c r="O7558" s="1207"/>
      <c r="Q7558" s="1207"/>
    </row>
    <row r="7559" spans="3:17" s="700" customFormat="1" ht="70.5" hidden="1" customHeight="1">
      <c r="C7559" s="701"/>
      <c r="D7559" s="811"/>
      <c r="E7559" s="1276">
        <f>[11]building!Y7890</f>
        <v>0</v>
      </c>
      <c r="F7559" s="748">
        <f t="shared" si="357"/>
        <v>0</v>
      </c>
      <c r="G7559" s="1205"/>
      <c r="H7559" s="1055"/>
      <c r="I7559" s="1055"/>
      <c r="J7559" s="1055"/>
      <c r="K7559" s="1205"/>
      <c r="L7559" s="1055"/>
      <c r="M7559" s="1205"/>
      <c r="N7559" s="1054"/>
      <c r="O7559" s="1207"/>
      <c r="Q7559" s="1207"/>
    </row>
    <row r="7560" spans="3:17" s="700" customFormat="1" ht="70.5" hidden="1" customHeight="1">
      <c r="C7560" s="701"/>
      <c r="D7560" s="811"/>
      <c r="E7560" s="1276">
        <f>[11]building!Y7891</f>
        <v>0</v>
      </c>
      <c r="F7560" s="748">
        <f t="shared" si="357"/>
        <v>0</v>
      </c>
      <c r="G7560" s="1205"/>
      <c r="H7560" s="1055"/>
      <c r="I7560" s="1055"/>
      <c r="J7560" s="1055"/>
      <c r="K7560" s="1205"/>
      <c r="L7560" s="1055"/>
      <c r="M7560" s="1205"/>
      <c r="N7560" s="1054"/>
      <c r="O7560" s="1207"/>
      <c r="Q7560" s="1207"/>
    </row>
    <row r="7561" spans="3:17" s="700" customFormat="1" ht="70.5" hidden="1" customHeight="1">
      <c r="C7561" s="701"/>
      <c r="D7561" s="811"/>
      <c r="E7561" s="1276">
        <f>[11]building!Y7892</f>
        <v>0</v>
      </c>
      <c r="F7561" s="748">
        <f t="shared" si="357"/>
        <v>0</v>
      </c>
      <c r="G7561" s="1205"/>
      <c r="H7561" s="1055"/>
      <c r="I7561" s="1055"/>
      <c r="J7561" s="1055"/>
      <c r="K7561" s="1205"/>
      <c r="L7561" s="1055"/>
      <c r="M7561" s="1205"/>
      <c r="N7561" s="1054"/>
      <c r="O7561" s="1207"/>
      <c r="Q7561" s="1207"/>
    </row>
    <row r="7562" spans="3:17" s="700" customFormat="1" ht="70.5" hidden="1" customHeight="1">
      <c r="C7562" s="701"/>
      <c r="D7562" s="811"/>
      <c r="E7562" s="1276">
        <f>[11]building!Y7893</f>
        <v>0</v>
      </c>
      <c r="F7562" s="748">
        <f t="shared" si="357"/>
        <v>0</v>
      </c>
      <c r="G7562" s="1205"/>
      <c r="H7562" s="1055"/>
      <c r="I7562" s="1055"/>
      <c r="J7562" s="1055"/>
      <c r="K7562" s="1205"/>
      <c r="L7562" s="1055"/>
      <c r="M7562" s="1205"/>
      <c r="N7562" s="1054"/>
      <c r="O7562" s="1207"/>
      <c r="Q7562" s="1207"/>
    </row>
    <row r="7563" spans="3:17" s="700" customFormat="1" ht="70.5" hidden="1" customHeight="1">
      <c r="C7563" s="701"/>
      <c r="D7563" s="811"/>
      <c r="E7563" s="1276">
        <f>[11]building!Y7894</f>
        <v>0</v>
      </c>
      <c r="F7563" s="748">
        <f t="shared" si="357"/>
        <v>0</v>
      </c>
      <c r="G7563" s="1205"/>
      <c r="H7563" s="1055"/>
      <c r="I7563" s="1055"/>
      <c r="J7563" s="1055"/>
      <c r="K7563" s="1205"/>
      <c r="L7563" s="1055"/>
      <c r="M7563" s="1205"/>
      <c r="N7563" s="1054"/>
      <c r="O7563" s="1207"/>
      <c r="Q7563" s="1207"/>
    </row>
    <row r="7564" spans="3:17" s="700" customFormat="1" ht="70.5" hidden="1" customHeight="1">
      <c r="C7564" s="701"/>
      <c r="D7564" s="811"/>
      <c r="E7564" s="1276">
        <f>[11]building!Y7895</f>
        <v>0</v>
      </c>
      <c r="F7564" s="748">
        <f t="shared" si="357"/>
        <v>0</v>
      </c>
      <c r="G7564" s="1205"/>
      <c r="H7564" s="1055"/>
      <c r="I7564" s="1055"/>
      <c r="J7564" s="1055"/>
      <c r="K7564" s="1205"/>
      <c r="L7564" s="1055"/>
      <c r="M7564" s="1205"/>
      <c r="N7564" s="1054"/>
      <c r="O7564" s="1207"/>
      <c r="Q7564" s="1207"/>
    </row>
    <row r="7565" spans="3:17" s="700" customFormat="1" ht="70.5" hidden="1" customHeight="1">
      <c r="C7565" s="701"/>
      <c r="D7565" s="811"/>
      <c r="E7565" s="1276">
        <f>[11]building!Y7896</f>
        <v>0</v>
      </c>
      <c r="F7565" s="748">
        <f t="shared" si="357"/>
        <v>0</v>
      </c>
      <c r="G7565" s="1205"/>
      <c r="H7565" s="1055"/>
      <c r="I7565" s="1055"/>
      <c r="J7565" s="1055"/>
      <c r="K7565" s="1205"/>
      <c r="L7565" s="1055"/>
      <c r="M7565" s="1205"/>
      <c r="N7565" s="1054"/>
      <c r="O7565" s="1207"/>
      <c r="Q7565" s="1207"/>
    </row>
    <row r="7566" spans="3:17" s="700" customFormat="1" ht="70.5" hidden="1" customHeight="1">
      <c r="C7566" s="701"/>
      <c r="D7566" s="811"/>
      <c r="E7566" s="1276">
        <f>[11]building!Y7897</f>
        <v>0</v>
      </c>
      <c r="F7566" s="748">
        <f t="shared" si="357"/>
        <v>0</v>
      </c>
      <c r="G7566" s="1205"/>
      <c r="H7566" s="1055"/>
      <c r="I7566" s="1055"/>
      <c r="J7566" s="1055"/>
      <c r="K7566" s="1205"/>
      <c r="L7566" s="1055"/>
      <c r="M7566" s="1205"/>
      <c r="N7566" s="1054"/>
      <c r="O7566" s="1207"/>
      <c r="Q7566" s="1207"/>
    </row>
    <row r="7567" spans="3:17" s="700" customFormat="1" ht="70.5" hidden="1" customHeight="1">
      <c r="C7567" s="701"/>
      <c r="D7567" s="811"/>
      <c r="E7567" s="1276">
        <f>[11]building!Y7898</f>
        <v>0</v>
      </c>
      <c r="F7567" s="748">
        <f t="shared" si="357"/>
        <v>0</v>
      </c>
      <c r="G7567" s="1205"/>
      <c r="H7567" s="1055"/>
      <c r="I7567" s="1055"/>
      <c r="J7567" s="1055"/>
      <c r="K7567" s="1205"/>
      <c r="L7567" s="1055"/>
      <c r="M7567" s="1205"/>
      <c r="N7567" s="1054"/>
      <c r="O7567" s="1207"/>
      <c r="Q7567" s="1207"/>
    </row>
    <row r="7568" spans="3:17" s="700" customFormat="1" ht="70.5" hidden="1" customHeight="1">
      <c r="C7568" s="701"/>
      <c r="D7568" s="811"/>
      <c r="E7568" s="1276">
        <f>[11]building!Y7899</f>
        <v>0</v>
      </c>
      <c r="F7568" s="748">
        <f t="shared" si="357"/>
        <v>0</v>
      </c>
      <c r="G7568" s="1205"/>
      <c r="H7568" s="1055"/>
      <c r="I7568" s="1055"/>
      <c r="J7568" s="1055"/>
      <c r="K7568" s="1205"/>
      <c r="L7568" s="1055"/>
      <c r="M7568" s="1205"/>
      <c r="N7568" s="1054"/>
      <c r="O7568" s="1207"/>
      <c r="Q7568" s="1207"/>
    </row>
    <row r="7569" spans="3:17" s="700" customFormat="1" ht="70.5" hidden="1" customHeight="1">
      <c r="C7569" s="701"/>
      <c r="D7569" s="811"/>
      <c r="E7569" s="1276">
        <f>[11]building!Y7900</f>
        <v>0</v>
      </c>
      <c r="F7569" s="748">
        <f t="shared" si="357"/>
        <v>0</v>
      </c>
      <c r="G7569" s="1205"/>
      <c r="H7569" s="1055"/>
      <c r="I7569" s="1055"/>
      <c r="J7569" s="1055"/>
      <c r="K7569" s="1205"/>
      <c r="L7569" s="1055"/>
      <c r="M7569" s="1205"/>
      <c r="N7569" s="1054"/>
      <c r="O7569" s="1207"/>
      <c r="Q7569" s="1207"/>
    </row>
    <row r="7570" spans="3:17" s="700" customFormat="1" ht="70.5" hidden="1" customHeight="1">
      <c r="C7570" s="701"/>
      <c r="D7570" s="811"/>
      <c r="E7570" s="1276">
        <f>[11]building!Y7901</f>
        <v>0</v>
      </c>
      <c r="F7570" s="748">
        <f t="shared" si="357"/>
        <v>0</v>
      </c>
      <c r="G7570" s="1205"/>
      <c r="H7570" s="1055"/>
      <c r="I7570" s="1055"/>
      <c r="J7570" s="1055"/>
      <c r="K7570" s="1205"/>
      <c r="L7570" s="1055"/>
      <c r="M7570" s="1205"/>
      <c r="N7570" s="1054"/>
      <c r="O7570" s="1207"/>
      <c r="Q7570" s="1207"/>
    </row>
    <row r="7571" spans="3:17" s="700" customFormat="1" ht="70.5" hidden="1" customHeight="1">
      <c r="C7571" s="701"/>
      <c r="D7571" s="811"/>
      <c r="E7571" s="1276">
        <f>[11]building!Y7902</f>
        <v>0</v>
      </c>
      <c r="F7571" s="748">
        <f t="shared" si="357"/>
        <v>0</v>
      </c>
      <c r="G7571" s="1205"/>
      <c r="H7571" s="1055"/>
      <c r="I7571" s="1055"/>
      <c r="J7571" s="1055"/>
      <c r="K7571" s="1205"/>
      <c r="L7571" s="1055"/>
      <c r="M7571" s="1205"/>
      <c r="N7571" s="1054"/>
      <c r="O7571" s="1207"/>
      <c r="Q7571" s="1207"/>
    </row>
    <row r="7572" spans="3:17" s="700" customFormat="1" ht="70.5" hidden="1" customHeight="1">
      <c r="C7572" s="701"/>
      <c r="D7572" s="811"/>
      <c r="E7572" s="1276">
        <f>[11]building!Y7903</f>
        <v>0</v>
      </c>
      <c r="F7572" s="748">
        <f t="shared" si="357"/>
        <v>0</v>
      </c>
      <c r="G7572" s="1205"/>
      <c r="H7572" s="1055"/>
      <c r="I7572" s="1055"/>
      <c r="J7572" s="1055"/>
      <c r="K7572" s="1205"/>
      <c r="L7572" s="1055"/>
      <c r="M7572" s="1205"/>
      <c r="N7572" s="1054"/>
      <c r="O7572" s="1207"/>
      <c r="Q7572" s="1207"/>
    </row>
    <row r="7573" spans="3:17" s="700" customFormat="1" ht="70.5" hidden="1" customHeight="1">
      <c r="C7573" s="701"/>
      <c r="D7573" s="811"/>
      <c r="E7573" s="1276">
        <f>[11]building!Y7904</f>
        <v>0</v>
      </c>
      <c r="F7573" s="748">
        <f t="shared" si="357"/>
        <v>0</v>
      </c>
      <c r="G7573" s="1205"/>
      <c r="H7573" s="1055"/>
      <c r="I7573" s="1055"/>
      <c r="J7573" s="1055"/>
      <c r="K7573" s="1205"/>
      <c r="L7573" s="1055"/>
      <c r="M7573" s="1205"/>
      <c r="N7573" s="1054"/>
      <c r="O7573" s="1207"/>
      <c r="Q7573" s="1207"/>
    </row>
    <row r="7574" spans="3:17" s="700" customFormat="1" ht="70.5" hidden="1" customHeight="1">
      <c r="C7574" s="701"/>
      <c r="D7574" s="811"/>
      <c r="E7574" s="1276">
        <f>[11]building!Y7905</f>
        <v>0</v>
      </c>
      <c r="F7574" s="748">
        <f t="shared" si="357"/>
        <v>0</v>
      </c>
      <c r="G7574" s="1205"/>
      <c r="H7574" s="1055"/>
      <c r="I7574" s="1055"/>
      <c r="J7574" s="1055"/>
      <c r="K7574" s="1205"/>
      <c r="L7574" s="1055"/>
      <c r="M7574" s="1205"/>
      <c r="N7574" s="1054"/>
      <c r="O7574" s="1207"/>
      <c r="Q7574" s="1207"/>
    </row>
    <row r="7575" spans="3:17" s="700" customFormat="1" ht="70.5" hidden="1" customHeight="1">
      <c r="C7575" s="701"/>
      <c r="D7575" s="811"/>
      <c r="E7575" s="1276">
        <f>[11]building!Y7906</f>
        <v>0</v>
      </c>
      <c r="F7575" s="748">
        <f t="shared" si="357"/>
        <v>0</v>
      </c>
      <c r="G7575" s="1205"/>
      <c r="H7575" s="1055"/>
      <c r="I7575" s="1055"/>
      <c r="J7575" s="1055"/>
      <c r="K7575" s="1205"/>
      <c r="L7575" s="1055"/>
      <c r="M7575" s="1205"/>
      <c r="N7575" s="1054"/>
      <c r="O7575" s="1207"/>
      <c r="Q7575" s="1207"/>
    </row>
    <row r="7576" spans="3:17" s="700" customFormat="1" ht="70.5" hidden="1" customHeight="1">
      <c r="C7576" s="701"/>
      <c r="D7576" s="811"/>
      <c r="E7576" s="1276">
        <f>[11]building!Y7907</f>
        <v>0</v>
      </c>
      <c r="F7576" s="748">
        <f t="shared" si="357"/>
        <v>0</v>
      </c>
      <c r="G7576" s="1205"/>
      <c r="H7576" s="1055"/>
      <c r="I7576" s="1055"/>
      <c r="J7576" s="1055"/>
      <c r="K7576" s="1205"/>
      <c r="L7576" s="1055"/>
      <c r="M7576" s="1205"/>
      <c r="N7576" s="1054"/>
      <c r="O7576" s="1207"/>
      <c r="Q7576" s="1207"/>
    </row>
    <row r="7577" spans="3:17" s="700" customFormat="1" ht="70.5" hidden="1" customHeight="1">
      <c r="C7577" s="701"/>
      <c r="D7577" s="811"/>
      <c r="E7577" s="1276">
        <f>[11]building!Y7908</f>
        <v>0</v>
      </c>
      <c r="F7577" s="748">
        <f t="shared" si="357"/>
        <v>0</v>
      </c>
      <c r="G7577" s="1205"/>
      <c r="H7577" s="1055"/>
      <c r="I7577" s="1055"/>
      <c r="J7577" s="1055"/>
      <c r="K7577" s="1205"/>
      <c r="L7577" s="1055"/>
      <c r="M7577" s="1205"/>
      <c r="N7577" s="1054"/>
      <c r="O7577" s="1207"/>
      <c r="Q7577" s="1207"/>
    </row>
    <row r="7578" spans="3:17" s="700" customFormat="1" ht="70.5" hidden="1" customHeight="1">
      <c r="C7578" s="701"/>
      <c r="D7578" s="811"/>
      <c r="E7578" s="1276">
        <f>[11]building!Y7909</f>
        <v>0</v>
      </c>
      <c r="F7578" s="748">
        <f t="shared" si="357"/>
        <v>0</v>
      </c>
      <c r="G7578" s="1205"/>
      <c r="H7578" s="1055"/>
      <c r="I7578" s="1055"/>
      <c r="J7578" s="1055"/>
      <c r="K7578" s="1205"/>
      <c r="L7578" s="1055"/>
      <c r="M7578" s="1205"/>
      <c r="N7578" s="1054"/>
      <c r="O7578" s="1207"/>
      <c r="Q7578" s="1207"/>
    </row>
    <row r="7579" spans="3:17" s="700" customFormat="1" ht="70.5" hidden="1" customHeight="1">
      <c r="C7579" s="701"/>
      <c r="D7579" s="811"/>
      <c r="E7579" s="1276">
        <f>[11]building!Y7910</f>
        <v>0</v>
      </c>
      <c r="F7579" s="748">
        <f t="shared" si="357"/>
        <v>0</v>
      </c>
      <c r="G7579" s="1205"/>
      <c r="H7579" s="1055"/>
      <c r="I7579" s="1055"/>
      <c r="J7579" s="1055"/>
      <c r="K7579" s="1205"/>
      <c r="L7579" s="1055"/>
      <c r="M7579" s="1205"/>
      <c r="N7579" s="1054"/>
      <c r="O7579" s="1207"/>
      <c r="Q7579" s="1207"/>
    </row>
    <row r="7580" spans="3:17" s="700" customFormat="1" ht="70.5" hidden="1" customHeight="1">
      <c r="C7580" s="701"/>
      <c r="D7580" s="811"/>
      <c r="E7580" s="1276">
        <f>[11]building!Y7911</f>
        <v>0</v>
      </c>
      <c r="F7580" s="748">
        <f t="shared" si="357"/>
        <v>0</v>
      </c>
      <c r="G7580" s="1205"/>
      <c r="H7580" s="1055"/>
      <c r="I7580" s="1055"/>
      <c r="J7580" s="1055"/>
      <c r="K7580" s="1205"/>
      <c r="L7580" s="1055"/>
      <c r="M7580" s="1205"/>
      <c r="N7580" s="1054"/>
      <c r="O7580" s="1207"/>
      <c r="Q7580" s="1207"/>
    </row>
    <row r="7581" spans="3:17" s="700" customFormat="1" ht="70.5" hidden="1" customHeight="1">
      <c r="C7581" s="701"/>
      <c r="D7581" s="811"/>
      <c r="E7581" s="1276">
        <f>[11]building!Y7912</f>
        <v>0</v>
      </c>
      <c r="F7581" s="748">
        <f t="shared" si="357"/>
        <v>0</v>
      </c>
      <c r="G7581" s="1205"/>
      <c r="H7581" s="1055"/>
      <c r="I7581" s="1055"/>
      <c r="J7581" s="1055"/>
      <c r="K7581" s="1205"/>
      <c r="L7581" s="1055"/>
      <c r="M7581" s="1205"/>
      <c r="N7581" s="1054"/>
      <c r="O7581" s="1207"/>
      <c r="Q7581" s="1207"/>
    </row>
    <row r="7582" spans="3:17" s="700" customFormat="1" ht="70.5" hidden="1" customHeight="1">
      <c r="C7582" s="701"/>
      <c r="D7582" s="811"/>
      <c r="E7582" s="1276">
        <f>[11]building!Y7913</f>
        <v>0</v>
      </c>
      <c r="F7582" s="748">
        <f t="shared" si="357"/>
        <v>0</v>
      </c>
      <c r="G7582" s="1205"/>
      <c r="H7582" s="1055"/>
      <c r="I7582" s="1055"/>
      <c r="J7582" s="1055"/>
      <c r="K7582" s="1205"/>
      <c r="L7582" s="1055"/>
      <c r="M7582" s="1205"/>
      <c r="N7582" s="1054"/>
      <c r="O7582" s="1207"/>
      <c r="Q7582" s="1207"/>
    </row>
    <row r="7583" spans="3:17" s="700" customFormat="1" ht="70.5" hidden="1" customHeight="1">
      <c r="C7583" s="701"/>
      <c r="D7583" s="811"/>
      <c r="E7583" s="1276">
        <f>[11]building!Y7914</f>
        <v>0</v>
      </c>
      <c r="F7583" s="748">
        <f t="shared" si="357"/>
        <v>0</v>
      </c>
      <c r="G7583" s="1205"/>
      <c r="H7583" s="1055"/>
      <c r="I7583" s="1055"/>
      <c r="J7583" s="1055"/>
      <c r="K7583" s="1205"/>
      <c r="L7583" s="1055"/>
      <c r="M7583" s="1205"/>
      <c r="N7583" s="1054"/>
      <c r="O7583" s="1207"/>
      <c r="Q7583" s="1207"/>
    </row>
    <row r="7584" spans="3:17" s="700" customFormat="1" ht="70.5" hidden="1" customHeight="1">
      <c r="C7584" s="701"/>
      <c r="D7584" s="811"/>
      <c r="E7584" s="1276">
        <f>[11]building!Y7915</f>
        <v>0</v>
      </c>
      <c r="F7584" s="748">
        <f t="shared" si="357"/>
        <v>0</v>
      </c>
      <c r="G7584" s="1205"/>
      <c r="H7584" s="1055"/>
      <c r="I7584" s="1055"/>
      <c r="J7584" s="1055"/>
      <c r="K7584" s="1205"/>
      <c r="L7584" s="1055"/>
      <c r="M7584" s="1205"/>
      <c r="N7584" s="1054"/>
      <c r="O7584" s="1207"/>
      <c r="Q7584" s="1207"/>
    </row>
    <row r="7585" spans="3:17" s="700" customFormat="1" ht="70.5" hidden="1" customHeight="1">
      <c r="C7585" s="701"/>
      <c r="D7585" s="811"/>
      <c r="E7585" s="1276">
        <f>[11]building!Y7916</f>
        <v>0</v>
      </c>
      <c r="F7585" s="748">
        <f t="shared" si="357"/>
        <v>0</v>
      </c>
      <c r="G7585" s="1205"/>
      <c r="H7585" s="1055"/>
      <c r="I7585" s="1055"/>
      <c r="J7585" s="1055"/>
      <c r="K7585" s="1205"/>
      <c r="L7585" s="1055"/>
      <c r="M7585" s="1205"/>
      <c r="N7585" s="1054"/>
      <c r="O7585" s="1207"/>
      <c r="Q7585" s="1207"/>
    </row>
    <row r="7586" spans="3:17" s="700" customFormat="1" ht="70.5" hidden="1" customHeight="1">
      <c r="C7586" s="701"/>
      <c r="D7586" s="811"/>
      <c r="E7586" s="1276">
        <f>[11]building!Y7917</f>
        <v>0</v>
      </c>
      <c r="F7586" s="748">
        <f t="shared" si="357"/>
        <v>0</v>
      </c>
      <c r="G7586" s="1205"/>
      <c r="H7586" s="1055"/>
      <c r="I7586" s="1055"/>
      <c r="J7586" s="1055"/>
      <c r="K7586" s="1205"/>
      <c r="L7586" s="1055"/>
      <c r="M7586" s="1205"/>
      <c r="N7586" s="1054"/>
      <c r="O7586" s="1207"/>
      <c r="Q7586" s="1207"/>
    </row>
    <row r="7587" spans="3:17" s="700" customFormat="1" ht="70.5" hidden="1" customHeight="1">
      <c r="C7587" s="701"/>
      <c r="D7587" s="811"/>
      <c r="E7587" s="1276">
        <f>[11]building!Y7918</f>
        <v>0</v>
      </c>
      <c r="F7587" s="748">
        <f t="shared" si="357"/>
        <v>0</v>
      </c>
      <c r="G7587" s="1205"/>
      <c r="H7587" s="1055"/>
      <c r="I7587" s="1055"/>
      <c r="J7587" s="1055"/>
      <c r="K7587" s="1205"/>
      <c r="L7587" s="1055"/>
      <c r="M7587" s="1205"/>
      <c r="N7587" s="1054"/>
      <c r="O7587" s="1207"/>
      <c r="Q7587" s="1207"/>
    </row>
    <row r="7588" spans="3:17" s="700" customFormat="1" ht="70.5" hidden="1" customHeight="1">
      <c r="C7588" s="701"/>
      <c r="D7588" s="811"/>
      <c r="E7588" s="1276">
        <f>[11]building!Y7919</f>
        <v>0</v>
      </c>
      <c r="F7588" s="748">
        <f t="shared" si="357"/>
        <v>0</v>
      </c>
      <c r="G7588" s="1205"/>
      <c r="H7588" s="1055"/>
      <c r="I7588" s="1055"/>
      <c r="J7588" s="1055"/>
      <c r="K7588" s="1205"/>
      <c r="L7588" s="1055"/>
      <c r="M7588" s="1205"/>
      <c r="N7588" s="1054"/>
      <c r="O7588" s="1207"/>
      <c r="Q7588" s="1207"/>
    </row>
    <row r="7589" spans="3:17" s="700" customFormat="1" ht="70.5" hidden="1" customHeight="1">
      <c r="C7589" s="701"/>
      <c r="D7589" s="811"/>
      <c r="E7589" s="1276">
        <f>[11]building!Y7920</f>
        <v>0</v>
      </c>
      <c r="F7589" s="748">
        <f t="shared" si="357"/>
        <v>0</v>
      </c>
      <c r="G7589" s="1205"/>
      <c r="H7589" s="1055"/>
      <c r="I7589" s="1055"/>
      <c r="J7589" s="1055"/>
      <c r="K7589" s="1205"/>
      <c r="L7589" s="1055"/>
      <c r="M7589" s="1205"/>
      <c r="N7589" s="1054"/>
      <c r="O7589" s="1207"/>
      <c r="Q7589" s="1207"/>
    </row>
    <row r="7590" spans="3:17" s="700" customFormat="1" ht="70.5" hidden="1" customHeight="1">
      <c r="C7590" s="701"/>
      <c r="D7590" s="811"/>
      <c r="E7590" s="1276">
        <f>[11]building!Y7921</f>
        <v>0</v>
      </c>
      <c r="F7590" s="748">
        <f t="shared" si="357"/>
        <v>0</v>
      </c>
      <c r="G7590" s="1205"/>
      <c r="H7590" s="1055"/>
      <c r="I7590" s="1055"/>
      <c r="J7590" s="1055"/>
      <c r="K7590" s="1205"/>
      <c r="L7590" s="1055"/>
      <c r="M7590" s="1205"/>
      <c r="N7590" s="1054"/>
      <c r="O7590" s="1207"/>
      <c r="Q7590" s="1207"/>
    </row>
    <row r="7591" spans="3:17" s="700" customFormat="1" ht="70.5" hidden="1" customHeight="1">
      <c r="C7591" s="701"/>
      <c r="D7591" s="811"/>
      <c r="E7591" s="1276">
        <f>[11]building!Y7922</f>
        <v>0</v>
      </c>
      <c r="F7591" s="748">
        <f t="shared" si="357"/>
        <v>0</v>
      </c>
      <c r="G7591" s="1205"/>
      <c r="H7591" s="1055"/>
      <c r="I7591" s="1055"/>
      <c r="J7591" s="1055"/>
      <c r="K7591" s="1205"/>
      <c r="L7591" s="1055"/>
      <c r="M7591" s="1205"/>
      <c r="N7591" s="1054"/>
      <c r="O7591" s="1207"/>
      <c r="Q7591" s="1207"/>
    </row>
    <row r="7592" spans="3:17" s="700" customFormat="1" ht="70.5" hidden="1" customHeight="1">
      <c r="C7592" s="701"/>
      <c r="D7592" s="811"/>
      <c r="E7592" s="1276">
        <f>[11]building!Y7923</f>
        <v>0</v>
      </c>
      <c r="F7592" s="748">
        <f t="shared" si="357"/>
        <v>0</v>
      </c>
      <c r="G7592" s="1205"/>
      <c r="H7592" s="1055"/>
      <c r="I7592" s="1055"/>
      <c r="J7592" s="1055"/>
      <c r="K7592" s="1205"/>
      <c r="L7592" s="1055"/>
      <c r="M7592" s="1205"/>
      <c r="N7592" s="1054"/>
      <c r="O7592" s="1207"/>
      <c r="Q7592" s="1207"/>
    </row>
    <row r="7593" spans="3:17" s="700" customFormat="1" ht="70.5" hidden="1" customHeight="1">
      <c r="C7593" s="701"/>
      <c r="D7593" s="811"/>
      <c r="E7593" s="1276">
        <f>[11]building!Y7924</f>
        <v>0</v>
      </c>
      <c r="F7593" s="748">
        <f t="shared" si="357"/>
        <v>0</v>
      </c>
      <c r="G7593" s="1205"/>
      <c r="H7593" s="1055"/>
      <c r="I7593" s="1055"/>
      <c r="J7593" s="1055"/>
      <c r="K7593" s="1205"/>
      <c r="L7593" s="1055"/>
      <c r="M7593" s="1205"/>
      <c r="N7593" s="1054"/>
      <c r="O7593" s="1207"/>
      <c r="Q7593" s="1207"/>
    </row>
    <row r="7594" spans="3:17" s="700" customFormat="1" ht="70.5" hidden="1" customHeight="1">
      <c r="C7594" s="701"/>
      <c r="D7594" s="811"/>
      <c r="E7594" s="1276">
        <f>[11]building!Y7925</f>
        <v>0</v>
      </c>
      <c r="F7594" s="748">
        <f t="shared" si="357"/>
        <v>0</v>
      </c>
      <c r="G7594" s="1205"/>
      <c r="H7594" s="1055"/>
      <c r="I7594" s="1055"/>
      <c r="J7594" s="1055"/>
      <c r="K7594" s="1205"/>
      <c r="L7594" s="1055"/>
      <c r="M7594" s="1205"/>
      <c r="N7594" s="1054"/>
      <c r="O7594" s="1207"/>
      <c r="Q7594" s="1207"/>
    </row>
    <row r="7595" spans="3:17" s="700" customFormat="1" ht="70.5" hidden="1" customHeight="1">
      <c r="C7595" s="701"/>
      <c r="D7595" s="811"/>
      <c r="E7595" s="1276">
        <f>[11]building!Y7926</f>
        <v>0</v>
      </c>
      <c r="F7595" s="748">
        <f t="shared" si="357"/>
        <v>0</v>
      </c>
      <c r="G7595" s="1205"/>
      <c r="H7595" s="1055"/>
      <c r="I7595" s="1055"/>
      <c r="J7595" s="1055"/>
      <c r="K7595" s="1205"/>
      <c r="L7595" s="1055"/>
      <c r="M7595" s="1205"/>
      <c r="N7595" s="1054"/>
      <c r="O7595" s="1207"/>
      <c r="Q7595" s="1207"/>
    </row>
    <row r="7596" spans="3:17" s="700" customFormat="1" ht="70.5" hidden="1" customHeight="1">
      <c r="C7596" s="701"/>
      <c r="D7596" s="811"/>
      <c r="E7596" s="1276">
        <f>[11]building!Y7927</f>
        <v>0</v>
      </c>
      <c r="F7596" s="748">
        <f t="shared" si="357"/>
        <v>0</v>
      </c>
      <c r="G7596" s="1205"/>
      <c r="H7596" s="1055"/>
      <c r="I7596" s="1055"/>
      <c r="J7596" s="1055"/>
      <c r="K7596" s="1205"/>
      <c r="L7596" s="1055"/>
      <c r="M7596" s="1205"/>
      <c r="N7596" s="1054"/>
      <c r="O7596" s="1207"/>
      <c r="Q7596" s="1207"/>
    </row>
    <row r="7597" spans="3:17" s="700" customFormat="1" ht="70.5" hidden="1" customHeight="1">
      <c r="C7597" s="701"/>
      <c r="D7597" s="811"/>
      <c r="E7597" s="1276">
        <f>[11]building!Y7928</f>
        <v>0</v>
      </c>
      <c r="F7597" s="748">
        <f t="shared" si="357"/>
        <v>0</v>
      </c>
      <c r="G7597" s="1205"/>
      <c r="H7597" s="1055"/>
      <c r="I7597" s="1055"/>
      <c r="J7597" s="1055"/>
      <c r="K7597" s="1205"/>
      <c r="L7597" s="1055"/>
      <c r="M7597" s="1205"/>
      <c r="N7597" s="1054"/>
      <c r="O7597" s="1207"/>
      <c r="Q7597" s="1207"/>
    </row>
    <row r="7598" spans="3:17" s="700" customFormat="1" ht="70.5" hidden="1" customHeight="1">
      <c r="C7598" s="701"/>
      <c r="D7598" s="811"/>
      <c r="E7598" s="1276">
        <f>[11]building!Y7929</f>
        <v>0</v>
      </c>
      <c r="F7598" s="748">
        <f t="shared" si="357"/>
        <v>0</v>
      </c>
      <c r="G7598" s="1205"/>
      <c r="H7598" s="1055"/>
      <c r="I7598" s="1055"/>
      <c r="J7598" s="1055"/>
      <c r="K7598" s="1205"/>
      <c r="L7598" s="1055"/>
      <c r="M7598" s="1205"/>
      <c r="N7598" s="1054"/>
      <c r="O7598" s="1207"/>
      <c r="Q7598" s="1207"/>
    </row>
    <row r="7599" spans="3:17" s="700" customFormat="1" ht="70.5" hidden="1" customHeight="1">
      <c r="C7599" s="701"/>
      <c r="D7599" s="811"/>
      <c r="E7599" s="1276">
        <f>[11]building!Y7930</f>
        <v>0</v>
      </c>
      <c r="F7599" s="748">
        <f t="shared" si="357"/>
        <v>0</v>
      </c>
      <c r="G7599" s="1205"/>
      <c r="H7599" s="1055"/>
      <c r="I7599" s="1055"/>
      <c r="J7599" s="1055"/>
      <c r="K7599" s="1205"/>
      <c r="L7599" s="1055"/>
      <c r="M7599" s="1205"/>
      <c r="N7599" s="1054"/>
      <c r="O7599" s="1207"/>
      <c r="Q7599" s="1207"/>
    </row>
    <row r="7600" spans="3:17" s="700" customFormat="1" ht="70.5" hidden="1" customHeight="1">
      <c r="C7600" s="701"/>
      <c r="D7600" s="811"/>
      <c r="E7600" s="1276">
        <f>[11]building!Y7931</f>
        <v>0</v>
      </c>
      <c r="F7600" s="748">
        <f t="shared" si="357"/>
        <v>0</v>
      </c>
      <c r="G7600" s="1205"/>
      <c r="H7600" s="1055"/>
      <c r="I7600" s="1055"/>
      <c r="J7600" s="1055"/>
      <c r="K7600" s="1205"/>
      <c r="L7600" s="1055"/>
      <c r="M7600" s="1205"/>
      <c r="N7600" s="1054"/>
      <c r="O7600" s="1207"/>
      <c r="Q7600" s="1207"/>
    </row>
    <row r="7601" spans="3:17" s="700" customFormat="1" ht="70.5" hidden="1" customHeight="1">
      <c r="C7601" s="701"/>
      <c r="D7601" s="811"/>
      <c r="E7601" s="1276">
        <f>[11]building!Y7932</f>
        <v>0</v>
      </c>
      <c r="F7601" s="748">
        <f t="shared" si="357"/>
        <v>0</v>
      </c>
      <c r="G7601" s="1205"/>
      <c r="H7601" s="1055"/>
      <c r="I7601" s="1055"/>
      <c r="J7601" s="1055"/>
      <c r="K7601" s="1205"/>
      <c r="L7601" s="1055"/>
      <c r="M7601" s="1205"/>
      <c r="N7601" s="1054"/>
      <c r="O7601" s="1207"/>
      <c r="Q7601" s="1207"/>
    </row>
    <row r="7602" spans="3:17" s="700" customFormat="1" ht="70.5" hidden="1" customHeight="1">
      <c r="C7602" s="701"/>
      <c r="D7602" s="811"/>
      <c r="E7602" s="1276">
        <f>[11]building!Y7933</f>
        <v>0</v>
      </c>
      <c r="F7602" s="748">
        <f t="shared" si="357"/>
        <v>0</v>
      </c>
      <c r="G7602" s="1205"/>
      <c r="H7602" s="1055"/>
      <c r="I7602" s="1055"/>
      <c r="J7602" s="1055"/>
      <c r="K7602" s="1205"/>
      <c r="L7602" s="1055"/>
      <c r="M7602" s="1205"/>
      <c r="N7602" s="1054"/>
      <c r="O7602" s="1207"/>
      <c r="Q7602" s="1207"/>
    </row>
    <row r="7603" spans="3:17" s="700" customFormat="1" ht="70.5" hidden="1" customHeight="1">
      <c r="C7603" s="701"/>
      <c r="D7603" s="811"/>
      <c r="E7603" s="1276">
        <f>[11]building!Y7934</f>
        <v>0</v>
      </c>
      <c r="F7603" s="748">
        <f t="shared" si="357"/>
        <v>0</v>
      </c>
      <c r="G7603" s="1205"/>
      <c r="H7603" s="1055"/>
      <c r="I7603" s="1055"/>
      <c r="J7603" s="1055"/>
      <c r="K7603" s="1205"/>
      <c r="L7603" s="1055"/>
      <c r="M7603" s="1205"/>
      <c r="N7603" s="1054"/>
      <c r="O7603" s="1207"/>
      <c r="Q7603" s="1207"/>
    </row>
    <row r="7604" spans="3:17" s="700" customFormat="1" ht="70.5" hidden="1" customHeight="1">
      <c r="C7604" s="701"/>
      <c r="D7604" s="811"/>
      <c r="E7604" s="1276">
        <f>[11]building!Y7935</f>
        <v>0</v>
      </c>
      <c r="F7604" s="748">
        <f t="shared" si="357"/>
        <v>0</v>
      </c>
      <c r="G7604" s="1205"/>
      <c r="H7604" s="1055"/>
      <c r="I7604" s="1055"/>
      <c r="J7604" s="1055"/>
      <c r="K7604" s="1205"/>
      <c r="L7604" s="1055"/>
      <c r="M7604" s="1205"/>
      <c r="N7604" s="1054"/>
      <c r="O7604" s="1207"/>
      <c r="Q7604" s="1207"/>
    </row>
    <row r="7605" spans="3:17" s="700" customFormat="1" ht="70.5" hidden="1" customHeight="1">
      <c r="C7605" s="701"/>
      <c r="D7605" s="811"/>
      <c r="E7605" s="1276">
        <f>[11]building!Y7936</f>
        <v>0</v>
      </c>
      <c r="F7605" s="748">
        <f t="shared" si="357"/>
        <v>0</v>
      </c>
      <c r="G7605" s="1205"/>
      <c r="H7605" s="1055"/>
      <c r="I7605" s="1055"/>
      <c r="J7605" s="1055"/>
      <c r="K7605" s="1205"/>
      <c r="L7605" s="1055"/>
      <c r="M7605" s="1205"/>
      <c r="N7605" s="1054"/>
      <c r="O7605" s="1207"/>
      <c r="Q7605" s="1207"/>
    </row>
    <row r="7606" spans="3:17" s="700" customFormat="1" ht="70.5" hidden="1" customHeight="1">
      <c r="C7606" s="701"/>
      <c r="D7606" s="811"/>
      <c r="E7606" s="1276">
        <f>[11]building!Y7937</f>
        <v>0</v>
      </c>
      <c r="F7606" s="748">
        <f t="shared" si="357"/>
        <v>0</v>
      </c>
      <c r="G7606" s="1205"/>
      <c r="H7606" s="1055"/>
      <c r="I7606" s="1055"/>
      <c r="J7606" s="1055"/>
      <c r="K7606" s="1205"/>
      <c r="L7606" s="1055"/>
      <c r="M7606" s="1205"/>
      <c r="N7606" s="1054"/>
      <c r="O7606" s="1207"/>
      <c r="Q7606" s="1207"/>
    </row>
    <row r="7607" spans="3:17" s="700" customFormat="1" ht="70.5" hidden="1" customHeight="1">
      <c r="C7607" s="701"/>
      <c r="D7607" s="811"/>
      <c r="E7607" s="1276">
        <f>[11]building!Y7938</f>
        <v>0</v>
      </c>
      <c r="F7607" s="748">
        <f t="shared" si="357"/>
        <v>0</v>
      </c>
      <c r="G7607" s="1205"/>
      <c r="H7607" s="1055"/>
      <c r="I7607" s="1055"/>
      <c r="J7607" s="1055"/>
      <c r="K7607" s="1205"/>
      <c r="L7607" s="1055"/>
      <c r="M7607" s="1205"/>
      <c r="N7607" s="1054"/>
      <c r="O7607" s="1207"/>
      <c r="Q7607" s="1207"/>
    </row>
    <row r="7608" spans="3:17" s="700" customFormat="1" ht="70.5" hidden="1" customHeight="1">
      <c r="C7608" s="701"/>
      <c r="D7608" s="811"/>
      <c r="E7608" s="1276">
        <f>[11]building!Y7939</f>
        <v>0</v>
      </c>
      <c r="F7608" s="748">
        <f t="shared" si="357"/>
        <v>0</v>
      </c>
      <c r="G7608" s="1205"/>
      <c r="H7608" s="1055"/>
      <c r="I7608" s="1055"/>
      <c r="J7608" s="1055"/>
      <c r="K7608" s="1205"/>
      <c r="L7608" s="1055"/>
      <c r="M7608" s="1205"/>
      <c r="N7608" s="1054"/>
      <c r="O7608" s="1207"/>
      <c r="Q7608" s="1207"/>
    </row>
    <row r="7609" spans="3:17" s="700" customFormat="1" ht="70.5" hidden="1" customHeight="1">
      <c r="C7609" s="701"/>
      <c r="D7609" s="811"/>
      <c r="E7609" s="1276">
        <f>[11]building!Y7940</f>
        <v>0</v>
      </c>
      <c r="F7609" s="748">
        <f t="shared" si="357"/>
        <v>0</v>
      </c>
      <c r="G7609" s="1205"/>
      <c r="H7609" s="1055"/>
      <c r="I7609" s="1055"/>
      <c r="J7609" s="1055"/>
      <c r="K7609" s="1205"/>
      <c r="L7609" s="1055"/>
      <c r="M7609" s="1205"/>
      <c r="N7609" s="1054"/>
      <c r="O7609" s="1207"/>
      <c r="Q7609" s="1207"/>
    </row>
    <row r="7610" spans="3:17" s="700" customFormat="1" ht="70.5" hidden="1" customHeight="1">
      <c r="C7610" s="701"/>
      <c r="D7610" s="811"/>
      <c r="E7610" s="1276">
        <f>[11]building!Y7941</f>
        <v>0</v>
      </c>
      <c r="F7610" s="748">
        <f t="shared" si="357"/>
        <v>0</v>
      </c>
      <c r="G7610" s="1205"/>
      <c r="H7610" s="1055"/>
      <c r="I7610" s="1055"/>
      <c r="J7610" s="1055"/>
      <c r="K7610" s="1205"/>
      <c r="L7610" s="1055"/>
      <c r="M7610" s="1205"/>
      <c r="N7610" s="1054"/>
      <c r="O7610" s="1207"/>
      <c r="Q7610" s="1207"/>
    </row>
    <row r="7611" spans="3:17" s="700" customFormat="1" ht="70.5" hidden="1" customHeight="1">
      <c r="C7611" s="701"/>
      <c r="D7611" s="811"/>
      <c r="E7611" s="1276">
        <f>[11]building!Y7942</f>
        <v>0</v>
      </c>
      <c r="F7611" s="748">
        <f t="shared" si="357"/>
        <v>0</v>
      </c>
      <c r="G7611" s="1205"/>
      <c r="H7611" s="1055"/>
      <c r="I7611" s="1055"/>
      <c r="J7611" s="1055"/>
      <c r="K7611" s="1205"/>
      <c r="L7611" s="1055"/>
      <c r="M7611" s="1205"/>
      <c r="N7611" s="1054"/>
      <c r="O7611" s="1207"/>
      <c r="Q7611" s="1207"/>
    </row>
    <row r="7612" spans="3:17" s="700" customFormat="1" ht="70.5" hidden="1" customHeight="1">
      <c r="C7612" s="701"/>
      <c r="D7612" s="811"/>
      <c r="E7612" s="1276">
        <f>[11]building!Y7943</f>
        <v>0</v>
      </c>
      <c r="F7612" s="748">
        <f t="shared" si="357"/>
        <v>0</v>
      </c>
      <c r="G7612" s="1205"/>
      <c r="H7612" s="1055"/>
      <c r="I7612" s="1055"/>
      <c r="J7612" s="1055"/>
      <c r="K7612" s="1205"/>
      <c r="L7612" s="1055"/>
      <c r="M7612" s="1205"/>
      <c r="N7612" s="1054"/>
      <c r="O7612" s="1207"/>
      <c r="Q7612" s="1207"/>
    </row>
    <row r="7613" spans="3:17" s="700" customFormat="1" ht="70.5" hidden="1" customHeight="1">
      <c r="C7613" s="701"/>
      <c r="D7613" s="811"/>
      <c r="E7613" s="1276">
        <f>[11]building!Y7944</f>
        <v>0</v>
      </c>
      <c r="F7613" s="748">
        <f t="shared" si="357"/>
        <v>0</v>
      </c>
      <c r="G7613" s="1205"/>
      <c r="H7613" s="1055"/>
      <c r="I7613" s="1055"/>
      <c r="J7613" s="1055"/>
      <c r="K7613" s="1205"/>
      <c r="L7613" s="1055"/>
      <c r="M7613" s="1205"/>
      <c r="N7613" s="1054"/>
      <c r="O7613" s="1207"/>
      <c r="Q7613" s="1207"/>
    </row>
    <row r="7614" spans="3:17" s="700" customFormat="1" ht="70.5" hidden="1" customHeight="1">
      <c r="C7614" s="701"/>
      <c r="D7614" s="811"/>
      <c r="E7614" s="1276">
        <f>[11]building!Y7945</f>
        <v>0</v>
      </c>
      <c r="F7614" s="748">
        <f t="shared" si="357"/>
        <v>0</v>
      </c>
      <c r="G7614" s="1205"/>
      <c r="H7614" s="1055"/>
      <c r="I7614" s="1055"/>
      <c r="J7614" s="1055"/>
      <c r="K7614" s="1205"/>
      <c r="L7614" s="1055"/>
      <c r="M7614" s="1205"/>
      <c r="N7614" s="1054"/>
      <c r="O7614" s="1207"/>
      <c r="Q7614" s="1207"/>
    </row>
    <row r="7615" spans="3:17" s="700" customFormat="1" ht="70.5" hidden="1" customHeight="1">
      <c r="C7615" s="701"/>
      <c r="D7615" s="811"/>
      <c r="E7615" s="1276">
        <f>[11]building!Y7946</f>
        <v>0</v>
      </c>
      <c r="F7615" s="748">
        <f t="shared" si="357"/>
        <v>0</v>
      </c>
      <c r="G7615" s="1205"/>
      <c r="H7615" s="1055"/>
      <c r="I7615" s="1055"/>
      <c r="J7615" s="1055"/>
      <c r="K7615" s="1205"/>
      <c r="L7615" s="1055"/>
      <c r="M7615" s="1205"/>
      <c r="N7615" s="1054"/>
      <c r="O7615" s="1207"/>
      <c r="Q7615" s="1207"/>
    </row>
    <row r="7616" spans="3:17" s="700" customFormat="1" ht="70.5" hidden="1" customHeight="1">
      <c r="C7616" s="701"/>
      <c r="D7616" s="811"/>
      <c r="E7616" s="1276">
        <f>[11]building!Y7947</f>
        <v>0</v>
      </c>
      <c r="F7616" s="748">
        <f t="shared" ref="F7616:F7679" si="358">E7616*C7616</f>
        <v>0</v>
      </c>
      <c r="G7616" s="1205"/>
      <c r="H7616" s="1055"/>
      <c r="I7616" s="1055"/>
      <c r="J7616" s="1055"/>
      <c r="K7616" s="1205"/>
      <c r="L7616" s="1055"/>
      <c r="M7616" s="1205"/>
      <c r="N7616" s="1054"/>
      <c r="O7616" s="1207"/>
      <c r="Q7616" s="1207"/>
    </row>
    <row r="7617" spans="3:17" s="700" customFormat="1" ht="70.5" hidden="1" customHeight="1">
      <c r="C7617" s="701"/>
      <c r="D7617" s="811"/>
      <c r="E7617" s="1276">
        <f>[11]building!Y7948</f>
        <v>0</v>
      </c>
      <c r="F7617" s="748">
        <f t="shared" si="358"/>
        <v>0</v>
      </c>
      <c r="G7617" s="1205"/>
      <c r="H7617" s="1055"/>
      <c r="I7617" s="1055"/>
      <c r="J7617" s="1055"/>
      <c r="K7617" s="1205"/>
      <c r="L7617" s="1055"/>
      <c r="M7617" s="1205"/>
      <c r="N7617" s="1054"/>
      <c r="O7617" s="1207"/>
      <c r="Q7617" s="1207"/>
    </row>
    <row r="7618" spans="3:17" s="700" customFormat="1" ht="70.5" hidden="1" customHeight="1">
      <c r="C7618" s="701"/>
      <c r="D7618" s="811"/>
      <c r="E7618" s="1276">
        <f>[11]building!Y7949</f>
        <v>0</v>
      </c>
      <c r="F7618" s="748">
        <f t="shared" si="358"/>
        <v>0</v>
      </c>
      <c r="G7618" s="1205"/>
      <c r="H7618" s="1055"/>
      <c r="I7618" s="1055"/>
      <c r="J7618" s="1055"/>
      <c r="K7618" s="1205"/>
      <c r="L7618" s="1055"/>
      <c r="M7618" s="1205"/>
      <c r="N7618" s="1054"/>
      <c r="O7618" s="1207"/>
      <c r="Q7618" s="1207"/>
    </row>
    <row r="7619" spans="3:17" s="700" customFormat="1" ht="70.5" hidden="1" customHeight="1">
      <c r="C7619" s="701"/>
      <c r="D7619" s="811"/>
      <c r="E7619" s="1276">
        <f>[11]building!Y7950</f>
        <v>0</v>
      </c>
      <c r="F7619" s="748">
        <f t="shared" si="358"/>
        <v>0</v>
      </c>
      <c r="G7619" s="1205"/>
      <c r="H7619" s="1055"/>
      <c r="I7619" s="1055"/>
      <c r="J7619" s="1055"/>
      <c r="K7619" s="1205"/>
      <c r="L7619" s="1055"/>
      <c r="M7619" s="1205"/>
      <c r="N7619" s="1054"/>
      <c r="O7619" s="1207"/>
      <c r="Q7619" s="1207"/>
    </row>
    <row r="7620" spans="3:17" s="700" customFormat="1" ht="70.5" hidden="1" customHeight="1">
      <c r="C7620" s="701"/>
      <c r="D7620" s="811"/>
      <c r="E7620" s="1276">
        <f>[11]building!Y7951</f>
        <v>0</v>
      </c>
      <c r="F7620" s="748">
        <f t="shared" si="358"/>
        <v>0</v>
      </c>
      <c r="G7620" s="1205"/>
      <c r="H7620" s="1055"/>
      <c r="I7620" s="1055"/>
      <c r="J7620" s="1055"/>
      <c r="K7620" s="1205"/>
      <c r="L7620" s="1055"/>
      <c r="M7620" s="1205"/>
      <c r="N7620" s="1054"/>
      <c r="O7620" s="1207"/>
      <c r="Q7620" s="1207"/>
    </row>
    <row r="7621" spans="3:17" s="700" customFormat="1" ht="70.5" hidden="1" customHeight="1">
      <c r="C7621" s="701"/>
      <c r="D7621" s="811"/>
      <c r="E7621" s="1276">
        <f>[11]building!Y7952</f>
        <v>0</v>
      </c>
      <c r="F7621" s="748">
        <f t="shared" si="358"/>
        <v>0</v>
      </c>
      <c r="G7621" s="1205"/>
      <c r="H7621" s="1055"/>
      <c r="I7621" s="1055"/>
      <c r="J7621" s="1055"/>
      <c r="K7621" s="1205"/>
      <c r="L7621" s="1055"/>
      <c r="M7621" s="1205"/>
      <c r="N7621" s="1054"/>
      <c r="O7621" s="1207"/>
      <c r="Q7621" s="1207"/>
    </row>
    <row r="7622" spans="3:17" s="700" customFormat="1" ht="70.5" hidden="1" customHeight="1">
      <c r="C7622" s="701"/>
      <c r="D7622" s="811"/>
      <c r="E7622" s="1276">
        <f>[11]building!Y7953</f>
        <v>0</v>
      </c>
      <c r="F7622" s="748">
        <f t="shared" si="358"/>
        <v>0</v>
      </c>
      <c r="G7622" s="1205"/>
      <c r="H7622" s="1055"/>
      <c r="I7622" s="1055"/>
      <c r="J7622" s="1055"/>
      <c r="K7622" s="1205"/>
      <c r="L7622" s="1055"/>
      <c r="M7622" s="1205"/>
      <c r="N7622" s="1054"/>
      <c r="O7622" s="1207"/>
      <c r="Q7622" s="1207"/>
    </row>
    <row r="7623" spans="3:17" s="700" customFormat="1" ht="70.5" hidden="1" customHeight="1">
      <c r="C7623" s="701"/>
      <c r="D7623" s="811"/>
      <c r="E7623" s="1276">
        <f>[11]building!Y7954</f>
        <v>0</v>
      </c>
      <c r="F7623" s="748">
        <f t="shared" si="358"/>
        <v>0</v>
      </c>
      <c r="G7623" s="1205"/>
      <c r="H7623" s="1055"/>
      <c r="I7623" s="1055"/>
      <c r="J7623" s="1055"/>
      <c r="K7623" s="1205"/>
      <c r="L7623" s="1055"/>
      <c r="M7623" s="1205"/>
      <c r="N7623" s="1054"/>
      <c r="O7623" s="1207"/>
      <c r="Q7623" s="1207"/>
    </row>
    <row r="7624" spans="3:17" s="700" customFormat="1" ht="70.5" hidden="1" customHeight="1">
      <c r="C7624" s="701"/>
      <c r="D7624" s="811"/>
      <c r="E7624" s="1276">
        <f>[11]building!Y7955</f>
        <v>0</v>
      </c>
      <c r="F7624" s="748">
        <f t="shared" si="358"/>
        <v>0</v>
      </c>
      <c r="G7624" s="1205"/>
      <c r="H7624" s="1055"/>
      <c r="I7624" s="1055"/>
      <c r="J7624" s="1055"/>
      <c r="K7624" s="1205"/>
      <c r="L7624" s="1055"/>
      <c r="M7624" s="1205"/>
      <c r="N7624" s="1054"/>
      <c r="O7624" s="1207"/>
      <c r="Q7624" s="1207"/>
    </row>
    <row r="7625" spans="3:17" s="700" customFormat="1" ht="70.5" hidden="1" customHeight="1">
      <c r="C7625" s="701"/>
      <c r="D7625" s="811"/>
      <c r="E7625" s="1276">
        <f>[11]building!Y7956</f>
        <v>0</v>
      </c>
      <c r="F7625" s="748">
        <f t="shared" si="358"/>
        <v>0</v>
      </c>
      <c r="G7625" s="1205"/>
      <c r="H7625" s="1055"/>
      <c r="I7625" s="1055"/>
      <c r="J7625" s="1055"/>
      <c r="K7625" s="1205"/>
      <c r="L7625" s="1055"/>
      <c r="M7625" s="1205"/>
      <c r="N7625" s="1054"/>
      <c r="O7625" s="1207"/>
      <c r="Q7625" s="1207"/>
    </row>
    <row r="7626" spans="3:17" s="700" customFormat="1" ht="70.5" hidden="1" customHeight="1">
      <c r="C7626" s="701"/>
      <c r="D7626" s="811"/>
      <c r="E7626" s="1276">
        <f>[11]building!Y7957</f>
        <v>0</v>
      </c>
      <c r="F7626" s="748">
        <f t="shared" si="358"/>
        <v>0</v>
      </c>
      <c r="G7626" s="1205"/>
      <c r="H7626" s="1055"/>
      <c r="I7626" s="1055"/>
      <c r="J7626" s="1055"/>
      <c r="K7626" s="1205"/>
      <c r="L7626" s="1055"/>
      <c r="M7626" s="1205"/>
      <c r="N7626" s="1054"/>
      <c r="O7626" s="1207"/>
      <c r="Q7626" s="1207"/>
    </row>
    <row r="7627" spans="3:17" s="700" customFormat="1" ht="70.5" hidden="1" customHeight="1">
      <c r="C7627" s="701"/>
      <c r="D7627" s="811"/>
      <c r="E7627" s="1276">
        <f>[11]building!Y7958</f>
        <v>0</v>
      </c>
      <c r="F7627" s="748">
        <f t="shared" si="358"/>
        <v>0</v>
      </c>
      <c r="G7627" s="1205"/>
      <c r="H7627" s="1055"/>
      <c r="I7627" s="1055"/>
      <c r="J7627" s="1055"/>
      <c r="K7627" s="1205"/>
      <c r="L7627" s="1055"/>
      <c r="M7627" s="1205"/>
      <c r="N7627" s="1054"/>
      <c r="O7627" s="1207"/>
      <c r="Q7627" s="1207"/>
    </row>
    <row r="7628" spans="3:17" s="700" customFormat="1" ht="70.5" hidden="1" customHeight="1">
      <c r="C7628" s="701"/>
      <c r="D7628" s="811"/>
      <c r="E7628" s="1276">
        <f>[11]building!Y7959</f>
        <v>0</v>
      </c>
      <c r="F7628" s="748">
        <f t="shared" si="358"/>
        <v>0</v>
      </c>
      <c r="G7628" s="1205"/>
      <c r="H7628" s="1055"/>
      <c r="I7628" s="1055"/>
      <c r="J7628" s="1055"/>
      <c r="K7628" s="1205"/>
      <c r="L7628" s="1055"/>
      <c r="M7628" s="1205"/>
      <c r="N7628" s="1054"/>
      <c r="O7628" s="1207"/>
      <c r="Q7628" s="1207"/>
    </row>
    <row r="7629" spans="3:17" s="700" customFormat="1" ht="70.5" hidden="1" customHeight="1">
      <c r="C7629" s="701"/>
      <c r="D7629" s="811"/>
      <c r="E7629" s="1276">
        <f>[11]building!Y7960</f>
        <v>0</v>
      </c>
      <c r="F7629" s="748">
        <f t="shared" si="358"/>
        <v>0</v>
      </c>
      <c r="G7629" s="1205"/>
      <c r="H7629" s="1055"/>
      <c r="I7629" s="1055"/>
      <c r="J7629" s="1055"/>
      <c r="K7629" s="1205"/>
      <c r="L7629" s="1055"/>
      <c r="M7629" s="1205"/>
      <c r="N7629" s="1054"/>
      <c r="O7629" s="1207"/>
      <c r="Q7629" s="1207"/>
    </row>
    <row r="7630" spans="3:17" s="700" customFormat="1" ht="70.5" hidden="1" customHeight="1">
      <c r="C7630" s="701"/>
      <c r="D7630" s="811"/>
      <c r="E7630" s="1276">
        <f>[11]building!Y7961</f>
        <v>0</v>
      </c>
      <c r="F7630" s="748">
        <f t="shared" si="358"/>
        <v>0</v>
      </c>
      <c r="G7630" s="1205"/>
      <c r="H7630" s="1055"/>
      <c r="I7630" s="1055"/>
      <c r="J7630" s="1055"/>
      <c r="K7630" s="1205"/>
      <c r="L7630" s="1055"/>
      <c r="M7630" s="1205"/>
      <c r="N7630" s="1054"/>
      <c r="O7630" s="1207"/>
      <c r="Q7630" s="1207"/>
    </row>
    <row r="7631" spans="3:17" s="700" customFormat="1" ht="70.5" hidden="1" customHeight="1">
      <c r="C7631" s="701"/>
      <c r="D7631" s="811"/>
      <c r="E7631" s="1276">
        <f>[11]building!Y7962</f>
        <v>0</v>
      </c>
      <c r="F7631" s="748">
        <f t="shared" si="358"/>
        <v>0</v>
      </c>
      <c r="G7631" s="1205"/>
      <c r="H7631" s="1055"/>
      <c r="I7631" s="1055"/>
      <c r="J7631" s="1055"/>
      <c r="K7631" s="1205"/>
      <c r="L7631" s="1055"/>
      <c r="M7631" s="1205"/>
      <c r="N7631" s="1054"/>
      <c r="O7631" s="1207"/>
      <c r="Q7631" s="1207"/>
    </row>
    <row r="7632" spans="3:17" s="700" customFormat="1" ht="70.5" hidden="1" customHeight="1">
      <c r="C7632" s="701"/>
      <c r="D7632" s="811"/>
      <c r="E7632" s="1276">
        <f>[11]building!Y7963</f>
        <v>0</v>
      </c>
      <c r="F7632" s="748">
        <f t="shared" si="358"/>
        <v>0</v>
      </c>
      <c r="G7632" s="1205"/>
      <c r="H7632" s="1055"/>
      <c r="I7632" s="1055"/>
      <c r="J7632" s="1055"/>
      <c r="K7632" s="1205"/>
      <c r="L7632" s="1055"/>
      <c r="M7632" s="1205"/>
      <c r="N7632" s="1054"/>
      <c r="O7632" s="1207"/>
      <c r="Q7632" s="1207"/>
    </row>
    <row r="7633" spans="3:17" s="700" customFormat="1" ht="70.5" hidden="1" customHeight="1">
      <c r="C7633" s="701"/>
      <c r="D7633" s="811"/>
      <c r="E7633" s="1276">
        <f>[11]building!Y7964</f>
        <v>0</v>
      </c>
      <c r="F7633" s="748">
        <f t="shared" si="358"/>
        <v>0</v>
      </c>
      <c r="G7633" s="1205"/>
      <c r="H7633" s="1055"/>
      <c r="I7633" s="1055"/>
      <c r="J7633" s="1055"/>
      <c r="K7633" s="1205"/>
      <c r="L7633" s="1055"/>
      <c r="M7633" s="1205"/>
      <c r="N7633" s="1054"/>
      <c r="O7633" s="1207"/>
      <c r="Q7633" s="1207"/>
    </row>
    <row r="7634" spans="3:17" s="700" customFormat="1" ht="70.5" hidden="1" customHeight="1">
      <c r="C7634" s="701"/>
      <c r="D7634" s="811"/>
      <c r="E7634" s="1276">
        <f>[11]building!Y7965</f>
        <v>0</v>
      </c>
      <c r="F7634" s="748">
        <f t="shared" si="358"/>
        <v>0</v>
      </c>
      <c r="G7634" s="1205"/>
      <c r="H7634" s="1055"/>
      <c r="I7634" s="1055"/>
      <c r="J7634" s="1055"/>
      <c r="K7634" s="1205"/>
      <c r="L7634" s="1055"/>
      <c r="M7634" s="1205"/>
      <c r="N7634" s="1054"/>
      <c r="O7634" s="1207"/>
      <c r="Q7634" s="1207"/>
    </row>
    <row r="7635" spans="3:17" s="700" customFormat="1" ht="70.5" hidden="1" customHeight="1">
      <c r="C7635" s="701"/>
      <c r="D7635" s="811"/>
      <c r="E7635" s="1276">
        <f>[11]building!Y7966</f>
        <v>0</v>
      </c>
      <c r="F7635" s="748">
        <f t="shared" si="358"/>
        <v>0</v>
      </c>
      <c r="G7635" s="1205"/>
      <c r="H7635" s="1055"/>
      <c r="I7635" s="1055"/>
      <c r="J7635" s="1055"/>
      <c r="K7635" s="1205"/>
      <c r="L7635" s="1055"/>
      <c r="M7635" s="1205"/>
      <c r="N7635" s="1054"/>
      <c r="O7635" s="1207"/>
      <c r="Q7635" s="1207"/>
    </row>
    <row r="7636" spans="3:17" s="700" customFormat="1" ht="70.5" hidden="1" customHeight="1">
      <c r="C7636" s="701"/>
      <c r="D7636" s="811"/>
      <c r="E7636" s="1276">
        <f>[11]building!Y7967</f>
        <v>0</v>
      </c>
      <c r="F7636" s="748">
        <f t="shared" si="358"/>
        <v>0</v>
      </c>
      <c r="G7636" s="1205"/>
      <c r="H7636" s="1055"/>
      <c r="I7636" s="1055"/>
      <c r="J7636" s="1055"/>
      <c r="K7636" s="1205"/>
      <c r="L7636" s="1055"/>
      <c r="M7636" s="1205"/>
      <c r="N7636" s="1054"/>
      <c r="O7636" s="1207"/>
      <c r="Q7636" s="1207"/>
    </row>
    <row r="7637" spans="3:17" s="700" customFormat="1" ht="70.5" hidden="1" customHeight="1">
      <c r="C7637" s="701"/>
      <c r="D7637" s="811"/>
      <c r="E7637" s="1276">
        <f>[11]building!Y7968</f>
        <v>0</v>
      </c>
      <c r="F7637" s="748">
        <f t="shared" si="358"/>
        <v>0</v>
      </c>
      <c r="G7637" s="1205"/>
      <c r="H7637" s="1055"/>
      <c r="I7637" s="1055"/>
      <c r="J7637" s="1055"/>
      <c r="K7637" s="1205"/>
      <c r="L7637" s="1055"/>
      <c r="M7637" s="1205"/>
      <c r="N7637" s="1054"/>
      <c r="O7637" s="1207"/>
      <c r="Q7637" s="1207"/>
    </row>
    <row r="7638" spans="3:17" s="700" customFormat="1" ht="70.5" hidden="1" customHeight="1">
      <c r="C7638" s="701"/>
      <c r="D7638" s="811"/>
      <c r="E7638" s="1276">
        <f>[11]building!Y7969</f>
        <v>0</v>
      </c>
      <c r="F7638" s="748">
        <f t="shared" si="358"/>
        <v>0</v>
      </c>
      <c r="G7638" s="1205"/>
      <c r="H7638" s="1055"/>
      <c r="I7638" s="1055"/>
      <c r="J7638" s="1055"/>
      <c r="K7638" s="1205"/>
      <c r="L7638" s="1055"/>
      <c r="M7638" s="1205"/>
      <c r="N7638" s="1054"/>
      <c r="O7638" s="1207"/>
      <c r="Q7638" s="1207"/>
    </row>
    <row r="7639" spans="3:17" s="700" customFormat="1" ht="70.5" hidden="1" customHeight="1">
      <c r="C7639" s="701"/>
      <c r="D7639" s="811"/>
      <c r="E7639" s="1276">
        <f>[11]building!Y7970</f>
        <v>0</v>
      </c>
      <c r="F7639" s="748">
        <f t="shared" si="358"/>
        <v>0</v>
      </c>
      <c r="G7639" s="1205"/>
      <c r="H7639" s="1055"/>
      <c r="I7639" s="1055"/>
      <c r="J7639" s="1055"/>
      <c r="K7639" s="1205"/>
      <c r="L7639" s="1055"/>
      <c r="M7639" s="1205"/>
      <c r="N7639" s="1054"/>
      <c r="O7639" s="1207"/>
      <c r="Q7639" s="1207"/>
    </row>
    <row r="7640" spans="3:17" s="700" customFormat="1" ht="70.5" hidden="1" customHeight="1">
      <c r="C7640" s="701"/>
      <c r="D7640" s="811"/>
      <c r="E7640" s="1276">
        <f>[11]building!Y7971</f>
        <v>0</v>
      </c>
      <c r="F7640" s="748">
        <f t="shared" si="358"/>
        <v>0</v>
      </c>
      <c r="G7640" s="1205"/>
      <c r="H7640" s="1055"/>
      <c r="I7640" s="1055"/>
      <c r="J7640" s="1055"/>
      <c r="K7640" s="1205"/>
      <c r="L7640" s="1055"/>
      <c r="M7640" s="1205"/>
      <c r="N7640" s="1054"/>
      <c r="O7640" s="1207"/>
      <c r="Q7640" s="1207"/>
    </row>
    <row r="7641" spans="3:17" s="700" customFormat="1" ht="70.5" hidden="1" customHeight="1">
      <c r="C7641" s="701"/>
      <c r="D7641" s="811"/>
      <c r="E7641" s="1276">
        <f>[11]building!Y7972</f>
        <v>0</v>
      </c>
      <c r="F7641" s="748">
        <f t="shared" si="358"/>
        <v>0</v>
      </c>
      <c r="G7641" s="1205"/>
      <c r="H7641" s="1055"/>
      <c r="I7641" s="1055"/>
      <c r="J7641" s="1055"/>
      <c r="K7641" s="1205"/>
      <c r="L7641" s="1055"/>
      <c r="M7641" s="1205"/>
      <c r="N7641" s="1054"/>
      <c r="O7641" s="1207"/>
      <c r="Q7641" s="1207"/>
    </row>
    <row r="7642" spans="3:17" s="700" customFormat="1" ht="70.5" hidden="1" customHeight="1">
      <c r="C7642" s="701"/>
      <c r="D7642" s="811"/>
      <c r="E7642" s="1276">
        <f>[11]building!Y7973</f>
        <v>0</v>
      </c>
      <c r="F7642" s="748">
        <f t="shared" si="358"/>
        <v>0</v>
      </c>
      <c r="G7642" s="1205"/>
      <c r="H7642" s="1055"/>
      <c r="I7642" s="1055"/>
      <c r="J7642" s="1055"/>
      <c r="K7642" s="1205"/>
      <c r="L7642" s="1055"/>
      <c r="M7642" s="1205"/>
      <c r="N7642" s="1054"/>
      <c r="O7642" s="1207"/>
      <c r="Q7642" s="1207"/>
    </row>
    <row r="7643" spans="3:17" s="700" customFormat="1" ht="70.5" hidden="1" customHeight="1">
      <c r="C7643" s="701"/>
      <c r="D7643" s="811"/>
      <c r="E7643" s="1276">
        <f>[11]building!Y7974</f>
        <v>0</v>
      </c>
      <c r="F7643" s="748">
        <f t="shared" si="358"/>
        <v>0</v>
      </c>
      <c r="G7643" s="1205"/>
      <c r="H7643" s="1055"/>
      <c r="I7643" s="1055"/>
      <c r="J7643" s="1055"/>
      <c r="K7643" s="1205"/>
      <c r="L7643" s="1055"/>
      <c r="M7643" s="1205"/>
      <c r="N7643" s="1054"/>
      <c r="O7643" s="1207"/>
      <c r="Q7643" s="1207"/>
    </row>
    <row r="7644" spans="3:17" s="700" customFormat="1" ht="70.5" hidden="1" customHeight="1">
      <c r="C7644" s="701"/>
      <c r="D7644" s="811"/>
      <c r="E7644" s="1276">
        <f>[11]building!Y7975</f>
        <v>0</v>
      </c>
      <c r="F7644" s="748">
        <f t="shared" si="358"/>
        <v>0</v>
      </c>
      <c r="G7644" s="1205"/>
      <c r="H7644" s="1055"/>
      <c r="I7644" s="1055"/>
      <c r="J7644" s="1055"/>
      <c r="K7644" s="1205"/>
      <c r="L7644" s="1055"/>
      <c r="M7644" s="1205"/>
      <c r="N7644" s="1054"/>
      <c r="O7644" s="1207"/>
      <c r="Q7644" s="1207"/>
    </row>
    <row r="7645" spans="3:17" s="700" customFormat="1" ht="70.5" hidden="1" customHeight="1">
      <c r="C7645" s="701"/>
      <c r="D7645" s="811"/>
      <c r="E7645" s="1276">
        <f>[11]building!Y7976</f>
        <v>0</v>
      </c>
      <c r="F7645" s="748">
        <f t="shared" si="358"/>
        <v>0</v>
      </c>
      <c r="G7645" s="1205"/>
      <c r="H7645" s="1055"/>
      <c r="I7645" s="1055"/>
      <c r="J7645" s="1055"/>
      <c r="K7645" s="1205"/>
      <c r="L7645" s="1055"/>
      <c r="M7645" s="1205"/>
      <c r="N7645" s="1054"/>
      <c r="O7645" s="1207"/>
      <c r="Q7645" s="1207"/>
    </row>
    <row r="7646" spans="3:17" s="700" customFormat="1" ht="70.5" hidden="1" customHeight="1">
      <c r="C7646" s="701"/>
      <c r="D7646" s="811"/>
      <c r="E7646" s="1276">
        <f>[11]building!Y7977</f>
        <v>0</v>
      </c>
      <c r="F7646" s="748">
        <f t="shared" si="358"/>
        <v>0</v>
      </c>
      <c r="G7646" s="1205"/>
      <c r="H7646" s="1055"/>
      <c r="I7646" s="1055"/>
      <c r="J7646" s="1055"/>
      <c r="K7646" s="1205"/>
      <c r="L7646" s="1055"/>
      <c r="M7646" s="1205"/>
      <c r="N7646" s="1054"/>
      <c r="O7646" s="1207"/>
      <c r="Q7646" s="1207"/>
    </row>
    <row r="7647" spans="3:17" s="700" customFormat="1" ht="70.5" hidden="1" customHeight="1">
      <c r="C7647" s="701"/>
      <c r="D7647" s="811"/>
      <c r="E7647" s="1276">
        <f>[11]building!Y7978</f>
        <v>0</v>
      </c>
      <c r="F7647" s="748">
        <f t="shared" si="358"/>
        <v>0</v>
      </c>
      <c r="G7647" s="1205"/>
      <c r="H7647" s="1055"/>
      <c r="I7647" s="1055"/>
      <c r="J7647" s="1055"/>
      <c r="K7647" s="1205"/>
      <c r="L7647" s="1055"/>
      <c r="M7647" s="1205"/>
      <c r="N7647" s="1054"/>
      <c r="O7647" s="1207"/>
      <c r="Q7647" s="1207"/>
    </row>
    <row r="7648" spans="3:17" s="700" customFormat="1" ht="70.5" hidden="1" customHeight="1">
      <c r="C7648" s="701"/>
      <c r="D7648" s="811"/>
      <c r="E7648" s="1276">
        <f>[11]building!Y7979</f>
        <v>0</v>
      </c>
      <c r="F7648" s="748">
        <f t="shared" si="358"/>
        <v>0</v>
      </c>
      <c r="G7648" s="1205"/>
      <c r="H7648" s="1055"/>
      <c r="I7648" s="1055"/>
      <c r="J7648" s="1055"/>
      <c r="K7648" s="1205"/>
      <c r="L7648" s="1055"/>
      <c r="M7648" s="1205"/>
      <c r="N7648" s="1054"/>
      <c r="O7648" s="1207"/>
      <c r="Q7648" s="1207"/>
    </row>
    <row r="7649" spans="3:17" s="700" customFormat="1" ht="70.5" hidden="1" customHeight="1">
      <c r="C7649" s="701"/>
      <c r="D7649" s="811"/>
      <c r="E7649" s="1276">
        <f>[11]building!Y7980</f>
        <v>0</v>
      </c>
      <c r="F7649" s="748">
        <f t="shared" si="358"/>
        <v>0</v>
      </c>
      <c r="G7649" s="1205"/>
      <c r="H7649" s="1055"/>
      <c r="I7649" s="1055"/>
      <c r="J7649" s="1055"/>
      <c r="K7649" s="1205"/>
      <c r="L7649" s="1055"/>
      <c r="M7649" s="1205"/>
      <c r="N7649" s="1054"/>
      <c r="O7649" s="1207"/>
      <c r="Q7649" s="1207"/>
    </row>
    <row r="7650" spans="3:17" s="700" customFormat="1" ht="70.5" hidden="1" customHeight="1">
      <c r="C7650" s="701"/>
      <c r="D7650" s="811"/>
      <c r="E7650" s="1276">
        <f>[11]building!Y7981</f>
        <v>0</v>
      </c>
      <c r="F7650" s="748">
        <f t="shared" si="358"/>
        <v>0</v>
      </c>
      <c r="G7650" s="1205"/>
      <c r="H7650" s="1055"/>
      <c r="I7650" s="1055"/>
      <c r="J7650" s="1055"/>
      <c r="K7650" s="1205"/>
      <c r="L7650" s="1055"/>
      <c r="M7650" s="1205"/>
      <c r="N7650" s="1054"/>
      <c r="O7650" s="1207"/>
      <c r="Q7650" s="1207"/>
    </row>
    <row r="7651" spans="3:17" s="700" customFormat="1" ht="70.5" hidden="1" customHeight="1">
      <c r="C7651" s="701"/>
      <c r="D7651" s="811"/>
      <c r="E7651" s="1276">
        <f>[11]building!Y7982</f>
        <v>0</v>
      </c>
      <c r="F7651" s="748">
        <f t="shared" si="358"/>
        <v>0</v>
      </c>
      <c r="G7651" s="1205"/>
      <c r="H7651" s="1055"/>
      <c r="I7651" s="1055"/>
      <c r="J7651" s="1055"/>
      <c r="K7651" s="1205"/>
      <c r="L7651" s="1055"/>
      <c r="M7651" s="1205"/>
      <c r="N7651" s="1054"/>
      <c r="O7651" s="1207"/>
      <c r="Q7651" s="1207"/>
    </row>
    <row r="7652" spans="3:17" s="700" customFormat="1" ht="70.5" hidden="1" customHeight="1">
      <c r="C7652" s="701"/>
      <c r="D7652" s="811"/>
      <c r="E7652" s="1276">
        <f>[11]building!Y7983</f>
        <v>0</v>
      </c>
      <c r="F7652" s="748">
        <f t="shared" si="358"/>
        <v>0</v>
      </c>
      <c r="G7652" s="1205"/>
      <c r="H7652" s="1055"/>
      <c r="I7652" s="1055"/>
      <c r="J7652" s="1055"/>
      <c r="K7652" s="1205"/>
      <c r="L7652" s="1055"/>
      <c r="M7652" s="1205"/>
      <c r="N7652" s="1054"/>
      <c r="O7652" s="1207"/>
      <c r="Q7652" s="1207"/>
    </row>
    <row r="7653" spans="3:17" s="700" customFormat="1" ht="70.5" hidden="1" customHeight="1">
      <c r="C7653" s="701"/>
      <c r="D7653" s="811"/>
      <c r="E7653" s="1276">
        <f>[11]building!Y7984</f>
        <v>0</v>
      </c>
      <c r="F7653" s="748">
        <f t="shared" si="358"/>
        <v>0</v>
      </c>
      <c r="G7653" s="1205"/>
      <c r="H7653" s="1055"/>
      <c r="I7653" s="1055"/>
      <c r="J7653" s="1055"/>
      <c r="K7653" s="1205"/>
      <c r="L7653" s="1055"/>
      <c r="M7653" s="1205"/>
      <c r="N7653" s="1054"/>
      <c r="O7653" s="1207"/>
      <c r="Q7653" s="1207"/>
    </row>
    <row r="7654" spans="3:17" s="700" customFormat="1" ht="70.5" hidden="1" customHeight="1">
      <c r="C7654" s="701"/>
      <c r="D7654" s="811"/>
      <c r="E7654" s="1276">
        <f>[11]building!Y7985</f>
        <v>0</v>
      </c>
      <c r="F7654" s="748">
        <f t="shared" si="358"/>
        <v>0</v>
      </c>
      <c r="G7654" s="1205"/>
      <c r="H7654" s="1055"/>
      <c r="I7654" s="1055"/>
      <c r="J7654" s="1055"/>
      <c r="K7654" s="1205"/>
      <c r="L7654" s="1055"/>
      <c r="M7654" s="1205"/>
      <c r="N7654" s="1054"/>
      <c r="O7654" s="1207"/>
      <c r="Q7654" s="1207"/>
    </row>
    <row r="7655" spans="3:17" s="700" customFormat="1" ht="70.5" hidden="1" customHeight="1">
      <c r="C7655" s="701"/>
      <c r="D7655" s="811"/>
      <c r="E7655" s="1276">
        <f>[11]building!Y7986</f>
        <v>0</v>
      </c>
      <c r="F7655" s="748">
        <f t="shared" si="358"/>
        <v>0</v>
      </c>
      <c r="G7655" s="1205"/>
      <c r="H7655" s="1055"/>
      <c r="I7655" s="1055"/>
      <c r="J7655" s="1055"/>
      <c r="K7655" s="1205"/>
      <c r="L7655" s="1055"/>
      <c r="M7655" s="1205"/>
      <c r="N7655" s="1054"/>
      <c r="O7655" s="1207"/>
      <c r="Q7655" s="1207"/>
    </row>
    <row r="7656" spans="3:17" s="700" customFormat="1" ht="70.5" hidden="1" customHeight="1">
      <c r="C7656" s="701"/>
      <c r="D7656" s="811"/>
      <c r="E7656" s="1276">
        <f>[11]building!Y7987</f>
        <v>0</v>
      </c>
      <c r="F7656" s="748">
        <f t="shared" si="358"/>
        <v>0</v>
      </c>
      <c r="G7656" s="1205"/>
      <c r="H7656" s="1055"/>
      <c r="I7656" s="1055"/>
      <c r="J7656" s="1055"/>
      <c r="K7656" s="1205"/>
      <c r="L7656" s="1055"/>
      <c r="M7656" s="1205"/>
      <c r="N7656" s="1054"/>
      <c r="O7656" s="1207"/>
      <c r="Q7656" s="1207"/>
    </row>
    <row r="7657" spans="3:17" s="700" customFormat="1" ht="70.5" hidden="1" customHeight="1">
      <c r="C7657" s="701"/>
      <c r="D7657" s="811"/>
      <c r="E7657" s="1276">
        <f>[11]building!Y7988</f>
        <v>0</v>
      </c>
      <c r="F7657" s="748">
        <f t="shared" si="358"/>
        <v>0</v>
      </c>
      <c r="G7657" s="1205"/>
      <c r="H7657" s="1055"/>
      <c r="I7657" s="1055"/>
      <c r="J7657" s="1055"/>
      <c r="K7657" s="1205"/>
      <c r="L7657" s="1055"/>
      <c r="M7657" s="1205"/>
      <c r="N7657" s="1054"/>
      <c r="O7657" s="1207"/>
      <c r="Q7657" s="1207"/>
    </row>
    <row r="7658" spans="3:17" s="700" customFormat="1" ht="70.5" hidden="1" customHeight="1">
      <c r="C7658" s="701"/>
      <c r="D7658" s="811"/>
      <c r="E7658" s="1276">
        <f>[11]building!Y7989</f>
        <v>0</v>
      </c>
      <c r="F7658" s="748">
        <f t="shared" si="358"/>
        <v>0</v>
      </c>
      <c r="G7658" s="1205"/>
      <c r="H7658" s="1055"/>
      <c r="I7658" s="1055"/>
      <c r="J7658" s="1055"/>
      <c r="K7658" s="1205"/>
      <c r="L7658" s="1055"/>
      <c r="M7658" s="1205"/>
      <c r="N7658" s="1054"/>
      <c r="O7658" s="1207"/>
      <c r="Q7658" s="1207"/>
    </row>
    <row r="7659" spans="3:17" s="700" customFormat="1" ht="70.5" hidden="1" customHeight="1">
      <c r="C7659" s="701"/>
      <c r="D7659" s="811"/>
      <c r="E7659" s="1276">
        <f>[11]building!Y7990</f>
        <v>0</v>
      </c>
      <c r="F7659" s="748">
        <f t="shared" si="358"/>
        <v>0</v>
      </c>
      <c r="G7659" s="1205"/>
      <c r="H7659" s="1055"/>
      <c r="I7659" s="1055"/>
      <c r="J7659" s="1055"/>
      <c r="K7659" s="1205"/>
      <c r="L7659" s="1055"/>
      <c r="M7659" s="1205"/>
      <c r="N7659" s="1054"/>
      <c r="O7659" s="1207"/>
      <c r="Q7659" s="1207"/>
    </row>
    <row r="7660" spans="3:17" s="700" customFormat="1" ht="70.5" hidden="1" customHeight="1">
      <c r="C7660" s="701"/>
      <c r="D7660" s="811"/>
      <c r="E7660" s="1276">
        <f>[11]building!Y7991</f>
        <v>0</v>
      </c>
      <c r="F7660" s="748">
        <f t="shared" si="358"/>
        <v>0</v>
      </c>
      <c r="G7660" s="1205"/>
      <c r="H7660" s="1055"/>
      <c r="I7660" s="1055"/>
      <c r="J7660" s="1055"/>
      <c r="K7660" s="1205"/>
      <c r="L7660" s="1055"/>
      <c r="M7660" s="1205"/>
      <c r="N7660" s="1054"/>
      <c r="O7660" s="1207"/>
      <c r="Q7660" s="1207"/>
    </row>
    <row r="7661" spans="3:17" s="700" customFormat="1" ht="70.5" hidden="1" customHeight="1">
      <c r="C7661" s="701"/>
      <c r="D7661" s="811"/>
      <c r="E7661" s="1276">
        <f>[11]building!Y7992</f>
        <v>0</v>
      </c>
      <c r="F7661" s="748">
        <f t="shared" si="358"/>
        <v>0</v>
      </c>
      <c r="G7661" s="1205"/>
      <c r="H7661" s="1055"/>
      <c r="I7661" s="1055"/>
      <c r="J7661" s="1055"/>
      <c r="K7661" s="1205"/>
      <c r="L7661" s="1055"/>
      <c r="M7661" s="1205"/>
      <c r="N7661" s="1054"/>
      <c r="O7661" s="1207"/>
      <c r="Q7661" s="1207"/>
    </row>
    <row r="7662" spans="3:17" s="700" customFormat="1" ht="70.5" hidden="1" customHeight="1">
      <c r="C7662" s="701"/>
      <c r="D7662" s="811"/>
      <c r="E7662" s="1276">
        <f>[11]building!Y7993</f>
        <v>0</v>
      </c>
      <c r="F7662" s="748">
        <f t="shared" si="358"/>
        <v>0</v>
      </c>
      <c r="G7662" s="1205"/>
      <c r="H7662" s="1055"/>
      <c r="I7662" s="1055"/>
      <c r="J7662" s="1055"/>
      <c r="K7662" s="1205"/>
      <c r="L7662" s="1055"/>
      <c r="M7662" s="1205"/>
      <c r="N7662" s="1054"/>
      <c r="O7662" s="1207"/>
      <c r="Q7662" s="1207"/>
    </row>
    <row r="7663" spans="3:17" s="700" customFormat="1" ht="70.5" hidden="1" customHeight="1">
      <c r="C7663" s="701"/>
      <c r="D7663" s="811"/>
      <c r="E7663" s="1276">
        <f>[11]building!Y7994</f>
        <v>0</v>
      </c>
      <c r="F7663" s="748">
        <f t="shared" si="358"/>
        <v>0</v>
      </c>
      <c r="G7663" s="1205"/>
      <c r="H7663" s="1055"/>
      <c r="I7663" s="1055"/>
      <c r="J7663" s="1055"/>
      <c r="K7663" s="1205"/>
      <c r="L7663" s="1055"/>
      <c r="M7663" s="1205"/>
      <c r="N7663" s="1054"/>
      <c r="O7663" s="1207"/>
      <c r="Q7663" s="1207"/>
    </row>
    <row r="7664" spans="3:17" s="700" customFormat="1" ht="70.5" hidden="1" customHeight="1">
      <c r="C7664" s="701"/>
      <c r="D7664" s="811"/>
      <c r="E7664" s="1276">
        <f>[11]building!Y7995</f>
        <v>0</v>
      </c>
      <c r="F7664" s="748">
        <f t="shared" si="358"/>
        <v>0</v>
      </c>
      <c r="G7664" s="1205"/>
      <c r="H7664" s="1055"/>
      <c r="I7664" s="1055"/>
      <c r="J7664" s="1055"/>
      <c r="K7664" s="1205"/>
      <c r="L7664" s="1055"/>
      <c r="M7664" s="1205"/>
      <c r="N7664" s="1054"/>
      <c r="O7664" s="1207"/>
      <c r="Q7664" s="1207"/>
    </row>
    <row r="7665" spans="3:17" s="700" customFormat="1" ht="70.5" hidden="1" customHeight="1">
      <c r="C7665" s="701"/>
      <c r="D7665" s="811"/>
      <c r="E7665" s="1276">
        <f>[11]building!Y7996</f>
        <v>0</v>
      </c>
      <c r="F7665" s="748">
        <f t="shared" si="358"/>
        <v>0</v>
      </c>
      <c r="G7665" s="1205"/>
      <c r="H7665" s="1055"/>
      <c r="I7665" s="1055"/>
      <c r="J7665" s="1055"/>
      <c r="K7665" s="1205"/>
      <c r="L7665" s="1055"/>
      <c r="M7665" s="1205"/>
      <c r="N7665" s="1054"/>
      <c r="O7665" s="1207"/>
      <c r="Q7665" s="1207"/>
    </row>
    <row r="7666" spans="3:17" s="700" customFormat="1" ht="70.5" hidden="1" customHeight="1">
      <c r="C7666" s="701"/>
      <c r="D7666" s="811"/>
      <c r="E7666" s="1276">
        <f>[11]building!Y7997</f>
        <v>0</v>
      </c>
      <c r="F7666" s="748">
        <f t="shared" si="358"/>
        <v>0</v>
      </c>
      <c r="G7666" s="1205"/>
      <c r="H7666" s="1055"/>
      <c r="I7666" s="1055"/>
      <c r="J7666" s="1055"/>
      <c r="K7666" s="1205"/>
      <c r="L7666" s="1055"/>
      <c r="M7666" s="1205"/>
      <c r="N7666" s="1054"/>
      <c r="O7666" s="1207"/>
      <c r="Q7666" s="1207"/>
    </row>
    <row r="7667" spans="3:17" s="700" customFormat="1" ht="70.5" hidden="1" customHeight="1">
      <c r="C7667" s="701"/>
      <c r="D7667" s="811"/>
      <c r="E7667" s="1276">
        <f>[11]building!Y7998</f>
        <v>0</v>
      </c>
      <c r="F7667" s="748">
        <f t="shared" si="358"/>
        <v>0</v>
      </c>
      <c r="G7667" s="1205"/>
      <c r="H7667" s="1055"/>
      <c r="I7667" s="1055"/>
      <c r="J7667" s="1055"/>
      <c r="K7667" s="1205"/>
      <c r="L7667" s="1055"/>
      <c r="M7667" s="1205"/>
      <c r="N7667" s="1054"/>
      <c r="O7667" s="1207"/>
      <c r="Q7667" s="1207"/>
    </row>
    <row r="7668" spans="3:17" s="700" customFormat="1" ht="70.5" hidden="1" customHeight="1">
      <c r="C7668" s="701"/>
      <c r="D7668" s="811"/>
      <c r="E7668" s="1276">
        <f>[11]building!Y7999</f>
        <v>0</v>
      </c>
      <c r="F7668" s="748">
        <f t="shared" si="358"/>
        <v>0</v>
      </c>
      <c r="G7668" s="1205"/>
      <c r="H7668" s="1055"/>
      <c r="I7668" s="1055"/>
      <c r="J7668" s="1055"/>
      <c r="K7668" s="1205"/>
      <c r="L7668" s="1055"/>
      <c r="M7668" s="1205"/>
      <c r="N7668" s="1054"/>
      <c r="O7668" s="1207"/>
      <c r="Q7668" s="1207"/>
    </row>
    <row r="7669" spans="3:17" s="700" customFormat="1" ht="70.5" hidden="1" customHeight="1">
      <c r="C7669" s="701"/>
      <c r="D7669" s="811"/>
      <c r="E7669" s="1276">
        <f>[11]building!Y8000</f>
        <v>0</v>
      </c>
      <c r="F7669" s="748">
        <f t="shared" si="358"/>
        <v>0</v>
      </c>
      <c r="G7669" s="1205"/>
      <c r="H7669" s="1055"/>
      <c r="I7669" s="1055"/>
      <c r="J7669" s="1055"/>
      <c r="K7669" s="1205"/>
      <c r="L7669" s="1055"/>
      <c r="M7669" s="1205"/>
      <c r="N7669" s="1054"/>
      <c r="O7669" s="1207"/>
      <c r="Q7669" s="1207"/>
    </row>
    <row r="7670" spans="3:17" s="700" customFormat="1" ht="70.5" hidden="1" customHeight="1">
      <c r="C7670" s="701"/>
      <c r="D7670" s="811"/>
      <c r="E7670" s="1276">
        <f>[11]building!Y8001</f>
        <v>0</v>
      </c>
      <c r="F7670" s="748">
        <f t="shared" si="358"/>
        <v>0</v>
      </c>
      <c r="G7670" s="1205"/>
      <c r="H7670" s="1055"/>
      <c r="I7670" s="1055"/>
      <c r="J7670" s="1055"/>
      <c r="K7670" s="1205"/>
      <c r="L7670" s="1055"/>
      <c r="M7670" s="1205"/>
      <c r="N7670" s="1054"/>
      <c r="O7670" s="1207"/>
      <c r="Q7670" s="1207"/>
    </row>
    <row r="7671" spans="3:17" s="700" customFormat="1" ht="70.5" hidden="1" customHeight="1">
      <c r="C7671" s="701"/>
      <c r="D7671" s="811"/>
      <c r="E7671" s="1276">
        <f>[11]building!Y8002</f>
        <v>0</v>
      </c>
      <c r="F7671" s="748">
        <f t="shared" si="358"/>
        <v>0</v>
      </c>
      <c r="G7671" s="1205"/>
      <c r="H7671" s="1055"/>
      <c r="I7671" s="1055"/>
      <c r="J7671" s="1055"/>
      <c r="K7671" s="1205"/>
      <c r="L7671" s="1055"/>
      <c r="M7671" s="1205"/>
      <c r="N7671" s="1054"/>
      <c r="O7671" s="1207"/>
      <c r="Q7671" s="1207"/>
    </row>
    <row r="7672" spans="3:17" s="700" customFormat="1" ht="70.5" hidden="1" customHeight="1">
      <c r="C7672" s="701"/>
      <c r="D7672" s="811"/>
      <c r="E7672" s="1276">
        <f>[11]building!Y8003</f>
        <v>0</v>
      </c>
      <c r="F7672" s="748">
        <f t="shared" si="358"/>
        <v>0</v>
      </c>
      <c r="G7672" s="1205"/>
      <c r="H7672" s="1055"/>
      <c r="I7672" s="1055"/>
      <c r="J7672" s="1055"/>
      <c r="K7672" s="1205"/>
      <c r="L7672" s="1055"/>
      <c r="M7672" s="1205"/>
      <c r="N7672" s="1054"/>
      <c r="O7672" s="1207"/>
      <c r="Q7672" s="1207"/>
    </row>
    <row r="7673" spans="3:17" s="700" customFormat="1" ht="70.5" hidden="1" customHeight="1">
      <c r="C7673" s="701"/>
      <c r="D7673" s="811"/>
      <c r="E7673" s="1276">
        <f>[11]building!Y8004</f>
        <v>0</v>
      </c>
      <c r="F7673" s="748">
        <f t="shared" si="358"/>
        <v>0</v>
      </c>
      <c r="G7673" s="1205"/>
      <c r="H7673" s="1055"/>
      <c r="I7673" s="1055"/>
      <c r="J7673" s="1055"/>
      <c r="K7673" s="1205"/>
      <c r="L7673" s="1055"/>
      <c r="M7673" s="1205"/>
      <c r="N7673" s="1054"/>
      <c r="O7673" s="1207"/>
      <c r="Q7673" s="1207"/>
    </row>
    <row r="7674" spans="3:17" s="700" customFormat="1" ht="70.5" hidden="1" customHeight="1">
      <c r="C7674" s="701"/>
      <c r="D7674" s="811"/>
      <c r="E7674" s="1276">
        <f>[11]building!Y8005</f>
        <v>0</v>
      </c>
      <c r="F7674" s="748">
        <f t="shared" si="358"/>
        <v>0</v>
      </c>
      <c r="G7674" s="1205"/>
      <c r="H7674" s="1055"/>
      <c r="I7674" s="1055"/>
      <c r="J7674" s="1055"/>
      <c r="K7674" s="1205"/>
      <c r="L7674" s="1055"/>
      <c r="M7674" s="1205"/>
      <c r="N7674" s="1054"/>
      <c r="O7674" s="1207"/>
      <c r="Q7674" s="1207"/>
    </row>
    <row r="7675" spans="3:17" s="700" customFormat="1" ht="70.5" hidden="1" customHeight="1">
      <c r="C7675" s="701"/>
      <c r="D7675" s="811"/>
      <c r="E7675" s="1276">
        <f>[11]building!Y8006</f>
        <v>0</v>
      </c>
      <c r="F7675" s="748">
        <f t="shared" si="358"/>
        <v>0</v>
      </c>
      <c r="G7675" s="1205"/>
      <c r="H7675" s="1055"/>
      <c r="I7675" s="1055"/>
      <c r="J7675" s="1055"/>
      <c r="K7675" s="1205"/>
      <c r="L7675" s="1055"/>
      <c r="M7675" s="1205"/>
      <c r="N7675" s="1054"/>
      <c r="O7675" s="1207"/>
      <c r="Q7675" s="1207"/>
    </row>
    <row r="7676" spans="3:17" s="700" customFormat="1" ht="70.5" hidden="1" customHeight="1">
      <c r="C7676" s="701"/>
      <c r="D7676" s="811"/>
      <c r="E7676" s="1276">
        <f>[11]building!Y8007</f>
        <v>0</v>
      </c>
      <c r="F7676" s="748">
        <f t="shared" si="358"/>
        <v>0</v>
      </c>
      <c r="G7676" s="1205"/>
      <c r="H7676" s="1055"/>
      <c r="I7676" s="1055"/>
      <c r="J7676" s="1055"/>
      <c r="K7676" s="1205"/>
      <c r="L7676" s="1055"/>
      <c r="M7676" s="1205"/>
      <c r="N7676" s="1054"/>
      <c r="O7676" s="1207"/>
      <c r="Q7676" s="1207"/>
    </row>
    <row r="7677" spans="3:17" s="700" customFormat="1" ht="70.5" hidden="1" customHeight="1">
      <c r="C7677" s="701"/>
      <c r="D7677" s="811"/>
      <c r="E7677" s="1276">
        <f>[11]building!Y8008</f>
        <v>0</v>
      </c>
      <c r="F7677" s="748">
        <f t="shared" si="358"/>
        <v>0</v>
      </c>
      <c r="G7677" s="1205"/>
      <c r="H7677" s="1055"/>
      <c r="I7677" s="1055"/>
      <c r="J7677" s="1055"/>
      <c r="K7677" s="1205"/>
      <c r="L7677" s="1055"/>
      <c r="M7677" s="1205"/>
      <c r="N7677" s="1054"/>
      <c r="O7677" s="1207"/>
      <c r="Q7677" s="1207"/>
    </row>
    <row r="7678" spans="3:17" s="700" customFormat="1" ht="70.5" hidden="1" customHeight="1">
      <c r="C7678" s="701"/>
      <c r="D7678" s="811"/>
      <c r="E7678" s="1276">
        <f>[11]building!Y8009</f>
        <v>0</v>
      </c>
      <c r="F7678" s="748">
        <f t="shared" si="358"/>
        <v>0</v>
      </c>
      <c r="G7678" s="1205"/>
      <c r="H7678" s="1055"/>
      <c r="I7678" s="1055"/>
      <c r="J7678" s="1055"/>
      <c r="K7678" s="1205"/>
      <c r="L7678" s="1055"/>
      <c r="M7678" s="1205"/>
      <c r="N7678" s="1054"/>
      <c r="O7678" s="1207"/>
      <c r="Q7678" s="1207"/>
    </row>
    <row r="7679" spans="3:17" s="700" customFormat="1" ht="70.5" hidden="1" customHeight="1">
      <c r="C7679" s="701"/>
      <c r="D7679" s="811"/>
      <c r="E7679" s="1276">
        <f>[11]building!Y8010</f>
        <v>0</v>
      </c>
      <c r="F7679" s="748">
        <f t="shared" si="358"/>
        <v>0</v>
      </c>
      <c r="G7679" s="1205"/>
      <c r="H7679" s="1055"/>
      <c r="I7679" s="1055"/>
      <c r="J7679" s="1055"/>
      <c r="K7679" s="1205"/>
      <c r="L7679" s="1055"/>
      <c r="M7679" s="1205"/>
      <c r="N7679" s="1054"/>
      <c r="O7679" s="1207"/>
      <c r="Q7679" s="1207"/>
    </row>
    <row r="7680" spans="3:17" s="700" customFormat="1" ht="70.5" hidden="1" customHeight="1">
      <c r="C7680" s="701"/>
      <c r="D7680" s="811"/>
      <c r="E7680" s="1276">
        <f>[11]building!Y8011</f>
        <v>0</v>
      </c>
      <c r="F7680" s="748">
        <f t="shared" ref="F7680:F7743" si="359">E7680*C7680</f>
        <v>0</v>
      </c>
      <c r="G7680" s="1205"/>
      <c r="H7680" s="1055"/>
      <c r="I7680" s="1055"/>
      <c r="J7680" s="1055"/>
      <c r="K7680" s="1205"/>
      <c r="L7680" s="1055"/>
      <c r="M7680" s="1205"/>
      <c r="N7680" s="1054"/>
      <c r="O7680" s="1207"/>
      <c r="Q7680" s="1207"/>
    </row>
    <row r="7681" spans="3:17" s="700" customFormat="1" ht="70.5" hidden="1" customHeight="1">
      <c r="C7681" s="701"/>
      <c r="D7681" s="811"/>
      <c r="E7681" s="1276">
        <f>[11]building!Y8012</f>
        <v>0</v>
      </c>
      <c r="F7681" s="748">
        <f t="shared" si="359"/>
        <v>0</v>
      </c>
      <c r="G7681" s="1205"/>
      <c r="H7681" s="1055"/>
      <c r="I7681" s="1055"/>
      <c r="J7681" s="1055"/>
      <c r="K7681" s="1205"/>
      <c r="L7681" s="1055"/>
      <c r="M7681" s="1205"/>
      <c r="N7681" s="1054"/>
      <c r="O7681" s="1207"/>
      <c r="Q7681" s="1207"/>
    </row>
    <row r="7682" spans="3:17" s="700" customFormat="1" ht="70.5" hidden="1" customHeight="1">
      <c r="C7682" s="701"/>
      <c r="D7682" s="811"/>
      <c r="E7682" s="1276">
        <f>[11]building!Y8013</f>
        <v>0</v>
      </c>
      <c r="F7682" s="748">
        <f t="shared" si="359"/>
        <v>0</v>
      </c>
      <c r="G7682" s="1205"/>
      <c r="H7682" s="1055"/>
      <c r="I7682" s="1055"/>
      <c r="J7682" s="1055"/>
      <c r="K7682" s="1205"/>
      <c r="L7682" s="1055"/>
      <c r="M7682" s="1205"/>
      <c r="N7682" s="1054"/>
      <c r="O7682" s="1207"/>
      <c r="Q7682" s="1207"/>
    </row>
    <row r="7683" spans="3:17" s="700" customFormat="1" ht="70.5" hidden="1" customHeight="1">
      <c r="C7683" s="701"/>
      <c r="D7683" s="811"/>
      <c r="E7683" s="1276">
        <f>[11]building!Y8014</f>
        <v>0</v>
      </c>
      <c r="F7683" s="748">
        <f t="shared" si="359"/>
        <v>0</v>
      </c>
      <c r="G7683" s="1205"/>
      <c r="H7683" s="1055"/>
      <c r="I7683" s="1055"/>
      <c r="J7683" s="1055"/>
      <c r="K7683" s="1205"/>
      <c r="L7683" s="1055"/>
      <c r="M7683" s="1205"/>
      <c r="N7683" s="1054"/>
      <c r="O7683" s="1207"/>
      <c r="Q7683" s="1207"/>
    </row>
    <row r="7684" spans="3:17" s="700" customFormat="1" ht="70.5" hidden="1" customHeight="1">
      <c r="C7684" s="701"/>
      <c r="D7684" s="811"/>
      <c r="E7684" s="1276">
        <f>[11]building!Y8015</f>
        <v>0</v>
      </c>
      <c r="F7684" s="748">
        <f t="shared" si="359"/>
        <v>0</v>
      </c>
      <c r="G7684" s="1205"/>
      <c r="H7684" s="1055"/>
      <c r="I7684" s="1055"/>
      <c r="J7684" s="1055"/>
      <c r="K7684" s="1205"/>
      <c r="L7684" s="1055"/>
      <c r="M7684" s="1205"/>
      <c r="N7684" s="1054"/>
      <c r="O7684" s="1207"/>
      <c r="Q7684" s="1207"/>
    </row>
    <row r="7685" spans="3:17" s="700" customFormat="1" ht="70.5" hidden="1" customHeight="1">
      <c r="C7685" s="701"/>
      <c r="D7685" s="811"/>
      <c r="E7685" s="1276">
        <f>[11]building!Y8016</f>
        <v>0</v>
      </c>
      <c r="F7685" s="748">
        <f t="shared" si="359"/>
        <v>0</v>
      </c>
      <c r="G7685" s="1205"/>
      <c r="H7685" s="1055"/>
      <c r="I7685" s="1055"/>
      <c r="J7685" s="1055"/>
      <c r="K7685" s="1205"/>
      <c r="L7685" s="1055"/>
      <c r="M7685" s="1205"/>
      <c r="N7685" s="1054"/>
      <c r="O7685" s="1207"/>
      <c r="Q7685" s="1207"/>
    </row>
    <row r="7686" spans="3:17" s="700" customFormat="1" ht="70.5" hidden="1" customHeight="1">
      <c r="C7686" s="701"/>
      <c r="D7686" s="811"/>
      <c r="E7686" s="1276">
        <f>[11]building!Y8017</f>
        <v>0</v>
      </c>
      <c r="F7686" s="748">
        <f t="shared" si="359"/>
        <v>0</v>
      </c>
      <c r="G7686" s="1205"/>
      <c r="H7686" s="1055"/>
      <c r="I7686" s="1055"/>
      <c r="J7686" s="1055"/>
      <c r="K7686" s="1205"/>
      <c r="L7686" s="1055"/>
      <c r="M7686" s="1205"/>
      <c r="N7686" s="1054"/>
      <c r="O7686" s="1207"/>
      <c r="Q7686" s="1207"/>
    </row>
    <row r="7687" spans="3:17" s="700" customFormat="1" ht="70.5" hidden="1" customHeight="1">
      <c r="C7687" s="701"/>
      <c r="D7687" s="811"/>
      <c r="E7687" s="1276">
        <f>[11]building!Y8018</f>
        <v>0</v>
      </c>
      <c r="F7687" s="748">
        <f t="shared" si="359"/>
        <v>0</v>
      </c>
      <c r="G7687" s="1205"/>
      <c r="H7687" s="1055"/>
      <c r="I7687" s="1055"/>
      <c r="J7687" s="1055"/>
      <c r="K7687" s="1205"/>
      <c r="L7687" s="1055"/>
      <c r="M7687" s="1205"/>
      <c r="N7687" s="1054"/>
      <c r="O7687" s="1207"/>
      <c r="Q7687" s="1207"/>
    </row>
    <row r="7688" spans="3:17" s="700" customFormat="1" ht="70.5" hidden="1" customHeight="1">
      <c r="C7688" s="701"/>
      <c r="D7688" s="811"/>
      <c r="E7688" s="1276">
        <f>[11]building!Y8019</f>
        <v>0</v>
      </c>
      <c r="F7688" s="748">
        <f t="shared" si="359"/>
        <v>0</v>
      </c>
      <c r="G7688" s="1205"/>
      <c r="H7688" s="1055"/>
      <c r="I7688" s="1055"/>
      <c r="J7688" s="1055"/>
      <c r="K7688" s="1205"/>
      <c r="L7688" s="1055"/>
      <c r="M7688" s="1205"/>
      <c r="N7688" s="1054"/>
      <c r="O7688" s="1207"/>
      <c r="Q7688" s="1207"/>
    </row>
    <row r="7689" spans="3:17" s="700" customFormat="1" ht="70.5" hidden="1" customHeight="1">
      <c r="C7689" s="701"/>
      <c r="D7689" s="811"/>
      <c r="E7689" s="1276">
        <f>[11]building!Y8020</f>
        <v>0</v>
      </c>
      <c r="F7689" s="748">
        <f t="shared" si="359"/>
        <v>0</v>
      </c>
      <c r="G7689" s="1205"/>
      <c r="H7689" s="1055"/>
      <c r="I7689" s="1055"/>
      <c r="J7689" s="1055"/>
      <c r="K7689" s="1205"/>
      <c r="L7689" s="1055"/>
      <c r="M7689" s="1205"/>
      <c r="N7689" s="1054"/>
      <c r="O7689" s="1207"/>
      <c r="Q7689" s="1207"/>
    </row>
    <row r="7690" spans="3:17" s="700" customFormat="1" ht="70.5" hidden="1" customHeight="1">
      <c r="C7690" s="701"/>
      <c r="D7690" s="811"/>
      <c r="E7690" s="1276">
        <f>[11]building!Y8021</f>
        <v>0</v>
      </c>
      <c r="F7690" s="748">
        <f t="shared" si="359"/>
        <v>0</v>
      </c>
      <c r="G7690" s="1205"/>
      <c r="H7690" s="1055"/>
      <c r="I7690" s="1055"/>
      <c r="J7690" s="1055"/>
      <c r="K7690" s="1205"/>
      <c r="L7690" s="1055"/>
      <c r="M7690" s="1205"/>
      <c r="N7690" s="1054"/>
      <c r="O7690" s="1207"/>
      <c r="Q7690" s="1207"/>
    </row>
    <row r="7691" spans="3:17" s="700" customFormat="1" ht="70.5" hidden="1" customHeight="1">
      <c r="C7691" s="701"/>
      <c r="D7691" s="811"/>
      <c r="E7691" s="1276">
        <f>[11]building!Y8022</f>
        <v>0</v>
      </c>
      <c r="F7691" s="748">
        <f t="shared" si="359"/>
        <v>0</v>
      </c>
      <c r="G7691" s="1205"/>
      <c r="H7691" s="1055"/>
      <c r="I7691" s="1055"/>
      <c r="J7691" s="1055"/>
      <c r="K7691" s="1205"/>
      <c r="L7691" s="1055"/>
      <c r="M7691" s="1205"/>
      <c r="N7691" s="1054"/>
      <c r="O7691" s="1207"/>
      <c r="Q7691" s="1207"/>
    </row>
    <row r="7692" spans="3:17" s="700" customFormat="1" ht="70.5" hidden="1" customHeight="1">
      <c r="C7692" s="701"/>
      <c r="D7692" s="811"/>
      <c r="E7692" s="1276">
        <f>[11]building!Y8023</f>
        <v>0</v>
      </c>
      <c r="F7692" s="748">
        <f t="shared" si="359"/>
        <v>0</v>
      </c>
      <c r="G7692" s="1205"/>
      <c r="H7692" s="1055"/>
      <c r="I7692" s="1055"/>
      <c r="J7692" s="1055"/>
      <c r="K7692" s="1205"/>
      <c r="L7692" s="1055"/>
      <c r="M7692" s="1205"/>
      <c r="N7692" s="1054"/>
      <c r="O7692" s="1207"/>
      <c r="Q7692" s="1207"/>
    </row>
    <row r="7693" spans="3:17" s="700" customFormat="1" ht="70.5" hidden="1" customHeight="1">
      <c r="C7693" s="701"/>
      <c r="D7693" s="811"/>
      <c r="E7693" s="1276">
        <f>[11]building!Y8024</f>
        <v>0</v>
      </c>
      <c r="F7693" s="748">
        <f t="shared" si="359"/>
        <v>0</v>
      </c>
      <c r="G7693" s="1205"/>
      <c r="H7693" s="1055"/>
      <c r="I7693" s="1055"/>
      <c r="J7693" s="1055"/>
      <c r="K7693" s="1205"/>
      <c r="L7693" s="1055"/>
      <c r="M7693" s="1205"/>
      <c r="N7693" s="1054"/>
      <c r="O7693" s="1207"/>
      <c r="Q7693" s="1207"/>
    </row>
    <row r="7694" spans="3:17" s="700" customFormat="1" ht="70.5" hidden="1" customHeight="1">
      <c r="C7694" s="701"/>
      <c r="D7694" s="811"/>
      <c r="E7694" s="1276">
        <f>[11]building!Y8025</f>
        <v>0</v>
      </c>
      <c r="F7694" s="748">
        <f t="shared" si="359"/>
        <v>0</v>
      </c>
      <c r="G7694" s="1205"/>
      <c r="H7694" s="1055"/>
      <c r="I7694" s="1055"/>
      <c r="J7694" s="1055"/>
      <c r="K7694" s="1205"/>
      <c r="L7694" s="1055"/>
      <c r="M7694" s="1205"/>
      <c r="N7694" s="1054"/>
      <c r="O7694" s="1207"/>
      <c r="Q7694" s="1207"/>
    </row>
    <row r="7695" spans="3:17" s="700" customFormat="1" ht="70.5" hidden="1" customHeight="1">
      <c r="C7695" s="701"/>
      <c r="D7695" s="811"/>
      <c r="E7695" s="1276">
        <f>[11]building!Y8026</f>
        <v>0</v>
      </c>
      <c r="F7695" s="748">
        <f t="shared" si="359"/>
        <v>0</v>
      </c>
      <c r="G7695" s="1205"/>
      <c r="H7695" s="1055"/>
      <c r="I7695" s="1055"/>
      <c r="J7695" s="1055"/>
      <c r="K7695" s="1205"/>
      <c r="L7695" s="1055"/>
      <c r="M7695" s="1205"/>
      <c r="N7695" s="1054"/>
      <c r="O7695" s="1207"/>
      <c r="Q7695" s="1207"/>
    </row>
    <row r="7696" spans="3:17" s="700" customFormat="1" ht="70.5" hidden="1" customHeight="1">
      <c r="C7696" s="701"/>
      <c r="D7696" s="811"/>
      <c r="E7696" s="1276">
        <f>[11]building!Y8027</f>
        <v>0</v>
      </c>
      <c r="F7696" s="748">
        <f t="shared" si="359"/>
        <v>0</v>
      </c>
      <c r="G7696" s="1205"/>
      <c r="H7696" s="1055"/>
      <c r="I7696" s="1055"/>
      <c r="J7696" s="1055"/>
      <c r="K7696" s="1205"/>
      <c r="L7696" s="1055"/>
      <c r="M7696" s="1205"/>
      <c r="N7696" s="1054"/>
      <c r="O7696" s="1207"/>
      <c r="Q7696" s="1207"/>
    </row>
    <row r="7697" spans="3:17" s="700" customFormat="1" ht="70.5" hidden="1" customHeight="1">
      <c r="C7697" s="701"/>
      <c r="D7697" s="811"/>
      <c r="E7697" s="1276">
        <f>[11]building!Y8028</f>
        <v>0</v>
      </c>
      <c r="F7697" s="748">
        <f t="shared" si="359"/>
        <v>0</v>
      </c>
      <c r="G7697" s="1205"/>
      <c r="H7697" s="1055"/>
      <c r="I7697" s="1055"/>
      <c r="J7697" s="1055"/>
      <c r="K7697" s="1205"/>
      <c r="L7697" s="1055"/>
      <c r="M7697" s="1205"/>
      <c r="N7697" s="1054"/>
      <c r="O7697" s="1207"/>
      <c r="Q7697" s="1207"/>
    </row>
    <row r="7698" spans="3:17" s="700" customFormat="1" ht="70.5" hidden="1" customHeight="1">
      <c r="C7698" s="701"/>
      <c r="D7698" s="811"/>
      <c r="E7698" s="1276">
        <f>[11]building!Y8029</f>
        <v>0</v>
      </c>
      <c r="F7698" s="748">
        <f t="shared" si="359"/>
        <v>0</v>
      </c>
      <c r="G7698" s="1205"/>
      <c r="H7698" s="1055"/>
      <c r="I7698" s="1055"/>
      <c r="J7698" s="1055"/>
      <c r="K7698" s="1205"/>
      <c r="L7698" s="1055"/>
      <c r="M7698" s="1205"/>
      <c r="N7698" s="1054"/>
      <c r="O7698" s="1207"/>
      <c r="Q7698" s="1207"/>
    </row>
    <row r="7699" spans="3:17" s="700" customFormat="1" ht="70.5" hidden="1" customHeight="1">
      <c r="C7699" s="701"/>
      <c r="D7699" s="811"/>
      <c r="E7699" s="1276">
        <f>[11]building!Y8030</f>
        <v>0</v>
      </c>
      <c r="F7699" s="748">
        <f t="shared" si="359"/>
        <v>0</v>
      </c>
      <c r="G7699" s="1205"/>
      <c r="H7699" s="1055"/>
      <c r="I7699" s="1055"/>
      <c r="J7699" s="1055"/>
      <c r="K7699" s="1205"/>
      <c r="L7699" s="1055"/>
      <c r="M7699" s="1205"/>
      <c r="N7699" s="1054"/>
      <c r="O7699" s="1207"/>
      <c r="Q7699" s="1207"/>
    </row>
    <row r="7700" spans="3:17" s="700" customFormat="1" ht="70.5" hidden="1" customHeight="1">
      <c r="C7700" s="701"/>
      <c r="D7700" s="811"/>
      <c r="E7700" s="1276">
        <f>[11]building!Y8031</f>
        <v>0</v>
      </c>
      <c r="F7700" s="748">
        <f t="shared" si="359"/>
        <v>0</v>
      </c>
      <c r="G7700" s="1205"/>
      <c r="H7700" s="1055"/>
      <c r="I7700" s="1055"/>
      <c r="J7700" s="1055"/>
      <c r="K7700" s="1205"/>
      <c r="L7700" s="1055"/>
      <c r="M7700" s="1205"/>
      <c r="N7700" s="1054"/>
      <c r="O7700" s="1207"/>
      <c r="Q7700" s="1207"/>
    </row>
    <row r="7701" spans="3:17" s="700" customFormat="1" ht="70.5" hidden="1" customHeight="1">
      <c r="C7701" s="701"/>
      <c r="D7701" s="811"/>
      <c r="E7701" s="1276">
        <f>[11]building!Y8032</f>
        <v>0</v>
      </c>
      <c r="F7701" s="748">
        <f t="shared" si="359"/>
        <v>0</v>
      </c>
      <c r="G7701" s="1205"/>
      <c r="H7701" s="1055"/>
      <c r="I7701" s="1055"/>
      <c r="J7701" s="1055"/>
      <c r="K7701" s="1205"/>
      <c r="L7701" s="1055"/>
      <c r="M7701" s="1205"/>
      <c r="N7701" s="1054"/>
      <c r="O7701" s="1207"/>
      <c r="Q7701" s="1207"/>
    </row>
    <row r="7702" spans="3:17" s="700" customFormat="1" ht="70.5" hidden="1" customHeight="1">
      <c r="C7702" s="701"/>
      <c r="D7702" s="811"/>
      <c r="E7702" s="1276">
        <f>[11]building!Y8033</f>
        <v>0</v>
      </c>
      <c r="F7702" s="748">
        <f t="shared" si="359"/>
        <v>0</v>
      </c>
      <c r="G7702" s="1205"/>
      <c r="H7702" s="1055"/>
      <c r="I7702" s="1055"/>
      <c r="J7702" s="1055"/>
      <c r="K7702" s="1205"/>
      <c r="L7702" s="1055"/>
      <c r="M7702" s="1205"/>
      <c r="N7702" s="1054"/>
      <c r="O7702" s="1207"/>
      <c r="Q7702" s="1207"/>
    </row>
    <row r="7703" spans="3:17" s="700" customFormat="1" ht="70.5" hidden="1" customHeight="1">
      <c r="C7703" s="701"/>
      <c r="D7703" s="811"/>
      <c r="E7703" s="1276">
        <f>[11]building!Y8034</f>
        <v>0</v>
      </c>
      <c r="F7703" s="748">
        <f t="shared" si="359"/>
        <v>0</v>
      </c>
      <c r="G7703" s="1205"/>
      <c r="H7703" s="1055"/>
      <c r="I7703" s="1055"/>
      <c r="J7703" s="1055"/>
      <c r="K7703" s="1205"/>
      <c r="L7703" s="1055"/>
      <c r="M7703" s="1205"/>
      <c r="N7703" s="1054"/>
      <c r="O7703" s="1207"/>
      <c r="Q7703" s="1207"/>
    </row>
    <row r="7704" spans="3:17" s="700" customFormat="1" ht="70.5" hidden="1" customHeight="1">
      <c r="C7704" s="701"/>
      <c r="D7704" s="811"/>
      <c r="E7704" s="1276">
        <f>[11]building!Y8035</f>
        <v>0</v>
      </c>
      <c r="F7704" s="748">
        <f t="shared" si="359"/>
        <v>0</v>
      </c>
      <c r="G7704" s="1205"/>
      <c r="H7704" s="1055"/>
      <c r="I7704" s="1055"/>
      <c r="J7704" s="1055"/>
      <c r="K7704" s="1205"/>
      <c r="L7704" s="1055"/>
      <c r="M7704" s="1205"/>
      <c r="N7704" s="1054"/>
      <c r="O7704" s="1207"/>
      <c r="Q7704" s="1207"/>
    </row>
    <row r="7705" spans="3:17" s="700" customFormat="1" ht="70.5" hidden="1" customHeight="1">
      <c r="C7705" s="701"/>
      <c r="D7705" s="811"/>
      <c r="E7705" s="1276">
        <f>[11]building!Y8036</f>
        <v>0</v>
      </c>
      <c r="F7705" s="748">
        <f t="shared" si="359"/>
        <v>0</v>
      </c>
      <c r="G7705" s="1205"/>
      <c r="H7705" s="1055"/>
      <c r="I7705" s="1055"/>
      <c r="J7705" s="1055"/>
      <c r="K7705" s="1205"/>
      <c r="L7705" s="1055"/>
      <c r="M7705" s="1205"/>
      <c r="N7705" s="1054"/>
      <c r="O7705" s="1207"/>
      <c r="Q7705" s="1207"/>
    </row>
    <row r="7706" spans="3:17" s="700" customFormat="1" ht="70.5" hidden="1" customHeight="1">
      <c r="C7706" s="701"/>
      <c r="D7706" s="811"/>
      <c r="E7706" s="1276">
        <f>[11]building!Y8037</f>
        <v>0</v>
      </c>
      <c r="F7706" s="748">
        <f t="shared" si="359"/>
        <v>0</v>
      </c>
      <c r="G7706" s="1205"/>
      <c r="H7706" s="1055"/>
      <c r="I7706" s="1055"/>
      <c r="J7706" s="1055"/>
      <c r="K7706" s="1205"/>
      <c r="L7706" s="1055"/>
      <c r="M7706" s="1205"/>
      <c r="N7706" s="1054"/>
      <c r="O7706" s="1207"/>
      <c r="Q7706" s="1207"/>
    </row>
    <row r="7707" spans="3:17" s="700" customFormat="1" ht="70.5" hidden="1" customHeight="1">
      <c r="C7707" s="701"/>
      <c r="D7707" s="811"/>
      <c r="E7707" s="1276">
        <f>[11]building!Y8038</f>
        <v>0</v>
      </c>
      <c r="F7707" s="748">
        <f t="shared" si="359"/>
        <v>0</v>
      </c>
      <c r="G7707" s="1205"/>
      <c r="H7707" s="1055"/>
      <c r="I7707" s="1055"/>
      <c r="J7707" s="1055"/>
      <c r="K7707" s="1205"/>
      <c r="L7707" s="1055"/>
      <c r="M7707" s="1205"/>
      <c r="N7707" s="1054"/>
      <c r="O7707" s="1207"/>
      <c r="Q7707" s="1207"/>
    </row>
    <row r="7708" spans="3:17" s="700" customFormat="1" ht="70.5" hidden="1" customHeight="1">
      <c r="C7708" s="701"/>
      <c r="D7708" s="811"/>
      <c r="E7708" s="1276">
        <f>[11]building!Y8039</f>
        <v>0</v>
      </c>
      <c r="F7708" s="748">
        <f t="shared" si="359"/>
        <v>0</v>
      </c>
      <c r="G7708" s="1205"/>
      <c r="H7708" s="1055"/>
      <c r="I7708" s="1055"/>
      <c r="J7708" s="1055"/>
      <c r="K7708" s="1205"/>
      <c r="L7708" s="1055"/>
      <c r="M7708" s="1205"/>
      <c r="N7708" s="1054"/>
      <c r="O7708" s="1207"/>
      <c r="Q7708" s="1207"/>
    </row>
    <row r="7709" spans="3:17" s="700" customFormat="1" ht="70.5" hidden="1" customHeight="1">
      <c r="C7709" s="701"/>
      <c r="D7709" s="811"/>
      <c r="E7709" s="1276">
        <f>[11]building!Y8040</f>
        <v>0</v>
      </c>
      <c r="F7709" s="748">
        <f t="shared" si="359"/>
        <v>0</v>
      </c>
      <c r="G7709" s="1205"/>
      <c r="H7709" s="1055"/>
      <c r="I7709" s="1055"/>
      <c r="J7709" s="1055"/>
      <c r="K7709" s="1205"/>
      <c r="L7709" s="1055"/>
      <c r="M7709" s="1205"/>
      <c r="N7709" s="1054"/>
      <c r="O7709" s="1207"/>
      <c r="Q7709" s="1207"/>
    </row>
    <row r="7710" spans="3:17" s="700" customFormat="1" ht="70.5" hidden="1" customHeight="1">
      <c r="C7710" s="701"/>
      <c r="D7710" s="811"/>
      <c r="E7710" s="1276">
        <f>[11]building!Y8041</f>
        <v>0</v>
      </c>
      <c r="F7710" s="748">
        <f t="shared" si="359"/>
        <v>0</v>
      </c>
      <c r="G7710" s="1205"/>
      <c r="H7710" s="1055"/>
      <c r="I7710" s="1055"/>
      <c r="J7710" s="1055"/>
      <c r="K7710" s="1205"/>
      <c r="L7710" s="1055"/>
      <c r="M7710" s="1205"/>
      <c r="N7710" s="1054"/>
      <c r="O7710" s="1207"/>
      <c r="Q7710" s="1207"/>
    </row>
    <row r="7711" spans="3:17" s="700" customFormat="1" ht="70.5" hidden="1" customHeight="1">
      <c r="C7711" s="701"/>
      <c r="D7711" s="811"/>
      <c r="E7711" s="1276">
        <f>[11]building!Y8042</f>
        <v>0</v>
      </c>
      <c r="F7711" s="748">
        <f t="shared" si="359"/>
        <v>0</v>
      </c>
      <c r="G7711" s="1205"/>
      <c r="H7711" s="1055"/>
      <c r="I7711" s="1055"/>
      <c r="J7711" s="1055"/>
      <c r="K7711" s="1205"/>
      <c r="L7711" s="1055"/>
      <c r="M7711" s="1205"/>
      <c r="N7711" s="1054"/>
      <c r="O7711" s="1207"/>
      <c r="Q7711" s="1207"/>
    </row>
    <row r="7712" spans="3:17" s="700" customFormat="1" ht="70.5" hidden="1" customHeight="1">
      <c r="C7712" s="701"/>
      <c r="D7712" s="811"/>
      <c r="E7712" s="1276">
        <f>[11]building!Y8043</f>
        <v>0</v>
      </c>
      <c r="F7712" s="748">
        <f t="shared" si="359"/>
        <v>0</v>
      </c>
      <c r="G7712" s="1205"/>
      <c r="H7712" s="1055"/>
      <c r="I7712" s="1055"/>
      <c r="J7712" s="1055"/>
      <c r="K7712" s="1205"/>
      <c r="L7712" s="1055"/>
      <c r="M7712" s="1205"/>
      <c r="N7712" s="1054"/>
      <c r="O7712" s="1207"/>
      <c r="Q7712" s="1207"/>
    </row>
    <row r="7713" spans="3:17" s="700" customFormat="1" ht="70.5" hidden="1" customHeight="1">
      <c r="C7713" s="701"/>
      <c r="D7713" s="811"/>
      <c r="E7713" s="1276">
        <f>[11]building!Y8044</f>
        <v>0</v>
      </c>
      <c r="F7713" s="748">
        <f t="shared" si="359"/>
        <v>0</v>
      </c>
      <c r="G7713" s="1205"/>
      <c r="H7713" s="1055"/>
      <c r="I7713" s="1055"/>
      <c r="J7713" s="1055"/>
      <c r="K7713" s="1205"/>
      <c r="L7713" s="1055"/>
      <c r="M7713" s="1205"/>
      <c r="N7713" s="1054"/>
      <c r="O7713" s="1207"/>
      <c r="Q7713" s="1207"/>
    </row>
    <row r="7714" spans="3:17" s="700" customFormat="1" ht="70.5" hidden="1" customHeight="1">
      <c r="C7714" s="701"/>
      <c r="D7714" s="811"/>
      <c r="E7714" s="1276">
        <f>[11]building!Y8045</f>
        <v>0</v>
      </c>
      <c r="F7714" s="748">
        <f t="shared" si="359"/>
        <v>0</v>
      </c>
      <c r="G7714" s="1205"/>
      <c r="H7714" s="1055"/>
      <c r="I7714" s="1055"/>
      <c r="J7714" s="1055"/>
      <c r="K7714" s="1205"/>
      <c r="L7714" s="1055"/>
      <c r="M7714" s="1205"/>
      <c r="N7714" s="1054"/>
      <c r="O7714" s="1207"/>
      <c r="Q7714" s="1207"/>
    </row>
    <row r="7715" spans="3:17" s="700" customFormat="1" ht="70.5" hidden="1" customHeight="1">
      <c r="C7715" s="701"/>
      <c r="D7715" s="811"/>
      <c r="E7715" s="1276">
        <f>[11]building!Y8046</f>
        <v>0</v>
      </c>
      <c r="F7715" s="748">
        <f t="shared" si="359"/>
        <v>0</v>
      </c>
      <c r="G7715" s="1205"/>
      <c r="H7715" s="1055"/>
      <c r="I7715" s="1055"/>
      <c r="J7715" s="1055"/>
      <c r="K7715" s="1205"/>
      <c r="L7715" s="1055"/>
      <c r="M7715" s="1205"/>
      <c r="N7715" s="1054"/>
      <c r="O7715" s="1207"/>
      <c r="Q7715" s="1207"/>
    </row>
    <row r="7716" spans="3:17" s="700" customFormat="1" ht="70.5" hidden="1" customHeight="1">
      <c r="C7716" s="701"/>
      <c r="D7716" s="811"/>
      <c r="E7716" s="1276">
        <f>[11]building!Y8047</f>
        <v>0</v>
      </c>
      <c r="F7716" s="748">
        <f t="shared" si="359"/>
        <v>0</v>
      </c>
      <c r="G7716" s="1205"/>
      <c r="H7716" s="1055"/>
      <c r="I7716" s="1055"/>
      <c r="J7716" s="1055"/>
      <c r="K7716" s="1205"/>
      <c r="L7716" s="1055"/>
      <c r="M7716" s="1205"/>
      <c r="N7716" s="1054"/>
      <c r="O7716" s="1207"/>
      <c r="Q7716" s="1207"/>
    </row>
    <row r="7717" spans="3:17" s="700" customFormat="1" ht="70.5" hidden="1" customHeight="1">
      <c r="C7717" s="701"/>
      <c r="D7717" s="811"/>
      <c r="E7717" s="1276">
        <f>[11]building!Y8048</f>
        <v>0</v>
      </c>
      <c r="F7717" s="748">
        <f t="shared" si="359"/>
        <v>0</v>
      </c>
      <c r="G7717" s="1205"/>
      <c r="H7717" s="1055"/>
      <c r="I7717" s="1055"/>
      <c r="J7717" s="1055"/>
      <c r="K7717" s="1205"/>
      <c r="L7717" s="1055"/>
      <c r="M7717" s="1205"/>
      <c r="N7717" s="1054"/>
      <c r="O7717" s="1207"/>
      <c r="Q7717" s="1207"/>
    </row>
    <row r="7718" spans="3:17" s="700" customFormat="1" ht="70.5" hidden="1" customHeight="1">
      <c r="C7718" s="701"/>
      <c r="D7718" s="811"/>
      <c r="E7718" s="1276">
        <f>[11]building!Y8049</f>
        <v>0</v>
      </c>
      <c r="F7718" s="748">
        <f t="shared" si="359"/>
        <v>0</v>
      </c>
      <c r="G7718" s="1205"/>
      <c r="H7718" s="1055"/>
      <c r="I7718" s="1055"/>
      <c r="J7718" s="1055"/>
      <c r="K7718" s="1205"/>
      <c r="L7718" s="1055"/>
      <c r="M7718" s="1205"/>
      <c r="N7718" s="1054"/>
      <c r="O7718" s="1207"/>
      <c r="Q7718" s="1207"/>
    </row>
    <row r="7719" spans="3:17" s="700" customFormat="1" ht="70.5" hidden="1" customHeight="1">
      <c r="C7719" s="701"/>
      <c r="D7719" s="811"/>
      <c r="E7719" s="1276">
        <f>[11]building!Y8050</f>
        <v>0</v>
      </c>
      <c r="F7719" s="748">
        <f t="shared" si="359"/>
        <v>0</v>
      </c>
      <c r="G7719" s="1205"/>
      <c r="H7719" s="1055"/>
      <c r="I7719" s="1055"/>
      <c r="J7719" s="1055"/>
      <c r="K7719" s="1205"/>
      <c r="L7719" s="1055"/>
      <c r="M7719" s="1205"/>
      <c r="N7719" s="1054"/>
      <c r="O7719" s="1207"/>
      <c r="Q7719" s="1207"/>
    </row>
    <row r="7720" spans="3:17" s="700" customFormat="1" ht="70.5" hidden="1" customHeight="1">
      <c r="C7720" s="701"/>
      <c r="D7720" s="811"/>
      <c r="E7720" s="1276">
        <f>[11]building!Y8051</f>
        <v>0</v>
      </c>
      <c r="F7720" s="748">
        <f t="shared" si="359"/>
        <v>0</v>
      </c>
      <c r="G7720" s="1205"/>
      <c r="H7720" s="1055"/>
      <c r="I7720" s="1055"/>
      <c r="J7720" s="1055"/>
      <c r="K7720" s="1205"/>
      <c r="L7720" s="1055"/>
      <c r="M7720" s="1205"/>
      <c r="N7720" s="1054"/>
      <c r="O7720" s="1207"/>
      <c r="Q7720" s="1207"/>
    </row>
    <row r="7721" spans="3:17" s="700" customFormat="1" ht="70.5" hidden="1" customHeight="1">
      <c r="C7721" s="701"/>
      <c r="D7721" s="811"/>
      <c r="E7721" s="1276">
        <f>[11]building!Y8052</f>
        <v>0</v>
      </c>
      <c r="F7721" s="748">
        <f t="shared" si="359"/>
        <v>0</v>
      </c>
      <c r="G7721" s="1205"/>
      <c r="H7721" s="1055"/>
      <c r="I7721" s="1055"/>
      <c r="J7721" s="1055"/>
      <c r="K7721" s="1205"/>
      <c r="L7721" s="1055"/>
      <c r="M7721" s="1205"/>
      <c r="N7721" s="1054"/>
      <c r="O7721" s="1207"/>
      <c r="Q7721" s="1207"/>
    </row>
    <row r="7722" spans="3:17" s="700" customFormat="1" ht="70.5" hidden="1" customHeight="1">
      <c r="C7722" s="701"/>
      <c r="D7722" s="811"/>
      <c r="E7722" s="1276">
        <f>[11]building!Y8053</f>
        <v>0</v>
      </c>
      <c r="F7722" s="748">
        <f t="shared" si="359"/>
        <v>0</v>
      </c>
      <c r="G7722" s="1205"/>
      <c r="H7722" s="1055"/>
      <c r="I7722" s="1055"/>
      <c r="J7722" s="1055"/>
      <c r="K7722" s="1205"/>
      <c r="L7722" s="1055"/>
      <c r="M7722" s="1205"/>
      <c r="N7722" s="1054"/>
      <c r="O7722" s="1207"/>
      <c r="Q7722" s="1207"/>
    </row>
    <row r="7723" spans="3:17" s="700" customFormat="1" ht="70.5" hidden="1" customHeight="1">
      <c r="C7723" s="701"/>
      <c r="D7723" s="811"/>
      <c r="E7723" s="1276">
        <f>[11]building!Y8054</f>
        <v>0</v>
      </c>
      <c r="F7723" s="748">
        <f t="shared" si="359"/>
        <v>0</v>
      </c>
      <c r="G7723" s="1205"/>
      <c r="H7723" s="1055"/>
      <c r="I7723" s="1055"/>
      <c r="J7723" s="1055"/>
      <c r="K7723" s="1205"/>
      <c r="L7723" s="1055"/>
      <c r="M7723" s="1205"/>
      <c r="N7723" s="1054"/>
      <c r="O7723" s="1207"/>
      <c r="Q7723" s="1207"/>
    </row>
    <row r="7724" spans="3:17" s="700" customFormat="1" ht="70.5" hidden="1" customHeight="1">
      <c r="C7724" s="701"/>
      <c r="D7724" s="811"/>
      <c r="E7724" s="1276">
        <f>[11]building!Y8055</f>
        <v>0</v>
      </c>
      <c r="F7724" s="748">
        <f t="shared" si="359"/>
        <v>0</v>
      </c>
      <c r="G7724" s="1205"/>
      <c r="H7724" s="1055"/>
      <c r="I7724" s="1055"/>
      <c r="J7724" s="1055"/>
      <c r="K7724" s="1205"/>
      <c r="L7724" s="1055"/>
      <c r="M7724" s="1205"/>
      <c r="N7724" s="1054"/>
      <c r="O7724" s="1207"/>
      <c r="Q7724" s="1207"/>
    </row>
    <row r="7725" spans="3:17" s="700" customFormat="1" ht="70.5" hidden="1" customHeight="1">
      <c r="C7725" s="701"/>
      <c r="D7725" s="811"/>
      <c r="E7725" s="1276">
        <f>[11]building!Y8056</f>
        <v>0</v>
      </c>
      <c r="F7725" s="748">
        <f t="shared" si="359"/>
        <v>0</v>
      </c>
      <c r="G7725" s="1205"/>
      <c r="H7725" s="1055"/>
      <c r="I7725" s="1055"/>
      <c r="J7725" s="1055"/>
      <c r="K7725" s="1205"/>
      <c r="L7725" s="1055"/>
      <c r="M7725" s="1205"/>
      <c r="N7725" s="1054"/>
      <c r="O7725" s="1207"/>
      <c r="Q7725" s="1207"/>
    </row>
    <row r="7726" spans="3:17" s="700" customFormat="1" ht="70.5" hidden="1" customHeight="1">
      <c r="C7726" s="701"/>
      <c r="D7726" s="811"/>
      <c r="E7726" s="1276">
        <f>[11]building!Y8057</f>
        <v>0</v>
      </c>
      <c r="F7726" s="748">
        <f t="shared" si="359"/>
        <v>0</v>
      </c>
      <c r="G7726" s="1205"/>
      <c r="H7726" s="1055"/>
      <c r="I7726" s="1055"/>
      <c r="J7726" s="1055"/>
      <c r="K7726" s="1205"/>
      <c r="L7726" s="1055"/>
      <c r="M7726" s="1205"/>
      <c r="N7726" s="1054"/>
      <c r="O7726" s="1207"/>
      <c r="Q7726" s="1207"/>
    </row>
    <row r="7727" spans="3:17" s="700" customFormat="1" ht="70.5" hidden="1" customHeight="1">
      <c r="C7727" s="701"/>
      <c r="D7727" s="811"/>
      <c r="E7727" s="1276">
        <f>[11]building!Y8058</f>
        <v>0</v>
      </c>
      <c r="F7727" s="748">
        <f t="shared" si="359"/>
        <v>0</v>
      </c>
      <c r="G7727" s="1205"/>
      <c r="H7727" s="1055"/>
      <c r="I7727" s="1055"/>
      <c r="J7727" s="1055"/>
      <c r="K7727" s="1205"/>
      <c r="L7727" s="1055"/>
      <c r="M7727" s="1205"/>
      <c r="N7727" s="1054"/>
      <c r="O7727" s="1207"/>
      <c r="Q7727" s="1207"/>
    </row>
    <row r="7728" spans="3:17" s="700" customFormat="1" ht="70.5" hidden="1" customHeight="1">
      <c r="C7728" s="701"/>
      <c r="D7728" s="811"/>
      <c r="E7728" s="1276">
        <f>[11]building!Y8059</f>
        <v>0</v>
      </c>
      <c r="F7728" s="748">
        <f t="shared" si="359"/>
        <v>0</v>
      </c>
      <c r="G7728" s="1205"/>
      <c r="H7728" s="1055"/>
      <c r="I7728" s="1055"/>
      <c r="J7728" s="1055"/>
      <c r="K7728" s="1205"/>
      <c r="L7728" s="1055"/>
      <c r="M7728" s="1205"/>
      <c r="N7728" s="1054"/>
      <c r="O7728" s="1207"/>
      <c r="Q7728" s="1207"/>
    </row>
    <row r="7729" spans="3:17" s="700" customFormat="1" ht="70.5" hidden="1" customHeight="1">
      <c r="C7729" s="701"/>
      <c r="D7729" s="811"/>
      <c r="E7729" s="1276">
        <f>[11]building!Y8060</f>
        <v>0</v>
      </c>
      <c r="F7729" s="748">
        <f t="shared" si="359"/>
        <v>0</v>
      </c>
      <c r="G7729" s="1205"/>
      <c r="H7729" s="1055"/>
      <c r="I7729" s="1055"/>
      <c r="J7729" s="1055"/>
      <c r="K7729" s="1205"/>
      <c r="L7729" s="1055"/>
      <c r="M7729" s="1205"/>
      <c r="N7729" s="1054"/>
      <c r="O7729" s="1207"/>
      <c r="Q7729" s="1207"/>
    </row>
    <row r="7730" spans="3:17" s="700" customFormat="1" ht="70.5" hidden="1" customHeight="1">
      <c r="C7730" s="701"/>
      <c r="D7730" s="811"/>
      <c r="E7730" s="1276">
        <f>[11]building!Y8061</f>
        <v>0</v>
      </c>
      <c r="F7730" s="748">
        <f t="shared" si="359"/>
        <v>0</v>
      </c>
      <c r="G7730" s="1205"/>
      <c r="H7730" s="1055"/>
      <c r="I7730" s="1055"/>
      <c r="J7730" s="1055"/>
      <c r="K7730" s="1205"/>
      <c r="L7730" s="1055"/>
      <c r="M7730" s="1205"/>
      <c r="N7730" s="1054"/>
      <c r="O7730" s="1207"/>
      <c r="Q7730" s="1207"/>
    </row>
    <row r="7731" spans="3:17" s="700" customFormat="1" ht="70.5" hidden="1" customHeight="1">
      <c r="C7731" s="701"/>
      <c r="D7731" s="811"/>
      <c r="E7731" s="1276">
        <f>[11]building!Y8062</f>
        <v>0</v>
      </c>
      <c r="F7731" s="748">
        <f t="shared" si="359"/>
        <v>0</v>
      </c>
      <c r="G7731" s="1205"/>
      <c r="H7731" s="1055"/>
      <c r="I7731" s="1055"/>
      <c r="J7731" s="1055"/>
      <c r="K7731" s="1205"/>
      <c r="L7731" s="1055"/>
      <c r="M7731" s="1205"/>
      <c r="N7731" s="1054"/>
      <c r="O7731" s="1207"/>
      <c r="Q7731" s="1207"/>
    </row>
    <row r="7732" spans="3:17" s="700" customFormat="1" ht="70.5" hidden="1" customHeight="1">
      <c r="C7732" s="701"/>
      <c r="D7732" s="811"/>
      <c r="E7732" s="1276">
        <f>[11]building!Y8063</f>
        <v>0</v>
      </c>
      <c r="F7732" s="748">
        <f t="shared" si="359"/>
        <v>0</v>
      </c>
      <c r="G7732" s="1205"/>
      <c r="H7732" s="1055"/>
      <c r="I7732" s="1055"/>
      <c r="J7732" s="1055"/>
      <c r="K7732" s="1205"/>
      <c r="L7732" s="1055"/>
      <c r="M7732" s="1205"/>
      <c r="N7732" s="1054"/>
      <c r="O7732" s="1207"/>
      <c r="Q7732" s="1207"/>
    </row>
    <row r="7733" spans="3:17" s="700" customFormat="1" ht="70.5" hidden="1" customHeight="1">
      <c r="C7733" s="701"/>
      <c r="D7733" s="811"/>
      <c r="E7733" s="1276">
        <f>[11]building!Y8064</f>
        <v>0</v>
      </c>
      <c r="F7733" s="748">
        <f t="shared" si="359"/>
        <v>0</v>
      </c>
      <c r="G7733" s="1205"/>
      <c r="H7733" s="1055"/>
      <c r="I7733" s="1055"/>
      <c r="J7733" s="1055"/>
      <c r="K7733" s="1205"/>
      <c r="L7733" s="1055"/>
      <c r="M7733" s="1205"/>
      <c r="N7733" s="1054"/>
      <c r="O7733" s="1207"/>
      <c r="Q7733" s="1207"/>
    </row>
    <row r="7734" spans="3:17" s="700" customFormat="1" ht="70.5" hidden="1" customHeight="1">
      <c r="C7734" s="701"/>
      <c r="D7734" s="811"/>
      <c r="E7734" s="1276">
        <f>[11]building!Y8065</f>
        <v>0</v>
      </c>
      <c r="F7734" s="748">
        <f t="shared" si="359"/>
        <v>0</v>
      </c>
      <c r="G7734" s="1205"/>
      <c r="H7734" s="1055"/>
      <c r="I7734" s="1055"/>
      <c r="J7734" s="1055"/>
      <c r="K7734" s="1205"/>
      <c r="L7734" s="1055"/>
      <c r="M7734" s="1205"/>
      <c r="N7734" s="1054"/>
      <c r="O7734" s="1207"/>
      <c r="Q7734" s="1207"/>
    </row>
    <row r="7735" spans="3:17" s="700" customFormat="1" ht="70.5" hidden="1" customHeight="1">
      <c r="C7735" s="701"/>
      <c r="D7735" s="811"/>
      <c r="E7735" s="1276">
        <f>[11]building!Y8066</f>
        <v>0</v>
      </c>
      <c r="F7735" s="748">
        <f t="shared" si="359"/>
        <v>0</v>
      </c>
      <c r="G7735" s="1205"/>
      <c r="H7735" s="1055"/>
      <c r="I7735" s="1055"/>
      <c r="J7735" s="1055"/>
      <c r="K7735" s="1205"/>
      <c r="L7735" s="1055"/>
      <c r="M7735" s="1205"/>
      <c r="N7735" s="1054"/>
      <c r="O7735" s="1207"/>
      <c r="Q7735" s="1207"/>
    </row>
    <row r="7736" spans="3:17" s="700" customFormat="1" ht="70.5" hidden="1" customHeight="1">
      <c r="C7736" s="701"/>
      <c r="D7736" s="811"/>
      <c r="E7736" s="1276">
        <f>[11]building!Y8067</f>
        <v>0</v>
      </c>
      <c r="F7736" s="748">
        <f t="shared" si="359"/>
        <v>0</v>
      </c>
      <c r="G7736" s="1205"/>
      <c r="H7736" s="1055"/>
      <c r="I7736" s="1055"/>
      <c r="J7736" s="1055"/>
      <c r="K7736" s="1205"/>
      <c r="L7736" s="1055"/>
      <c r="M7736" s="1205"/>
      <c r="N7736" s="1054"/>
      <c r="O7736" s="1207"/>
      <c r="Q7736" s="1207"/>
    </row>
    <row r="7737" spans="3:17" s="700" customFormat="1" ht="70.5" hidden="1" customHeight="1">
      <c r="C7737" s="701"/>
      <c r="D7737" s="811"/>
      <c r="E7737" s="1276">
        <f>[11]building!Y8068</f>
        <v>0</v>
      </c>
      <c r="F7737" s="748">
        <f t="shared" si="359"/>
        <v>0</v>
      </c>
      <c r="G7737" s="1205"/>
      <c r="H7737" s="1055"/>
      <c r="I7737" s="1055"/>
      <c r="J7737" s="1055"/>
      <c r="K7737" s="1205"/>
      <c r="L7737" s="1055"/>
      <c r="M7737" s="1205"/>
      <c r="N7737" s="1054"/>
      <c r="O7737" s="1207"/>
      <c r="Q7737" s="1207"/>
    </row>
    <row r="7738" spans="3:17" s="700" customFormat="1" ht="70.5" hidden="1" customHeight="1">
      <c r="C7738" s="701"/>
      <c r="D7738" s="811"/>
      <c r="E7738" s="1276">
        <f>[11]building!Y8069</f>
        <v>0</v>
      </c>
      <c r="F7738" s="748">
        <f t="shared" si="359"/>
        <v>0</v>
      </c>
      <c r="G7738" s="1205"/>
      <c r="H7738" s="1055"/>
      <c r="I7738" s="1055"/>
      <c r="J7738" s="1055"/>
      <c r="K7738" s="1205"/>
      <c r="L7738" s="1055"/>
      <c r="M7738" s="1205"/>
      <c r="N7738" s="1054"/>
      <c r="O7738" s="1207"/>
      <c r="Q7738" s="1207"/>
    </row>
    <row r="7739" spans="3:17" s="700" customFormat="1" ht="70.5" hidden="1" customHeight="1">
      <c r="C7739" s="701"/>
      <c r="D7739" s="811"/>
      <c r="E7739" s="1276">
        <f>[11]building!Y8070</f>
        <v>0</v>
      </c>
      <c r="F7739" s="748">
        <f t="shared" si="359"/>
        <v>0</v>
      </c>
      <c r="G7739" s="1205"/>
      <c r="H7739" s="1055"/>
      <c r="I7739" s="1055"/>
      <c r="J7739" s="1055"/>
      <c r="K7739" s="1205"/>
      <c r="L7739" s="1055"/>
      <c r="M7739" s="1205"/>
      <c r="N7739" s="1054"/>
      <c r="O7739" s="1207"/>
      <c r="Q7739" s="1207"/>
    </row>
    <row r="7740" spans="3:17" s="700" customFormat="1" ht="70.5" hidden="1" customHeight="1">
      <c r="C7740" s="701"/>
      <c r="D7740" s="811"/>
      <c r="E7740" s="1276">
        <f>[11]building!Y8071</f>
        <v>0</v>
      </c>
      <c r="F7740" s="748">
        <f t="shared" si="359"/>
        <v>0</v>
      </c>
      <c r="G7740" s="1205"/>
      <c r="H7740" s="1055"/>
      <c r="I7740" s="1055"/>
      <c r="J7740" s="1055"/>
      <c r="K7740" s="1205"/>
      <c r="L7740" s="1055"/>
      <c r="M7740" s="1205"/>
      <c r="N7740" s="1054"/>
      <c r="O7740" s="1207"/>
      <c r="Q7740" s="1207"/>
    </row>
    <row r="7741" spans="3:17" s="700" customFormat="1" ht="70.5" hidden="1" customHeight="1">
      <c r="C7741" s="701"/>
      <c r="D7741" s="811"/>
      <c r="E7741" s="1276">
        <f>[11]building!Y8072</f>
        <v>0</v>
      </c>
      <c r="F7741" s="748">
        <f t="shared" si="359"/>
        <v>0</v>
      </c>
      <c r="G7741" s="1205"/>
      <c r="H7741" s="1055"/>
      <c r="I7741" s="1055"/>
      <c r="J7741" s="1055"/>
      <c r="K7741" s="1205"/>
      <c r="L7741" s="1055"/>
      <c r="M7741" s="1205"/>
      <c r="N7741" s="1054"/>
      <c r="O7741" s="1207"/>
      <c r="Q7741" s="1207"/>
    </row>
    <row r="7742" spans="3:17" s="700" customFormat="1" ht="70.5" hidden="1" customHeight="1">
      <c r="C7742" s="701"/>
      <c r="D7742" s="811"/>
      <c r="E7742" s="1276">
        <f>[11]building!Y8073</f>
        <v>0</v>
      </c>
      <c r="F7742" s="748">
        <f t="shared" si="359"/>
        <v>0</v>
      </c>
      <c r="G7742" s="1205"/>
      <c r="H7742" s="1055"/>
      <c r="I7742" s="1055"/>
      <c r="J7742" s="1055"/>
      <c r="K7742" s="1205"/>
      <c r="L7742" s="1055"/>
      <c r="M7742" s="1205"/>
      <c r="N7742" s="1054"/>
      <c r="O7742" s="1207"/>
      <c r="Q7742" s="1207"/>
    </row>
    <row r="7743" spans="3:17" s="700" customFormat="1" ht="70.5" hidden="1" customHeight="1">
      <c r="C7743" s="701"/>
      <c r="D7743" s="811"/>
      <c r="E7743" s="1276">
        <f>[11]building!Y8074</f>
        <v>0</v>
      </c>
      <c r="F7743" s="748">
        <f t="shared" si="359"/>
        <v>0</v>
      </c>
      <c r="G7743" s="1205"/>
      <c r="H7743" s="1055"/>
      <c r="I7743" s="1055"/>
      <c r="J7743" s="1055"/>
      <c r="K7743" s="1205"/>
      <c r="L7743" s="1055"/>
      <c r="M7743" s="1205"/>
      <c r="N7743" s="1054"/>
      <c r="O7743" s="1207"/>
      <c r="Q7743" s="1207"/>
    </row>
    <row r="7744" spans="3:17" s="700" customFormat="1" ht="70.5" hidden="1" customHeight="1">
      <c r="C7744" s="701"/>
      <c r="D7744" s="811"/>
      <c r="E7744" s="1276">
        <f>[11]building!Y8075</f>
        <v>0</v>
      </c>
      <c r="F7744" s="748">
        <f t="shared" ref="F7744:F7807" si="360">E7744*C7744</f>
        <v>0</v>
      </c>
      <c r="G7744" s="1205"/>
      <c r="H7744" s="1055"/>
      <c r="I7744" s="1055"/>
      <c r="J7744" s="1055"/>
      <c r="K7744" s="1205"/>
      <c r="L7744" s="1055"/>
      <c r="M7744" s="1205"/>
      <c r="N7744" s="1054"/>
      <c r="O7744" s="1207"/>
      <c r="Q7744" s="1207"/>
    </row>
    <row r="7745" spans="3:17" s="700" customFormat="1" ht="70.5" hidden="1" customHeight="1">
      <c r="C7745" s="701"/>
      <c r="D7745" s="811"/>
      <c r="E7745" s="1276">
        <f>[11]building!Y8076</f>
        <v>0</v>
      </c>
      <c r="F7745" s="748">
        <f t="shared" si="360"/>
        <v>0</v>
      </c>
      <c r="G7745" s="1205"/>
      <c r="H7745" s="1055"/>
      <c r="I7745" s="1055"/>
      <c r="J7745" s="1055"/>
      <c r="K7745" s="1205"/>
      <c r="L7745" s="1055"/>
      <c r="M7745" s="1205"/>
      <c r="N7745" s="1054"/>
      <c r="O7745" s="1207"/>
      <c r="Q7745" s="1207"/>
    </row>
    <row r="7746" spans="3:17" s="700" customFormat="1" ht="70.5" hidden="1" customHeight="1">
      <c r="C7746" s="701"/>
      <c r="D7746" s="811"/>
      <c r="E7746" s="1276">
        <f>[11]building!Y8077</f>
        <v>0</v>
      </c>
      <c r="F7746" s="748">
        <f t="shared" si="360"/>
        <v>0</v>
      </c>
      <c r="G7746" s="1205"/>
      <c r="H7746" s="1055"/>
      <c r="I7746" s="1055"/>
      <c r="J7746" s="1055"/>
      <c r="K7746" s="1205"/>
      <c r="L7746" s="1055"/>
      <c r="M7746" s="1205"/>
      <c r="N7746" s="1054"/>
      <c r="O7746" s="1207"/>
      <c r="Q7746" s="1207"/>
    </row>
    <row r="7747" spans="3:17" s="700" customFormat="1" ht="70.5" hidden="1" customHeight="1">
      <c r="C7747" s="701"/>
      <c r="D7747" s="811"/>
      <c r="E7747" s="1276">
        <f>[11]building!Y8078</f>
        <v>0</v>
      </c>
      <c r="F7747" s="748">
        <f t="shared" si="360"/>
        <v>0</v>
      </c>
      <c r="G7747" s="1205"/>
      <c r="H7747" s="1055"/>
      <c r="I7747" s="1055"/>
      <c r="J7747" s="1055"/>
      <c r="K7747" s="1205"/>
      <c r="L7747" s="1055"/>
      <c r="M7747" s="1205"/>
      <c r="N7747" s="1054"/>
      <c r="O7747" s="1207"/>
      <c r="Q7747" s="1207"/>
    </row>
    <row r="7748" spans="3:17" s="700" customFormat="1" ht="70.5" hidden="1" customHeight="1">
      <c r="C7748" s="701"/>
      <c r="D7748" s="811"/>
      <c r="E7748" s="1276">
        <f>[11]building!Y8079</f>
        <v>0</v>
      </c>
      <c r="F7748" s="748">
        <f t="shared" si="360"/>
        <v>0</v>
      </c>
      <c r="G7748" s="1205"/>
      <c r="H7748" s="1055"/>
      <c r="I7748" s="1055"/>
      <c r="J7748" s="1055"/>
      <c r="K7748" s="1205"/>
      <c r="L7748" s="1055"/>
      <c r="M7748" s="1205"/>
      <c r="N7748" s="1054"/>
      <c r="O7748" s="1207"/>
      <c r="Q7748" s="1207"/>
    </row>
    <row r="7749" spans="3:17" s="700" customFormat="1" ht="70.5" hidden="1" customHeight="1">
      <c r="C7749" s="701"/>
      <c r="D7749" s="811"/>
      <c r="E7749" s="1276">
        <f>[11]building!Y8080</f>
        <v>0</v>
      </c>
      <c r="F7749" s="748">
        <f t="shared" si="360"/>
        <v>0</v>
      </c>
      <c r="G7749" s="1205"/>
      <c r="H7749" s="1055"/>
      <c r="I7749" s="1055"/>
      <c r="J7749" s="1055"/>
      <c r="K7749" s="1205"/>
      <c r="L7749" s="1055"/>
      <c r="M7749" s="1205"/>
      <c r="N7749" s="1054"/>
      <c r="O7749" s="1207"/>
      <c r="Q7749" s="1207"/>
    </row>
    <row r="7750" spans="3:17" s="700" customFormat="1" ht="70.5" hidden="1" customHeight="1">
      <c r="C7750" s="701"/>
      <c r="D7750" s="811"/>
      <c r="E7750" s="1276">
        <f>[11]building!Y8081</f>
        <v>0</v>
      </c>
      <c r="F7750" s="748">
        <f t="shared" si="360"/>
        <v>0</v>
      </c>
      <c r="G7750" s="1205"/>
      <c r="H7750" s="1055"/>
      <c r="I7750" s="1055"/>
      <c r="J7750" s="1055"/>
      <c r="K7750" s="1205"/>
      <c r="L7750" s="1055"/>
      <c r="M7750" s="1205"/>
      <c r="N7750" s="1054"/>
      <c r="O7750" s="1207"/>
      <c r="Q7750" s="1207"/>
    </row>
    <row r="7751" spans="3:17" s="700" customFormat="1" ht="70.5" hidden="1" customHeight="1">
      <c r="C7751" s="701"/>
      <c r="D7751" s="811"/>
      <c r="E7751" s="1276">
        <f>[11]building!Y8082</f>
        <v>0</v>
      </c>
      <c r="F7751" s="748">
        <f t="shared" si="360"/>
        <v>0</v>
      </c>
      <c r="G7751" s="1205"/>
      <c r="H7751" s="1055"/>
      <c r="I7751" s="1055"/>
      <c r="J7751" s="1055"/>
      <c r="K7751" s="1205"/>
      <c r="L7751" s="1055"/>
      <c r="M7751" s="1205"/>
      <c r="N7751" s="1054"/>
      <c r="O7751" s="1207"/>
      <c r="Q7751" s="1207"/>
    </row>
    <row r="7752" spans="3:17" s="700" customFormat="1" ht="70.5" hidden="1" customHeight="1">
      <c r="C7752" s="701"/>
      <c r="D7752" s="811"/>
      <c r="E7752" s="1276">
        <f>[11]building!Y8083</f>
        <v>0</v>
      </c>
      <c r="F7752" s="748">
        <f t="shared" si="360"/>
        <v>0</v>
      </c>
      <c r="G7752" s="1205"/>
      <c r="H7752" s="1055"/>
      <c r="I7752" s="1055"/>
      <c r="J7752" s="1055"/>
      <c r="K7752" s="1205"/>
      <c r="L7752" s="1055"/>
      <c r="M7752" s="1205"/>
      <c r="N7752" s="1054"/>
      <c r="O7752" s="1207"/>
      <c r="Q7752" s="1207"/>
    </row>
    <row r="7753" spans="3:17" s="700" customFormat="1" ht="70.5" hidden="1" customHeight="1">
      <c r="C7753" s="701"/>
      <c r="D7753" s="811"/>
      <c r="E7753" s="1276">
        <f>[11]building!Y8084</f>
        <v>0</v>
      </c>
      <c r="F7753" s="748">
        <f t="shared" si="360"/>
        <v>0</v>
      </c>
      <c r="G7753" s="1205"/>
      <c r="H7753" s="1055"/>
      <c r="I7753" s="1055"/>
      <c r="J7753" s="1055"/>
      <c r="K7753" s="1205"/>
      <c r="L7753" s="1055"/>
      <c r="M7753" s="1205"/>
      <c r="N7753" s="1054"/>
      <c r="O7753" s="1207"/>
      <c r="Q7753" s="1207"/>
    </row>
    <row r="7754" spans="3:17" s="700" customFormat="1" ht="70.5" hidden="1" customHeight="1">
      <c r="C7754" s="701"/>
      <c r="D7754" s="811"/>
      <c r="E7754" s="1276">
        <f>[11]building!Y8085</f>
        <v>0</v>
      </c>
      <c r="F7754" s="748">
        <f t="shared" si="360"/>
        <v>0</v>
      </c>
      <c r="G7754" s="1205"/>
      <c r="H7754" s="1055"/>
      <c r="I7754" s="1055"/>
      <c r="J7754" s="1055"/>
      <c r="K7754" s="1205"/>
      <c r="L7754" s="1055"/>
      <c r="M7754" s="1205"/>
      <c r="N7754" s="1054"/>
      <c r="O7754" s="1207"/>
      <c r="Q7754" s="1207"/>
    </row>
    <row r="7755" spans="3:17" s="700" customFormat="1" ht="70.5" hidden="1" customHeight="1">
      <c r="C7755" s="701"/>
      <c r="D7755" s="811"/>
      <c r="E7755" s="1276">
        <f>[11]building!Y8086</f>
        <v>0</v>
      </c>
      <c r="F7755" s="748">
        <f t="shared" si="360"/>
        <v>0</v>
      </c>
      <c r="G7755" s="1205"/>
      <c r="H7755" s="1055"/>
      <c r="I7755" s="1055"/>
      <c r="J7755" s="1055"/>
      <c r="K7755" s="1205"/>
      <c r="L7755" s="1055"/>
      <c r="M7755" s="1205"/>
      <c r="N7755" s="1054"/>
      <c r="O7755" s="1207"/>
      <c r="Q7755" s="1207"/>
    </row>
    <row r="7756" spans="3:17" s="700" customFormat="1" ht="70.5" hidden="1" customHeight="1">
      <c r="C7756" s="701"/>
      <c r="D7756" s="811"/>
      <c r="E7756" s="1276">
        <f>[11]building!Y8087</f>
        <v>0</v>
      </c>
      <c r="F7756" s="748">
        <f t="shared" si="360"/>
        <v>0</v>
      </c>
      <c r="G7756" s="1205"/>
      <c r="H7756" s="1055"/>
      <c r="I7756" s="1055"/>
      <c r="J7756" s="1055"/>
      <c r="K7756" s="1205"/>
      <c r="L7756" s="1055"/>
      <c r="M7756" s="1205"/>
      <c r="N7756" s="1054"/>
      <c r="O7756" s="1207"/>
      <c r="Q7756" s="1207"/>
    </row>
    <row r="7757" spans="3:17" s="700" customFormat="1" ht="70.5" hidden="1" customHeight="1">
      <c r="C7757" s="701"/>
      <c r="D7757" s="811"/>
      <c r="E7757" s="1276">
        <f>[11]building!Y8088</f>
        <v>0</v>
      </c>
      <c r="F7757" s="748">
        <f t="shared" si="360"/>
        <v>0</v>
      </c>
      <c r="G7757" s="1205"/>
      <c r="H7757" s="1055"/>
      <c r="I7757" s="1055"/>
      <c r="J7757" s="1055"/>
      <c r="K7757" s="1205"/>
      <c r="L7757" s="1055"/>
      <c r="M7757" s="1205"/>
      <c r="N7757" s="1054"/>
      <c r="O7757" s="1207"/>
      <c r="Q7757" s="1207"/>
    </row>
    <row r="7758" spans="3:17" s="700" customFormat="1" ht="70.5" hidden="1" customHeight="1">
      <c r="C7758" s="701"/>
      <c r="D7758" s="811"/>
      <c r="E7758" s="1276">
        <f>[11]building!Y8089</f>
        <v>0</v>
      </c>
      <c r="F7758" s="748">
        <f t="shared" si="360"/>
        <v>0</v>
      </c>
      <c r="G7758" s="1205"/>
      <c r="H7758" s="1055"/>
      <c r="I7758" s="1055"/>
      <c r="J7758" s="1055"/>
      <c r="K7758" s="1205"/>
      <c r="L7758" s="1055"/>
      <c r="M7758" s="1205"/>
      <c r="N7758" s="1054"/>
      <c r="O7758" s="1207"/>
      <c r="Q7758" s="1207"/>
    </row>
    <row r="7759" spans="3:17" s="700" customFormat="1" ht="70.5" hidden="1" customHeight="1">
      <c r="C7759" s="701"/>
      <c r="D7759" s="811"/>
      <c r="E7759" s="1276">
        <f>[11]building!Y8090</f>
        <v>0</v>
      </c>
      <c r="F7759" s="748">
        <f t="shared" si="360"/>
        <v>0</v>
      </c>
      <c r="G7759" s="1205"/>
      <c r="H7759" s="1055"/>
      <c r="I7759" s="1055"/>
      <c r="J7759" s="1055"/>
      <c r="K7759" s="1205"/>
      <c r="L7759" s="1055"/>
      <c r="M7759" s="1205"/>
      <c r="N7759" s="1054"/>
      <c r="O7759" s="1207"/>
      <c r="Q7759" s="1207"/>
    </row>
    <row r="7760" spans="3:17" s="700" customFormat="1" ht="70.5" hidden="1" customHeight="1">
      <c r="C7760" s="701"/>
      <c r="D7760" s="811"/>
      <c r="E7760" s="1276">
        <f>[11]building!Y8091</f>
        <v>0</v>
      </c>
      <c r="F7760" s="748">
        <f t="shared" si="360"/>
        <v>0</v>
      </c>
      <c r="G7760" s="1205"/>
      <c r="H7760" s="1055"/>
      <c r="I7760" s="1055"/>
      <c r="J7760" s="1055"/>
      <c r="K7760" s="1205"/>
      <c r="L7760" s="1055"/>
      <c r="M7760" s="1205"/>
      <c r="N7760" s="1054"/>
      <c r="O7760" s="1207"/>
      <c r="Q7760" s="1207"/>
    </row>
    <row r="7761" spans="3:17" s="700" customFormat="1" ht="70.5" hidden="1" customHeight="1">
      <c r="C7761" s="701"/>
      <c r="D7761" s="811"/>
      <c r="E7761" s="1276">
        <f>[11]building!Y8092</f>
        <v>0</v>
      </c>
      <c r="F7761" s="748">
        <f t="shared" si="360"/>
        <v>0</v>
      </c>
      <c r="G7761" s="1205"/>
      <c r="H7761" s="1055"/>
      <c r="I7761" s="1055"/>
      <c r="J7761" s="1055"/>
      <c r="K7761" s="1205"/>
      <c r="L7761" s="1055"/>
      <c r="M7761" s="1205"/>
      <c r="N7761" s="1054"/>
      <c r="O7761" s="1207"/>
      <c r="Q7761" s="1207"/>
    </row>
    <row r="7762" spans="3:17" s="700" customFormat="1" ht="70.5" hidden="1" customHeight="1">
      <c r="C7762" s="701"/>
      <c r="D7762" s="811"/>
      <c r="E7762" s="1276">
        <f>[11]building!Y8093</f>
        <v>0</v>
      </c>
      <c r="F7762" s="748">
        <f t="shared" si="360"/>
        <v>0</v>
      </c>
      <c r="G7762" s="1205"/>
      <c r="H7762" s="1055"/>
      <c r="I7762" s="1055"/>
      <c r="J7762" s="1055"/>
      <c r="K7762" s="1205"/>
      <c r="L7762" s="1055"/>
      <c r="M7762" s="1205"/>
      <c r="N7762" s="1054"/>
      <c r="O7762" s="1207"/>
      <c r="Q7762" s="1207"/>
    </row>
    <row r="7763" spans="3:17" s="700" customFormat="1" ht="70.5" hidden="1" customHeight="1">
      <c r="C7763" s="701"/>
      <c r="D7763" s="811"/>
      <c r="E7763" s="1276">
        <f>[11]building!Y8094</f>
        <v>0</v>
      </c>
      <c r="F7763" s="748">
        <f t="shared" si="360"/>
        <v>0</v>
      </c>
      <c r="G7763" s="1205"/>
      <c r="H7763" s="1055"/>
      <c r="I7763" s="1055"/>
      <c r="J7763" s="1055"/>
      <c r="K7763" s="1205"/>
      <c r="L7763" s="1055"/>
      <c r="M7763" s="1205"/>
      <c r="N7763" s="1054"/>
      <c r="O7763" s="1207"/>
      <c r="Q7763" s="1207"/>
    </row>
    <row r="7764" spans="3:17" s="700" customFormat="1" ht="70.5" hidden="1" customHeight="1">
      <c r="C7764" s="701"/>
      <c r="D7764" s="811"/>
      <c r="E7764" s="1276">
        <f>[11]building!Y8095</f>
        <v>0</v>
      </c>
      <c r="F7764" s="748">
        <f t="shared" si="360"/>
        <v>0</v>
      </c>
      <c r="G7764" s="1205"/>
      <c r="H7764" s="1055"/>
      <c r="I7764" s="1055"/>
      <c r="J7764" s="1055"/>
      <c r="K7764" s="1205"/>
      <c r="L7764" s="1055"/>
      <c r="M7764" s="1205"/>
      <c r="N7764" s="1054"/>
      <c r="O7764" s="1207"/>
      <c r="Q7764" s="1207"/>
    </row>
    <row r="7765" spans="3:17" s="700" customFormat="1" ht="70.5" hidden="1" customHeight="1">
      <c r="C7765" s="701"/>
      <c r="D7765" s="811"/>
      <c r="E7765" s="1276">
        <f>[11]building!Y8096</f>
        <v>0</v>
      </c>
      <c r="F7765" s="748">
        <f t="shared" si="360"/>
        <v>0</v>
      </c>
      <c r="G7765" s="1205"/>
      <c r="H7765" s="1055"/>
      <c r="I7765" s="1055"/>
      <c r="J7765" s="1055"/>
      <c r="K7765" s="1205"/>
      <c r="L7765" s="1055"/>
      <c r="M7765" s="1205"/>
      <c r="N7765" s="1054"/>
      <c r="O7765" s="1207"/>
      <c r="Q7765" s="1207"/>
    </row>
    <row r="7766" spans="3:17" s="700" customFormat="1" ht="70.5" hidden="1" customHeight="1">
      <c r="C7766" s="701"/>
      <c r="D7766" s="811"/>
      <c r="E7766" s="1276">
        <f>[11]building!Y8097</f>
        <v>0</v>
      </c>
      <c r="F7766" s="748">
        <f t="shared" si="360"/>
        <v>0</v>
      </c>
      <c r="G7766" s="1205"/>
      <c r="H7766" s="1055"/>
      <c r="I7766" s="1055"/>
      <c r="J7766" s="1055"/>
      <c r="K7766" s="1205"/>
      <c r="L7766" s="1055"/>
      <c r="M7766" s="1205"/>
      <c r="N7766" s="1054"/>
      <c r="O7766" s="1207"/>
      <c r="Q7766" s="1207"/>
    </row>
    <row r="7767" spans="3:17" s="700" customFormat="1" ht="70.5" hidden="1" customHeight="1">
      <c r="C7767" s="701"/>
      <c r="D7767" s="811"/>
      <c r="E7767" s="1276">
        <f>[11]building!Y8098</f>
        <v>0</v>
      </c>
      <c r="F7767" s="748">
        <f t="shared" si="360"/>
        <v>0</v>
      </c>
      <c r="G7767" s="1205"/>
      <c r="H7767" s="1055"/>
      <c r="I7767" s="1055"/>
      <c r="J7767" s="1055"/>
      <c r="K7767" s="1205"/>
      <c r="L7767" s="1055"/>
      <c r="M7767" s="1205"/>
      <c r="N7767" s="1054"/>
      <c r="O7767" s="1207"/>
      <c r="Q7767" s="1207"/>
    </row>
    <row r="7768" spans="3:17" s="700" customFormat="1" ht="70.5" hidden="1" customHeight="1">
      <c r="C7768" s="701"/>
      <c r="D7768" s="811"/>
      <c r="E7768" s="1276">
        <f>[11]building!Y8099</f>
        <v>0</v>
      </c>
      <c r="F7768" s="748">
        <f t="shared" si="360"/>
        <v>0</v>
      </c>
      <c r="G7768" s="1205"/>
      <c r="H7768" s="1055"/>
      <c r="I7768" s="1055"/>
      <c r="J7768" s="1055"/>
      <c r="K7768" s="1205"/>
      <c r="L7768" s="1055"/>
      <c r="M7768" s="1205"/>
      <c r="N7768" s="1054"/>
      <c r="O7768" s="1207"/>
      <c r="Q7768" s="1207"/>
    </row>
    <row r="7769" spans="3:17" s="700" customFormat="1" ht="70.5" hidden="1" customHeight="1">
      <c r="C7769" s="701"/>
      <c r="D7769" s="811"/>
      <c r="E7769" s="1276">
        <f>[11]building!Y8100</f>
        <v>0</v>
      </c>
      <c r="F7769" s="748">
        <f t="shared" si="360"/>
        <v>0</v>
      </c>
      <c r="G7769" s="1205"/>
      <c r="H7769" s="1055"/>
      <c r="I7769" s="1055"/>
      <c r="J7769" s="1055"/>
      <c r="K7769" s="1205"/>
      <c r="L7769" s="1055"/>
      <c r="M7769" s="1205"/>
      <c r="N7769" s="1054"/>
      <c r="O7769" s="1207"/>
      <c r="Q7769" s="1207"/>
    </row>
    <row r="7770" spans="3:17" s="700" customFormat="1" ht="70.5" hidden="1" customHeight="1">
      <c r="C7770" s="701"/>
      <c r="D7770" s="811"/>
      <c r="E7770" s="1276">
        <f>[11]building!Y8101</f>
        <v>0</v>
      </c>
      <c r="F7770" s="748">
        <f t="shared" si="360"/>
        <v>0</v>
      </c>
      <c r="G7770" s="1205"/>
      <c r="H7770" s="1055"/>
      <c r="I7770" s="1055"/>
      <c r="J7770" s="1055"/>
      <c r="K7770" s="1205"/>
      <c r="L7770" s="1055"/>
      <c r="M7770" s="1205"/>
      <c r="N7770" s="1054"/>
      <c r="O7770" s="1207"/>
      <c r="Q7770" s="1207"/>
    </row>
    <row r="7771" spans="3:17" s="700" customFormat="1" ht="70.5" hidden="1" customHeight="1">
      <c r="C7771" s="701"/>
      <c r="D7771" s="811"/>
      <c r="E7771" s="1276">
        <f>[11]building!Y8102</f>
        <v>0</v>
      </c>
      <c r="F7771" s="748">
        <f t="shared" si="360"/>
        <v>0</v>
      </c>
      <c r="G7771" s="1205"/>
      <c r="H7771" s="1055"/>
      <c r="I7771" s="1055"/>
      <c r="J7771" s="1055"/>
      <c r="K7771" s="1205"/>
      <c r="L7771" s="1055"/>
      <c r="M7771" s="1205"/>
      <c r="N7771" s="1054"/>
      <c r="O7771" s="1207"/>
      <c r="Q7771" s="1207"/>
    </row>
    <row r="7772" spans="3:17" s="700" customFormat="1" ht="70.5" hidden="1" customHeight="1">
      <c r="C7772" s="701"/>
      <c r="D7772" s="811"/>
      <c r="E7772" s="1276">
        <f>[11]building!Y8103</f>
        <v>0</v>
      </c>
      <c r="F7772" s="748">
        <f t="shared" si="360"/>
        <v>0</v>
      </c>
      <c r="G7772" s="1205"/>
      <c r="H7772" s="1055"/>
      <c r="I7772" s="1055"/>
      <c r="J7772" s="1055"/>
      <c r="K7772" s="1205"/>
      <c r="L7772" s="1055"/>
      <c r="M7772" s="1205"/>
      <c r="N7772" s="1054"/>
      <c r="O7772" s="1207"/>
      <c r="Q7772" s="1207"/>
    </row>
    <row r="7773" spans="3:17" s="700" customFormat="1" ht="70.5" hidden="1" customHeight="1">
      <c r="C7773" s="701"/>
      <c r="D7773" s="811"/>
      <c r="E7773" s="1276">
        <f>[11]building!Y8104</f>
        <v>0</v>
      </c>
      <c r="F7773" s="748">
        <f t="shared" si="360"/>
        <v>0</v>
      </c>
      <c r="G7773" s="1205"/>
      <c r="H7773" s="1055"/>
      <c r="I7773" s="1055"/>
      <c r="J7773" s="1055"/>
      <c r="K7773" s="1205"/>
      <c r="L7773" s="1055"/>
      <c r="M7773" s="1205"/>
      <c r="N7773" s="1054"/>
      <c r="O7773" s="1207"/>
      <c r="Q7773" s="1207"/>
    </row>
    <row r="7774" spans="3:17" s="700" customFormat="1" ht="70.5" hidden="1" customHeight="1">
      <c r="C7774" s="701"/>
      <c r="D7774" s="811"/>
      <c r="E7774" s="1276">
        <f>[11]building!Y8105</f>
        <v>0</v>
      </c>
      <c r="F7774" s="748">
        <f t="shared" si="360"/>
        <v>0</v>
      </c>
      <c r="G7774" s="1205"/>
      <c r="H7774" s="1055"/>
      <c r="I7774" s="1055"/>
      <c r="J7774" s="1055"/>
      <c r="K7774" s="1205"/>
      <c r="L7774" s="1055"/>
      <c r="M7774" s="1205"/>
      <c r="N7774" s="1054"/>
      <c r="O7774" s="1207"/>
      <c r="Q7774" s="1207"/>
    </row>
    <row r="7775" spans="3:17" s="700" customFormat="1" ht="70.5" hidden="1" customHeight="1">
      <c r="C7775" s="701"/>
      <c r="D7775" s="811"/>
      <c r="E7775" s="1276">
        <f>[11]building!Y8106</f>
        <v>0</v>
      </c>
      <c r="F7775" s="748">
        <f t="shared" si="360"/>
        <v>0</v>
      </c>
      <c r="G7775" s="1205"/>
      <c r="H7775" s="1055"/>
      <c r="I7775" s="1055"/>
      <c r="J7775" s="1055"/>
      <c r="K7775" s="1205"/>
      <c r="L7775" s="1055"/>
      <c r="M7775" s="1205"/>
      <c r="N7775" s="1054"/>
      <c r="O7775" s="1207"/>
      <c r="Q7775" s="1207"/>
    </row>
    <row r="7776" spans="3:17" s="700" customFormat="1" ht="70.5" hidden="1" customHeight="1">
      <c r="C7776" s="701"/>
      <c r="D7776" s="811"/>
      <c r="E7776" s="1276">
        <f>[11]building!Y8107</f>
        <v>0</v>
      </c>
      <c r="F7776" s="748">
        <f t="shared" si="360"/>
        <v>0</v>
      </c>
      <c r="G7776" s="1205"/>
      <c r="H7776" s="1055"/>
      <c r="I7776" s="1055"/>
      <c r="J7776" s="1055"/>
      <c r="K7776" s="1205"/>
      <c r="L7776" s="1055"/>
      <c r="M7776" s="1205"/>
      <c r="N7776" s="1054"/>
      <c r="O7776" s="1207"/>
      <c r="Q7776" s="1207"/>
    </row>
    <row r="7777" spans="3:17" s="700" customFormat="1" ht="70.5" hidden="1" customHeight="1">
      <c r="C7777" s="701"/>
      <c r="D7777" s="811"/>
      <c r="E7777" s="1276">
        <f>[11]building!Y8108</f>
        <v>0</v>
      </c>
      <c r="F7777" s="748">
        <f t="shared" si="360"/>
        <v>0</v>
      </c>
      <c r="G7777" s="1205"/>
      <c r="H7777" s="1055"/>
      <c r="I7777" s="1055"/>
      <c r="J7777" s="1055"/>
      <c r="K7777" s="1205"/>
      <c r="L7777" s="1055"/>
      <c r="M7777" s="1205"/>
      <c r="N7777" s="1054"/>
      <c r="O7777" s="1207"/>
      <c r="Q7777" s="1207"/>
    </row>
    <row r="7778" spans="3:17" s="700" customFormat="1" ht="70.5" hidden="1" customHeight="1">
      <c r="C7778" s="701"/>
      <c r="D7778" s="811"/>
      <c r="E7778" s="1276">
        <f>[11]building!Y8109</f>
        <v>0</v>
      </c>
      <c r="F7778" s="748">
        <f t="shared" si="360"/>
        <v>0</v>
      </c>
      <c r="G7778" s="1205"/>
      <c r="H7778" s="1055"/>
      <c r="I7778" s="1055"/>
      <c r="J7778" s="1055"/>
      <c r="K7778" s="1205"/>
      <c r="L7778" s="1055"/>
      <c r="M7778" s="1205"/>
      <c r="N7778" s="1054"/>
      <c r="O7778" s="1207"/>
      <c r="Q7778" s="1207"/>
    </row>
    <row r="7779" spans="3:17" s="700" customFormat="1" ht="70.5" hidden="1" customHeight="1">
      <c r="C7779" s="701"/>
      <c r="D7779" s="811"/>
      <c r="E7779" s="1276">
        <f>[11]building!Y8110</f>
        <v>0</v>
      </c>
      <c r="F7779" s="748">
        <f t="shared" si="360"/>
        <v>0</v>
      </c>
      <c r="G7779" s="1205"/>
      <c r="H7779" s="1055"/>
      <c r="I7779" s="1055"/>
      <c r="J7779" s="1055"/>
      <c r="K7779" s="1205"/>
      <c r="L7779" s="1055"/>
      <c r="M7779" s="1205"/>
      <c r="N7779" s="1054"/>
      <c r="O7779" s="1207"/>
      <c r="Q7779" s="1207"/>
    </row>
    <row r="7780" spans="3:17" s="700" customFormat="1" ht="70.5" hidden="1" customHeight="1">
      <c r="C7780" s="701"/>
      <c r="D7780" s="811"/>
      <c r="E7780" s="1276">
        <f>[11]building!Y8111</f>
        <v>0</v>
      </c>
      <c r="F7780" s="748">
        <f t="shared" si="360"/>
        <v>0</v>
      </c>
      <c r="G7780" s="1205"/>
      <c r="H7780" s="1055"/>
      <c r="I7780" s="1055"/>
      <c r="J7780" s="1055"/>
      <c r="K7780" s="1205"/>
      <c r="L7780" s="1055"/>
      <c r="M7780" s="1205"/>
      <c r="N7780" s="1054"/>
      <c r="O7780" s="1207"/>
      <c r="Q7780" s="1207"/>
    </row>
    <row r="7781" spans="3:17" s="700" customFormat="1" ht="70.5" hidden="1" customHeight="1">
      <c r="C7781" s="701"/>
      <c r="D7781" s="811"/>
      <c r="E7781" s="1276">
        <f>[11]building!Y8112</f>
        <v>0</v>
      </c>
      <c r="F7781" s="748">
        <f t="shared" si="360"/>
        <v>0</v>
      </c>
      <c r="G7781" s="1205"/>
      <c r="H7781" s="1055"/>
      <c r="I7781" s="1055"/>
      <c r="J7781" s="1055"/>
      <c r="K7781" s="1205"/>
      <c r="L7781" s="1055"/>
      <c r="M7781" s="1205"/>
      <c r="N7781" s="1054"/>
      <c r="O7781" s="1207"/>
      <c r="Q7781" s="1207"/>
    </row>
    <row r="7782" spans="3:17" s="700" customFormat="1" ht="70.5" hidden="1" customHeight="1">
      <c r="C7782" s="701"/>
      <c r="D7782" s="811"/>
      <c r="E7782" s="1276">
        <f>[11]building!Y8113</f>
        <v>0</v>
      </c>
      <c r="F7782" s="748">
        <f t="shared" si="360"/>
        <v>0</v>
      </c>
      <c r="G7782" s="1205"/>
      <c r="H7782" s="1055"/>
      <c r="I7782" s="1055"/>
      <c r="J7782" s="1055"/>
      <c r="K7782" s="1205"/>
      <c r="L7782" s="1055"/>
      <c r="M7782" s="1205"/>
      <c r="N7782" s="1054"/>
      <c r="O7782" s="1207"/>
      <c r="Q7782" s="1207"/>
    </row>
    <row r="7783" spans="3:17" s="700" customFormat="1" ht="70.5" hidden="1" customHeight="1">
      <c r="C7783" s="701"/>
      <c r="D7783" s="811"/>
      <c r="E7783" s="1276">
        <f>[11]building!Y8114</f>
        <v>0</v>
      </c>
      <c r="F7783" s="748">
        <f t="shared" si="360"/>
        <v>0</v>
      </c>
      <c r="G7783" s="1205"/>
      <c r="H7783" s="1055"/>
      <c r="I7783" s="1055"/>
      <c r="J7783" s="1055"/>
      <c r="K7783" s="1205"/>
      <c r="L7783" s="1055"/>
      <c r="M7783" s="1205"/>
      <c r="N7783" s="1054"/>
      <c r="O7783" s="1207"/>
      <c r="Q7783" s="1207"/>
    </row>
    <row r="7784" spans="3:17" s="700" customFormat="1" ht="70.5" hidden="1" customHeight="1">
      <c r="C7784" s="701"/>
      <c r="D7784" s="811"/>
      <c r="E7784" s="1276">
        <f>[11]building!Y8115</f>
        <v>0</v>
      </c>
      <c r="F7784" s="748">
        <f t="shared" si="360"/>
        <v>0</v>
      </c>
      <c r="G7784" s="1205"/>
      <c r="H7784" s="1055"/>
      <c r="I7784" s="1055"/>
      <c r="J7784" s="1055"/>
      <c r="K7784" s="1205"/>
      <c r="L7784" s="1055"/>
      <c r="M7784" s="1205"/>
      <c r="N7784" s="1054"/>
      <c r="O7784" s="1207"/>
      <c r="Q7784" s="1207"/>
    </row>
    <row r="7785" spans="3:17" s="700" customFormat="1" ht="70.5" hidden="1" customHeight="1">
      <c r="C7785" s="701"/>
      <c r="D7785" s="811"/>
      <c r="E7785" s="1276">
        <f>[11]building!Y8116</f>
        <v>0</v>
      </c>
      <c r="F7785" s="748">
        <f t="shared" si="360"/>
        <v>0</v>
      </c>
      <c r="G7785" s="1205"/>
      <c r="H7785" s="1055"/>
      <c r="I7785" s="1055"/>
      <c r="J7785" s="1055"/>
      <c r="K7785" s="1205"/>
      <c r="L7785" s="1055"/>
      <c r="M7785" s="1205"/>
      <c r="N7785" s="1054"/>
      <c r="O7785" s="1207"/>
      <c r="Q7785" s="1207"/>
    </row>
    <row r="7786" spans="3:17" s="700" customFormat="1" ht="70.5" hidden="1" customHeight="1">
      <c r="C7786" s="701"/>
      <c r="D7786" s="811"/>
      <c r="E7786" s="1276">
        <f>[11]building!Y8117</f>
        <v>0</v>
      </c>
      <c r="F7786" s="748">
        <f t="shared" si="360"/>
        <v>0</v>
      </c>
      <c r="G7786" s="1205"/>
      <c r="H7786" s="1055"/>
      <c r="I7786" s="1055"/>
      <c r="J7786" s="1055"/>
      <c r="K7786" s="1205"/>
      <c r="L7786" s="1055"/>
      <c r="M7786" s="1205"/>
      <c r="N7786" s="1054"/>
      <c r="O7786" s="1207"/>
      <c r="Q7786" s="1207"/>
    </row>
    <row r="7787" spans="3:17" s="700" customFormat="1" ht="70.5" hidden="1" customHeight="1">
      <c r="C7787" s="701"/>
      <c r="D7787" s="811"/>
      <c r="E7787" s="1276">
        <f>[11]building!Y8118</f>
        <v>0</v>
      </c>
      <c r="F7787" s="748">
        <f t="shared" si="360"/>
        <v>0</v>
      </c>
      <c r="G7787" s="1205"/>
      <c r="H7787" s="1055"/>
      <c r="I7787" s="1055"/>
      <c r="J7787" s="1055"/>
      <c r="K7787" s="1205"/>
      <c r="L7787" s="1055"/>
      <c r="M7787" s="1205"/>
      <c r="N7787" s="1054"/>
      <c r="O7787" s="1207"/>
      <c r="Q7787" s="1207"/>
    </row>
    <row r="7788" spans="3:17" s="700" customFormat="1" ht="70.5" hidden="1" customHeight="1">
      <c r="C7788" s="701"/>
      <c r="D7788" s="811"/>
      <c r="E7788" s="1276">
        <f>[11]building!Y8119</f>
        <v>0</v>
      </c>
      <c r="F7788" s="748">
        <f t="shared" si="360"/>
        <v>0</v>
      </c>
      <c r="G7788" s="1205"/>
      <c r="H7788" s="1055"/>
      <c r="I7788" s="1055"/>
      <c r="J7788" s="1055"/>
      <c r="K7788" s="1205"/>
      <c r="L7788" s="1055"/>
      <c r="M7788" s="1205"/>
      <c r="N7788" s="1054"/>
      <c r="O7788" s="1207"/>
      <c r="Q7788" s="1207"/>
    </row>
    <row r="7789" spans="3:17" s="700" customFormat="1" ht="70.5" hidden="1" customHeight="1">
      <c r="C7789" s="701"/>
      <c r="D7789" s="811"/>
      <c r="E7789" s="1276">
        <f>[11]building!Y8120</f>
        <v>0</v>
      </c>
      <c r="F7789" s="748">
        <f t="shared" si="360"/>
        <v>0</v>
      </c>
      <c r="G7789" s="1205"/>
      <c r="H7789" s="1055"/>
      <c r="I7789" s="1055"/>
      <c r="J7789" s="1055"/>
      <c r="K7789" s="1205"/>
      <c r="L7789" s="1055"/>
      <c r="M7789" s="1205"/>
      <c r="N7789" s="1054"/>
      <c r="O7789" s="1207"/>
      <c r="Q7789" s="1207"/>
    </row>
    <row r="7790" spans="3:17" s="700" customFormat="1" ht="70.5" hidden="1" customHeight="1">
      <c r="C7790" s="701"/>
      <c r="D7790" s="811"/>
      <c r="E7790" s="1276">
        <f>[11]building!Y8121</f>
        <v>0</v>
      </c>
      <c r="F7790" s="748">
        <f t="shared" si="360"/>
        <v>0</v>
      </c>
      <c r="G7790" s="1205"/>
      <c r="H7790" s="1055"/>
      <c r="I7790" s="1055"/>
      <c r="J7790" s="1055"/>
      <c r="K7790" s="1205"/>
      <c r="L7790" s="1055"/>
      <c r="M7790" s="1205"/>
      <c r="N7790" s="1054"/>
      <c r="O7790" s="1207"/>
      <c r="Q7790" s="1207"/>
    </row>
    <row r="7791" spans="3:17" s="700" customFormat="1" ht="70.5" hidden="1" customHeight="1">
      <c r="C7791" s="701"/>
      <c r="D7791" s="811"/>
      <c r="E7791" s="1276">
        <f>[11]building!Y8122</f>
        <v>0</v>
      </c>
      <c r="F7791" s="748">
        <f t="shared" si="360"/>
        <v>0</v>
      </c>
      <c r="G7791" s="1205"/>
      <c r="H7791" s="1055"/>
      <c r="I7791" s="1055"/>
      <c r="J7791" s="1055"/>
      <c r="K7791" s="1205"/>
      <c r="L7791" s="1055"/>
      <c r="M7791" s="1205"/>
      <c r="N7791" s="1054"/>
      <c r="O7791" s="1207"/>
      <c r="Q7791" s="1207"/>
    </row>
    <row r="7792" spans="3:17" s="700" customFormat="1" ht="70.5" hidden="1" customHeight="1">
      <c r="C7792" s="701"/>
      <c r="D7792" s="811"/>
      <c r="E7792" s="1276">
        <f>[11]building!Y8123</f>
        <v>0</v>
      </c>
      <c r="F7792" s="748">
        <f t="shared" si="360"/>
        <v>0</v>
      </c>
      <c r="G7792" s="1205"/>
      <c r="H7792" s="1055"/>
      <c r="I7792" s="1055"/>
      <c r="J7792" s="1055"/>
      <c r="K7792" s="1205"/>
      <c r="L7792" s="1055"/>
      <c r="M7792" s="1205"/>
      <c r="N7792" s="1054"/>
      <c r="O7792" s="1207"/>
      <c r="Q7792" s="1207"/>
    </row>
    <row r="7793" spans="3:17" s="700" customFormat="1" ht="70.5" hidden="1" customHeight="1">
      <c r="C7793" s="701"/>
      <c r="D7793" s="811"/>
      <c r="E7793" s="1276">
        <f>[11]building!Y8124</f>
        <v>0</v>
      </c>
      <c r="F7793" s="748">
        <f t="shared" si="360"/>
        <v>0</v>
      </c>
      <c r="G7793" s="1205"/>
      <c r="H7793" s="1055"/>
      <c r="I7793" s="1055"/>
      <c r="J7793" s="1055"/>
      <c r="K7793" s="1205"/>
      <c r="L7793" s="1055"/>
      <c r="M7793" s="1205"/>
      <c r="N7793" s="1054"/>
      <c r="O7793" s="1207"/>
      <c r="Q7793" s="1207"/>
    </row>
    <row r="7794" spans="3:17" s="700" customFormat="1" ht="70.5" hidden="1" customHeight="1">
      <c r="C7794" s="701"/>
      <c r="D7794" s="811"/>
      <c r="E7794" s="1276">
        <f>[11]building!Y8125</f>
        <v>0</v>
      </c>
      <c r="F7794" s="748">
        <f t="shared" si="360"/>
        <v>0</v>
      </c>
      <c r="G7794" s="1205"/>
      <c r="H7794" s="1055"/>
      <c r="I7794" s="1055"/>
      <c r="J7794" s="1055"/>
      <c r="K7794" s="1205"/>
      <c r="L7794" s="1055"/>
      <c r="M7794" s="1205"/>
      <c r="N7794" s="1054"/>
      <c r="O7794" s="1207"/>
      <c r="Q7794" s="1207"/>
    </row>
    <row r="7795" spans="3:17" s="700" customFormat="1" ht="70.5" hidden="1" customHeight="1">
      <c r="C7795" s="701"/>
      <c r="D7795" s="811"/>
      <c r="E7795" s="1276">
        <f>[11]building!Y8126</f>
        <v>0</v>
      </c>
      <c r="F7795" s="748">
        <f t="shared" si="360"/>
        <v>0</v>
      </c>
      <c r="G7795" s="1205"/>
      <c r="H7795" s="1055"/>
      <c r="I7795" s="1055"/>
      <c r="J7795" s="1055"/>
      <c r="K7795" s="1205"/>
      <c r="L7795" s="1055"/>
      <c r="M7795" s="1205"/>
      <c r="N7795" s="1054"/>
      <c r="O7795" s="1207"/>
      <c r="Q7795" s="1207"/>
    </row>
    <row r="7796" spans="3:17" s="700" customFormat="1" ht="70.5" hidden="1" customHeight="1">
      <c r="C7796" s="701"/>
      <c r="D7796" s="811"/>
      <c r="E7796" s="1276">
        <f>[11]building!Y8127</f>
        <v>0</v>
      </c>
      <c r="F7796" s="748">
        <f t="shared" si="360"/>
        <v>0</v>
      </c>
      <c r="G7796" s="1205"/>
      <c r="H7796" s="1055"/>
      <c r="I7796" s="1055"/>
      <c r="J7796" s="1055"/>
      <c r="K7796" s="1205"/>
      <c r="L7796" s="1055"/>
      <c r="M7796" s="1205"/>
      <c r="N7796" s="1054"/>
      <c r="O7796" s="1207"/>
      <c r="Q7796" s="1207"/>
    </row>
    <row r="7797" spans="3:17" s="700" customFormat="1" ht="70.5" hidden="1" customHeight="1">
      <c r="C7797" s="701"/>
      <c r="D7797" s="811"/>
      <c r="E7797" s="1276">
        <f>[11]building!Y8128</f>
        <v>0</v>
      </c>
      <c r="F7797" s="748">
        <f t="shared" si="360"/>
        <v>0</v>
      </c>
      <c r="G7797" s="1205"/>
      <c r="H7797" s="1055"/>
      <c r="I7797" s="1055"/>
      <c r="J7797" s="1055"/>
      <c r="K7797" s="1205"/>
      <c r="L7797" s="1055"/>
      <c r="M7797" s="1205"/>
      <c r="N7797" s="1054"/>
      <c r="O7797" s="1207"/>
      <c r="Q7797" s="1207"/>
    </row>
    <row r="7798" spans="3:17" s="700" customFormat="1" ht="70.5" hidden="1" customHeight="1">
      <c r="C7798" s="701"/>
      <c r="D7798" s="811"/>
      <c r="E7798" s="1276">
        <f>[11]building!Y8129</f>
        <v>0</v>
      </c>
      <c r="F7798" s="748">
        <f t="shared" si="360"/>
        <v>0</v>
      </c>
      <c r="G7798" s="1205"/>
      <c r="H7798" s="1055"/>
      <c r="I7798" s="1055"/>
      <c r="J7798" s="1055"/>
      <c r="K7798" s="1205"/>
      <c r="L7798" s="1055"/>
      <c r="M7798" s="1205"/>
      <c r="N7798" s="1054"/>
      <c r="O7798" s="1207"/>
      <c r="Q7798" s="1207"/>
    </row>
    <row r="7799" spans="3:17" s="700" customFormat="1" ht="70.5" hidden="1" customHeight="1">
      <c r="C7799" s="701"/>
      <c r="D7799" s="811"/>
      <c r="E7799" s="1276">
        <f>[11]building!Y8130</f>
        <v>0</v>
      </c>
      <c r="F7799" s="748">
        <f t="shared" si="360"/>
        <v>0</v>
      </c>
      <c r="G7799" s="1205"/>
      <c r="H7799" s="1055"/>
      <c r="I7799" s="1055"/>
      <c r="J7799" s="1055"/>
      <c r="K7799" s="1205"/>
      <c r="L7799" s="1055"/>
      <c r="M7799" s="1205"/>
      <c r="N7799" s="1054"/>
      <c r="O7799" s="1207"/>
      <c r="Q7799" s="1207"/>
    </row>
    <row r="7800" spans="3:17" s="700" customFormat="1" ht="70.5" hidden="1" customHeight="1">
      <c r="C7800" s="701"/>
      <c r="D7800" s="811"/>
      <c r="E7800" s="1276">
        <f>[11]building!Y8131</f>
        <v>0</v>
      </c>
      <c r="F7800" s="748">
        <f t="shared" si="360"/>
        <v>0</v>
      </c>
      <c r="G7800" s="1205"/>
      <c r="H7800" s="1055"/>
      <c r="I7800" s="1055"/>
      <c r="J7800" s="1055"/>
      <c r="K7800" s="1205"/>
      <c r="L7800" s="1055"/>
      <c r="M7800" s="1205"/>
      <c r="N7800" s="1054"/>
      <c r="O7800" s="1207"/>
      <c r="Q7800" s="1207"/>
    </row>
    <row r="7801" spans="3:17" s="700" customFormat="1" ht="70.5" hidden="1" customHeight="1">
      <c r="C7801" s="701"/>
      <c r="D7801" s="811"/>
      <c r="E7801" s="1276">
        <f>[11]building!Y8132</f>
        <v>0</v>
      </c>
      <c r="F7801" s="748">
        <f t="shared" si="360"/>
        <v>0</v>
      </c>
      <c r="G7801" s="1205"/>
      <c r="H7801" s="1055"/>
      <c r="I7801" s="1055"/>
      <c r="J7801" s="1055"/>
      <c r="K7801" s="1205"/>
      <c r="L7801" s="1055"/>
      <c r="M7801" s="1205"/>
      <c r="N7801" s="1054"/>
      <c r="O7801" s="1207"/>
      <c r="Q7801" s="1207"/>
    </row>
    <row r="7802" spans="3:17" s="700" customFormat="1" ht="70.5" hidden="1" customHeight="1">
      <c r="C7802" s="701"/>
      <c r="D7802" s="811"/>
      <c r="E7802" s="1276">
        <f>[11]building!Y8133</f>
        <v>0</v>
      </c>
      <c r="F7802" s="748">
        <f t="shared" si="360"/>
        <v>0</v>
      </c>
      <c r="G7802" s="1205"/>
      <c r="H7802" s="1055"/>
      <c r="I7802" s="1055"/>
      <c r="J7802" s="1055"/>
      <c r="K7802" s="1205"/>
      <c r="L7802" s="1055"/>
      <c r="M7802" s="1205"/>
      <c r="N7802" s="1054"/>
      <c r="O7802" s="1207"/>
      <c r="Q7802" s="1207"/>
    </row>
    <row r="7803" spans="3:17" s="700" customFormat="1" ht="70.5" hidden="1" customHeight="1">
      <c r="C7803" s="701"/>
      <c r="D7803" s="811"/>
      <c r="E7803" s="1276">
        <f>[11]building!Y8134</f>
        <v>0</v>
      </c>
      <c r="F7803" s="748">
        <f t="shared" si="360"/>
        <v>0</v>
      </c>
      <c r="G7803" s="1205"/>
      <c r="H7803" s="1055"/>
      <c r="I7803" s="1055"/>
      <c r="J7803" s="1055"/>
      <c r="K7803" s="1205"/>
      <c r="L7803" s="1055"/>
      <c r="M7803" s="1205"/>
      <c r="N7803" s="1054"/>
      <c r="O7803" s="1207"/>
      <c r="Q7803" s="1207"/>
    </row>
    <row r="7804" spans="3:17" s="700" customFormat="1" ht="70.5" hidden="1" customHeight="1">
      <c r="C7804" s="701"/>
      <c r="D7804" s="811"/>
      <c r="E7804" s="1276">
        <f>[11]building!Y8135</f>
        <v>0</v>
      </c>
      <c r="F7804" s="748">
        <f t="shared" si="360"/>
        <v>0</v>
      </c>
      <c r="G7804" s="1205"/>
      <c r="H7804" s="1055"/>
      <c r="I7804" s="1055"/>
      <c r="J7804" s="1055"/>
      <c r="K7804" s="1205"/>
      <c r="L7804" s="1055"/>
      <c r="M7804" s="1205"/>
      <c r="N7804" s="1054"/>
      <c r="O7804" s="1207"/>
      <c r="Q7804" s="1207"/>
    </row>
    <row r="7805" spans="3:17" s="700" customFormat="1" ht="70.5" hidden="1" customHeight="1">
      <c r="C7805" s="701"/>
      <c r="D7805" s="811"/>
      <c r="E7805" s="1276">
        <f>[11]building!Y8136</f>
        <v>0</v>
      </c>
      <c r="F7805" s="748">
        <f t="shared" si="360"/>
        <v>0</v>
      </c>
      <c r="G7805" s="1205"/>
      <c r="H7805" s="1055"/>
      <c r="I7805" s="1055"/>
      <c r="J7805" s="1055"/>
      <c r="K7805" s="1205"/>
      <c r="L7805" s="1055"/>
      <c r="M7805" s="1205"/>
      <c r="N7805" s="1054"/>
      <c r="O7805" s="1207"/>
      <c r="Q7805" s="1207"/>
    </row>
    <row r="7806" spans="3:17" s="700" customFormat="1" ht="70.5" hidden="1" customHeight="1">
      <c r="C7806" s="701"/>
      <c r="D7806" s="811"/>
      <c r="E7806" s="1276">
        <f>[11]building!Y8137</f>
        <v>0</v>
      </c>
      <c r="F7806" s="748">
        <f t="shared" si="360"/>
        <v>0</v>
      </c>
      <c r="G7806" s="1205"/>
      <c r="H7806" s="1055"/>
      <c r="I7806" s="1055"/>
      <c r="J7806" s="1055"/>
      <c r="K7806" s="1205"/>
      <c r="L7806" s="1055"/>
      <c r="M7806" s="1205"/>
      <c r="N7806" s="1054"/>
      <c r="O7806" s="1207"/>
      <c r="Q7806" s="1207"/>
    </row>
    <row r="7807" spans="3:17" s="700" customFormat="1" ht="70.5" hidden="1" customHeight="1">
      <c r="C7807" s="701"/>
      <c r="D7807" s="811"/>
      <c r="E7807" s="1276">
        <f>[11]building!Y8138</f>
        <v>0</v>
      </c>
      <c r="F7807" s="748">
        <f t="shared" si="360"/>
        <v>0</v>
      </c>
      <c r="G7807" s="1205"/>
      <c r="H7807" s="1055"/>
      <c r="I7807" s="1055"/>
      <c r="J7807" s="1055"/>
      <c r="K7807" s="1205"/>
      <c r="L7807" s="1055"/>
      <c r="M7807" s="1205"/>
      <c r="N7807" s="1054"/>
      <c r="O7807" s="1207"/>
      <c r="Q7807" s="1207"/>
    </row>
    <row r="7808" spans="3:17" s="700" customFormat="1" ht="70.5" hidden="1" customHeight="1">
      <c r="C7808" s="701"/>
      <c r="D7808" s="811"/>
      <c r="E7808" s="1276">
        <f>[11]building!Y8139</f>
        <v>0</v>
      </c>
      <c r="F7808" s="748">
        <f t="shared" ref="F7808:F7871" si="361">E7808*C7808</f>
        <v>0</v>
      </c>
      <c r="G7808" s="1205"/>
      <c r="H7808" s="1055"/>
      <c r="I7808" s="1055"/>
      <c r="J7808" s="1055"/>
      <c r="K7808" s="1205"/>
      <c r="L7808" s="1055"/>
      <c r="M7808" s="1205"/>
      <c r="N7808" s="1054"/>
      <c r="O7808" s="1207"/>
      <c r="Q7808" s="1207"/>
    </row>
    <row r="7809" spans="3:17" s="700" customFormat="1" ht="70.5" hidden="1" customHeight="1">
      <c r="C7809" s="701"/>
      <c r="D7809" s="811"/>
      <c r="E7809" s="1276">
        <f>[11]building!Y8140</f>
        <v>0</v>
      </c>
      <c r="F7809" s="748">
        <f t="shared" si="361"/>
        <v>0</v>
      </c>
      <c r="G7809" s="1205"/>
      <c r="H7809" s="1055"/>
      <c r="I7809" s="1055"/>
      <c r="J7809" s="1055"/>
      <c r="K7809" s="1205"/>
      <c r="L7809" s="1055"/>
      <c r="M7809" s="1205"/>
      <c r="N7809" s="1054"/>
      <c r="O7809" s="1207"/>
      <c r="Q7809" s="1207"/>
    </row>
    <row r="7810" spans="3:17" s="700" customFormat="1" ht="70.5" hidden="1" customHeight="1">
      <c r="C7810" s="701"/>
      <c r="D7810" s="811"/>
      <c r="E7810" s="1276">
        <f>[11]building!Y8141</f>
        <v>0</v>
      </c>
      <c r="F7810" s="748">
        <f t="shared" si="361"/>
        <v>0</v>
      </c>
      <c r="G7810" s="1205"/>
      <c r="H7810" s="1055"/>
      <c r="I7810" s="1055"/>
      <c r="J7810" s="1055"/>
      <c r="K7810" s="1205"/>
      <c r="L7810" s="1055"/>
      <c r="M7810" s="1205"/>
      <c r="N7810" s="1054"/>
      <c r="O7810" s="1207"/>
      <c r="Q7810" s="1207"/>
    </row>
    <row r="7811" spans="3:17" s="700" customFormat="1" ht="70.5" hidden="1" customHeight="1">
      <c r="C7811" s="701"/>
      <c r="D7811" s="811"/>
      <c r="E7811" s="1276">
        <f>[11]building!Y8142</f>
        <v>0</v>
      </c>
      <c r="F7811" s="748">
        <f t="shared" si="361"/>
        <v>0</v>
      </c>
      <c r="G7811" s="1205"/>
      <c r="H7811" s="1055"/>
      <c r="I7811" s="1055"/>
      <c r="J7811" s="1055"/>
      <c r="K7811" s="1205"/>
      <c r="L7811" s="1055"/>
      <c r="M7811" s="1205"/>
      <c r="N7811" s="1054"/>
      <c r="O7811" s="1207"/>
      <c r="Q7811" s="1207"/>
    </row>
    <row r="7812" spans="3:17" s="700" customFormat="1" ht="70.5" hidden="1" customHeight="1">
      <c r="C7812" s="701"/>
      <c r="D7812" s="811"/>
      <c r="E7812" s="1276">
        <f>[11]building!Y8143</f>
        <v>0</v>
      </c>
      <c r="F7812" s="748">
        <f t="shared" si="361"/>
        <v>0</v>
      </c>
      <c r="G7812" s="1205"/>
      <c r="H7812" s="1055"/>
      <c r="I7812" s="1055"/>
      <c r="J7812" s="1055"/>
      <c r="K7812" s="1205"/>
      <c r="L7812" s="1055"/>
      <c r="M7812" s="1205"/>
      <c r="N7812" s="1054"/>
      <c r="O7812" s="1207"/>
      <c r="Q7812" s="1207"/>
    </row>
    <row r="7813" spans="3:17" s="700" customFormat="1" ht="70.5" hidden="1" customHeight="1">
      <c r="C7813" s="701"/>
      <c r="D7813" s="811"/>
      <c r="E7813" s="1276">
        <f>[11]building!Y8144</f>
        <v>0</v>
      </c>
      <c r="F7813" s="748">
        <f t="shared" si="361"/>
        <v>0</v>
      </c>
      <c r="G7813" s="1205"/>
      <c r="H7813" s="1055"/>
      <c r="I7813" s="1055"/>
      <c r="J7813" s="1055"/>
      <c r="K7813" s="1205"/>
      <c r="L7813" s="1055"/>
      <c r="M7813" s="1205"/>
      <c r="N7813" s="1054"/>
      <c r="O7813" s="1207"/>
      <c r="Q7813" s="1207"/>
    </row>
    <row r="7814" spans="3:17" s="700" customFormat="1" ht="70.5" hidden="1" customHeight="1">
      <c r="C7814" s="701"/>
      <c r="D7814" s="811"/>
      <c r="E7814" s="1276">
        <f>[11]building!Y8145</f>
        <v>0</v>
      </c>
      <c r="F7814" s="748">
        <f t="shared" si="361"/>
        <v>0</v>
      </c>
      <c r="G7814" s="1205"/>
      <c r="H7814" s="1055"/>
      <c r="I7814" s="1055"/>
      <c r="J7814" s="1055"/>
      <c r="K7814" s="1205"/>
      <c r="L7814" s="1055"/>
      <c r="M7814" s="1205"/>
      <c r="N7814" s="1054"/>
      <c r="O7814" s="1207"/>
      <c r="Q7814" s="1207"/>
    </row>
    <row r="7815" spans="3:17" s="700" customFormat="1" ht="70.5" hidden="1" customHeight="1">
      <c r="C7815" s="701"/>
      <c r="D7815" s="811"/>
      <c r="E7815" s="1276">
        <f>[11]building!Y8146</f>
        <v>0</v>
      </c>
      <c r="F7815" s="748">
        <f t="shared" si="361"/>
        <v>0</v>
      </c>
      <c r="G7815" s="1205"/>
      <c r="H7815" s="1055"/>
      <c r="I7815" s="1055"/>
      <c r="J7815" s="1055"/>
      <c r="K7815" s="1205"/>
      <c r="L7815" s="1055"/>
      <c r="M7815" s="1205"/>
      <c r="N7815" s="1054"/>
      <c r="O7815" s="1207"/>
      <c r="Q7815" s="1207"/>
    </row>
    <row r="7816" spans="3:17" s="700" customFormat="1" ht="70.5" hidden="1" customHeight="1">
      <c r="C7816" s="701"/>
      <c r="D7816" s="811"/>
      <c r="E7816" s="1276">
        <f>[11]building!Y8147</f>
        <v>0</v>
      </c>
      <c r="F7816" s="748">
        <f t="shared" si="361"/>
        <v>0</v>
      </c>
      <c r="G7816" s="1205"/>
      <c r="H7816" s="1055"/>
      <c r="I7816" s="1055"/>
      <c r="J7816" s="1055"/>
      <c r="K7816" s="1205"/>
      <c r="L7816" s="1055"/>
      <c r="M7816" s="1205"/>
      <c r="N7816" s="1054"/>
      <c r="O7816" s="1207"/>
      <c r="Q7816" s="1207"/>
    </row>
    <row r="7817" spans="3:17" s="700" customFormat="1" ht="70.5" hidden="1" customHeight="1">
      <c r="C7817" s="701"/>
      <c r="D7817" s="811"/>
      <c r="E7817" s="1276">
        <f>[11]building!Y8148</f>
        <v>0</v>
      </c>
      <c r="F7817" s="748">
        <f t="shared" si="361"/>
        <v>0</v>
      </c>
      <c r="G7817" s="1205"/>
      <c r="H7817" s="1055"/>
      <c r="I7817" s="1055"/>
      <c r="J7817" s="1055"/>
      <c r="K7817" s="1205"/>
      <c r="L7817" s="1055"/>
      <c r="M7817" s="1205"/>
      <c r="N7817" s="1054"/>
      <c r="O7817" s="1207"/>
      <c r="Q7817" s="1207"/>
    </row>
    <row r="7818" spans="3:17" s="700" customFormat="1" ht="70.5" hidden="1" customHeight="1">
      <c r="C7818" s="701"/>
      <c r="D7818" s="811"/>
      <c r="E7818" s="1276">
        <f>[11]building!Y8149</f>
        <v>0</v>
      </c>
      <c r="F7818" s="748">
        <f t="shared" si="361"/>
        <v>0</v>
      </c>
      <c r="G7818" s="1205"/>
      <c r="H7818" s="1055"/>
      <c r="I7818" s="1055"/>
      <c r="J7818" s="1055"/>
      <c r="K7818" s="1205"/>
      <c r="L7818" s="1055"/>
      <c r="M7818" s="1205"/>
      <c r="N7818" s="1054"/>
      <c r="O7818" s="1207"/>
      <c r="Q7818" s="1207"/>
    </row>
    <row r="7819" spans="3:17" s="700" customFormat="1" ht="70.5" hidden="1" customHeight="1">
      <c r="C7819" s="701"/>
      <c r="D7819" s="811"/>
      <c r="E7819" s="1276">
        <f>[11]building!Y8150</f>
        <v>0</v>
      </c>
      <c r="F7819" s="748">
        <f t="shared" si="361"/>
        <v>0</v>
      </c>
      <c r="G7819" s="1205"/>
      <c r="H7819" s="1055"/>
      <c r="I7819" s="1055"/>
      <c r="J7819" s="1055"/>
      <c r="K7819" s="1205"/>
      <c r="L7819" s="1055"/>
      <c r="M7819" s="1205"/>
      <c r="N7819" s="1054"/>
      <c r="O7819" s="1207"/>
      <c r="Q7819" s="1207"/>
    </row>
    <row r="7820" spans="3:17" s="700" customFormat="1" ht="70.5" hidden="1" customHeight="1">
      <c r="C7820" s="701"/>
      <c r="D7820" s="811"/>
      <c r="E7820" s="1276">
        <f>[11]building!Y8151</f>
        <v>0</v>
      </c>
      <c r="F7820" s="748">
        <f t="shared" si="361"/>
        <v>0</v>
      </c>
      <c r="G7820" s="1205"/>
      <c r="H7820" s="1055"/>
      <c r="I7820" s="1055"/>
      <c r="J7820" s="1055"/>
      <c r="K7820" s="1205"/>
      <c r="L7820" s="1055"/>
      <c r="M7820" s="1205"/>
      <c r="N7820" s="1054"/>
      <c r="O7820" s="1207"/>
      <c r="Q7820" s="1207"/>
    </row>
    <row r="7821" spans="3:17" s="700" customFormat="1" ht="70.5" hidden="1" customHeight="1">
      <c r="C7821" s="701"/>
      <c r="D7821" s="811"/>
      <c r="E7821" s="1276">
        <f>[11]building!Y8152</f>
        <v>0</v>
      </c>
      <c r="F7821" s="748">
        <f t="shared" si="361"/>
        <v>0</v>
      </c>
      <c r="G7821" s="1205"/>
      <c r="H7821" s="1055"/>
      <c r="I7821" s="1055"/>
      <c r="J7821" s="1055"/>
      <c r="K7821" s="1205"/>
      <c r="L7821" s="1055"/>
      <c r="M7821" s="1205"/>
      <c r="N7821" s="1054"/>
      <c r="O7821" s="1207"/>
      <c r="Q7821" s="1207"/>
    </row>
    <row r="7822" spans="3:17" s="700" customFormat="1" ht="70.5" hidden="1" customHeight="1">
      <c r="C7822" s="701"/>
      <c r="D7822" s="811"/>
      <c r="E7822" s="1276">
        <f>[11]building!Y8153</f>
        <v>0</v>
      </c>
      <c r="F7822" s="748">
        <f t="shared" si="361"/>
        <v>0</v>
      </c>
      <c r="G7822" s="1205"/>
      <c r="H7822" s="1055"/>
      <c r="I7822" s="1055"/>
      <c r="J7822" s="1055"/>
      <c r="K7822" s="1205"/>
      <c r="L7822" s="1055"/>
      <c r="M7822" s="1205"/>
      <c r="N7822" s="1054"/>
      <c r="O7822" s="1207"/>
      <c r="Q7822" s="1207"/>
    </row>
    <row r="7823" spans="3:17" s="700" customFormat="1" ht="70.5" hidden="1" customHeight="1">
      <c r="C7823" s="701"/>
      <c r="D7823" s="811"/>
      <c r="E7823" s="1276">
        <f>[11]building!Y8154</f>
        <v>0</v>
      </c>
      <c r="F7823" s="748">
        <f t="shared" si="361"/>
        <v>0</v>
      </c>
      <c r="G7823" s="1205"/>
      <c r="H7823" s="1055"/>
      <c r="I7823" s="1055"/>
      <c r="J7823" s="1055"/>
      <c r="K7823" s="1205"/>
      <c r="L7823" s="1055"/>
      <c r="M7823" s="1205"/>
      <c r="N7823" s="1054"/>
      <c r="O7823" s="1207"/>
      <c r="Q7823" s="1207"/>
    </row>
    <row r="7824" spans="3:17" s="700" customFormat="1" ht="70.5" hidden="1" customHeight="1">
      <c r="C7824" s="701"/>
      <c r="D7824" s="811"/>
      <c r="E7824" s="1276">
        <f>[11]building!Y8155</f>
        <v>0</v>
      </c>
      <c r="F7824" s="748">
        <f t="shared" si="361"/>
        <v>0</v>
      </c>
      <c r="G7824" s="1205"/>
      <c r="H7824" s="1055"/>
      <c r="I7824" s="1055"/>
      <c r="J7824" s="1055"/>
      <c r="K7824" s="1205"/>
      <c r="L7824" s="1055"/>
      <c r="M7824" s="1205"/>
      <c r="N7824" s="1054"/>
      <c r="O7824" s="1207"/>
      <c r="Q7824" s="1207"/>
    </row>
    <row r="7825" spans="3:17" s="700" customFormat="1" ht="70.5" hidden="1" customHeight="1">
      <c r="C7825" s="701"/>
      <c r="D7825" s="811"/>
      <c r="E7825" s="1276">
        <f>[11]building!Y8156</f>
        <v>0</v>
      </c>
      <c r="F7825" s="748">
        <f t="shared" si="361"/>
        <v>0</v>
      </c>
      <c r="G7825" s="1205"/>
      <c r="H7825" s="1055"/>
      <c r="I7825" s="1055"/>
      <c r="J7825" s="1055"/>
      <c r="K7825" s="1205"/>
      <c r="L7825" s="1055"/>
      <c r="M7825" s="1205"/>
      <c r="N7825" s="1054"/>
      <c r="O7825" s="1207"/>
      <c r="Q7825" s="1207"/>
    </row>
    <row r="7826" spans="3:17" s="700" customFormat="1" ht="70.5" hidden="1" customHeight="1">
      <c r="C7826" s="701"/>
      <c r="D7826" s="811"/>
      <c r="E7826" s="1276">
        <f>[11]building!Y8157</f>
        <v>0</v>
      </c>
      <c r="F7826" s="748">
        <f t="shared" si="361"/>
        <v>0</v>
      </c>
      <c r="G7826" s="1205"/>
      <c r="H7826" s="1055"/>
      <c r="I7826" s="1055"/>
      <c r="J7826" s="1055"/>
      <c r="K7826" s="1205"/>
      <c r="L7826" s="1055"/>
      <c r="M7826" s="1205"/>
      <c r="N7826" s="1054"/>
      <c r="O7826" s="1207"/>
      <c r="Q7826" s="1207"/>
    </row>
    <row r="7827" spans="3:17" s="700" customFormat="1" ht="70.5" hidden="1" customHeight="1">
      <c r="C7827" s="701"/>
      <c r="D7827" s="811"/>
      <c r="E7827" s="1276">
        <f>[11]building!Y8158</f>
        <v>0</v>
      </c>
      <c r="F7827" s="748">
        <f t="shared" si="361"/>
        <v>0</v>
      </c>
      <c r="G7827" s="1205"/>
      <c r="H7827" s="1055"/>
      <c r="I7827" s="1055"/>
      <c r="J7827" s="1055"/>
      <c r="K7827" s="1205"/>
      <c r="L7827" s="1055"/>
      <c r="M7827" s="1205"/>
      <c r="N7827" s="1054"/>
      <c r="O7827" s="1207"/>
      <c r="Q7827" s="1207"/>
    </row>
    <row r="7828" spans="3:17" s="700" customFormat="1" ht="70.5" hidden="1" customHeight="1">
      <c r="C7828" s="701"/>
      <c r="D7828" s="811"/>
      <c r="E7828" s="1276">
        <f>[11]building!Y8159</f>
        <v>0</v>
      </c>
      <c r="F7828" s="748">
        <f t="shared" si="361"/>
        <v>0</v>
      </c>
      <c r="G7828" s="1205"/>
      <c r="H7828" s="1055"/>
      <c r="I7828" s="1055"/>
      <c r="J7828" s="1055"/>
      <c r="K7828" s="1205"/>
      <c r="L7828" s="1055"/>
      <c r="M7828" s="1205"/>
      <c r="N7828" s="1054"/>
      <c r="O7828" s="1207"/>
      <c r="Q7828" s="1207"/>
    </row>
    <row r="7829" spans="3:17" s="700" customFormat="1" ht="70.5" hidden="1" customHeight="1">
      <c r="C7829" s="701"/>
      <c r="D7829" s="811"/>
      <c r="E7829" s="1276">
        <f>[11]building!Y8160</f>
        <v>0</v>
      </c>
      <c r="F7829" s="748">
        <f t="shared" si="361"/>
        <v>0</v>
      </c>
      <c r="G7829" s="1205"/>
      <c r="H7829" s="1055"/>
      <c r="I7829" s="1055"/>
      <c r="J7829" s="1055"/>
      <c r="K7829" s="1205"/>
      <c r="L7829" s="1055"/>
      <c r="M7829" s="1205"/>
      <c r="N7829" s="1054"/>
      <c r="O7829" s="1207"/>
      <c r="Q7829" s="1207"/>
    </row>
    <row r="7830" spans="3:17" s="700" customFormat="1" ht="70.5" hidden="1" customHeight="1">
      <c r="C7830" s="701"/>
      <c r="D7830" s="811"/>
      <c r="E7830" s="1276">
        <f>[11]building!Y8161</f>
        <v>0</v>
      </c>
      <c r="F7830" s="748">
        <f t="shared" si="361"/>
        <v>0</v>
      </c>
      <c r="G7830" s="1205"/>
      <c r="H7830" s="1055"/>
      <c r="I7830" s="1055"/>
      <c r="J7830" s="1055"/>
      <c r="K7830" s="1205"/>
      <c r="L7830" s="1055"/>
      <c r="M7830" s="1205"/>
      <c r="N7830" s="1054"/>
      <c r="O7830" s="1207"/>
      <c r="Q7830" s="1207"/>
    </row>
    <row r="7831" spans="3:17" s="700" customFormat="1" ht="70.5" hidden="1" customHeight="1">
      <c r="C7831" s="701"/>
      <c r="D7831" s="811"/>
      <c r="E7831" s="1276">
        <f>[11]building!Y8162</f>
        <v>0</v>
      </c>
      <c r="F7831" s="748">
        <f t="shared" si="361"/>
        <v>0</v>
      </c>
      <c r="G7831" s="1205"/>
      <c r="H7831" s="1055"/>
      <c r="I7831" s="1055"/>
      <c r="J7831" s="1055"/>
      <c r="K7831" s="1205"/>
      <c r="L7831" s="1055"/>
      <c r="M7831" s="1205"/>
      <c r="N7831" s="1054"/>
      <c r="O7831" s="1207"/>
      <c r="Q7831" s="1207"/>
    </row>
    <row r="7832" spans="3:17" s="700" customFormat="1" ht="70.5" hidden="1" customHeight="1">
      <c r="C7832" s="701"/>
      <c r="D7832" s="811"/>
      <c r="E7832" s="1276">
        <f>[11]building!Y8163</f>
        <v>0</v>
      </c>
      <c r="F7832" s="748">
        <f t="shared" si="361"/>
        <v>0</v>
      </c>
      <c r="G7832" s="1205"/>
      <c r="H7832" s="1055"/>
      <c r="I7832" s="1055"/>
      <c r="J7832" s="1055"/>
      <c r="K7832" s="1205"/>
      <c r="L7832" s="1055"/>
      <c r="M7832" s="1205"/>
      <c r="N7832" s="1054"/>
      <c r="O7832" s="1207"/>
      <c r="Q7832" s="1207"/>
    </row>
    <row r="7833" spans="3:17" s="700" customFormat="1" ht="70.5" hidden="1" customHeight="1">
      <c r="C7833" s="701"/>
      <c r="D7833" s="811"/>
      <c r="E7833" s="1276">
        <f>[11]building!Y8164</f>
        <v>0</v>
      </c>
      <c r="F7833" s="748">
        <f t="shared" si="361"/>
        <v>0</v>
      </c>
      <c r="G7833" s="1205"/>
      <c r="H7833" s="1055"/>
      <c r="I7833" s="1055"/>
      <c r="J7833" s="1055"/>
      <c r="K7833" s="1205"/>
      <c r="L7833" s="1055"/>
      <c r="M7833" s="1205"/>
      <c r="N7833" s="1054"/>
      <c r="O7833" s="1207"/>
      <c r="Q7833" s="1207"/>
    </row>
    <row r="7834" spans="3:17" s="700" customFormat="1" ht="70.5" hidden="1" customHeight="1">
      <c r="C7834" s="701"/>
      <c r="D7834" s="811"/>
      <c r="E7834" s="1276">
        <f>[11]building!Y8165</f>
        <v>0</v>
      </c>
      <c r="F7834" s="748">
        <f t="shared" si="361"/>
        <v>0</v>
      </c>
      <c r="G7834" s="1205"/>
      <c r="H7834" s="1055"/>
      <c r="I7834" s="1055"/>
      <c r="J7834" s="1055"/>
      <c r="K7834" s="1205"/>
      <c r="L7834" s="1055"/>
      <c r="M7834" s="1205"/>
      <c r="N7834" s="1054"/>
      <c r="O7834" s="1207"/>
      <c r="Q7834" s="1207"/>
    </row>
    <row r="7835" spans="3:17" s="700" customFormat="1" ht="70.5" hidden="1" customHeight="1">
      <c r="C7835" s="701"/>
      <c r="D7835" s="811"/>
      <c r="E7835" s="1276">
        <f>[11]building!Y8166</f>
        <v>0</v>
      </c>
      <c r="F7835" s="748">
        <f t="shared" si="361"/>
        <v>0</v>
      </c>
      <c r="G7835" s="1205"/>
      <c r="H7835" s="1055"/>
      <c r="I7835" s="1055"/>
      <c r="J7835" s="1055"/>
      <c r="K7835" s="1205"/>
      <c r="L7835" s="1055"/>
      <c r="M7835" s="1205"/>
      <c r="N7835" s="1054"/>
      <c r="O7835" s="1207"/>
      <c r="Q7835" s="1207"/>
    </row>
    <row r="7836" spans="3:17" s="700" customFormat="1" ht="70.5" hidden="1" customHeight="1">
      <c r="C7836" s="701"/>
      <c r="D7836" s="811"/>
      <c r="E7836" s="1276">
        <f>[11]building!Y8167</f>
        <v>0</v>
      </c>
      <c r="F7836" s="748">
        <f t="shared" si="361"/>
        <v>0</v>
      </c>
      <c r="G7836" s="1205"/>
      <c r="H7836" s="1055"/>
      <c r="I7836" s="1055"/>
      <c r="J7836" s="1055"/>
      <c r="K7836" s="1205"/>
      <c r="L7836" s="1055"/>
      <c r="M7836" s="1205"/>
      <c r="N7836" s="1054"/>
      <c r="O7836" s="1207"/>
      <c r="Q7836" s="1207"/>
    </row>
    <row r="7837" spans="3:17" s="700" customFormat="1" ht="70.5" hidden="1" customHeight="1">
      <c r="C7837" s="701"/>
      <c r="D7837" s="811"/>
      <c r="E7837" s="1276">
        <f>[11]building!Y8168</f>
        <v>0</v>
      </c>
      <c r="F7837" s="748">
        <f t="shared" si="361"/>
        <v>0</v>
      </c>
      <c r="G7837" s="1205"/>
      <c r="H7837" s="1055"/>
      <c r="I7837" s="1055"/>
      <c r="J7837" s="1055"/>
      <c r="K7837" s="1205"/>
      <c r="L7837" s="1055"/>
      <c r="M7837" s="1205"/>
      <c r="N7837" s="1054"/>
      <c r="O7837" s="1207"/>
      <c r="Q7837" s="1207"/>
    </row>
    <row r="7838" spans="3:17" s="700" customFormat="1" ht="70.5" hidden="1" customHeight="1">
      <c r="C7838" s="701"/>
      <c r="D7838" s="811"/>
      <c r="E7838" s="1276">
        <f>[11]building!Y8169</f>
        <v>0</v>
      </c>
      <c r="F7838" s="748">
        <f t="shared" si="361"/>
        <v>0</v>
      </c>
      <c r="G7838" s="1205"/>
      <c r="H7838" s="1055"/>
      <c r="I7838" s="1055"/>
      <c r="J7838" s="1055"/>
      <c r="K7838" s="1205"/>
      <c r="L7838" s="1055"/>
      <c r="M7838" s="1205"/>
      <c r="N7838" s="1054"/>
      <c r="O7838" s="1207"/>
      <c r="Q7838" s="1207"/>
    </row>
    <row r="7839" spans="3:17" s="700" customFormat="1" ht="70.5" hidden="1" customHeight="1">
      <c r="C7839" s="701"/>
      <c r="D7839" s="811"/>
      <c r="E7839" s="1276">
        <f>[11]building!Y8170</f>
        <v>0</v>
      </c>
      <c r="F7839" s="748">
        <f t="shared" si="361"/>
        <v>0</v>
      </c>
      <c r="G7839" s="1205"/>
      <c r="H7839" s="1055"/>
      <c r="I7839" s="1055"/>
      <c r="J7839" s="1055"/>
      <c r="K7839" s="1205"/>
      <c r="L7839" s="1055"/>
      <c r="M7839" s="1205"/>
      <c r="N7839" s="1054"/>
      <c r="O7839" s="1207"/>
      <c r="Q7839" s="1207"/>
    </row>
    <row r="7840" spans="3:17" s="700" customFormat="1" ht="70.5" hidden="1" customHeight="1">
      <c r="C7840" s="701"/>
      <c r="D7840" s="811"/>
      <c r="E7840" s="1276">
        <f>[11]building!Y8171</f>
        <v>0</v>
      </c>
      <c r="F7840" s="748">
        <f t="shared" si="361"/>
        <v>0</v>
      </c>
      <c r="G7840" s="1205"/>
      <c r="H7840" s="1055"/>
      <c r="I7840" s="1055"/>
      <c r="J7840" s="1055"/>
      <c r="K7840" s="1205"/>
      <c r="L7840" s="1055"/>
      <c r="M7840" s="1205"/>
      <c r="N7840" s="1054"/>
      <c r="O7840" s="1207"/>
      <c r="Q7840" s="1207"/>
    </row>
    <row r="7841" spans="3:17" s="700" customFormat="1" ht="70.5" hidden="1" customHeight="1">
      <c r="C7841" s="701"/>
      <c r="D7841" s="811"/>
      <c r="E7841" s="1276">
        <f>[11]building!Y8172</f>
        <v>0</v>
      </c>
      <c r="F7841" s="748">
        <f t="shared" si="361"/>
        <v>0</v>
      </c>
      <c r="G7841" s="1205"/>
      <c r="H7841" s="1055"/>
      <c r="I7841" s="1055"/>
      <c r="J7841" s="1055"/>
      <c r="K7841" s="1205"/>
      <c r="L7841" s="1055"/>
      <c r="M7841" s="1205"/>
      <c r="N7841" s="1054"/>
      <c r="O7841" s="1207"/>
      <c r="Q7841" s="1207"/>
    </row>
    <row r="7842" spans="3:17" s="700" customFormat="1" ht="70.5" hidden="1" customHeight="1">
      <c r="C7842" s="701"/>
      <c r="D7842" s="811"/>
      <c r="E7842" s="1276">
        <f>[11]building!Y8173</f>
        <v>0</v>
      </c>
      <c r="F7842" s="748">
        <f t="shared" si="361"/>
        <v>0</v>
      </c>
      <c r="G7842" s="1205"/>
      <c r="H7842" s="1055"/>
      <c r="I7842" s="1055"/>
      <c r="J7842" s="1055"/>
      <c r="K7842" s="1205"/>
      <c r="L7842" s="1055"/>
      <c r="M7842" s="1205"/>
      <c r="N7842" s="1054"/>
      <c r="O7842" s="1207"/>
      <c r="Q7842" s="1207"/>
    </row>
    <row r="7843" spans="3:17" s="700" customFormat="1" ht="70.5" hidden="1" customHeight="1">
      <c r="C7843" s="701"/>
      <c r="D7843" s="811"/>
      <c r="E7843" s="1276">
        <f>[11]building!Y8174</f>
        <v>0</v>
      </c>
      <c r="F7843" s="748">
        <f t="shared" si="361"/>
        <v>0</v>
      </c>
      <c r="G7843" s="1205"/>
      <c r="H7843" s="1055"/>
      <c r="I7843" s="1055"/>
      <c r="J7843" s="1055"/>
      <c r="K7843" s="1205"/>
      <c r="L7843" s="1055"/>
      <c r="M7843" s="1205"/>
      <c r="N7843" s="1054"/>
      <c r="O7843" s="1207"/>
      <c r="Q7843" s="1207"/>
    </row>
    <row r="7844" spans="3:17" s="700" customFormat="1" ht="70.5" hidden="1" customHeight="1">
      <c r="C7844" s="701"/>
      <c r="D7844" s="811"/>
      <c r="E7844" s="1276">
        <f>[11]building!Y8175</f>
        <v>0</v>
      </c>
      <c r="F7844" s="748">
        <f t="shared" si="361"/>
        <v>0</v>
      </c>
      <c r="G7844" s="1205"/>
      <c r="H7844" s="1055"/>
      <c r="I7844" s="1055"/>
      <c r="J7844" s="1055"/>
      <c r="K7844" s="1205"/>
      <c r="L7844" s="1055"/>
      <c r="M7844" s="1205"/>
      <c r="N7844" s="1054"/>
      <c r="O7844" s="1207"/>
      <c r="Q7844" s="1207"/>
    </row>
    <row r="7845" spans="3:17" s="700" customFormat="1" ht="70.5" hidden="1" customHeight="1">
      <c r="C7845" s="701"/>
      <c r="D7845" s="811"/>
      <c r="E7845" s="1276">
        <f>[11]building!Y8176</f>
        <v>0</v>
      </c>
      <c r="F7845" s="748">
        <f t="shared" si="361"/>
        <v>0</v>
      </c>
      <c r="G7845" s="1205"/>
      <c r="H7845" s="1055"/>
      <c r="I7845" s="1055"/>
      <c r="J7845" s="1055"/>
      <c r="K7845" s="1205"/>
      <c r="L7845" s="1055"/>
      <c r="M7845" s="1205"/>
      <c r="N7845" s="1054"/>
      <c r="O7845" s="1207"/>
      <c r="Q7845" s="1207"/>
    </row>
    <row r="7846" spans="3:17" s="700" customFormat="1" ht="70.5" hidden="1" customHeight="1">
      <c r="C7846" s="701"/>
      <c r="D7846" s="811"/>
      <c r="E7846" s="1276">
        <f>[11]building!Y8177</f>
        <v>0</v>
      </c>
      <c r="F7846" s="748">
        <f t="shared" si="361"/>
        <v>0</v>
      </c>
      <c r="G7846" s="1205"/>
      <c r="H7846" s="1055"/>
      <c r="I7846" s="1055"/>
      <c r="J7846" s="1055"/>
      <c r="K7846" s="1205"/>
      <c r="L7846" s="1055"/>
      <c r="M7846" s="1205"/>
      <c r="N7846" s="1054"/>
      <c r="O7846" s="1207"/>
      <c r="Q7846" s="1207"/>
    </row>
    <row r="7847" spans="3:17" s="700" customFormat="1" ht="70.5" hidden="1" customHeight="1">
      <c r="C7847" s="701"/>
      <c r="D7847" s="811"/>
      <c r="E7847" s="1276">
        <f>[11]building!Y8178</f>
        <v>0</v>
      </c>
      <c r="F7847" s="748">
        <f t="shared" si="361"/>
        <v>0</v>
      </c>
      <c r="G7847" s="1205"/>
      <c r="H7847" s="1055"/>
      <c r="I7847" s="1055"/>
      <c r="J7847" s="1055"/>
      <c r="K7847" s="1205"/>
      <c r="L7847" s="1055"/>
      <c r="M7847" s="1205"/>
      <c r="N7847" s="1054"/>
      <c r="O7847" s="1207"/>
      <c r="Q7847" s="1207"/>
    </row>
    <row r="7848" spans="3:17" s="700" customFormat="1" ht="70.5" hidden="1" customHeight="1">
      <c r="C7848" s="701"/>
      <c r="D7848" s="811"/>
      <c r="E7848" s="1276">
        <f>[11]building!Y8179</f>
        <v>0</v>
      </c>
      <c r="F7848" s="748">
        <f t="shared" si="361"/>
        <v>0</v>
      </c>
      <c r="G7848" s="1205"/>
      <c r="H7848" s="1055"/>
      <c r="I7848" s="1055"/>
      <c r="J7848" s="1055"/>
      <c r="K7848" s="1205"/>
      <c r="L7848" s="1055"/>
      <c r="M7848" s="1205"/>
      <c r="N7848" s="1054"/>
      <c r="O7848" s="1207"/>
      <c r="Q7848" s="1207"/>
    </row>
    <row r="7849" spans="3:17" s="700" customFormat="1" ht="70.5" hidden="1" customHeight="1">
      <c r="C7849" s="701"/>
      <c r="D7849" s="811"/>
      <c r="E7849" s="1276">
        <f>[11]building!Y8180</f>
        <v>0</v>
      </c>
      <c r="F7849" s="748">
        <f t="shared" si="361"/>
        <v>0</v>
      </c>
      <c r="G7849" s="1205"/>
      <c r="H7849" s="1055"/>
      <c r="I7849" s="1055"/>
      <c r="J7849" s="1055"/>
      <c r="K7849" s="1205"/>
      <c r="L7849" s="1055"/>
      <c r="M7849" s="1205"/>
      <c r="N7849" s="1054"/>
      <c r="O7849" s="1207"/>
      <c r="Q7849" s="1207"/>
    </row>
    <row r="7850" spans="3:17" s="700" customFormat="1" ht="70.5" hidden="1" customHeight="1">
      <c r="C7850" s="701"/>
      <c r="D7850" s="811"/>
      <c r="E7850" s="1276">
        <f>[11]building!Y8181</f>
        <v>0</v>
      </c>
      <c r="F7850" s="748">
        <f t="shared" si="361"/>
        <v>0</v>
      </c>
      <c r="G7850" s="1205"/>
      <c r="H7850" s="1055"/>
      <c r="I7850" s="1055"/>
      <c r="J7850" s="1055"/>
      <c r="K7850" s="1205"/>
      <c r="L7850" s="1055"/>
      <c r="M7850" s="1205"/>
      <c r="N7850" s="1054"/>
      <c r="O7850" s="1207"/>
      <c r="Q7850" s="1207"/>
    </row>
    <row r="7851" spans="3:17" s="700" customFormat="1" ht="70.5" hidden="1" customHeight="1">
      <c r="C7851" s="701"/>
      <c r="D7851" s="811"/>
      <c r="E7851" s="1276">
        <f>[11]building!Y8182</f>
        <v>0</v>
      </c>
      <c r="F7851" s="748">
        <f t="shared" si="361"/>
        <v>0</v>
      </c>
      <c r="G7851" s="1205"/>
      <c r="H7851" s="1055"/>
      <c r="I7851" s="1055"/>
      <c r="J7851" s="1055"/>
      <c r="K7851" s="1205"/>
      <c r="L7851" s="1055"/>
      <c r="M7851" s="1205"/>
      <c r="N7851" s="1054"/>
      <c r="O7851" s="1207"/>
      <c r="Q7851" s="1207"/>
    </row>
    <row r="7852" spans="3:17" s="700" customFormat="1" ht="70.5" hidden="1" customHeight="1">
      <c r="C7852" s="701"/>
      <c r="D7852" s="811"/>
      <c r="E7852" s="1276">
        <f>[11]building!Y8183</f>
        <v>0</v>
      </c>
      <c r="F7852" s="748">
        <f t="shared" si="361"/>
        <v>0</v>
      </c>
      <c r="G7852" s="1205"/>
      <c r="H7852" s="1055"/>
      <c r="I7852" s="1055"/>
      <c r="J7852" s="1055"/>
      <c r="K7852" s="1205"/>
      <c r="L7852" s="1055"/>
      <c r="M7852" s="1205"/>
      <c r="N7852" s="1054"/>
      <c r="O7852" s="1207"/>
      <c r="Q7852" s="1207"/>
    </row>
    <row r="7853" spans="3:17" s="700" customFormat="1" ht="70.5" hidden="1" customHeight="1">
      <c r="C7853" s="701"/>
      <c r="D7853" s="811"/>
      <c r="E7853" s="1276">
        <f>[11]building!Y8184</f>
        <v>0</v>
      </c>
      <c r="F7853" s="748">
        <f t="shared" si="361"/>
        <v>0</v>
      </c>
      <c r="G7853" s="1205"/>
      <c r="H7853" s="1055"/>
      <c r="I7853" s="1055"/>
      <c r="J7853" s="1055"/>
      <c r="K7853" s="1205"/>
      <c r="L7853" s="1055"/>
      <c r="M7853" s="1205"/>
      <c r="N7853" s="1054"/>
      <c r="O7853" s="1207"/>
      <c r="Q7853" s="1207"/>
    </row>
    <row r="7854" spans="3:17" s="700" customFormat="1" ht="70.5" hidden="1" customHeight="1">
      <c r="C7854" s="701"/>
      <c r="D7854" s="811"/>
      <c r="E7854" s="1276">
        <f>[11]building!Y8185</f>
        <v>0</v>
      </c>
      <c r="F7854" s="748">
        <f t="shared" si="361"/>
        <v>0</v>
      </c>
      <c r="G7854" s="1205"/>
      <c r="H7854" s="1055"/>
      <c r="I7854" s="1055"/>
      <c r="J7854" s="1055"/>
      <c r="K7854" s="1205"/>
      <c r="L7854" s="1055"/>
      <c r="M7854" s="1205"/>
      <c r="N7854" s="1054"/>
      <c r="O7854" s="1207"/>
      <c r="Q7854" s="1207"/>
    </row>
    <row r="7855" spans="3:17" s="700" customFormat="1" ht="70.5" hidden="1" customHeight="1">
      <c r="C7855" s="701"/>
      <c r="D7855" s="811"/>
      <c r="E7855" s="1276">
        <f>[11]building!Y8186</f>
        <v>0</v>
      </c>
      <c r="F7855" s="748">
        <f t="shared" si="361"/>
        <v>0</v>
      </c>
      <c r="G7855" s="1205"/>
      <c r="H7855" s="1055"/>
      <c r="I7855" s="1055"/>
      <c r="J7855" s="1055"/>
      <c r="K7855" s="1205"/>
      <c r="L7855" s="1055"/>
      <c r="M7855" s="1205"/>
      <c r="N7855" s="1054"/>
      <c r="O7855" s="1207"/>
      <c r="Q7855" s="1207"/>
    </row>
    <row r="7856" spans="3:17" s="700" customFormat="1" ht="70.5" hidden="1" customHeight="1">
      <c r="C7856" s="701"/>
      <c r="D7856" s="811"/>
      <c r="E7856" s="1276">
        <f>[11]building!Y8187</f>
        <v>0</v>
      </c>
      <c r="F7856" s="748">
        <f t="shared" si="361"/>
        <v>0</v>
      </c>
      <c r="G7856" s="1205"/>
      <c r="H7856" s="1055"/>
      <c r="I7856" s="1055"/>
      <c r="J7856" s="1055"/>
      <c r="K7856" s="1205"/>
      <c r="L7856" s="1055"/>
      <c r="M7856" s="1205"/>
      <c r="N7856" s="1054"/>
      <c r="O7856" s="1207"/>
      <c r="Q7856" s="1207"/>
    </row>
    <row r="7857" spans="3:17" s="700" customFormat="1" ht="70.5" hidden="1" customHeight="1">
      <c r="C7857" s="701"/>
      <c r="D7857" s="811"/>
      <c r="E7857" s="1276">
        <f>[11]building!Y8188</f>
        <v>0</v>
      </c>
      <c r="F7857" s="748">
        <f t="shared" si="361"/>
        <v>0</v>
      </c>
      <c r="G7857" s="1205"/>
      <c r="H7857" s="1055"/>
      <c r="I7857" s="1055"/>
      <c r="J7857" s="1055"/>
      <c r="K7857" s="1205"/>
      <c r="L7857" s="1055"/>
      <c r="M7857" s="1205"/>
      <c r="N7857" s="1054"/>
      <c r="O7857" s="1207"/>
      <c r="Q7857" s="1207"/>
    </row>
    <row r="7858" spans="3:17" s="700" customFormat="1" ht="70.5" hidden="1" customHeight="1">
      <c r="C7858" s="701"/>
      <c r="D7858" s="811"/>
      <c r="E7858" s="1276">
        <f>[11]building!Y8189</f>
        <v>0</v>
      </c>
      <c r="F7858" s="748">
        <f t="shared" si="361"/>
        <v>0</v>
      </c>
      <c r="G7858" s="1205"/>
      <c r="H7858" s="1055"/>
      <c r="I7858" s="1055"/>
      <c r="J7858" s="1055"/>
      <c r="K7858" s="1205"/>
      <c r="L7858" s="1055"/>
      <c r="M7858" s="1205"/>
      <c r="N7858" s="1054"/>
      <c r="O7858" s="1207"/>
      <c r="Q7858" s="1207"/>
    </row>
    <row r="7859" spans="3:17" s="700" customFormat="1" ht="70.5" hidden="1" customHeight="1">
      <c r="C7859" s="701"/>
      <c r="D7859" s="811"/>
      <c r="E7859" s="1276">
        <f>[11]building!Y8190</f>
        <v>0</v>
      </c>
      <c r="F7859" s="748">
        <f t="shared" si="361"/>
        <v>0</v>
      </c>
      <c r="G7859" s="1205"/>
      <c r="H7859" s="1055"/>
      <c r="I7859" s="1055"/>
      <c r="J7859" s="1055"/>
      <c r="K7859" s="1205"/>
      <c r="L7859" s="1055"/>
      <c r="M7859" s="1205"/>
      <c r="N7859" s="1054"/>
      <c r="O7859" s="1207"/>
      <c r="Q7859" s="1207"/>
    </row>
    <row r="7860" spans="3:17" s="700" customFormat="1" ht="70.5" hidden="1" customHeight="1">
      <c r="C7860" s="701"/>
      <c r="D7860" s="811"/>
      <c r="E7860" s="1276">
        <f>[11]building!Y8191</f>
        <v>0</v>
      </c>
      <c r="F7860" s="748">
        <f t="shared" si="361"/>
        <v>0</v>
      </c>
      <c r="G7860" s="1205"/>
      <c r="H7860" s="1055"/>
      <c r="I7860" s="1055"/>
      <c r="J7860" s="1055"/>
      <c r="K7860" s="1205"/>
      <c r="L7860" s="1055"/>
      <c r="M7860" s="1205"/>
      <c r="N7860" s="1054"/>
      <c r="O7860" s="1207"/>
      <c r="Q7860" s="1207"/>
    </row>
    <row r="7861" spans="3:17" s="700" customFormat="1" ht="70.5" hidden="1" customHeight="1">
      <c r="C7861" s="701"/>
      <c r="D7861" s="811"/>
      <c r="E7861" s="1276">
        <f>[11]building!Y8192</f>
        <v>0</v>
      </c>
      <c r="F7861" s="748">
        <f t="shared" si="361"/>
        <v>0</v>
      </c>
      <c r="G7861" s="1205"/>
      <c r="H7861" s="1055"/>
      <c r="I7861" s="1055"/>
      <c r="J7861" s="1055"/>
      <c r="K7861" s="1205"/>
      <c r="L7861" s="1055"/>
      <c r="M7861" s="1205"/>
      <c r="N7861" s="1054"/>
      <c r="O7861" s="1207"/>
      <c r="Q7861" s="1207"/>
    </row>
    <row r="7862" spans="3:17" s="700" customFormat="1" ht="70.5" hidden="1" customHeight="1">
      <c r="C7862" s="701"/>
      <c r="D7862" s="811"/>
      <c r="E7862" s="1276">
        <f>[11]building!Y8193</f>
        <v>0</v>
      </c>
      <c r="F7862" s="748">
        <f t="shared" si="361"/>
        <v>0</v>
      </c>
      <c r="G7862" s="1205"/>
      <c r="H7862" s="1055"/>
      <c r="I7862" s="1055"/>
      <c r="J7862" s="1055"/>
      <c r="K7862" s="1205"/>
      <c r="L7862" s="1055"/>
      <c r="M7862" s="1205"/>
      <c r="N7862" s="1054"/>
      <c r="O7862" s="1207"/>
      <c r="Q7862" s="1207"/>
    </row>
    <row r="7863" spans="3:17" s="700" customFormat="1" ht="70.5" hidden="1" customHeight="1">
      <c r="C7863" s="701"/>
      <c r="D7863" s="811"/>
      <c r="E7863" s="1276">
        <f>[11]building!Y8194</f>
        <v>0</v>
      </c>
      <c r="F7863" s="748">
        <f t="shared" si="361"/>
        <v>0</v>
      </c>
      <c r="G7863" s="1205"/>
      <c r="H7863" s="1055"/>
      <c r="I7863" s="1055"/>
      <c r="J7863" s="1055"/>
      <c r="K7863" s="1205"/>
      <c r="L7863" s="1055"/>
      <c r="M7863" s="1205"/>
      <c r="N7863" s="1054"/>
      <c r="O7863" s="1207"/>
      <c r="Q7863" s="1207"/>
    </row>
    <row r="7864" spans="3:17" s="700" customFormat="1" ht="70.5" hidden="1" customHeight="1">
      <c r="C7864" s="701"/>
      <c r="D7864" s="811"/>
      <c r="E7864" s="1276">
        <f>[11]building!Y8195</f>
        <v>0</v>
      </c>
      <c r="F7864" s="748">
        <f t="shared" si="361"/>
        <v>0</v>
      </c>
      <c r="G7864" s="1205"/>
      <c r="H7864" s="1055"/>
      <c r="I7864" s="1055"/>
      <c r="J7864" s="1055"/>
      <c r="K7864" s="1205"/>
      <c r="L7864" s="1055"/>
      <c r="M7864" s="1205"/>
      <c r="N7864" s="1054"/>
      <c r="O7864" s="1207"/>
      <c r="Q7864" s="1207"/>
    </row>
    <row r="7865" spans="3:17" s="700" customFormat="1" ht="70.5" hidden="1" customHeight="1">
      <c r="C7865" s="701"/>
      <c r="D7865" s="811"/>
      <c r="E7865" s="1276">
        <f>[11]building!Y8196</f>
        <v>0</v>
      </c>
      <c r="F7865" s="748">
        <f t="shared" si="361"/>
        <v>0</v>
      </c>
      <c r="G7865" s="1205"/>
      <c r="H7865" s="1055"/>
      <c r="I7865" s="1055"/>
      <c r="J7865" s="1055"/>
      <c r="K7865" s="1205"/>
      <c r="L7865" s="1055"/>
      <c r="M7865" s="1205"/>
      <c r="N7865" s="1054"/>
      <c r="O7865" s="1207"/>
      <c r="Q7865" s="1207"/>
    </row>
    <row r="7866" spans="3:17" s="700" customFormat="1" ht="70.5" hidden="1" customHeight="1">
      <c r="C7866" s="701"/>
      <c r="D7866" s="811"/>
      <c r="E7866" s="1276">
        <f>[11]building!Y8197</f>
        <v>0</v>
      </c>
      <c r="F7866" s="748">
        <f t="shared" si="361"/>
        <v>0</v>
      </c>
      <c r="G7866" s="1205"/>
      <c r="H7866" s="1055"/>
      <c r="I7866" s="1055"/>
      <c r="J7866" s="1055"/>
      <c r="K7866" s="1205"/>
      <c r="L7866" s="1055"/>
      <c r="M7866" s="1205"/>
      <c r="N7866" s="1054"/>
      <c r="O7866" s="1207"/>
      <c r="Q7866" s="1207"/>
    </row>
    <row r="7867" spans="3:17" s="700" customFormat="1" ht="70.5" hidden="1" customHeight="1">
      <c r="C7867" s="701"/>
      <c r="D7867" s="811"/>
      <c r="E7867" s="1276">
        <f>[11]building!Y8198</f>
        <v>0</v>
      </c>
      <c r="F7867" s="748">
        <f t="shared" si="361"/>
        <v>0</v>
      </c>
      <c r="G7867" s="1205"/>
      <c r="H7867" s="1055"/>
      <c r="I7867" s="1055"/>
      <c r="J7867" s="1055"/>
      <c r="K7867" s="1205"/>
      <c r="L7867" s="1055"/>
      <c r="M7867" s="1205"/>
      <c r="N7867" s="1054"/>
      <c r="O7867" s="1207"/>
      <c r="Q7867" s="1207"/>
    </row>
    <row r="7868" spans="3:17" s="700" customFormat="1" ht="70.5" hidden="1" customHeight="1">
      <c r="C7868" s="701"/>
      <c r="D7868" s="811"/>
      <c r="E7868" s="1276">
        <f>[11]building!Y8199</f>
        <v>0</v>
      </c>
      <c r="F7868" s="748">
        <f t="shared" si="361"/>
        <v>0</v>
      </c>
      <c r="G7868" s="1205"/>
      <c r="H7868" s="1055"/>
      <c r="I7868" s="1055"/>
      <c r="J7868" s="1055"/>
      <c r="K7868" s="1205"/>
      <c r="L7868" s="1055"/>
      <c r="M7868" s="1205"/>
      <c r="N7868" s="1054"/>
      <c r="O7868" s="1207"/>
      <c r="Q7868" s="1207"/>
    </row>
    <row r="7869" spans="3:17" s="700" customFormat="1" ht="70.5" hidden="1" customHeight="1">
      <c r="C7869" s="701"/>
      <c r="D7869" s="811"/>
      <c r="E7869" s="1276">
        <f>[11]building!Y8200</f>
        <v>0</v>
      </c>
      <c r="F7869" s="748">
        <f t="shared" si="361"/>
        <v>0</v>
      </c>
      <c r="G7869" s="1205"/>
      <c r="H7869" s="1055"/>
      <c r="I7869" s="1055"/>
      <c r="J7869" s="1055"/>
      <c r="K7869" s="1205"/>
      <c r="L7869" s="1055"/>
      <c r="M7869" s="1205"/>
      <c r="N7869" s="1054"/>
      <c r="O7869" s="1207"/>
      <c r="Q7869" s="1207"/>
    </row>
    <row r="7870" spans="3:17" s="700" customFormat="1" ht="70.5" hidden="1" customHeight="1">
      <c r="C7870" s="701"/>
      <c r="D7870" s="811"/>
      <c r="E7870" s="1276">
        <f>[11]building!Y8201</f>
        <v>0</v>
      </c>
      <c r="F7870" s="748">
        <f t="shared" si="361"/>
        <v>0</v>
      </c>
      <c r="G7870" s="1205"/>
      <c r="H7870" s="1055"/>
      <c r="I7870" s="1055"/>
      <c r="J7870" s="1055"/>
      <c r="K7870" s="1205"/>
      <c r="L7870" s="1055"/>
      <c r="M7870" s="1205"/>
      <c r="N7870" s="1054"/>
      <c r="O7870" s="1207"/>
      <c r="Q7870" s="1207"/>
    </row>
    <row r="7871" spans="3:17" s="700" customFormat="1" ht="70.5" hidden="1" customHeight="1">
      <c r="C7871" s="701"/>
      <c r="D7871" s="811"/>
      <c r="E7871" s="1276">
        <f>[11]building!Y8202</f>
        <v>0</v>
      </c>
      <c r="F7871" s="748">
        <f t="shared" si="361"/>
        <v>0</v>
      </c>
      <c r="G7871" s="1205"/>
      <c r="H7871" s="1055"/>
      <c r="I7871" s="1055"/>
      <c r="J7871" s="1055"/>
      <c r="K7871" s="1205"/>
      <c r="L7871" s="1055"/>
      <c r="M7871" s="1205"/>
      <c r="N7871" s="1054"/>
      <c r="O7871" s="1207"/>
      <c r="Q7871" s="1207"/>
    </row>
    <row r="7872" spans="3:17" s="700" customFormat="1" ht="70.5" hidden="1" customHeight="1">
      <c r="C7872" s="701"/>
      <c r="D7872" s="811"/>
      <c r="E7872" s="1276">
        <f>[11]building!Y8203</f>
        <v>0</v>
      </c>
      <c r="F7872" s="748">
        <f t="shared" ref="F7872:F7935" si="362">E7872*C7872</f>
        <v>0</v>
      </c>
      <c r="G7872" s="1205"/>
      <c r="H7872" s="1055"/>
      <c r="I7872" s="1055"/>
      <c r="J7872" s="1055"/>
      <c r="K7872" s="1205"/>
      <c r="L7872" s="1055"/>
      <c r="M7872" s="1205"/>
      <c r="N7872" s="1054"/>
      <c r="O7872" s="1207"/>
      <c r="Q7872" s="1207"/>
    </row>
    <row r="7873" spans="3:17" s="700" customFormat="1" ht="70.5" hidden="1" customHeight="1">
      <c r="C7873" s="701"/>
      <c r="D7873" s="811"/>
      <c r="E7873" s="1276">
        <f>[11]building!Y8204</f>
        <v>0</v>
      </c>
      <c r="F7873" s="748">
        <f t="shared" si="362"/>
        <v>0</v>
      </c>
      <c r="G7873" s="1205"/>
      <c r="H7873" s="1055"/>
      <c r="I7873" s="1055"/>
      <c r="J7873" s="1055"/>
      <c r="K7873" s="1205"/>
      <c r="L7873" s="1055"/>
      <c r="M7873" s="1205"/>
      <c r="N7873" s="1054"/>
      <c r="O7873" s="1207"/>
      <c r="Q7873" s="1207"/>
    </row>
    <row r="7874" spans="3:17" s="700" customFormat="1" ht="70.5" hidden="1" customHeight="1">
      <c r="C7874" s="701"/>
      <c r="D7874" s="811"/>
      <c r="E7874" s="1276">
        <f>[11]building!Y8205</f>
        <v>0</v>
      </c>
      <c r="F7874" s="748">
        <f t="shared" si="362"/>
        <v>0</v>
      </c>
      <c r="G7874" s="1205"/>
      <c r="H7874" s="1055"/>
      <c r="I7874" s="1055"/>
      <c r="J7874" s="1055"/>
      <c r="K7874" s="1205"/>
      <c r="L7874" s="1055"/>
      <c r="M7874" s="1205"/>
      <c r="N7874" s="1054"/>
      <c r="O7874" s="1207"/>
      <c r="Q7874" s="1207"/>
    </row>
    <row r="7875" spans="3:17" s="700" customFormat="1" ht="70.5" hidden="1" customHeight="1">
      <c r="C7875" s="701"/>
      <c r="D7875" s="811"/>
      <c r="E7875" s="1276">
        <f>[11]building!Y8206</f>
        <v>0</v>
      </c>
      <c r="F7875" s="748">
        <f t="shared" si="362"/>
        <v>0</v>
      </c>
      <c r="G7875" s="1205"/>
      <c r="H7875" s="1055"/>
      <c r="I7875" s="1055"/>
      <c r="J7875" s="1055"/>
      <c r="K7875" s="1205"/>
      <c r="L7875" s="1055"/>
      <c r="M7875" s="1205"/>
      <c r="N7875" s="1054"/>
      <c r="O7875" s="1207"/>
      <c r="Q7875" s="1207"/>
    </row>
    <row r="7876" spans="3:17" s="700" customFormat="1" ht="70.5" hidden="1" customHeight="1">
      <c r="C7876" s="701"/>
      <c r="D7876" s="811"/>
      <c r="E7876" s="1276">
        <f>[11]building!Y8207</f>
        <v>0</v>
      </c>
      <c r="F7876" s="748">
        <f t="shared" si="362"/>
        <v>0</v>
      </c>
      <c r="G7876" s="1205"/>
      <c r="H7876" s="1055"/>
      <c r="I7876" s="1055"/>
      <c r="J7876" s="1055"/>
      <c r="K7876" s="1205"/>
      <c r="L7876" s="1055"/>
      <c r="M7876" s="1205"/>
      <c r="N7876" s="1054"/>
      <c r="O7876" s="1207"/>
      <c r="Q7876" s="1207"/>
    </row>
    <row r="7877" spans="3:17" s="700" customFormat="1" ht="70.5" hidden="1" customHeight="1">
      <c r="C7877" s="701"/>
      <c r="D7877" s="811"/>
      <c r="E7877" s="1276">
        <f>[11]building!Y8208</f>
        <v>0</v>
      </c>
      <c r="F7877" s="748">
        <f t="shared" si="362"/>
        <v>0</v>
      </c>
      <c r="G7877" s="1205"/>
      <c r="H7877" s="1055"/>
      <c r="I7877" s="1055"/>
      <c r="J7877" s="1055"/>
      <c r="K7877" s="1205"/>
      <c r="L7877" s="1055"/>
      <c r="M7877" s="1205"/>
      <c r="N7877" s="1054"/>
      <c r="O7877" s="1207"/>
      <c r="Q7877" s="1207"/>
    </row>
    <row r="7878" spans="3:17" s="700" customFormat="1" ht="70.5" hidden="1" customHeight="1">
      <c r="C7878" s="701"/>
      <c r="D7878" s="811"/>
      <c r="E7878" s="1276">
        <f>[11]building!Y8209</f>
        <v>0</v>
      </c>
      <c r="F7878" s="748">
        <f t="shared" si="362"/>
        <v>0</v>
      </c>
      <c r="G7878" s="1205"/>
      <c r="H7878" s="1055"/>
      <c r="I7878" s="1055"/>
      <c r="J7878" s="1055"/>
      <c r="K7878" s="1205"/>
      <c r="L7878" s="1055"/>
      <c r="M7878" s="1205"/>
      <c r="N7878" s="1054"/>
      <c r="O7878" s="1207"/>
      <c r="Q7878" s="1207"/>
    </row>
    <row r="7879" spans="3:17" s="700" customFormat="1" ht="70.5" hidden="1" customHeight="1">
      <c r="C7879" s="701"/>
      <c r="D7879" s="811"/>
      <c r="E7879" s="1276">
        <f>[11]building!Y8210</f>
        <v>0</v>
      </c>
      <c r="F7879" s="748">
        <f t="shared" si="362"/>
        <v>0</v>
      </c>
      <c r="G7879" s="1205"/>
      <c r="H7879" s="1055"/>
      <c r="I7879" s="1055"/>
      <c r="J7879" s="1055"/>
      <c r="K7879" s="1205"/>
      <c r="L7879" s="1055"/>
      <c r="M7879" s="1205"/>
      <c r="N7879" s="1054"/>
      <c r="O7879" s="1207"/>
      <c r="Q7879" s="1207"/>
    </row>
    <row r="7880" spans="3:17" s="700" customFormat="1" ht="70.5" hidden="1" customHeight="1">
      <c r="C7880" s="701"/>
      <c r="D7880" s="811"/>
      <c r="E7880" s="1276">
        <f>[11]building!Y8211</f>
        <v>0</v>
      </c>
      <c r="F7880" s="748">
        <f t="shared" si="362"/>
        <v>0</v>
      </c>
      <c r="G7880" s="1205"/>
      <c r="H7880" s="1055"/>
      <c r="I7880" s="1055"/>
      <c r="J7880" s="1055"/>
      <c r="K7880" s="1205"/>
      <c r="L7880" s="1055"/>
      <c r="M7880" s="1205"/>
      <c r="N7880" s="1054"/>
      <c r="O7880" s="1207"/>
      <c r="Q7880" s="1207"/>
    </row>
    <row r="7881" spans="3:17" s="700" customFormat="1" ht="70.5" hidden="1" customHeight="1">
      <c r="C7881" s="701"/>
      <c r="D7881" s="811"/>
      <c r="E7881" s="1276">
        <f>[11]building!Y8212</f>
        <v>0</v>
      </c>
      <c r="F7881" s="748">
        <f t="shared" si="362"/>
        <v>0</v>
      </c>
      <c r="G7881" s="1205"/>
      <c r="H7881" s="1055"/>
      <c r="I7881" s="1055"/>
      <c r="J7881" s="1055"/>
      <c r="K7881" s="1205"/>
      <c r="L7881" s="1055"/>
      <c r="M7881" s="1205"/>
      <c r="N7881" s="1054"/>
      <c r="O7881" s="1207"/>
      <c r="Q7881" s="1207"/>
    </row>
    <row r="7882" spans="3:17" s="700" customFormat="1" ht="70.5" hidden="1" customHeight="1">
      <c r="C7882" s="701"/>
      <c r="D7882" s="811"/>
      <c r="E7882" s="1276">
        <f>[11]building!Y8213</f>
        <v>0</v>
      </c>
      <c r="F7882" s="748">
        <f t="shared" si="362"/>
        <v>0</v>
      </c>
      <c r="G7882" s="1205"/>
      <c r="H7882" s="1055"/>
      <c r="I7882" s="1055"/>
      <c r="J7882" s="1055"/>
      <c r="K7882" s="1205"/>
      <c r="L7882" s="1055"/>
      <c r="M7882" s="1205"/>
      <c r="N7882" s="1054"/>
      <c r="O7882" s="1207"/>
      <c r="Q7882" s="1207"/>
    </row>
    <row r="7883" spans="3:17" s="700" customFormat="1" ht="70.5" hidden="1" customHeight="1">
      <c r="C7883" s="701"/>
      <c r="D7883" s="811"/>
      <c r="E7883" s="1276">
        <f>[11]building!Y8214</f>
        <v>0</v>
      </c>
      <c r="F7883" s="748">
        <f t="shared" si="362"/>
        <v>0</v>
      </c>
      <c r="G7883" s="1205"/>
      <c r="H7883" s="1055"/>
      <c r="I7883" s="1055"/>
      <c r="J7883" s="1055"/>
      <c r="K7883" s="1205"/>
      <c r="L7883" s="1055"/>
      <c r="M7883" s="1205"/>
      <c r="N7883" s="1054"/>
      <c r="O7883" s="1207"/>
      <c r="Q7883" s="1207"/>
    </row>
    <row r="7884" spans="3:17" s="700" customFormat="1" ht="70.5" hidden="1" customHeight="1">
      <c r="C7884" s="701"/>
      <c r="D7884" s="811"/>
      <c r="E7884" s="1276">
        <f>[11]building!Y8215</f>
        <v>0</v>
      </c>
      <c r="F7884" s="748">
        <f t="shared" si="362"/>
        <v>0</v>
      </c>
      <c r="G7884" s="1205"/>
      <c r="H7884" s="1055"/>
      <c r="I7884" s="1055"/>
      <c r="J7884" s="1055"/>
      <c r="K7884" s="1205"/>
      <c r="L7884" s="1055"/>
      <c r="M7884" s="1205"/>
      <c r="N7884" s="1054"/>
      <c r="O7884" s="1207"/>
      <c r="Q7884" s="1207"/>
    </row>
    <row r="7885" spans="3:17" s="700" customFormat="1" ht="70.5" hidden="1" customHeight="1">
      <c r="C7885" s="701"/>
      <c r="D7885" s="811"/>
      <c r="E7885" s="1276">
        <f>[11]building!Y8216</f>
        <v>0</v>
      </c>
      <c r="F7885" s="748">
        <f t="shared" si="362"/>
        <v>0</v>
      </c>
      <c r="G7885" s="1205"/>
      <c r="H7885" s="1055"/>
      <c r="I7885" s="1055"/>
      <c r="J7885" s="1055"/>
      <c r="K7885" s="1205"/>
      <c r="L7885" s="1055"/>
      <c r="M7885" s="1205"/>
      <c r="N7885" s="1054"/>
      <c r="O7885" s="1207"/>
      <c r="Q7885" s="1207"/>
    </row>
    <row r="7886" spans="3:17" s="700" customFormat="1" ht="70.5" hidden="1" customHeight="1">
      <c r="C7886" s="701"/>
      <c r="D7886" s="811"/>
      <c r="E7886" s="1276">
        <f>[11]building!Y8217</f>
        <v>0</v>
      </c>
      <c r="F7886" s="748">
        <f t="shared" si="362"/>
        <v>0</v>
      </c>
      <c r="G7886" s="1205"/>
      <c r="H7886" s="1055"/>
      <c r="I7886" s="1055"/>
      <c r="J7886" s="1055"/>
      <c r="K7886" s="1205"/>
      <c r="L7886" s="1055"/>
      <c r="M7886" s="1205"/>
      <c r="N7886" s="1054"/>
      <c r="O7886" s="1207"/>
      <c r="Q7886" s="1207"/>
    </row>
    <row r="7887" spans="3:17" s="700" customFormat="1" ht="70.5" hidden="1" customHeight="1">
      <c r="C7887" s="701"/>
      <c r="D7887" s="811"/>
      <c r="E7887" s="1276">
        <f>[11]building!Y8218</f>
        <v>0</v>
      </c>
      <c r="F7887" s="748">
        <f t="shared" si="362"/>
        <v>0</v>
      </c>
      <c r="G7887" s="1205"/>
      <c r="H7887" s="1055"/>
      <c r="I7887" s="1055"/>
      <c r="J7887" s="1055"/>
      <c r="K7887" s="1205"/>
      <c r="L7887" s="1055"/>
      <c r="M7887" s="1205"/>
      <c r="N7887" s="1054"/>
      <c r="O7887" s="1207"/>
      <c r="Q7887" s="1207"/>
    </row>
    <row r="7888" spans="3:17" s="700" customFormat="1" ht="70.5" hidden="1" customHeight="1">
      <c r="C7888" s="701"/>
      <c r="D7888" s="811"/>
      <c r="E7888" s="1276">
        <f>[11]building!Y8219</f>
        <v>0</v>
      </c>
      <c r="F7888" s="748">
        <f t="shared" si="362"/>
        <v>0</v>
      </c>
      <c r="G7888" s="1205"/>
      <c r="H7888" s="1055"/>
      <c r="I7888" s="1055"/>
      <c r="J7888" s="1055"/>
      <c r="K7888" s="1205"/>
      <c r="L7888" s="1055"/>
      <c r="M7888" s="1205"/>
      <c r="N7888" s="1054"/>
      <c r="O7888" s="1207"/>
      <c r="Q7888" s="1207"/>
    </row>
    <row r="7889" spans="3:17" s="700" customFormat="1" ht="70.5" hidden="1" customHeight="1">
      <c r="C7889" s="701"/>
      <c r="D7889" s="811"/>
      <c r="E7889" s="1276">
        <f>[11]building!Y8220</f>
        <v>0</v>
      </c>
      <c r="F7889" s="748">
        <f t="shared" si="362"/>
        <v>0</v>
      </c>
      <c r="G7889" s="1205"/>
      <c r="H7889" s="1055"/>
      <c r="I7889" s="1055"/>
      <c r="J7889" s="1055"/>
      <c r="K7889" s="1205"/>
      <c r="L7889" s="1055"/>
      <c r="M7889" s="1205"/>
      <c r="N7889" s="1054"/>
      <c r="O7889" s="1207"/>
      <c r="Q7889" s="1207"/>
    </row>
    <row r="7890" spans="3:17" s="700" customFormat="1" ht="70.5" hidden="1" customHeight="1">
      <c r="C7890" s="701"/>
      <c r="D7890" s="811"/>
      <c r="E7890" s="1276">
        <f>[11]building!Y8221</f>
        <v>0</v>
      </c>
      <c r="F7890" s="748">
        <f t="shared" si="362"/>
        <v>0</v>
      </c>
      <c r="G7890" s="1205"/>
      <c r="H7890" s="1055"/>
      <c r="I7890" s="1055"/>
      <c r="J7890" s="1055"/>
      <c r="K7890" s="1205"/>
      <c r="L7890" s="1055"/>
      <c r="M7890" s="1205"/>
      <c r="N7890" s="1054"/>
      <c r="O7890" s="1207"/>
      <c r="Q7890" s="1207"/>
    </row>
    <row r="7891" spans="3:17" s="700" customFormat="1" ht="70.5" hidden="1" customHeight="1">
      <c r="C7891" s="701"/>
      <c r="D7891" s="811"/>
      <c r="E7891" s="1276">
        <f>[11]building!Y8222</f>
        <v>0</v>
      </c>
      <c r="F7891" s="748">
        <f t="shared" si="362"/>
        <v>0</v>
      </c>
      <c r="G7891" s="1205"/>
      <c r="H7891" s="1055"/>
      <c r="I7891" s="1055"/>
      <c r="J7891" s="1055"/>
      <c r="K7891" s="1205"/>
      <c r="L7891" s="1055"/>
      <c r="M7891" s="1205"/>
      <c r="N7891" s="1054"/>
      <c r="O7891" s="1207"/>
      <c r="Q7891" s="1207"/>
    </row>
    <row r="7892" spans="3:17" s="700" customFormat="1" ht="70.5" hidden="1" customHeight="1">
      <c r="C7892" s="701"/>
      <c r="D7892" s="811"/>
      <c r="E7892" s="1276">
        <f>[11]building!Y8223</f>
        <v>0</v>
      </c>
      <c r="F7892" s="748">
        <f t="shared" si="362"/>
        <v>0</v>
      </c>
      <c r="G7892" s="1205"/>
      <c r="H7892" s="1055"/>
      <c r="I7892" s="1055"/>
      <c r="J7892" s="1055"/>
      <c r="K7892" s="1205"/>
      <c r="L7892" s="1055"/>
      <c r="M7892" s="1205"/>
      <c r="N7892" s="1054"/>
      <c r="O7892" s="1207"/>
      <c r="Q7892" s="1207"/>
    </row>
    <row r="7893" spans="3:17" s="700" customFormat="1" ht="70.5" hidden="1" customHeight="1">
      <c r="C7893" s="701"/>
      <c r="D7893" s="811"/>
      <c r="E7893" s="1276">
        <f>[11]building!Y8224</f>
        <v>0</v>
      </c>
      <c r="F7893" s="748">
        <f t="shared" si="362"/>
        <v>0</v>
      </c>
      <c r="G7893" s="1205"/>
      <c r="H7893" s="1055"/>
      <c r="I7893" s="1055"/>
      <c r="J7893" s="1055"/>
      <c r="K7893" s="1205"/>
      <c r="L7893" s="1055"/>
      <c r="M7893" s="1205"/>
      <c r="N7893" s="1054"/>
      <c r="O7893" s="1207"/>
      <c r="Q7893" s="1207"/>
    </row>
    <row r="7894" spans="3:17" s="700" customFormat="1" ht="70.5" hidden="1" customHeight="1">
      <c r="C7894" s="701"/>
      <c r="D7894" s="811"/>
      <c r="E7894" s="1276">
        <f>[11]building!Y8225</f>
        <v>0</v>
      </c>
      <c r="F7894" s="748">
        <f t="shared" si="362"/>
        <v>0</v>
      </c>
      <c r="G7894" s="1205"/>
      <c r="H7894" s="1055"/>
      <c r="I7894" s="1055"/>
      <c r="J7894" s="1055"/>
      <c r="K7894" s="1205"/>
      <c r="L7894" s="1055"/>
      <c r="M7894" s="1205"/>
      <c r="N7894" s="1054"/>
      <c r="O7894" s="1207"/>
      <c r="Q7894" s="1207"/>
    </row>
    <row r="7895" spans="3:17" s="700" customFormat="1" ht="70.5" hidden="1" customHeight="1">
      <c r="C7895" s="701"/>
      <c r="D7895" s="811"/>
      <c r="E7895" s="1276">
        <f>[11]building!Y8226</f>
        <v>0</v>
      </c>
      <c r="F7895" s="748">
        <f t="shared" si="362"/>
        <v>0</v>
      </c>
      <c r="G7895" s="1205"/>
      <c r="H7895" s="1055"/>
      <c r="I7895" s="1055"/>
      <c r="J7895" s="1055"/>
      <c r="K7895" s="1205"/>
      <c r="L7895" s="1055"/>
      <c r="M7895" s="1205"/>
      <c r="N7895" s="1054"/>
      <c r="O7895" s="1207"/>
      <c r="Q7895" s="1207"/>
    </row>
    <row r="7896" spans="3:17" s="700" customFormat="1" ht="70.5" hidden="1" customHeight="1">
      <c r="C7896" s="701"/>
      <c r="D7896" s="811"/>
      <c r="E7896" s="1276">
        <f>[11]building!Y8227</f>
        <v>0</v>
      </c>
      <c r="F7896" s="748">
        <f t="shared" si="362"/>
        <v>0</v>
      </c>
      <c r="G7896" s="1205"/>
      <c r="H7896" s="1055"/>
      <c r="I7896" s="1055"/>
      <c r="J7896" s="1055"/>
      <c r="K7896" s="1205"/>
      <c r="L7896" s="1055"/>
      <c r="M7896" s="1205"/>
      <c r="N7896" s="1054"/>
      <c r="O7896" s="1207"/>
      <c r="Q7896" s="1207"/>
    </row>
    <row r="7897" spans="3:17" s="700" customFormat="1" ht="70.5" hidden="1" customHeight="1">
      <c r="C7897" s="701"/>
      <c r="D7897" s="811"/>
      <c r="E7897" s="1276">
        <f>[11]building!Y8228</f>
        <v>0</v>
      </c>
      <c r="F7897" s="748">
        <f t="shared" si="362"/>
        <v>0</v>
      </c>
      <c r="G7897" s="1205"/>
      <c r="H7897" s="1055"/>
      <c r="I7897" s="1055"/>
      <c r="J7897" s="1055"/>
      <c r="K7897" s="1205"/>
      <c r="L7897" s="1055"/>
      <c r="M7897" s="1205"/>
      <c r="N7897" s="1054"/>
      <c r="O7897" s="1207"/>
      <c r="Q7897" s="1207"/>
    </row>
    <row r="7898" spans="3:17" s="700" customFormat="1" ht="70.5" hidden="1" customHeight="1">
      <c r="C7898" s="701"/>
      <c r="D7898" s="811"/>
      <c r="E7898" s="1276">
        <f>[11]building!Y8229</f>
        <v>0</v>
      </c>
      <c r="F7898" s="748">
        <f t="shared" si="362"/>
        <v>0</v>
      </c>
      <c r="G7898" s="1205"/>
      <c r="H7898" s="1055"/>
      <c r="I7898" s="1055"/>
      <c r="J7898" s="1055"/>
      <c r="K7898" s="1205"/>
      <c r="L7898" s="1055"/>
      <c r="M7898" s="1205"/>
      <c r="N7898" s="1054"/>
      <c r="O7898" s="1207"/>
      <c r="Q7898" s="1207"/>
    </row>
    <row r="7899" spans="3:17" s="700" customFormat="1" ht="70.5" hidden="1" customHeight="1">
      <c r="C7899" s="701"/>
      <c r="D7899" s="811"/>
      <c r="E7899" s="1276">
        <f>[11]building!Y8230</f>
        <v>0</v>
      </c>
      <c r="F7899" s="748">
        <f t="shared" si="362"/>
        <v>0</v>
      </c>
      <c r="G7899" s="1205"/>
      <c r="H7899" s="1055"/>
      <c r="I7899" s="1055"/>
      <c r="J7899" s="1055"/>
      <c r="K7899" s="1205"/>
      <c r="L7899" s="1055"/>
      <c r="M7899" s="1205"/>
      <c r="N7899" s="1054"/>
      <c r="O7899" s="1207"/>
      <c r="Q7899" s="1207"/>
    </row>
    <row r="7900" spans="3:17" s="700" customFormat="1" ht="70.5" hidden="1" customHeight="1">
      <c r="C7900" s="701"/>
      <c r="D7900" s="811"/>
      <c r="E7900" s="1276">
        <f>[11]building!Y8231</f>
        <v>0</v>
      </c>
      <c r="F7900" s="748">
        <f t="shared" si="362"/>
        <v>0</v>
      </c>
      <c r="G7900" s="1205"/>
      <c r="H7900" s="1055"/>
      <c r="I7900" s="1055"/>
      <c r="J7900" s="1055"/>
      <c r="K7900" s="1205"/>
      <c r="L7900" s="1055"/>
      <c r="M7900" s="1205"/>
      <c r="N7900" s="1054"/>
      <c r="O7900" s="1207"/>
      <c r="Q7900" s="1207"/>
    </row>
    <row r="7901" spans="3:17" s="700" customFormat="1" ht="70.5" hidden="1" customHeight="1">
      <c r="C7901" s="701"/>
      <c r="D7901" s="811"/>
      <c r="E7901" s="1276">
        <f>[11]building!Y8232</f>
        <v>0</v>
      </c>
      <c r="F7901" s="748">
        <f t="shared" si="362"/>
        <v>0</v>
      </c>
      <c r="G7901" s="1205"/>
      <c r="H7901" s="1055"/>
      <c r="I7901" s="1055"/>
      <c r="J7901" s="1055"/>
      <c r="K7901" s="1205"/>
      <c r="L7901" s="1055"/>
      <c r="M7901" s="1205"/>
      <c r="N7901" s="1054"/>
      <c r="O7901" s="1207"/>
      <c r="Q7901" s="1207"/>
    </row>
    <row r="7902" spans="3:17" s="700" customFormat="1" ht="70.5" hidden="1" customHeight="1">
      <c r="C7902" s="701"/>
      <c r="D7902" s="811"/>
      <c r="E7902" s="1276">
        <f>[11]building!Y8233</f>
        <v>0</v>
      </c>
      <c r="F7902" s="748">
        <f t="shared" si="362"/>
        <v>0</v>
      </c>
      <c r="G7902" s="1205"/>
      <c r="H7902" s="1055"/>
      <c r="I7902" s="1055"/>
      <c r="J7902" s="1055"/>
      <c r="K7902" s="1205"/>
      <c r="L7902" s="1055"/>
      <c r="M7902" s="1205"/>
      <c r="N7902" s="1054"/>
      <c r="O7902" s="1207"/>
      <c r="Q7902" s="1207"/>
    </row>
    <row r="7903" spans="3:17" s="700" customFormat="1" ht="70.5" hidden="1" customHeight="1">
      <c r="C7903" s="701"/>
      <c r="D7903" s="811"/>
      <c r="E7903" s="1276">
        <f>[11]building!Y8234</f>
        <v>0</v>
      </c>
      <c r="F7903" s="748">
        <f t="shared" si="362"/>
        <v>0</v>
      </c>
      <c r="G7903" s="1205"/>
      <c r="H7903" s="1055"/>
      <c r="I7903" s="1055"/>
      <c r="J7903" s="1055"/>
      <c r="K7903" s="1205"/>
      <c r="L7903" s="1055"/>
      <c r="M7903" s="1205"/>
      <c r="N7903" s="1054"/>
      <c r="O7903" s="1207"/>
      <c r="Q7903" s="1207"/>
    </row>
    <row r="7904" spans="3:17" s="700" customFormat="1" ht="70.5" hidden="1" customHeight="1">
      <c r="C7904" s="701"/>
      <c r="D7904" s="811"/>
      <c r="E7904" s="1276">
        <f>[11]building!Y8235</f>
        <v>0</v>
      </c>
      <c r="F7904" s="748">
        <f t="shared" si="362"/>
        <v>0</v>
      </c>
      <c r="G7904" s="1205"/>
      <c r="H7904" s="1055"/>
      <c r="I7904" s="1055"/>
      <c r="J7904" s="1055"/>
      <c r="K7904" s="1205"/>
      <c r="L7904" s="1055"/>
      <c r="M7904" s="1205"/>
      <c r="N7904" s="1054"/>
      <c r="O7904" s="1207"/>
      <c r="Q7904" s="1207"/>
    </row>
    <row r="7905" spans="3:17" s="700" customFormat="1" ht="70.5" hidden="1" customHeight="1">
      <c r="C7905" s="701"/>
      <c r="D7905" s="811"/>
      <c r="E7905" s="1276">
        <f>[11]building!Y8236</f>
        <v>0</v>
      </c>
      <c r="F7905" s="748">
        <f t="shared" si="362"/>
        <v>0</v>
      </c>
      <c r="G7905" s="1205"/>
      <c r="H7905" s="1055"/>
      <c r="I7905" s="1055"/>
      <c r="J7905" s="1055"/>
      <c r="K7905" s="1205"/>
      <c r="L7905" s="1055"/>
      <c r="M7905" s="1205"/>
      <c r="N7905" s="1054"/>
      <c r="O7905" s="1207"/>
      <c r="Q7905" s="1207"/>
    </row>
    <row r="7906" spans="3:17" s="700" customFormat="1" ht="70.5" hidden="1" customHeight="1">
      <c r="C7906" s="701"/>
      <c r="D7906" s="811"/>
      <c r="E7906" s="1276">
        <f>[11]building!Y8237</f>
        <v>0</v>
      </c>
      <c r="F7906" s="748">
        <f t="shared" si="362"/>
        <v>0</v>
      </c>
      <c r="G7906" s="1205"/>
      <c r="H7906" s="1055"/>
      <c r="I7906" s="1055"/>
      <c r="J7906" s="1055"/>
      <c r="K7906" s="1205"/>
      <c r="L7906" s="1055"/>
      <c r="M7906" s="1205"/>
      <c r="N7906" s="1054"/>
      <c r="O7906" s="1207"/>
      <c r="Q7906" s="1207"/>
    </row>
    <row r="7907" spans="3:17" s="700" customFormat="1" ht="70.5" hidden="1" customHeight="1">
      <c r="C7907" s="701"/>
      <c r="D7907" s="811"/>
      <c r="E7907" s="1276">
        <f>[11]building!Y8238</f>
        <v>0</v>
      </c>
      <c r="F7907" s="748">
        <f t="shared" si="362"/>
        <v>0</v>
      </c>
      <c r="G7907" s="1205"/>
      <c r="H7907" s="1055"/>
      <c r="I7907" s="1055"/>
      <c r="J7907" s="1055"/>
      <c r="K7907" s="1205"/>
      <c r="L7907" s="1055"/>
      <c r="M7907" s="1205"/>
      <c r="N7907" s="1054"/>
      <c r="O7907" s="1207"/>
      <c r="Q7907" s="1207"/>
    </row>
    <row r="7908" spans="3:17" s="700" customFormat="1" ht="70.5" hidden="1" customHeight="1">
      <c r="C7908" s="701"/>
      <c r="D7908" s="811"/>
      <c r="E7908" s="1276">
        <f>[11]building!Y8239</f>
        <v>0</v>
      </c>
      <c r="F7908" s="748">
        <f t="shared" si="362"/>
        <v>0</v>
      </c>
      <c r="G7908" s="1205"/>
      <c r="H7908" s="1055"/>
      <c r="I7908" s="1055"/>
      <c r="J7908" s="1055"/>
      <c r="K7908" s="1205"/>
      <c r="L7908" s="1055"/>
      <c r="M7908" s="1205"/>
      <c r="N7908" s="1054"/>
      <c r="O7908" s="1207"/>
      <c r="Q7908" s="1207"/>
    </row>
    <row r="7909" spans="3:17" s="700" customFormat="1" ht="70.5" hidden="1" customHeight="1">
      <c r="C7909" s="701"/>
      <c r="D7909" s="811"/>
      <c r="E7909" s="1276">
        <f>[11]building!Y8240</f>
        <v>0</v>
      </c>
      <c r="F7909" s="748">
        <f t="shared" si="362"/>
        <v>0</v>
      </c>
      <c r="G7909" s="1205"/>
      <c r="H7909" s="1055"/>
      <c r="I7909" s="1055"/>
      <c r="J7909" s="1055"/>
      <c r="K7909" s="1205"/>
      <c r="L7909" s="1055"/>
      <c r="M7909" s="1205"/>
      <c r="N7909" s="1054"/>
      <c r="O7909" s="1207"/>
      <c r="Q7909" s="1207"/>
    </row>
    <row r="7910" spans="3:17" s="700" customFormat="1" ht="70.5" hidden="1" customHeight="1">
      <c r="C7910" s="701"/>
      <c r="D7910" s="811"/>
      <c r="E7910" s="1276">
        <f>[11]building!Y8241</f>
        <v>0</v>
      </c>
      <c r="F7910" s="748">
        <f t="shared" si="362"/>
        <v>0</v>
      </c>
      <c r="G7910" s="1205"/>
      <c r="H7910" s="1055"/>
      <c r="I7910" s="1055"/>
      <c r="J7910" s="1055"/>
      <c r="K7910" s="1205"/>
      <c r="L7910" s="1055"/>
      <c r="M7910" s="1205"/>
      <c r="N7910" s="1054"/>
      <c r="O7910" s="1207"/>
      <c r="Q7910" s="1207"/>
    </row>
    <row r="7911" spans="3:17" s="700" customFormat="1" ht="70.5" hidden="1" customHeight="1">
      <c r="C7911" s="701"/>
      <c r="D7911" s="811"/>
      <c r="E7911" s="1276">
        <f>[11]building!Y8242</f>
        <v>0</v>
      </c>
      <c r="F7911" s="748">
        <f t="shared" si="362"/>
        <v>0</v>
      </c>
      <c r="G7911" s="1205"/>
      <c r="H7911" s="1055"/>
      <c r="I7911" s="1055"/>
      <c r="J7911" s="1055"/>
      <c r="K7911" s="1205"/>
      <c r="L7911" s="1055"/>
      <c r="M7911" s="1205"/>
      <c r="N7911" s="1054"/>
      <c r="O7911" s="1207"/>
      <c r="Q7911" s="1207"/>
    </row>
    <row r="7912" spans="3:17" s="700" customFormat="1" ht="70.5" hidden="1" customHeight="1">
      <c r="C7912" s="701"/>
      <c r="D7912" s="811"/>
      <c r="E7912" s="1276">
        <f>[11]building!Y8243</f>
        <v>0</v>
      </c>
      <c r="F7912" s="748">
        <f t="shared" si="362"/>
        <v>0</v>
      </c>
      <c r="G7912" s="1205"/>
      <c r="H7912" s="1055"/>
      <c r="I7912" s="1055"/>
      <c r="J7912" s="1055"/>
      <c r="K7912" s="1205"/>
      <c r="L7912" s="1055"/>
      <c r="M7912" s="1205"/>
      <c r="N7912" s="1054"/>
      <c r="O7912" s="1207"/>
      <c r="Q7912" s="1207"/>
    </row>
    <row r="7913" spans="3:17" s="700" customFormat="1" ht="70.5" hidden="1" customHeight="1">
      <c r="C7913" s="701"/>
      <c r="D7913" s="811"/>
      <c r="E7913" s="1276">
        <f>[11]building!Y8244</f>
        <v>0</v>
      </c>
      <c r="F7913" s="748">
        <f t="shared" si="362"/>
        <v>0</v>
      </c>
      <c r="G7913" s="1205"/>
      <c r="H7913" s="1055"/>
      <c r="I7913" s="1055"/>
      <c r="J7913" s="1055"/>
      <c r="K7913" s="1205"/>
      <c r="L7913" s="1055"/>
      <c r="M7913" s="1205"/>
      <c r="N7913" s="1054"/>
      <c r="O7913" s="1207"/>
      <c r="Q7913" s="1207"/>
    </row>
    <row r="7914" spans="3:17" s="700" customFormat="1" ht="70.5" hidden="1" customHeight="1">
      <c r="C7914" s="701"/>
      <c r="D7914" s="811"/>
      <c r="E7914" s="1276">
        <f>[11]building!Y8245</f>
        <v>0</v>
      </c>
      <c r="F7914" s="748">
        <f t="shared" si="362"/>
        <v>0</v>
      </c>
      <c r="G7914" s="1205"/>
      <c r="H7914" s="1055"/>
      <c r="I7914" s="1055"/>
      <c r="J7914" s="1055"/>
      <c r="K7914" s="1205"/>
      <c r="L7914" s="1055"/>
      <c r="M7914" s="1205"/>
      <c r="N7914" s="1054"/>
      <c r="O7914" s="1207"/>
      <c r="Q7914" s="1207"/>
    </row>
    <row r="7915" spans="3:17" s="700" customFormat="1" ht="70.5" hidden="1" customHeight="1">
      <c r="C7915" s="701"/>
      <c r="D7915" s="811"/>
      <c r="E7915" s="1276">
        <f>[11]building!Y8246</f>
        <v>0</v>
      </c>
      <c r="F7915" s="748">
        <f t="shared" si="362"/>
        <v>0</v>
      </c>
      <c r="G7915" s="1205"/>
      <c r="H7915" s="1055"/>
      <c r="I7915" s="1055"/>
      <c r="J7915" s="1055"/>
      <c r="K7915" s="1205"/>
      <c r="L7915" s="1055"/>
      <c r="M7915" s="1205"/>
      <c r="N7915" s="1054"/>
      <c r="O7915" s="1207"/>
      <c r="Q7915" s="1207"/>
    </row>
    <row r="7916" spans="3:17" s="700" customFormat="1" ht="70.5" hidden="1" customHeight="1">
      <c r="C7916" s="701"/>
      <c r="D7916" s="811"/>
      <c r="E7916" s="1276">
        <f>[11]building!Y8247</f>
        <v>0</v>
      </c>
      <c r="F7916" s="748">
        <f t="shared" si="362"/>
        <v>0</v>
      </c>
      <c r="G7916" s="1205"/>
      <c r="H7916" s="1055"/>
      <c r="I7916" s="1055"/>
      <c r="J7916" s="1055"/>
      <c r="K7916" s="1205"/>
      <c r="L7916" s="1055"/>
      <c r="M7916" s="1205"/>
      <c r="N7916" s="1054"/>
      <c r="O7916" s="1207"/>
      <c r="Q7916" s="1207"/>
    </row>
    <row r="7917" spans="3:17" s="700" customFormat="1" ht="70.5" hidden="1" customHeight="1">
      <c r="C7917" s="701"/>
      <c r="D7917" s="811"/>
      <c r="E7917" s="1276">
        <f>[11]building!Y8248</f>
        <v>0</v>
      </c>
      <c r="F7917" s="748">
        <f t="shared" si="362"/>
        <v>0</v>
      </c>
      <c r="G7917" s="1205"/>
      <c r="H7917" s="1055"/>
      <c r="I7917" s="1055"/>
      <c r="J7917" s="1055"/>
      <c r="K7917" s="1205"/>
      <c r="L7917" s="1055"/>
      <c r="M7917" s="1205"/>
      <c r="N7917" s="1054"/>
      <c r="O7917" s="1207"/>
      <c r="Q7917" s="1207"/>
    </row>
    <row r="7918" spans="3:17" s="700" customFormat="1" ht="70.5" hidden="1" customHeight="1">
      <c r="C7918" s="701"/>
      <c r="D7918" s="811"/>
      <c r="E7918" s="1276">
        <f>[11]building!Y8249</f>
        <v>0</v>
      </c>
      <c r="F7918" s="748">
        <f t="shared" si="362"/>
        <v>0</v>
      </c>
      <c r="G7918" s="1205"/>
      <c r="H7918" s="1055"/>
      <c r="I7918" s="1055"/>
      <c r="J7918" s="1055"/>
      <c r="K7918" s="1205"/>
      <c r="L7918" s="1055"/>
      <c r="M7918" s="1205"/>
      <c r="N7918" s="1054"/>
      <c r="O7918" s="1207"/>
      <c r="Q7918" s="1207"/>
    </row>
    <row r="7919" spans="3:17" s="700" customFormat="1" ht="70.5" hidden="1" customHeight="1">
      <c r="C7919" s="701"/>
      <c r="D7919" s="811"/>
      <c r="E7919" s="1276">
        <f>[11]building!Y8250</f>
        <v>0</v>
      </c>
      <c r="F7919" s="748">
        <f t="shared" si="362"/>
        <v>0</v>
      </c>
      <c r="G7919" s="1205"/>
      <c r="H7919" s="1055"/>
      <c r="I7919" s="1055"/>
      <c r="J7919" s="1055"/>
      <c r="K7919" s="1205"/>
      <c r="L7919" s="1055"/>
      <c r="M7919" s="1205"/>
      <c r="N7919" s="1054"/>
      <c r="O7919" s="1207"/>
      <c r="Q7919" s="1207"/>
    </row>
    <row r="7920" spans="3:17" s="700" customFormat="1" ht="70.5" hidden="1" customHeight="1">
      <c r="C7920" s="701"/>
      <c r="D7920" s="811"/>
      <c r="E7920" s="1276">
        <f>[11]building!Y8251</f>
        <v>0</v>
      </c>
      <c r="F7920" s="748">
        <f t="shared" si="362"/>
        <v>0</v>
      </c>
      <c r="G7920" s="1205"/>
      <c r="H7920" s="1055"/>
      <c r="I7920" s="1055"/>
      <c r="J7920" s="1055"/>
      <c r="K7920" s="1205"/>
      <c r="L7920" s="1055"/>
      <c r="M7920" s="1205"/>
      <c r="N7920" s="1054"/>
      <c r="O7920" s="1207"/>
      <c r="Q7920" s="1207"/>
    </row>
    <row r="7921" spans="3:17" s="700" customFormat="1" ht="70.5" hidden="1" customHeight="1">
      <c r="C7921" s="701"/>
      <c r="D7921" s="811"/>
      <c r="E7921" s="1276">
        <f>[11]building!Y8252</f>
        <v>0</v>
      </c>
      <c r="F7921" s="748">
        <f t="shared" si="362"/>
        <v>0</v>
      </c>
      <c r="G7921" s="1205"/>
      <c r="H7921" s="1055"/>
      <c r="I7921" s="1055"/>
      <c r="J7921" s="1055"/>
      <c r="K7921" s="1205"/>
      <c r="L7921" s="1055"/>
      <c r="M7921" s="1205"/>
      <c r="N7921" s="1054"/>
      <c r="O7921" s="1207"/>
      <c r="Q7921" s="1207"/>
    </row>
    <row r="7922" spans="3:17" s="700" customFormat="1" ht="70.5" hidden="1" customHeight="1">
      <c r="C7922" s="701"/>
      <c r="D7922" s="811"/>
      <c r="E7922" s="1276">
        <f>[11]building!Y8253</f>
        <v>0</v>
      </c>
      <c r="F7922" s="748">
        <f t="shared" si="362"/>
        <v>0</v>
      </c>
      <c r="G7922" s="1205"/>
      <c r="H7922" s="1055"/>
      <c r="I7922" s="1055"/>
      <c r="J7922" s="1055"/>
      <c r="K7922" s="1205"/>
      <c r="L7922" s="1055"/>
      <c r="M7922" s="1205"/>
      <c r="N7922" s="1054"/>
      <c r="O7922" s="1207"/>
      <c r="Q7922" s="1207"/>
    </row>
    <row r="7923" spans="3:17" s="700" customFormat="1" ht="70.5" hidden="1" customHeight="1">
      <c r="C7923" s="701"/>
      <c r="D7923" s="811"/>
      <c r="E7923" s="1276">
        <f>[11]building!Y8254</f>
        <v>0</v>
      </c>
      <c r="F7923" s="748">
        <f t="shared" si="362"/>
        <v>0</v>
      </c>
      <c r="G7923" s="1205"/>
      <c r="H7923" s="1055"/>
      <c r="I7923" s="1055"/>
      <c r="J7923" s="1055"/>
      <c r="K7923" s="1205"/>
      <c r="L7923" s="1055"/>
      <c r="M7923" s="1205"/>
      <c r="N7923" s="1054"/>
      <c r="O7923" s="1207"/>
      <c r="Q7923" s="1207"/>
    </row>
    <row r="7924" spans="3:17" s="700" customFormat="1" ht="70.5" hidden="1" customHeight="1">
      <c r="C7924" s="701"/>
      <c r="D7924" s="811"/>
      <c r="E7924" s="1276">
        <f>[11]building!Y8255</f>
        <v>0</v>
      </c>
      <c r="F7924" s="748">
        <f t="shared" si="362"/>
        <v>0</v>
      </c>
      <c r="G7924" s="1205"/>
      <c r="H7924" s="1055"/>
      <c r="I7924" s="1055"/>
      <c r="J7924" s="1055"/>
      <c r="K7924" s="1205"/>
      <c r="L7924" s="1055"/>
      <c r="M7924" s="1205"/>
      <c r="N7924" s="1054"/>
      <c r="O7924" s="1207"/>
      <c r="Q7924" s="1207"/>
    </row>
    <row r="7925" spans="3:17" s="700" customFormat="1" ht="70.5" hidden="1" customHeight="1">
      <c r="C7925" s="701"/>
      <c r="D7925" s="811"/>
      <c r="E7925" s="1276">
        <f>[11]building!Y8256</f>
        <v>0</v>
      </c>
      <c r="F7925" s="748">
        <f t="shared" si="362"/>
        <v>0</v>
      </c>
      <c r="G7925" s="1205"/>
      <c r="H7925" s="1055"/>
      <c r="I7925" s="1055"/>
      <c r="J7925" s="1055"/>
      <c r="K7925" s="1205"/>
      <c r="L7925" s="1055"/>
      <c r="M7925" s="1205"/>
      <c r="N7925" s="1054"/>
      <c r="O7925" s="1207"/>
      <c r="Q7925" s="1207"/>
    </row>
    <row r="7926" spans="3:17" s="700" customFormat="1" ht="70.5" hidden="1" customHeight="1">
      <c r="C7926" s="701"/>
      <c r="D7926" s="811"/>
      <c r="E7926" s="1276">
        <f>[11]building!Y8257</f>
        <v>0</v>
      </c>
      <c r="F7926" s="748">
        <f t="shared" si="362"/>
        <v>0</v>
      </c>
      <c r="G7926" s="1205"/>
      <c r="H7926" s="1055"/>
      <c r="I7926" s="1055"/>
      <c r="J7926" s="1055"/>
      <c r="K7926" s="1205"/>
      <c r="L7926" s="1055"/>
      <c r="M7926" s="1205"/>
      <c r="N7926" s="1054"/>
      <c r="O7926" s="1207"/>
      <c r="Q7926" s="1207"/>
    </row>
    <row r="7927" spans="3:17" s="700" customFormat="1" ht="70.5" hidden="1" customHeight="1">
      <c r="C7927" s="701"/>
      <c r="D7927" s="811"/>
      <c r="E7927" s="1276">
        <f>[11]building!Y8258</f>
        <v>0</v>
      </c>
      <c r="F7927" s="748">
        <f t="shared" si="362"/>
        <v>0</v>
      </c>
      <c r="G7927" s="1205"/>
      <c r="H7927" s="1055"/>
      <c r="I7927" s="1055"/>
      <c r="J7927" s="1055"/>
      <c r="K7927" s="1205"/>
      <c r="L7927" s="1055"/>
      <c r="M7927" s="1205"/>
      <c r="N7927" s="1054"/>
      <c r="O7927" s="1207"/>
      <c r="Q7927" s="1207"/>
    </row>
    <row r="7928" spans="3:17" s="700" customFormat="1" ht="70.5" hidden="1" customHeight="1">
      <c r="C7928" s="701"/>
      <c r="D7928" s="811"/>
      <c r="E7928" s="1276">
        <f>[11]building!Y8259</f>
        <v>0</v>
      </c>
      <c r="F7928" s="748">
        <f t="shared" si="362"/>
        <v>0</v>
      </c>
      <c r="G7928" s="1205"/>
      <c r="H7928" s="1055"/>
      <c r="I7928" s="1055"/>
      <c r="J7928" s="1055"/>
      <c r="K7928" s="1205"/>
      <c r="L7928" s="1055"/>
      <c r="M7928" s="1205"/>
      <c r="N7928" s="1054"/>
      <c r="O7928" s="1207"/>
      <c r="Q7928" s="1207"/>
    </row>
    <row r="7929" spans="3:17" s="700" customFormat="1" ht="70.5" hidden="1" customHeight="1">
      <c r="C7929" s="701"/>
      <c r="D7929" s="811"/>
      <c r="E7929" s="1276">
        <f>[11]building!Y8260</f>
        <v>0</v>
      </c>
      <c r="F7929" s="748">
        <f t="shared" si="362"/>
        <v>0</v>
      </c>
      <c r="G7929" s="1205"/>
      <c r="H7929" s="1055"/>
      <c r="I7929" s="1055"/>
      <c r="J7929" s="1055"/>
      <c r="K7929" s="1205"/>
      <c r="L7929" s="1055"/>
      <c r="M7929" s="1205"/>
      <c r="N7929" s="1054"/>
      <c r="O7929" s="1207"/>
      <c r="Q7929" s="1207"/>
    </row>
    <row r="7930" spans="3:17" s="700" customFormat="1" ht="70.5" hidden="1" customHeight="1">
      <c r="C7930" s="701"/>
      <c r="D7930" s="811"/>
      <c r="E7930" s="1276">
        <f>[11]building!Y8261</f>
        <v>0</v>
      </c>
      <c r="F7930" s="748">
        <f t="shared" si="362"/>
        <v>0</v>
      </c>
      <c r="G7930" s="1205"/>
      <c r="H7930" s="1055"/>
      <c r="I7930" s="1055"/>
      <c r="J7930" s="1055"/>
      <c r="K7930" s="1205"/>
      <c r="L7930" s="1055"/>
      <c r="M7930" s="1205"/>
      <c r="N7930" s="1054"/>
      <c r="O7930" s="1207"/>
      <c r="Q7930" s="1207"/>
    </row>
    <row r="7931" spans="3:17" s="700" customFormat="1" ht="70.5" hidden="1" customHeight="1">
      <c r="C7931" s="701"/>
      <c r="D7931" s="811"/>
      <c r="E7931" s="1276">
        <f>[11]building!Y8262</f>
        <v>0</v>
      </c>
      <c r="F7931" s="748">
        <f t="shared" si="362"/>
        <v>0</v>
      </c>
      <c r="G7931" s="1205"/>
      <c r="H7931" s="1055"/>
      <c r="I7931" s="1055"/>
      <c r="J7931" s="1055"/>
      <c r="K7931" s="1205"/>
      <c r="L7931" s="1055"/>
      <c r="M7931" s="1205"/>
      <c r="N7931" s="1054"/>
      <c r="O7931" s="1207"/>
      <c r="Q7931" s="1207"/>
    </row>
    <row r="7932" spans="3:17" s="700" customFormat="1" ht="70.5" hidden="1" customHeight="1">
      <c r="C7932" s="701"/>
      <c r="D7932" s="811"/>
      <c r="E7932" s="1276">
        <f>[11]building!Y8263</f>
        <v>0</v>
      </c>
      <c r="F7932" s="748">
        <f t="shared" si="362"/>
        <v>0</v>
      </c>
      <c r="G7932" s="1205"/>
      <c r="H7932" s="1055"/>
      <c r="I7932" s="1055"/>
      <c r="J7932" s="1055"/>
      <c r="K7932" s="1205"/>
      <c r="L7932" s="1055"/>
      <c r="M7932" s="1205"/>
      <c r="N7932" s="1054"/>
      <c r="O7932" s="1207"/>
      <c r="Q7932" s="1207"/>
    </row>
    <row r="7933" spans="3:17" s="700" customFormat="1" ht="70.5" hidden="1" customHeight="1">
      <c r="C7933" s="701"/>
      <c r="D7933" s="811"/>
      <c r="E7933" s="1276">
        <f>[11]building!Y8264</f>
        <v>0</v>
      </c>
      <c r="F7933" s="748">
        <f t="shared" si="362"/>
        <v>0</v>
      </c>
      <c r="G7933" s="1205"/>
      <c r="H7933" s="1055"/>
      <c r="I7933" s="1055"/>
      <c r="J7933" s="1055"/>
      <c r="K7933" s="1205"/>
      <c r="L7933" s="1055"/>
      <c r="M7933" s="1205"/>
      <c r="N7933" s="1054"/>
      <c r="O7933" s="1207"/>
      <c r="Q7933" s="1207"/>
    </row>
    <row r="7934" spans="3:17" s="700" customFormat="1" ht="70.5" hidden="1" customHeight="1">
      <c r="C7934" s="701"/>
      <c r="D7934" s="811"/>
      <c r="E7934" s="1276">
        <f>[11]building!Y8265</f>
        <v>0</v>
      </c>
      <c r="F7934" s="748">
        <f t="shared" si="362"/>
        <v>0</v>
      </c>
      <c r="G7934" s="1205"/>
      <c r="H7934" s="1055"/>
      <c r="I7934" s="1055"/>
      <c r="J7934" s="1055"/>
      <c r="K7934" s="1205"/>
      <c r="L7934" s="1055"/>
      <c r="M7934" s="1205"/>
      <c r="N7934" s="1054"/>
      <c r="O7934" s="1207"/>
      <c r="Q7934" s="1207"/>
    </row>
    <row r="7935" spans="3:17" s="700" customFormat="1" ht="70.5" hidden="1" customHeight="1">
      <c r="C7935" s="701"/>
      <c r="D7935" s="811"/>
      <c r="E7935" s="1276">
        <f>[11]building!Y8266</f>
        <v>0</v>
      </c>
      <c r="F7935" s="748">
        <f t="shared" si="362"/>
        <v>0</v>
      </c>
      <c r="G7935" s="1205"/>
      <c r="H7935" s="1055"/>
      <c r="I7935" s="1055"/>
      <c r="J7935" s="1055"/>
      <c r="K7935" s="1205"/>
      <c r="L7935" s="1055"/>
      <c r="M7935" s="1205"/>
      <c r="N7935" s="1054"/>
      <c r="O7935" s="1207"/>
      <c r="Q7935" s="1207"/>
    </row>
    <row r="7936" spans="3:17" s="700" customFormat="1" ht="70.5" hidden="1" customHeight="1">
      <c r="C7936" s="701"/>
      <c r="D7936" s="811"/>
      <c r="E7936" s="1276">
        <f>[11]building!Y8267</f>
        <v>0</v>
      </c>
      <c r="F7936" s="748">
        <f t="shared" ref="F7936:F7999" si="363">E7936*C7936</f>
        <v>0</v>
      </c>
      <c r="G7936" s="1205"/>
      <c r="H7936" s="1055"/>
      <c r="I7936" s="1055"/>
      <c r="J7936" s="1055"/>
      <c r="K7936" s="1205"/>
      <c r="L7936" s="1055"/>
      <c r="M7936" s="1205"/>
      <c r="N7936" s="1054"/>
      <c r="O7936" s="1207"/>
      <c r="Q7936" s="1207"/>
    </row>
    <row r="7937" spans="3:17" s="700" customFormat="1" ht="70.5" hidden="1" customHeight="1">
      <c r="C7937" s="701"/>
      <c r="D7937" s="811"/>
      <c r="E7937" s="1276">
        <f>[11]building!Y8268</f>
        <v>0</v>
      </c>
      <c r="F7937" s="748">
        <f t="shared" si="363"/>
        <v>0</v>
      </c>
      <c r="G7937" s="1205"/>
      <c r="H7937" s="1055"/>
      <c r="I7937" s="1055"/>
      <c r="J7937" s="1055"/>
      <c r="K7937" s="1205"/>
      <c r="L7937" s="1055"/>
      <c r="M7937" s="1205"/>
      <c r="N7937" s="1054"/>
      <c r="O7937" s="1207"/>
      <c r="Q7937" s="1207"/>
    </row>
    <row r="7938" spans="3:17" s="700" customFormat="1" ht="70.5" hidden="1" customHeight="1">
      <c r="C7938" s="701"/>
      <c r="D7938" s="811"/>
      <c r="E7938" s="1276">
        <f>[11]building!Y8269</f>
        <v>0</v>
      </c>
      <c r="F7938" s="748">
        <f t="shared" si="363"/>
        <v>0</v>
      </c>
      <c r="G7938" s="1205"/>
      <c r="H7938" s="1055"/>
      <c r="I7938" s="1055"/>
      <c r="J7938" s="1055"/>
      <c r="K7938" s="1205"/>
      <c r="L7938" s="1055"/>
      <c r="M7938" s="1205"/>
      <c r="N7938" s="1054"/>
      <c r="O7938" s="1207"/>
      <c r="Q7938" s="1207"/>
    </row>
    <row r="7939" spans="3:17" s="700" customFormat="1" ht="70.5" hidden="1" customHeight="1">
      <c r="C7939" s="701"/>
      <c r="D7939" s="811"/>
      <c r="E7939" s="1276">
        <f>[11]building!Y8270</f>
        <v>0</v>
      </c>
      <c r="F7939" s="748">
        <f t="shared" si="363"/>
        <v>0</v>
      </c>
      <c r="G7939" s="1205"/>
      <c r="H7939" s="1055"/>
      <c r="I7939" s="1055"/>
      <c r="J7939" s="1055"/>
      <c r="K7939" s="1205"/>
      <c r="L7939" s="1055"/>
      <c r="M7939" s="1205"/>
      <c r="N7939" s="1054"/>
      <c r="O7939" s="1207"/>
      <c r="Q7939" s="1207"/>
    </row>
    <row r="7940" spans="3:17" s="700" customFormat="1" ht="70.5" hidden="1" customHeight="1">
      <c r="C7940" s="701"/>
      <c r="D7940" s="811"/>
      <c r="E7940" s="1276">
        <f>[11]building!Y8271</f>
        <v>0</v>
      </c>
      <c r="F7940" s="748">
        <f t="shared" si="363"/>
        <v>0</v>
      </c>
      <c r="G7940" s="1205"/>
      <c r="H7940" s="1055"/>
      <c r="I7940" s="1055"/>
      <c r="J7940" s="1055"/>
      <c r="K7940" s="1205"/>
      <c r="L7940" s="1055"/>
      <c r="M7940" s="1205"/>
      <c r="N7940" s="1054"/>
      <c r="O7940" s="1207"/>
      <c r="Q7940" s="1207"/>
    </row>
    <row r="7941" spans="3:17" s="700" customFormat="1" ht="70.5" hidden="1" customHeight="1">
      <c r="C7941" s="701"/>
      <c r="D7941" s="811"/>
      <c r="E7941" s="1276">
        <f>[11]building!Y8272</f>
        <v>0</v>
      </c>
      <c r="F7941" s="748">
        <f t="shared" si="363"/>
        <v>0</v>
      </c>
      <c r="G7941" s="1205"/>
      <c r="H7941" s="1055"/>
      <c r="I7941" s="1055"/>
      <c r="J7941" s="1055"/>
      <c r="K7941" s="1205"/>
      <c r="L7941" s="1055"/>
      <c r="M7941" s="1205"/>
      <c r="N7941" s="1054"/>
      <c r="O7941" s="1207"/>
      <c r="Q7941" s="1207"/>
    </row>
    <row r="7942" spans="3:17" s="700" customFormat="1" ht="70.5" hidden="1" customHeight="1">
      <c r="C7942" s="701"/>
      <c r="D7942" s="811"/>
      <c r="E7942" s="1276">
        <f>[11]building!Y8273</f>
        <v>0</v>
      </c>
      <c r="F7942" s="748">
        <f t="shared" si="363"/>
        <v>0</v>
      </c>
      <c r="G7942" s="1205"/>
      <c r="H7942" s="1055"/>
      <c r="I7942" s="1055"/>
      <c r="J7942" s="1055"/>
      <c r="K7942" s="1205"/>
      <c r="L7942" s="1055"/>
      <c r="M7942" s="1205"/>
      <c r="N7942" s="1054"/>
      <c r="O7942" s="1207"/>
      <c r="Q7942" s="1207"/>
    </row>
    <row r="7943" spans="3:17" s="700" customFormat="1" ht="70.5" hidden="1" customHeight="1">
      <c r="C7943" s="701"/>
      <c r="D7943" s="811"/>
      <c r="E7943" s="1276">
        <f>[11]building!Y8274</f>
        <v>0</v>
      </c>
      <c r="F7943" s="748">
        <f t="shared" si="363"/>
        <v>0</v>
      </c>
      <c r="G7943" s="1205"/>
      <c r="H7943" s="1055"/>
      <c r="I7943" s="1055"/>
      <c r="J7943" s="1055"/>
      <c r="K7943" s="1205"/>
      <c r="L7943" s="1055"/>
      <c r="M7943" s="1205"/>
      <c r="N7943" s="1054"/>
      <c r="O7943" s="1207"/>
      <c r="Q7943" s="1207"/>
    </row>
    <row r="7944" spans="3:17" s="700" customFormat="1" ht="70.5" hidden="1" customHeight="1">
      <c r="C7944" s="701"/>
      <c r="D7944" s="811"/>
      <c r="E7944" s="1276">
        <f>[11]building!Y8275</f>
        <v>0</v>
      </c>
      <c r="F7944" s="748">
        <f t="shared" si="363"/>
        <v>0</v>
      </c>
      <c r="G7944" s="1205"/>
      <c r="H7944" s="1055"/>
      <c r="I7944" s="1055"/>
      <c r="J7944" s="1055"/>
      <c r="K7944" s="1205"/>
      <c r="L7944" s="1055"/>
      <c r="M7944" s="1205"/>
      <c r="N7944" s="1054"/>
      <c r="O7944" s="1207"/>
      <c r="Q7944" s="1207"/>
    </row>
    <row r="7945" spans="3:17" s="700" customFormat="1" ht="70.5" hidden="1" customHeight="1">
      <c r="C7945" s="701"/>
      <c r="D7945" s="811"/>
      <c r="E7945" s="1276">
        <f>[11]building!Y8276</f>
        <v>0</v>
      </c>
      <c r="F7945" s="748">
        <f t="shared" si="363"/>
        <v>0</v>
      </c>
      <c r="G7945" s="1205"/>
      <c r="H7945" s="1055"/>
      <c r="I7945" s="1055"/>
      <c r="J7945" s="1055"/>
      <c r="K7945" s="1205"/>
      <c r="L7945" s="1055"/>
      <c r="M7945" s="1205"/>
      <c r="N7945" s="1054"/>
      <c r="O7945" s="1207"/>
      <c r="Q7945" s="1207"/>
    </row>
    <row r="7946" spans="3:17" s="700" customFormat="1" ht="70.5" hidden="1" customHeight="1">
      <c r="C7946" s="701"/>
      <c r="D7946" s="811"/>
      <c r="E7946" s="1276">
        <f>[11]building!Y8277</f>
        <v>0</v>
      </c>
      <c r="F7946" s="748">
        <f t="shared" si="363"/>
        <v>0</v>
      </c>
      <c r="G7946" s="1205"/>
      <c r="H7946" s="1055"/>
      <c r="I7946" s="1055"/>
      <c r="J7946" s="1055"/>
      <c r="K7946" s="1205"/>
      <c r="L7946" s="1055"/>
      <c r="M7946" s="1205"/>
      <c r="N7946" s="1054"/>
      <c r="O7946" s="1207"/>
      <c r="Q7946" s="1207"/>
    </row>
    <row r="7947" spans="3:17" s="700" customFormat="1" ht="70.5" hidden="1" customHeight="1">
      <c r="C7947" s="701"/>
      <c r="D7947" s="811"/>
      <c r="E7947" s="1276">
        <f>[11]building!Y8278</f>
        <v>0</v>
      </c>
      <c r="F7947" s="748">
        <f t="shared" si="363"/>
        <v>0</v>
      </c>
      <c r="G7947" s="1205"/>
      <c r="H7947" s="1055"/>
      <c r="I7947" s="1055"/>
      <c r="J7947" s="1055"/>
      <c r="K7947" s="1205"/>
      <c r="L7947" s="1055"/>
      <c r="M7947" s="1205"/>
      <c r="N7947" s="1054"/>
      <c r="O7947" s="1207"/>
      <c r="Q7947" s="1207"/>
    </row>
    <row r="7948" spans="3:17" s="700" customFormat="1" ht="70.5" hidden="1" customHeight="1">
      <c r="C7948" s="701"/>
      <c r="D7948" s="811"/>
      <c r="E7948" s="1276">
        <f>[11]building!Y8279</f>
        <v>0</v>
      </c>
      <c r="F7948" s="748">
        <f t="shared" si="363"/>
        <v>0</v>
      </c>
      <c r="G7948" s="1205"/>
      <c r="H7948" s="1055"/>
      <c r="I7948" s="1055"/>
      <c r="J7948" s="1055"/>
      <c r="K7948" s="1205"/>
      <c r="L7948" s="1055"/>
      <c r="M7948" s="1205"/>
      <c r="N7948" s="1054"/>
      <c r="O7948" s="1207"/>
      <c r="Q7948" s="1207"/>
    </row>
    <row r="7949" spans="3:17" s="700" customFormat="1" ht="70.5" hidden="1" customHeight="1">
      <c r="C7949" s="701"/>
      <c r="D7949" s="811"/>
      <c r="E7949" s="1276">
        <f>[11]building!Y8280</f>
        <v>0</v>
      </c>
      <c r="F7949" s="748">
        <f t="shared" si="363"/>
        <v>0</v>
      </c>
      <c r="G7949" s="1205"/>
      <c r="H7949" s="1055"/>
      <c r="I7949" s="1055"/>
      <c r="J7949" s="1055"/>
      <c r="K7949" s="1205"/>
      <c r="L7949" s="1055"/>
      <c r="M7949" s="1205"/>
      <c r="N7949" s="1054"/>
      <c r="O7949" s="1207"/>
      <c r="Q7949" s="1207"/>
    </row>
    <row r="7950" spans="3:17" s="700" customFormat="1" ht="70.5" hidden="1" customHeight="1">
      <c r="C7950" s="701"/>
      <c r="D7950" s="811"/>
      <c r="E7950" s="1276">
        <f>[11]building!Y8281</f>
        <v>0</v>
      </c>
      <c r="F7950" s="748">
        <f t="shared" si="363"/>
        <v>0</v>
      </c>
      <c r="G7950" s="1205"/>
      <c r="H7950" s="1055"/>
      <c r="I7950" s="1055"/>
      <c r="J7950" s="1055"/>
      <c r="K7950" s="1205"/>
      <c r="L7950" s="1055"/>
      <c r="M7950" s="1205"/>
      <c r="N7950" s="1054"/>
      <c r="O7950" s="1207"/>
      <c r="Q7950" s="1207"/>
    </row>
    <row r="7951" spans="3:17" s="700" customFormat="1" ht="70.5" hidden="1" customHeight="1">
      <c r="C7951" s="701"/>
      <c r="D7951" s="811"/>
      <c r="E7951" s="1276">
        <f>[11]building!Y8282</f>
        <v>0</v>
      </c>
      <c r="F7951" s="748">
        <f t="shared" si="363"/>
        <v>0</v>
      </c>
      <c r="G7951" s="1205"/>
      <c r="H7951" s="1055"/>
      <c r="I7951" s="1055"/>
      <c r="J7951" s="1055"/>
      <c r="K7951" s="1205"/>
      <c r="L7951" s="1055"/>
      <c r="M7951" s="1205"/>
      <c r="N7951" s="1054"/>
      <c r="O7951" s="1207"/>
      <c r="Q7951" s="1207"/>
    </row>
    <row r="7952" spans="3:17" s="700" customFormat="1" ht="70.5" hidden="1" customHeight="1">
      <c r="C7952" s="701"/>
      <c r="D7952" s="811"/>
      <c r="E7952" s="1276">
        <f>[11]building!Y8283</f>
        <v>0</v>
      </c>
      <c r="F7952" s="748">
        <f t="shared" si="363"/>
        <v>0</v>
      </c>
      <c r="G7952" s="1205"/>
      <c r="H7952" s="1055"/>
      <c r="I7952" s="1055"/>
      <c r="J7952" s="1055"/>
      <c r="K7952" s="1205"/>
      <c r="L7952" s="1055"/>
      <c r="M7952" s="1205"/>
      <c r="N7952" s="1054"/>
      <c r="O7952" s="1207"/>
      <c r="Q7952" s="1207"/>
    </row>
    <row r="7953" spans="3:17" s="700" customFormat="1" ht="70.5" hidden="1" customHeight="1">
      <c r="C7953" s="701"/>
      <c r="D7953" s="811"/>
      <c r="E7953" s="1276">
        <f>[11]building!Y8284</f>
        <v>0</v>
      </c>
      <c r="F7953" s="748">
        <f t="shared" si="363"/>
        <v>0</v>
      </c>
      <c r="G7953" s="1205"/>
      <c r="H7953" s="1055"/>
      <c r="I7953" s="1055"/>
      <c r="J7953" s="1055"/>
      <c r="K7953" s="1205"/>
      <c r="L7953" s="1055"/>
      <c r="M7953" s="1205"/>
      <c r="N7953" s="1054"/>
      <c r="O7953" s="1207"/>
      <c r="Q7953" s="1207"/>
    </row>
    <row r="7954" spans="3:17" s="700" customFormat="1" ht="70.5" hidden="1" customHeight="1">
      <c r="C7954" s="701"/>
      <c r="D7954" s="811"/>
      <c r="E7954" s="1276">
        <f>[11]building!Y8285</f>
        <v>0</v>
      </c>
      <c r="F7954" s="748">
        <f t="shared" si="363"/>
        <v>0</v>
      </c>
      <c r="G7954" s="1205"/>
      <c r="H7954" s="1055"/>
      <c r="I7954" s="1055"/>
      <c r="J7954" s="1055"/>
      <c r="K7954" s="1205"/>
      <c r="L7954" s="1055"/>
      <c r="M7954" s="1205"/>
      <c r="N7954" s="1054"/>
      <c r="O7954" s="1207"/>
      <c r="Q7954" s="1207"/>
    </row>
    <row r="7955" spans="3:17" s="700" customFormat="1" ht="70.5" hidden="1" customHeight="1">
      <c r="C7955" s="701"/>
      <c r="D7955" s="811"/>
      <c r="E7955" s="1276">
        <f>[11]building!Y8286</f>
        <v>0</v>
      </c>
      <c r="F7955" s="748">
        <f t="shared" si="363"/>
        <v>0</v>
      </c>
      <c r="G7955" s="1205"/>
      <c r="H7955" s="1055"/>
      <c r="I7955" s="1055"/>
      <c r="J7955" s="1055"/>
      <c r="K7955" s="1205"/>
      <c r="L7955" s="1055"/>
      <c r="M7955" s="1205"/>
      <c r="N7955" s="1054"/>
      <c r="O7955" s="1207"/>
      <c r="Q7955" s="1207"/>
    </row>
    <row r="7956" spans="3:17" s="700" customFormat="1" ht="70.5" hidden="1" customHeight="1">
      <c r="C7956" s="701"/>
      <c r="D7956" s="811"/>
      <c r="E7956" s="1276">
        <f>[11]building!Y8287</f>
        <v>0</v>
      </c>
      <c r="F7956" s="748">
        <f t="shared" si="363"/>
        <v>0</v>
      </c>
      <c r="G7956" s="1205"/>
      <c r="H7956" s="1055"/>
      <c r="I7956" s="1055"/>
      <c r="J7956" s="1055"/>
      <c r="K7956" s="1205"/>
      <c r="L7956" s="1055"/>
      <c r="M7956" s="1205"/>
      <c r="N7956" s="1054"/>
      <c r="O7956" s="1207"/>
      <c r="Q7956" s="1207"/>
    </row>
    <row r="7957" spans="3:17" s="700" customFormat="1" ht="70.5" hidden="1" customHeight="1">
      <c r="C7957" s="701"/>
      <c r="D7957" s="811"/>
      <c r="E7957" s="1276">
        <f>[11]building!Y8288</f>
        <v>0</v>
      </c>
      <c r="F7957" s="748">
        <f t="shared" si="363"/>
        <v>0</v>
      </c>
      <c r="G7957" s="1205"/>
      <c r="H7957" s="1055"/>
      <c r="I7957" s="1055"/>
      <c r="J7957" s="1055"/>
      <c r="K7957" s="1205"/>
      <c r="L7957" s="1055"/>
      <c r="M7957" s="1205"/>
      <c r="N7957" s="1054"/>
      <c r="O7957" s="1207"/>
      <c r="Q7957" s="1207"/>
    </row>
    <row r="7958" spans="3:17" s="700" customFormat="1" ht="70.5" hidden="1" customHeight="1">
      <c r="C7958" s="701"/>
      <c r="D7958" s="811"/>
      <c r="E7958" s="1276">
        <f>[11]building!Y8289</f>
        <v>0</v>
      </c>
      <c r="F7958" s="748">
        <f t="shared" si="363"/>
        <v>0</v>
      </c>
      <c r="G7958" s="1205"/>
      <c r="H7958" s="1055"/>
      <c r="I7958" s="1055"/>
      <c r="J7958" s="1055"/>
      <c r="K7958" s="1205"/>
      <c r="L7958" s="1055"/>
      <c r="M7958" s="1205"/>
      <c r="N7958" s="1054"/>
      <c r="O7958" s="1207"/>
      <c r="Q7958" s="1207"/>
    </row>
    <row r="7959" spans="3:17" s="700" customFormat="1" ht="70.5" hidden="1" customHeight="1">
      <c r="C7959" s="701"/>
      <c r="D7959" s="811"/>
      <c r="E7959" s="1276">
        <f>[11]building!Y8290</f>
        <v>0</v>
      </c>
      <c r="F7959" s="748">
        <f t="shared" si="363"/>
        <v>0</v>
      </c>
      <c r="G7959" s="1205"/>
      <c r="H7959" s="1055"/>
      <c r="I7959" s="1055"/>
      <c r="J7959" s="1055"/>
      <c r="K7959" s="1205"/>
      <c r="L7959" s="1055"/>
      <c r="M7959" s="1205"/>
      <c r="N7959" s="1054"/>
      <c r="O7959" s="1207"/>
      <c r="Q7959" s="1207"/>
    </row>
    <row r="7960" spans="3:17" s="700" customFormat="1" ht="70.5" hidden="1" customHeight="1">
      <c r="C7960" s="701"/>
      <c r="D7960" s="811"/>
      <c r="E7960" s="1276">
        <f>[11]building!Y8291</f>
        <v>0</v>
      </c>
      <c r="F7960" s="748">
        <f t="shared" si="363"/>
        <v>0</v>
      </c>
      <c r="G7960" s="1205"/>
      <c r="H7960" s="1055"/>
      <c r="I7960" s="1055"/>
      <c r="J7960" s="1055"/>
      <c r="K7960" s="1205"/>
      <c r="L7960" s="1055"/>
      <c r="M7960" s="1205"/>
      <c r="N7960" s="1054"/>
      <c r="O7960" s="1207"/>
      <c r="Q7960" s="1207"/>
    </row>
    <row r="7961" spans="3:17" s="700" customFormat="1" ht="70.5" hidden="1" customHeight="1">
      <c r="C7961" s="701"/>
      <c r="D7961" s="811"/>
      <c r="E7961" s="1276">
        <f>[11]building!Y8292</f>
        <v>0</v>
      </c>
      <c r="F7961" s="748">
        <f t="shared" si="363"/>
        <v>0</v>
      </c>
      <c r="G7961" s="1205"/>
      <c r="H7961" s="1055"/>
      <c r="I7961" s="1055"/>
      <c r="J7961" s="1055"/>
      <c r="K7961" s="1205"/>
      <c r="L7961" s="1055"/>
      <c r="M7961" s="1205"/>
      <c r="N7961" s="1054"/>
      <c r="O7961" s="1207"/>
      <c r="Q7961" s="1207"/>
    </row>
    <row r="7962" spans="3:17" s="700" customFormat="1" ht="70.5" hidden="1" customHeight="1">
      <c r="C7962" s="701"/>
      <c r="D7962" s="811"/>
      <c r="E7962" s="1276">
        <f>[11]building!Y8293</f>
        <v>0</v>
      </c>
      <c r="F7962" s="748">
        <f t="shared" si="363"/>
        <v>0</v>
      </c>
      <c r="G7962" s="1205"/>
      <c r="H7962" s="1055"/>
      <c r="I7962" s="1055"/>
      <c r="J7962" s="1055"/>
      <c r="K7962" s="1205"/>
      <c r="L7962" s="1055"/>
      <c r="M7962" s="1205"/>
      <c r="N7962" s="1054"/>
      <c r="O7962" s="1207"/>
      <c r="Q7962" s="1207"/>
    </row>
    <row r="7963" spans="3:17" s="700" customFormat="1" ht="70.5" hidden="1" customHeight="1">
      <c r="C7963" s="701"/>
      <c r="D7963" s="811"/>
      <c r="E7963" s="1276">
        <f>[11]building!Y8294</f>
        <v>0</v>
      </c>
      <c r="F7963" s="748">
        <f t="shared" si="363"/>
        <v>0</v>
      </c>
      <c r="G7963" s="1205"/>
      <c r="H7963" s="1055"/>
      <c r="I7963" s="1055"/>
      <c r="J7963" s="1055"/>
      <c r="K7963" s="1205"/>
      <c r="L7963" s="1055"/>
      <c r="M7963" s="1205"/>
      <c r="N7963" s="1054"/>
      <c r="O7963" s="1207"/>
      <c r="Q7963" s="1207"/>
    </row>
    <row r="7964" spans="3:17" s="700" customFormat="1" ht="70.5" hidden="1" customHeight="1">
      <c r="C7964" s="701"/>
      <c r="D7964" s="811"/>
      <c r="E7964" s="1276">
        <f>[11]building!Y8295</f>
        <v>0</v>
      </c>
      <c r="F7964" s="748">
        <f t="shared" si="363"/>
        <v>0</v>
      </c>
      <c r="G7964" s="1205"/>
      <c r="H7964" s="1055"/>
      <c r="I7964" s="1055"/>
      <c r="J7964" s="1055"/>
      <c r="K7964" s="1205"/>
      <c r="L7964" s="1055"/>
      <c r="M7964" s="1205"/>
      <c r="N7964" s="1054"/>
      <c r="O7964" s="1207"/>
      <c r="Q7964" s="1207"/>
    </row>
    <row r="7965" spans="3:17" s="700" customFormat="1" ht="70.5" hidden="1" customHeight="1">
      <c r="C7965" s="701"/>
      <c r="D7965" s="811"/>
      <c r="E7965" s="1276">
        <f>[11]building!Y8296</f>
        <v>0</v>
      </c>
      <c r="F7965" s="748">
        <f t="shared" si="363"/>
        <v>0</v>
      </c>
      <c r="G7965" s="1205"/>
      <c r="H7965" s="1055"/>
      <c r="I7965" s="1055"/>
      <c r="J7965" s="1055"/>
      <c r="K7965" s="1205"/>
      <c r="L7965" s="1055"/>
      <c r="M7965" s="1205"/>
      <c r="N7965" s="1054"/>
      <c r="O7965" s="1207"/>
      <c r="Q7965" s="1207"/>
    </row>
    <row r="7966" spans="3:17" s="700" customFormat="1" ht="70.5" hidden="1" customHeight="1">
      <c r="C7966" s="701"/>
      <c r="D7966" s="811"/>
      <c r="E7966" s="1276">
        <f>[11]building!Y8297</f>
        <v>0</v>
      </c>
      <c r="F7966" s="748">
        <f t="shared" si="363"/>
        <v>0</v>
      </c>
      <c r="G7966" s="1205"/>
      <c r="H7966" s="1055"/>
      <c r="I7966" s="1055"/>
      <c r="J7966" s="1055"/>
      <c r="K7966" s="1205"/>
      <c r="L7966" s="1055"/>
      <c r="M7966" s="1205"/>
      <c r="N7966" s="1054"/>
      <c r="O7966" s="1207"/>
      <c r="Q7966" s="1207"/>
    </row>
    <row r="7967" spans="3:17" s="700" customFormat="1" ht="70.5" hidden="1" customHeight="1">
      <c r="C7967" s="701"/>
      <c r="D7967" s="811"/>
      <c r="E7967" s="1276">
        <f>[11]building!Y8298</f>
        <v>0</v>
      </c>
      <c r="F7967" s="748">
        <f t="shared" si="363"/>
        <v>0</v>
      </c>
      <c r="G7967" s="1205"/>
      <c r="H7967" s="1055"/>
      <c r="I7967" s="1055"/>
      <c r="J7967" s="1055"/>
      <c r="K7967" s="1205"/>
      <c r="L7967" s="1055"/>
      <c r="M7967" s="1205"/>
      <c r="N7967" s="1054"/>
      <c r="O7967" s="1207"/>
      <c r="Q7967" s="1207"/>
    </row>
    <row r="7968" spans="3:17" s="700" customFormat="1" ht="70.5" hidden="1" customHeight="1">
      <c r="C7968" s="701"/>
      <c r="D7968" s="811"/>
      <c r="E7968" s="1276">
        <f>[11]building!Y8299</f>
        <v>0</v>
      </c>
      <c r="F7968" s="748">
        <f t="shared" si="363"/>
        <v>0</v>
      </c>
      <c r="G7968" s="1205"/>
      <c r="H7968" s="1055"/>
      <c r="I7968" s="1055"/>
      <c r="J7968" s="1055"/>
      <c r="K7968" s="1205"/>
      <c r="L7968" s="1055"/>
      <c r="M7968" s="1205"/>
      <c r="N7968" s="1054"/>
      <c r="O7968" s="1207"/>
      <c r="Q7968" s="1207"/>
    </row>
    <row r="7969" spans="3:17" s="700" customFormat="1" ht="70.5" hidden="1" customHeight="1">
      <c r="C7969" s="701"/>
      <c r="D7969" s="811"/>
      <c r="E7969" s="1276">
        <f>[11]building!Y8300</f>
        <v>0</v>
      </c>
      <c r="F7969" s="748">
        <f t="shared" si="363"/>
        <v>0</v>
      </c>
      <c r="G7969" s="1205"/>
      <c r="H7969" s="1055"/>
      <c r="I7969" s="1055"/>
      <c r="J7969" s="1055"/>
      <c r="K7969" s="1205"/>
      <c r="L7969" s="1055"/>
      <c r="M7969" s="1205"/>
      <c r="N7969" s="1054"/>
      <c r="O7969" s="1207"/>
      <c r="Q7969" s="1207"/>
    </row>
    <row r="7970" spans="3:17" s="700" customFormat="1" ht="70.5" hidden="1" customHeight="1">
      <c r="C7970" s="701"/>
      <c r="D7970" s="811"/>
      <c r="E7970" s="1276">
        <f>[11]building!Y8301</f>
        <v>0</v>
      </c>
      <c r="F7970" s="748">
        <f t="shared" si="363"/>
        <v>0</v>
      </c>
      <c r="G7970" s="1205"/>
      <c r="H7970" s="1055"/>
      <c r="I7970" s="1055"/>
      <c r="J7970" s="1055"/>
      <c r="K7970" s="1205"/>
      <c r="L7970" s="1055"/>
      <c r="M7970" s="1205"/>
      <c r="N7970" s="1054"/>
      <c r="O7970" s="1207"/>
      <c r="Q7970" s="1207"/>
    </row>
    <row r="7971" spans="3:17" s="700" customFormat="1" ht="70.5" hidden="1" customHeight="1">
      <c r="C7971" s="701"/>
      <c r="D7971" s="811"/>
      <c r="E7971" s="1276">
        <f>[11]building!Y8302</f>
        <v>0</v>
      </c>
      <c r="F7971" s="748">
        <f t="shared" si="363"/>
        <v>0</v>
      </c>
      <c r="G7971" s="1205"/>
      <c r="H7971" s="1055"/>
      <c r="I7971" s="1055"/>
      <c r="J7971" s="1055"/>
      <c r="K7971" s="1205"/>
      <c r="L7971" s="1055"/>
      <c r="M7971" s="1205"/>
      <c r="N7971" s="1054"/>
      <c r="O7971" s="1207"/>
      <c r="Q7971" s="1207"/>
    </row>
    <row r="7972" spans="3:17" s="700" customFormat="1" ht="70.5" hidden="1" customHeight="1">
      <c r="C7972" s="701"/>
      <c r="D7972" s="811"/>
      <c r="E7972" s="1276">
        <f>[11]building!Y8303</f>
        <v>0</v>
      </c>
      <c r="F7972" s="748">
        <f t="shared" si="363"/>
        <v>0</v>
      </c>
      <c r="G7972" s="1205"/>
      <c r="H7972" s="1055"/>
      <c r="I7972" s="1055"/>
      <c r="J7972" s="1055"/>
      <c r="K7972" s="1205"/>
      <c r="L7972" s="1055"/>
      <c r="M7972" s="1205"/>
      <c r="N7972" s="1054"/>
      <c r="O7972" s="1207"/>
      <c r="Q7972" s="1207"/>
    </row>
    <row r="7973" spans="3:17" s="700" customFormat="1" ht="70.5" hidden="1" customHeight="1">
      <c r="C7973" s="701"/>
      <c r="D7973" s="811"/>
      <c r="E7973" s="1276">
        <f>[11]building!Y8304</f>
        <v>0</v>
      </c>
      <c r="F7973" s="748">
        <f t="shared" si="363"/>
        <v>0</v>
      </c>
      <c r="G7973" s="1205"/>
      <c r="H7973" s="1055"/>
      <c r="I7973" s="1055"/>
      <c r="J7973" s="1055"/>
      <c r="K7973" s="1205"/>
      <c r="L7973" s="1055"/>
      <c r="M7973" s="1205"/>
      <c r="N7973" s="1054"/>
      <c r="O7973" s="1207"/>
      <c r="Q7973" s="1207"/>
    </row>
    <row r="7974" spans="3:17" s="700" customFormat="1" ht="70.5" hidden="1" customHeight="1">
      <c r="C7974" s="701"/>
      <c r="D7974" s="811"/>
      <c r="E7974" s="1276">
        <f>[11]building!Y8305</f>
        <v>0</v>
      </c>
      <c r="F7974" s="748">
        <f t="shared" si="363"/>
        <v>0</v>
      </c>
      <c r="G7974" s="1205"/>
      <c r="H7974" s="1055"/>
      <c r="I7974" s="1055"/>
      <c r="J7974" s="1055"/>
      <c r="K7974" s="1205"/>
      <c r="L7974" s="1055"/>
      <c r="M7974" s="1205"/>
      <c r="N7974" s="1054"/>
      <c r="O7974" s="1207"/>
      <c r="Q7974" s="1207"/>
    </row>
    <row r="7975" spans="3:17" s="700" customFormat="1" ht="70.5" hidden="1" customHeight="1">
      <c r="C7975" s="701"/>
      <c r="D7975" s="811"/>
      <c r="E7975" s="1276">
        <f>[11]building!Y8306</f>
        <v>0</v>
      </c>
      <c r="F7975" s="748">
        <f t="shared" si="363"/>
        <v>0</v>
      </c>
      <c r="G7975" s="1205"/>
      <c r="H7975" s="1055"/>
      <c r="I7975" s="1055"/>
      <c r="J7975" s="1055"/>
      <c r="K7975" s="1205"/>
      <c r="L7975" s="1055"/>
      <c r="M7975" s="1205"/>
      <c r="N7975" s="1054"/>
      <c r="O7975" s="1207"/>
      <c r="Q7975" s="1207"/>
    </row>
    <row r="7976" spans="3:17" s="700" customFormat="1" ht="70.5" hidden="1" customHeight="1">
      <c r="C7976" s="701"/>
      <c r="D7976" s="811"/>
      <c r="E7976" s="1276">
        <f>[11]building!Y8307</f>
        <v>0</v>
      </c>
      <c r="F7976" s="748">
        <f t="shared" si="363"/>
        <v>0</v>
      </c>
      <c r="G7976" s="1205"/>
      <c r="H7976" s="1055"/>
      <c r="I7976" s="1055"/>
      <c r="J7976" s="1055"/>
      <c r="K7976" s="1205"/>
      <c r="L7976" s="1055"/>
      <c r="M7976" s="1205"/>
      <c r="N7976" s="1054"/>
      <c r="O7976" s="1207"/>
      <c r="Q7976" s="1207"/>
    </row>
    <row r="7977" spans="3:17" s="700" customFormat="1" ht="70.5" hidden="1" customHeight="1">
      <c r="C7977" s="701"/>
      <c r="D7977" s="811"/>
      <c r="E7977" s="1276">
        <f>[11]building!Y8308</f>
        <v>0</v>
      </c>
      <c r="F7977" s="748">
        <f t="shared" si="363"/>
        <v>0</v>
      </c>
      <c r="G7977" s="1205"/>
      <c r="H7977" s="1055"/>
      <c r="I7977" s="1055"/>
      <c r="J7977" s="1055"/>
      <c r="K7977" s="1205"/>
      <c r="L7977" s="1055"/>
      <c r="M7977" s="1205"/>
      <c r="N7977" s="1054"/>
      <c r="O7977" s="1207"/>
      <c r="Q7977" s="1207"/>
    </row>
    <row r="7978" spans="3:17" s="700" customFormat="1" ht="70.5" hidden="1" customHeight="1">
      <c r="C7978" s="701"/>
      <c r="D7978" s="811"/>
      <c r="E7978" s="1276">
        <f>[11]building!Y8309</f>
        <v>0</v>
      </c>
      <c r="F7978" s="748">
        <f t="shared" si="363"/>
        <v>0</v>
      </c>
      <c r="G7978" s="1205"/>
      <c r="H7978" s="1055"/>
      <c r="I7978" s="1055"/>
      <c r="J7978" s="1055"/>
      <c r="K7978" s="1205"/>
      <c r="L7978" s="1055"/>
      <c r="M7978" s="1205"/>
      <c r="N7978" s="1054"/>
      <c r="O7978" s="1207"/>
      <c r="Q7978" s="1207"/>
    </row>
    <row r="7979" spans="3:17" s="700" customFormat="1" ht="70.5" hidden="1" customHeight="1">
      <c r="C7979" s="701"/>
      <c r="D7979" s="811"/>
      <c r="E7979" s="1276">
        <f>[11]building!Y8310</f>
        <v>0</v>
      </c>
      <c r="F7979" s="748">
        <f t="shared" si="363"/>
        <v>0</v>
      </c>
      <c r="G7979" s="1205"/>
      <c r="H7979" s="1055"/>
      <c r="I7979" s="1055"/>
      <c r="J7979" s="1055"/>
      <c r="K7979" s="1205"/>
      <c r="L7979" s="1055"/>
      <c r="M7979" s="1205"/>
      <c r="N7979" s="1054"/>
      <c r="O7979" s="1207"/>
      <c r="Q7979" s="1207"/>
    </row>
    <row r="7980" spans="3:17" s="700" customFormat="1" ht="70.5" hidden="1" customHeight="1">
      <c r="C7980" s="701"/>
      <c r="D7980" s="811"/>
      <c r="E7980" s="1276">
        <f>[11]building!Y8311</f>
        <v>0</v>
      </c>
      <c r="F7980" s="748">
        <f t="shared" si="363"/>
        <v>0</v>
      </c>
      <c r="G7980" s="1205"/>
      <c r="H7980" s="1055"/>
      <c r="I7980" s="1055"/>
      <c r="J7980" s="1055"/>
      <c r="K7980" s="1205"/>
      <c r="L7980" s="1055"/>
      <c r="M7980" s="1205"/>
      <c r="N7980" s="1054"/>
      <c r="O7980" s="1207"/>
      <c r="Q7980" s="1207"/>
    </row>
    <row r="7981" spans="3:17" s="700" customFormat="1" ht="70.5" hidden="1" customHeight="1">
      <c r="C7981" s="701"/>
      <c r="D7981" s="811"/>
      <c r="E7981" s="1276">
        <f>[11]building!Y8312</f>
        <v>0</v>
      </c>
      <c r="F7981" s="748">
        <f t="shared" si="363"/>
        <v>0</v>
      </c>
      <c r="G7981" s="1205"/>
      <c r="H7981" s="1055"/>
      <c r="I7981" s="1055"/>
      <c r="J7981" s="1055"/>
      <c r="K7981" s="1205"/>
      <c r="L7981" s="1055"/>
      <c r="M7981" s="1205"/>
      <c r="N7981" s="1054"/>
      <c r="O7981" s="1207"/>
      <c r="Q7981" s="1207"/>
    </row>
    <row r="7982" spans="3:17" s="700" customFormat="1" ht="70.5" hidden="1" customHeight="1">
      <c r="C7982" s="701"/>
      <c r="D7982" s="811"/>
      <c r="E7982" s="1276">
        <f>[11]building!Y8313</f>
        <v>0</v>
      </c>
      <c r="F7982" s="748">
        <f t="shared" si="363"/>
        <v>0</v>
      </c>
      <c r="G7982" s="1205"/>
      <c r="H7982" s="1055"/>
      <c r="I7982" s="1055"/>
      <c r="J7982" s="1055"/>
      <c r="K7982" s="1205"/>
      <c r="L7982" s="1055"/>
      <c r="M7982" s="1205"/>
      <c r="N7982" s="1054"/>
      <c r="O7982" s="1207"/>
      <c r="Q7982" s="1207"/>
    </row>
    <row r="7983" spans="3:17" s="700" customFormat="1" ht="70.5" hidden="1" customHeight="1">
      <c r="C7983" s="701"/>
      <c r="D7983" s="811"/>
      <c r="E7983" s="1276">
        <f>[11]building!Y8314</f>
        <v>0</v>
      </c>
      <c r="F7983" s="748">
        <f t="shared" si="363"/>
        <v>0</v>
      </c>
      <c r="G7983" s="1205"/>
      <c r="H7983" s="1055"/>
      <c r="I7983" s="1055"/>
      <c r="J7983" s="1055"/>
      <c r="K7983" s="1205"/>
      <c r="L7983" s="1055"/>
      <c r="M7983" s="1205"/>
      <c r="N7983" s="1054"/>
      <c r="O7983" s="1207"/>
      <c r="Q7983" s="1207"/>
    </row>
    <row r="7984" spans="3:17" s="700" customFormat="1" ht="70.5" hidden="1" customHeight="1">
      <c r="C7984" s="701"/>
      <c r="D7984" s="811"/>
      <c r="E7984" s="1276">
        <f>[11]building!Y8315</f>
        <v>0</v>
      </c>
      <c r="F7984" s="748">
        <f t="shared" si="363"/>
        <v>0</v>
      </c>
      <c r="G7984" s="1205"/>
      <c r="H7984" s="1055"/>
      <c r="I7984" s="1055"/>
      <c r="J7984" s="1055"/>
      <c r="K7984" s="1205"/>
      <c r="L7984" s="1055"/>
      <c r="M7984" s="1205"/>
      <c r="N7984" s="1054"/>
      <c r="O7984" s="1207"/>
      <c r="Q7984" s="1207"/>
    </row>
    <row r="7985" spans="3:17" s="700" customFormat="1" ht="70.5" hidden="1" customHeight="1">
      <c r="C7985" s="701"/>
      <c r="D7985" s="811"/>
      <c r="E7985" s="1276">
        <f>[11]building!Y8316</f>
        <v>0</v>
      </c>
      <c r="F7985" s="748">
        <f t="shared" si="363"/>
        <v>0</v>
      </c>
      <c r="G7985" s="1205"/>
      <c r="H7985" s="1055"/>
      <c r="I7985" s="1055"/>
      <c r="J7985" s="1055"/>
      <c r="K7985" s="1205"/>
      <c r="L7985" s="1055"/>
      <c r="M7985" s="1205"/>
      <c r="N7985" s="1054"/>
      <c r="O7985" s="1207"/>
      <c r="Q7985" s="1207"/>
    </row>
    <row r="7986" spans="3:17" s="700" customFormat="1" ht="70.5" hidden="1" customHeight="1">
      <c r="C7986" s="701"/>
      <c r="D7986" s="811"/>
      <c r="E7986" s="1276">
        <f>[11]building!Y8317</f>
        <v>0</v>
      </c>
      <c r="F7986" s="748">
        <f t="shared" si="363"/>
        <v>0</v>
      </c>
      <c r="G7986" s="1205"/>
      <c r="H7986" s="1055"/>
      <c r="I7986" s="1055"/>
      <c r="J7986" s="1055"/>
      <c r="K7986" s="1205"/>
      <c r="L7986" s="1055"/>
      <c r="M7986" s="1205"/>
      <c r="N7986" s="1054"/>
      <c r="O7986" s="1207"/>
      <c r="Q7986" s="1207"/>
    </row>
    <row r="7987" spans="3:17" s="700" customFormat="1" ht="70.5" hidden="1" customHeight="1">
      <c r="C7987" s="701"/>
      <c r="D7987" s="811"/>
      <c r="E7987" s="1276">
        <f>[11]building!Y8318</f>
        <v>0</v>
      </c>
      <c r="F7987" s="748">
        <f t="shared" si="363"/>
        <v>0</v>
      </c>
      <c r="G7987" s="1205"/>
      <c r="H7987" s="1055"/>
      <c r="I7987" s="1055"/>
      <c r="J7987" s="1055"/>
      <c r="K7987" s="1205"/>
      <c r="L7987" s="1055"/>
      <c r="M7987" s="1205"/>
      <c r="N7987" s="1054"/>
      <c r="O7987" s="1207"/>
      <c r="Q7987" s="1207"/>
    </row>
    <row r="7988" spans="3:17" s="700" customFormat="1" ht="70.5" hidden="1" customHeight="1">
      <c r="C7988" s="701"/>
      <c r="D7988" s="811"/>
      <c r="E7988" s="1276">
        <f>[11]building!Y8319</f>
        <v>0</v>
      </c>
      <c r="F7988" s="748">
        <f t="shared" si="363"/>
        <v>0</v>
      </c>
      <c r="G7988" s="1205"/>
      <c r="H7988" s="1055"/>
      <c r="I7988" s="1055"/>
      <c r="J7988" s="1055"/>
      <c r="K7988" s="1205"/>
      <c r="L7988" s="1055"/>
      <c r="M7988" s="1205"/>
      <c r="N7988" s="1054"/>
      <c r="O7988" s="1207"/>
      <c r="Q7988" s="1207"/>
    </row>
    <row r="7989" spans="3:17" s="700" customFormat="1" ht="70.5" hidden="1" customHeight="1">
      <c r="C7989" s="701"/>
      <c r="D7989" s="811"/>
      <c r="E7989" s="1276">
        <f>[11]building!Y8320</f>
        <v>0</v>
      </c>
      <c r="F7989" s="748">
        <f t="shared" si="363"/>
        <v>0</v>
      </c>
      <c r="G7989" s="1205"/>
      <c r="H7989" s="1055"/>
      <c r="I7989" s="1055"/>
      <c r="J7989" s="1055"/>
      <c r="K7989" s="1205"/>
      <c r="L7989" s="1055"/>
      <c r="M7989" s="1205"/>
      <c r="N7989" s="1054"/>
      <c r="O7989" s="1207"/>
      <c r="Q7989" s="1207"/>
    </row>
    <row r="7990" spans="3:17" s="700" customFormat="1" ht="70.5" hidden="1" customHeight="1">
      <c r="C7990" s="701"/>
      <c r="D7990" s="811"/>
      <c r="E7990" s="1276">
        <f>[11]building!Y8321</f>
        <v>0</v>
      </c>
      <c r="F7990" s="748">
        <f t="shared" si="363"/>
        <v>0</v>
      </c>
      <c r="G7990" s="1205"/>
      <c r="H7990" s="1055"/>
      <c r="I7990" s="1055"/>
      <c r="J7990" s="1055"/>
      <c r="K7990" s="1205"/>
      <c r="L7990" s="1055"/>
      <c r="M7990" s="1205"/>
      <c r="N7990" s="1054"/>
      <c r="O7990" s="1207"/>
      <c r="Q7990" s="1207"/>
    </row>
    <row r="7991" spans="3:17" s="700" customFormat="1" ht="70.5" hidden="1" customHeight="1">
      <c r="C7991" s="701"/>
      <c r="D7991" s="811"/>
      <c r="E7991" s="1276">
        <f>[11]building!Y8322</f>
        <v>0</v>
      </c>
      <c r="F7991" s="748">
        <f t="shared" si="363"/>
        <v>0</v>
      </c>
      <c r="G7991" s="1205"/>
      <c r="H7991" s="1055"/>
      <c r="I7991" s="1055"/>
      <c r="J7991" s="1055"/>
      <c r="K7991" s="1205"/>
      <c r="L7991" s="1055"/>
      <c r="M7991" s="1205"/>
      <c r="N7991" s="1054"/>
      <c r="O7991" s="1207"/>
      <c r="Q7991" s="1207"/>
    </row>
    <row r="7992" spans="3:17" s="700" customFormat="1" ht="70.5" hidden="1" customHeight="1">
      <c r="C7992" s="701"/>
      <c r="D7992" s="811"/>
      <c r="E7992" s="1276">
        <f>[11]building!Y8323</f>
        <v>0</v>
      </c>
      <c r="F7992" s="748">
        <f t="shared" si="363"/>
        <v>0</v>
      </c>
      <c r="G7992" s="1205"/>
      <c r="H7992" s="1055"/>
      <c r="I7992" s="1055"/>
      <c r="J7992" s="1055"/>
      <c r="K7992" s="1205"/>
      <c r="L7992" s="1055"/>
      <c r="M7992" s="1205"/>
      <c r="N7992" s="1054"/>
      <c r="O7992" s="1207"/>
      <c r="Q7992" s="1207"/>
    </row>
    <row r="7993" spans="3:17" s="700" customFormat="1" ht="70.5" hidden="1" customHeight="1">
      <c r="C7993" s="701"/>
      <c r="D7993" s="811"/>
      <c r="E7993" s="1276">
        <f>[11]building!Y8324</f>
        <v>0</v>
      </c>
      <c r="F7993" s="748">
        <f t="shared" si="363"/>
        <v>0</v>
      </c>
      <c r="G7993" s="1205"/>
      <c r="H7993" s="1055"/>
      <c r="I7993" s="1055"/>
      <c r="J7993" s="1055"/>
      <c r="K7993" s="1205"/>
      <c r="L7993" s="1055"/>
      <c r="M7993" s="1205"/>
      <c r="N7993" s="1054"/>
      <c r="O7993" s="1207"/>
      <c r="Q7993" s="1207"/>
    </row>
    <row r="7994" spans="3:17" s="700" customFormat="1" ht="70.5" hidden="1" customHeight="1">
      <c r="C7994" s="701"/>
      <c r="D7994" s="811"/>
      <c r="E7994" s="1276">
        <f>[11]building!Y8325</f>
        <v>0</v>
      </c>
      <c r="F7994" s="748">
        <f t="shared" si="363"/>
        <v>0</v>
      </c>
      <c r="G7994" s="1205"/>
      <c r="H7994" s="1055"/>
      <c r="I7994" s="1055"/>
      <c r="J7994" s="1055"/>
      <c r="K7994" s="1205"/>
      <c r="L7994" s="1055"/>
      <c r="M7994" s="1205"/>
      <c r="N7994" s="1054"/>
      <c r="O7994" s="1207"/>
      <c r="Q7994" s="1207"/>
    </row>
    <row r="7995" spans="3:17" s="700" customFormat="1" ht="70.5" hidden="1" customHeight="1">
      <c r="C7995" s="701"/>
      <c r="D7995" s="811"/>
      <c r="E7995" s="1276">
        <f>[11]building!Y8326</f>
        <v>0</v>
      </c>
      <c r="F7995" s="748">
        <f t="shared" si="363"/>
        <v>0</v>
      </c>
      <c r="G7995" s="1205"/>
      <c r="H7995" s="1055"/>
      <c r="I7995" s="1055"/>
      <c r="J7995" s="1055"/>
      <c r="K7995" s="1205"/>
      <c r="L7995" s="1055"/>
      <c r="M7995" s="1205"/>
      <c r="N7995" s="1054"/>
      <c r="O7995" s="1207"/>
      <c r="Q7995" s="1207"/>
    </row>
    <row r="7996" spans="3:17" s="700" customFormat="1" ht="70.5" hidden="1" customHeight="1">
      <c r="C7996" s="701"/>
      <c r="D7996" s="811"/>
      <c r="E7996" s="1276">
        <f>[11]building!Y8327</f>
        <v>0</v>
      </c>
      <c r="F7996" s="748">
        <f t="shared" si="363"/>
        <v>0</v>
      </c>
      <c r="G7996" s="1205"/>
      <c r="H7996" s="1055"/>
      <c r="I7996" s="1055"/>
      <c r="J7996" s="1055"/>
      <c r="K7996" s="1205"/>
      <c r="L7996" s="1055"/>
      <c r="M7996" s="1205"/>
      <c r="N7996" s="1054"/>
      <c r="O7996" s="1207"/>
      <c r="Q7996" s="1207"/>
    </row>
    <row r="7997" spans="3:17" s="700" customFormat="1" ht="70.5" hidden="1" customHeight="1">
      <c r="C7997" s="701"/>
      <c r="D7997" s="811"/>
      <c r="E7997" s="1276">
        <f>[11]building!Y8328</f>
        <v>0</v>
      </c>
      <c r="F7997" s="748">
        <f t="shared" si="363"/>
        <v>0</v>
      </c>
      <c r="G7997" s="1205"/>
      <c r="H7997" s="1055"/>
      <c r="I7997" s="1055"/>
      <c r="J7997" s="1055"/>
      <c r="K7997" s="1205"/>
      <c r="L7997" s="1055"/>
      <c r="M7997" s="1205"/>
      <c r="N7997" s="1054"/>
      <c r="O7997" s="1207"/>
      <c r="Q7997" s="1207"/>
    </row>
    <row r="7998" spans="3:17" s="700" customFormat="1" ht="70.5" hidden="1" customHeight="1">
      <c r="C7998" s="701"/>
      <c r="D7998" s="811"/>
      <c r="E7998" s="1276">
        <f>[11]building!Y8329</f>
        <v>0</v>
      </c>
      <c r="F7998" s="748">
        <f t="shared" si="363"/>
        <v>0</v>
      </c>
      <c r="G7998" s="1205"/>
      <c r="H7998" s="1055"/>
      <c r="I7998" s="1055"/>
      <c r="J7998" s="1055"/>
      <c r="K7998" s="1205"/>
      <c r="L7998" s="1055"/>
      <c r="M7998" s="1205"/>
      <c r="N7998" s="1054"/>
      <c r="O7998" s="1207"/>
      <c r="Q7998" s="1207"/>
    </row>
    <row r="7999" spans="3:17" s="700" customFormat="1" ht="70.5" hidden="1" customHeight="1">
      <c r="C7999" s="701"/>
      <c r="D7999" s="811"/>
      <c r="E7999" s="1276">
        <f>[11]building!Y8330</f>
        <v>0</v>
      </c>
      <c r="F7999" s="748">
        <f t="shared" si="363"/>
        <v>0</v>
      </c>
      <c r="G7999" s="1205"/>
      <c r="H7999" s="1055"/>
      <c r="I7999" s="1055"/>
      <c r="J7999" s="1055"/>
      <c r="K7999" s="1205"/>
      <c r="L7999" s="1055"/>
      <c r="M7999" s="1205"/>
      <c r="N7999" s="1054"/>
      <c r="O7999" s="1207"/>
      <c r="Q7999" s="1207"/>
    </row>
    <row r="8000" spans="3:17" s="700" customFormat="1" ht="70.5" hidden="1" customHeight="1">
      <c r="C8000" s="701"/>
      <c r="D8000" s="811"/>
      <c r="E8000" s="1276">
        <f>[11]building!Y8331</f>
        <v>0</v>
      </c>
      <c r="F8000" s="748">
        <f t="shared" ref="F8000:F8063" si="364">E8000*C8000</f>
        <v>0</v>
      </c>
      <c r="G8000" s="1205"/>
      <c r="H8000" s="1055"/>
      <c r="I8000" s="1055"/>
      <c r="J8000" s="1055"/>
      <c r="K8000" s="1205"/>
      <c r="L8000" s="1055"/>
      <c r="M8000" s="1205"/>
      <c r="N8000" s="1054"/>
      <c r="O8000" s="1207"/>
      <c r="Q8000" s="1207"/>
    </row>
    <row r="8001" spans="3:17" s="700" customFormat="1" ht="70.5" hidden="1" customHeight="1">
      <c r="C8001" s="701"/>
      <c r="D8001" s="811"/>
      <c r="E8001" s="1276">
        <f>[11]building!Y8332</f>
        <v>0</v>
      </c>
      <c r="F8001" s="748">
        <f t="shared" si="364"/>
        <v>0</v>
      </c>
      <c r="G8001" s="1205"/>
      <c r="H8001" s="1055"/>
      <c r="I8001" s="1055"/>
      <c r="J8001" s="1055"/>
      <c r="K8001" s="1205"/>
      <c r="L8001" s="1055"/>
      <c r="M8001" s="1205"/>
      <c r="N8001" s="1054"/>
      <c r="O8001" s="1207"/>
      <c r="Q8001" s="1207"/>
    </row>
    <row r="8002" spans="3:17" s="700" customFormat="1" ht="70.5" hidden="1" customHeight="1">
      <c r="C8002" s="701"/>
      <c r="D8002" s="811"/>
      <c r="E8002" s="1276">
        <f>[11]building!Y8333</f>
        <v>0</v>
      </c>
      <c r="F8002" s="748">
        <f t="shared" si="364"/>
        <v>0</v>
      </c>
      <c r="G8002" s="1205"/>
      <c r="H8002" s="1055"/>
      <c r="I8002" s="1055"/>
      <c r="J8002" s="1055"/>
      <c r="K8002" s="1205"/>
      <c r="L8002" s="1055"/>
      <c r="M8002" s="1205"/>
      <c r="N8002" s="1054"/>
      <c r="O8002" s="1207"/>
      <c r="Q8002" s="1207"/>
    </row>
    <row r="8003" spans="3:17" s="700" customFormat="1" ht="70.5" hidden="1" customHeight="1">
      <c r="C8003" s="701"/>
      <c r="D8003" s="811"/>
      <c r="E8003" s="1276">
        <f>[11]building!Y8334</f>
        <v>0</v>
      </c>
      <c r="F8003" s="748">
        <f t="shared" si="364"/>
        <v>0</v>
      </c>
      <c r="G8003" s="1205"/>
      <c r="H8003" s="1055"/>
      <c r="I8003" s="1055"/>
      <c r="J8003" s="1055"/>
      <c r="K8003" s="1205"/>
      <c r="L8003" s="1055"/>
      <c r="M8003" s="1205"/>
      <c r="N8003" s="1054"/>
      <c r="O8003" s="1207"/>
      <c r="Q8003" s="1207"/>
    </row>
    <row r="8004" spans="3:17" s="700" customFormat="1" ht="70.5" hidden="1" customHeight="1">
      <c r="C8004" s="701"/>
      <c r="D8004" s="811"/>
      <c r="E8004" s="1276">
        <f>[11]building!Y8335</f>
        <v>0</v>
      </c>
      <c r="F8004" s="748">
        <f t="shared" si="364"/>
        <v>0</v>
      </c>
      <c r="G8004" s="1205"/>
      <c r="H8004" s="1055"/>
      <c r="I8004" s="1055"/>
      <c r="J8004" s="1055"/>
      <c r="K8004" s="1205"/>
      <c r="L8004" s="1055"/>
      <c r="M8004" s="1205"/>
      <c r="N8004" s="1054"/>
      <c r="O8004" s="1207"/>
      <c r="Q8004" s="1207"/>
    </row>
    <row r="8005" spans="3:17" s="700" customFormat="1" ht="70.5" hidden="1" customHeight="1">
      <c r="C8005" s="701"/>
      <c r="D8005" s="811"/>
      <c r="E8005" s="1276">
        <f>[11]building!Y8336</f>
        <v>0</v>
      </c>
      <c r="F8005" s="748">
        <f t="shared" si="364"/>
        <v>0</v>
      </c>
      <c r="G8005" s="1205"/>
      <c r="H8005" s="1055"/>
      <c r="I8005" s="1055"/>
      <c r="J8005" s="1055"/>
      <c r="K8005" s="1205"/>
      <c r="L8005" s="1055"/>
      <c r="M8005" s="1205"/>
      <c r="N8005" s="1054"/>
      <c r="O8005" s="1207"/>
      <c r="Q8005" s="1207"/>
    </row>
    <row r="8006" spans="3:17" s="700" customFormat="1" ht="70.5" hidden="1" customHeight="1">
      <c r="C8006" s="701"/>
      <c r="D8006" s="811"/>
      <c r="E8006" s="1276">
        <f>[11]building!Y8337</f>
        <v>0</v>
      </c>
      <c r="F8006" s="748">
        <f t="shared" si="364"/>
        <v>0</v>
      </c>
      <c r="G8006" s="1205"/>
      <c r="H8006" s="1055"/>
      <c r="I8006" s="1055"/>
      <c r="J8006" s="1055"/>
      <c r="K8006" s="1205"/>
      <c r="L8006" s="1055"/>
      <c r="M8006" s="1205"/>
      <c r="N8006" s="1054"/>
      <c r="O8006" s="1207"/>
      <c r="Q8006" s="1207"/>
    </row>
    <row r="8007" spans="3:17" s="700" customFormat="1" ht="70.5" hidden="1" customHeight="1">
      <c r="C8007" s="701"/>
      <c r="D8007" s="811"/>
      <c r="E8007" s="1276">
        <f>[11]building!Y8338</f>
        <v>0</v>
      </c>
      <c r="F8007" s="748">
        <f t="shared" si="364"/>
        <v>0</v>
      </c>
      <c r="G8007" s="1205"/>
      <c r="H8007" s="1055"/>
      <c r="I8007" s="1055"/>
      <c r="J8007" s="1055"/>
      <c r="K8007" s="1205"/>
      <c r="L8007" s="1055"/>
      <c r="M8007" s="1205"/>
      <c r="N8007" s="1054"/>
      <c r="O8007" s="1207"/>
      <c r="Q8007" s="1207"/>
    </row>
    <row r="8008" spans="3:17" s="700" customFormat="1" ht="70.5" hidden="1" customHeight="1">
      <c r="C8008" s="701"/>
      <c r="D8008" s="811"/>
      <c r="E8008" s="1276">
        <f>[11]building!Y8339</f>
        <v>0</v>
      </c>
      <c r="F8008" s="748">
        <f t="shared" si="364"/>
        <v>0</v>
      </c>
      <c r="G8008" s="1205"/>
      <c r="H8008" s="1055"/>
      <c r="I8008" s="1055"/>
      <c r="J8008" s="1055"/>
      <c r="K8008" s="1205"/>
      <c r="L8008" s="1055"/>
      <c r="M8008" s="1205"/>
      <c r="N8008" s="1054"/>
      <c r="O8008" s="1207"/>
      <c r="Q8008" s="1207"/>
    </row>
    <row r="8009" spans="3:17" s="700" customFormat="1" ht="70.5" hidden="1" customHeight="1">
      <c r="C8009" s="701"/>
      <c r="D8009" s="811"/>
      <c r="E8009" s="1276">
        <f>[11]building!Y8340</f>
        <v>0</v>
      </c>
      <c r="F8009" s="748">
        <f t="shared" si="364"/>
        <v>0</v>
      </c>
      <c r="G8009" s="1205"/>
      <c r="H8009" s="1055"/>
      <c r="I8009" s="1055"/>
      <c r="J8009" s="1055"/>
      <c r="K8009" s="1205"/>
      <c r="L8009" s="1055"/>
      <c r="M8009" s="1205"/>
      <c r="N8009" s="1054"/>
      <c r="O8009" s="1207"/>
      <c r="Q8009" s="1207"/>
    </row>
    <row r="8010" spans="3:17" s="700" customFormat="1" ht="70.5" hidden="1" customHeight="1">
      <c r="C8010" s="701"/>
      <c r="D8010" s="811"/>
      <c r="E8010" s="1276">
        <f>[11]building!Y8341</f>
        <v>0</v>
      </c>
      <c r="F8010" s="748">
        <f t="shared" si="364"/>
        <v>0</v>
      </c>
      <c r="G8010" s="1205"/>
      <c r="H8010" s="1055"/>
      <c r="I8010" s="1055"/>
      <c r="J8010" s="1055"/>
      <c r="K8010" s="1205"/>
      <c r="L8010" s="1055"/>
      <c r="M8010" s="1205"/>
      <c r="N8010" s="1054"/>
      <c r="O8010" s="1207"/>
      <c r="Q8010" s="1207"/>
    </row>
    <row r="8011" spans="3:17" s="700" customFormat="1" ht="70.5" hidden="1" customHeight="1">
      <c r="C8011" s="701"/>
      <c r="D8011" s="811"/>
      <c r="E8011" s="1276">
        <f>[11]building!Y8342</f>
        <v>0</v>
      </c>
      <c r="F8011" s="748">
        <f t="shared" si="364"/>
        <v>0</v>
      </c>
      <c r="G8011" s="1205"/>
      <c r="H8011" s="1055"/>
      <c r="I8011" s="1055"/>
      <c r="J8011" s="1055"/>
      <c r="K8011" s="1205"/>
      <c r="L8011" s="1055"/>
      <c r="M8011" s="1205"/>
      <c r="N8011" s="1054"/>
      <c r="O8011" s="1207"/>
      <c r="Q8011" s="1207"/>
    </row>
    <row r="8012" spans="3:17" s="700" customFormat="1" ht="70.5" hidden="1" customHeight="1">
      <c r="C8012" s="701"/>
      <c r="D8012" s="811"/>
      <c r="E8012" s="1276">
        <f>[11]building!Y8343</f>
        <v>0</v>
      </c>
      <c r="F8012" s="748">
        <f t="shared" si="364"/>
        <v>0</v>
      </c>
      <c r="G8012" s="1205"/>
      <c r="H8012" s="1055"/>
      <c r="I8012" s="1055"/>
      <c r="J8012" s="1055"/>
      <c r="K8012" s="1205"/>
      <c r="L8012" s="1055"/>
      <c r="M8012" s="1205"/>
      <c r="N8012" s="1054"/>
      <c r="O8012" s="1207"/>
      <c r="Q8012" s="1207"/>
    </row>
    <row r="8013" spans="3:17" s="700" customFormat="1" ht="70.5" hidden="1" customHeight="1">
      <c r="C8013" s="701"/>
      <c r="D8013" s="811"/>
      <c r="E8013" s="1276">
        <f>[11]building!Y8344</f>
        <v>0</v>
      </c>
      <c r="F8013" s="748">
        <f t="shared" si="364"/>
        <v>0</v>
      </c>
      <c r="G8013" s="1205"/>
      <c r="H8013" s="1055"/>
      <c r="I8013" s="1055"/>
      <c r="J8013" s="1055"/>
      <c r="K8013" s="1205"/>
      <c r="L8013" s="1055"/>
      <c r="M8013" s="1205"/>
      <c r="N8013" s="1054"/>
      <c r="O8013" s="1207"/>
      <c r="Q8013" s="1207"/>
    </row>
    <row r="8014" spans="3:17" s="700" customFormat="1" ht="70.5" hidden="1" customHeight="1">
      <c r="C8014" s="701"/>
      <c r="D8014" s="811"/>
      <c r="E8014" s="1276">
        <f>[11]building!Y8345</f>
        <v>0</v>
      </c>
      <c r="F8014" s="748">
        <f t="shared" si="364"/>
        <v>0</v>
      </c>
      <c r="G8014" s="1205"/>
      <c r="H8014" s="1055"/>
      <c r="I8014" s="1055"/>
      <c r="J8014" s="1055"/>
      <c r="K8014" s="1205"/>
      <c r="L8014" s="1055"/>
      <c r="M8014" s="1205"/>
      <c r="N8014" s="1054"/>
      <c r="O8014" s="1207"/>
      <c r="Q8014" s="1207"/>
    </row>
    <row r="8015" spans="3:17" s="700" customFormat="1" ht="70.5" hidden="1" customHeight="1">
      <c r="C8015" s="701"/>
      <c r="D8015" s="811"/>
      <c r="E8015" s="1276">
        <f>[11]building!Y8346</f>
        <v>0</v>
      </c>
      <c r="F8015" s="748">
        <f t="shared" si="364"/>
        <v>0</v>
      </c>
      <c r="G8015" s="1205"/>
      <c r="H8015" s="1055"/>
      <c r="I8015" s="1055"/>
      <c r="J8015" s="1055"/>
      <c r="K8015" s="1205"/>
      <c r="L8015" s="1055"/>
      <c r="M8015" s="1205"/>
      <c r="N8015" s="1054"/>
      <c r="O8015" s="1207"/>
      <c r="Q8015" s="1207"/>
    </row>
    <row r="8016" spans="3:17" s="700" customFormat="1" ht="70.5" hidden="1" customHeight="1">
      <c r="C8016" s="701"/>
      <c r="D8016" s="811"/>
      <c r="E8016" s="1276">
        <f>[11]building!Y8347</f>
        <v>0</v>
      </c>
      <c r="F8016" s="748">
        <f t="shared" si="364"/>
        <v>0</v>
      </c>
      <c r="G8016" s="1205"/>
      <c r="H8016" s="1055"/>
      <c r="I8016" s="1055"/>
      <c r="J8016" s="1055"/>
      <c r="K8016" s="1205"/>
      <c r="L8016" s="1055"/>
      <c r="M8016" s="1205"/>
      <c r="N8016" s="1054"/>
      <c r="O8016" s="1207"/>
      <c r="Q8016" s="1207"/>
    </row>
    <row r="8017" spans="3:17" s="700" customFormat="1" ht="70.5" hidden="1" customHeight="1">
      <c r="C8017" s="701"/>
      <c r="D8017" s="811"/>
      <c r="E8017" s="1276">
        <f>[11]building!Y8348</f>
        <v>0</v>
      </c>
      <c r="F8017" s="748">
        <f t="shared" si="364"/>
        <v>0</v>
      </c>
      <c r="G8017" s="1205"/>
      <c r="H8017" s="1055"/>
      <c r="I8017" s="1055"/>
      <c r="J8017" s="1055"/>
      <c r="K8017" s="1205"/>
      <c r="L8017" s="1055"/>
      <c r="M8017" s="1205"/>
      <c r="N8017" s="1054"/>
      <c r="O8017" s="1207"/>
      <c r="Q8017" s="1207"/>
    </row>
    <row r="8018" spans="3:17" s="700" customFormat="1" ht="70.5" hidden="1" customHeight="1">
      <c r="C8018" s="701"/>
      <c r="D8018" s="811"/>
      <c r="E8018" s="1276">
        <f>[11]building!Y8349</f>
        <v>0</v>
      </c>
      <c r="F8018" s="748">
        <f t="shared" si="364"/>
        <v>0</v>
      </c>
      <c r="G8018" s="1205"/>
      <c r="H8018" s="1055"/>
      <c r="I8018" s="1055"/>
      <c r="J8018" s="1055"/>
      <c r="K8018" s="1205"/>
      <c r="L8018" s="1055"/>
      <c r="M8018" s="1205"/>
      <c r="N8018" s="1054"/>
      <c r="O8018" s="1207"/>
      <c r="Q8018" s="1207"/>
    </row>
    <row r="8019" spans="3:17" s="700" customFormat="1" ht="70.5" hidden="1" customHeight="1">
      <c r="C8019" s="701"/>
      <c r="D8019" s="811"/>
      <c r="E8019" s="1276">
        <f>[11]building!Y8350</f>
        <v>0</v>
      </c>
      <c r="F8019" s="748">
        <f t="shared" si="364"/>
        <v>0</v>
      </c>
      <c r="G8019" s="1205"/>
      <c r="H8019" s="1055"/>
      <c r="I8019" s="1055"/>
      <c r="J8019" s="1055"/>
      <c r="K8019" s="1205"/>
      <c r="L8019" s="1055"/>
      <c r="M8019" s="1205"/>
      <c r="N8019" s="1054"/>
      <c r="O8019" s="1207"/>
      <c r="Q8019" s="1207"/>
    </row>
    <row r="8020" spans="3:17" s="700" customFormat="1" ht="70.5" hidden="1" customHeight="1">
      <c r="C8020" s="701"/>
      <c r="D8020" s="811"/>
      <c r="E8020" s="1276">
        <f>[11]building!Y8351</f>
        <v>0</v>
      </c>
      <c r="F8020" s="748">
        <f t="shared" si="364"/>
        <v>0</v>
      </c>
      <c r="G8020" s="1205"/>
      <c r="H8020" s="1055"/>
      <c r="I8020" s="1055"/>
      <c r="J8020" s="1055"/>
      <c r="K8020" s="1205"/>
      <c r="L8020" s="1055"/>
      <c r="M8020" s="1205"/>
      <c r="N8020" s="1054"/>
      <c r="O8020" s="1207"/>
      <c r="Q8020" s="1207"/>
    </row>
    <row r="8021" spans="3:17" s="700" customFormat="1" ht="70.5" hidden="1" customHeight="1">
      <c r="C8021" s="701"/>
      <c r="D8021" s="811"/>
      <c r="E8021" s="1276">
        <f>[11]building!Y8352</f>
        <v>0</v>
      </c>
      <c r="F8021" s="748">
        <f t="shared" si="364"/>
        <v>0</v>
      </c>
      <c r="G8021" s="1205"/>
      <c r="H8021" s="1055"/>
      <c r="I8021" s="1055"/>
      <c r="J8021" s="1055"/>
      <c r="K8021" s="1205"/>
      <c r="L8021" s="1055"/>
      <c r="M8021" s="1205"/>
      <c r="N8021" s="1054"/>
      <c r="O8021" s="1207"/>
      <c r="Q8021" s="1207"/>
    </row>
    <row r="8022" spans="3:17" s="700" customFormat="1" ht="70.5" hidden="1" customHeight="1">
      <c r="C8022" s="701"/>
      <c r="D8022" s="811"/>
      <c r="E8022" s="1276">
        <f>[11]building!Y8353</f>
        <v>0</v>
      </c>
      <c r="F8022" s="748">
        <f t="shared" si="364"/>
        <v>0</v>
      </c>
      <c r="G8022" s="1205"/>
      <c r="H8022" s="1055"/>
      <c r="I8022" s="1055"/>
      <c r="J8022" s="1055"/>
      <c r="K8022" s="1205"/>
      <c r="L8022" s="1055"/>
      <c r="M8022" s="1205"/>
      <c r="N8022" s="1054"/>
      <c r="O8022" s="1207"/>
      <c r="Q8022" s="1207"/>
    </row>
    <row r="8023" spans="3:17" s="700" customFormat="1" ht="70.5" hidden="1" customHeight="1">
      <c r="C8023" s="701"/>
      <c r="D8023" s="811"/>
      <c r="E8023" s="1276">
        <f>[11]building!Y8354</f>
        <v>0</v>
      </c>
      <c r="F8023" s="748">
        <f t="shared" si="364"/>
        <v>0</v>
      </c>
      <c r="G8023" s="1205"/>
      <c r="H8023" s="1055"/>
      <c r="I8023" s="1055"/>
      <c r="J8023" s="1055"/>
      <c r="K8023" s="1205"/>
      <c r="L8023" s="1055"/>
      <c r="M8023" s="1205"/>
      <c r="N8023" s="1054"/>
      <c r="O8023" s="1207"/>
      <c r="Q8023" s="1207"/>
    </row>
    <row r="8024" spans="3:17" s="700" customFormat="1" ht="70.5" hidden="1" customHeight="1">
      <c r="C8024" s="701"/>
      <c r="D8024" s="811"/>
      <c r="E8024" s="1276">
        <f>[11]building!Y8355</f>
        <v>0</v>
      </c>
      <c r="F8024" s="748">
        <f t="shared" si="364"/>
        <v>0</v>
      </c>
      <c r="G8024" s="1205"/>
      <c r="H8024" s="1055"/>
      <c r="I8024" s="1055"/>
      <c r="J8024" s="1055"/>
      <c r="K8024" s="1205"/>
      <c r="L8024" s="1055"/>
      <c r="M8024" s="1205"/>
      <c r="N8024" s="1054"/>
      <c r="O8024" s="1207"/>
      <c r="Q8024" s="1207"/>
    </row>
    <row r="8025" spans="3:17" s="700" customFormat="1" ht="70.5" hidden="1" customHeight="1">
      <c r="C8025" s="701"/>
      <c r="D8025" s="811"/>
      <c r="E8025" s="1276">
        <f>[11]building!Y8356</f>
        <v>0</v>
      </c>
      <c r="F8025" s="748">
        <f t="shared" si="364"/>
        <v>0</v>
      </c>
      <c r="G8025" s="1205"/>
      <c r="H8025" s="1055"/>
      <c r="I8025" s="1055"/>
      <c r="J8025" s="1055"/>
      <c r="K8025" s="1205"/>
      <c r="L8025" s="1055"/>
      <c r="M8025" s="1205"/>
      <c r="N8025" s="1054"/>
      <c r="O8025" s="1207"/>
      <c r="Q8025" s="1207"/>
    </row>
    <row r="8026" spans="3:17" s="700" customFormat="1" ht="70.5" hidden="1" customHeight="1">
      <c r="C8026" s="701"/>
      <c r="D8026" s="811"/>
      <c r="E8026" s="1276">
        <f>[11]building!Y8357</f>
        <v>0</v>
      </c>
      <c r="F8026" s="748">
        <f t="shared" si="364"/>
        <v>0</v>
      </c>
      <c r="G8026" s="1205"/>
      <c r="H8026" s="1055"/>
      <c r="I8026" s="1055"/>
      <c r="J8026" s="1055"/>
      <c r="K8026" s="1205"/>
      <c r="L8026" s="1055"/>
      <c r="M8026" s="1205"/>
      <c r="N8026" s="1054"/>
      <c r="O8026" s="1207"/>
      <c r="Q8026" s="1207"/>
    </row>
    <row r="8027" spans="3:17" s="700" customFormat="1" ht="70.5" hidden="1" customHeight="1">
      <c r="C8027" s="701"/>
      <c r="D8027" s="811"/>
      <c r="E8027" s="1276">
        <f>[11]building!Y8358</f>
        <v>0</v>
      </c>
      <c r="F8027" s="748">
        <f t="shared" si="364"/>
        <v>0</v>
      </c>
      <c r="G8027" s="1205"/>
      <c r="H8027" s="1055"/>
      <c r="I8027" s="1055"/>
      <c r="J8027" s="1055"/>
      <c r="K8027" s="1205"/>
      <c r="L8027" s="1055"/>
      <c r="M8027" s="1205"/>
      <c r="N8027" s="1054"/>
      <c r="O8027" s="1207"/>
      <c r="Q8027" s="1207"/>
    </row>
    <row r="8028" spans="3:17" s="700" customFormat="1" ht="70.5" hidden="1" customHeight="1">
      <c r="C8028" s="701"/>
      <c r="D8028" s="811"/>
      <c r="E8028" s="1276">
        <f>[11]building!Y8359</f>
        <v>0</v>
      </c>
      <c r="F8028" s="748">
        <f t="shared" si="364"/>
        <v>0</v>
      </c>
      <c r="G8028" s="1205"/>
      <c r="H8028" s="1055"/>
      <c r="I8028" s="1055"/>
      <c r="J8028" s="1055"/>
      <c r="K8028" s="1205"/>
      <c r="L8028" s="1055"/>
      <c r="M8028" s="1205"/>
      <c r="N8028" s="1054"/>
      <c r="O8028" s="1207"/>
      <c r="Q8028" s="1207"/>
    </row>
    <row r="8029" spans="3:17" s="700" customFormat="1" ht="70.5" hidden="1" customHeight="1">
      <c r="C8029" s="701"/>
      <c r="D8029" s="811"/>
      <c r="E8029" s="1276">
        <f>[11]building!Y8360</f>
        <v>0</v>
      </c>
      <c r="F8029" s="748">
        <f t="shared" si="364"/>
        <v>0</v>
      </c>
      <c r="G8029" s="1205"/>
      <c r="H8029" s="1055"/>
      <c r="I8029" s="1055"/>
      <c r="J8029" s="1055"/>
      <c r="K8029" s="1205"/>
      <c r="L8029" s="1055"/>
      <c r="M8029" s="1205"/>
      <c r="N8029" s="1054"/>
      <c r="O8029" s="1207"/>
      <c r="Q8029" s="1207"/>
    </row>
    <row r="8030" spans="3:17" s="700" customFormat="1" ht="70.5" hidden="1" customHeight="1">
      <c r="C8030" s="701"/>
      <c r="D8030" s="811"/>
      <c r="E8030" s="1276">
        <f>[11]building!Y8361</f>
        <v>0</v>
      </c>
      <c r="F8030" s="748">
        <f t="shared" si="364"/>
        <v>0</v>
      </c>
      <c r="G8030" s="1205"/>
      <c r="H8030" s="1055"/>
      <c r="I8030" s="1055"/>
      <c r="J8030" s="1055"/>
      <c r="K8030" s="1205"/>
      <c r="L8030" s="1055"/>
      <c r="M8030" s="1205"/>
      <c r="N8030" s="1054"/>
      <c r="O8030" s="1207"/>
      <c r="Q8030" s="1207"/>
    </row>
    <row r="8031" spans="3:17" s="700" customFormat="1" ht="70.5" hidden="1" customHeight="1">
      <c r="C8031" s="701"/>
      <c r="D8031" s="811"/>
      <c r="E8031" s="1276">
        <f>[11]building!Y8362</f>
        <v>0</v>
      </c>
      <c r="F8031" s="748">
        <f t="shared" si="364"/>
        <v>0</v>
      </c>
      <c r="G8031" s="1205"/>
      <c r="H8031" s="1055"/>
      <c r="I8031" s="1055"/>
      <c r="J8031" s="1055"/>
      <c r="K8031" s="1205"/>
      <c r="L8031" s="1055"/>
      <c r="M8031" s="1205"/>
      <c r="N8031" s="1054"/>
      <c r="O8031" s="1207"/>
      <c r="Q8031" s="1207"/>
    </row>
    <row r="8032" spans="3:17" s="700" customFormat="1" ht="70.5" hidden="1" customHeight="1">
      <c r="C8032" s="701"/>
      <c r="D8032" s="811"/>
      <c r="E8032" s="1276">
        <f>[11]building!Y8363</f>
        <v>0</v>
      </c>
      <c r="F8032" s="748">
        <f t="shared" si="364"/>
        <v>0</v>
      </c>
      <c r="G8032" s="1205"/>
      <c r="H8032" s="1055"/>
      <c r="I8032" s="1055"/>
      <c r="J8032" s="1055"/>
      <c r="K8032" s="1205"/>
      <c r="L8032" s="1055"/>
      <c r="M8032" s="1205"/>
      <c r="N8032" s="1054"/>
      <c r="O8032" s="1207"/>
      <c r="Q8032" s="1207"/>
    </row>
    <row r="8033" spans="3:17" s="700" customFormat="1" ht="70.5" hidden="1" customHeight="1">
      <c r="C8033" s="701"/>
      <c r="D8033" s="811"/>
      <c r="E8033" s="1276">
        <f>[11]building!Y8364</f>
        <v>0</v>
      </c>
      <c r="F8033" s="748">
        <f t="shared" si="364"/>
        <v>0</v>
      </c>
      <c r="G8033" s="1205"/>
      <c r="H8033" s="1055"/>
      <c r="I8033" s="1055"/>
      <c r="J8033" s="1055"/>
      <c r="K8033" s="1205"/>
      <c r="L8033" s="1055"/>
      <c r="M8033" s="1205"/>
      <c r="N8033" s="1054"/>
      <c r="O8033" s="1207"/>
      <c r="Q8033" s="1207"/>
    </row>
    <row r="8034" spans="3:17" s="700" customFormat="1" ht="70.5" hidden="1" customHeight="1">
      <c r="C8034" s="701"/>
      <c r="D8034" s="811"/>
      <c r="E8034" s="1276">
        <f>[11]building!Y8365</f>
        <v>0</v>
      </c>
      <c r="F8034" s="748">
        <f t="shared" si="364"/>
        <v>0</v>
      </c>
      <c r="G8034" s="1205"/>
      <c r="H8034" s="1055"/>
      <c r="I8034" s="1055"/>
      <c r="J8034" s="1055"/>
      <c r="K8034" s="1205"/>
      <c r="L8034" s="1055"/>
      <c r="M8034" s="1205"/>
      <c r="N8034" s="1054"/>
      <c r="O8034" s="1207"/>
      <c r="Q8034" s="1207"/>
    </row>
    <row r="8035" spans="3:17" s="700" customFormat="1" ht="70.5" hidden="1" customHeight="1">
      <c r="C8035" s="701"/>
      <c r="D8035" s="811"/>
      <c r="E8035" s="1276">
        <f>[11]building!Y8366</f>
        <v>0</v>
      </c>
      <c r="F8035" s="748">
        <f t="shared" si="364"/>
        <v>0</v>
      </c>
      <c r="G8035" s="1205"/>
      <c r="H8035" s="1055"/>
      <c r="I8035" s="1055"/>
      <c r="J8035" s="1055"/>
      <c r="K8035" s="1205"/>
      <c r="L8035" s="1055"/>
      <c r="M8035" s="1205"/>
      <c r="N8035" s="1054"/>
      <c r="O8035" s="1207"/>
      <c r="Q8035" s="1207"/>
    </row>
    <row r="8036" spans="3:17" s="700" customFormat="1" ht="70.5" hidden="1" customHeight="1">
      <c r="C8036" s="701"/>
      <c r="D8036" s="811"/>
      <c r="E8036" s="1276">
        <f>[11]building!Y8367</f>
        <v>0</v>
      </c>
      <c r="F8036" s="748">
        <f t="shared" si="364"/>
        <v>0</v>
      </c>
      <c r="G8036" s="1205"/>
      <c r="H8036" s="1055"/>
      <c r="I8036" s="1055"/>
      <c r="J8036" s="1055"/>
      <c r="K8036" s="1205"/>
      <c r="L8036" s="1055"/>
      <c r="M8036" s="1205"/>
      <c r="N8036" s="1054"/>
      <c r="O8036" s="1207"/>
      <c r="Q8036" s="1207"/>
    </row>
    <row r="8037" spans="3:17" s="700" customFormat="1" ht="70.5" hidden="1" customHeight="1">
      <c r="C8037" s="701"/>
      <c r="D8037" s="811"/>
      <c r="E8037" s="1276">
        <f>[11]building!Y8368</f>
        <v>0</v>
      </c>
      <c r="F8037" s="748">
        <f t="shared" si="364"/>
        <v>0</v>
      </c>
      <c r="G8037" s="1205"/>
      <c r="H8037" s="1055"/>
      <c r="I8037" s="1055"/>
      <c r="J8037" s="1055"/>
      <c r="K8037" s="1205"/>
      <c r="L8037" s="1055"/>
      <c r="M8037" s="1205"/>
      <c r="N8037" s="1054"/>
      <c r="O8037" s="1207"/>
      <c r="Q8037" s="1207"/>
    </row>
    <row r="8038" spans="3:17" s="700" customFormat="1" ht="70.5" hidden="1" customHeight="1">
      <c r="C8038" s="701"/>
      <c r="D8038" s="811"/>
      <c r="E8038" s="1276">
        <f>[11]building!Y8369</f>
        <v>0</v>
      </c>
      <c r="F8038" s="748">
        <f t="shared" si="364"/>
        <v>0</v>
      </c>
      <c r="G8038" s="1205"/>
      <c r="H8038" s="1055"/>
      <c r="I8038" s="1055"/>
      <c r="J8038" s="1055"/>
      <c r="K8038" s="1205"/>
      <c r="L8038" s="1055"/>
      <c r="M8038" s="1205"/>
      <c r="N8038" s="1054"/>
      <c r="O8038" s="1207"/>
      <c r="Q8038" s="1207"/>
    </row>
    <row r="8039" spans="3:17" s="700" customFormat="1" ht="70.5" hidden="1" customHeight="1">
      <c r="C8039" s="701"/>
      <c r="D8039" s="811"/>
      <c r="E8039" s="1276">
        <f>[11]building!Y8370</f>
        <v>0</v>
      </c>
      <c r="F8039" s="748">
        <f t="shared" si="364"/>
        <v>0</v>
      </c>
      <c r="G8039" s="1205"/>
      <c r="H8039" s="1055"/>
      <c r="I8039" s="1055"/>
      <c r="J8039" s="1055"/>
      <c r="K8039" s="1205"/>
      <c r="L8039" s="1055"/>
      <c r="M8039" s="1205"/>
      <c r="N8039" s="1054"/>
      <c r="O8039" s="1207"/>
      <c r="Q8039" s="1207"/>
    </row>
    <row r="8040" spans="3:17" s="700" customFormat="1" ht="70.5" hidden="1" customHeight="1">
      <c r="C8040" s="701"/>
      <c r="D8040" s="811"/>
      <c r="E8040" s="1276">
        <f>[11]building!Y8371</f>
        <v>0</v>
      </c>
      <c r="F8040" s="748">
        <f t="shared" si="364"/>
        <v>0</v>
      </c>
      <c r="G8040" s="1205"/>
      <c r="H8040" s="1055"/>
      <c r="I8040" s="1055"/>
      <c r="J8040" s="1055"/>
      <c r="K8040" s="1205"/>
      <c r="L8040" s="1055"/>
      <c r="M8040" s="1205"/>
      <c r="N8040" s="1054"/>
      <c r="O8040" s="1207"/>
      <c r="Q8040" s="1207"/>
    </row>
    <row r="8041" spans="3:17" s="700" customFormat="1" ht="70.5" hidden="1" customHeight="1">
      <c r="C8041" s="701"/>
      <c r="D8041" s="811"/>
      <c r="E8041" s="1276">
        <f>[11]building!Y8372</f>
        <v>0</v>
      </c>
      <c r="F8041" s="748">
        <f t="shared" si="364"/>
        <v>0</v>
      </c>
      <c r="G8041" s="1205"/>
      <c r="H8041" s="1055"/>
      <c r="I8041" s="1055"/>
      <c r="J8041" s="1055"/>
      <c r="K8041" s="1205"/>
      <c r="L8041" s="1055"/>
      <c r="M8041" s="1205"/>
      <c r="N8041" s="1054"/>
      <c r="O8041" s="1207"/>
      <c r="Q8041" s="1207"/>
    </row>
    <row r="8042" spans="3:17" s="700" customFormat="1" ht="70.5" hidden="1" customHeight="1">
      <c r="C8042" s="701"/>
      <c r="D8042" s="811"/>
      <c r="E8042" s="1276">
        <f>[11]building!Y8373</f>
        <v>0</v>
      </c>
      <c r="F8042" s="748">
        <f t="shared" si="364"/>
        <v>0</v>
      </c>
      <c r="G8042" s="1205"/>
      <c r="H8042" s="1055"/>
      <c r="I8042" s="1055"/>
      <c r="J8042" s="1055"/>
      <c r="K8042" s="1205"/>
      <c r="L8042" s="1055"/>
      <c r="M8042" s="1205"/>
      <c r="N8042" s="1054"/>
      <c r="O8042" s="1207"/>
      <c r="Q8042" s="1207"/>
    </row>
    <row r="8043" spans="3:17" s="700" customFormat="1" ht="70.5" hidden="1" customHeight="1">
      <c r="C8043" s="701"/>
      <c r="D8043" s="811"/>
      <c r="E8043" s="1276">
        <f>[11]building!Y8374</f>
        <v>0</v>
      </c>
      <c r="F8043" s="748">
        <f t="shared" si="364"/>
        <v>0</v>
      </c>
      <c r="G8043" s="1205"/>
      <c r="H8043" s="1055"/>
      <c r="I8043" s="1055"/>
      <c r="J8043" s="1055"/>
      <c r="K8043" s="1205"/>
      <c r="L8043" s="1055"/>
      <c r="M8043" s="1205"/>
      <c r="N8043" s="1054"/>
      <c r="O8043" s="1207"/>
      <c r="Q8043" s="1207"/>
    </row>
    <row r="8044" spans="3:17" s="700" customFormat="1" ht="70.5" hidden="1" customHeight="1">
      <c r="C8044" s="701"/>
      <c r="D8044" s="811"/>
      <c r="E8044" s="1276">
        <f>[11]building!Y8375</f>
        <v>0</v>
      </c>
      <c r="F8044" s="748">
        <f t="shared" si="364"/>
        <v>0</v>
      </c>
      <c r="G8044" s="1205"/>
      <c r="H8044" s="1055"/>
      <c r="I8044" s="1055"/>
      <c r="J8044" s="1055"/>
      <c r="K8044" s="1205"/>
      <c r="L8044" s="1055"/>
      <c r="M8044" s="1205"/>
      <c r="N8044" s="1054"/>
      <c r="O8044" s="1207"/>
      <c r="Q8044" s="1207"/>
    </row>
    <row r="8045" spans="3:17" s="700" customFormat="1" ht="70.5" hidden="1" customHeight="1">
      <c r="C8045" s="701"/>
      <c r="D8045" s="811"/>
      <c r="E8045" s="1276">
        <f>[11]building!Y8376</f>
        <v>0</v>
      </c>
      <c r="F8045" s="748">
        <f t="shared" si="364"/>
        <v>0</v>
      </c>
      <c r="G8045" s="1205"/>
      <c r="H8045" s="1055"/>
      <c r="I8045" s="1055"/>
      <c r="J8045" s="1055"/>
      <c r="K8045" s="1205"/>
      <c r="L8045" s="1055"/>
      <c r="M8045" s="1205"/>
      <c r="N8045" s="1054"/>
      <c r="O8045" s="1207"/>
      <c r="Q8045" s="1207"/>
    </row>
    <row r="8046" spans="3:17" s="700" customFormat="1" ht="70.5" hidden="1" customHeight="1">
      <c r="C8046" s="701"/>
      <c r="D8046" s="811"/>
      <c r="E8046" s="1276">
        <f>[11]building!Y8377</f>
        <v>0</v>
      </c>
      <c r="F8046" s="748">
        <f t="shared" si="364"/>
        <v>0</v>
      </c>
      <c r="G8046" s="1205"/>
      <c r="H8046" s="1055"/>
      <c r="I8046" s="1055"/>
      <c r="J8046" s="1055"/>
      <c r="K8046" s="1205"/>
      <c r="L8046" s="1055"/>
      <c r="M8046" s="1205"/>
      <c r="N8046" s="1054"/>
      <c r="O8046" s="1207"/>
      <c r="Q8046" s="1207"/>
    </row>
    <row r="8047" spans="3:17" s="700" customFormat="1" ht="70.5" hidden="1" customHeight="1">
      <c r="C8047" s="701"/>
      <c r="D8047" s="811"/>
      <c r="E8047" s="1276">
        <f>[11]building!Y8378</f>
        <v>0</v>
      </c>
      <c r="F8047" s="748">
        <f t="shared" si="364"/>
        <v>0</v>
      </c>
      <c r="G8047" s="1205"/>
      <c r="H8047" s="1055"/>
      <c r="I8047" s="1055"/>
      <c r="J8047" s="1055"/>
      <c r="K8047" s="1205"/>
      <c r="L8047" s="1055"/>
      <c r="M8047" s="1205"/>
      <c r="N8047" s="1054"/>
      <c r="O8047" s="1207"/>
      <c r="Q8047" s="1207"/>
    </row>
    <row r="8048" spans="3:17" s="700" customFormat="1" ht="70.5" hidden="1" customHeight="1">
      <c r="C8048" s="701"/>
      <c r="D8048" s="811"/>
      <c r="E8048" s="1276">
        <f>[11]building!Y8379</f>
        <v>0</v>
      </c>
      <c r="F8048" s="748">
        <f t="shared" si="364"/>
        <v>0</v>
      </c>
      <c r="G8048" s="1205"/>
      <c r="H8048" s="1055"/>
      <c r="I8048" s="1055"/>
      <c r="J8048" s="1055"/>
      <c r="K8048" s="1205"/>
      <c r="L8048" s="1055"/>
      <c r="M8048" s="1205"/>
      <c r="N8048" s="1054"/>
      <c r="O8048" s="1207"/>
      <c r="Q8048" s="1207"/>
    </row>
    <row r="8049" spans="3:17" s="700" customFormat="1" ht="70.5" hidden="1" customHeight="1">
      <c r="C8049" s="701"/>
      <c r="D8049" s="811"/>
      <c r="E8049" s="1276">
        <f>[11]building!Y8380</f>
        <v>0</v>
      </c>
      <c r="F8049" s="748">
        <f t="shared" si="364"/>
        <v>0</v>
      </c>
      <c r="G8049" s="1205"/>
      <c r="H8049" s="1055"/>
      <c r="I8049" s="1055"/>
      <c r="J8049" s="1055"/>
      <c r="K8049" s="1205"/>
      <c r="L8049" s="1055"/>
      <c r="M8049" s="1205"/>
      <c r="N8049" s="1054"/>
      <c r="O8049" s="1207"/>
      <c r="Q8049" s="1207"/>
    </row>
    <row r="8050" spans="3:17" s="700" customFormat="1" ht="70.5" hidden="1" customHeight="1">
      <c r="C8050" s="701"/>
      <c r="D8050" s="811"/>
      <c r="E8050" s="1276">
        <f>[11]building!Y8381</f>
        <v>0</v>
      </c>
      <c r="F8050" s="748">
        <f t="shared" si="364"/>
        <v>0</v>
      </c>
      <c r="G8050" s="1205"/>
      <c r="H8050" s="1055"/>
      <c r="I8050" s="1055"/>
      <c r="J8050" s="1055"/>
      <c r="K8050" s="1205"/>
      <c r="L8050" s="1055"/>
      <c r="M8050" s="1205"/>
      <c r="N8050" s="1054"/>
      <c r="O8050" s="1207"/>
      <c r="Q8050" s="1207"/>
    </row>
    <row r="8051" spans="3:17" s="700" customFormat="1" ht="70.5" hidden="1" customHeight="1">
      <c r="C8051" s="701"/>
      <c r="D8051" s="811"/>
      <c r="E8051" s="1276">
        <f>[11]building!Y8382</f>
        <v>0</v>
      </c>
      <c r="F8051" s="748">
        <f t="shared" si="364"/>
        <v>0</v>
      </c>
      <c r="G8051" s="1205"/>
      <c r="H8051" s="1055"/>
      <c r="I8051" s="1055"/>
      <c r="J8051" s="1055"/>
      <c r="K8051" s="1205"/>
      <c r="L8051" s="1055"/>
      <c r="M8051" s="1205"/>
      <c r="N8051" s="1054"/>
      <c r="O8051" s="1207"/>
      <c r="Q8051" s="1207"/>
    </row>
    <row r="8052" spans="3:17" s="700" customFormat="1" ht="70.5" hidden="1" customHeight="1">
      <c r="C8052" s="701"/>
      <c r="D8052" s="811"/>
      <c r="E8052" s="1276">
        <f>[11]building!Y8383</f>
        <v>0</v>
      </c>
      <c r="F8052" s="748">
        <f t="shared" si="364"/>
        <v>0</v>
      </c>
      <c r="G8052" s="1205"/>
      <c r="H8052" s="1055"/>
      <c r="I8052" s="1055"/>
      <c r="J8052" s="1055"/>
      <c r="K8052" s="1205"/>
      <c r="L8052" s="1055"/>
      <c r="M8052" s="1205"/>
      <c r="N8052" s="1054"/>
      <c r="O8052" s="1207"/>
      <c r="Q8052" s="1207"/>
    </row>
    <row r="8053" spans="3:17" s="700" customFormat="1" ht="70.5" hidden="1" customHeight="1">
      <c r="C8053" s="701"/>
      <c r="D8053" s="811"/>
      <c r="E8053" s="1276">
        <f>[11]building!Y8384</f>
        <v>0</v>
      </c>
      <c r="F8053" s="748">
        <f t="shared" si="364"/>
        <v>0</v>
      </c>
      <c r="G8053" s="1205"/>
      <c r="H8053" s="1055"/>
      <c r="I8053" s="1055"/>
      <c r="J8053" s="1055"/>
      <c r="K8053" s="1205"/>
      <c r="L8053" s="1055"/>
      <c r="M8053" s="1205"/>
      <c r="N8053" s="1054"/>
      <c r="O8053" s="1207"/>
      <c r="Q8053" s="1207"/>
    </row>
    <row r="8054" spans="3:17" s="700" customFormat="1" ht="70.5" hidden="1" customHeight="1">
      <c r="C8054" s="701"/>
      <c r="D8054" s="811"/>
      <c r="E8054" s="1276">
        <f>[11]building!Y8385</f>
        <v>0</v>
      </c>
      <c r="F8054" s="748">
        <f t="shared" si="364"/>
        <v>0</v>
      </c>
      <c r="G8054" s="1205"/>
      <c r="H8054" s="1055"/>
      <c r="I8054" s="1055"/>
      <c r="J8054" s="1055"/>
      <c r="K8054" s="1205"/>
      <c r="L8054" s="1055"/>
      <c r="M8054" s="1205"/>
      <c r="N8054" s="1054"/>
      <c r="O8054" s="1207"/>
      <c r="Q8054" s="1207"/>
    </row>
    <row r="8055" spans="3:17" s="700" customFormat="1" ht="70.5" hidden="1" customHeight="1">
      <c r="C8055" s="701"/>
      <c r="D8055" s="811"/>
      <c r="E8055" s="1276">
        <f>[11]building!Y8386</f>
        <v>0</v>
      </c>
      <c r="F8055" s="748">
        <f t="shared" si="364"/>
        <v>0</v>
      </c>
      <c r="G8055" s="1205"/>
      <c r="H8055" s="1055"/>
      <c r="I8055" s="1055"/>
      <c r="J8055" s="1055"/>
      <c r="K8055" s="1205"/>
      <c r="L8055" s="1055"/>
      <c r="M8055" s="1205"/>
      <c r="N8055" s="1054"/>
      <c r="O8055" s="1207"/>
      <c r="Q8055" s="1207"/>
    </row>
    <row r="8056" spans="3:17" s="700" customFormat="1" ht="70.5" hidden="1" customHeight="1">
      <c r="C8056" s="701"/>
      <c r="D8056" s="811"/>
      <c r="E8056" s="1276">
        <f>[11]building!Y8387</f>
        <v>0</v>
      </c>
      <c r="F8056" s="748">
        <f t="shared" si="364"/>
        <v>0</v>
      </c>
      <c r="G8056" s="1205"/>
      <c r="H8056" s="1055"/>
      <c r="I8056" s="1055"/>
      <c r="J8056" s="1055"/>
      <c r="K8056" s="1205"/>
      <c r="L8056" s="1055"/>
      <c r="M8056" s="1205"/>
      <c r="N8056" s="1054"/>
      <c r="O8056" s="1207"/>
      <c r="Q8056" s="1207"/>
    </row>
    <row r="8057" spans="3:17" s="700" customFormat="1" ht="70.5" hidden="1" customHeight="1">
      <c r="C8057" s="701"/>
      <c r="D8057" s="811"/>
      <c r="E8057" s="1276">
        <f>[11]building!Y8388</f>
        <v>0</v>
      </c>
      <c r="F8057" s="748">
        <f t="shared" si="364"/>
        <v>0</v>
      </c>
      <c r="G8057" s="1205"/>
      <c r="H8057" s="1055"/>
      <c r="I8057" s="1055"/>
      <c r="J8057" s="1055"/>
      <c r="K8057" s="1205"/>
      <c r="L8057" s="1055"/>
      <c r="M8057" s="1205"/>
      <c r="N8057" s="1054"/>
      <c r="O8057" s="1207"/>
      <c r="Q8057" s="1207"/>
    </row>
    <row r="8058" spans="3:17" s="700" customFormat="1" ht="70.5" hidden="1" customHeight="1">
      <c r="C8058" s="701"/>
      <c r="D8058" s="811"/>
      <c r="E8058" s="1276">
        <f>[11]building!Y8389</f>
        <v>0</v>
      </c>
      <c r="F8058" s="748">
        <f t="shared" si="364"/>
        <v>0</v>
      </c>
      <c r="G8058" s="1205"/>
      <c r="H8058" s="1055"/>
      <c r="I8058" s="1055"/>
      <c r="J8058" s="1055"/>
      <c r="K8058" s="1205"/>
      <c r="L8058" s="1055"/>
      <c r="M8058" s="1205"/>
      <c r="N8058" s="1054"/>
      <c r="O8058" s="1207"/>
      <c r="Q8058" s="1207"/>
    </row>
    <row r="8059" spans="3:17" s="700" customFormat="1" ht="70.5" hidden="1" customHeight="1">
      <c r="C8059" s="701"/>
      <c r="D8059" s="811"/>
      <c r="E8059" s="1276">
        <f>[11]building!Y8390</f>
        <v>0</v>
      </c>
      <c r="F8059" s="748">
        <f t="shared" si="364"/>
        <v>0</v>
      </c>
      <c r="G8059" s="1205"/>
      <c r="H8059" s="1055"/>
      <c r="I8059" s="1055"/>
      <c r="J8059" s="1055"/>
      <c r="K8059" s="1205"/>
      <c r="L8059" s="1055"/>
      <c r="M8059" s="1205"/>
      <c r="N8059" s="1054"/>
      <c r="O8059" s="1207"/>
      <c r="Q8059" s="1207"/>
    </row>
    <row r="8060" spans="3:17" s="700" customFormat="1" ht="70.5" hidden="1" customHeight="1">
      <c r="C8060" s="701"/>
      <c r="D8060" s="811"/>
      <c r="E8060" s="1276">
        <f>[11]building!Y8391</f>
        <v>0</v>
      </c>
      <c r="F8060" s="748">
        <f t="shared" si="364"/>
        <v>0</v>
      </c>
      <c r="G8060" s="1205"/>
      <c r="H8060" s="1055"/>
      <c r="I8060" s="1055"/>
      <c r="J8060" s="1055"/>
      <c r="K8060" s="1205"/>
      <c r="L8060" s="1055"/>
      <c r="M8060" s="1205"/>
      <c r="N8060" s="1054"/>
      <c r="O8060" s="1207"/>
      <c r="Q8060" s="1207"/>
    </row>
    <row r="8061" spans="3:17" s="700" customFormat="1" ht="70.5" hidden="1" customHeight="1">
      <c r="C8061" s="701"/>
      <c r="D8061" s="811"/>
      <c r="E8061" s="1276">
        <f>[11]building!Y8392</f>
        <v>0</v>
      </c>
      <c r="F8061" s="748">
        <f t="shared" si="364"/>
        <v>0</v>
      </c>
      <c r="G8061" s="1205"/>
      <c r="H8061" s="1055"/>
      <c r="I8061" s="1055"/>
      <c r="J8061" s="1055"/>
      <c r="K8061" s="1205"/>
      <c r="L8061" s="1055"/>
      <c r="M8061" s="1205"/>
      <c r="N8061" s="1054"/>
      <c r="O8061" s="1207"/>
      <c r="Q8061" s="1207"/>
    </row>
    <row r="8062" spans="3:17" s="700" customFormat="1" ht="70.5" hidden="1" customHeight="1">
      <c r="C8062" s="701"/>
      <c r="D8062" s="811"/>
      <c r="E8062" s="1276">
        <f>[11]building!Y8393</f>
        <v>0</v>
      </c>
      <c r="F8062" s="748">
        <f t="shared" si="364"/>
        <v>0</v>
      </c>
      <c r="G8062" s="1205"/>
      <c r="H8062" s="1055"/>
      <c r="I8062" s="1055"/>
      <c r="J8062" s="1055"/>
      <c r="K8062" s="1205"/>
      <c r="L8062" s="1055"/>
      <c r="M8062" s="1205"/>
      <c r="N8062" s="1054"/>
      <c r="O8062" s="1207"/>
      <c r="Q8062" s="1207"/>
    </row>
    <row r="8063" spans="3:17" s="700" customFormat="1" ht="70.5" hidden="1" customHeight="1">
      <c r="C8063" s="701"/>
      <c r="D8063" s="811"/>
      <c r="E8063" s="1276">
        <f>[11]building!Y8394</f>
        <v>0</v>
      </c>
      <c r="F8063" s="748">
        <f t="shared" si="364"/>
        <v>0</v>
      </c>
      <c r="G8063" s="1205"/>
      <c r="H8063" s="1055"/>
      <c r="I8063" s="1055"/>
      <c r="J8063" s="1055"/>
      <c r="K8063" s="1205"/>
      <c r="L8063" s="1055"/>
      <c r="M8063" s="1205"/>
      <c r="N8063" s="1054"/>
      <c r="O8063" s="1207"/>
      <c r="Q8063" s="1207"/>
    </row>
    <row r="8064" spans="3:17" s="700" customFormat="1" ht="70.5" hidden="1" customHeight="1">
      <c r="C8064" s="701"/>
      <c r="D8064" s="811"/>
      <c r="E8064" s="1276">
        <f>[11]building!Y8395</f>
        <v>0</v>
      </c>
      <c r="F8064" s="748">
        <f t="shared" ref="F8064:F8127" si="365">E8064*C8064</f>
        <v>0</v>
      </c>
      <c r="G8064" s="1205"/>
      <c r="H8064" s="1055"/>
      <c r="I8064" s="1055"/>
      <c r="J8064" s="1055"/>
      <c r="K8064" s="1205"/>
      <c r="L8064" s="1055"/>
      <c r="M8064" s="1205"/>
      <c r="N8064" s="1054"/>
      <c r="O8064" s="1207"/>
      <c r="Q8064" s="1207"/>
    </row>
    <row r="8065" spans="3:17" s="700" customFormat="1" ht="70.5" hidden="1" customHeight="1">
      <c r="C8065" s="701"/>
      <c r="D8065" s="811"/>
      <c r="E8065" s="1276">
        <f>[11]building!Y8396</f>
        <v>0</v>
      </c>
      <c r="F8065" s="748">
        <f t="shared" si="365"/>
        <v>0</v>
      </c>
      <c r="G8065" s="1205"/>
      <c r="H8065" s="1055"/>
      <c r="I8065" s="1055"/>
      <c r="J8065" s="1055"/>
      <c r="K8065" s="1205"/>
      <c r="L8065" s="1055"/>
      <c r="M8065" s="1205"/>
      <c r="N8065" s="1054"/>
      <c r="O8065" s="1207"/>
      <c r="Q8065" s="1207"/>
    </row>
    <row r="8066" spans="3:17" s="700" customFormat="1" ht="70.5" hidden="1" customHeight="1">
      <c r="C8066" s="701"/>
      <c r="D8066" s="811"/>
      <c r="E8066" s="1276">
        <f>[11]building!Y8397</f>
        <v>0</v>
      </c>
      <c r="F8066" s="748">
        <f t="shared" si="365"/>
        <v>0</v>
      </c>
      <c r="G8066" s="1205"/>
      <c r="H8066" s="1055"/>
      <c r="I8066" s="1055"/>
      <c r="J8066" s="1055"/>
      <c r="K8066" s="1205"/>
      <c r="L8066" s="1055"/>
      <c r="M8066" s="1205"/>
      <c r="N8066" s="1054"/>
      <c r="O8066" s="1207"/>
      <c r="Q8066" s="1207"/>
    </row>
    <row r="8067" spans="3:17" s="700" customFormat="1" ht="70.5" hidden="1" customHeight="1">
      <c r="C8067" s="701"/>
      <c r="D8067" s="811"/>
      <c r="E8067" s="1276">
        <f>[11]building!Y8398</f>
        <v>0</v>
      </c>
      <c r="F8067" s="748">
        <f t="shared" si="365"/>
        <v>0</v>
      </c>
      <c r="G8067" s="1205"/>
      <c r="H8067" s="1055"/>
      <c r="I8067" s="1055"/>
      <c r="J8067" s="1055"/>
      <c r="K8067" s="1205"/>
      <c r="L8067" s="1055"/>
      <c r="M8067" s="1205"/>
      <c r="N8067" s="1054"/>
      <c r="O8067" s="1207"/>
      <c r="Q8067" s="1207"/>
    </row>
    <row r="8068" spans="3:17" s="700" customFormat="1" ht="70.5" hidden="1" customHeight="1">
      <c r="C8068" s="701"/>
      <c r="D8068" s="811"/>
      <c r="E8068" s="1276">
        <f>[11]building!Y8399</f>
        <v>0</v>
      </c>
      <c r="F8068" s="748">
        <f t="shared" si="365"/>
        <v>0</v>
      </c>
      <c r="G8068" s="1205"/>
      <c r="H8068" s="1055"/>
      <c r="I8068" s="1055"/>
      <c r="J8068" s="1055"/>
      <c r="K8068" s="1205"/>
      <c r="L8068" s="1055"/>
      <c r="M8068" s="1205"/>
      <c r="N8068" s="1054"/>
      <c r="O8068" s="1207"/>
      <c r="Q8068" s="1207"/>
    </row>
    <row r="8069" spans="3:17" s="700" customFormat="1" ht="70.5" hidden="1" customHeight="1">
      <c r="C8069" s="701"/>
      <c r="D8069" s="811"/>
      <c r="E8069" s="1276">
        <f>[11]building!Y8400</f>
        <v>0</v>
      </c>
      <c r="F8069" s="748">
        <f t="shared" si="365"/>
        <v>0</v>
      </c>
      <c r="G8069" s="1205"/>
      <c r="H8069" s="1055"/>
      <c r="I8069" s="1055"/>
      <c r="J8069" s="1055"/>
      <c r="K8069" s="1205"/>
      <c r="L8069" s="1055"/>
      <c r="M8069" s="1205"/>
      <c r="N8069" s="1054"/>
      <c r="O8069" s="1207"/>
      <c r="Q8069" s="1207"/>
    </row>
    <row r="8070" spans="3:17" s="700" customFormat="1" ht="70.5" hidden="1" customHeight="1">
      <c r="C8070" s="701"/>
      <c r="D8070" s="811"/>
      <c r="E8070" s="1276">
        <f>[11]building!Y8401</f>
        <v>0</v>
      </c>
      <c r="F8070" s="748">
        <f t="shared" si="365"/>
        <v>0</v>
      </c>
      <c r="G8070" s="1205"/>
      <c r="H8070" s="1055"/>
      <c r="I8070" s="1055"/>
      <c r="J8070" s="1055"/>
      <c r="K8070" s="1205"/>
      <c r="L8070" s="1055"/>
      <c r="M8070" s="1205"/>
      <c r="N8070" s="1054"/>
      <c r="O8070" s="1207"/>
      <c r="Q8070" s="1207"/>
    </row>
    <row r="8071" spans="3:17" s="700" customFormat="1" ht="70.5" hidden="1" customHeight="1">
      <c r="C8071" s="701"/>
      <c r="D8071" s="811"/>
      <c r="E8071" s="1276">
        <f>[11]building!Y8402</f>
        <v>0</v>
      </c>
      <c r="F8071" s="748">
        <f t="shared" si="365"/>
        <v>0</v>
      </c>
      <c r="G8071" s="1205"/>
      <c r="H8071" s="1055"/>
      <c r="I8071" s="1055"/>
      <c r="J8071" s="1055"/>
      <c r="K8071" s="1205"/>
      <c r="L8071" s="1055"/>
      <c r="M8071" s="1205"/>
      <c r="N8071" s="1054"/>
      <c r="O8071" s="1207"/>
      <c r="Q8071" s="1207"/>
    </row>
    <row r="8072" spans="3:17" s="700" customFormat="1" ht="70.5" hidden="1" customHeight="1">
      <c r="C8072" s="701"/>
      <c r="D8072" s="811"/>
      <c r="E8072" s="1276">
        <f>[11]building!Y8403</f>
        <v>0</v>
      </c>
      <c r="F8072" s="748">
        <f t="shared" si="365"/>
        <v>0</v>
      </c>
      <c r="G8072" s="1205"/>
      <c r="H8072" s="1055"/>
      <c r="I8072" s="1055"/>
      <c r="J8072" s="1055"/>
      <c r="K8072" s="1205"/>
      <c r="L8072" s="1055"/>
      <c r="M8072" s="1205"/>
      <c r="N8072" s="1054"/>
      <c r="O8072" s="1207"/>
      <c r="Q8072" s="1207"/>
    </row>
    <row r="8073" spans="3:17" s="700" customFormat="1" ht="70.5" hidden="1" customHeight="1">
      <c r="C8073" s="701"/>
      <c r="D8073" s="811"/>
      <c r="E8073" s="1276">
        <f>[11]building!Y8404</f>
        <v>0</v>
      </c>
      <c r="F8073" s="748">
        <f t="shared" si="365"/>
        <v>0</v>
      </c>
      <c r="G8073" s="1205"/>
      <c r="H8073" s="1055"/>
      <c r="I8073" s="1055"/>
      <c r="J8073" s="1055"/>
      <c r="K8073" s="1205"/>
      <c r="L8073" s="1055"/>
      <c r="M8073" s="1205"/>
      <c r="N8073" s="1054"/>
      <c r="O8073" s="1207"/>
      <c r="Q8073" s="1207"/>
    </row>
    <row r="8074" spans="3:17" s="700" customFormat="1" ht="70.5" hidden="1" customHeight="1">
      <c r="C8074" s="701"/>
      <c r="D8074" s="811"/>
      <c r="E8074" s="1276">
        <f>[11]building!Y8405</f>
        <v>0</v>
      </c>
      <c r="F8074" s="748">
        <f t="shared" si="365"/>
        <v>0</v>
      </c>
      <c r="G8074" s="1205"/>
      <c r="H8074" s="1055"/>
      <c r="I8074" s="1055"/>
      <c r="J8074" s="1055"/>
      <c r="K8074" s="1205"/>
      <c r="L8074" s="1055"/>
      <c r="M8074" s="1205"/>
      <c r="N8074" s="1054"/>
      <c r="O8074" s="1207"/>
      <c r="Q8074" s="1207"/>
    </row>
    <row r="8075" spans="3:17" s="700" customFormat="1" ht="70.5" hidden="1" customHeight="1">
      <c r="C8075" s="701"/>
      <c r="D8075" s="811"/>
      <c r="E8075" s="1276">
        <f>[11]building!Y8406</f>
        <v>0</v>
      </c>
      <c r="F8075" s="748">
        <f t="shared" si="365"/>
        <v>0</v>
      </c>
      <c r="G8075" s="1205"/>
      <c r="H8075" s="1055"/>
      <c r="I8075" s="1055"/>
      <c r="J8075" s="1055"/>
      <c r="K8075" s="1205"/>
      <c r="L8075" s="1055"/>
      <c r="M8075" s="1205"/>
      <c r="N8075" s="1054"/>
      <c r="O8075" s="1207"/>
      <c r="Q8075" s="1207"/>
    </row>
    <row r="8076" spans="3:17" s="700" customFormat="1" ht="70.5" hidden="1" customHeight="1">
      <c r="C8076" s="701"/>
      <c r="D8076" s="811"/>
      <c r="E8076" s="1276">
        <f>[11]building!Y8407</f>
        <v>0</v>
      </c>
      <c r="F8076" s="748">
        <f t="shared" si="365"/>
        <v>0</v>
      </c>
      <c r="G8076" s="1205"/>
      <c r="H8076" s="1055"/>
      <c r="I8076" s="1055"/>
      <c r="J8076" s="1055"/>
      <c r="K8076" s="1205"/>
      <c r="L8076" s="1055"/>
      <c r="M8076" s="1205"/>
      <c r="N8076" s="1054"/>
      <c r="O8076" s="1207"/>
      <c r="Q8076" s="1207"/>
    </row>
    <row r="8077" spans="3:17" s="700" customFormat="1" ht="70.5" hidden="1" customHeight="1">
      <c r="C8077" s="701"/>
      <c r="D8077" s="811"/>
      <c r="E8077" s="1276">
        <f>[11]building!Y8408</f>
        <v>0</v>
      </c>
      <c r="F8077" s="748">
        <f t="shared" si="365"/>
        <v>0</v>
      </c>
      <c r="G8077" s="1205"/>
      <c r="H8077" s="1055"/>
      <c r="I8077" s="1055"/>
      <c r="J8077" s="1055"/>
      <c r="K8077" s="1205"/>
      <c r="L8077" s="1055"/>
      <c r="M8077" s="1205"/>
      <c r="N8077" s="1054"/>
      <c r="O8077" s="1207"/>
      <c r="Q8077" s="1207"/>
    </row>
    <row r="8078" spans="3:17" s="700" customFormat="1" ht="70.5" hidden="1" customHeight="1">
      <c r="C8078" s="701"/>
      <c r="D8078" s="811"/>
      <c r="E8078" s="1276">
        <f>[11]building!Y8409</f>
        <v>0</v>
      </c>
      <c r="F8078" s="748">
        <f t="shared" si="365"/>
        <v>0</v>
      </c>
      <c r="G8078" s="1205"/>
      <c r="H8078" s="1055"/>
      <c r="I8078" s="1055"/>
      <c r="J8078" s="1055"/>
      <c r="K8078" s="1205"/>
      <c r="L8078" s="1055"/>
      <c r="M8078" s="1205"/>
      <c r="N8078" s="1054"/>
      <c r="O8078" s="1207"/>
      <c r="Q8078" s="1207"/>
    </row>
    <row r="8079" spans="3:17" s="700" customFormat="1" ht="70.5" hidden="1" customHeight="1">
      <c r="C8079" s="701"/>
      <c r="D8079" s="811"/>
      <c r="E8079" s="1276">
        <f>[11]building!Y8410</f>
        <v>0</v>
      </c>
      <c r="F8079" s="748">
        <f t="shared" si="365"/>
        <v>0</v>
      </c>
      <c r="G8079" s="1205"/>
      <c r="H8079" s="1055"/>
      <c r="I8079" s="1055"/>
      <c r="J8079" s="1055"/>
      <c r="K8079" s="1205"/>
      <c r="L8079" s="1055"/>
      <c r="M8079" s="1205"/>
      <c r="N8079" s="1054"/>
      <c r="O8079" s="1207"/>
      <c r="Q8079" s="1207"/>
    </row>
    <row r="8080" spans="3:17" s="700" customFormat="1" ht="70.5" hidden="1" customHeight="1">
      <c r="C8080" s="701"/>
      <c r="D8080" s="811"/>
      <c r="E8080" s="1276">
        <f>[11]building!Y8411</f>
        <v>0</v>
      </c>
      <c r="F8080" s="748">
        <f t="shared" si="365"/>
        <v>0</v>
      </c>
      <c r="G8080" s="1205"/>
      <c r="H8080" s="1055"/>
      <c r="I8080" s="1055"/>
      <c r="J8080" s="1055"/>
      <c r="K8080" s="1205"/>
      <c r="L8080" s="1055"/>
      <c r="M8080" s="1205"/>
      <c r="N8080" s="1054"/>
      <c r="O8080" s="1207"/>
      <c r="Q8080" s="1207"/>
    </row>
    <row r="8081" spans="3:17" s="700" customFormat="1" ht="70.5" hidden="1" customHeight="1">
      <c r="C8081" s="701"/>
      <c r="D8081" s="811"/>
      <c r="E8081" s="1276">
        <f>[11]building!Y8412</f>
        <v>0</v>
      </c>
      <c r="F8081" s="748">
        <f t="shared" si="365"/>
        <v>0</v>
      </c>
      <c r="G8081" s="1205"/>
      <c r="H8081" s="1055"/>
      <c r="I8081" s="1055"/>
      <c r="J8081" s="1055"/>
      <c r="K8081" s="1205"/>
      <c r="L8081" s="1055"/>
      <c r="M8081" s="1205"/>
      <c r="N8081" s="1054"/>
      <c r="O8081" s="1207"/>
      <c r="Q8081" s="1207"/>
    </row>
    <row r="8082" spans="3:17" s="700" customFormat="1" ht="70.5" hidden="1" customHeight="1">
      <c r="C8082" s="701"/>
      <c r="D8082" s="811"/>
      <c r="E8082" s="1276">
        <f>[11]building!Y8413</f>
        <v>0</v>
      </c>
      <c r="F8082" s="748">
        <f t="shared" si="365"/>
        <v>0</v>
      </c>
      <c r="G8082" s="1205"/>
      <c r="H8082" s="1055"/>
      <c r="I8082" s="1055"/>
      <c r="J8082" s="1055"/>
      <c r="K8082" s="1205"/>
      <c r="L8082" s="1055"/>
      <c r="M8082" s="1205"/>
      <c r="N8082" s="1054"/>
      <c r="O8082" s="1207"/>
      <c r="Q8082" s="1207"/>
    </row>
    <row r="8083" spans="3:17" s="700" customFormat="1" ht="70.5" hidden="1" customHeight="1">
      <c r="C8083" s="701"/>
      <c r="D8083" s="811"/>
      <c r="E8083" s="1276">
        <f>[11]building!Y8414</f>
        <v>0</v>
      </c>
      <c r="F8083" s="748">
        <f t="shared" si="365"/>
        <v>0</v>
      </c>
      <c r="G8083" s="1205"/>
      <c r="H8083" s="1055"/>
      <c r="I8083" s="1055"/>
      <c r="J8083" s="1055"/>
      <c r="K8083" s="1205"/>
      <c r="L8083" s="1055"/>
      <c r="M8083" s="1205"/>
      <c r="N8083" s="1054"/>
      <c r="O8083" s="1207"/>
      <c r="Q8083" s="1207"/>
    </row>
    <row r="8084" spans="3:17" s="700" customFormat="1" ht="70.5" hidden="1" customHeight="1">
      <c r="C8084" s="701"/>
      <c r="D8084" s="811"/>
      <c r="E8084" s="1276">
        <f>[11]building!Y8415</f>
        <v>0</v>
      </c>
      <c r="F8084" s="748">
        <f t="shared" si="365"/>
        <v>0</v>
      </c>
      <c r="G8084" s="1205"/>
      <c r="H8084" s="1055"/>
      <c r="I8084" s="1055"/>
      <c r="J8084" s="1055"/>
      <c r="K8084" s="1205"/>
      <c r="L8084" s="1055"/>
      <c r="M8084" s="1205"/>
      <c r="N8084" s="1054"/>
      <c r="O8084" s="1207"/>
      <c r="Q8084" s="1207"/>
    </row>
    <row r="8085" spans="3:17" s="700" customFormat="1" ht="70.5" hidden="1" customHeight="1">
      <c r="C8085" s="701"/>
      <c r="D8085" s="811"/>
      <c r="E8085" s="1276">
        <f>[11]building!Y8416</f>
        <v>0</v>
      </c>
      <c r="F8085" s="748">
        <f t="shared" si="365"/>
        <v>0</v>
      </c>
      <c r="G8085" s="1205"/>
      <c r="H8085" s="1055"/>
      <c r="I8085" s="1055"/>
      <c r="J8085" s="1055"/>
      <c r="K8085" s="1205"/>
      <c r="L8085" s="1055"/>
      <c r="M8085" s="1205"/>
      <c r="N8085" s="1054"/>
      <c r="O8085" s="1207"/>
      <c r="Q8085" s="1207"/>
    </row>
    <row r="8086" spans="3:17" s="700" customFormat="1" ht="70.5" hidden="1" customHeight="1">
      <c r="C8086" s="701"/>
      <c r="D8086" s="811"/>
      <c r="E8086" s="1276">
        <f>[11]building!Y8417</f>
        <v>0</v>
      </c>
      <c r="F8086" s="748">
        <f t="shared" si="365"/>
        <v>0</v>
      </c>
      <c r="G8086" s="1205"/>
      <c r="H8086" s="1055"/>
      <c r="I8086" s="1055"/>
      <c r="J8086" s="1055"/>
      <c r="K8086" s="1205"/>
      <c r="L8086" s="1055"/>
      <c r="M8086" s="1205"/>
      <c r="N8086" s="1054"/>
      <c r="O8086" s="1207"/>
      <c r="Q8086" s="1207"/>
    </row>
    <row r="8087" spans="3:17" s="700" customFormat="1" ht="70.5" hidden="1" customHeight="1">
      <c r="C8087" s="701"/>
      <c r="D8087" s="811"/>
      <c r="E8087" s="1276">
        <f>[11]building!Y8418</f>
        <v>0</v>
      </c>
      <c r="F8087" s="748">
        <f t="shared" si="365"/>
        <v>0</v>
      </c>
      <c r="G8087" s="1205"/>
      <c r="H8087" s="1055"/>
      <c r="I8087" s="1055"/>
      <c r="J8087" s="1055"/>
      <c r="K8087" s="1205"/>
      <c r="L8087" s="1055"/>
      <c r="M8087" s="1205"/>
      <c r="N8087" s="1054"/>
      <c r="O8087" s="1207"/>
      <c r="Q8087" s="1207"/>
    </row>
    <row r="8088" spans="3:17" s="700" customFormat="1" ht="70.5" hidden="1" customHeight="1">
      <c r="C8088" s="701"/>
      <c r="D8088" s="811"/>
      <c r="E8088" s="1276">
        <f>[11]building!Y8419</f>
        <v>0</v>
      </c>
      <c r="F8088" s="748">
        <f t="shared" si="365"/>
        <v>0</v>
      </c>
      <c r="G8088" s="1205"/>
      <c r="H8088" s="1055"/>
      <c r="I8088" s="1055"/>
      <c r="J8088" s="1055"/>
      <c r="K8088" s="1205"/>
      <c r="L8088" s="1055"/>
      <c r="M8088" s="1205"/>
      <c r="N8088" s="1054"/>
      <c r="O8088" s="1207"/>
      <c r="Q8088" s="1207"/>
    </row>
    <row r="8089" spans="3:17" s="700" customFormat="1" ht="70.5" hidden="1" customHeight="1">
      <c r="C8089" s="701"/>
      <c r="D8089" s="811"/>
      <c r="E8089" s="1276">
        <f>[11]building!Y8420</f>
        <v>0</v>
      </c>
      <c r="F8089" s="748">
        <f t="shared" si="365"/>
        <v>0</v>
      </c>
      <c r="G8089" s="1205"/>
      <c r="H8089" s="1055"/>
      <c r="I8089" s="1055"/>
      <c r="J8089" s="1055"/>
      <c r="K8089" s="1205"/>
      <c r="L8089" s="1055"/>
      <c r="M8089" s="1205"/>
      <c r="N8089" s="1054"/>
      <c r="O8089" s="1207"/>
      <c r="Q8089" s="1207"/>
    </row>
    <row r="8090" spans="3:17" s="700" customFormat="1" ht="70.5" hidden="1" customHeight="1">
      <c r="C8090" s="701"/>
      <c r="D8090" s="811"/>
      <c r="E8090" s="1276">
        <f>[11]building!Y8421</f>
        <v>0</v>
      </c>
      <c r="F8090" s="748">
        <f t="shared" si="365"/>
        <v>0</v>
      </c>
      <c r="G8090" s="1205"/>
      <c r="H8090" s="1055"/>
      <c r="I8090" s="1055"/>
      <c r="J8090" s="1055"/>
      <c r="K8090" s="1205"/>
      <c r="L8090" s="1055"/>
      <c r="M8090" s="1205"/>
      <c r="N8090" s="1054"/>
      <c r="O8090" s="1207"/>
      <c r="Q8090" s="1207"/>
    </row>
    <row r="8091" spans="3:17" s="700" customFormat="1" ht="70.5" hidden="1" customHeight="1">
      <c r="C8091" s="701"/>
      <c r="D8091" s="811"/>
      <c r="E8091" s="1276">
        <f>[11]building!Y8422</f>
        <v>0</v>
      </c>
      <c r="F8091" s="748">
        <f t="shared" si="365"/>
        <v>0</v>
      </c>
      <c r="G8091" s="1205"/>
      <c r="H8091" s="1055"/>
      <c r="I8091" s="1055"/>
      <c r="J8091" s="1055"/>
      <c r="K8091" s="1205"/>
      <c r="L8091" s="1055"/>
      <c r="M8091" s="1205"/>
      <c r="N8091" s="1054"/>
      <c r="O8091" s="1207"/>
      <c r="Q8091" s="1207"/>
    </row>
    <row r="8092" spans="3:17" s="700" customFormat="1" ht="70.5" hidden="1" customHeight="1">
      <c r="C8092" s="701"/>
      <c r="D8092" s="811"/>
      <c r="E8092" s="1276">
        <f>[11]building!Y8423</f>
        <v>0</v>
      </c>
      <c r="F8092" s="748">
        <f t="shared" si="365"/>
        <v>0</v>
      </c>
      <c r="G8092" s="1205"/>
      <c r="H8092" s="1055"/>
      <c r="I8092" s="1055"/>
      <c r="J8092" s="1055"/>
      <c r="K8092" s="1205"/>
      <c r="L8092" s="1055"/>
      <c r="M8092" s="1205"/>
      <c r="N8092" s="1054"/>
      <c r="O8092" s="1207"/>
      <c r="Q8092" s="1207"/>
    </row>
    <row r="8093" spans="3:17" s="700" customFormat="1" ht="70.5" hidden="1" customHeight="1">
      <c r="C8093" s="701"/>
      <c r="D8093" s="811"/>
      <c r="E8093" s="1276">
        <f>[11]building!Y8424</f>
        <v>0</v>
      </c>
      <c r="F8093" s="748">
        <f t="shared" si="365"/>
        <v>0</v>
      </c>
      <c r="G8093" s="1205"/>
      <c r="H8093" s="1055"/>
      <c r="I8093" s="1055"/>
      <c r="J8093" s="1055"/>
      <c r="K8093" s="1205"/>
      <c r="L8093" s="1055"/>
      <c r="M8093" s="1205"/>
      <c r="N8093" s="1054"/>
      <c r="O8093" s="1207"/>
      <c r="Q8093" s="1207"/>
    </row>
    <row r="8094" spans="3:17" s="700" customFormat="1" ht="70.5" hidden="1" customHeight="1">
      <c r="C8094" s="701"/>
      <c r="D8094" s="811"/>
      <c r="E8094" s="1276">
        <f>[11]building!Y8425</f>
        <v>0</v>
      </c>
      <c r="F8094" s="748">
        <f t="shared" si="365"/>
        <v>0</v>
      </c>
      <c r="G8094" s="1205"/>
      <c r="H8094" s="1055"/>
      <c r="I8094" s="1055"/>
      <c r="J8094" s="1055"/>
      <c r="K8094" s="1205"/>
      <c r="L8094" s="1055"/>
      <c r="M8094" s="1205"/>
      <c r="N8094" s="1054"/>
      <c r="O8094" s="1207"/>
      <c r="Q8094" s="1207"/>
    </row>
    <row r="8095" spans="3:17" s="700" customFormat="1" ht="70.5" hidden="1" customHeight="1">
      <c r="C8095" s="701"/>
      <c r="D8095" s="811"/>
      <c r="E8095" s="1276">
        <f>[11]building!Y8426</f>
        <v>0</v>
      </c>
      <c r="F8095" s="748">
        <f t="shared" si="365"/>
        <v>0</v>
      </c>
      <c r="G8095" s="1205"/>
      <c r="H8095" s="1055"/>
      <c r="I8095" s="1055"/>
      <c r="J8095" s="1055"/>
      <c r="K8095" s="1205"/>
      <c r="L8095" s="1055"/>
      <c r="M8095" s="1205"/>
      <c r="N8095" s="1054"/>
      <c r="O8095" s="1207"/>
      <c r="Q8095" s="1207"/>
    </row>
    <row r="8096" spans="3:17" s="700" customFormat="1" ht="70.5" hidden="1" customHeight="1">
      <c r="C8096" s="701"/>
      <c r="D8096" s="811"/>
      <c r="E8096" s="1276">
        <f>[11]building!Y8427</f>
        <v>0</v>
      </c>
      <c r="F8096" s="748">
        <f t="shared" si="365"/>
        <v>0</v>
      </c>
      <c r="G8096" s="1205"/>
      <c r="H8096" s="1055"/>
      <c r="I8096" s="1055"/>
      <c r="J8096" s="1055"/>
      <c r="K8096" s="1205"/>
      <c r="L8096" s="1055"/>
      <c r="M8096" s="1205"/>
      <c r="N8096" s="1054"/>
      <c r="O8096" s="1207"/>
      <c r="Q8096" s="1207"/>
    </row>
    <row r="8097" spans="3:17" s="700" customFormat="1" ht="70.5" hidden="1" customHeight="1">
      <c r="C8097" s="701"/>
      <c r="D8097" s="811"/>
      <c r="E8097" s="1276">
        <f>[11]building!Y8428</f>
        <v>0</v>
      </c>
      <c r="F8097" s="748">
        <f t="shared" si="365"/>
        <v>0</v>
      </c>
      <c r="G8097" s="1205"/>
      <c r="H8097" s="1055"/>
      <c r="I8097" s="1055"/>
      <c r="J8097" s="1055"/>
      <c r="K8097" s="1205"/>
      <c r="L8097" s="1055"/>
      <c r="M8097" s="1205"/>
      <c r="N8097" s="1054"/>
      <c r="O8097" s="1207"/>
      <c r="Q8097" s="1207"/>
    </row>
    <row r="8098" spans="3:17" s="700" customFormat="1" ht="70.5" hidden="1" customHeight="1">
      <c r="C8098" s="701"/>
      <c r="D8098" s="811"/>
      <c r="E8098" s="1276">
        <f>[11]building!Y8429</f>
        <v>0</v>
      </c>
      <c r="F8098" s="748">
        <f t="shared" si="365"/>
        <v>0</v>
      </c>
      <c r="G8098" s="1205"/>
      <c r="H8098" s="1055"/>
      <c r="I8098" s="1055"/>
      <c r="J8098" s="1055"/>
      <c r="K8098" s="1205"/>
      <c r="L8098" s="1055"/>
      <c r="M8098" s="1205"/>
      <c r="N8098" s="1054"/>
      <c r="O8098" s="1207"/>
      <c r="Q8098" s="1207"/>
    </row>
    <row r="8099" spans="3:17" s="700" customFormat="1" ht="70.5" hidden="1" customHeight="1">
      <c r="C8099" s="701"/>
      <c r="D8099" s="811"/>
      <c r="E8099" s="1276">
        <f>[11]building!Y8430</f>
        <v>0</v>
      </c>
      <c r="F8099" s="748">
        <f t="shared" si="365"/>
        <v>0</v>
      </c>
      <c r="G8099" s="1205"/>
      <c r="H8099" s="1055"/>
      <c r="I8099" s="1055"/>
      <c r="J8099" s="1055"/>
      <c r="K8099" s="1205"/>
      <c r="L8099" s="1055"/>
      <c r="M8099" s="1205"/>
      <c r="N8099" s="1054"/>
      <c r="O8099" s="1207"/>
      <c r="Q8099" s="1207"/>
    </row>
    <row r="8100" spans="3:17" s="700" customFormat="1" ht="70.5" hidden="1" customHeight="1">
      <c r="C8100" s="701"/>
      <c r="D8100" s="811"/>
      <c r="E8100" s="1276">
        <f>[11]building!Y8431</f>
        <v>0</v>
      </c>
      <c r="F8100" s="748">
        <f t="shared" si="365"/>
        <v>0</v>
      </c>
      <c r="G8100" s="1205"/>
      <c r="H8100" s="1055"/>
      <c r="I8100" s="1055"/>
      <c r="J8100" s="1055"/>
      <c r="K8100" s="1205"/>
      <c r="L8100" s="1055"/>
      <c r="M8100" s="1205"/>
      <c r="N8100" s="1054"/>
      <c r="O8100" s="1207"/>
      <c r="Q8100" s="1207"/>
    </row>
    <row r="8101" spans="3:17" s="700" customFormat="1" ht="70.5" hidden="1" customHeight="1">
      <c r="C8101" s="701"/>
      <c r="D8101" s="811"/>
      <c r="E8101" s="1276">
        <f>[11]building!Y8432</f>
        <v>0</v>
      </c>
      <c r="F8101" s="748">
        <f t="shared" si="365"/>
        <v>0</v>
      </c>
      <c r="G8101" s="1205"/>
      <c r="H8101" s="1055"/>
      <c r="I8101" s="1055"/>
      <c r="J8101" s="1055"/>
      <c r="K8101" s="1205"/>
      <c r="L8101" s="1055"/>
      <c r="M8101" s="1205"/>
      <c r="N8101" s="1054"/>
      <c r="O8101" s="1207"/>
      <c r="Q8101" s="1207"/>
    </row>
    <row r="8102" spans="3:17" s="700" customFormat="1" ht="70.5" hidden="1" customHeight="1">
      <c r="C8102" s="701"/>
      <c r="D8102" s="811"/>
      <c r="E8102" s="1276">
        <f>[11]building!Y8433</f>
        <v>0</v>
      </c>
      <c r="F8102" s="748">
        <f t="shared" si="365"/>
        <v>0</v>
      </c>
      <c r="G8102" s="1205"/>
      <c r="H8102" s="1055"/>
      <c r="I8102" s="1055"/>
      <c r="J8102" s="1055"/>
      <c r="K8102" s="1205"/>
      <c r="L8102" s="1055"/>
      <c r="M8102" s="1205"/>
      <c r="N8102" s="1054"/>
      <c r="O8102" s="1207"/>
      <c r="Q8102" s="1207"/>
    </row>
    <row r="8103" spans="3:17" s="700" customFormat="1" ht="70.5" hidden="1" customHeight="1">
      <c r="C8103" s="701"/>
      <c r="D8103" s="811"/>
      <c r="E8103" s="1276">
        <f>[11]building!Y8434</f>
        <v>0</v>
      </c>
      <c r="F8103" s="748">
        <f t="shared" si="365"/>
        <v>0</v>
      </c>
      <c r="G8103" s="1205"/>
      <c r="H8103" s="1055"/>
      <c r="I8103" s="1055"/>
      <c r="J8103" s="1055"/>
      <c r="K8103" s="1205"/>
      <c r="L8103" s="1055"/>
      <c r="M8103" s="1205"/>
      <c r="N8103" s="1054"/>
      <c r="O8103" s="1207"/>
      <c r="Q8103" s="1207"/>
    </row>
    <row r="8104" spans="3:17" s="700" customFormat="1" ht="70.5" hidden="1" customHeight="1">
      <c r="C8104" s="701"/>
      <c r="D8104" s="811"/>
      <c r="E8104" s="1276">
        <f>[11]building!Y8435</f>
        <v>0</v>
      </c>
      <c r="F8104" s="748">
        <f t="shared" si="365"/>
        <v>0</v>
      </c>
      <c r="G8104" s="1205"/>
      <c r="H8104" s="1055"/>
      <c r="I8104" s="1055"/>
      <c r="J8104" s="1055"/>
      <c r="K8104" s="1205"/>
      <c r="L8104" s="1055"/>
      <c r="M8104" s="1205"/>
      <c r="N8104" s="1054"/>
      <c r="O8104" s="1207"/>
      <c r="Q8104" s="1207"/>
    </row>
    <row r="8105" spans="3:17" s="700" customFormat="1" ht="70.5" hidden="1" customHeight="1">
      <c r="C8105" s="701"/>
      <c r="D8105" s="811"/>
      <c r="E8105" s="1276">
        <f>[11]building!Y8436</f>
        <v>0</v>
      </c>
      <c r="F8105" s="748">
        <f t="shared" si="365"/>
        <v>0</v>
      </c>
      <c r="G8105" s="1205"/>
      <c r="H8105" s="1055"/>
      <c r="I8105" s="1055"/>
      <c r="J8105" s="1055"/>
      <c r="K8105" s="1205"/>
      <c r="L8105" s="1055"/>
      <c r="M8105" s="1205"/>
      <c r="N8105" s="1054"/>
      <c r="O8105" s="1207"/>
      <c r="Q8105" s="1207"/>
    </row>
    <row r="8106" spans="3:17" s="700" customFormat="1" ht="70.5" hidden="1" customHeight="1">
      <c r="C8106" s="701"/>
      <c r="D8106" s="811"/>
      <c r="E8106" s="1276">
        <f>[11]building!Y8437</f>
        <v>0</v>
      </c>
      <c r="F8106" s="748">
        <f t="shared" si="365"/>
        <v>0</v>
      </c>
      <c r="G8106" s="1205"/>
      <c r="H8106" s="1055"/>
      <c r="I8106" s="1055"/>
      <c r="J8106" s="1055"/>
      <c r="K8106" s="1205"/>
      <c r="L8106" s="1055"/>
      <c r="M8106" s="1205"/>
      <c r="N8106" s="1054"/>
      <c r="O8106" s="1207"/>
      <c r="Q8106" s="1207"/>
    </row>
    <row r="8107" spans="3:17" s="700" customFormat="1" ht="70.5" hidden="1" customHeight="1">
      <c r="C8107" s="701"/>
      <c r="D8107" s="811"/>
      <c r="E8107" s="1276">
        <f>[11]building!Y8438</f>
        <v>0</v>
      </c>
      <c r="F8107" s="748">
        <f t="shared" si="365"/>
        <v>0</v>
      </c>
      <c r="G8107" s="1205"/>
      <c r="H8107" s="1055"/>
      <c r="I8107" s="1055"/>
      <c r="J8107" s="1055"/>
      <c r="K8107" s="1205"/>
      <c r="L8107" s="1055"/>
      <c r="M8107" s="1205"/>
      <c r="N8107" s="1054"/>
      <c r="O8107" s="1207"/>
      <c r="Q8107" s="1207"/>
    </row>
    <row r="8108" spans="3:17" s="700" customFormat="1" ht="70.5" hidden="1" customHeight="1">
      <c r="C8108" s="701"/>
      <c r="D8108" s="811"/>
      <c r="E8108" s="1276">
        <f>[11]building!Y8439</f>
        <v>0</v>
      </c>
      <c r="F8108" s="748">
        <f t="shared" si="365"/>
        <v>0</v>
      </c>
      <c r="G8108" s="1205"/>
      <c r="H8108" s="1055"/>
      <c r="I8108" s="1055"/>
      <c r="J8108" s="1055"/>
      <c r="K8108" s="1205"/>
      <c r="L8108" s="1055"/>
      <c r="M8108" s="1205"/>
      <c r="N8108" s="1054"/>
      <c r="O8108" s="1207"/>
      <c r="Q8108" s="1207"/>
    </row>
    <row r="8109" spans="3:17" s="700" customFormat="1" ht="70.5" hidden="1" customHeight="1">
      <c r="C8109" s="701"/>
      <c r="D8109" s="811"/>
      <c r="E8109" s="1276">
        <f>[11]building!Y8440</f>
        <v>0</v>
      </c>
      <c r="F8109" s="748">
        <f t="shared" si="365"/>
        <v>0</v>
      </c>
      <c r="G8109" s="1205"/>
      <c r="H8109" s="1055"/>
      <c r="I8109" s="1055"/>
      <c r="J8109" s="1055"/>
      <c r="K8109" s="1205"/>
      <c r="L8109" s="1055"/>
      <c r="M8109" s="1205"/>
      <c r="N8109" s="1054"/>
      <c r="O8109" s="1207"/>
      <c r="Q8109" s="1207"/>
    </row>
    <row r="8110" spans="3:17" s="700" customFormat="1" ht="70.5" hidden="1" customHeight="1">
      <c r="C8110" s="701"/>
      <c r="D8110" s="811"/>
      <c r="E8110" s="1276">
        <f>[11]building!Y8441</f>
        <v>0</v>
      </c>
      <c r="F8110" s="748">
        <f t="shared" si="365"/>
        <v>0</v>
      </c>
      <c r="G8110" s="1205"/>
      <c r="H8110" s="1055"/>
      <c r="I8110" s="1055"/>
      <c r="J8110" s="1055"/>
      <c r="K8110" s="1205"/>
      <c r="L8110" s="1055"/>
      <c r="M8110" s="1205"/>
      <c r="N8110" s="1054"/>
      <c r="O8110" s="1207"/>
      <c r="Q8110" s="1207"/>
    </row>
    <row r="8111" spans="3:17" s="700" customFormat="1" ht="70.5" hidden="1" customHeight="1">
      <c r="C8111" s="701"/>
      <c r="D8111" s="811"/>
      <c r="E8111" s="1276">
        <f>[11]building!Y8442</f>
        <v>0</v>
      </c>
      <c r="F8111" s="748">
        <f t="shared" si="365"/>
        <v>0</v>
      </c>
      <c r="G8111" s="1205"/>
      <c r="H8111" s="1055"/>
      <c r="I8111" s="1055"/>
      <c r="J8111" s="1055"/>
      <c r="K8111" s="1205"/>
      <c r="L8111" s="1055"/>
      <c r="M8111" s="1205"/>
      <c r="N8111" s="1054"/>
      <c r="O8111" s="1207"/>
      <c r="Q8111" s="1207"/>
    </row>
    <row r="8112" spans="3:17" s="700" customFormat="1" ht="70.5" hidden="1" customHeight="1">
      <c r="C8112" s="701"/>
      <c r="D8112" s="811"/>
      <c r="E8112" s="1276">
        <f>[11]building!Y8443</f>
        <v>0</v>
      </c>
      <c r="F8112" s="748">
        <f t="shared" si="365"/>
        <v>0</v>
      </c>
      <c r="G8112" s="1205"/>
      <c r="H8112" s="1055"/>
      <c r="I8112" s="1055"/>
      <c r="J8112" s="1055"/>
      <c r="K8112" s="1205"/>
      <c r="L8112" s="1055"/>
      <c r="M8112" s="1205"/>
      <c r="N8112" s="1054"/>
      <c r="O8112" s="1207"/>
      <c r="Q8112" s="1207"/>
    </row>
    <row r="8113" spans="3:17" s="700" customFormat="1" ht="70.5" hidden="1" customHeight="1">
      <c r="C8113" s="701"/>
      <c r="D8113" s="811"/>
      <c r="E8113" s="1276">
        <f>[11]building!Y8444</f>
        <v>0</v>
      </c>
      <c r="F8113" s="748">
        <f t="shared" si="365"/>
        <v>0</v>
      </c>
      <c r="G8113" s="1205"/>
      <c r="H8113" s="1055"/>
      <c r="I8113" s="1055"/>
      <c r="J8113" s="1055"/>
      <c r="K8113" s="1205"/>
      <c r="L8113" s="1055"/>
      <c r="M8113" s="1205"/>
      <c r="N8113" s="1054"/>
      <c r="O8113" s="1207"/>
      <c r="Q8113" s="1207"/>
    </row>
    <row r="8114" spans="3:17" s="700" customFormat="1" ht="70.5" hidden="1" customHeight="1">
      <c r="C8114" s="701"/>
      <c r="D8114" s="811"/>
      <c r="E8114" s="1276">
        <f>[11]building!Y8445</f>
        <v>0</v>
      </c>
      <c r="F8114" s="748">
        <f t="shared" si="365"/>
        <v>0</v>
      </c>
      <c r="G8114" s="1205"/>
      <c r="H8114" s="1055"/>
      <c r="I8114" s="1055"/>
      <c r="J8114" s="1055"/>
      <c r="K8114" s="1205"/>
      <c r="L8114" s="1055"/>
      <c r="M8114" s="1205"/>
      <c r="N8114" s="1054"/>
      <c r="O8114" s="1207"/>
      <c r="Q8114" s="1207"/>
    </row>
    <row r="8115" spans="3:17" s="700" customFormat="1" ht="70.5" hidden="1" customHeight="1">
      <c r="C8115" s="701"/>
      <c r="D8115" s="811"/>
      <c r="E8115" s="1276">
        <f>[11]building!Y8446</f>
        <v>0</v>
      </c>
      <c r="F8115" s="748">
        <f t="shared" si="365"/>
        <v>0</v>
      </c>
      <c r="G8115" s="1205"/>
      <c r="H8115" s="1055"/>
      <c r="I8115" s="1055"/>
      <c r="J8115" s="1055"/>
      <c r="K8115" s="1205"/>
      <c r="L8115" s="1055"/>
      <c r="M8115" s="1205"/>
      <c r="N8115" s="1054"/>
      <c r="O8115" s="1207"/>
      <c r="Q8115" s="1207"/>
    </row>
    <row r="8116" spans="3:17" s="700" customFormat="1" ht="70.5" hidden="1" customHeight="1">
      <c r="C8116" s="701"/>
      <c r="D8116" s="811"/>
      <c r="E8116" s="1276">
        <f>[11]building!Y8447</f>
        <v>0</v>
      </c>
      <c r="F8116" s="748">
        <f t="shared" si="365"/>
        <v>0</v>
      </c>
      <c r="G8116" s="1205"/>
      <c r="H8116" s="1055"/>
      <c r="I8116" s="1055"/>
      <c r="J8116" s="1055"/>
      <c r="K8116" s="1205"/>
      <c r="L8116" s="1055"/>
      <c r="M8116" s="1205"/>
      <c r="N8116" s="1054"/>
      <c r="O8116" s="1207"/>
      <c r="Q8116" s="1207"/>
    </row>
    <row r="8117" spans="3:17" s="700" customFormat="1" ht="70.5" hidden="1" customHeight="1">
      <c r="C8117" s="701"/>
      <c r="D8117" s="811"/>
      <c r="E8117" s="1276">
        <f>[11]building!Y8448</f>
        <v>0</v>
      </c>
      <c r="F8117" s="748">
        <f t="shared" si="365"/>
        <v>0</v>
      </c>
      <c r="G8117" s="1205"/>
      <c r="H8117" s="1055"/>
      <c r="I8117" s="1055"/>
      <c r="J8117" s="1055"/>
      <c r="K8117" s="1205"/>
      <c r="L8117" s="1055"/>
      <c r="M8117" s="1205"/>
      <c r="N8117" s="1054"/>
      <c r="O8117" s="1207"/>
      <c r="Q8117" s="1207"/>
    </row>
    <row r="8118" spans="3:17" s="700" customFormat="1" ht="70.5" hidden="1" customHeight="1">
      <c r="C8118" s="701"/>
      <c r="D8118" s="811"/>
      <c r="E8118" s="1276">
        <f>[11]building!Y8449</f>
        <v>0</v>
      </c>
      <c r="F8118" s="748">
        <f t="shared" si="365"/>
        <v>0</v>
      </c>
      <c r="G8118" s="1205"/>
      <c r="H8118" s="1055"/>
      <c r="I8118" s="1055"/>
      <c r="J8118" s="1055"/>
      <c r="K8118" s="1205"/>
      <c r="L8118" s="1055"/>
      <c r="M8118" s="1205"/>
      <c r="N8118" s="1054"/>
      <c r="O8118" s="1207"/>
      <c r="Q8118" s="1207"/>
    </row>
    <row r="8119" spans="3:17" s="700" customFormat="1" ht="70.5" hidden="1" customHeight="1">
      <c r="C8119" s="701"/>
      <c r="D8119" s="811"/>
      <c r="E8119" s="1276">
        <f>[11]building!Y8450</f>
        <v>0</v>
      </c>
      <c r="F8119" s="748">
        <f t="shared" si="365"/>
        <v>0</v>
      </c>
      <c r="G8119" s="1205"/>
      <c r="H8119" s="1055"/>
      <c r="I8119" s="1055"/>
      <c r="J8119" s="1055"/>
      <c r="K8119" s="1205"/>
      <c r="L8119" s="1055"/>
      <c r="M8119" s="1205"/>
      <c r="N8119" s="1054"/>
      <c r="O8119" s="1207"/>
      <c r="Q8119" s="1207"/>
    </row>
    <row r="8120" spans="3:17" s="700" customFormat="1" ht="70.5" hidden="1" customHeight="1">
      <c r="C8120" s="701"/>
      <c r="D8120" s="811"/>
      <c r="E8120" s="1276">
        <f>[11]building!Y8451</f>
        <v>0</v>
      </c>
      <c r="F8120" s="748">
        <f t="shared" si="365"/>
        <v>0</v>
      </c>
      <c r="G8120" s="1205"/>
      <c r="H8120" s="1055"/>
      <c r="I8120" s="1055"/>
      <c r="J8120" s="1055"/>
      <c r="K8120" s="1205"/>
      <c r="L8120" s="1055"/>
      <c r="M8120" s="1205"/>
      <c r="N8120" s="1054"/>
      <c r="O8120" s="1207"/>
      <c r="Q8120" s="1207"/>
    </row>
    <row r="8121" spans="3:17" s="700" customFormat="1" ht="70.5" hidden="1" customHeight="1">
      <c r="C8121" s="701"/>
      <c r="D8121" s="811"/>
      <c r="E8121" s="1276">
        <f>[11]building!Y8452</f>
        <v>0</v>
      </c>
      <c r="F8121" s="748">
        <f t="shared" si="365"/>
        <v>0</v>
      </c>
      <c r="G8121" s="1205"/>
      <c r="H8121" s="1055"/>
      <c r="I8121" s="1055"/>
      <c r="J8121" s="1055"/>
      <c r="K8121" s="1205"/>
      <c r="L8121" s="1055"/>
      <c r="M8121" s="1205"/>
      <c r="N8121" s="1054"/>
      <c r="O8121" s="1207"/>
      <c r="Q8121" s="1207"/>
    </row>
    <row r="8122" spans="3:17" s="700" customFormat="1" ht="70.5" hidden="1" customHeight="1">
      <c r="C8122" s="701"/>
      <c r="D8122" s="811"/>
      <c r="E8122" s="1276">
        <f>[11]building!Y8453</f>
        <v>0</v>
      </c>
      <c r="F8122" s="748">
        <f t="shared" si="365"/>
        <v>0</v>
      </c>
      <c r="G8122" s="1205"/>
      <c r="H8122" s="1055"/>
      <c r="I8122" s="1055"/>
      <c r="J8122" s="1055"/>
      <c r="K8122" s="1205"/>
      <c r="L8122" s="1055"/>
      <c r="M8122" s="1205"/>
      <c r="N8122" s="1054"/>
      <c r="O8122" s="1207"/>
      <c r="Q8122" s="1207"/>
    </row>
    <row r="8123" spans="3:17" s="700" customFormat="1" ht="70.5" hidden="1" customHeight="1">
      <c r="C8123" s="701"/>
      <c r="D8123" s="811"/>
      <c r="E8123" s="1276">
        <f>[11]building!Y8454</f>
        <v>0</v>
      </c>
      <c r="F8123" s="748">
        <f t="shared" si="365"/>
        <v>0</v>
      </c>
      <c r="G8123" s="1205"/>
      <c r="H8123" s="1055"/>
      <c r="I8123" s="1055"/>
      <c r="J8123" s="1055"/>
      <c r="K8123" s="1205"/>
      <c r="L8123" s="1055"/>
      <c r="M8123" s="1205"/>
      <c r="N8123" s="1054"/>
      <c r="O8123" s="1207"/>
      <c r="Q8123" s="1207"/>
    </row>
    <row r="8124" spans="3:17" s="700" customFormat="1" ht="70.5" hidden="1" customHeight="1">
      <c r="C8124" s="701"/>
      <c r="D8124" s="811"/>
      <c r="E8124" s="1276">
        <f>[11]building!Y8455</f>
        <v>0</v>
      </c>
      <c r="F8124" s="748">
        <f t="shared" si="365"/>
        <v>0</v>
      </c>
      <c r="G8124" s="1205"/>
      <c r="H8124" s="1055"/>
      <c r="I8124" s="1055"/>
      <c r="J8124" s="1055"/>
      <c r="K8124" s="1205"/>
      <c r="L8124" s="1055"/>
      <c r="M8124" s="1205"/>
      <c r="N8124" s="1054"/>
      <c r="O8124" s="1207"/>
      <c r="Q8124" s="1207"/>
    </row>
    <row r="8125" spans="3:17" s="700" customFormat="1" ht="70.5" hidden="1" customHeight="1">
      <c r="C8125" s="701"/>
      <c r="D8125" s="811"/>
      <c r="E8125" s="1276">
        <f>[11]building!Y8456</f>
        <v>0</v>
      </c>
      <c r="F8125" s="748">
        <f t="shared" si="365"/>
        <v>0</v>
      </c>
      <c r="G8125" s="1205"/>
      <c r="H8125" s="1055"/>
      <c r="I8125" s="1055"/>
      <c r="J8125" s="1055"/>
      <c r="K8125" s="1205"/>
      <c r="L8125" s="1055"/>
      <c r="M8125" s="1205"/>
      <c r="N8125" s="1054"/>
      <c r="O8125" s="1207"/>
      <c r="Q8125" s="1207"/>
    </row>
    <row r="8126" spans="3:17" s="700" customFormat="1" ht="70.5" hidden="1" customHeight="1">
      <c r="C8126" s="701"/>
      <c r="D8126" s="811"/>
      <c r="E8126" s="1276">
        <f>[11]building!Y8457</f>
        <v>0</v>
      </c>
      <c r="F8126" s="748">
        <f t="shared" si="365"/>
        <v>0</v>
      </c>
      <c r="G8126" s="1205"/>
      <c r="H8126" s="1055"/>
      <c r="I8126" s="1055"/>
      <c r="J8126" s="1055"/>
      <c r="K8126" s="1205"/>
      <c r="L8126" s="1055"/>
      <c r="M8126" s="1205"/>
      <c r="N8126" s="1054"/>
      <c r="O8126" s="1207"/>
      <c r="Q8126" s="1207"/>
    </row>
    <row r="8127" spans="3:17" s="700" customFormat="1" ht="70.5" hidden="1" customHeight="1">
      <c r="C8127" s="701"/>
      <c r="D8127" s="811"/>
      <c r="E8127" s="1276">
        <f>[11]building!Y8458</f>
        <v>0</v>
      </c>
      <c r="F8127" s="748">
        <f t="shared" si="365"/>
        <v>0</v>
      </c>
      <c r="G8127" s="1205"/>
      <c r="H8127" s="1055"/>
      <c r="I8127" s="1055"/>
      <c r="J8127" s="1055"/>
      <c r="K8127" s="1205"/>
      <c r="L8127" s="1055"/>
      <c r="M8127" s="1205"/>
      <c r="N8127" s="1054"/>
      <c r="O8127" s="1207"/>
      <c r="Q8127" s="1207"/>
    </row>
    <row r="8128" spans="3:17" s="700" customFormat="1" ht="70.5" hidden="1" customHeight="1">
      <c r="C8128" s="701"/>
      <c r="D8128" s="811"/>
      <c r="E8128" s="1276">
        <f>[11]building!Y8459</f>
        <v>0</v>
      </c>
      <c r="F8128" s="748">
        <f t="shared" ref="F8128:F8191" si="366">E8128*C8128</f>
        <v>0</v>
      </c>
      <c r="G8128" s="1205"/>
      <c r="H8128" s="1055"/>
      <c r="I8128" s="1055"/>
      <c r="J8128" s="1055"/>
      <c r="K8128" s="1205"/>
      <c r="L8128" s="1055"/>
      <c r="M8128" s="1205"/>
      <c r="N8128" s="1054"/>
      <c r="O8128" s="1207"/>
      <c r="Q8128" s="1207"/>
    </row>
    <row r="8129" spans="3:17" s="700" customFormat="1" ht="70.5" hidden="1" customHeight="1">
      <c r="C8129" s="701"/>
      <c r="D8129" s="811"/>
      <c r="E8129" s="1276">
        <f>[11]building!Y8460</f>
        <v>0</v>
      </c>
      <c r="F8129" s="748">
        <f t="shared" si="366"/>
        <v>0</v>
      </c>
      <c r="G8129" s="1205"/>
      <c r="H8129" s="1055"/>
      <c r="I8129" s="1055"/>
      <c r="J8129" s="1055"/>
      <c r="K8129" s="1205"/>
      <c r="L8129" s="1055"/>
      <c r="M8129" s="1205"/>
      <c r="N8129" s="1054"/>
      <c r="O8129" s="1207"/>
      <c r="Q8129" s="1207"/>
    </row>
    <row r="8130" spans="3:17" s="700" customFormat="1" ht="70.5" hidden="1" customHeight="1">
      <c r="C8130" s="701"/>
      <c r="D8130" s="811"/>
      <c r="E8130" s="1276">
        <f>[11]building!Y8461</f>
        <v>0</v>
      </c>
      <c r="F8130" s="748">
        <f t="shared" si="366"/>
        <v>0</v>
      </c>
      <c r="G8130" s="1205"/>
      <c r="H8130" s="1055"/>
      <c r="I8130" s="1055"/>
      <c r="J8130" s="1055"/>
      <c r="K8130" s="1205"/>
      <c r="L8130" s="1055"/>
      <c r="M8130" s="1205"/>
      <c r="N8130" s="1054"/>
      <c r="O8130" s="1207"/>
      <c r="Q8130" s="1207"/>
    </row>
    <row r="8131" spans="3:17" s="700" customFormat="1" ht="70.5" hidden="1" customHeight="1">
      <c r="C8131" s="701"/>
      <c r="D8131" s="811"/>
      <c r="E8131" s="1276">
        <f>[11]building!Y8462</f>
        <v>0</v>
      </c>
      <c r="F8131" s="748">
        <f t="shared" si="366"/>
        <v>0</v>
      </c>
      <c r="G8131" s="1205"/>
      <c r="H8131" s="1055"/>
      <c r="I8131" s="1055"/>
      <c r="J8131" s="1055"/>
      <c r="K8131" s="1205"/>
      <c r="L8131" s="1055"/>
      <c r="M8131" s="1205"/>
      <c r="N8131" s="1054"/>
      <c r="O8131" s="1207"/>
      <c r="Q8131" s="1207"/>
    </row>
    <row r="8132" spans="3:17" s="700" customFormat="1" ht="70.5" hidden="1" customHeight="1">
      <c r="C8132" s="701"/>
      <c r="D8132" s="811"/>
      <c r="E8132" s="1276">
        <f>[11]building!Y8463</f>
        <v>0</v>
      </c>
      <c r="F8132" s="748">
        <f t="shared" si="366"/>
        <v>0</v>
      </c>
      <c r="G8132" s="1205"/>
      <c r="H8132" s="1055"/>
      <c r="I8132" s="1055"/>
      <c r="J8132" s="1055"/>
      <c r="K8132" s="1205"/>
      <c r="L8132" s="1055"/>
      <c r="M8132" s="1205"/>
      <c r="N8132" s="1054"/>
      <c r="O8132" s="1207"/>
      <c r="Q8132" s="1207"/>
    </row>
    <row r="8133" spans="3:17" s="700" customFormat="1" ht="70.5" hidden="1" customHeight="1">
      <c r="C8133" s="701"/>
      <c r="D8133" s="811"/>
      <c r="E8133" s="1276">
        <f>[11]building!Y8464</f>
        <v>0</v>
      </c>
      <c r="F8133" s="748">
        <f t="shared" si="366"/>
        <v>0</v>
      </c>
      <c r="G8133" s="1205"/>
      <c r="H8133" s="1055"/>
      <c r="I8133" s="1055"/>
      <c r="J8133" s="1055"/>
      <c r="K8133" s="1205"/>
      <c r="L8133" s="1055"/>
      <c r="M8133" s="1205"/>
      <c r="N8133" s="1054"/>
      <c r="O8133" s="1207"/>
      <c r="Q8133" s="1207"/>
    </row>
    <row r="8134" spans="3:17" s="700" customFormat="1" ht="70.5" hidden="1" customHeight="1">
      <c r="C8134" s="701"/>
      <c r="D8134" s="811"/>
      <c r="E8134" s="1276">
        <f>[11]building!Y8465</f>
        <v>0</v>
      </c>
      <c r="F8134" s="748">
        <f t="shared" si="366"/>
        <v>0</v>
      </c>
      <c r="G8134" s="1205"/>
      <c r="H8134" s="1055"/>
      <c r="I8134" s="1055"/>
      <c r="J8134" s="1055"/>
      <c r="K8134" s="1205"/>
      <c r="L8134" s="1055"/>
      <c r="M8134" s="1205"/>
      <c r="N8134" s="1054"/>
      <c r="O8134" s="1207"/>
      <c r="Q8134" s="1207"/>
    </row>
    <row r="8135" spans="3:17" s="700" customFormat="1" ht="70.5" hidden="1" customHeight="1">
      <c r="C8135" s="701"/>
      <c r="D8135" s="811"/>
      <c r="E8135" s="1276">
        <f>[11]building!Y8466</f>
        <v>0</v>
      </c>
      <c r="F8135" s="748">
        <f t="shared" si="366"/>
        <v>0</v>
      </c>
      <c r="G8135" s="1205"/>
      <c r="H8135" s="1055"/>
      <c r="I8135" s="1055"/>
      <c r="J8135" s="1055"/>
      <c r="K8135" s="1205"/>
      <c r="L8135" s="1055"/>
      <c r="M8135" s="1205"/>
      <c r="N8135" s="1054"/>
      <c r="O8135" s="1207"/>
      <c r="Q8135" s="1207"/>
    </row>
    <row r="8136" spans="3:17" s="700" customFormat="1" ht="70.5" hidden="1" customHeight="1">
      <c r="C8136" s="701"/>
      <c r="D8136" s="811"/>
      <c r="E8136" s="1276">
        <f>[11]building!Y8467</f>
        <v>0</v>
      </c>
      <c r="F8136" s="748">
        <f t="shared" si="366"/>
        <v>0</v>
      </c>
      <c r="G8136" s="1205"/>
      <c r="H8136" s="1055"/>
      <c r="I8136" s="1055"/>
      <c r="J8136" s="1055"/>
      <c r="K8136" s="1205"/>
      <c r="L8136" s="1055"/>
      <c r="M8136" s="1205"/>
      <c r="N8136" s="1054"/>
      <c r="O8136" s="1207"/>
      <c r="Q8136" s="1207"/>
    </row>
    <row r="8137" spans="3:17" s="700" customFormat="1" ht="70.5" hidden="1" customHeight="1">
      <c r="C8137" s="701"/>
      <c r="D8137" s="811"/>
      <c r="E8137" s="1276">
        <f>[11]building!Y8468</f>
        <v>0</v>
      </c>
      <c r="F8137" s="748">
        <f t="shared" si="366"/>
        <v>0</v>
      </c>
      <c r="G8137" s="1205"/>
      <c r="H8137" s="1055"/>
      <c r="I8137" s="1055"/>
      <c r="J8137" s="1055"/>
      <c r="K8137" s="1205"/>
      <c r="L8137" s="1055"/>
      <c r="M8137" s="1205"/>
      <c r="N8137" s="1054"/>
      <c r="O8137" s="1207"/>
      <c r="Q8137" s="1207"/>
    </row>
    <row r="8138" spans="3:17" s="700" customFormat="1" ht="70.5" hidden="1" customHeight="1">
      <c r="C8138" s="701"/>
      <c r="D8138" s="811"/>
      <c r="E8138" s="1276">
        <f>[11]building!Y8469</f>
        <v>0</v>
      </c>
      <c r="F8138" s="748">
        <f t="shared" si="366"/>
        <v>0</v>
      </c>
      <c r="G8138" s="1205"/>
      <c r="H8138" s="1055"/>
      <c r="I8138" s="1055"/>
      <c r="J8138" s="1055"/>
      <c r="K8138" s="1205"/>
      <c r="L8138" s="1055"/>
      <c r="M8138" s="1205"/>
      <c r="N8138" s="1054"/>
      <c r="O8138" s="1207"/>
      <c r="Q8138" s="1207"/>
    </row>
    <row r="8139" spans="3:17" s="700" customFormat="1" ht="70.5" hidden="1" customHeight="1">
      <c r="C8139" s="701"/>
      <c r="D8139" s="811"/>
      <c r="E8139" s="1276">
        <f>[11]building!Y8470</f>
        <v>0</v>
      </c>
      <c r="F8139" s="748">
        <f t="shared" si="366"/>
        <v>0</v>
      </c>
      <c r="G8139" s="1205"/>
      <c r="H8139" s="1055"/>
      <c r="I8139" s="1055"/>
      <c r="J8139" s="1055"/>
      <c r="K8139" s="1205"/>
      <c r="L8139" s="1055"/>
      <c r="M8139" s="1205"/>
      <c r="N8139" s="1054"/>
      <c r="O8139" s="1207"/>
      <c r="Q8139" s="1207"/>
    </row>
    <row r="8140" spans="3:17" s="700" customFormat="1" ht="70.5" hidden="1" customHeight="1">
      <c r="C8140" s="701"/>
      <c r="D8140" s="811"/>
      <c r="E8140" s="1276">
        <f>[11]building!Y8471</f>
        <v>0</v>
      </c>
      <c r="F8140" s="748">
        <f t="shared" si="366"/>
        <v>0</v>
      </c>
      <c r="G8140" s="1205"/>
      <c r="H8140" s="1055"/>
      <c r="I8140" s="1055"/>
      <c r="J8140" s="1055"/>
      <c r="K8140" s="1205"/>
      <c r="L8140" s="1055"/>
      <c r="M8140" s="1205"/>
      <c r="N8140" s="1054"/>
      <c r="O8140" s="1207"/>
      <c r="Q8140" s="1207"/>
    </row>
    <row r="8141" spans="3:17" s="700" customFormat="1" ht="70.5" hidden="1" customHeight="1">
      <c r="C8141" s="701"/>
      <c r="D8141" s="811"/>
      <c r="E8141" s="1276">
        <f>[11]building!Y8472</f>
        <v>0</v>
      </c>
      <c r="F8141" s="748">
        <f t="shared" si="366"/>
        <v>0</v>
      </c>
      <c r="G8141" s="1205"/>
      <c r="H8141" s="1055"/>
      <c r="I8141" s="1055"/>
      <c r="J8141" s="1055"/>
      <c r="K8141" s="1205"/>
      <c r="L8141" s="1055"/>
      <c r="M8141" s="1205"/>
      <c r="N8141" s="1054"/>
      <c r="O8141" s="1207"/>
      <c r="Q8141" s="1207"/>
    </row>
    <row r="8142" spans="3:17" s="700" customFormat="1" ht="70.5" hidden="1" customHeight="1">
      <c r="C8142" s="701"/>
      <c r="D8142" s="811"/>
      <c r="E8142" s="1276">
        <f>[11]building!Y8473</f>
        <v>0</v>
      </c>
      <c r="F8142" s="748">
        <f t="shared" si="366"/>
        <v>0</v>
      </c>
      <c r="G8142" s="1205"/>
      <c r="H8142" s="1055"/>
      <c r="I8142" s="1055"/>
      <c r="J8142" s="1055"/>
      <c r="K8142" s="1205"/>
      <c r="L8142" s="1055"/>
      <c r="M8142" s="1205"/>
      <c r="N8142" s="1054"/>
      <c r="O8142" s="1207"/>
      <c r="Q8142" s="1207"/>
    </row>
    <row r="8143" spans="3:17" s="700" customFormat="1" ht="70.5" hidden="1" customHeight="1">
      <c r="C8143" s="701"/>
      <c r="D8143" s="811"/>
      <c r="E8143" s="1276">
        <f>[11]building!Y8474</f>
        <v>0</v>
      </c>
      <c r="F8143" s="748">
        <f t="shared" si="366"/>
        <v>0</v>
      </c>
      <c r="G8143" s="1205"/>
      <c r="H8143" s="1055"/>
      <c r="I8143" s="1055"/>
      <c r="J8143" s="1055"/>
      <c r="K8143" s="1205"/>
      <c r="L8143" s="1055"/>
      <c r="M8143" s="1205"/>
      <c r="N8143" s="1054"/>
      <c r="O8143" s="1207"/>
      <c r="Q8143" s="1207"/>
    </row>
    <row r="8144" spans="3:17" s="700" customFormat="1" ht="70.5" hidden="1" customHeight="1">
      <c r="C8144" s="701"/>
      <c r="D8144" s="811"/>
      <c r="E8144" s="1276">
        <f>[11]building!Y8475</f>
        <v>0</v>
      </c>
      <c r="F8144" s="748">
        <f t="shared" si="366"/>
        <v>0</v>
      </c>
      <c r="G8144" s="1205"/>
      <c r="H8144" s="1055"/>
      <c r="I8144" s="1055"/>
      <c r="J8144" s="1055"/>
      <c r="K8144" s="1205"/>
      <c r="L8144" s="1055"/>
      <c r="M8144" s="1205"/>
      <c r="N8144" s="1054"/>
      <c r="O8144" s="1207"/>
      <c r="Q8144" s="1207"/>
    </row>
    <row r="8145" spans="3:17" s="700" customFormat="1" ht="70.5" hidden="1" customHeight="1">
      <c r="C8145" s="701"/>
      <c r="D8145" s="811"/>
      <c r="E8145" s="1276">
        <f>[11]building!Y8476</f>
        <v>0</v>
      </c>
      <c r="F8145" s="748">
        <f t="shared" si="366"/>
        <v>0</v>
      </c>
      <c r="G8145" s="1205"/>
      <c r="H8145" s="1055"/>
      <c r="I8145" s="1055"/>
      <c r="J8145" s="1055"/>
      <c r="K8145" s="1205"/>
      <c r="L8145" s="1055"/>
      <c r="M8145" s="1205"/>
      <c r="N8145" s="1054"/>
      <c r="O8145" s="1207"/>
      <c r="Q8145" s="1207"/>
    </row>
    <row r="8146" spans="3:17" s="700" customFormat="1" ht="70.5" hidden="1" customHeight="1">
      <c r="C8146" s="701"/>
      <c r="D8146" s="811"/>
      <c r="E8146" s="1276">
        <f>[11]building!Y8477</f>
        <v>0</v>
      </c>
      <c r="F8146" s="748">
        <f t="shared" si="366"/>
        <v>0</v>
      </c>
      <c r="G8146" s="1205"/>
      <c r="H8146" s="1055"/>
      <c r="I8146" s="1055"/>
      <c r="J8146" s="1055"/>
      <c r="K8146" s="1205"/>
      <c r="L8146" s="1055"/>
      <c r="M8146" s="1205"/>
      <c r="N8146" s="1054"/>
      <c r="O8146" s="1207"/>
      <c r="Q8146" s="1207"/>
    </row>
    <row r="8147" spans="3:17" s="700" customFormat="1" ht="70.5" hidden="1" customHeight="1">
      <c r="C8147" s="701"/>
      <c r="D8147" s="811"/>
      <c r="E8147" s="1276">
        <f>[11]building!Y8478</f>
        <v>0</v>
      </c>
      <c r="F8147" s="748">
        <f t="shared" si="366"/>
        <v>0</v>
      </c>
      <c r="G8147" s="1205"/>
      <c r="H8147" s="1055"/>
      <c r="I8147" s="1055"/>
      <c r="J8147" s="1055"/>
      <c r="K8147" s="1205"/>
      <c r="L8147" s="1055"/>
      <c r="M8147" s="1205"/>
      <c r="N8147" s="1054"/>
      <c r="O8147" s="1207"/>
      <c r="Q8147" s="1207"/>
    </row>
    <row r="8148" spans="3:17" s="700" customFormat="1" ht="70.5" hidden="1" customHeight="1">
      <c r="C8148" s="701"/>
      <c r="D8148" s="811"/>
      <c r="E8148" s="1276">
        <f>[11]building!Y8479</f>
        <v>0</v>
      </c>
      <c r="F8148" s="748">
        <f t="shared" si="366"/>
        <v>0</v>
      </c>
      <c r="G8148" s="1205"/>
      <c r="H8148" s="1055"/>
      <c r="I8148" s="1055"/>
      <c r="J8148" s="1055"/>
      <c r="K8148" s="1205"/>
      <c r="L8148" s="1055"/>
      <c r="M8148" s="1205"/>
      <c r="N8148" s="1054"/>
      <c r="O8148" s="1207"/>
      <c r="Q8148" s="1207"/>
    </row>
    <row r="8149" spans="3:17" s="700" customFormat="1" ht="70.5" hidden="1" customHeight="1">
      <c r="C8149" s="701"/>
      <c r="D8149" s="811"/>
      <c r="E8149" s="1276">
        <f>[11]building!Y8480</f>
        <v>0</v>
      </c>
      <c r="F8149" s="748">
        <f t="shared" si="366"/>
        <v>0</v>
      </c>
      <c r="G8149" s="1205"/>
      <c r="H8149" s="1055"/>
      <c r="I8149" s="1055"/>
      <c r="J8149" s="1055"/>
      <c r="K8149" s="1205"/>
      <c r="L8149" s="1055"/>
      <c r="M8149" s="1205"/>
      <c r="N8149" s="1054"/>
      <c r="O8149" s="1207"/>
      <c r="Q8149" s="1207"/>
    </row>
    <row r="8150" spans="3:17" s="700" customFormat="1" ht="70.5" hidden="1" customHeight="1">
      <c r="C8150" s="701"/>
      <c r="D8150" s="811"/>
      <c r="E8150" s="1276">
        <f>[11]building!Y8481</f>
        <v>0</v>
      </c>
      <c r="F8150" s="748">
        <f t="shared" si="366"/>
        <v>0</v>
      </c>
      <c r="G8150" s="1205"/>
      <c r="H8150" s="1055"/>
      <c r="I8150" s="1055"/>
      <c r="J8150" s="1055"/>
      <c r="K8150" s="1205"/>
      <c r="L8150" s="1055"/>
      <c r="M8150" s="1205"/>
      <c r="N8150" s="1054"/>
      <c r="O8150" s="1207"/>
      <c r="Q8150" s="1207"/>
    </row>
    <row r="8151" spans="3:17" s="700" customFormat="1" ht="70.5" hidden="1" customHeight="1">
      <c r="C8151" s="701"/>
      <c r="D8151" s="811"/>
      <c r="E8151" s="1276">
        <f>[11]building!Y8482</f>
        <v>0</v>
      </c>
      <c r="F8151" s="748">
        <f t="shared" si="366"/>
        <v>0</v>
      </c>
      <c r="G8151" s="1205"/>
      <c r="H8151" s="1055"/>
      <c r="I8151" s="1055"/>
      <c r="J8151" s="1055"/>
      <c r="K8151" s="1205"/>
      <c r="L8151" s="1055"/>
      <c r="M8151" s="1205"/>
      <c r="N8151" s="1054"/>
      <c r="O8151" s="1207"/>
      <c r="Q8151" s="1207"/>
    </row>
    <row r="8152" spans="3:17" s="700" customFormat="1" ht="70.5" hidden="1" customHeight="1">
      <c r="C8152" s="701"/>
      <c r="D8152" s="811"/>
      <c r="E8152" s="1276">
        <f>[11]building!Y8483</f>
        <v>0</v>
      </c>
      <c r="F8152" s="748">
        <f t="shared" si="366"/>
        <v>0</v>
      </c>
      <c r="G8152" s="1205"/>
      <c r="H8152" s="1055"/>
      <c r="I8152" s="1055"/>
      <c r="J8152" s="1055"/>
      <c r="K8152" s="1205"/>
      <c r="L8152" s="1055"/>
      <c r="M8152" s="1205"/>
      <c r="N8152" s="1054"/>
      <c r="O8152" s="1207"/>
      <c r="Q8152" s="1207"/>
    </row>
    <row r="8153" spans="3:17" s="700" customFormat="1" ht="70.5" hidden="1" customHeight="1">
      <c r="C8153" s="701"/>
      <c r="D8153" s="811"/>
      <c r="E8153" s="1276">
        <f>[11]building!Y8484</f>
        <v>0</v>
      </c>
      <c r="F8153" s="748">
        <f t="shared" si="366"/>
        <v>0</v>
      </c>
      <c r="G8153" s="1205"/>
      <c r="H8153" s="1055"/>
      <c r="I8153" s="1055"/>
      <c r="J8153" s="1055"/>
      <c r="K8153" s="1205"/>
      <c r="L8153" s="1055"/>
      <c r="M8153" s="1205"/>
      <c r="N8153" s="1054"/>
      <c r="O8153" s="1207"/>
      <c r="Q8153" s="1207"/>
    </row>
    <row r="8154" spans="3:17" s="700" customFormat="1" ht="70.5" hidden="1" customHeight="1">
      <c r="C8154" s="701"/>
      <c r="D8154" s="811"/>
      <c r="E8154" s="1276">
        <f>[11]building!Y8485</f>
        <v>0</v>
      </c>
      <c r="F8154" s="748">
        <f t="shared" si="366"/>
        <v>0</v>
      </c>
      <c r="G8154" s="1205"/>
      <c r="H8154" s="1055"/>
      <c r="I8154" s="1055"/>
      <c r="J8154" s="1055"/>
      <c r="K8154" s="1205"/>
      <c r="L8154" s="1055"/>
      <c r="M8154" s="1205"/>
      <c r="N8154" s="1054"/>
      <c r="O8154" s="1207"/>
      <c r="Q8154" s="1207"/>
    </row>
    <row r="8155" spans="3:17" s="700" customFormat="1" ht="70.5" hidden="1" customHeight="1">
      <c r="C8155" s="701"/>
      <c r="D8155" s="811"/>
      <c r="E8155" s="1276">
        <f>[11]building!Y8486</f>
        <v>0</v>
      </c>
      <c r="F8155" s="748">
        <f t="shared" si="366"/>
        <v>0</v>
      </c>
      <c r="G8155" s="1205"/>
      <c r="H8155" s="1055"/>
      <c r="I8155" s="1055"/>
      <c r="J8155" s="1055"/>
      <c r="K8155" s="1205"/>
      <c r="L8155" s="1055"/>
      <c r="M8155" s="1205"/>
      <c r="N8155" s="1054"/>
      <c r="O8155" s="1207"/>
      <c r="Q8155" s="1207"/>
    </row>
    <row r="8156" spans="3:17" s="700" customFormat="1" ht="70.5" hidden="1" customHeight="1">
      <c r="C8156" s="701"/>
      <c r="D8156" s="811"/>
      <c r="E8156" s="1276">
        <f>[11]building!Y8487</f>
        <v>0</v>
      </c>
      <c r="F8156" s="748">
        <f t="shared" si="366"/>
        <v>0</v>
      </c>
      <c r="G8156" s="1205"/>
      <c r="H8156" s="1055"/>
      <c r="I8156" s="1055"/>
      <c r="J8156" s="1055"/>
      <c r="K8156" s="1205"/>
      <c r="L8156" s="1055"/>
      <c r="M8156" s="1205"/>
      <c r="N8156" s="1054"/>
      <c r="O8156" s="1207"/>
      <c r="Q8156" s="1207"/>
    </row>
    <row r="8157" spans="3:17" s="700" customFormat="1" ht="70.5" hidden="1" customHeight="1">
      <c r="C8157" s="701"/>
      <c r="D8157" s="811"/>
      <c r="E8157" s="1276">
        <f>[11]building!Y8488</f>
        <v>0</v>
      </c>
      <c r="F8157" s="748">
        <f t="shared" si="366"/>
        <v>0</v>
      </c>
      <c r="G8157" s="1205"/>
      <c r="H8157" s="1055"/>
      <c r="I8157" s="1055"/>
      <c r="J8157" s="1055"/>
      <c r="K8157" s="1205"/>
      <c r="L8157" s="1055"/>
      <c r="M8157" s="1205"/>
      <c r="N8157" s="1054"/>
      <c r="O8157" s="1207"/>
      <c r="Q8157" s="1207"/>
    </row>
    <row r="8158" spans="3:17" s="700" customFormat="1" ht="70.5" hidden="1" customHeight="1">
      <c r="C8158" s="701"/>
      <c r="D8158" s="811"/>
      <c r="E8158" s="1276">
        <f>[11]building!Y8489</f>
        <v>0</v>
      </c>
      <c r="F8158" s="748">
        <f t="shared" si="366"/>
        <v>0</v>
      </c>
      <c r="G8158" s="1205"/>
      <c r="H8158" s="1055"/>
      <c r="I8158" s="1055"/>
      <c r="J8158" s="1055"/>
      <c r="K8158" s="1205"/>
      <c r="L8158" s="1055"/>
      <c r="M8158" s="1205"/>
      <c r="N8158" s="1054"/>
      <c r="O8158" s="1207"/>
      <c r="Q8158" s="1207"/>
    </row>
    <row r="8159" spans="3:17" s="700" customFormat="1" ht="70.5" hidden="1" customHeight="1">
      <c r="C8159" s="701"/>
      <c r="D8159" s="811"/>
      <c r="E8159" s="1276">
        <f>[11]building!Y8490</f>
        <v>0</v>
      </c>
      <c r="F8159" s="748">
        <f t="shared" si="366"/>
        <v>0</v>
      </c>
      <c r="G8159" s="1205"/>
      <c r="H8159" s="1055"/>
      <c r="I8159" s="1055"/>
      <c r="J8159" s="1055"/>
      <c r="K8159" s="1205"/>
      <c r="L8159" s="1055"/>
      <c r="M8159" s="1205"/>
      <c r="N8159" s="1054"/>
      <c r="O8159" s="1207"/>
      <c r="Q8159" s="1207"/>
    </row>
    <row r="8160" spans="3:17" s="700" customFormat="1" ht="70.5" hidden="1" customHeight="1">
      <c r="C8160" s="701"/>
      <c r="D8160" s="811"/>
      <c r="E8160" s="1276">
        <f>[11]building!Y8491</f>
        <v>0</v>
      </c>
      <c r="F8160" s="748">
        <f t="shared" si="366"/>
        <v>0</v>
      </c>
      <c r="G8160" s="1205"/>
      <c r="H8160" s="1055"/>
      <c r="I8160" s="1055"/>
      <c r="J8160" s="1055"/>
      <c r="K8160" s="1205"/>
      <c r="L8160" s="1055"/>
      <c r="M8160" s="1205"/>
      <c r="N8160" s="1054"/>
      <c r="O8160" s="1207"/>
      <c r="Q8160" s="1207"/>
    </row>
    <row r="8161" spans="3:17" s="700" customFormat="1" ht="70.5" hidden="1" customHeight="1">
      <c r="C8161" s="701"/>
      <c r="D8161" s="811"/>
      <c r="E8161" s="1276">
        <f>[11]building!Y8492</f>
        <v>0</v>
      </c>
      <c r="F8161" s="748">
        <f t="shared" si="366"/>
        <v>0</v>
      </c>
      <c r="G8161" s="1205"/>
      <c r="H8161" s="1055"/>
      <c r="I8161" s="1055"/>
      <c r="J8161" s="1055"/>
      <c r="K8161" s="1205"/>
      <c r="L8161" s="1055"/>
      <c r="M8161" s="1205"/>
      <c r="N8161" s="1054"/>
      <c r="O8161" s="1207"/>
      <c r="Q8161" s="1207"/>
    </row>
    <row r="8162" spans="3:17" s="700" customFormat="1" ht="70.5" hidden="1" customHeight="1">
      <c r="C8162" s="701"/>
      <c r="D8162" s="811"/>
      <c r="E8162" s="1276">
        <f>[11]building!Y8493</f>
        <v>0</v>
      </c>
      <c r="F8162" s="748">
        <f t="shared" si="366"/>
        <v>0</v>
      </c>
      <c r="G8162" s="1205"/>
      <c r="H8162" s="1055"/>
      <c r="I8162" s="1055"/>
      <c r="J8162" s="1055"/>
      <c r="K8162" s="1205"/>
      <c r="L8162" s="1055"/>
      <c r="M8162" s="1205"/>
      <c r="N8162" s="1054"/>
      <c r="O8162" s="1207"/>
      <c r="Q8162" s="1207"/>
    </row>
    <row r="8163" spans="3:17" s="700" customFormat="1" ht="70.5" hidden="1" customHeight="1">
      <c r="C8163" s="701"/>
      <c r="D8163" s="811"/>
      <c r="E8163" s="1276">
        <f>[11]building!Y8494</f>
        <v>0</v>
      </c>
      <c r="F8163" s="748">
        <f t="shared" si="366"/>
        <v>0</v>
      </c>
      <c r="G8163" s="1205"/>
      <c r="H8163" s="1055"/>
      <c r="I8163" s="1055"/>
      <c r="J8163" s="1055"/>
      <c r="K8163" s="1205"/>
      <c r="L8163" s="1055"/>
      <c r="M8163" s="1205"/>
      <c r="N8163" s="1054"/>
      <c r="O8163" s="1207"/>
      <c r="Q8163" s="1207"/>
    </row>
    <row r="8164" spans="3:17" s="700" customFormat="1" ht="70.5" hidden="1" customHeight="1">
      <c r="C8164" s="701"/>
      <c r="D8164" s="811"/>
      <c r="E8164" s="1276">
        <f>[11]building!Y8495</f>
        <v>0</v>
      </c>
      <c r="F8164" s="748">
        <f t="shared" si="366"/>
        <v>0</v>
      </c>
      <c r="G8164" s="1205"/>
      <c r="H8164" s="1055"/>
      <c r="I8164" s="1055"/>
      <c r="J8164" s="1055"/>
      <c r="K8164" s="1205"/>
      <c r="L8164" s="1055"/>
      <c r="M8164" s="1205"/>
      <c r="N8164" s="1054"/>
      <c r="O8164" s="1207"/>
      <c r="Q8164" s="1207"/>
    </row>
    <row r="8165" spans="3:17" s="700" customFormat="1" ht="70.5" hidden="1" customHeight="1">
      <c r="C8165" s="701"/>
      <c r="D8165" s="811"/>
      <c r="E8165" s="1276">
        <f>[11]building!Y8496</f>
        <v>0</v>
      </c>
      <c r="F8165" s="748">
        <f t="shared" si="366"/>
        <v>0</v>
      </c>
      <c r="G8165" s="1205"/>
      <c r="H8165" s="1055"/>
      <c r="I8165" s="1055"/>
      <c r="J8165" s="1055"/>
      <c r="K8165" s="1205"/>
      <c r="L8165" s="1055"/>
      <c r="M8165" s="1205"/>
      <c r="N8165" s="1054"/>
      <c r="O8165" s="1207"/>
      <c r="Q8165" s="1207"/>
    </row>
    <row r="8166" spans="3:17" s="700" customFormat="1" ht="70.5" hidden="1" customHeight="1">
      <c r="C8166" s="701"/>
      <c r="D8166" s="811"/>
      <c r="E8166" s="1276">
        <f>[11]building!Y8497</f>
        <v>0</v>
      </c>
      <c r="F8166" s="748">
        <f t="shared" si="366"/>
        <v>0</v>
      </c>
      <c r="G8166" s="1205"/>
      <c r="H8166" s="1055"/>
      <c r="I8166" s="1055"/>
      <c r="J8166" s="1055"/>
      <c r="K8166" s="1205"/>
      <c r="L8166" s="1055"/>
      <c r="M8166" s="1205"/>
      <c r="N8166" s="1054"/>
      <c r="O8166" s="1207"/>
      <c r="Q8166" s="1207"/>
    </row>
    <row r="8167" spans="3:17" s="700" customFormat="1" ht="70.5" hidden="1" customHeight="1">
      <c r="C8167" s="701"/>
      <c r="D8167" s="811"/>
      <c r="E8167" s="1276">
        <f>[11]building!Y8498</f>
        <v>0</v>
      </c>
      <c r="F8167" s="748">
        <f t="shared" si="366"/>
        <v>0</v>
      </c>
      <c r="G8167" s="1205"/>
      <c r="H8167" s="1055"/>
      <c r="I8167" s="1055"/>
      <c r="J8167" s="1055"/>
      <c r="K8167" s="1205"/>
      <c r="L8167" s="1055"/>
      <c r="M8167" s="1205"/>
      <c r="N8167" s="1054"/>
      <c r="O8167" s="1207"/>
      <c r="Q8167" s="1207"/>
    </row>
    <row r="8168" spans="3:17" s="700" customFormat="1" ht="70.5" hidden="1" customHeight="1">
      <c r="C8168" s="701"/>
      <c r="D8168" s="811"/>
      <c r="E8168" s="1276">
        <f>[11]building!Y8499</f>
        <v>0</v>
      </c>
      <c r="F8168" s="748">
        <f t="shared" si="366"/>
        <v>0</v>
      </c>
      <c r="G8168" s="1205"/>
      <c r="H8168" s="1055"/>
      <c r="I8168" s="1055"/>
      <c r="J8168" s="1055"/>
      <c r="K8168" s="1205"/>
      <c r="L8168" s="1055"/>
      <c r="M8168" s="1205"/>
      <c r="N8168" s="1054"/>
      <c r="O8168" s="1207"/>
      <c r="Q8168" s="1207"/>
    </row>
    <row r="8169" spans="3:17" s="700" customFormat="1" ht="70.5" hidden="1" customHeight="1">
      <c r="C8169" s="701"/>
      <c r="D8169" s="811"/>
      <c r="E8169" s="1276">
        <f>[11]building!Y8500</f>
        <v>0</v>
      </c>
      <c r="F8169" s="748">
        <f t="shared" si="366"/>
        <v>0</v>
      </c>
      <c r="G8169" s="1205"/>
      <c r="H8169" s="1055"/>
      <c r="I8169" s="1055"/>
      <c r="J8169" s="1055"/>
      <c r="K8169" s="1205"/>
      <c r="L8169" s="1055"/>
      <c r="M8169" s="1205"/>
      <c r="N8169" s="1054"/>
      <c r="O8169" s="1207"/>
      <c r="Q8169" s="1207"/>
    </row>
    <row r="8170" spans="3:17" s="700" customFormat="1" ht="70.5" hidden="1" customHeight="1">
      <c r="C8170" s="701"/>
      <c r="D8170" s="811"/>
      <c r="E8170" s="1276">
        <f>[11]building!Y8501</f>
        <v>0</v>
      </c>
      <c r="F8170" s="748">
        <f t="shared" si="366"/>
        <v>0</v>
      </c>
      <c r="G8170" s="1205"/>
      <c r="H8170" s="1055"/>
      <c r="I8170" s="1055"/>
      <c r="J8170" s="1055"/>
      <c r="K8170" s="1205"/>
      <c r="L8170" s="1055"/>
      <c r="M8170" s="1205"/>
      <c r="N8170" s="1054"/>
      <c r="O8170" s="1207"/>
      <c r="Q8170" s="1207"/>
    </row>
    <row r="8171" spans="3:17" s="700" customFormat="1" ht="70.5" hidden="1" customHeight="1">
      <c r="C8171" s="701"/>
      <c r="D8171" s="811"/>
      <c r="E8171" s="1276">
        <f>[11]building!Y8502</f>
        <v>0</v>
      </c>
      <c r="F8171" s="748">
        <f t="shared" si="366"/>
        <v>0</v>
      </c>
      <c r="G8171" s="1205"/>
      <c r="H8171" s="1055"/>
      <c r="I8171" s="1055"/>
      <c r="J8171" s="1055"/>
      <c r="K8171" s="1205"/>
      <c r="L8171" s="1055"/>
      <c r="M8171" s="1205"/>
      <c r="N8171" s="1054"/>
      <c r="O8171" s="1207"/>
      <c r="Q8171" s="1207"/>
    </row>
    <row r="8172" spans="3:17" s="700" customFormat="1" ht="70.5" hidden="1" customHeight="1">
      <c r="C8172" s="701"/>
      <c r="D8172" s="811"/>
      <c r="E8172" s="1276">
        <f>[11]building!Y8503</f>
        <v>0</v>
      </c>
      <c r="F8172" s="748">
        <f t="shared" si="366"/>
        <v>0</v>
      </c>
      <c r="G8172" s="1205"/>
      <c r="H8172" s="1055"/>
      <c r="I8172" s="1055"/>
      <c r="J8172" s="1055"/>
      <c r="K8172" s="1205"/>
      <c r="L8172" s="1055"/>
      <c r="M8172" s="1205"/>
      <c r="N8172" s="1054"/>
      <c r="O8172" s="1207"/>
      <c r="Q8172" s="1207"/>
    </row>
    <row r="8173" spans="3:17" s="700" customFormat="1" ht="70.5" hidden="1" customHeight="1">
      <c r="C8173" s="701"/>
      <c r="D8173" s="811"/>
      <c r="E8173" s="1276">
        <f>[11]building!Y8504</f>
        <v>0</v>
      </c>
      <c r="F8173" s="748">
        <f t="shared" si="366"/>
        <v>0</v>
      </c>
      <c r="G8173" s="1205"/>
      <c r="H8173" s="1055"/>
      <c r="I8173" s="1055"/>
      <c r="J8173" s="1055"/>
      <c r="K8173" s="1205"/>
      <c r="L8173" s="1055"/>
      <c r="M8173" s="1205"/>
      <c r="N8173" s="1054"/>
      <c r="O8173" s="1207"/>
      <c r="Q8173" s="1207"/>
    </row>
    <row r="8174" spans="3:17" s="700" customFormat="1" ht="70.5" hidden="1" customHeight="1">
      <c r="C8174" s="701"/>
      <c r="D8174" s="811"/>
      <c r="E8174" s="1276">
        <f>[11]building!Y8505</f>
        <v>0</v>
      </c>
      <c r="F8174" s="748">
        <f t="shared" si="366"/>
        <v>0</v>
      </c>
      <c r="G8174" s="1205"/>
      <c r="H8174" s="1055"/>
      <c r="I8174" s="1055"/>
      <c r="J8174" s="1055"/>
      <c r="K8174" s="1205"/>
      <c r="L8174" s="1055"/>
      <c r="M8174" s="1205"/>
      <c r="N8174" s="1054"/>
      <c r="O8174" s="1207"/>
      <c r="Q8174" s="1207"/>
    </row>
    <row r="8175" spans="3:17" s="700" customFormat="1" ht="70.5" hidden="1" customHeight="1">
      <c r="C8175" s="701"/>
      <c r="D8175" s="811"/>
      <c r="E8175" s="1276">
        <f>[11]building!Y8506</f>
        <v>0</v>
      </c>
      <c r="F8175" s="748">
        <f t="shared" si="366"/>
        <v>0</v>
      </c>
      <c r="G8175" s="1205"/>
      <c r="H8175" s="1055"/>
      <c r="I8175" s="1055"/>
      <c r="J8175" s="1055"/>
      <c r="K8175" s="1205"/>
      <c r="L8175" s="1055"/>
      <c r="M8175" s="1205"/>
      <c r="N8175" s="1054"/>
      <c r="O8175" s="1207"/>
      <c r="Q8175" s="1207"/>
    </row>
    <row r="8176" spans="3:17" s="700" customFormat="1" ht="70.5" hidden="1" customHeight="1">
      <c r="C8176" s="701"/>
      <c r="D8176" s="811"/>
      <c r="E8176" s="1276">
        <f>[11]building!Y8507</f>
        <v>0</v>
      </c>
      <c r="F8176" s="748">
        <f t="shared" si="366"/>
        <v>0</v>
      </c>
      <c r="G8176" s="1205"/>
      <c r="H8176" s="1055"/>
      <c r="I8176" s="1055"/>
      <c r="J8176" s="1055"/>
      <c r="K8176" s="1205"/>
      <c r="L8176" s="1055"/>
      <c r="M8176" s="1205"/>
      <c r="N8176" s="1054"/>
      <c r="O8176" s="1207"/>
      <c r="Q8176" s="1207"/>
    </row>
    <row r="8177" spans="3:17" s="700" customFormat="1" ht="70.5" hidden="1" customHeight="1">
      <c r="C8177" s="701"/>
      <c r="D8177" s="811"/>
      <c r="E8177" s="1276">
        <f>[11]building!Y8508</f>
        <v>0</v>
      </c>
      <c r="F8177" s="748">
        <f t="shared" si="366"/>
        <v>0</v>
      </c>
      <c r="G8177" s="1205"/>
      <c r="H8177" s="1055"/>
      <c r="I8177" s="1055"/>
      <c r="J8177" s="1055"/>
      <c r="K8177" s="1205"/>
      <c r="L8177" s="1055"/>
      <c r="M8177" s="1205"/>
      <c r="N8177" s="1054"/>
      <c r="O8177" s="1207"/>
      <c r="Q8177" s="1207"/>
    </row>
    <row r="8178" spans="3:17" s="700" customFormat="1" ht="70.5" hidden="1" customHeight="1">
      <c r="C8178" s="701"/>
      <c r="D8178" s="811"/>
      <c r="E8178" s="1276">
        <f>[11]building!Y8509</f>
        <v>0</v>
      </c>
      <c r="F8178" s="748">
        <f t="shared" si="366"/>
        <v>0</v>
      </c>
      <c r="G8178" s="1205"/>
      <c r="H8178" s="1055"/>
      <c r="I8178" s="1055"/>
      <c r="J8178" s="1055"/>
      <c r="K8178" s="1205"/>
      <c r="L8178" s="1055"/>
      <c r="M8178" s="1205"/>
      <c r="N8178" s="1054"/>
      <c r="O8178" s="1207"/>
      <c r="Q8178" s="1207"/>
    </row>
    <row r="8179" spans="3:17" s="700" customFormat="1" ht="70.5" hidden="1" customHeight="1">
      <c r="C8179" s="701"/>
      <c r="D8179" s="811"/>
      <c r="E8179" s="1276">
        <f>[11]building!Y8510</f>
        <v>0</v>
      </c>
      <c r="F8179" s="748">
        <f t="shared" si="366"/>
        <v>0</v>
      </c>
      <c r="G8179" s="1205"/>
      <c r="H8179" s="1055"/>
      <c r="I8179" s="1055"/>
      <c r="J8179" s="1055"/>
      <c r="K8179" s="1205"/>
      <c r="L8179" s="1055"/>
      <c r="M8179" s="1205"/>
      <c r="N8179" s="1054"/>
      <c r="O8179" s="1207"/>
      <c r="Q8179" s="1207"/>
    </row>
    <row r="8180" spans="3:17" s="700" customFormat="1" ht="70.5" hidden="1" customHeight="1">
      <c r="C8180" s="701"/>
      <c r="D8180" s="811"/>
      <c r="E8180" s="1276">
        <f>[11]building!Y8511</f>
        <v>0</v>
      </c>
      <c r="F8180" s="748">
        <f t="shared" si="366"/>
        <v>0</v>
      </c>
      <c r="G8180" s="1205"/>
      <c r="H8180" s="1055"/>
      <c r="I8180" s="1055"/>
      <c r="J8180" s="1055"/>
      <c r="K8180" s="1205"/>
      <c r="L8180" s="1055"/>
      <c r="M8180" s="1205"/>
      <c r="N8180" s="1054"/>
      <c r="O8180" s="1207"/>
      <c r="Q8180" s="1207"/>
    </row>
    <row r="8181" spans="3:17" s="700" customFormat="1" ht="70.5" hidden="1" customHeight="1">
      <c r="C8181" s="701"/>
      <c r="D8181" s="811"/>
      <c r="E8181" s="1276">
        <f>[11]building!Y8512</f>
        <v>0</v>
      </c>
      <c r="F8181" s="748">
        <f t="shared" si="366"/>
        <v>0</v>
      </c>
      <c r="G8181" s="1205"/>
      <c r="H8181" s="1055"/>
      <c r="I8181" s="1055"/>
      <c r="J8181" s="1055"/>
      <c r="K8181" s="1205"/>
      <c r="L8181" s="1055"/>
      <c r="M8181" s="1205"/>
      <c r="N8181" s="1054"/>
      <c r="O8181" s="1207"/>
      <c r="Q8181" s="1207"/>
    </row>
    <row r="8182" spans="3:17" s="700" customFormat="1" ht="70.5" hidden="1" customHeight="1">
      <c r="C8182" s="701"/>
      <c r="D8182" s="811"/>
      <c r="E8182" s="1276">
        <f>[11]building!Y8513</f>
        <v>0</v>
      </c>
      <c r="F8182" s="748">
        <f t="shared" si="366"/>
        <v>0</v>
      </c>
      <c r="G8182" s="1205"/>
      <c r="H8182" s="1055"/>
      <c r="I8182" s="1055"/>
      <c r="J8182" s="1055"/>
      <c r="K8182" s="1205"/>
      <c r="L8182" s="1055"/>
      <c r="M8182" s="1205"/>
      <c r="N8182" s="1054"/>
      <c r="O8182" s="1207"/>
      <c r="Q8182" s="1207"/>
    </row>
    <row r="8183" spans="3:17" s="700" customFormat="1" ht="70.5" hidden="1" customHeight="1">
      <c r="C8183" s="701"/>
      <c r="D8183" s="811"/>
      <c r="E8183" s="1276">
        <f>[11]building!Y8514</f>
        <v>0</v>
      </c>
      <c r="F8183" s="748">
        <f t="shared" si="366"/>
        <v>0</v>
      </c>
      <c r="G8183" s="1205"/>
      <c r="H8183" s="1055"/>
      <c r="I8183" s="1055"/>
      <c r="J8183" s="1055"/>
      <c r="K8183" s="1205"/>
      <c r="L8183" s="1055"/>
      <c r="M8183" s="1205"/>
      <c r="N8183" s="1054"/>
      <c r="O8183" s="1207"/>
      <c r="Q8183" s="1207"/>
    </row>
    <row r="8184" spans="3:17" s="700" customFormat="1" ht="70.5" hidden="1" customHeight="1">
      <c r="C8184" s="701"/>
      <c r="D8184" s="811"/>
      <c r="E8184" s="1276">
        <f>[11]building!Y8515</f>
        <v>0</v>
      </c>
      <c r="F8184" s="748">
        <f t="shared" si="366"/>
        <v>0</v>
      </c>
      <c r="G8184" s="1205"/>
      <c r="H8184" s="1055"/>
      <c r="I8184" s="1055"/>
      <c r="J8184" s="1055"/>
      <c r="K8184" s="1205"/>
      <c r="L8184" s="1055"/>
      <c r="M8184" s="1205"/>
      <c r="N8184" s="1054"/>
      <c r="O8184" s="1207"/>
      <c r="Q8184" s="1207"/>
    </row>
    <row r="8185" spans="3:17" s="700" customFormat="1" ht="70.5" hidden="1" customHeight="1">
      <c r="C8185" s="701"/>
      <c r="D8185" s="811"/>
      <c r="E8185" s="1276">
        <f>[11]building!Y8516</f>
        <v>0</v>
      </c>
      <c r="F8185" s="748">
        <f t="shared" si="366"/>
        <v>0</v>
      </c>
      <c r="G8185" s="1205"/>
      <c r="H8185" s="1055"/>
      <c r="I8185" s="1055"/>
      <c r="J8185" s="1055"/>
      <c r="K8185" s="1205"/>
      <c r="L8185" s="1055"/>
      <c r="M8185" s="1205"/>
      <c r="N8185" s="1054"/>
      <c r="O8185" s="1207"/>
      <c r="Q8185" s="1207"/>
    </row>
    <row r="8186" spans="3:17" s="700" customFormat="1" ht="70.5" hidden="1" customHeight="1">
      <c r="C8186" s="701"/>
      <c r="D8186" s="811"/>
      <c r="E8186" s="1276">
        <f>[11]building!Y8517</f>
        <v>0</v>
      </c>
      <c r="F8186" s="748">
        <f t="shared" si="366"/>
        <v>0</v>
      </c>
      <c r="G8186" s="1205"/>
      <c r="H8186" s="1055"/>
      <c r="I8186" s="1055"/>
      <c r="J8186" s="1055"/>
      <c r="K8186" s="1205"/>
      <c r="L8186" s="1055"/>
      <c r="M8186" s="1205"/>
      <c r="N8186" s="1054"/>
      <c r="O8186" s="1207"/>
      <c r="Q8186" s="1207"/>
    </row>
    <row r="8187" spans="3:17" s="700" customFormat="1" ht="70.5" hidden="1" customHeight="1">
      <c r="C8187" s="701"/>
      <c r="D8187" s="811"/>
      <c r="E8187" s="1276">
        <f>[11]building!Y8518</f>
        <v>0</v>
      </c>
      <c r="F8187" s="748">
        <f t="shared" si="366"/>
        <v>0</v>
      </c>
      <c r="G8187" s="1205"/>
      <c r="H8187" s="1055"/>
      <c r="I8187" s="1055"/>
      <c r="J8187" s="1055"/>
      <c r="K8187" s="1205"/>
      <c r="L8187" s="1055"/>
      <c r="M8187" s="1205"/>
      <c r="N8187" s="1054"/>
      <c r="O8187" s="1207"/>
      <c r="Q8187" s="1207"/>
    </row>
    <row r="8188" spans="3:17" s="700" customFormat="1" ht="70.5" hidden="1" customHeight="1">
      <c r="C8188" s="701"/>
      <c r="D8188" s="811"/>
      <c r="E8188" s="1276">
        <f>[11]building!Y8519</f>
        <v>0</v>
      </c>
      <c r="F8188" s="748">
        <f t="shared" si="366"/>
        <v>0</v>
      </c>
      <c r="G8188" s="1205"/>
      <c r="H8188" s="1055"/>
      <c r="I8188" s="1055"/>
      <c r="J8188" s="1055"/>
      <c r="K8188" s="1205"/>
      <c r="L8188" s="1055"/>
      <c r="M8188" s="1205"/>
      <c r="N8188" s="1054"/>
      <c r="O8188" s="1207"/>
      <c r="Q8188" s="1207"/>
    </row>
    <row r="8189" spans="3:17" s="700" customFormat="1" ht="70.5" hidden="1" customHeight="1">
      <c r="C8189" s="701"/>
      <c r="D8189" s="811"/>
      <c r="E8189" s="1276">
        <f>[11]building!Y8520</f>
        <v>0</v>
      </c>
      <c r="F8189" s="748">
        <f t="shared" si="366"/>
        <v>0</v>
      </c>
      <c r="G8189" s="1205"/>
      <c r="H8189" s="1055"/>
      <c r="I8189" s="1055"/>
      <c r="J8189" s="1055"/>
      <c r="K8189" s="1205"/>
      <c r="L8189" s="1055"/>
      <c r="M8189" s="1205"/>
      <c r="N8189" s="1054"/>
      <c r="O8189" s="1207"/>
      <c r="Q8189" s="1207"/>
    </row>
    <row r="8190" spans="3:17" s="700" customFormat="1" ht="70.5" hidden="1" customHeight="1">
      <c r="C8190" s="701"/>
      <c r="D8190" s="811"/>
      <c r="E8190" s="1276">
        <f>[11]building!Y8521</f>
        <v>0</v>
      </c>
      <c r="F8190" s="748">
        <f t="shared" si="366"/>
        <v>0</v>
      </c>
      <c r="G8190" s="1205"/>
      <c r="H8190" s="1055"/>
      <c r="I8190" s="1055"/>
      <c r="J8190" s="1055"/>
      <c r="K8190" s="1205"/>
      <c r="L8190" s="1055"/>
      <c r="M8190" s="1205"/>
      <c r="N8190" s="1054"/>
      <c r="O8190" s="1207"/>
      <c r="Q8190" s="1207"/>
    </row>
    <row r="8191" spans="3:17" s="700" customFormat="1" ht="70.5" hidden="1" customHeight="1">
      <c r="C8191" s="701"/>
      <c r="D8191" s="811"/>
      <c r="E8191" s="1276">
        <f>[11]building!Y8522</f>
        <v>0</v>
      </c>
      <c r="F8191" s="748">
        <f t="shared" si="366"/>
        <v>0</v>
      </c>
      <c r="G8191" s="1205"/>
      <c r="H8191" s="1055"/>
      <c r="I8191" s="1055"/>
      <c r="J8191" s="1055"/>
      <c r="K8191" s="1205"/>
      <c r="L8191" s="1055"/>
      <c r="M8191" s="1205"/>
      <c r="N8191" s="1054"/>
      <c r="O8191" s="1207"/>
      <c r="Q8191" s="1207"/>
    </row>
    <row r="8192" spans="3:17" s="700" customFormat="1" ht="70.5" hidden="1" customHeight="1">
      <c r="C8192" s="701"/>
      <c r="D8192" s="811"/>
      <c r="E8192" s="1276">
        <f>[11]building!Y8523</f>
        <v>0</v>
      </c>
      <c r="F8192" s="748">
        <f t="shared" ref="F8192:F8255" si="367">E8192*C8192</f>
        <v>0</v>
      </c>
      <c r="G8192" s="1205"/>
      <c r="H8192" s="1055"/>
      <c r="I8192" s="1055"/>
      <c r="J8192" s="1055"/>
      <c r="K8192" s="1205"/>
      <c r="L8192" s="1055"/>
      <c r="M8192" s="1205"/>
      <c r="N8192" s="1054"/>
      <c r="O8192" s="1207"/>
      <c r="Q8192" s="1207"/>
    </row>
    <row r="8193" spans="3:17" s="700" customFormat="1" ht="70.5" hidden="1" customHeight="1">
      <c r="C8193" s="701"/>
      <c r="D8193" s="811"/>
      <c r="E8193" s="1276">
        <f>[11]building!Y8524</f>
        <v>0</v>
      </c>
      <c r="F8193" s="748">
        <f t="shared" si="367"/>
        <v>0</v>
      </c>
      <c r="G8193" s="1205"/>
      <c r="H8193" s="1055"/>
      <c r="I8193" s="1055"/>
      <c r="J8193" s="1055"/>
      <c r="K8193" s="1205"/>
      <c r="L8193" s="1055"/>
      <c r="M8193" s="1205"/>
      <c r="N8193" s="1054"/>
      <c r="O8193" s="1207"/>
      <c r="Q8193" s="1207"/>
    </row>
    <row r="8194" spans="3:17" s="700" customFormat="1" ht="70.5" hidden="1" customHeight="1">
      <c r="C8194" s="701"/>
      <c r="D8194" s="811"/>
      <c r="E8194" s="1276">
        <f>[11]building!Y8525</f>
        <v>0</v>
      </c>
      <c r="F8194" s="748">
        <f t="shared" si="367"/>
        <v>0</v>
      </c>
      <c r="G8194" s="1205"/>
      <c r="H8194" s="1055"/>
      <c r="I8194" s="1055"/>
      <c r="J8194" s="1055"/>
      <c r="K8194" s="1205"/>
      <c r="L8194" s="1055"/>
      <c r="M8194" s="1205"/>
      <c r="N8194" s="1054"/>
      <c r="O8194" s="1207"/>
      <c r="Q8194" s="1207"/>
    </row>
    <row r="8195" spans="3:17" s="700" customFormat="1" ht="70.5" hidden="1" customHeight="1">
      <c r="C8195" s="701"/>
      <c r="D8195" s="811"/>
      <c r="E8195" s="1276">
        <f>[11]building!Y8526</f>
        <v>0</v>
      </c>
      <c r="F8195" s="748">
        <f t="shared" si="367"/>
        <v>0</v>
      </c>
      <c r="G8195" s="1205"/>
      <c r="H8195" s="1055"/>
      <c r="I8195" s="1055"/>
      <c r="J8195" s="1055"/>
      <c r="K8195" s="1205"/>
      <c r="L8195" s="1055"/>
      <c r="M8195" s="1205"/>
      <c r="N8195" s="1054"/>
      <c r="O8195" s="1207"/>
      <c r="Q8195" s="1207"/>
    </row>
    <row r="8196" spans="3:17" s="700" customFormat="1" ht="70.5" hidden="1" customHeight="1">
      <c r="C8196" s="701"/>
      <c r="D8196" s="811"/>
      <c r="E8196" s="1276">
        <f>[11]building!Y8527</f>
        <v>0</v>
      </c>
      <c r="F8196" s="748">
        <f t="shared" si="367"/>
        <v>0</v>
      </c>
      <c r="G8196" s="1205"/>
      <c r="H8196" s="1055"/>
      <c r="I8196" s="1055"/>
      <c r="J8196" s="1055"/>
      <c r="K8196" s="1205"/>
      <c r="L8196" s="1055"/>
      <c r="M8196" s="1205"/>
      <c r="N8196" s="1054"/>
      <c r="O8196" s="1207"/>
      <c r="Q8196" s="1207"/>
    </row>
    <row r="8197" spans="3:17" s="700" customFormat="1" ht="70.5" hidden="1" customHeight="1">
      <c r="C8197" s="701"/>
      <c r="D8197" s="811"/>
      <c r="E8197" s="1276">
        <f>[11]building!Y8528</f>
        <v>0</v>
      </c>
      <c r="F8197" s="748">
        <f t="shared" si="367"/>
        <v>0</v>
      </c>
      <c r="G8197" s="1205"/>
      <c r="H8197" s="1055"/>
      <c r="I8197" s="1055"/>
      <c r="J8197" s="1055"/>
      <c r="K8197" s="1205"/>
      <c r="L8197" s="1055"/>
      <c r="M8197" s="1205"/>
      <c r="N8197" s="1054"/>
      <c r="O8197" s="1207"/>
      <c r="Q8197" s="1207"/>
    </row>
    <row r="8198" spans="3:17" s="700" customFormat="1" ht="70.5" hidden="1" customHeight="1">
      <c r="C8198" s="701"/>
      <c r="D8198" s="811"/>
      <c r="E8198" s="1276">
        <f>[11]building!Y8529</f>
        <v>0</v>
      </c>
      <c r="F8198" s="748">
        <f t="shared" si="367"/>
        <v>0</v>
      </c>
      <c r="G8198" s="1205"/>
      <c r="H8198" s="1055"/>
      <c r="I8198" s="1055"/>
      <c r="J8198" s="1055"/>
      <c r="K8198" s="1205"/>
      <c r="L8198" s="1055"/>
      <c r="M8198" s="1205"/>
      <c r="N8198" s="1054"/>
      <c r="O8198" s="1207"/>
      <c r="Q8198" s="1207"/>
    </row>
    <row r="8199" spans="3:17" s="700" customFormat="1" ht="70.5" hidden="1" customHeight="1">
      <c r="C8199" s="701"/>
      <c r="D8199" s="811"/>
      <c r="E8199" s="1276">
        <f>[11]building!Y8530</f>
        <v>0</v>
      </c>
      <c r="F8199" s="748">
        <f t="shared" si="367"/>
        <v>0</v>
      </c>
      <c r="G8199" s="1205"/>
      <c r="H8199" s="1055"/>
      <c r="I8199" s="1055"/>
      <c r="J8199" s="1055"/>
      <c r="K8199" s="1205"/>
      <c r="L8199" s="1055"/>
      <c r="M8199" s="1205"/>
      <c r="N8199" s="1054"/>
      <c r="O8199" s="1207"/>
      <c r="Q8199" s="1207"/>
    </row>
    <row r="8200" spans="3:17" s="700" customFormat="1" ht="70.5" hidden="1" customHeight="1">
      <c r="C8200" s="701"/>
      <c r="D8200" s="811"/>
      <c r="E8200" s="1276">
        <f>[11]building!Y8531</f>
        <v>0</v>
      </c>
      <c r="F8200" s="748">
        <f t="shared" si="367"/>
        <v>0</v>
      </c>
      <c r="G8200" s="1205"/>
      <c r="H8200" s="1055"/>
      <c r="I8200" s="1055"/>
      <c r="J8200" s="1055"/>
      <c r="K8200" s="1205"/>
      <c r="L8200" s="1055"/>
      <c r="M8200" s="1205"/>
      <c r="N8200" s="1054"/>
      <c r="O8200" s="1207"/>
      <c r="Q8200" s="1207"/>
    </row>
    <row r="8201" spans="3:17" s="700" customFormat="1" ht="70.5" hidden="1" customHeight="1">
      <c r="C8201" s="701"/>
      <c r="D8201" s="811"/>
      <c r="E8201" s="1276">
        <f>[11]building!Y8532</f>
        <v>0</v>
      </c>
      <c r="F8201" s="748">
        <f t="shared" si="367"/>
        <v>0</v>
      </c>
      <c r="G8201" s="1205"/>
      <c r="H8201" s="1055"/>
      <c r="I8201" s="1055"/>
      <c r="J8201" s="1055"/>
      <c r="K8201" s="1205"/>
      <c r="L8201" s="1055"/>
      <c r="M8201" s="1205"/>
      <c r="N8201" s="1054"/>
      <c r="O8201" s="1207"/>
      <c r="Q8201" s="1207"/>
    </row>
    <row r="8202" spans="3:17" s="700" customFormat="1" ht="70.5" hidden="1" customHeight="1">
      <c r="C8202" s="701"/>
      <c r="D8202" s="811"/>
      <c r="E8202" s="1276">
        <f>[11]building!Y8533</f>
        <v>0</v>
      </c>
      <c r="F8202" s="748">
        <f t="shared" si="367"/>
        <v>0</v>
      </c>
      <c r="G8202" s="1205"/>
      <c r="H8202" s="1055"/>
      <c r="I8202" s="1055"/>
      <c r="J8202" s="1055"/>
      <c r="K8202" s="1205"/>
      <c r="L8202" s="1055"/>
      <c r="M8202" s="1205"/>
      <c r="N8202" s="1054"/>
      <c r="O8202" s="1207"/>
      <c r="Q8202" s="1207"/>
    </row>
    <row r="8203" spans="3:17" s="700" customFormat="1" ht="70.5" hidden="1" customHeight="1">
      <c r="C8203" s="701"/>
      <c r="D8203" s="811"/>
      <c r="E8203" s="1276">
        <f>[11]building!Y8534</f>
        <v>0</v>
      </c>
      <c r="F8203" s="748">
        <f t="shared" si="367"/>
        <v>0</v>
      </c>
      <c r="G8203" s="1205"/>
      <c r="H8203" s="1055"/>
      <c r="I8203" s="1055"/>
      <c r="J8203" s="1055"/>
      <c r="K8203" s="1205"/>
      <c r="L8203" s="1055"/>
      <c r="M8203" s="1205"/>
      <c r="N8203" s="1054"/>
      <c r="O8203" s="1207"/>
      <c r="Q8203" s="1207"/>
    </row>
    <row r="8204" spans="3:17" s="700" customFormat="1" ht="70.5" hidden="1" customHeight="1">
      <c r="C8204" s="701"/>
      <c r="D8204" s="811"/>
      <c r="E8204" s="1276">
        <f>[11]building!Y8535</f>
        <v>0</v>
      </c>
      <c r="F8204" s="748">
        <f t="shared" si="367"/>
        <v>0</v>
      </c>
      <c r="G8204" s="1205"/>
      <c r="H8204" s="1055"/>
      <c r="I8204" s="1055"/>
      <c r="J8204" s="1055"/>
      <c r="K8204" s="1205"/>
      <c r="L8204" s="1055"/>
      <c r="M8204" s="1205"/>
      <c r="N8204" s="1054"/>
      <c r="O8204" s="1207"/>
      <c r="Q8204" s="1207"/>
    </row>
    <row r="8205" spans="3:17" s="700" customFormat="1" ht="70.5" hidden="1" customHeight="1">
      <c r="C8205" s="701"/>
      <c r="D8205" s="811"/>
      <c r="E8205" s="1276">
        <f>[11]building!Y8536</f>
        <v>0</v>
      </c>
      <c r="F8205" s="748">
        <f t="shared" si="367"/>
        <v>0</v>
      </c>
      <c r="G8205" s="1205"/>
      <c r="H8205" s="1055"/>
      <c r="I8205" s="1055"/>
      <c r="J8205" s="1055"/>
      <c r="K8205" s="1205"/>
      <c r="L8205" s="1055"/>
      <c r="M8205" s="1205"/>
      <c r="N8205" s="1054"/>
      <c r="O8205" s="1207"/>
      <c r="Q8205" s="1207"/>
    </row>
    <row r="8206" spans="3:17" s="700" customFormat="1" ht="70.5" hidden="1" customHeight="1">
      <c r="C8206" s="701"/>
      <c r="D8206" s="811"/>
      <c r="E8206" s="1276">
        <f>[11]building!Y8537</f>
        <v>0</v>
      </c>
      <c r="F8206" s="748">
        <f t="shared" si="367"/>
        <v>0</v>
      </c>
      <c r="G8206" s="1205"/>
      <c r="H8206" s="1055"/>
      <c r="I8206" s="1055"/>
      <c r="J8206" s="1055"/>
      <c r="K8206" s="1205"/>
      <c r="L8206" s="1055"/>
      <c r="M8206" s="1205"/>
      <c r="N8206" s="1054"/>
      <c r="O8206" s="1207"/>
      <c r="Q8206" s="1207"/>
    </row>
    <row r="8207" spans="3:17" s="700" customFormat="1" ht="70.5" hidden="1" customHeight="1">
      <c r="C8207" s="701"/>
      <c r="D8207" s="811"/>
      <c r="E8207" s="1276">
        <f>[11]building!Y8538</f>
        <v>0</v>
      </c>
      <c r="F8207" s="748">
        <f t="shared" si="367"/>
        <v>0</v>
      </c>
      <c r="G8207" s="1205"/>
      <c r="H8207" s="1055"/>
      <c r="I8207" s="1055"/>
      <c r="J8207" s="1055"/>
      <c r="K8207" s="1205"/>
      <c r="L8207" s="1055"/>
      <c r="M8207" s="1205"/>
      <c r="N8207" s="1054"/>
      <c r="O8207" s="1207"/>
      <c r="Q8207" s="1207"/>
    </row>
    <row r="8208" spans="3:17" s="700" customFormat="1" ht="70.5" hidden="1" customHeight="1">
      <c r="C8208" s="701"/>
      <c r="D8208" s="811"/>
      <c r="E8208" s="1276">
        <f>[11]building!Y8539</f>
        <v>0</v>
      </c>
      <c r="F8208" s="748">
        <f t="shared" si="367"/>
        <v>0</v>
      </c>
      <c r="G8208" s="1205"/>
      <c r="H8208" s="1055"/>
      <c r="I8208" s="1055"/>
      <c r="J8208" s="1055"/>
      <c r="K8208" s="1205"/>
      <c r="L8208" s="1055"/>
      <c r="M8208" s="1205"/>
      <c r="N8208" s="1054"/>
      <c r="O8208" s="1207"/>
      <c r="Q8208" s="1207"/>
    </row>
    <row r="8209" spans="3:17" s="700" customFormat="1" ht="70.5" hidden="1" customHeight="1">
      <c r="C8209" s="701"/>
      <c r="D8209" s="811"/>
      <c r="E8209" s="1276">
        <f>[11]building!Y8540</f>
        <v>0</v>
      </c>
      <c r="F8209" s="748">
        <f t="shared" si="367"/>
        <v>0</v>
      </c>
      <c r="G8209" s="1205"/>
      <c r="H8209" s="1055"/>
      <c r="I8209" s="1055"/>
      <c r="J8209" s="1055"/>
      <c r="K8209" s="1205"/>
      <c r="L8209" s="1055"/>
      <c r="M8209" s="1205"/>
      <c r="N8209" s="1054"/>
      <c r="O8209" s="1207"/>
      <c r="Q8209" s="1207"/>
    </row>
    <row r="8210" spans="3:17" s="700" customFormat="1" ht="70.5" hidden="1" customHeight="1">
      <c r="C8210" s="701"/>
      <c r="D8210" s="811"/>
      <c r="E8210" s="1276">
        <f>[11]building!Y8541</f>
        <v>0</v>
      </c>
      <c r="F8210" s="748">
        <f t="shared" si="367"/>
        <v>0</v>
      </c>
      <c r="G8210" s="1205"/>
      <c r="H8210" s="1055"/>
      <c r="I8210" s="1055"/>
      <c r="J8210" s="1055"/>
      <c r="K8210" s="1205"/>
      <c r="L8210" s="1055"/>
      <c r="M8210" s="1205"/>
      <c r="N8210" s="1054"/>
      <c r="O8210" s="1207"/>
      <c r="Q8210" s="1207"/>
    </row>
    <row r="8211" spans="3:17" s="700" customFormat="1" ht="70.5" hidden="1" customHeight="1">
      <c r="C8211" s="701"/>
      <c r="D8211" s="811"/>
      <c r="E8211" s="1276">
        <f>[11]building!Y8542</f>
        <v>0</v>
      </c>
      <c r="F8211" s="748">
        <f t="shared" si="367"/>
        <v>0</v>
      </c>
      <c r="G8211" s="1205"/>
      <c r="H8211" s="1055"/>
      <c r="I8211" s="1055"/>
      <c r="J8211" s="1055"/>
      <c r="K8211" s="1205"/>
      <c r="L8211" s="1055"/>
      <c r="M8211" s="1205"/>
      <c r="N8211" s="1054"/>
      <c r="O8211" s="1207"/>
      <c r="Q8211" s="1207"/>
    </row>
    <row r="8212" spans="3:17" s="700" customFormat="1" ht="70.5" hidden="1" customHeight="1">
      <c r="C8212" s="701"/>
      <c r="D8212" s="811"/>
      <c r="E8212" s="1276">
        <f>[11]building!Y8543</f>
        <v>0</v>
      </c>
      <c r="F8212" s="748">
        <f t="shared" si="367"/>
        <v>0</v>
      </c>
      <c r="G8212" s="1205"/>
      <c r="H8212" s="1055"/>
      <c r="I8212" s="1055"/>
      <c r="J8212" s="1055"/>
      <c r="K8212" s="1205"/>
      <c r="L8212" s="1055"/>
      <c r="M8212" s="1205"/>
      <c r="N8212" s="1054"/>
      <c r="O8212" s="1207"/>
      <c r="Q8212" s="1207"/>
    </row>
    <row r="8213" spans="3:17" s="700" customFormat="1" ht="70.5" hidden="1" customHeight="1">
      <c r="C8213" s="701"/>
      <c r="D8213" s="811"/>
      <c r="E8213" s="1276">
        <f>[11]building!Y8544</f>
        <v>0</v>
      </c>
      <c r="F8213" s="748">
        <f t="shared" si="367"/>
        <v>0</v>
      </c>
      <c r="G8213" s="1205"/>
      <c r="H8213" s="1055"/>
      <c r="I8213" s="1055"/>
      <c r="J8213" s="1055"/>
      <c r="K8213" s="1205"/>
      <c r="L8213" s="1055"/>
      <c r="M8213" s="1205"/>
      <c r="N8213" s="1054"/>
      <c r="O8213" s="1207"/>
      <c r="Q8213" s="1207"/>
    </row>
    <row r="8214" spans="3:17" s="700" customFormat="1" ht="70.5" hidden="1" customHeight="1">
      <c r="C8214" s="701"/>
      <c r="D8214" s="811"/>
      <c r="E8214" s="1276">
        <f>[11]building!Y8545</f>
        <v>0</v>
      </c>
      <c r="F8214" s="748">
        <f t="shared" si="367"/>
        <v>0</v>
      </c>
      <c r="G8214" s="1205"/>
      <c r="H8214" s="1055"/>
      <c r="I8214" s="1055"/>
      <c r="J8214" s="1055"/>
      <c r="K8214" s="1205"/>
      <c r="L8214" s="1055"/>
      <c r="M8214" s="1205"/>
      <c r="N8214" s="1054"/>
      <c r="O8214" s="1207"/>
      <c r="Q8214" s="1207"/>
    </row>
    <row r="8215" spans="3:17" s="700" customFormat="1" ht="70.5" hidden="1" customHeight="1">
      <c r="C8215" s="701"/>
      <c r="D8215" s="811"/>
      <c r="E8215" s="1276">
        <f>[11]building!Y8546</f>
        <v>0</v>
      </c>
      <c r="F8215" s="748">
        <f t="shared" si="367"/>
        <v>0</v>
      </c>
      <c r="G8215" s="1205"/>
      <c r="H8215" s="1055"/>
      <c r="I8215" s="1055"/>
      <c r="J8215" s="1055"/>
      <c r="K8215" s="1205"/>
      <c r="L8215" s="1055"/>
      <c r="M8215" s="1205"/>
      <c r="N8215" s="1054"/>
      <c r="O8215" s="1207"/>
      <c r="Q8215" s="1207"/>
    </row>
    <row r="8216" spans="3:17" s="700" customFormat="1" ht="70.5" hidden="1" customHeight="1">
      <c r="C8216" s="701"/>
      <c r="D8216" s="811"/>
      <c r="E8216" s="1276">
        <f>[11]building!Y8547</f>
        <v>0</v>
      </c>
      <c r="F8216" s="748">
        <f t="shared" si="367"/>
        <v>0</v>
      </c>
      <c r="G8216" s="1205"/>
      <c r="H8216" s="1055"/>
      <c r="I8216" s="1055"/>
      <c r="J8216" s="1055"/>
      <c r="K8216" s="1205"/>
      <c r="L8216" s="1055"/>
      <c r="M8216" s="1205"/>
      <c r="N8216" s="1054"/>
      <c r="O8216" s="1207"/>
      <c r="Q8216" s="1207"/>
    </row>
    <row r="8217" spans="3:17" s="700" customFormat="1" ht="70.5" hidden="1" customHeight="1">
      <c r="C8217" s="701"/>
      <c r="D8217" s="811"/>
      <c r="E8217" s="1276">
        <f>[11]building!Y8548</f>
        <v>0</v>
      </c>
      <c r="F8217" s="748">
        <f t="shared" si="367"/>
        <v>0</v>
      </c>
      <c r="G8217" s="1205"/>
      <c r="H8217" s="1055"/>
      <c r="I8217" s="1055"/>
      <c r="J8217" s="1055"/>
      <c r="K8217" s="1205"/>
      <c r="L8217" s="1055"/>
      <c r="M8217" s="1205"/>
      <c r="N8217" s="1054"/>
      <c r="O8217" s="1207"/>
      <c r="Q8217" s="1207"/>
    </row>
    <row r="8218" spans="3:17" s="700" customFormat="1" ht="70.5" hidden="1" customHeight="1">
      <c r="C8218" s="701"/>
      <c r="D8218" s="811"/>
      <c r="E8218" s="1276">
        <f>[11]building!Y8549</f>
        <v>0</v>
      </c>
      <c r="F8218" s="748">
        <f t="shared" si="367"/>
        <v>0</v>
      </c>
      <c r="G8218" s="1205"/>
      <c r="H8218" s="1055"/>
      <c r="I8218" s="1055"/>
      <c r="J8218" s="1055"/>
      <c r="K8218" s="1205"/>
      <c r="L8218" s="1055"/>
      <c r="M8218" s="1205"/>
      <c r="N8218" s="1054"/>
      <c r="O8218" s="1207"/>
      <c r="Q8218" s="1207"/>
    </row>
    <row r="8219" spans="3:17" s="700" customFormat="1" ht="70.5" hidden="1" customHeight="1">
      <c r="C8219" s="701"/>
      <c r="D8219" s="811"/>
      <c r="E8219" s="1276">
        <f>[11]building!Y8550</f>
        <v>0</v>
      </c>
      <c r="F8219" s="748">
        <f t="shared" si="367"/>
        <v>0</v>
      </c>
      <c r="G8219" s="1205"/>
      <c r="H8219" s="1055"/>
      <c r="I8219" s="1055"/>
      <c r="J8219" s="1055"/>
      <c r="K8219" s="1205"/>
      <c r="L8219" s="1055"/>
      <c r="M8219" s="1205"/>
      <c r="N8219" s="1054"/>
      <c r="O8219" s="1207"/>
      <c r="Q8219" s="1207"/>
    </row>
    <row r="8220" spans="3:17" s="700" customFormat="1" ht="70.5" hidden="1" customHeight="1">
      <c r="C8220" s="701"/>
      <c r="D8220" s="811"/>
      <c r="E8220" s="1276">
        <f>[11]building!Y8551</f>
        <v>0</v>
      </c>
      <c r="F8220" s="748">
        <f t="shared" si="367"/>
        <v>0</v>
      </c>
      <c r="G8220" s="1205"/>
      <c r="H8220" s="1055"/>
      <c r="I8220" s="1055"/>
      <c r="J8220" s="1055"/>
      <c r="K8220" s="1205"/>
      <c r="L8220" s="1055"/>
      <c r="M8220" s="1205"/>
      <c r="N8220" s="1054"/>
      <c r="O8220" s="1207"/>
      <c r="Q8220" s="1207"/>
    </row>
    <row r="8221" spans="3:17" s="700" customFormat="1" ht="70.5" hidden="1" customHeight="1">
      <c r="C8221" s="701"/>
      <c r="D8221" s="811"/>
      <c r="E8221" s="1276">
        <f>[11]building!Y8552</f>
        <v>0</v>
      </c>
      <c r="F8221" s="748">
        <f t="shared" si="367"/>
        <v>0</v>
      </c>
      <c r="G8221" s="1205"/>
      <c r="H8221" s="1055"/>
      <c r="I8221" s="1055"/>
      <c r="J8221" s="1055"/>
      <c r="K8221" s="1205"/>
      <c r="L8221" s="1055"/>
      <c r="M8221" s="1205"/>
      <c r="N8221" s="1054"/>
      <c r="O8221" s="1207"/>
      <c r="Q8221" s="1207"/>
    </row>
    <row r="8222" spans="3:17" s="700" customFormat="1" ht="70.5" hidden="1" customHeight="1">
      <c r="C8222" s="701"/>
      <c r="D8222" s="811"/>
      <c r="E8222" s="1276">
        <f>[11]building!Y8553</f>
        <v>0</v>
      </c>
      <c r="F8222" s="748">
        <f t="shared" si="367"/>
        <v>0</v>
      </c>
      <c r="G8222" s="1205"/>
      <c r="H8222" s="1055"/>
      <c r="I8222" s="1055"/>
      <c r="J8222" s="1055"/>
      <c r="K8222" s="1205"/>
      <c r="L8222" s="1055"/>
      <c r="M8222" s="1205"/>
      <c r="N8222" s="1054"/>
      <c r="O8222" s="1207"/>
      <c r="Q8222" s="1207"/>
    </row>
    <row r="8223" spans="3:17" s="700" customFormat="1" ht="70.5" hidden="1" customHeight="1">
      <c r="C8223" s="701"/>
      <c r="D8223" s="811"/>
      <c r="E8223" s="1276">
        <f>[11]building!Y8554</f>
        <v>0</v>
      </c>
      <c r="F8223" s="748">
        <f t="shared" si="367"/>
        <v>0</v>
      </c>
      <c r="G8223" s="1205"/>
      <c r="H8223" s="1055"/>
      <c r="I8223" s="1055"/>
      <c r="J8223" s="1055"/>
      <c r="K8223" s="1205"/>
      <c r="L8223" s="1055"/>
      <c r="M8223" s="1205"/>
      <c r="N8223" s="1054"/>
      <c r="O8223" s="1207"/>
      <c r="Q8223" s="1207"/>
    </row>
    <row r="8224" spans="3:17" s="700" customFormat="1" ht="70.5" hidden="1" customHeight="1">
      <c r="C8224" s="701"/>
      <c r="D8224" s="811"/>
      <c r="E8224" s="1276">
        <f>[11]building!Y8555</f>
        <v>0</v>
      </c>
      <c r="F8224" s="748">
        <f t="shared" si="367"/>
        <v>0</v>
      </c>
      <c r="G8224" s="1205"/>
      <c r="H8224" s="1055"/>
      <c r="I8224" s="1055"/>
      <c r="J8224" s="1055"/>
      <c r="K8224" s="1205"/>
      <c r="L8224" s="1055"/>
      <c r="M8224" s="1205"/>
      <c r="N8224" s="1054"/>
      <c r="O8224" s="1207"/>
      <c r="Q8224" s="1207"/>
    </row>
    <row r="8225" spans="3:17" s="700" customFormat="1" ht="70.5" hidden="1" customHeight="1">
      <c r="C8225" s="701"/>
      <c r="D8225" s="811"/>
      <c r="E8225" s="1276">
        <f>[11]building!Y8556</f>
        <v>0</v>
      </c>
      <c r="F8225" s="748">
        <f t="shared" si="367"/>
        <v>0</v>
      </c>
      <c r="G8225" s="1205"/>
      <c r="H8225" s="1055"/>
      <c r="I8225" s="1055"/>
      <c r="J8225" s="1055"/>
      <c r="K8225" s="1205"/>
      <c r="L8225" s="1055"/>
      <c r="M8225" s="1205"/>
      <c r="N8225" s="1054"/>
      <c r="O8225" s="1207"/>
      <c r="Q8225" s="1207"/>
    </row>
    <row r="8226" spans="3:17" s="700" customFormat="1" ht="70.5" hidden="1" customHeight="1">
      <c r="C8226" s="701"/>
      <c r="D8226" s="811"/>
      <c r="E8226" s="1276">
        <f>[11]building!Y8557</f>
        <v>0</v>
      </c>
      <c r="F8226" s="748">
        <f t="shared" si="367"/>
        <v>0</v>
      </c>
      <c r="G8226" s="1205"/>
      <c r="H8226" s="1055"/>
      <c r="I8226" s="1055"/>
      <c r="J8226" s="1055"/>
      <c r="K8226" s="1205"/>
      <c r="L8226" s="1055"/>
      <c r="M8226" s="1205"/>
      <c r="N8226" s="1054"/>
      <c r="O8226" s="1207"/>
      <c r="Q8226" s="1207"/>
    </row>
    <row r="8227" spans="3:17" s="700" customFormat="1" ht="70.5" hidden="1" customHeight="1">
      <c r="C8227" s="701"/>
      <c r="D8227" s="811"/>
      <c r="E8227" s="1276">
        <f>[11]building!Y8558</f>
        <v>0</v>
      </c>
      <c r="F8227" s="748">
        <f t="shared" si="367"/>
        <v>0</v>
      </c>
      <c r="G8227" s="1205"/>
      <c r="H8227" s="1055"/>
      <c r="I8227" s="1055"/>
      <c r="J8227" s="1055"/>
      <c r="K8227" s="1205"/>
      <c r="L8227" s="1055"/>
      <c r="M8227" s="1205"/>
      <c r="N8227" s="1054"/>
      <c r="O8227" s="1207"/>
      <c r="Q8227" s="1207"/>
    </row>
    <row r="8228" spans="3:17" s="700" customFormat="1" ht="70.5" hidden="1" customHeight="1">
      <c r="C8228" s="701"/>
      <c r="D8228" s="811"/>
      <c r="E8228" s="1276">
        <f>[11]building!Y8559</f>
        <v>0</v>
      </c>
      <c r="F8228" s="748">
        <f t="shared" si="367"/>
        <v>0</v>
      </c>
      <c r="G8228" s="1205"/>
      <c r="H8228" s="1055"/>
      <c r="I8228" s="1055"/>
      <c r="J8228" s="1055"/>
      <c r="K8228" s="1205"/>
      <c r="L8228" s="1055"/>
      <c r="M8228" s="1205"/>
      <c r="N8228" s="1054"/>
      <c r="O8228" s="1207"/>
      <c r="Q8228" s="1207"/>
    </row>
    <row r="8229" spans="3:17" s="700" customFormat="1" ht="70.5" hidden="1" customHeight="1">
      <c r="C8229" s="701"/>
      <c r="D8229" s="811"/>
      <c r="E8229" s="1276">
        <f>[11]building!Y8560</f>
        <v>0</v>
      </c>
      <c r="F8229" s="748">
        <f t="shared" si="367"/>
        <v>0</v>
      </c>
      <c r="G8229" s="1205"/>
      <c r="H8229" s="1055"/>
      <c r="I8229" s="1055"/>
      <c r="J8229" s="1055"/>
      <c r="K8229" s="1205"/>
      <c r="L8229" s="1055"/>
      <c r="M8229" s="1205"/>
      <c r="N8229" s="1054"/>
      <c r="O8229" s="1207"/>
      <c r="Q8229" s="1207"/>
    </row>
    <row r="8230" spans="3:17" s="700" customFormat="1" ht="70.5" hidden="1" customHeight="1">
      <c r="C8230" s="701"/>
      <c r="D8230" s="811"/>
      <c r="E8230" s="1276">
        <f>[11]building!Y8561</f>
        <v>0</v>
      </c>
      <c r="F8230" s="748">
        <f t="shared" si="367"/>
        <v>0</v>
      </c>
      <c r="G8230" s="1205"/>
      <c r="H8230" s="1055"/>
      <c r="I8230" s="1055"/>
      <c r="J8230" s="1055"/>
      <c r="K8230" s="1205"/>
      <c r="L8230" s="1055"/>
      <c r="M8230" s="1205"/>
      <c r="N8230" s="1054"/>
      <c r="O8230" s="1207"/>
      <c r="Q8230" s="1207"/>
    </row>
    <row r="8231" spans="3:17" s="700" customFormat="1" ht="70.5" hidden="1" customHeight="1">
      <c r="C8231" s="701"/>
      <c r="D8231" s="811"/>
      <c r="E8231" s="1276">
        <f>[11]building!Y8562</f>
        <v>0</v>
      </c>
      <c r="F8231" s="748">
        <f t="shared" si="367"/>
        <v>0</v>
      </c>
      <c r="G8231" s="1205"/>
      <c r="H8231" s="1055"/>
      <c r="I8231" s="1055"/>
      <c r="J8231" s="1055"/>
      <c r="K8231" s="1205"/>
      <c r="L8231" s="1055"/>
      <c r="M8231" s="1205"/>
      <c r="N8231" s="1054"/>
      <c r="O8231" s="1207"/>
      <c r="Q8231" s="1207"/>
    </row>
    <row r="8232" spans="3:17" s="700" customFormat="1" ht="70.5" hidden="1" customHeight="1">
      <c r="C8232" s="701"/>
      <c r="D8232" s="811"/>
      <c r="E8232" s="1276">
        <f>[11]building!Y8563</f>
        <v>0</v>
      </c>
      <c r="F8232" s="748">
        <f t="shared" si="367"/>
        <v>0</v>
      </c>
      <c r="G8232" s="1205"/>
      <c r="H8232" s="1055"/>
      <c r="I8232" s="1055"/>
      <c r="J8232" s="1055"/>
      <c r="K8232" s="1205"/>
      <c r="L8232" s="1055"/>
      <c r="M8232" s="1205"/>
      <c r="N8232" s="1054"/>
      <c r="O8232" s="1207"/>
      <c r="Q8232" s="1207"/>
    </row>
    <row r="8233" spans="3:17" s="700" customFormat="1" ht="70.5" hidden="1" customHeight="1">
      <c r="C8233" s="701"/>
      <c r="D8233" s="811"/>
      <c r="E8233" s="1276">
        <f>[11]building!Y8564</f>
        <v>0</v>
      </c>
      <c r="F8233" s="748">
        <f t="shared" si="367"/>
        <v>0</v>
      </c>
      <c r="G8233" s="1205"/>
      <c r="H8233" s="1055"/>
      <c r="I8233" s="1055"/>
      <c r="J8233" s="1055"/>
      <c r="K8233" s="1205"/>
      <c r="L8233" s="1055"/>
      <c r="M8233" s="1205"/>
      <c r="N8233" s="1054"/>
      <c r="O8233" s="1207"/>
      <c r="Q8233" s="1207"/>
    </row>
    <row r="8234" spans="3:17" s="700" customFormat="1" ht="70.5" hidden="1" customHeight="1">
      <c r="C8234" s="701"/>
      <c r="D8234" s="811"/>
      <c r="E8234" s="1276">
        <f>[11]building!Y8565</f>
        <v>0</v>
      </c>
      <c r="F8234" s="748">
        <f t="shared" si="367"/>
        <v>0</v>
      </c>
      <c r="G8234" s="1205"/>
      <c r="H8234" s="1055"/>
      <c r="I8234" s="1055"/>
      <c r="J8234" s="1055"/>
      <c r="K8234" s="1205"/>
      <c r="L8234" s="1055"/>
      <c r="M8234" s="1205"/>
      <c r="N8234" s="1054"/>
      <c r="O8234" s="1207"/>
      <c r="Q8234" s="1207"/>
    </row>
    <row r="8235" spans="3:17" s="700" customFormat="1" ht="70.5" hidden="1" customHeight="1">
      <c r="C8235" s="701"/>
      <c r="D8235" s="811"/>
      <c r="E8235" s="1276">
        <f>[11]building!Y8566</f>
        <v>0</v>
      </c>
      <c r="F8235" s="748">
        <f t="shared" si="367"/>
        <v>0</v>
      </c>
      <c r="G8235" s="1205"/>
      <c r="H8235" s="1055"/>
      <c r="I8235" s="1055"/>
      <c r="J8235" s="1055"/>
      <c r="K8235" s="1205"/>
      <c r="L8235" s="1055"/>
      <c r="M8235" s="1205"/>
      <c r="N8235" s="1054"/>
      <c r="O8235" s="1207"/>
      <c r="Q8235" s="1207"/>
    </row>
    <row r="8236" spans="3:17" s="700" customFormat="1" ht="70.5" hidden="1" customHeight="1">
      <c r="C8236" s="701"/>
      <c r="D8236" s="811"/>
      <c r="E8236" s="1276">
        <f>[11]building!Y8567</f>
        <v>0</v>
      </c>
      <c r="F8236" s="748">
        <f t="shared" si="367"/>
        <v>0</v>
      </c>
      <c r="G8236" s="1205"/>
      <c r="H8236" s="1055"/>
      <c r="I8236" s="1055"/>
      <c r="J8236" s="1055"/>
      <c r="K8236" s="1205"/>
      <c r="L8236" s="1055"/>
      <c r="M8236" s="1205"/>
      <c r="N8236" s="1054"/>
      <c r="O8236" s="1207"/>
      <c r="Q8236" s="1207"/>
    </row>
    <row r="8237" spans="3:17" s="700" customFormat="1" ht="70.5" hidden="1" customHeight="1">
      <c r="C8237" s="701"/>
      <c r="D8237" s="811"/>
      <c r="E8237" s="1276">
        <f>[11]building!Y8568</f>
        <v>0</v>
      </c>
      <c r="F8237" s="748">
        <f t="shared" si="367"/>
        <v>0</v>
      </c>
      <c r="G8237" s="1205"/>
      <c r="H8237" s="1055"/>
      <c r="I8237" s="1055"/>
      <c r="J8237" s="1055"/>
      <c r="K8237" s="1205"/>
      <c r="L8237" s="1055"/>
      <c r="M8237" s="1205"/>
      <c r="N8237" s="1054"/>
      <c r="O8237" s="1207"/>
      <c r="Q8237" s="1207"/>
    </row>
    <row r="8238" spans="3:17" s="700" customFormat="1" ht="70.5" hidden="1" customHeight="1">
      <c r="C8238" s="701"/>
      <c r="D8238" s="811"/>
      <c r="E8238" s="1276">
        <f>[11]building!Y8569</f>
        <v>0</v>
      </c>
      <c r="F8238" s="748">
        <f t="shared" si="367"/>
        <v>0</v>
      </c>
      <c r="G8238" s="1205"/>
      <c r="H8238" s="1055"/>
      <c r="I8238" s="1055"/>
      <c r="J8238" s="1055"/>
      <c r="K8238" s="1205"/>
      <c r="L8238" s="1055"/>
      <c r="M8238" s="1205"/>
      <c r="N8238" s="1054"/>
      <c r="O8238" s="1207"/>
      <c r="Q8238" s="1207"/>
    </row>
    <row r="8239" spans="3:17" s="700" customFormat="1" ht="70.5" hidden="1" customHeight="1">
      <c r="C8239" s="701"/>
      <c r="D8239" s="811"/>
      <c r="E8239" s="1276">
        <f>[11]building!Y8570</f>
        <v>0</v>
      </c>
      <c r="F8239" s="748">
        <f t="shared" si="367"/>
        <v>0</v>
      </c>
      <c r="G8239" s="1205"/>
      <c r="H8239" s="1055"/>
      <c r="I8239" s="1055"/>
      <c r="J8239" s="1055"/>
      <c r="K8239" s="1205"/>
      <c r="L8239" s="1055"/>
      <c r="M8239" s="1205"/>
      <c r="N8239" s="1054"/>
      <c r="O8239" s="1207"/>
      <c r="Q8239" s="1207"/>
    </row>
    <row r="8240" spans="3:17" s="700" customFormat="1" ht="70.5" hidden="1" customHeight="1">
      <c r="C8240" s="701"/>
      <c r="D8240" s="811"/>
      <c r="E8240" s="1276">
        <f>[11]building!Y8571</f>
        <v>0</v>
      </c>
      <c r="F8240" s="748">
        <f t="shared" si="367"/>
        <v>0</v>
      </c>
      <c r="G8240" s="1205"/>
      <c r="H8240" s="1055"/>
      <c r="I8240" s="1055"/>
      <c r="J8240" s="1055"/>
      <c r="K8240" s="1205"/>
      <c r="L8240" s="1055"/>
      <c r="M8240" s="1205"/>
      <c r="N8240" s="1054"/>
      <c r="O8240" s="1207"/>
      <c r="Q8240" s="1207"/>
    </row>
    <row r="8241" spans="3:17" s="700" customFormat="1" ht="70.5" hidden="1" customHeight="1">
      <c r="C8241" s="701"/>
      <c r="D8241" s="811"/>
      <c r="E8241" s="1276">
        <f>[11]building!Y8572</f>
        <v>0</v>
      </c>
      <c r="F8241" s="748">
        <f t="shared" si="367"/>
        <v>0</v>
      </c>
      <c r="G8241" s="1205"/>
      <c r="H8241" s="1055"/>
      <c r="I8241" s="1055"/>
      <c r="J8241" s="1055"/>
      <c r="K8241" s="1205"/>
      <c r="L8241" s="1055"/>
      <c r="M8241" s="1205"/>
      <c r="N8241" s="1054"/>
      <c r="O8241" s="1207"/>
      <c r="Q8241" s="1207"/>
    </row>
    <row r="8242" spans="3:17" s="700" customFormat="1" ht="70.5" hidden="1" customHeight="1">
      <c r="C8242" s="701"/>
      <c r="D8242" s="811"/>
      <c r="E8242" s="1276">
        <f>[11]building!Y8573</f>
        <v>0</v>
      </c>
      <c r="F8242" s="748">
        <f t="shared" si="367"/>
        <v>0</v>
      </c>
      <c r="G8242" s="1205"/>
      <c r="H8242" s="1055"/>
      <c r="I8242" s="1055"/>
      <c r="J8242" s="1055"/>
      <c r="K8242" s="1205"/>
      <c r="L8242" s="1055"/>
      <c r="M8242" s="1205"/>
      <c r="N8242" s="1054"/>
      <c r="O8242" s="1207"/>
      <c r="Q8242" s="1207"/>
    </row>
    <row r="8243" spans="3:17" s="700" customFormat="1" ht="70.5" hidden="1" customHeight="1">
      <c r="C8243" s="701"/>
      <c r="D8243" s="811"/>
      <c r="E8243" s="1276">
        <f>[11]building!Y8574</f>
        <v>0</v>
      </c>
      <c r="F8243" s="748">
        <f t="shared" si="367"/>
        <v>0</v>
      </c>
      <c r="G8243" s="1205"/>
      <c r="H8243" s="1055"/>
      <c r="I8243" s="1055"/>
      <c r="J8243" s="1055"/>
      <c r="K8243" s="1205"/>
      <c r="L8243" s="1055"/>
      <c r="M8243" s="1205"/>
      <c r="N8243" s="1054"/>
      <c r="O8243" s="1207"/>
      <c r="Q8243" s="1207"/>
    </row>
    <row r="8244" spans="3:17" s="700" customFormat="1" ht="70.5" hidden="1" customHeight="1">
      <c r="C8244" s="701"/>
      <c r="D8244" s="811"/>
      <c r="E8244" s="1276">
        <f>[11]building!Y8575</f>
        <v>0</v>
      </c>
      <c r="F8244" s="748">
        <f t="shared" si="367"/>
        <v>0</v>
      </c>
      <c r="G8244" s="1205"/>
      <c r="H8244" s="1055"/>
      <c r="I8244" s="1055"/>
      <c r="J8244" s="1055"/>
      <c r="K8244" s="1205"/>
      <c r="L8244" s="1055"/>
      <c r="M8244" s="1205"/>
      <c r="N8244" s="1054"/>
      <c r="O8244" s="1207"/>
      <c r="Q8244" s="1207"/>
    </row>
    <row r="8245" spans="3:17" s="700" customFormat="1" ht="70.5" hidden="1" customHeight="1">
      <c r="C8245" s="701"/>
      <c r="D8245" s="811"/>
      <c r="E8245" s="1276">
        <f>[11]building!Y8576</f>
        <v>0</v>
      </c>
      <c r="F8245" s="748">
        <f t="shared" si="367"/>
        <v>0</v>
      </c>
      <c r="G8245" s="1205"/>
      <c r="H8245" s="1055"/>
      <c r="I8245" s="1055"/>
      <c r="J8245" s="1055"/>
      <c r="K8245" s="1205"/>
      <c r="L8245" s="1055"/>
      <c r="M8245" s="1205"/>
      <c r="N8245" s="1054"/>
      <c r="O8245" s="1207"/>
      <c r="Q8245" s="1207"/>
    </row>
    <row r="8246" spans="3:17" s="700" customFormat="1" ht="70.5" hidden="1" customHeight="1">
      <c r="C8246" s="701"/>
      <c r="D8246" s="811"/>
      <c r="E8246" s="1276">
        <f>[11]building!Y8577</f>
        <v>0</v>
      </c>
      <c r="F8246" s="748">
        <f t="shared" si="367"/>
        <v>0</v>
      </c>
      <c r="G8246" s="1205"/>
      <c r="H8246" s="1055"/>
      <c r="I8246" s="1055"/>
      <c r="J8246" s="1055"/>
      <c r="K8246" s="1205"/>
      <c r="L8246" s="1055"/>
      <c r="M8246" s="1205"/>
      <c r="N8246" s="1054"/>
      <c r="O8246" s="1207"/>
      <c r="Q8246" s="1207"/>
    </row>
    <row r="8247" spans="3:17" s="700" customFormat="1" ht="70.5" hidden="1" customHeight="1">
      <c r="C8247" s="701"/>
      <c r="D8247" s="811"/>
      <c r="E8247" s="1276">
        <f>[11]building!Y8578</f>
        <v>0</v>
      </c>
      <c r="F8247" s="748">
        <f t="shared" si="367"/>
        <v>0</v>
      </c>
      <c r="G8247" s="1205"/>
      <c r="H8247" s="1055"/>
      <c r="I8247" s="1055"/>
      <c r="J8247" s="1055"/>
      <c r="K8247" s="1205"/>
      <c r="L8247" s="1055"/>
      <c r="M8247" s="1205"/>
      <c r="N8247" s="1054"/>
      <c r="O8247" s="1207"/>
      <c r="Q8247" s="1207"/>
    </row>
    <row r="8248" spans="3:17" s="700" customFormat="1" ht="70.5" hidden="1" customHeight="1">
      <c r="C8248" s="701"/>
      <c r="D8248" s="811"/>
      <c r="E8248" s="1276">
        <f>[11]building!Y8579</f>
        <v>0</v>
      </c>
      <c r="F8248" s="748">
        <f t="shared" si="367"/>
        <v>0</v>
      </c>
      <c r="G8248" s="1205"/>
      <c r="H8248" s="1055"/>
      <c r="I8248" s="1055"/>
      <c r="J8248" s="1055"/>
      <c r="K8248" s="1205"/>
      <c r="L8248" s="1055"/>
      <c r="M8248" s="1205"/>
      <c r="N8248" s="1054"/>
      <c r="O8248" s="1207"/>
      <c r="Q8248" s="1207"/>
    </row>
    <row r="8249" spans="3:17" s="700" customFormat="1" ht="70.5" hidden="1" customHeight="1">
      <c r="C8249" s="701"/>
      <c r="D8249" s="811"/>
      <c r="E8249" s="1276">
        <f>[11]building!Y8580</f>
        <v>0</v>
      </c>
      <c r="F8249" s="748">
        <f t="shared" si="367"/>
        <v>0</v>
      </c>
      <c r="G8249" s="1205"/>
      <c r="H8249" s="1055"/>
      <c r="I8249" s="1055"/>
      <c r="J8249" s="1055"/>
      <c r="K8249" s="1205"/>
      <c r="L8249" s="1055"/>
      <c r="M8249" s="1205"/>
      <c r="N8249" s="1054"/>
      <c r="O8249" s="1207"/>
      <c r="Q8249" s="1207"/>
    </row>
    <row r="8250" spans="3:17" s="700" customFormat="1" ht="70.5" hidden="1" customHeight="1">
      <c r="C8250" s="701"/>
      <c r="D8250" s="811"/>
      <c r="E8250" s="1276">
        <f>[11]building!Y8581</f>
        <v>0</v>
      </c>
      <c r="F8250" s="748">
        <f t="shared" si="367"/>
        <v>0</v>
      </c>
      <c r="G8250" s="1205"/>
      <c r="H8250" s="1055"/>
      <c r="I8250" s="1055"/>
      <c r="J8250" s="1055"/>
      <c r="K8250" s="1205"/>
      <c r="L8250" s="1055"/>
      <c r="M8250" s="1205"/>
      <c r="N8250" s="1054"/>
      <c r="O8250" s="1207"/>
      <c r="Q8250" s="1207"/>
    </row>
    <row r="8251" spans="3:17" s="700" customFormat="1" ht="70.5" hidden="1" customHeight="1">
      <c r="C8251" s="701"/>
      <c r="D8251" s="811"/>
      <c r="E8251" s="1276">
        <f>[11]building!Y8582</f>
        <v>0</v>
      </c>
      <c r="F8251" s="748">
        <f t="shared" si="367"/>
        <v>0</v>
      </c>
      <c r="G8251" s="1205"/>
      <c r="H8251" s="1055"/>
      <c r="I8251" s="1055"/>
      <c r="J8251" s="1055"/>
      <c r="K8251" s="1205"/>
      <c r="L8251" s="1055"/>
      <c r="M8251" s="1205"/>
      <c r="N8251" s="1054"/>
      <c r="O8251" s="1207"/>
      <c r="Q8251" s="1207"/>
    </row>
    <row r="8252" spans="3:17" s="700" customFormat="1" ht="70.5" hidden="1" customHeight="1">
      <c r="C8252" s="701"/>
      <c r="D8252" s="811"/>
      <c r="E8252" s="1276">
        <f>[11]building!Y8583</f>
        <v>0</v>
      </c>
      <c r="F8252" s="748">
        <f t="shared" si="367"/>
        <v>0</v>
      </c>
      <c r="G8252" s="1205"/>
      <c r="H8252" s="1055"/>
      <c r="I8252" s="1055"/>
      <c r="J8252" s="1055"/>
      <c r="K8252" s="1205"/>
      <c r="L8252" s="1055"/>
      <c r="M8252" s="1205"/>
      <c r="N8252" s="1054"/>
      <c r="O8252" s="1207"/>
      <c r="Q8252" s="1207"/>
    </row>
    <row r="8253" spans="3:17" s="700" customFormat="1" ht="70.5" hidden="1" customHeight="1">
      <c r="C8253" s="701"/>
      <c r="D8253" s="811"/>
      <c r="E8253" s="1276">
        <f>[11]building!Y8584</f>
        <v>0</v>
      </c>
      <c r="F8253" s="748">
        <f t="shared" si="367"/>
        <v>0</v>
      </c>
      <c r="G8253" s="1205"/>
      <c r="H8253" s="1055"/>
      <c r="I8253" s="1055"/>
      <c r="J8253" s="1055"/>
      <c r="K8253" s="1205"/>
      <c r="L8253" s="1055"/>
      <c r="M8253" s="1205"/>
      <c r="N8253" s="1054"/>
      <c r="O8253" s="1207"/>
      <c r="Q8253" s="1207"/>
    </row>
    <row r="8254" spans="3:17" s="700" customFormat="1" ht="70.5" hidden="1" customHeight="1">
      <c r="C8254" s="701"/>
      <c r="D8254" s="811"/>
      <c r="E8254" s="1276">
        <f>[11]building!Y8585</f>
        <v>0</v>
      </c>
      <c r="F8254" s="748">
        <f t="shared" si="367"/>
        <v>0</v>
      </c>
      <c r="G8254" s="1205"/>
      <c r="H8254" s="1055"/>
      <c r="I8254" s="1055"/>
      <c r="J8254" s="1055"/>
      <c r="K8254" s="1205"/>
      <c r="L8254" s="1055"/>
      <c r="M8254" s="1205"/>
      <c r="N8254" s="1054"/>
      <c r="O8254" s="1207"/>
      <c r="Q8254" s="1207"/>
    </row>
    <row r="8255" spans="3:17" s="700" customFormat="1" ht="70.5" hidden="1" customHeight="1">
      <c r="C8255" s="701"/>
      <c r="D8255" s="811"/>
      <c r="E8255" s="1276">
        <f>[11]building!Y8586</f>
        <v>0</v>
      </c>
      <c r="F8255" s="748">
        <f t="shared" si="367"/>
        <v>0</v>
      </c>
      <c r="G8255" s="1205"/>
      <c r="H8255" s="1055"/>
      <c r="I8255" s="1055"/>
      <c r="J8255" s="1055"/>
      <c r="K8255" s="1205"/>
      <c r="L8255" s="1055"/>
      <c r="M8255" s="1205"/>
      <c r="N8255" s="1054"/>
      <c r="O8255" s="1207"/>
      <c r="Q8255" s="1207"/>
    </row>
    <row r="8256" spans="3:17" s="700" customFormat="1" ht="70.5" hidden="1" customHeight="1">
      <c r="C8256" s="701"/>
      <c r="D8256" s="811"/>
      <c r="E8256" s="1276">
        <f>[11]building!Y8587</f>
        <v>0</v>
      </c>
      <c r="F8256" s="748">
        <f t="shared" ref="F8256:F8319" si="368">E8256*C8256</f>
        <v>0</v>
      </c>
      <c r="G8256" s="1205"/>
      <c r="H8256" s="1055"/>
      <c r="I8256" s="1055"/>
      <c r="J8256" s="1055"/>
      <c r="K8256" s="1205"/>
      <c r="L8256" s="1055"/>
      <c r="M8256" s="1205"/>
      <c r="N8256" s="1054"/>
      <c r="O8256" s="1207"/>
      <c r="Q8256" s="1207"/>
    </row>
    <row r="8257" spans="3:17" s="700" customFormat="1" ht="70.5" hidden="1" customHeight="1">
      <c r="C8257" s="701"/>
      <c r="D8257" s="811"/>
      <c r="E8257" s="1276">
        <f>[11]building!Y8588</f>
        <v>0</v>
      </c>
      <c r="F8257" s="748">
        <f t="shared" si="368"/>
        <v>0</v>
      </c>
      <c r="G8257" s="1205"/>
      <c r="H8257" s="1055"/>
      <c r="I8257" s="1055"/>
      <c r="J8257" s="1055"/>
      <c r="K8257" s="1205"/>
      <c r="L8257" s="1055"/>
      <c r="M8257" s="1205"/>
      <c r="N8257" s="1054"/>
      <c r="O8257" s="1207"/>
      <c r="Q8257" s="1207"/>
    </row>
    <row r="8258" spans="3:17" s="700" customFormat="1" ht="70.5" hidden="1" customHeight="1">
      <c r="C8258" s="701"/>
      <c r="D8258" s="811"/>
      <c r="E8258" s="1276">
        <f>[11]building!Y8589</f>
        <v>0</v>
      </c>
      <c r="F8258" s="748">
        <f t="shared" si="368"/>
        <v>0</v>
      </c>
      <c r="G8258" s="1205"/>
      <c r="H8258" s="1055"/>
      <c r="I8258" s="1055"/>
      <c r="J8258" s="1055"/>
      <c r="K8258" s="1205"/>
      <c r="L8258" s="1055"/>
      <c r="M8258" s="1205"/>
      <c r="N8258" s="1054"/>
      <c r="O8258" s="1207"/>
      <c r="Q8258" s="1207"/>
    </row>
    <row r="8259" spans="3:17" s="700" customFormat="1" ht="70.5" hidden="1" customHeight="1">
      <c r="C8259" s="701"/>
      <c r="D8259" s="811"/>
      <c r="E8259" s="1276">
        <f>[11]building!Y8590</f>
        <v>0</v>
      </c>
      <c r="F8259" s="748">
        <f t="shared" si="368"/>
        <v>0</v>
      </c>
      <c r="G8259" s="1205"/>
      <c r="H8259" s="1055"/>
      <c r="I8259" s="1055"/>
      <c r="J8259" s="1055"/>
      <c r="K8259" s="1205"/>
      <c r="L8259" s="1055"/>
      <c r="M8259" s="1205"/>
      <c r="N8259" s="1054"/>
      <c r="O8259" s="1207"/>
      <c r="Q8259" s="1207"/>
    </row>
    <row r="8260" spans="3:17" s="700" customFormat="1" ht="70.5" hidden="1" customHeight="1">
      <c r="C8260" s="701"/>
      <c r="D8260" s="811"/>
      <c r="E8260" s="1276">
        <f>[11]building!Y8591</f>
        <v>0</v>
      </c>
      <c r="F8260" s="748">
        <f t="shared" si="368"/>
        <v>0</v>
      </c>
      <c r="G8260" s="1205"/>
      <c r="H8260" s="1055"/>
      <c r="I8260" s="1055"/>
      <c r="J8260" s="1055"/>
      <c r="K8260" s="1205"/>
      <c r="L8260" s="1055"/>
      <c r="M8260" s="1205"/>
      <c r="N8260" s="1054"/>
      <c r="O8260" s="1207"/>
      <c r="Q8260" s="1207"/>
    </row>
    <row r="8261" spans="3:17" s="700" customFormat="1" ht="70.5" hidden="1" customHeight="1">
      <c r="C8261" s="701"/>
      <c r="D8261" s="811"/>
      <c r="E8261" s="1276">
        <f>[11]building!Y8592</f>
        <v>0</v>
      </c>
      <c r="F8261" s="748">
        <f t="shared" si="368"/>
        <v>0</v>
      </c>
      <c r="G8261" s="1205"/>
      <c r="H8261" s="1055"/>
      <c r="I8261" s="1055"/>
      <c r="J8261" s="1055"/>
      <c r="K8261" s="1205"/>
      <c r="L8261" s="1055"/>
      <c r="M8261" s="1205"/>
      <c r="N8261" s="1054"/>
      <c r="O8261" s="1207"/>
      <c r="Q8261" s="1207"/>
    </row>
    <row r="8262" spans="3:17" s="700" customFormat="1" ht="70.5" hidden="1" customHeight="1">
      <c r="C8262" s="701"/>
      <c r="D8262" s="811"/>
      <c r="E8262" s="1276">
        <f>[11]building!Y8593</f>
        <v>0</v>
      </c>
      <c r="F8262" s="748">
        <f t="shared" si="368"/>
        <v>0</v>
      </c>
      <c r="G8262" s="1205"/>
      <c r="H8262" s="1055"/>
      <c r="I8262" s="1055"/>
      <c r="J8262" s="1055"/>
      <c r="K8262" s="1205"/>
      <c r="L8262" s="1055"/>
      <c r="M8262" s="1205"/>
      <c r="N8262" s="1054"/>
      <c r="O8262" s="1207"/>
      <c r="Q8262" s="1207"/>
    </row>
    <row r="8263" spans="3:17" s="700" customFormat="1" ht="70.5" hidden="1" customHeight="1">
      <c r="C8263" s="701"/>
      <c r="D8263" s="811"/>
      <c r="E8263" s="1276">
        <f>[11]building!Y8594</f>
        <v>0</v>
      </c>
      <c r="F8263" s="748">
        <f t="shared" si="368"/>
        <v>0</v>
      </c>
      <c r="G8263" s="1205"/>
      <c r="H8263" s="1055"/>
      <c r="I8263" s="1055"/>
      <c r="J8263" s="1055"/>
      <c r="K8263" s="1205"/>
      <c r="L8263" s="1055"/>
      <c r="M8263" s="1205"/>
      <c r="N8263" s="1054"/>
      <c r="O8263" s="1207"/>
      <c r="Q8263" s="1207"/>
    </row>
    <row r="8264" spans="3:17" s="700" customFormat="1" ht="70.5" hidden="1" customHeight="1">
      <c r="C8264" s="701"/>
      <c r="D8264" s="811"/>
      <c r="E8264" s="1276">
        <f>[11]building!Y8595</f>
        <v>0</v>
      </c>
      <c r="F8264" s="748">
        <f t="shared" si="368"/>
        <v>0</v>
      </c>
      <c r="G8264" s="1205"/>
      <c r="H8264" s="1055"/>
      <c r="I8264" s="1055"/>
      <c r="J8264" s="1055"/>
      <c r="K8264" s="1205"/>
      <c r="L8264" s="1055"/>
      <c r="M8264" s="1205"/>
      <c r="N8264" s="1054"/>
      <c r="O8264" s="1207"/>
      <c r="Q8264" s="1207"/>
    </row>
    <row r="8265" spans="3:17" s="700" customFormat="1" ht="70.5" hidden="1" customHeight="1">
      <c r="C8265" s="701"/>
      <c r="D8265" s="811"/>
      <c r="E8265" s="1276">
        <f>[11]building!Y8596</f>
        <v>0</v>
      </c>
      <c r="F8265" s="748">
        <f t="shared" si="368"/>
        <v>0</v>
      </c>
      <c r="G8265" s="1205"/>
      <c r="H8265" s="1055"/>
      <c r="I8265" s="1055"/>
      <c r="J8265" s="1055"/>
      <c r="K8265" s="1205"/>
      <c r="L8265" s="1055"/>
      <c r="M8265" s="1205"/>
      <c r="N8265" s="1054"/>
      <c r="O8265" s="1207"/>
      <c r="Q8265" s="1207"/>
    </row>
    <row r="8266" spans="3:17" s="700" customFormat="1" ht="70.5" hidden="1" customHeight="1">
      <c r="C8266" s="701"/>
      <c r="D8266" s="811"/>
      <c r="E8266" s="1276">
        <f>[11]building!Y8597</f>
        <v>0</v>
      </c>
      <c r="F8266" s="748">
        <f t="shared" si="368"/>
        <v>0</v>
      </c>
      <c r="G8266" s="1205"/>
      <c r="H8266" s="1055"/>
      <c r="I8266" s="1055"/>
      <c r="J8266" s="1055"/>
      <c r="K8266" s="1205"/>
      <c r="L8266" s="1055"/>
      <c r="M8266" s="1205"/>
      <c r="N8266" s="1054"/>
      <c r="O8266" s="1207"/>
      <c r="Q8266" s="1207"/>
    </row>
    <row r="8267" spans="3:17" s="700" customFormat="1" ht="70.5" hidden="1" customHeight="1">
      <c r="C8267" s="701"/>
      <c r="D8267" s="811"/>
      <c r="E8267" s="1276">
        <f>[11]building!Y8598</f>
        <v>0</v>
      </c>
      <c r="F8267" s="748">
        <f t="shared" si="368"/>
        <v>0</v>
      </c>
      <c r="G8267" s="1205"/>
      <c r="H8267" s="1055"/>
      <c r="I8267" s="1055"/>
      <c r="J8267" s="1055"/>
      <c r="K8267" s="1205"/>
      <c r="L8267" s="1055"/>
      <c r="M8267" s="1205"/>
      <c r="N8267" s="1054"/>
      <c r="O8267" s="1207"/>
      <c r="Q8267" s="1207"/>
    </row>
    <row r="8268" spans="3:17" s="700" customFormat="1" ht="70.5" hidden="1" customHeight="1">
      <c r="C8268" s="701"/>
      <c r="D8268" s="811"/>
      <c r="E8268" s="1276">
        <f>[11]building!Y8599</f>
        <v>0</v>
      </c>
      <c r="F8268" s="748">
        <f t="shared" si="368"/>
        <v>0</v>
      </c>
      <c r="G8268" s="1205"/>
      <c r="H8268" s="1055"/>
      <c r="I8268" s="1055"/>
      <c r="J8268" s="1055"/>
      <c r="K8268" s="1205"/>
      <c r="L8268" s="1055"/>
      <c r="M8268" s="1205"/>
      <c r="N8268" s="1054"/>
      <c r="O8268" s="1207"/>
      <c r="Q8268" s="1207"/>
    </row>
    <row r="8269" spans="3:17" s="700" customFormat="1" ht="70.5" hidden="1" customHeight="1">
      <c r="C8269" s="701"/>
      <c r="D8269" s="811"/>
      <c r="E8269" s="1276">
        <f>[11]building!Y8600</f>
        <v>0</v>
      </c>
      <c r="F8269" s="748">
        <f t="shared" si="368"/>
        <v>0</v>
      </c>
      <c r="G8269" s="1205"/>
      <c r="H8269" s="1055"/>
      <c r="I8269" s="1055"/>
      <c r="J8269" s="1055"/>
      <c r="K8269" s="1205"/>
      <c r="L8269" s="1055"/>
      <c r="M8269" s="1205"/>
      <c r="N8269" s="1054"/>
      <c r="O8269" s="1207"/>
      <c r="Q8269" s="1207"/>
    </row>
    <row r="8270" spans="3:17" s="700" customFormat="1" ht="70.5" hidden="1" customHeight="1">
      <c r="C8270" s="701"/>
      <c r="D8270" s="811"/>
      <c r="E8270" s="1276">
        <f>[11]building!Y8601</f>
        <v>0</v>
      </c>
      <c r="F8270" s="748">
        <f t="shared" si="368"/>
        <v>0</v>
      </c>
      <c r="G8270" s="1205"/>
      <c r="H8270" s="1055"/>
      <c r="I8270" s="1055"/>
      <c r="J8270" s="1055"/>
      <c r="K8270" s="1205"/>
      <c r="L8270" s="1055"/>
      <c r="M8270" s="1205"/>
      <c r="N8270" s="1054"/>
      <c r="O8270" s="1207"/>
      <c r="Q8270" s="1207"/>
    </row>
    <row r="8271" spans="3:17" s="700" customFormat="1" ht="70.5" hidden="1" customHeight="1">
      <c r="C8271" s="701"/>
      <c r="D8271" s="811"/>
      <c r="E8271" s="1276">
        <f>[11]building!Y8602</f>
        <v>0</v>
      </c>
      <c r="F8271" s="748">
        <f t="shared" si="368"/>
        <v>0</v>
      </c>
      <c r="G8271" s="1205"/>
      <c r="H8271" s="1055"/>
      <c r="I8271" s="1055"/>
      <c r="J8271" s="1055"/>
      <c r="K8271" s="1205"/>
      <c r="L8271" s="1055"/>
      <c r="M8271" s="1205"/>
      <c r="N8271" s="1054"/>
      <c r="O8271" s="1207"/>
      <c r="Q8271" s="1207"/>
    </row>
    <row r="8272" spans="3:17" s="700" customFormat="1" ht="70.5" hidden="1" customHeight="1">
      <c r="C8272" s="701"/>
      <c r="D8272" s="811"/>
      <c r="E8272" s="1276">
        <f>[11]building!Y8603</f>
        <v>0</v>
      </c>
      <c r="F8272" s="748">
        <f t="shared" si="368"/>
        <v>0</v>
      </c>
      <c r="G8272" s="1205"/>
      <c r="H8272" s="1055"/>
      <c r="I8272" s="1055"/>
      <c r="J8272" s="1055"/>
      <c r="K8272" s="1205"/>
      <c r="L8272" s="1055"/>
      <c r="M8272" s="1205"/>
      <c r="N8272" s="1054"/>
      <c r="O8272" s="1207"/>
      <c r="Q8272" s="1207"/>
    </row>
    <row r="8273" spans="3:17" s="700" customFormat="1" ht="70.5" hidden="1" customHeight="1">
      <c r="C8273" s="701"/>
      <c r="D8273" s="811"/>
      <c r="E8273" s="1276">
        <f>[11]building!Y8604</f>
        <v>0</v>
      </c>
      <c r="F8273" s="748">
        <f t="shared" si="368"/>
        <v>0</v>
      </c>
      <c r="G8273" s="1205"/>
      <c r="H8273" s="1055"/>
      <c r="I8273" s="1055"/>
      <c r="J8273" s="1055"/>
      <c r="K8273" s="1205"/>
      <c r="L8273" s="1055"/>
      <c r="M8273" s="1205"/>
      <c r="N8273" s="1054"/>
      <c r="O8273" s="1207"/>
      <c r="Q8273" s="1207"/>
    </row>
    <row r="8274" spans="3:17" s="700" customFormat="1" ht="70.5" hidden="1" customHeight="1">
      <c r="C8274" s="701"/>
      <c r="D8274" s="811"/>
      <c r="E8274" s="1276">
        <f>[11]building!Y8605</f>
        <v>0</v>
      </c>
      <c r="F8274" s="748">
        <f t="shared" si="368"/>
        <v>0</v>
      </c>
      <c r="G8274" s="1205"/>
      <c r="H8274" s="1055"/>
      <c r="I8274" s="1055"/>
      <c r="J8274" s="1055"/>
      <c r="K8274" s="1205"/>
      <c r="L8274" s="1055"/>
      <c r="M8274" s="1205"/>
      <c r="N8274" s="1054"/>
      <c r="O8274" s="1207"/>
      <c r="Q8274" s="1207"/>
    </row>
    <row r="8275" spans="3:17" s="700" customFormat="1" ht="70.5" hidden="1" customHeight="1">
      <c r="C8275" s="701"/>
      <c r="D8275" s="811"/>
      <c r="E8275" s="1276">
        <f>[11]building!Y8606</f>
        <v>0</v>
      </c>
      <c r="F8275" s="748">
        <f t="shared" si="368"/>
        <v>0</v>
      </c>
      <c r="G8275" s="1205"/>
      <c r="H8275" s="1055"/>
      <c r="I8275" s="1055"/>
      <c r="J8275" s="1055"/>
      <c r="K8275" s="1205"/>
      <c r="L8275" s="1055"/>
      <c r="M8275" s="1205"/>
      <c r="N8275" s="1054"/>
      <c r="O8275" s="1207"/>
      <c r="Q8275" s="1207"/>
    </row>
    <row r="8276" spans="3:17" s="700" customFormat="1" ht="70.5" hidden="1" customHeight="1">
      <c r="C8276" s="701"/>
      <c r="D8276" s="811"/>
      <c r="E8276" s="1276">
        <f>[11]building!Y8607</f>
        <v>0</v>
      </c>
      <c r="F8276" s="748">
        <f t="shared" si="368"/>
        <v>0</v>
      </c>
      <c r="G8276" s="1205"/>
      <c r="H8276" s="1055"/>
      <c r="I8276" s="1055"/>
      <c r="J8276" s="1055"/>
      <c r="K8276" s="1205"/>
      <c r="L8276" s="1055"/>
      <c r="M8276" s="1205"/>
      <c r="N8276" s="1054"/>
      <c r="O8276" s="1207"/>
      <c r="Q8276" s="1207"/>
    </row>
    <row r="8277" spans="3:17" s="700" customFormat="1" ht="70.5" hidden="1" customHeight="1">
      <c r="C8277" s="701"/>
      <c r="D8277" s="811"/>
      <c r="E8277" s="1276">
        <f>[11]building!Y8608</f>
        <v>0</v>
      </c>
      <c r="F8277" s="748">
        <f t="shared" si="368"/>
        <v>0</v>
      </c>
      <c r="G8277" s="1205"/>
      <c r="H8277" s="1055"/>
      <c r="I8277" s="1055"/>
      <c r="J8277" s="1055"/>
      <c r="K8277" s="1205"/>
      <c r="L8277" s="1055"/>
      <c r="M8277" s="1205"/>
      <c r="N8277" s="1054"/>
      <c r="O8277" s="1207"/>
      <c r="Q8277" s="1207"/>
    </row>
    <row r="8278" spans="3:17" s="700" customFormat="1" ht="70.5" hidden="1" customHeight="1">
      <c r="C8278" s="701"/>
      <c r="D8278" s="811"/>
      <c r="E8278" s="1276">
        <f>[11]building!Y8609</f>
        <v>0</v>
      </c>
      <c r="F8278" s="748">
        <f t="shared" si="368"/>
        <v>0</v>
      </c>
      <c r="G8278" s="1205"/>
      <c r="H8278" s="1055"/>
      <c r="I8278" s="1055"/>
      <c r="J8278" s="1055"/>
      <c r="K8278" s="1205"/>
      <c r="L8278" s="1055"/>
      <c r="M8278" s="1205"/>
      <c r="N8278" s="1054"/>
      <c r="O8278" s="1207"/>
      <c r="Q8278" s="1207"/>
    </row>
    <row r="8279" spans="3:17" s="700" customFormat="1" ht="70.5" hidden="1" customHeight="1">
      <c r="C8279" s="701"/>
      <c r="D8279" s="811"/>
      <c r="E8279" s="1276">
        <f>[11]building!Y8610</f>
        <v>0</v>
      </c>
      <c r="F8279" s="748">
        <f t="shared" si="368"/>
        <v>0</v>
      </c>
      <c r="G8279" s="1205"/>
      <c r="H8279" s="1055"/>
      <c r="I8279" s="1055"/>
      <c r="J8279" s="1055"/>
      <c r="K8279" s="1205"/>
      <c r="L8279" s="1055"/>
      <c r="M8279" s="1205"/>
      <c r="N8279" s="1054"/>
      <c r="O8279" s="1207"/>
      <c r="Q8279" s="1207"/>
    </row>
    <row r="8280" spans="3:17" s="700" customFormat="1" ht="70.5" hidden="1" customHeight="1">
      <c r="C8280" s="701"/>
      <c r="D8280" s="811"/>
      <c r="E8280" s="1276">
        <f>[11]building!Y8611</f>
        <v>0</v>
      </c>
      <c r="F8280" s="748">
        <f t="shared" si="368"/>
        <v>0</v>
      </c>
      <c r="G8280" s="1205"/>
      <c r="H8280" s="1055"/>
      <c r="I8280" s="1055"/>
      <c r="J8280" s="1055"/>
      <c r="K8280" s="1205"/>
      <c r="L8280" s="1055"/>
      <c r="M8280" s="1205"/>
      <c r="N8280" s="1054"/>
      <c r="O8280" s="1207"/>
      <c r="Q8280" s="1207"/>
    </row>
    <row r="8281" spans="3:17" s="700" customFormat="1" ht="70.5" hidden="1" customHeight="1">
      <c r="C8281" s="701"/>
      <c r="D8281" s="811"/>
      <c r="E8281" s="1276">
        <f>[11]building!Y8612</f>
        <v>0</v>
      </c>
      <c r="F8281" s="748">
        <f t="shared" si="368"/>
        <v>0</v>
      </c>
      <c r="G8281" s="1205"/>
      <c r="H8281" s="1055"/>
      <c r="I8281" s="1055"/>
      <c r="J8281" s="1055"/>
      <c r="K8281" s="1205"/>
      <c r="L8281" s="1055"/>
      <c r="M8281" s="1205"/>
      <c r="N8281" s="1054"/>
      <c r="O8281" s="1207"/>
      <c r="Q8281" s="1207"/>
    </row>
    <row r="8282" spans="3:17" s="700" customFormat="1" ht="70.5" hidden="1" customHeight="1">
      <c r="C8282" s="701"/>
      <c r="D8282" s="811"/>
      <c r="E8282" s="1276">
        <f>[11]building!Y8613</f>
        <v>0</v>
      </c>
      <c r="F8282" s="748">
        <f t="shared" si="368"/>
        <v>0</v>
      </c>
      <c r="G8282" s="1205"/>
      <c r="H8282" s="1055"/>
      <c r="I8282" s="1055"/>
      <c r="J8282" s="1055"/>
      <c r="K8282" s="1205"/>
      <c r="L8282" s="1055"/>
      <c r="M8282" s="1205"/>
      <c r="N8282" s="1054"/>
      <c r="O8282" s="1207"/>
      <c r="Q8282" s="1207"/>
    </row>
    <row r="8283" spans="3:17" s="700" customFormat="1" ht="70.5" hidden="1" customHeight="1">
      <c r="C8283" s="701"/>
      <c r="D8283" s="811"/>
      <c r="E8283" s="1276">
        <f>[11]building!Y8614</f>
        <v>0</v>
      </c>
      <c r="F8283" s="748">
        <f t="shared" si="368"/>
        <v>0</v>
      </c>
      <c r="G8283" s="1205"/>
      <c r="H8283" s="1055"/>
      <c r="I8283" s="1055"/>
      <c r="J8283" s="1055"/>
      <c r="K8283" s="1205"/>
      <c r="L8283" s="1055"/>
      <c r="M8283" s="1205"/>
      <c r="N8283" s="1054"/>
      <c r="O8283" s="1207"/>
      <c r="Q8283" s="1207"/>
    </row>
    <row r="8284" spans="3:17" s="700" customFormat="1" ht="70.5" hidden="1" customHeight="1">
      <c r="C8284" s="701"/>
      <c r="D8284" s="811"/>
      <c r="E8284" s="1276">
        <f>[11]building!Y8615</f>
        <v>0</v>
      </c>
      <c r="F8284" s="748">
        <f t="shared" si="368"/>
        <v>0</v>
      </c>
      <c r="G8284" s="1205"/>
      <c r="H8284" s="1055"/>
      <c r="I8284" s="1055"/>
      <c r="J8284" s="1055"/>
      <c r="K8284" s="1205"/>
      <c r="L8284" s="1055"/>
      <c r="M8284" s="1205"/>
      <c r="N8284" s="1054"/>
      <c r="O8284" s="1207"/>
      <c r="Q8284" s="1207"/>
    </row>
    <row r="8285" spans="3:17" s="700" customFormat="1" ht="70.5" hidden="1" customHeight="1">
      <c r="C8285" s="701"/>
      <c r="D8285" s="811"/>
      <c r="E8285" s="1276">
        <f>[11]building!Y8616</f>
        <v>0</v>
      </c>
      <c r="F8285" s="748">
        <f t="shared" si="368"/>
        <v>0</v>
      </c>
      <c r="G8285" s="1205"/>
      <c r="H8285" s="1055"/>
      <c r="I8285" s="1055"/>
      <c r="J8285" s="1055"/>
      <c r="K8285" s="1205"/>
      <c r="L8285" s="1055"/>
      <c r="M8285" s="1205"/>
      <c r="N8285" s="1054"/>
      <c r="O8285" s="1207"/>
      <c r="Q8285" s="1207"/>
    </row>
    <row r="8286" spans="3:17" s="700" customFormat="1" ht="70.5" hidden="1" customHeight="1">
      <c r="C8286" s="701"/>
      <c r="D8286" s="811"/>
      <c r="E8286" s="1276">
        <f>[11]building!Y8617</f>
        <v>0</v>
      </c>
      <c r="F8286" s="748">
        <f t="shared" si="368"/>
        <v>0</v>
      </c>
      <c r="G8286" s="1205"/>
      <c r="H8286" s="1055"/>
      <c r="I8286" s="1055"/>
      <c r="J8286" s="1055"/>
      <c r="K8286" s="1205"/>
      <c r="L8286" s="1055"/>
      <c r="M8286" s="1205"/>
      <c r="N8286" s="1054"/>
      <c r="O8286" s="1207"/>
      <c r="Q8286" s="1207"/>
    </row>
    <row r="8287" spans="3:17" s="700" customFormat="1" ht="70.5" hidden="1" customHeight="1">
      <c r="C8287" s="701"/>
      <c r="D8287" s="811"/>
      <c r="E8287" s="1276">
        <f>[11]building!Y8618</f>
        <v>0</v>
      </c>
      <c r="F8287" s="748">
        <f t="shared" si="368"/>
        <v>0</v>
      </c>
      <c r="G8287" s="1205"/>
      <c r="H8287" s="1055"/>
      <c r="I8287" s="1055"/>
      <c r="J8287" s="1055"/>
      <c r="K8287" s="1205"/>
      <c r="L8287" s="1055"/>
      <c r="M8287" s="1205"/>
      <c r="N8287" s="1054"/>
      <c r="O8287" s="1207"/>
      <c r="Q8287" s="1207"/>
    </row>
    <row r="8288" spans="3:17" s="700" customFormat="1" ht="70.5" hidden="1" customHeight="1">
      <c r="C8288" s="701"/>
      <c r="D8288" s="811"/>
      <c r="E8288" s="1276">
        <f>[11]building!Y8619</f>
        <v>0</v>
      </c>
      <c r="F8288" s="748">
        <f t="shared" si="368"/>
        <v>0</v>
      </c>
      <c r="G8288" s="1205"/>
      <c r="H8288" s="1055"/>
      <c r="I8288" s="1055"/>
      <c r="J8288" s="1055"/>
      <c r="K8288" s="1205"/>
      <c r="L8288" s="1055"/>
      <c r="M8288" s="1205"/>
      <c r="N8288" s="1054"/>
      <c r="O8288" s="1207"/>
      <c r="Q8288" s="1207"/>
    </row>
    <row r="8289" spans="3:17" s="700" customFormat="1" ht="70.5" hidden="1" customHeight="1">
      <c r="C8289" s="701"/>
      <c r="D8289" s="811"/>
      <c r="E8289" s="1276">
        <f>[11]building!Y8620</f>
        <v>0</v>
      </c>
      <c r="F8289" s="748">
        <f t="shared" si="368"/>
        <v>0</v>
      </c>
      <c r="G8289" s="1205"/>
      <c r="H8289" s="1055"/>
      <c r="I8289" s="1055"/>
      <c r="J8289" s="1055"/>
      <c r="K8289" s="1205"/>
      <c r="L8289" s="1055"/>
      <c r="M8289" s="1205"/>
      <c r="N8289" s="1054"/>
      <c r="O8289" s="1207"/>
      <c r="Q8289" s="1207"/>
    </row>
    <row r="8290" spans="3:17" s="700" customFormat="1" ht="70.5" hidden="1" customHeight="1">
      <c r="C8290" s="701"/>
      <c r="D8290" s="811"/>
      <c r="E8290" s="1276">
        <f>[11]building!Y8621</f>
        <v>0</v>
      </c>
      <c r="F8290" s="748">
        <f t="shared" si="368"/>
        <v>0</v>
      </c>
      <c r="G8290" s="1205"/>
      <c r="H8290" s="1055"/>
      <c r="I8290" s="1055"/>
      <c r="J8290" s="1055"/>
      <c r="K8290" s="1205"/>
      <c r="L8290" s="1055"/>
      <c r="M8290" s="1205"/>
      <c r="N8290" s="1054"/>
      <c r="O8290" s="1207"/>
      <c r="Q8290" s="1207"/>
    </row>
    <row r="8291" spans="3:17" s="700" customFormat="1" ht="70.5" hidden="1" customHeight="1">
      <c r="C8291" s="701"/>
      <c r="D8291" s="811"/>
      <c r="E8291" s="1276">
        <f>[11]building!Y8622</f>
        <v>0</v>
      </c>
      <c r="F8291" s="748">
        <f t="shared" si="368"/>
        <v>0</v>
      </c>
      <c r="G8291" s="1205"/>
      <c r="H8291" s="1055"/>
      <c r="I8291" s="1055"/>
      <c r="J8291" s="1055"/>
      <c r="K8291" s="1205"/>
      <c r="L8291" s="1055"/>
      <c r="M8291" s="1205"/>
      <c r="N8291" s="1054"/>
      <c r="O8291" s="1207"/>
      <c r="Q8291" s="1207"/>
    </row>
    <row r="8292" spans="3:17" s="700" customFormat="1" ht="70.5" hidden="1" customHeight="1">
      <c r="C8292" s="701"/>
      <c r="D8292" s="811"/>
      <c r="E8292" s="1276">
        <f>[11]building!Y8623</f>
        <v>0</v>
      </c>
      <c r="F8292" s="748">
        <f t="shared" si="368"/>
        <v>0</v>
      </c>
      <c r="G8292" s="1205"/>
      <c r="H8292" s="1055"/>
      <c r="I8292" s="1055"/>
      <c r="J8292" s="1055"/>
      <c r="K8292" s="1205"/>
      <c r="L8292" s="1055"/>
      <c r="M8292" s="1205"/>
      <c r="N8292" s="1054"/>
      <c r="O8292" s="1207"/>
      <c r="Q8292" s="1207"/>
    </row>
    <row r="8293" spans="3:17" s="700" customFormat="1" ht="70.5" hidden="1" customHeight="1">
      <c r="C8293" s="701"/>
      <c r="D8293" s="811"/>
      <c r="E8293" s="1276">
        <f>[11]building!Y8624</f>
        <v>0</v>
      </c>
      <c r="F8293" s="748">
        <f t="shared" si="368"/>
        <v>0</v>
      </c>
      <c r="G8293" s="1205"/>
      <c r="H8293" s="1055"/>
      <c r="I8293" s="1055"/>
      <c r="J8293" s="1055"/>
      <c r="K8293" s="1205"/>
      <c r="L8293" s="1055"/>
      <c r="M8293" s="1205"/>
      <c r="N8293" s="1054"/>
      <c r="O8293" s="1207"/>
      <c r="Q8293" s="1207"/>
    </row>
    <row r="8294" spans="3:17" s="700" customFormat="1" ht="70.5" hidden="1" customHeight="1">
      <c r="C8294" s="701"/>
      <c r="D8294" s="811"/>
      <c r="E8294" s="1276">
        <f>[11]building!Y8625</f>
        <v>0</v>
      </c>
      <c r="F8294" s="748">
        <f t="shared" si="368"/>
        <v>0</v>
      </c>
      <c r="G8294" s="1205"/>
      <c r="H8294" s="1055"/>
      <c r="I8294" s="1055"/>
      <c r="J8294" s="1055"/>
      <c r="K8294" s="1205"/>
      <c r="L8294" s="1055"/>
      <c r="M8294" s="1205"/>
      <c r="N8294" s="1054"/>
      <c r="O8294" s="1207"/>
      <c r="Q8294" s="1207"/>
    </row>
    <row r="8295" spans="3:17" s="700" customFormat="1" ht="70.5" hidden="1" customHeight="1">
      <c r="C8295" s="701"/>
      <c r="D8295" s="811"/>
      <c r="E8295" s="1276">
        <f>[11]building!Y8626</f>
        <v>0</v>
      </c>
      <c r="F8295" s="748">
        <f t="shared" si="368"/>
        <v>0</v>
      </c>
      <c r="G8295" s="1205"/>
      <c r="H8295" s="1055"/>
      <c r="I8295" s="1055"/>
      <c r="J8295" s="1055"/>
      <c r="K8295" s="1205"/>
      <c r="L8295" s="1055"/>
      <c r="M8295" s="1205"/>
      <c r="N8295" s="1054"/>
      <c r="O8295" s="1207"/>
      <c r="Q8295" s="1207"/>
    </row>
    <row r="8296" spans="3:17" s="700" customFormat="1" ht="70.5" hidden="1" customHeight="1">
      <c r="C8296" s="701"/>
      <c r="D8296" s="811"/>
      <c r="E8296" s="1276">
        <f>[11]building!Y8627</f>
        <v>0</v>
      </c>
      <c r="F8296" s="748">
        <f t="shared" si="368"/>
        <v>0</v>
      </c>
      <c r="G8296" s="1205"/>
      <c r="H8296" s="1055"/>
      <c r="I8296" s="1055"/>
      <c r="J8296" s="1055"/>
      <c r="K8296" s="1205"/>
      <c r="L8296" s="1055"/>
      <c r="M8296" s="1205"/>
      <c r="N8296" s="1054"/>
      <c r="O8296" s="1207"/>
      <c r="Q8296" s="1207"/>
    </row>
    <row r="8297" spans="3:17" s="700" customFormat="1" ht="70.5" hidden="1" customHeight="1">
      <c r="C8297" s="701"/>
      <c r="D8297" s="811"/>
      <c r="E8297" s="1276">
        <f>[11]building!Y8628</f>
        <v>0</v>
      </c>
      <c r="F8297" s="748">
        <f t="shared" si="368"/>
        <v>0</v>
      </c>
      <c r="G8297" s="1205"/>
      <c r="H8297" s="1055"/>
      <c r="I8297" s="1055"/>
      <c r="J8297" s="1055"/>
      <c r="K8297" s="1205"/>
      <c r="L8297" s="1055"/>
      <c r="M8297" s="1205"/>
      <c r="N8297" s="1054"/>
      <c r="O8297" s="1207"/>
      <c r="Q8297" s="1207"/>
    </row>
    <row r="8298" spans="3:17" s="700" customFormat="1" ht="70.5" hidden="1" customHeight="1">
      <c r="C8298" s="701"/>
      <c r="D8298" s="811"/>
      <c r="E8298" s="1276">
        <f>[11]building!Y8629</f>
        <v>0</v>
      </c>
      <c r="F8298" s="748">
        <f t="shared" si="368"/>
        <v>0</v>
      </c>
      <c r="G8298" s="1205"/>
      <c r="H8298" s="1055"/>
      <c r="I8298" s="1055"/>
      <c r="J8298" s="1055"/>
      <c r="K8298" s="1205"/>
      <c r="L8298" s="1055"/>
      <c r="M8298" s="1205"/>
      <c r="N8298" s="1054"/>
      <c r="O8298" s="1207"/>
      <c r="Q8298" s="1207"/>
    </row>
    <row r="8299" spans="3:17" s="700" customFormat="1" ht="70.5" hidden="1" customHeight="1">
      <c r="C8299" s="701"/>
      <c r="D8299" s="811"/>
      <c r="E8299" s="1276">
        <f>[11]building!Y8630</f>
        <v>0</v>
      </c>
      <c r="F8299" s="748">
        <f t="shared" si="368"/>
        <v>0</v>
      </c>
      <c r="G8299" s="1205"/>
      <c r="H8299" s="1055"/>
      <c r="I8299" s="1055"/>
      <c r="J8299" s="1055"/>
      <c r="K8299" s="1205"/>
      <c r="L8299" s="1055"/>
      <c r="M8299" s="1205"/>
      <c r="N8299" s="1054"/>
      <c r="O8299" s="1207"/>
      <c r="Q8299" s="1207"/>
    </row>
    <row r="8300" spans="3:17" s="700" customFormat="1" ht="70.5" hidden="1" customHeight="1">
      <c r="C8300" s="701"/>
      <c r="D8300" s="811"/>
      <c r="E8300" s="1276">
        <f>[11]building!Y8631</f>
        <v>0</v>
      </c>
      <c r="F8300" s="748">
        <f t="shared" si="368"/>
        <v>0</v>
      </c>
      <c r="G8300" s="1205"/>
      <c r="H8300" s="1055"/>
      <c r="I8300" s="1055"/>
      <c r="J8300" s="1055"/>
      <c r="K8300" s="1205"/>
      <c r="L8300" s="1055"/>
      <c r="M8300" s="1205"/>
      <c r="N8300" s="1054"/>
      <c r="O8300" s="1207"/>
      <c r="Q8300" s="1207"/>
    </row>
    <row r="8301" spans="3:17" s="700" customFormat="1" ht="70.5" hidden="1" customHeight="1">
      <c r="C8301" s="701"/>
      <c r="D8301" s="811"/>
      <c r="E8301" s="1276">
        <f>[11]building!Y8632</f>
        <v>0</v>
      </c>
      <c r="F8301" s="748">
        <f t="shared" si="368"/>
        <v>0</v>
      </c>
      <c r="G8301" s="1205"/>
      <c r="H8301" s="1055"/>
      <c r="I8301" s="1055"/>
      <c r="J8301" s="1055"/>
      <c r="K8301" s="1205"/>
      <c r="L8301" s="1055"/>
      <c r="M8301" s="1205"/>
      <c r="N8301" s="1054"/>
      <c r="O8301" s="1207"/>
      <c r="Q8301" s="1207"/>
    </row>
    <row r="8302" spans="3:17" s="700" customFormat="1" ht="70.5" hidden="1" customHeight="1">
      <c r="C8302" s="701"/>
      <c r="D8302" s="811"/>
      <c r="E8302" s="1276">
        <f>[11]building!Y8633</f>
        <v>0</v>
      </c>
      <c r="F8302" s="748">
        <f t="shared" si="368"/>
        <v>0</v>
      </c>
      <c r="G8302" s="1205"/>
      <c r="H8302" s="1055"/>
      <c r="I8302" s="1055"/>
      <c r="J8302" s="1055"/>
      <c r="K8302" s="1205"/>
      <c r="L8302" s="1055"/>
      <c r="M8302" s="1205"/>
      <c r="N8302" s="1054"/>
      <c r="O8302" s="1207"/>
      <c r="Q8302" s="1207"/>
    </row>
    <row r="8303" spans="3:17" s="700" customFormat="1" ht="70.5" hidden="1" customHeight="1">
      <c r="C8303" s="701"/>
      <c r="D8303" s="811"/>
      <c r="E8303" s="1276">
        <f>[11]building!Y8634</f>
        <v>0</v>
      </c>
      <c r="F8303" s="748">
        <f t="shared" si="368"/>
        <v>0</v>
      </c>
      <c r="G8303" s="1205"/>
      <c r="H8303" s="1055"/>
      <c r="I8303" s="1055"/>
      <c r="J8303" s="1055"/>
      <c r="K8303" s="1205"/>
      <c r="L8303" s="1055"/>
      <c r="M8303" s="1205"/>
      <c r="N8303" s="1054"/>
      <c r="O8303" s="1207"/>
      <c r="Q8303" s="1207"/>
    </row>
    <row r="8304" spans="3:17" s="700" customFormat="1" ht="70.5" hidden="1" customHeight="1">
      <c r="C8304" s="701"/>
      <c r="D8304" s="811"/>
      <c r="E8304" s="1276">
        <f>[11]building!Y8635</f>
        <v>0</v>
      </c>
      <c r="F8304" s="748">
        <f t="shared" si="368"/>
        <v>0</v>
      </c>
      <c r="G8304" s="1205"/>
      <c r="H8304" s="1055"/>
      <c r="I8304" s="1055"/>
      <c r="J8304" s="1055"/>
      <c r="K8304" s="1205"/>
      <c r="L8304" s="1055"/>
      <c r="M8304" s="1205"/>
      <c r="N8304" s="1054"/>
      <c r="O8304" s="1207"/>
      <c r="Q8304" s="1207"/>
    </row>
    <row r="8305" spans="3:17" s="700" customFormat="1" ht="70.5" hidden="1" customHeight="1">
      <c r="C8305" s="701"/>
      <c r="D8305" s="811"/>
      <c r="E8305" s="1276">
        <f>[11]building!Y8636</f>
        <v>0</v>
      </c>
      <c r="F8305" s="748">
        <f t="shared" si="368"/>
        <v>0</v>
      </c>
      <c r="G8305" s="1205"/>
      <c r="H8305" s="1055"/>
      <c r="I8305" s="1055"/>
      <c r="J8305" s="1055"/>
      <c r="K8305" s="1205"/>
      <c r="L8305" s="1055"/>
      <c r="M8305" s="1205"/>
      <c r="N8305" s="1054"/>
      <c r="O8305" s="1207"/>
      <c r="Q8305" s="1207"/>
    </row>
    <row r="8306" spans="3:17" s="700" customFormat="1" ht="70.5" hidden="1" customHeight="1">
      <c r="C8306" s="701"/>
      <c r="D8306" s="811"/>
      <c r="E8306" s="1276">
        <f>[11]building!Y8637</f>
        <v>0</v>
      </c>
      <c r="F8306" s="748">
        <f t="shared" si="368"/>
        <v>0</v>
      </c>
      <c r="G8306" s="1205"/>
      <c r="H8306" s="1055"/>
      <c r="I8306" s="1055"/>
      <c r="J8306" s="1055"/>
      <c r="K8306" s="1205"/>
      <c r="L8306" s="1055"/>
      <c r="M8306" s="1205"/>
      <c r="N8306" s="1054"/>
      <c r="O8306" s="1207"/>
      <c r="Q8306" s="1207"/>
    </row>
    <row r="8307" spans="3:17" s="700" customFormat="1" ht="70.5" hidden="1" customHeight="1">
      <c r="C8307" s="701"/>
      <c r="D8307" s="811"/>
      <c r="E8307" s="1276">
        <f>[11]building!Y8638</f>
        <v>0</v>
      </c>
      <c r="F8307" s="748">
        <f t="shared" si="368"/>
        <v>0</v>
      </c>
      <c r="G8307" s="1205"/>
      <c r="H8307" s="1055"/>
      <c r="I8307" s="1055"/>
      <c r="J8307" s="1055"/>
      <c r="K8307" s="1205"/>
      <c r="L8307" s="1055"/>
      <c r="M8307" s="1205"/>
      <c r="N8307" s="1054"/>
      <c r="O8307" s="1207"/>
      <c r="Q8307" s="1207"/>
    </row>
    <row r="8308" spans="3:17" s="700" customFormat="1" ht="70.5" hidden="1" customHeight="1">
      <c r="C8308" s="701"/>
      <c r="D8308" s="811"/>
      <c r="E8308" s="1276">
        <f>[11]building!Y8639</f>
        <v>0</v>
      </c>
      <c r="F8308" s="748">
        <f t="shared" si="368"/>
        <v>0</v>
      </c>
      <c r="G8308" s="1205"/>
      <c r="H8308" s="1055"/>
      <c r="I8308" s="1055"/>
      <c r="J8308" s="1055"/>
      <c r="K8308" s="1205"/>
      <c r="L8308" s="1055"/>
      <c r="M8308" s="1205"/>
      <c r="N8308" s="1054"/>
      <c r="O8308" s="1207"/>
      <c r="Q8308" s="1207"/>
    </row>
    <row r="8309" spans="3:17" s="700" customFormat="1" ht="70.5" hidden="1" customHeight="1">
      <c r="C8309" s="701"/>
      <c r="D8309" s="811"/>
      <c r="E8309" s="1276">
        <f>[11]building!Y8640</f>
        <v>0</v>
      </c>
      <c r="F8309" s="748">
        <f t="shared" si="368"/>
        <v>0</v>
      </c>
      <c r="G8309" s="1205"/>
      <c r="H8309" s="1055"/>
      <c r="I8309" s="1055"/>
      <c r="J8309" s="1055"/>
      <c r="K8309" s="1205"/>
      <c r="L8309" s="1055"/>
      <c r="M8309" s="1205"/>
      <c r="N8309" s="1054"/>
      <c r="O8309" s="1207"/>
      <c r="Q8309" s="1207"/>
    </row>
    <row r="8310" spans="3:17" s="700" customFormat="1" ht="70.5" hidden="1" customHeight="1">
      <c r="C8310" s="701"/>
      <c r="D8310" s="811"/>
      <c r="E8310" s="1276">
        <f>[11]building!Y8641</f>
        <v>0</v>
      </c>
      <c r="F8310" s="748">
        <f t="shared" si="368"/>
        <v>0</v>
      </c>
      <c r="G8310" s="1205"/>
      <c r="H8310" s="1055"/>
      <c r="I8310" s="1055"/>
      <c r="J8310" s="1055"/>
      <c r="K8310" s="1205"/>
      <c r="L8310" s="1055"/>
      <c r="M8310" s="1205"/>
      <c r="N8310" s="1054"/>
      <c r="O8310" s="1207"/>
      <c r="Q8310" s="1207"/>
    </row>
    <row r="8311" spans="3:17" s="700" customFormat="1" ht="70.5" hidden="1" customHeight="1">
      <c r="C8311" s="701"/>
      <c r="D8311" s="811"/>
      <c r="E8311" s="1276">
        <f>[11]building!Y8642</f>
        <v>0</v>
      </c>
      <c r="F8311" s="748">
        <f t="shared" si="368"/>
        <v>0</v>
      </c>
      <c r="G8311" s="1205"/>
      <c r="H8311" s="1055"/>
      <c r="I8311" s="1055"/>
      <c r="J8311" s="1055"/>
      <c r="K8311" s="1205"/>
      <c r="L8311" s="1055"/>
      <c r="M8311" s="1205"/>
      <c r="N8311" s="1054"/>
      <c r="O8311" s="1207"/>
      <c r="Q8311" s="1207"/>
    </row>
    <row r="8312" spans="3:17" s="700" customFormat="1" ht="70.5" hidden="1" customHeight="1">
      <c r="C8312" s="701"/>
      <c r="D8312" s="811"/>
      <c r="E8312" s="1276">
        <f>[11]building!Y8643</f>
        <v>0</v>
      </c>
      <c r="F8312" s="748">
        <f t="shared" si="368"/>
        <v>0</v>
      </c>
      <c r="G8312" s="1205"/>
      <c r="H8312" s="1055"/>
      <c r="I8312" s="1055"/>
      <c r="J8312" s="1055"/>
      <c r="K8312" s="1205"/>
      <c r="L8312" s="1055"/>
      <c r="M8312" s="1205"/>
      <c r="N8312" s="1054"/>
      <c r="O8312" s="1207"/>
      <c r="Q8312" s="1207"/>
    </row>
    <row r="8313" spans="3:17" s="700" customFormat="1" ht="70.5" hidden="1" customHeight="1">
      <c r="C8313" s="701"/>
      <c r="D8313" s="811"/>
      <c r="E8313" s="1276">
        <f>[11]building!Y8644</f>
        <v>0</v>
      </c>
      <c r="F8313" s="748">
        <f t="shared" si="368"/>
        <v>0</v>
      </c>
      <c r="G8313" s="1205"/>
      <c r="H8313" s="1055"/>
      <c r="I8313" s="1055"/>
      <c r="J8313" s="1055"/>
      <c r="K8313" s="1205"/>
      <c r="L8313" s="1055"/>
      <c r="M8313" s="1205"/>
      <c r="N8313" s="1054"/>
      <c r="O8313" s="1207"/>
      <c r="Q8313" s="1207"/>
    </row>
    <row r="8314" spans="3:17" s="700" customFormat="1" ht="70.5" hidden="1" customHeight="1">
      <c r="C8314" s="701"/>
      <c r="D8314" s="811"/>
      <c r="E8314" s="1276">
        <f>[11]building!Y8645</f>
        <v>0</v>
      </c>
      <c r="F8314" s="748">
        <f t="shared" si="368"/>
        <v>0</v>
      </c>
      <c r="G8314" s="1205"/>
      <c r="H8314" s="1055"/>
      <c r="I8314" s="1055"/>
      <c r="J8314" s="1055"/>
      <c r="K8314" s="1205"/>
      <c r="L8314" s="1055"/>
      <c r="M8314" s="1205"/>
      <c r="N8314" s="1054"/>
      <c r="O8314" s="1207"/>
      <c r="Q8314" s="1207"/>
    </row>
    <row r="8315" spans="3:17" s="700" customFormat="1" ht="70.5" hidden="1" customHeight="1">
      <c r="C8315" s="701"/>
      <c r="D8315" s="811"/>
      <c r="E8315" s="1276">
        <f>[11]building!Y8646</f>
        <v>0</v>
      </c>
      <c r="F8315" s="748">
        <f t="shared" si="368"/>
        <v>0</v>
      </c>
      <c r="G8315" s="1205"/>
      <c r="H8315" s="1055"/>
      <c r="I8315" s="1055"/>
      <c r="J8315" s="1055"/>
      <c r="K8315" s="1205"/>
      <c r="L8315" s="1055"/>
      <c r="M8315" s="1205"/>
      <c r="N8315" s="1054"/>
      <c r="O8315" s="1207"/>
      <c r="Q8315" s="1207"/>
    </row>
    <row r="8316" spans="3:17" s="700" customFormat="1" ht="70.5" hidden="1" customHeight="1">
      <c r="C8316" s="701"/>
      <c r="D8316" s="811"/>
      <c r="E8316" s="1276">
        <f>[11]building!Y8647</f>
        <v>0</v>
      </c>
      <c r="F8316" s="748">
        <f t="shared" si="368"/>
        <v>0</v>
      </c>
      <c r="G8316" s="1205"/>
      <c r="H8316" s="1055"/>
      <c r="I8316" s="1055"/>
      <c r="J8316" s="1055"/>
      <c r="K8316" s="1205"/>
      <c r="L8316" s="1055"/>
      <c r="M8316" s="1205"/>
      <c r="N8316" s="1054"/>
      <c r="O8316" s="1207"/>
      <c r="Q8316" s="1207"/>
    </row>
    <row r="8317" spans="3:17" s="700" customFormat="1" ht="70.5" hidden="1" customHeight="1">
      <c r="C8317" s="701"/>
      <c r="D8317" s="811"/>
      <c r="E8317" s="1276">
        <f>[11]building!Y8648</f>
        <v>0</v>
      </c>
      <c r="F8317" s="748">
        <f t="shared" si="368"/>
        <v>0</v>
      </c>
      <c r="G8317" s="1205"/>
      <c r="H8317" s="1055"/>
      <c r="I8317" s="1055"/>
      <c r="J8317" s="1055"/>
      <c r="K8317" s="1205"/>
      <c r="L8317" s="1055"/>
      <c r="M8317" s="1205"/>
      <c r="N8317" s="1054"/>
      <c r="O8317" s="1207"/>
      <c r="Q8317" s="1207"/>
    </row>
    <row r="8318" spans="3:17" s="700" customFormat="1" ht="70.5" hidden="1" customHeight="1">
      <c r="C8318" s="701"/>
      <c r="D8318" s="811"/>
      <c r="E8318" s="1276">
        <f>[11]building!Y8649</f>
        <v>0</v>
      </c>
      <c r="F8318" s="748">
        <f t="shared" si="368"/>
        <v>0</v>
      </c>
      <c r="G8318" s="1205"/>
      <c r="H8318" s="1055"/>
      <c r="I8318" s="1055"/>
      <c r="J8318" s="1055"/>
      <c r="K8318" s="1205"/>
      <c r="L8318" s="1055"/>
      <c r="M8318" s="1205"/>
      <c r="N8318" s="1054"/>
      <c r="O8318" s="1207"/>
      <c r="Q8318" s="1207"/>
    </row>
    <row r="8319" spans="3:17" s="700" customFormat="1" ht="70.5" hidden="1" customHeight="1">
      <c r="C8319" s="701"/>
      <c r="D8319" s="811"/>
      <c r="E8319" s="1276">
        <f>[11]building!Y8650</f>
        <v>0</v>
      </c>
      <c r="F8319" s="748">
        <f t="shared" si="368"/>
        <v>0</v>
      </c>
      <c r="G8319" s="1205"/>
      <c r="H8319" s="1055"/>
      <c r="I8319" s="1055"/>
      <c r="J8319" s="1055"/>
      <c r="K8319" s="1205"/>
      <c r="L8319" s="1055"/>
      <c r="M8319" s="1205"/>
      <c r="N8319" s="1054"/>
      <c r="O8319" s="1207"/>
      <c r="Q8319" s="1207"/>
    </row>
    <row r="8320" spans="3:17" s="700" customFormat="1" ht="70.5" hidden="1" customHeight="1">
      <c r="C8320" s="701"/>
      <c r="D8320" s="811"/>
      <c r="E8320" s="1276">
        <f>[11]building!Y8651</f>
        <v>0</v>
      </c>
      <c r="F8320" s="748">
        <f t="shared" ref="F8320:F8383" si="369">E8320*C8320</f>
        <v>0</v>
      </c>
      <c r="G8320" s="1205"/>
      <c r="H8320" s="1055"/>
      <c r="I8320" s="1055"/>
      <c r="J8320" s="1055"/>
      <c r="K8320" s="1205"/>
      <c r="L8320" s="1055"/>
      <c r="M8320" s="1205"/>
      <c r="N8320" s="1054"/>
      <c r="O8320" s="1207"/>
      <c r="Q8320" s="1207"/>
    </row>
    <row r="8321" spans="3:17" s="700" customFormat="1" ht="70.5" hidden="1" customHeight="1">
      <c r="C8321" s="701"/>
      <c r="D8321" s="811"/>
      <c r="E8321" s="1276">
        <f>[11]building!Y8652</f>
        <v>0</v>
      </c>
      <c r="F8321" s="748">
        <f t="shared" si="369"/>
        <v>0</v>
      </c>
      <c r="G8321" s="1205"/>
      <c r="H8321" s="1055"/>
      <c r="I8321" s="1055"/>
      <c r="J8321" s="1055"/>
      <c r="K8321" s="1205"/>
      <c r="L8321" s="1055"/>
      <c r="M8321" s="1205"/>
      <c r="N8321" s="1054"/>
      <c r="O8321" s="1207"/>
      <c r="Q8321" s="1207"/>
    </row>
    <row r="8322" spans="3:17" s="700" customFormat="1" ht="70.5" hidden="1" customHeight="1">
      <c r="C8322" s="701"/>
      <c r="D8322" s="811"/>
      <c r="E8322" s="1276">
        <f>[11]building!Y8653</f>
        <v>0</v>
      </c>
      <c r="F8322" s="748">
        <f t="shared" si="369"/>
        <v>0</v>
      </c>
      <c r="G8322" s="1205"/>
      <c r="H8322" s="1055"/>
      <c r="I8322" s="1055"/>
      <c r="J8322" s="1055"/>
      <c r="K8322" s="1205"/>
      <c r="L8322" s="1055"/>
      <c r="M8322" s="1205"/>
      <c r="N8322" s="1054"/>
      <c r="O8322" s="1207"/>
      <c r="Q8322" s="1207"/>
    </row>
    <row r="8323" spans="3:17" s="700" customFormat="1" ht="70.5" hidden="1" customHeight="1">
      <c r="C8323" s="701"/>
      <c r="D8323" s="811"/>
      <c r="E8323" s="1276">
        <f>[11]building!Y8654</f>
        <v>0</v>
      </c>
      <c r="F8323" s="748">
        <f t="shared" si="369"/>
        <v>0</v>
      </c>
      <c r="G8323" s="1205"/>
      <c r="H8323" s="1055"/>
      <c r="I8323" s="1055"/>
      <c r="J8323" s="1055"/>
      <c r="K8323" s="1205"/>
      <c r="L8323" s="1055"/>
      <c r="M8323" s="1205"/>
      <c r="N8323" s="1054"/>
      <c r="O8323" s="1207"/>
      <c r="Q8323" s="1207"/>
    </row>
    <row r="8324" spans="3:17" s="700" customFormat="1" ht="70.5" hidden="1" customHeight="1">
      <c r="C8324" s="701"/>
      <c r="D8324" s="811"/>
      <c r="E8324" s="1276">
        <f>[11]building!Y8655</f>
        <v>0</v>
      </c>
      <c r="F8324" s="748">
        <f t="shared" si="369"/>
        <v>0</v>
      </c>
      <c r="G8324" s="1205"/>
      <c r="H8324" s="1055"/>
      <c r="I8324" s="1055"/>
      <c r="J8324" s="1055"/>
      <c r="K8324" s="1205"/>
      <c r="L8324" s="1055"/>
      <c r="M8324" s="1205"/>
      <c r="N8324" s="1054"/>
      <c r="O8324" s="1207"/>
      <c r="Q8324" s="1207"/>
    </row>
    <row r="8325" spans="3:17" s="700" customFormat="1" ht="70.5" hidden="1" customHeight="1">
      <c r="C8325" s="701"/>
      <c r="D8325" s="811"/>
      <c r="E8325" s="1276">
        <f>[11]building!Y8656</f>
        <v>0</v>
      </c>
      <c r="F8325" s="748">
        <f t="shared" si="369"/>
        <v>0</v>
      </c>
      <c r="G8325" s="1205"/>
      <c r="H8325" s="1055"/>
      <c r="I8325" s="1055"/>
      <c r="J8325" s="1055"/>
      <c r="K8325" s="1205"/>
      <c r="L8325" s="1055"/>
      <c r="M8325" s="1205"/>
      <c r="N8325" s="1054"/>
      <c r="O8325" s="1207"/>
      <c r="Q8325" s="1207"/>
    </row>
    <row r="8326" spans="3:17" s="700" customFormat="1" ht="70.5" hidden="1" customHeight="1">
      <c r="C8326" s="701"/>
      <c r="D8326" s="811"/>
      <c r="E8326" s="1276">
        <f>[11]building!Y8657</f>
        <v>0</v>
      </c>
      <c r="F8326" s="748">
        <f t="shared" si="369"/>
        <v>0</v>
      </c>
      <c r="G8326" s="1205"/>
      <c r="H8326" s="1055"/>
      <c r="I8326" s="1055"/>
      <c r="J8326" s="1055"/>
      <c r="K8326" s="1205"/>
      <c r="L8326" s="1055"/>
      <c r="M8326" s="1205"/>
      <c r="N8326" s="1054"/>
      <c r="O8326" s="1207"/>
      <c r="Q8326" s="1207"/>
    </row>
    <row r="8327" spans="3:17" s="700" customFormat="1" ht="70.5" hidden="1" customHeight="1">
      <c r="C8327" s="701"/>
      <c r="D8327" s="811"/>
      <c r="E8327" s="1276">
        <f>[11]building!Y8658</f>
        <v>0</v>
      </c>
      <c r="F8327" s="748">
        <f t="shared" si="369"/>
        <v>0</v>
      </c>
      <c r="G8327" s="1205"/>
      <c r="H8327" s="1055"/>
      <c r="I8327" s="1055"/>
      <c r="J8327" s="1055"/>
      <c r="K8327" s="1205"/>
      <c r="L8327" s="1055"/>
      <c r="M8327" s="1205"/>
      <c r="N8327" s="1054"/>
      <c r="O8327" s="1207"/>
      <c r="Q8327" s="1207"/>
    </row>
    <row r="8328" spans="3:17" s="700" customFormat="1" ht="70.5" hidden="1" customHeight="1">
      <c r="C8328" s="701"/>
      <c r="D8328" s="811"/>
      <c r="E8328" s="1276">
        <f>[11]building!Y8659</f>
        <v>0</v>
      </c>
      <c r="F8328" s="748">
        <f t="shared" si="369"/>
        <v>0</v>
      </c>
      <c r="G8328" s="1205"/>
      <c r="H8328" s="1055"/>
      <c r="I8328" s="1055"/>
      <c r="J8328" s="1055"/>
      <c r="K8328" s="1205"/>
      <c r="L8328" s="1055"/>
      <c r="M8328" s="1205"/>
      <c r="N8328" s="1054"/>
      <c r="O8328" s="1207"/>
      <c r="Q8328" s="1207"/>
    </row>
    <row r="8329" spans="3:17" s="700" customFormat="1" ht="70.5" hidden="1" customHeight="1">
      <c r="C8329" s="701"/>
      <c r="D8329" s="811"/>
      <c r="E8329" s="1276">
        <f>[11]building!Y8660</f>
        <v>0</v>
      </c>
      <c r="F8329" s="748">
        <f t="shared" si="369"/>
        <v>0</v>
      </c>
      <c r="G8329" s="1205"/>
      <c r="H8329" s="1055"/>
      <c r="I8329" s="1055"/>
      <c r="J8329" s="1055"/>
      <c r="K8329" s="1205"/>
      <c r="L8329" s="1055"/>
      <c r="M8329" s="1205"/>
      <c r="N8329" s="1054"/>
      <c r="O8329" s="1207"/>
      <c r="Q8329" s="1207"/>
    </row>
    <row r="8330" spans="3:17" s="700" customFormat="1" ht="70.5" hidden="1" customHeight="1">
      <c r="C8330" s="701"/>
      <c r="D8330" s="811"/>
      <c r="E8330" s="1276">
        <f>[11]building!Y8661</f>
        <v>0</v>
      </c>
      <c r="F8330" s="748">
        <f t="shared" si="369"/>
        <v>0</v>
      </c>
      <c r="G8330" s="1205"/>
      <c r="H8330" s="1055"/>
      <c r="I8330" s="1055"/>
      <c r="J8330" s="1055"/>
      <c r="K8330" s="1205"/>
      <c r="L8330" s="1055"/>
      <c r="M8330" s="1205"/>
      <c r="N8330" s="1054"/>
      <c r="O8330" s="1207"/>
      <c r="Q8330" s="1207"/>
    </row>
    <row r="8331" spans="3:17" s="700" customFormat="1" ht="70.5" hidden="1" customHeight="1">
      <c r="C8331" s="701"/>
      <c r="D8331" s="811"/>
      <c r="E8331" s="1276">
        <f>[11]building!Y8662</f>
        <v>0</v>
      </c>
      <c r="F8331" s="748">
        <f t="shared" si="369"/>
        <v>0</v>
      </c>
      <c r="G8331" s="1205"/>
      <c r="H8331" s="1055"/>
      <c r="I8331" s="1055"/>
      <c r="J8331" s="1055"/>
      <c r="K8331" s="1205"/>
      <c r="L8331" s="1055"/>
      <c r="M8331" s="1205"/>
      <c r="N8331" s="1054"/>
      <c r="O8331" s="1207"/>
      <c r="Q8331" s="1207"/>
    </row>
    <row r="8332" spans="3:17" s="700" customFormat="1" ht="70.5" hidden="1" customHeight="1">
      <c r="C8332" s="701"/>
      <c r="D8332" s="811"/>
      <c r="E8332" s="1276">
        <f>[11]building!Y8663</f>
        <v>0</v>
      </c>
      <c r="F8332" s="748">
        <f t="shared" si="369"/>
        <v>0</v>
      </c>
      <c r="G8332" s="1205"/>
      <c r="H8332" s="1055"/>
      <c r="I8332" s="1055"/>
      <c r="J8332" s="1055"/>
      <c r="K8332" s="1205"/>
      <c r="L8332" s="1055"/>
      <c r="M8332" s="1205"/>
      <c r="N8332" s="1054"/>
      <c r="O8332" s="1207"/>
      <c r="Q8332" s="1207"/>
    </row>
    <row r="8333" spans="3:17" s="700" customFormat="1" ht="70.5" hidden="1" customHeight="1">
      <c r="C8333" s="701"/>
      <c r="D8333" s="811"/>
      <c r="E8333" s="1276">
        <f>[11]building!Y8664</f>
        <v>0</v>
      </c>
      <c r="F8333" s="748">
        <f t="shared" si="369"/>
        <v>0</v>
      </c>
      <c r="G8333" s="1205"/>
      <c r="H8333" s="1055"/>
      <c r="I8333" s="1055"/>
      <c r="J8333" s="1055"/>
      <c r="K8333" s="1205"/>
      <c r="L8333" s="1055"/>
      <c r="M8333" s="1205"/>
      <c r="N8333" s="1054"/>
      <c r="O8333" s="1207"/>
      <c r="Q8333" s="1207"/>
    </row>
    <row r="8334" spans="3:17" s="700" customFormat="1" ht="70.5" hidden="1" customHeight="1">
      <c r="C8334" s="701"/>
      <c r="D8334" s="811"/>
      <c r="E8334" s="1276">
        <f>[11]building!Y8665</f>
        <v>0</v>
      </c>
      <c r="F8334" s="748">
        <f t="shared" si="369"/>
        <v>0</v>
      </c>
      <c r="G8334" s="1205"/>
      <c r="H8334" s="1055"/>
      <c r="I8334" s="1055"/>
      <c r="J8334" s="1055"/>
      <c r="K8334" s="1205"/>
      <c r="L8334" s="1055"/>
      <c r="M8334" s="1205"/>
      <c r="N8334" s="1054"/>
      <c r="O8334" s="1207"/>
      <c r="Q8334" s="1207"/>
    </row>
    <row r="8335" spans="3:17" s="700" customFormat="1" ht="70.5" hidden="1" customHeight="1">
      <c r="C8335" s="701"/>
      <c r="D8335" s="811"/>
      <c r="E8335" s="1276">
        <f>[11]building!Y8666</f>
        <v>0</v>
      </c>
      <c r="F8335" s="748">
        <f t="shared" si="369"/>
        <v>0</v>
      </c>
      <c r="G8335" s="1205"/>
      <c r="H8335" s="1055"/>
      <c r="I8335" s="1055"/>
      <c r="J8335" s="1055"/>
      <c r="K8335" s="1205"/>
      <c r="L8335" s="1055"/>
      <c r="M8335" s="1205"/>
      <c r="N8335" s="1054"/>
      <c r="O8335" s="1207"/>
      <c r="Q8335" s="1207"/>
    </row>
    <row r="8336" spans="3:17" s="700" customFormat="1" ht="70.5" hidden="1" customHeight="1">
      <c r="C8336" s="701"/>
      <c r="D8336" s="811"/>
      <c r="E8336" s="1276">
        <f>[11]building!Y8667</f>
        <v>0</v>
      </c>
      <c r="F8336" s="748">
        <f t="shared" si="369"/>
        <v>0</v>
      </c>
      <c r="G8336" s="1205"/>
      <c r="H8336" s="1055"/>
      <c r="I8336" s="1055"/>
      <c r="J8336" s="1055"/>
      <c r="K8336" s="1205"/>
      <c r="L8336" s="1055"/>
      <c r="M8336" s="1205"/>
      <c r="N8336" s="1054"/>
      <c r="O8336" s="1207"/>
      <c r="Q8336" s="1207"/>
    </row>
    <row r="8337" spans="3:17" s="700" customFormat="1" ht="70.5" hidden="1" customHeight="1">
      <c r="C8337" s="701"/>
      <c r="D8337" s="811"/>
      <c r="E8337" s="1276">
        <f>[11]building!Y8668</f>
        <v>0</v>
      </c>
      <c r="F8337" s="748">
        <f t="shared" si="369"/>
        <v>0</v>
      </c>
      <c r="G8337" s="1205"/>
      <c r="H8337" s="1055"/>
      <c r="I8337" s="1055"/>
      <c r="J8337" s="1055"/>
      <c r="K8337" s="1205"/>
      <c r="L8337" s="1055"/>
      <c r="M8337" s="1205"/>
      <c r="N8337" s="1054"/>
      <c r="O8337" s="1207"/>
      <c r="Q8337" s="1207"/>
    </row>
    <row r="8338" spans="3:17" s="700" customFormat="1" ht="70.5" hidden="1" customHeight="1">
      <c r="C8338" s="701"/>
      <c r="D8338" s="811"/>
      <c r="E8338" s="1276">
        <f>[11]building!Y8669</f>
        <v>0</v>
      </c>
      <c r="F8338" s="748">
        <f t="shared" si="369"/>
        <v>0</v>
      </c>
      <c r="G8338" s="1205"/>
      <c r="H8338" s="1055"/>
      <c r="I8338" s="1055"/>
      <c r="J8338" s="1055"/>
      <c r="K8338" s="1205"/>
      <c r="L8338" s="1055"/>
      <c r="M8338" s="1205"/>
      <c r="N8338" s="1054"/>
      <c r="O8338" s="1207"/>
      <c r="Q8338" s="1207"/>
    </row>
    <row r="8339" spans="3:17" s="700" customFormat="1" ht="70.5" hidden="1" customHeight="1">
      <c r="C8339" s="701"/>
      <c r="D8339" s="811"/>
      <c r="E8339" s="1276">
        <f>[11]building!Y8670</f>
        <v>0</v>
      </c>
      <c r="F8339" s="748">
        <f t="shared" si="369"/>
        <v>0</v>
      </c>
      <c r="G8339" s="1205"/>
      <c r="H8339" s="1055"/>
      <c r="I8339" s="1055"/>
      <c r="J8339" s="1055"/>
      <c r="K8339" s="1205"/>
      <c r="L8339" s="1055"/>
      <c r="M8339" s="1205"/>
      <c r="N8339" s="1054"/>
      <c r="O8339" s="1207"/>
      <c r="Q8339" s="1207"/>
    </row>
    <row r="8340" spans="3:17" s="700" customFormat="1" ht="70.5" hidden="1" customHeight="1">
      <c r="C8340" s="701"/>
      <c r="D8340" s="811"/>
      <c r="E8340" s="1276">
        <f>[11]building!Y8671</f>
        <v>0</v>
      </c>
      <c r="F8340" s="748">
        <f t="shared" si="369"/>
        <v>0</v>
      </c>
      <c r="G8340" s="1205"/>
      <c r="H8340" s="1055"/>
      <c r="I8340" s="1055"/>
      <c r="J8340" s="1055"/>
      <c r="K8340" s="1205"/>
      <c r="L8340" s="1055"/>
      <c r="M8340" s="1205"/>
      <c r="N8340" s="1054"/>
      <c r="O8340" s="1207"/>
      <c r="Q8340" s="1207"/>
    </row>
    <row r="8341" spans="3:17" s="700" customFormat="1" ht="70.5" hidden="1" customHeight="1">
      <c r="C8341" s="701"/>
      <c r="D8341" s="811"/>
      <c r="E8341" s="1276">
        <f>[11]building!Y8672</f>
        <v>0</v>
      </c>
      <c r="F8341" s="748">
        <f t="shared" si="369"/>
        <v>0</v>
      </c>
      <c r="G8341" s="1205"/>
      <c r="H8341" s="1055"/>
      <c r="I8341" s="1055"/>
      <c r="J8341" s="1055"/>
      <c r="K8341" s="1205"/>
      <c r="L8341" s="1055"/>
      <c r="M8341" s="1205"/>
      <c r="N8341" s="1054"/>
      <c r="O8341" s="1207"/>
      <c r="Q8341" s="1207"/>
    </row>
    <row r="8342" spans="3:17" s="700" customFormat="1" ht="70.5" hidden="1" customHeight="1">
      <c r="C8342" s="701"/>
      <c r="D8342" s="811"/>
      <c r="E8342" s="1276">
        <f>[11]building!Y8673</f>
        <v>0</v>
      </c>
      <c r="F8342" s="748">
        <f t="shared" si="369"/>
        <v>0</v>
      </c>
      <c r="G8342" s="1205"/>
      <c r="H8342" s="1055"/>
      <c r="I8342" s="1055"/>
      <c r="J8342" s="1055"/>
      <c r="K8342" s="1205"/>
      <c r="L8342" s="1055"/>
      <c r="M8342" s="1205"/>
      <c r="N8342" s="1054"/>
      <c r="O8342" s="1207"/>
      <c r="Q8342" s="1207"/>
    </row>
    <row r="8343" spans="3:17" s="700" customFormat="1" ht="70.5" hidden="1" customHeight="1">
      <c r="C8343" s="701"/>
      <c r="D8343" s="811"/>
      <c r="E8343" s="1276">
        <f>[11]building!Y8674</f>
        <v>0</v>
      </c>
      <c r="F8343" s="748">
        <f t="shared" si="369"/>
        <v>0</v>
      </c>
      <c r="G8343" s="1205"/>
      <c r="H8343" s="1055"/>
      <c r="I8343" s="1055"/>
      <c r="J8343" s="1055"/>
      <c r="K8343" s="1205"/>
      <c r="L8343" s="1055"/>
      <c r="M8343" s="1205"/>
      <c r="N8343" s="1054"/>
      <c r="O8343" s="1207"/>
      <c r="Q8343" s="1207"/>
    </row>
    <row r="8344" spans="3:17" s="700" customFormat="1" ht="70.5" hidden="1" customHeight="1">
      <c r="C8344" s="701"/>
      <c r="D8344" s="811"/>
      <c r="E8344" s="1276">
        <f>[11]building!Y8675</f>
        <v>0</v>
      </c>
      <c r="F8344" s="748">
        <f t="shared" si="369"/>
        <v>0</v>
      </c>
      <c r="G8344" s="1205"/>
      <c r="H8344" s="1055"/>
      <c r="I8344" s="1055"/>
      <c r="J8344" s="1055"/>
      <c r="K8344" s="1205"/>
      <c r="L8344" s="1055"/>
      <c r="M8344" s="1205"/>
      <c r="N8344" s="1054"/>
      <c r="O8344" s="1207"/>
      <c r="Q8344" s="1207"/>
    </row>
    <row r="8345" spans="3:17" s="700" customFormat="1" ht="70.5" hidden="1" customHeight="1">
      <c r="C8345" s="701"/>
      <c r="D8345" s="811"/>
      <c r="E8345" s="1276">
        <f>[11]building!Y8676</f>
        <v>0</v>
      </c>
      <c r="F8345" s="748">
        <f t="shared" si="369"/>
        <v>0</v>
      </c>
      <c r="G8345" s="1205"/>
      <c r="H8345" s="1055"/>
      <c r="I8345" s="1055"/>
      <c r="J8345" s="1055"/>
      <c r="K8345" s="1205"/>
      <c r="L8345" s="1055"/>
      <c r="M8345" s="1205"/>
      <c r="N8345" s="1054"/>
      <c r="O8345" s="1207"/>
      <c r="Q8345" s="1207"/>
    </row>
    <row r="8346" spans="3:17" s="700" customFormat="1" ht="70.5" hidden="1" customHeight="1">
      <c r="C8346" s="701"/>
      <c r="D8346" s="811"/>
      <c r="E8346" s="1276">
        <f>[11]building!Y8677</f>
        <v>0</v>
      </c>
      <c r="F8346" s="748">
        <f t="shared" si="369"/>
        <v>0</v>
      </c>
      <c r="G8346" s="1205"/>
      <c r="H8346" s="1055"/>
      <c r="I8346" s="1055"/>
      <c r="J8346" s="1055"/>
      <c r="K8346" s="1205"/>
      <c r="L8346" s="1055"/>
      <c r="M8346" s="1205"/>
      <c r="N8346" s="1054"/>
      <c r="O8346" s="1207"/>
      <c r="Q8346" s="1207"/>
    </row>
    <row r="8347" spans="3:17" s="700" customFormat="1" ht="70.5" hidden="1" customHeight="1">
      <c r="C8347" s="701"/>
      <c r="D8347" s="811"/>
      <c r="E8347" s="1276">
        <f>[11]building!Y8678</f>
        <v>0</v>
      </c>
      <c r="F8347" s="748">
        <f t="shared" si="369"/>
        <v>0</v>
      </c>
      <c r="G8347" s="1205"/>
      <c r="H8347" s="1055"/>
      <c r="I8347" s="1055"/>
      <c r="J8347" s="1055"/>
      <c r="K8347" s="1205"/>
      <c r="L8347" s="1055"/>
      <c r="M8347" s="1205"/>
      <c r="N8347" s="1054"/>
      <c r="O8347" s="1207"/>
      <c r="Q8347" s="1207"/>
    </row>
    <row r="8348" spans="3:17" s="700" customFormat="1" ht="70.5" hidden="1" customHeight="1">
      <c r="C8348" s="701"/>
      <c r="D8348" s="811"/>
      <c r="E8348" s="1276">
        <f>[11]building!Y8679</f>
        <v>0</v>
      </c>
      <c r="F8348" s="748">
        <f t="shared" si="369"/>
        <v>0</v>
      </c>
      <c r="G8348" s="1205"/>
      <c r="H8348" s="1055"/>
      <c r="I8348" s="1055"/>
      <c r="J8348" s="1055"/>
      <c r="K8348" s="1205"/>
      <c r="L8348" s="1055"/>
      <c r="M8348" s="1205"/>
      <c r="N8348" s="1054"/>
      <c r="O8348" s="1207"/>
      <c r="Q8348" s="1207"/>
    </row>
    <row r="8349" spans="3:17" s="700" customFormat="1" ht="70.5" hidden="1" customHeight="1">
      <c r="C8349" s="701"/>
      <c r="D8349" s="811"/>
      <c r="E8349" s="1276">
        <f>[11]building!Y8680</f>
        <v>0</v>
      </c>
      <c r="F8349" s="748">
        <f t="shared" si="369"/>
        <v>0</v>
      </c>
      <c r="G8349" s="1205"/>
      <c r="H8349" s="1055"/>
      <c r="I8349" s="1055"/>
      <c r="J8349" s="1055"/>
      <c r="K8349" s="1205"/>
      <c r="L8349" s="1055"/>
      <c r="M8349" s="1205"/>
      <c r="N8349" s="1054"/>
      <c r="O8349" s="1207"/>
      <c r="Q8349" s="1207"/>
    </row>
    <row r="8350" spans="3:17" s="700" customFormat="1" ht="70.5" hidden="1" customHeight="1">
      <c r="C8350" s="701"/>
      <c r="D8350" s="811"/>
      <c r="E8350" s="1276">
        <f>[11]building!Y8681</f>
        <v>0</v>
      </c>
      <c r="F8350" s="748">
        <f t="shared" si="369"/>
        <v>0</v>
      </c>
      <c r="G8350" s="1205"/>
      <c r="H8350" s="1055"/>
      <c r="I8350" s="1055"/>
      <c r="J8350" s="1055"/>
      <c r="K8350" s="1205"/>
      <c r="L8350" s="1055"/>
      <c r="M8350" s="1205"/>
      <c r="N8350" s="1054"/>
      <c r="O8350" s="1207"/>
      <c r="Q8350" s="1207"/>
    </row>
    <row r="8351" spans="3:17" s="700" customFormat="1" ht="70.5" hidden="1" customHeight="1">
      <c r="C8351" s="701"/>
      <c r="D8351" s="811"/>
      <c r="E8351" s="1276">
        <f>[11]building!Y8682</f>
        <v>0</v>
      </c>
      <c r="F8351" s="748">
        <f t="shared" si="369"/>
        <v>0</v>
      </c>
      <c r="G8351" s="1205"/>
      <c r="H8351" s="1055"/>
      <c r="I8351" s="1055"/>
      <c r="J8351" s="1055"/>
      <c r="K8351" s="1205"/>
      <c r="L8351" s="1055"/>
      <c r="M8351" s="1205"/>
      <c r="N8351" s="1054"/>
      <c r="O8351" s="1207"/>
      <c r="Q8351" s="1207"/>
    </row>
    <row r="8352" spans="3:17" s="700" customFormat="1" ht="70.5" hidden="1" customHeight="1">
      <c r="C8352" s="701"/>
      <c r="D8352" s="811"/>
      <c r="E8352" s="1276">
        <f>[11]building!Y8683</f>
        <v>0</v>
      </c>
      <c r="F8352" s="748">
        <f t="shared" si="369"/>
        <v>0</v>
      </c>
      <c r="G8352" s="1205"/>
      <c r="H8352" s="1055"/>
      <c r="I8352" s="1055"/>
      <c r="J8352" s="1055"/>
      <c r="K8352" s="1205"/>
      <c r="L8352" s="1055"/>
      <c r="M8352" s="1205"/>
      <c r="N8352" s="1054"/>
      <c r="O8352" s="1207"/>
      <c r="Q8352" s="1207"/>
    </row>
    <row r="8353" spans="3:17" s="700" customFormat="1" ht="70.5" hidden="1" customHeight="1">
      <c r="C8353" s="701"/>
      <c r="D8353" s="811"/>
      <c r="E8353" s="1276">
        <f>[11]building!Y8684</f>
        <v>0</v>
      </c>
      <c r="F8353" s="748">
        <f t="shared" si="369"/>
        <v>0</v>
      </c>
      <c r="G8353" s="1205"/>
      <c r="H8353" s="1055"/>
      <c r="I8353" s="1055"/>
      <c r="J8353" s="1055"/>
      <c r="K8353" s="1205"/>
      <c r="L8353" s="1055"/>
      <c r="M8353" s="1205"/>
      <c r="N8353" s="1054"/>
      <c r="O8353" s="1207"/>
      <c r="Q8353" s="1207"/>
    </row>
    <row r="8354" spans="3:17" s="700" customFormat="1" ht="70.5" hidden="1" customHeight="1">
      <c r="C8354" s="701"/>
      <c r="D8354" s="811"/>
      <c r="E8354" s="1276">
        <f>[11]building!Y8685</f>
        <v>0</v>
      </c>
      <c r="F8354" s="748">
        <f t="shared" si="369"/>
        <v>0</v>
      </c>
      <c r="G8354" s="1205"/>
      <c r="H8354" s="1055"/>
      <c r="I8354" s="1055"/>
      <c r="J8354" s="1055"/>
      <c r="K8354" s="1205"/>
      <c r="L8354" s="1055"/>
      <c r="M8354" s="1205"/>
      <c r="N8354" s="1054"/>
      <c r="O8354" s="1207"/>
      <c r="Q8354" s="1207"/>
    </row>
    <row r="8355" spans="3:17" s="700" customFormat="1" ht="70.5" hidden="1" customHeight="1">
      <c r="C8355" s="701"/>
      <c r="D8355" s="811"/>
      <c r="E8355" s="1276">
        <f>[11]building!Y8686</f>
        <v>0</v>
      </c>
      <c r="F8355" s="748">
        <f t="shared" si="369"/>
        <v>0</v>
      </c>
      <c r="G8355" s="1205"/>
      <c r="H8355" s="1055"/>
      <c r="I8355" s="1055"/>
      <c r="J8355" s="1055"/>
      <c r="K8355" s="1205"/>
      <c r="L8355" s="1055"/>
      <c r="M8355" s="1205"/>
      <c r="N8355" s="1054"/>
      <c r="O8355" s="1207"/>
      <c r="Q8355" s="1207"/>
    </row>
    <row r="8356" spans="3:17" s="700" customFormat="1" ht="70.5" hidden="1" customHeight="1">
      <c r="C8356" s="701"/>
      <c r="D8356" s="811"/>
      <c r="E8356" s="1276">
        <f>[11]building!Y8687</f>
        <v>0</v>
      </c>
      <c r="F8356" s="748">
        <f t="shared" si="369"/>
        <v>0</v>
      </c>
      <c r="G8356" s="1205"/>
      <c r="H8356" s="1055"/>
      <c r="I8356" s="1055"/>
      <c r="J8356" s="1055"/>
      <c r="K8356" s="1205"/>
      <c r="L8356" s="1055"/>
      <c r="M8356" s="1205"/>
      <c r="N8356" s="1054"/>
      <c r="O8356" s="1207"/>
      <c r="Q8356" s="1207"/>
    </row>
    <row r="8357" spans="3:17" s="700" customFormat="1" ht="70.5" hidden="1" customHeight="1">
      <c r="C8357" s="701"/>
      <c r="D8357" s="811"/>
      <c r="E8357" s="1276">
        <f>[11]building!Y8688</f>
        <v>0</v>
      </c>
      <c r="F8357" s="748">
        <f t="shared" si="369"/>
        <v>0</v>
      </c>
      <c r="G8357" s="1205"/>
      <c r="H8357" s="1055"/>
      <c r="I8357" s="1055"/>
      <c r="J8357" s="1055"/>
      <c r="K8357" s="1205"/>
      <c r="L8357" s="1055"/>
      <c r="M8357" s="1205"/>
      <c r="N8357" s="1054"/>
      <c r="O8357" s="1207"/>
      <c r="Q8357" s="1207"/>
    </row>
    <row r="8358" spans="3:17" s="700" customFormat="1" ht="70.5" hidden="1" customHeight="1">
      <c r="C8358" s="701"/>
      <c r="D8358" s="811"/>
      <c r="E8358" s="1276">
        <f>[11]building!Y8689</f>
        <v>0</v>
      </c>
      <c r="F8358" s="748">
        <f t="shared" si="369"/>
        <v>0</v>
      </c>
      <c r="G8358" s="1205"/>
      <c r="H8358" s="1055"/>
      <c r="I8358" s="1055"/>
      <c r="J8358" s="1055"/>
      <c r="K8358" s="1205"/>
      <c r="L8358" s="1055"/>
      <c r="M8358" s="1205"/>
      <c r="N8358" s="1054"/>
      <c r="O8358" s="1207"/>
      <c r="Q8358" s="1207"/>
    </row>
    <row r="8359" spans="3:17" s="700" customFormat="1" ht="70.5" hidden="1" customHeight="1">
      <c r="C8359" s="701"/>
      <c r="D8359" s="811"/>
      <c r="E8359" s="1276">
        <f>[11]building!Y8690</f>
        <v>0</v>
      </c>
      <c r="F8359" s="748">
        <f t="shared" si="369"/>
        <v>0</v>
      </c>
      <c r="G8359" s="1205"/>
      <c r="H8359" s="1055"/>
      <c r="I8359" s="1055"/>
      <c r="J8359" s="1055"/>
      <c r="K8359" s="1205"/>
      <c r="L8359" s="1055"/>
      <c r="M8359" s="1205"/>
      <c r="N8359" s="1054"/>
      <c r="O8359" s="1207"/>
      <c r="Q8359" s="1207"/>
    </row>
    <row r="8360" spans="3:17" s="700" customFormat="1" ht="70.5" hidden="1" customHeight="1">
      <c r="C8360" s="701"/>
      <c r="D8360" s="811"/>
      <c r="E8360" s="1276">
        <f>[11]building!Y8691</f>
        <v>0</v>
      </c>
      <c r="F8360" s="748">
        <f t="shared" si="369"/>
        <v>0</v>
      </c>
      <c r="G8360" s="1205"/>
      <c r="H8360" s="1055"/>
      <c r="I8360" s="1055"/>
      <c r="J8360" s="1055"/>
      <c r="K8360" s="1205"/>
      <c r="L8360" s="1055"/>
      <c r="M8360" s="1205"/>
      <c r="N8360" s="1054"/>
      <c r="O8360" s="1207"/>
      <c r="Q8360" s="1207"/>
    </row>
    <row r="8361" spans="3:17" s="700" customFormat="1" ht="70.5" hidden="1" customHeight="1">
      <c r="C8361" s="701"/>
      <c r="D8361" s="811"/>
      <c r="E8361" s="1276">
        <f>[11]building!Y8692</f>
        <v>0</v>
      </c>
      <c r="F8361" s="748">
        <f t="shared" si="369"/>
        <v>0</v>
      </c>
      <c r="G8361" s="1205"/>
      <c r="H8361" s="1055"/>
      <c r="I8361" s="1055"/>
      <c r="J8361" s="1055"/>
      <c r="K8361" s="1205"/>
      <c r="L8361" s="1055"/>
      <c r="M8361" s="1205"/>
      <c r="N8361" s="1054"/>
      <c r="O8361" s="1207"/>
      <c r="Q8361" s="1207"/>
    </row>
    <row r="8362" spans="3:17" s="700" customFormat="1" ht="70.5" hidden="1" customHeight="1">
      <c r="C8362" s="701"/>
      <c r="D8362" s="811"/>
      <c r="E8362" s="1276">
        <f>[11]building!Y8693</f>
        <v>0</v>
      </c>
      <c r="F8362" s="748">
        <f t="shared" si="369"/>
        <v>0</v>
      </c>
      <c r="G8362" s="1205"/>
      <c r="H8362" s="1055"/>
      <c r="I8362" s="1055"/>
      <c r="J8362" s="1055"/>
      <c r="K8362" s="1205"/>
      <c r="L8362" s="1055"/>
      <c r="M8362" s="1205"/>
      <c r="N8362" s="1054"/>
      <c r="O8362" s="1207"/>
      <c r="Q8362" s="1207"/>
    </row>
    <row r="8363" spans="3:17" s="700" customFormat="1" ht="70.5" hidden="1" customHeight="1">
      <c r="C8363" s="701"/>
      <c r="D8363" s="811"/>
      <c r="E8363" s="1276">
        <f>[11]building!Y8694</f>
        <v>0</v>
      </c>
      <c r="F8363" s="748">
        <f t="shared" si="369"/>
        <v>0</v>
      </c>
      <c r="G8363" s="1205"/>
      <c r="H8363" s="1055"/>
      <c r="I8363" s="1055"/>
      <c r="J8363" s="1055"/>
      <c r="K8363" s="1205"/>
      <c r="L8363" s="1055"/>
      <c r="M8363" s="1205"/>
      <c r="N8363" s="1054"/>
      <c r="O8363" s="1207"/>
      <c r="Q8363" s="1207"/>
    </row>
    <row r="8364" spans="3:17" s="700" customFormat="1" ht="70.5" hidden="1" customHeight="1">
      <c r="C8364" s="701"/>
      <c r="D8364" s="811"/>
      <c r="E8364" s="1276">
        <f>[11]building!Y8695</f>
        <v>0</v>
      </c>
      <c r="F8364" s="748">
        <f t="shared" si="369"/>
        <v>0</v>
      </c>
      <c r="G8364" s="1205"/>
      <c r="H8364" s="1055"/>
      <c r="I8364" s="1055"/>
      <c r="J8364" s="1055"/>
      <c r="K8364" s="1205"/>
      <c r="L8364" s="1055"/>
      <c r="M8364" s="1205"/>
      <c r="N8364" s="1054"/>
      <c r="O8364" s="1207"/>
      <c r="Q8364" s="1207"/>
    </row>
    <row r="8365" spans="3:17" s="700" customFormat="1" ht="70.5" hidden="1" customHeight="1">
      <c r="C8365" s="701"/>
      <c r="D8365" s="811"/>
      <c r="E8365" s="1276">
        <f>[11]building!Y8696</f>
        <v>0</v>
      </c>
      <c r="F8365" s="748">
        <f t="shared" si="369"/>
        <v>0</v>
      </c>
      <c r="G8365" s="1205"/>
      <c r="H8365" s="1055"/>
      <c r="I8365" s="1055"/>
      <c r="J8365" s="1055"/>
      <c r="K8365" s="1205"/>
      <c r="L8365" s="1055"/>
      <c r="M8365" s="1205"/>
      <c r="N8365" s="1054"/>
      <c r="O8365" s="1207"/>
      <c r="Q8365" s="1207"/>
    </row>
    <row r="8366" spans="3:17" s="700" customFormat="1" ht="70.5" hidden="1" customHeight="1">
      <c r="C8366" s="701"/>
      <c r="D8366" s="811"/>
      <c r="E8366" s="1276">
        <f>[11]building!Y8697</f>
        <v>0</v>
      </c>
      <c r="F8366" s="748">
        <f t="shared" si="369"/>
        <v>0</v>
      </c>
      <c r="G8366" s="1205"/>
      <c r="H8366" s="1055"/>
      <c r="I8366" s="1055"/>
      <c r="J8366" s="1055"/>
      <c r="K8366" s="1205"/>
      <c r="L8366" s="1055"/>
      <c r="M8366" s="1205"/>
      <c r="N8366" s="1054"/>
      <c r="O8366" s="1207"/>
      <c r="Q8366" s="1207"/>
    </row>
    <row r="8367" spans="3:17" s="700" customFormat="1" ht="70.5" hidden="1" customHeight="1">
      <c r="C8367" s="701"/>
      <c r="D8367" s="811"/>
      <c r="E8367" s="1276">
        <f>[11]building!Y8698</f>
        <v>0</v>
      </c>
      <c r="F8367" s="748">
        <f t="shared" si="369"/>
        <v>0</v>
      </c>
      <c r="G8367" s="1205"/>
      <c r="H8367" s="1055"/>
      <c r="I8367" s="1055"/>
      <c r="J8367" s="1055"/>
      <c r="K8367" s="1205"/>
      <c r="L8367" s="1055"/>
      <c r="M8367" s="1205"/>
      <c r="N8367" s="1054"/>
      <c r="O8367" s="1207"/>
      <c r="Q8367" s="1207"/>
    </row>
    <row r="8368" spans="3:17" s="700" customFormat="1" ht="70.5" hidden="1" customHeight="1">
      <c r="C8368" s="701"/>
      <c r="D8368" s="811"/>
      <c r="E8368" s="1276">
        <f>[11]building!Y8699</f>
        <v>0</v>
      </c>
      <c r="F8368" s="748">
        <f t="shared" si="369"/>
        <v>0</v>
      </c>
      <c r="G8368" s="1205"/>
      <c r="H8368" s="1055"/>
      <c r="I8368" s="1055"/>
      <c r="J8368" s="1055"/>
      <c r="K8368" s="1205"/>
      <c r="L8368" s="1055"/>
      <c r="M8368" s="1205"/>
      <c r="N8368" s="1054"/>
      <c r="O8368" s="1207"/>
      <c r="Q8368" s="1207"/>
    </row>
    <row r="8369" spans="3:17" s="700" customFormat="1" ht="70.5" hidden="1" customHeight="1">
      <c r="C8369" s="701"/>
      <c r="D8369" s="811"/>
      <c r="E8369" s="1276">
        <f>[11]building!Y8700</f>
        <v>0</v>
      </c>
      <c r="F8369" s="748">
        <f t="shared" si="369"/>
        <v>0</v>
      </c>
      <c r="G8369" s="1205"/>
      <c r="H8369" s="1055"/>
      <c r="I8369" s="1055"/>
      <c r="J8369" s="1055"/>
      <c r="K8369" s="1205"/>
      <c r="L8369" s="1055"/>
      <c r="M8369" s="1205"/>
      <c r="N8369" s="1054"/>
      <c r="O8369" s="1207"/>
      <c r="Q8369" s="1207"/>
    </row>
    <row r="8370" spans="3:17" s="700" customFormat="1" ht="70.5" hidden="1" customHeight="1">
      <c r="C8370" s="701"/>
      <c r="D8370" s="811"/>
      <c r="E8370" s="1276">
        <f>[11]building!Y8701</f>
        <v>0</v>
      </c>
      <c r="F8370" s="748">
        <f t="shared" si="369"/>
        <v>0</v>
      </c>
      <c r="G8370" s="1205"/>
      <c r="H8370" s="1055"/>
      <c r="I8370" s="1055"/>
      <c r="J8370" s="1055"/>
      <c r="K8370" s="1205"/>
      <c r="L8370" s="1055"/>
      <c r="M8370" s="1205"/>
      <c r="N8370" s="1054"/>
      <c r="O8370" s="1207"/>
      <c r="Q8370" s="1207"/>
    </row>
    <row r="8371" spans="3:17" s="700" customFormat="1" ht="70.5" hidden="1" customHeight="1">
      <c r="C8371" s="701"/>
      <c r="D8371" s="811"/>
      <c r="E8371" s="1276">
        <f>[11]building!Y8702</f>
        <v>0</v>
      </c>
      <c r="F8371" s="748">
        <f t="shared" si="369"/>
        <v>0</v>
      </c>
      <c r="G8371" s="1205"/>
      <c r="H8371" s="1055"/>
      <c r="I8371" s="1055"/>
      <c r="J8371" s="1055"/>
      <c r="K8371" s="1205"/>
      <c r="L8371" s="1055"/>
      <c r="M8371" s="1205"/>
      <c r="N8371" s="1054"/>
      <c r="O8371" s="1207"/>
      <c r="Q8371" s="1207"/>
    </row>
    <row r="8372" spans="3:17" s="700" customFormat="1" ht="70.5" hidden="1" customHeight="1">
      <c r="C8372" s="701"/>
      <c r="D8372" s="811"/>
      <c r="E8372" s="1276">
        <f>[11]building!Y8703</f>
        <v>0</v>
      </c>
      <c r="F8372" s="748">
        <f t="shared" si="369"/>
        <v>0</v>
      </c>
      <c r="G8372" s="1205"/>
      <c r="H8372" s="1055"/>
      <c r="I8372" s="1055"/>
      <c r="J8372" s="1055"/>
      <c r="K8372" s="1205"/>
      <c r="L8372" s="1055"/>
      <c r="M8372" s="1205"/>
      <c r="N8372" s="1054"/>
      <c r="O8372" s="1207"/>
      <c r="Q8372" s="1207"/>
    </row>
    <row r="8373" spans="3:17" s="700" customFormat="1" ht="70.5" hidden="1" customHeight="1">
      <c r="C8373" s="701"/>
      <c r="D8373" s="811"/>
      <c r="E8373" s="1276">
        <f>[11]building!Y8704</f>
        <v>0</v>
      </c>
      <c r="F8373" s="748">
        <f t="shared" si="369"/>
        <v>0</v>
      </c>
      <c r="G8373" s="1205"/>
      <c r="H8373" s="1055"/>
      <c r="I8373" s="1055"/>
      <c r="J8373" s="1055"/>
      <c r="K8373" s="1205"/>
      <c r="L8373" s="1055"/>
      <c r="M8373" s="1205"/>
      <c r="N8373" s="1054"/>
      <c r="O8373" s="1207"/>
      <c r="Q8373" s="1207"/>
    </row>
    <row r="8374" spans="3:17" s="700" customFormat="1" ht="70.5" hidden="1" customHeight="1">
      <c r="C8374" s="701"/>
      <c r="D8374" s="811"/>
      <c r="E8374" s="1276">
        <f>[11]building!Y8705</f>
        <v>0</v>
      </c>
      <c r="F8374" s="748">
        <f t="shared" si="369"/>
        <v>0</v>
      </c>
      <c r="G8374" s="1205"/>
      <c r="H8374" s="1055"/>
      <c r="I8374" s="1055"/>
      <c r="J8374" s="1055"/>
      <c r="K8374" s="1205"/>
      <c r="L8374" s="1055"/>
      <c r="M8374" s="1205"/>
      <c r="N8374" s="1054"/>
      <c r="O8374" s="1207"/>
      <c r="Q8374" s="1207"/>
    </row>
    <row r="8375" spans="3:17" s="700" customFormat="1" ht="70.5" hidden="1" customHeight="1">
      <c r="C8375" s="701"/>
      <c r="D8375" s="811"/>
      <c r="E8375" s="1276">
        <f>[11]building!Y8706</f>
        <v>0</v>
      </c>
      <c r="F8375" s="748">
        <f t="shared" si="369"/>
        <v>0</v>
      </c>
      <c r="G8375" s="1205"/>
      <c r="H8375" s="1055"/>
      <c r="I8375" s="1055"/>
      <c r="J8375" s="1055"/>
      <c r="K8375" s="1205"/>
      <c r="L8375" s="1055"/>
      <c r="M8375" s="1205"/>
      <c r="N8375" s="1054"/>
      <c r="O8375" s="1207"/>
      <c r="Q8375" s="1207"/>
    </row>
    <row r="8376" spans="3:17" s="700" customFormat="1" ht="70.5" hidden="1" customHeight="1">
      <c r="C8376" s="701"/>
      <c r="D8376" s="811"/>
      <c r="E8376" s="1276">
        <f>[11]building!Y8707</f>
        <v>0</v>
      </c>
      <c r="F8376" s="748">
        <f t="shared" si="369"/>
        <v>0</v>
      </c>
      <c r="G8376" s="1205"/>
      <c r="H8376" s="1055"/>
      <c r="I8376" s="1055"/>
      <c r="J8376" s="1055"/>
      <c r="K8376" s="1205"/>
      <c r="L8376" s="1055"/>
      <c r="M8376" s="1205"/>
      <c r="N8376" s="1054"/>
      <c r="O8376" s="1207"/>
      <c r="Q8376" s="1207"/>
    </row>
    <row r="8377" spans="3:17" s="700" customFormat="1" ht="70.5" hidden="1" customHeight="1">
      <c r="C8377" s="701"/>
      <c r="D8377" s="811"/>
      <c r="E8377" s="1276">
        <f>[11]building!Y8708</f>
        <v>0</v>
      </c>
      <c r="F8377" s="748">
        <f t="shared" si="369"/>
        <v>0</v>
      </c>
      <c r="G8377" s="1205"/>
      <c r="H8377" s="1055"/>
      <c r="I8377" s="1055"/>
      <c r="J8377" s="1055"/>
      <c r="K8377" s="1205"/>
      <c r="L8377" s="1055"/>
      <c r="M8377" s="1205"/>
      <c r="N8377" s="1054"/>
      <c r="O8377" s="1207"/>
      <c r="Q8377" s="1207"/>
    </row>
    <row r="8378" spans="3:17" s="700" customFormat="1" ht="70.5" hidden="1" customHeight="1">
      <c r="C8378" s="701"/>
      <c r="D8378" s="811"/>
      <c r="E8378" s="1276">
        <f>[11]building!Y8709</f>
        <v>0</v>
      </c>
      <c r="F8378" s="748">
        <f t="shared" si="369"/>
        <v>0</v>
      </c>
      <c r="G8378" s="1205"/>
      <c r="H8378" s="1055"/>
      <c r="I8378" s="1055"/>
      <c r="J8378" s="1055"/>
      <c r="K8378" s="1205"/>
      <c r="L8378" s="1055"/>
      <c r="M8378" s="1205"/>
      <c r="N8378" s="1054"/>
      <c r="O8378" s="1207"/>
      <c r="Q8378" s="1207"/>
    </row>
    <row r="8379" spans="3:17" s="700" customFormat="1" ht="70.5" hidden="1" customHeight="1">
      <c r="C8379" s="701"/>
      <c r="D8379" s="811"/>
      <c r="E8379" s="1276">
        <f>[11]building!Y8710</f>
        <v>0</v>
      </c>
      <c r="F8379" s="748">
        <f t="shared" si="369"/>
        <v>0</v>
      </c>
      <c r="G8379" s="1205"/>
      <c r="H8379" s="1055"/>
      <c r="I8379" s="1055"/>
      <c r="J8379" s="1055"/>
      <c r="K8379" s="1205"/>
      <c r="L8379" s="1055"/>
      <c r="M8379" s="1205"/>
      <c r="N8379" s="1054"/>
      <c r="O8379" s="1207"/>
      <c r="Q8379" s="1207"/>
    </row>
    <row r="8380" spans="3:17" s="700" customFormat="1" ht="70.5" hidden="1" customHeight="1">
      <c r="C8380" s="701"/>
      <c r="D8380" s="811"/>
      <c r="E8380" s="1276">
        <f>[11]building!Y8711</f>
        <v>0</v>
      </c>
      <c r="F8380" s="748">
        <f t="shared" si="369"/>
        <v>0</v>
      </c>
      <c r="G8380" s="1205"/>
      <c r="H8380" s="1055"/>
      <c r="I8380" s="1055"/>
      <c r="J8380" s="1055"/>
      <c r="K8380" s="1205"/>
      <c r="L8380" s="1055"/>
      <c r="M8380" s="1205"/>
      <c r="N8380" s="1054"/>
      <c r="O8380" s="1207"/>
      <c r="Q8380" s="1207"/>
    </row>
    <row r="8381" spans="3:17" s="700" customFormat="1" ht="70.5" hidden="1" customHeight="1">
      <c r="C8381" s="701"/>
      <c r="D8381" s="811"/>
      <c r="E8381" s="1276">
        <f>[11]building!Y8712</f>
        <v>0</v>
      </c>
      <c r="F8381" s="748">
        <f t="shared" si="369"/>
        <v>0</v>
      </c>
      <c r="G8381" s="1205"/>
      <c r="H8381" s="1055"/>
      <c r="I8381" s="1055"/>
      <c r="J8381" s="1055"/>
      <c r="K8381" s="1205"/>
      <c r="L8381" s="1055"/>
      <c r="M8381" s="1205"/>
      <c r="N8381" s="1054"/>
      <c r="O8381" s="1207"/>
      <c r="Q8381" s="1207"/>
    </row>
    <row r="8382" spans="3:17" s="700" customFormat="1" ht="70.5" hidden="1" customHeight="1">
      <c r="C8382" s="701"/>
      <c r="D8382" s="811"/>
      <c r="E8382" s="1276">
        <f>[11]building!Y8713</f>
        <v>0</v>
      </c>
      <c r="F8382" s="748">
        <f t="shared" si="369"/>
        <v>0</v>
      </c>
      <c r="G8382" s="1205"/>
      <c r="H8382" s="1055"/>
      <c r="I8382" s="1055"/>
      <c r="J8382" s="1055"/>
      <c r="K8382" s="1205"/>
      <c r="L8382" s="1055"/>
      <c r="M8382" s="1205"/>
      <c r="N8382" s="1054"/>
      <c r="O8382" s="1207"/>
      <c r="Q8382" s="1207"/>
    </row>
    <row r="8383" spans="3:17" s="700" customFormat="1" ht="70.5" hidden="1" customHeight="1">
      <c r="C8383" s="701"/>
      <c r="D8383" s="811"/>
      <c r="E8383" s="1276">
        <f>[11]building!Y8714</f>
        <v>0</v>
      </c>
      <c r="F8383" s="748">
        <f t="shared" si="369"/>
        <v>0</v>
      </c>
      <c r="G8383" s="1205"/>
      <c r="H8383" s="1055"/>
      <c r="I8383" s="1055"/>
      <c r="J8383" s="1055"/>
      <c r="K8383" s="1205"/>
      <c r="L8383" s="1055"/>
      <c r="M8383" s="1205"/>
      <c r="N8383" s="1054"/>
      <c r="O8383" s="1207"/>
      <c r="Q8383" s="1207"/>
    </row>
    <row r="8384" spans="3:17" s="700" customFormat="1" ht="70.5" hidden="1" customHeight="1">
      <c r="C8384" s="701"/>
      <c r="D8384" s="811"/>
      <c r="E8384" s="1276">
        <f>[11]building!Y8715</f>
        <v>0</v>
      </c>
      <c r="F8384" s="748">
        <f t="shared" ref="F8384:F8447" si="370">E8384*C8384</f>
        <v>0</v>
      </c>
      <c r="G8384" s="1205"/>
      <c r="H8384" s="1055"/>
      <c r="I8384" s="1055"/>
      <c r="J8384" s="1055"/>
      <c r="K8384" s="1205"/>
      <c r="L8384" s="1055"/>
      <c r="M8384" s="1205"/>
      <c r="N8384" s="1054"/>
      <c r="O8384" s="1207"/>
      <c r="Q8384" s="1207"/>
    </row>
    <row r="8385" spans="3:17" s="700" customFormat="1" ht="70.5" hidden="1" customHeight="1">
      <c r="C8385" s="701"/>
      <c r="D8385" s="811"/>
      <c r="E8385" s="1276">
        <f>[11]building!Y8716</f>
        <v>0</v>
      </c>
      <c r="F8385" s="748">
        <f t="shared" si="370"/>
        <v>0</v>
      </c>
      <c r="G8385" s="1205"/>
      <c r="H8385" s="1055"/>
      <c r="I8385" s="1055"/>
      <c r="J8385" s="1055"/>
      <c r="K8385" s="1205"/>
      <c r="L8385" s="1055"/>
      <c r="M8385" s="1205"/>
      <c r="N8385" s="1054"/>
      <c r="O8385" s="1207"/>
      <c r="Q8385" s="1207"/>
    </row>
    <row r="8386" spans="3:17" s="700" customFormat="1" ht="70.5" hidden="1" customHeight="1">
      <c r="C8386" s="701"/>
      <c r="D8386" s="811"/>
      <c r="E8386" s="1276">
        <f>[11]building!Y8717</f>
        <v>0</v>
      </c>
      <c r="F8386" s="748">
        <f t="shared" si="370"/>
        <v>0</v>
      </c>
      <c r="G8386" s="1205"/>
      <c r="H8386" s="1055"/>
      <c r="I8386" s="1055"/>
      <c r="J8386" s="1055"/>
      <c r="K8386" s="1205"/>
      <c r="L8386" s="1055"/>
      <c r="M8386" s="1205"/>
      <c r="N8386" s="1054"/>
      <c r="O8386" s="1207"/>
      <c r="Q8386" s="1207"/>
    </row>
    <row r="8387" spans="3:17" s="700" customFormat="1" ht="70.5" hidden="1" customHeight="1">
      <c r="C8387" s="701"/>
      <c r="D8387" s="811"/>
      <c r="E8387" s="1276">
        <f>[11]building!Y8718</f>
        <v>0</v>
      </c>
      <c r="F8387" s="748">
        <f t="shared" si="370"/>
        <v>0</v>
      </c>
      <c r="G8387" s="1205"/>
      <c r="H8387" s="1055"/>
      <c r="I8387" s="1055"/>
      <c r="J8387" s="1055"/>
      <c r="K8387" s="1205"/>
      <c r="L8387" s="1055"/>
      <c r="M8387" s="1205"/>
      <c r="N8387" s="1054"/>
      <c r="O8387" s="1207"/>
      <c r="Q8387" s="1207"/>
    </row>
    <row r="8388" spans="3:17" s="700" customFormat="1" ht="70.5" hidden="1" customHeight="1">
      <c r="C8388" s="701"/>
      <c r="D8388" s="811"/>
      <c r="E8388" s="1276">
        <f>[11]building!Y8719</f>
        <v>0</v>
      </c>
      <c r="F8388" s="748">
        <f t="shared" si="370"/>
        <v>0</v>
      </c>
      <c r="G8388" s="1205"/>
      <c r="H8388" s="1055"/>
      <c r="I8388" s="1055"/>
      <c r="J8388" s="1055"/>
      <c r="K8388" s="1205"/>
      <c r="L8388" s="1055"/>
      <c r="M8388" s="1205"/>
      <c r="N8388" s="1054"/>
      <c r="O8388" s="1207"/>
      <c r="Q8388" s="1207"/>
    </row>
    <row r="8389" spans="3:17" s="700" customFormat="1" ht="70.5" hidden="1" customHeight="1">
      <c r="C8389" s="701"/>
      <c r="D8389" s="811"/>
      <c r="E8389" s="1276">
        <f>[11]building!Y8720</f>
        <v>0</v>
      </c>
      <c r="F8389" s="748">
        <f t="shared" si="370"/>
        <v>0</v>
      </c>
      <c r="G8389" s="1205"/>
      <c r="H8389" s="1055"/>
      <c r="I8389" s="1055"/>
      <c r="J8389" s="1055"/>
      <c r="K8389" s="1205"/>
      <c r="L8389" s="1055"/>
      <c r="M8389" s="1205"/>
      <c r="N8389" s="1054"/>
      <c r="O8389" s="1207"/>
      <c r="Q8389" s="1207"/>
    </row>
    <row r="8390" spans="3:17" s="700" customFormat="1" ht="70.5" hidden="1" customHeight="1">
      <c r="C8390" s="701"/>
      <c r="D8390" s="811"/>
      <c r="E8390" s="1276">
        <f>[11]building!Y8721</f>
        <v>0</v>
      </c>
      <c r="F8390" s="748">
        <f t="shared" si="370"/>
        <v>0</v>
      </c>
      <c r="G8390" s="1205"/>
      <c r="H8390" s="1055"/>
      <c r="I8390" s="1055"/>
      <c r="J8390" s="1055"/>
      <c r="K8390" s="1205"/>
      <c r="L8390" s="1055"/>
      <c r="M8390" s="1205"/>
      <c r="N8390" s="1054"/>
      <c r="O8390" s="1207"/>
      <c r="Q8390" s="1207"/>
    </row>
    <row r="8391" spans="3:17" s="700" customFormat="1" ht="70.5" hidden="1" customHeight="1">
      <c r="C8391" s="701"/>
      <c r="D8391" s="811"/>
      <c r="E8391" s="1276">
        <f>[11]building!Y8722</f>
        <v>0</v>
      </c>
      <c r="F8391" s="748">
        <f t="shared" si="370"/>
        <v>0</v>
      </c>
      <c r="G8391" s="1205"/>
      <c r="H8391" s="1055"/>
      <c r="I8391" s="1055"/>
      <c r="J8391" s="1055"/>
      <c r="K8391" s="1205"/>
      <c r="L8391" s="1055"/>
      <c r="M8391" s="1205"/>
      <c r="N8391" s="1054"/>
      <c r="O8391" s="1207"/>
      <c r="Q8391" s="1207"/>
    </row>
    <row r="8392" spans="3:17" s="700" customFormat="1" ht="70.5" hidden="1" customHeight="1">
      <c r="C8392" s="701"/>
      <c r="D8392" s="811"/>
      <c r="E8392" s="1276">
        <f>[11]building!Y8723</f>
        <v>0</v>
      </c>
      <c r="F8392" s="748">
        <f t="shared" si="370"/>
        <v>0</v>
      </c>
      <c r="G8392" s="1205"/>
      <c r="H8392" s="1055"/>
      <c r="I8392" s="1055"/>
      <c r="J8392" s="1055"/>
      <c r="K8392" s="1205"/>
      <c r="L8392" s="1055"/>
      <c r="M8392" s="1205"/>
      <c r="N8392" s="1054"/>
      <c r="O8392" s="1207"/>
      <c r="Q8392" s="1207"/>
    </row>
    <row r="8393" spans="3:17" s="700" customFormat="1" ht="70.5" hidden="1" customHeight="1">
      <c r="C8393" s="701"/>
      <c r="D8393" s="811"/>
      <c r="E8393" s="1276">
        <f>[11]building!Y8724</f>
        <v>0</v>
      </c>
      <c r="F8393" s="748">
        <f t="shared" si="370"/>
        <v>0</v>
      </c>
      <c r="G8393" s="1205"/>
      <c r="H8393" s="1055"/>
      <c r="I8393" s="1055"/>
      <c r="J8393" s="1055"/>
      <c r="K8393" s="1205"/>
      <c r="L8393" s="1055"/>
      <c r="M8393" s="1205"/>
      <c r="N8393" s="1054"/>
      <c r="O8393" s="1207"/>
      <c r="Q8393" s="1207"/>
    </row>
    <row r="8394" spans="3:17" s="700" customFormat="1" ht="70.5" hidden="1" customHeight="1">
      <c r="C8394" s="701"/>
      <c r="D8394" s="811"/>
      <c r="E8394" s="1276">
        <f>[11]building!Y8725</f>
        <v>0</v>
      </c>
      <c r="F8394" s="748">
        <f t="shared" si="370"/>
        <v>0</v>
      </c>
      <c r="G8394" s="1205"/>
      <c r="H8394" s="1055"/>
      <c r="I8394" s="1055"/>
      <c r="J8394" s="1055"/>
      <c r="K8394" s="1205"/>
      <c r="L8394" s="1055"/>
      <c r="M8394" s="1205"/>
      <c r="N8394" s="1054"/>
      <c r="O8394" s="1207"/>
      <c r="Q8394" s="1207"/>
    </row>
    <row r="8395" spans="3:17" s="700" customFormat="1" ht="70.5" hidden="1" customHeight="1">
      <c r="C8395" s="701"/>
      <c r="D8395" s="811"/>
      <c r="E8395" s="1276">
        <f>[11]building!Y8726</f>
        <v>0</v>
      </c>
      <c r="F8395" s="748">
        <f t="shared" si="370"/>
        <v>0</v>
      </c>
      <c r="G8395" s="1205"/>
      <c r="H8395" s="1055"/>
      <c r="I8395" s="1055"/>
      <c r="J8395" s="1055"/>
      <c r="K8395" s="1205"/>
      <c r="L8395" s="1055"/>
      <c r="M8395" s="1205"/>
      <c r="N8395" s="1054"/>
      <c r="O8395" s="1207"/>
      <c r="Q8395" s="1207"/>
    </row>
    <row r="8396" spans="3:17" s="700" customFormat="1" ht="70.5" hidden="1" customHeight="1">
      <c r="C8396" s="701"/>
      <c r="D8396" s="811"/>
      <c r="E8396" s="1276">
        <f>[11]building!Y8727</f>
        <v>0</v>
      </c>
      <c r="F8396" s="748">
        <f t="shared" si="370"/>
        <v>0</v>
      </c>
      <c r="G8396" s="1205"/>
      <c r="H8396" s="1055"/>
      <c r="I8396" s="1055"/>
      <c r="J8396" s="1055"/>
      <c r="K8396" s="1205"/>
      <c r="L8396" s="1055"/>
      <c r="M8396" s="1205"/>
      <c r="N8396" s="1054"/>
      <c r="O8396" s="1207"/>
      <c r="Q8396" s="1207"/>
    </row>
    <row r="8397" spans="3:17" s="700" customFormat="1" ht="70.5" hidden="1" customHeight="1">
      <c r="C8397" s="701"/>
      <c r="D8397" s="811"/>
      <c r="E8397" s="1276">
        <f>[11]building!Y8728</f>
        <v>0</v>
      </c>
      <c r="F8397" s="748">
        <f t="shared" si="370"/>
        <v>0</v>
      </c>
      <c r="G8397" s="1205"/>
      <c r="H8397" s="1055"/>
      <c r="I8397" s="1055"/>
      <c r="J8397" s="1055"/>
      <c r="K8397" s="1205"/>
      <c r="L8397" s="1055"/>
      <c r="M8397" s="1205"/>
      <c r="N8397" s="1054"/>
      <c r="O8397" s="1207"/>
      <c r="Q8397" s="1207"/>
    </row>
    <row r="8398" spans="3:17" s="700" customFormat="1" ht="70.5" hidden="1" customHeight="1">
      <c r="C8398" s="701"/>
      <c r="D8398" s="811"/>
      <c r="E8398" s="1276">
        <f>[11]building!Y8729</f>
        <v>0</v>
      </c>
      <c r="F8398" s="748">
        <f t="shared" si="370"/>
        <v>0</v>
      </c>
      <c r="G8398" s="1205"/>
      <c r="H8398" s="1055"/>
      <c r="I8398" s="1055"/>
      <c r="J8398" s="1055"/>
      <c r="K8398" s="1205"/>
      <c r="L8398" s="1055"/>
      <c r="M8398" s="1205"/>
      <c r="N8398" s="1054"/>
      <c r="O8398" s="1207"/>
      <c r="Q8398" s="1207"/>
    </row>
    <row r="8399" spans="3:17" s="700" customFormat="1" ht="70.5" hidden="1" customHeight="1">
      <c r="C8399" s="701"/>
      <c r="D8399" s="811"/>
      <c r="E8399" s="1276">
        <f>[11]building!Y8730</f>
        <v>0</v>
      </c>
      <c r="F8399" s="748">
        <f t="shared" si="370"/>
        <v>0</v>
      </c>
      <c r="G8399" s="1205"/>
      <c r="H8399" s="1055"/>
      <c r="I8399" s="1055"/>
      <c r="J8399" s="1055"/>
      <c r="K8399" s="1205"/>
      <c r="L8399" s="1055"/>
      <c r="M8399" s="1205"/>
      <c r="N8399" s="1054"/>
      <c r="O8399" s="1207"/>
      <c r="Q8399" s="1207"/>
    </row>
    <row r="8400" spans="3:17" s="700" customFormat="1" ht="70.5" hidden="1" customHeight="1">
      <c r="C8400" s="701"/>
      <c r="D8400" s="811"/>
      <c r="E8400" s="1276">
        <f>[11]building!Y8731</f>
        <v>0</v>
      </c>
      <c r="F8400" s="748">
        <f t="shared" si="370"/>
        <v>0</v>
      </c>
      <c r="G8400" s="1205"/>
      <c r="H8400" s="1055"/>
      <c r="I8400" s="1055"/>
      <c r="J8400" s="1055"/>
      <c r="K8400" s="1205"/>
      <c r="L8400" s="1055"/>
      <c r="M8400" s="1205"/>
      <c r="N8400" s="1054"/>
      <c r="O8400" s="1207"/>
      <c r="Q8400" s="1207"/>
    </row>
    <row r="8401" spans="3:17" s="700" customFormat="1" ht="70.5" hidden="1" customHeight="1">
      <c r="C8401" s="701"/>
      <c r="D8401" s="811"/>
      <c r="E8401" s="1276">
        <f>[11]building!Y8732</f>
        <v>0</v>
      </c>
      <c r="F8401" s="748">
        <f t="shared" si="370"/>
        <v>0</v>
      </c>
      <c r="G8401" s="1205"/>
      <c r="H8401" s="1055"/>
      <c r="I8401" s="1055"/>
      <c r="J8401" s="1055"/>
      <c r="K8401" s="1205"/>
      <c r="L8401" s="1055"/>
      <c r="M8401" s="1205"/>
      <c r="N8401" s="1054"/>
      <c r="O8401" s="1207"/>
      <c r="Q8401" s="1207"/>
    </row>
    <row r="8402" spans="3:17" s="700" customFormat="1" ht="70.5" hidden="1" customHeight="1">
      <c r="C8402" s="701"/>
      <c r="D8402" s="811"/>
      <c r="E8402" s="1276">
        <f>[11]building!Y8733</f>
        <v>0</v>
      </c>
      <c r="F8402" s="748">
        <f t="shared" si="370"/>
        <v>0</v>
      </c>
      <c r="G8402" s="1205"/>
      <c r="H8402" s="1055"/>
      <c r="I8402" s="1055"/>
      <c r="J8402" s="1055"/>
      <c r="K8402" s="1205"/>
      <c r="L8402" s="1055"/>
      <c r="M8402" s="1205"/>
      <c r="N8402" s="1054"/>
      <c r="O8402" s="1207"/>
      <c r="Q8402" s="1207"/>
    </row>
    <row r="8403" spans="3:17" s="700" customFormat="1" ht="70.5" hidden="1" customHeight="1">
      <c r="C8403" s="701"/>
      <c r="D8403" s="811"/>
      <c r="E8403" s="1276">
        <f>[11]building!Y8734</f>
        <v>0</v>
      </c>
      <c r="F8403" s="748">
        <f t="shared" si="370"/>
        <v>0</v>
      </c>
      <c r="G8403" s="1205"/>
      <c r="H8403" s="1055"/>
      <c r="I8403" s="1055"/>
      <c r="J8403" s="1055"/>
      <c r="K8403" s="1205"/>
      <c r="L8403" s="1055"/>
      <c r="M8403" s="1205"/>
      <c r="N8403" s="1054"/>
      <c r="O8403" s="1207"/>
      <c r="Q8403" s="1207"/>
    </row>
    <row r="8404" spans="3:17" s="700" customFormat="1" ht="70.5" hidden="1" customHeight="1">
      <c r="C8404" s="701"/>
      <c r="D8404" s="811"/>
      <c r="E8404" s="1276">
        <f>[11]building!Y8735</f>
        <v>0</v>
      </c>
      <c r="F8404" s="748">
        <f t="shared" si="370"/>
        <v>0</v>
      </c>
      <c r="G8404" s="1205"/>
      <c r="H8404" s="1055"/>
      <c r="I8404" s="1055"/>
      <c r="J8404" s="1055"/>
      <c r="K8404" s="1205"/>
      <c r="L8404" s="1055"/>
      <c r="M8404" s="1205"/>
      <c r="N8404" s="1054"/>
      <c r="O8404" s="1207"/>
      <c r="Q8404" s="1207"/>
    </row>
    <row r="8405" spans="3:17" s="700" customFormat="1" ht="70.5" hidden="1" customHeight="1">
      <c r="C8405" s="701"/>
      <c r="D8405" s="811"/>
      <c r="E8405" s="1276">
        <f>[11]building!Y8736</f>
        <v>0</v>
      </c>
      <c r="F8405" s="748">
        <f t="shared" si="370"/>
        <v>0</v>
      </c>
      <c r="G8405" s="1205"/>
      <c r="H8405" s="1055"/>
      <c r="I8405" s="1055"/>
      <c r="J8405" s="1055"/>
      <c r="K8405" s="1205"/>
      <c r="L8405" s="1055"/>
      <c r="M8405" s="1205"/>
      <c r="N8405" s="1054"/>
      <c r="O8405" s="1207"/>
      <c r="Q8405" s="1207"/>
    </row>
    <row r="8406" spans="3:17" s="700" customFormat="1" ht="70.5" hidden="1" customHeight="1">
      <c r="C8406" s="701"/>
      <c r="D8406" s="811"/>
      <c r="E8406" s="1276">
        <f>[11]building!Y8737</f>
        <v>0</v>
      </c>
      <c r="F8406" s="748">
        <f t="shared" si="370"/>
        <v>0</v>
      </c>
      <c r="G8406" s="1205"/>
      <c r="H8406" s="1055"/>
      <c r="I8406" s="1055"/>
      <c r="J8406" s="1055"/>
      <c r="K8406" s="1205"/>
      <c r="L8406" s="1055"/>
      <c r="M8406" s="1205"/>
      <c r="N8406" s="1054"/>
      <c r="O8406" s="1207"/>
      <c r="Q8406" s="1207"/>
    </row>
    <row r="8407" spans="3:17" s="700" customFormat="1" ht="70.5" hidden="1" customHeight="1">
      <c r="C8407" s="701"/>
      <c r="D8407" s="811"/>
      <c r="E8407" s="1276">
        <f>[11]building!Y8738</f>
        <v>0</v>
      </c>
      <c r="F8407" s="748">
        <f t="shared" si="370"/>
        <v>0</v>
      </c>
      <c r="G8407" s="1205"/>
      <c r="H8407" s="1055"/>
      <c r="I8407" s="1055"/>
      <c r="J8407" s="1055"/>
      <c r="K8407" s="1205"/>
      <c r="L8407" s="1055"/>
      <c r="M8407" s="1205"/>
      <c r="N8407" s="1054"/>
      <c r="O8407" s="1207"/>
      <c r="Q8407" s="1207"/>
    </row>
    <row r="8408" spans="3:17" s="700" customFormat="1" ht="70.5" hidden="1" customHeight="1">
      <c r="C8408" s="701"/>
      <c r="D8408" s="811"/>
      <c r="E8408" s="1276">
        <f>[11]building!Y8739</f>
        <v>0</v>
      </c>
      <c r="F8408" s="748">
        <f t="shared" si="370"/>
        <v>0</v>
      </c>
      <c r="G8408" s="1205"/>
      <c r="H8408" s="1055"/>
      <c r="I8408" s="1055"/>
      <c r="J8408" s="1055"/>
      <c r="K8408" s="1205"/>
      <c r="L8408" s="1055"/>
      <c r="M8408" s="1205"/>
      <c r="N8408" s="1054"/>
      <c r="O8408" s="1207"/>
      <c r="Q8408" s="1207"/>
    </row>
    <row r="8409" spans="3:17" s="700" customFormat="1" ht="70.5" hidden="1" customHeight="1">
      <c r="C8409" s="701"/>
      <c r="D8409" s="811"/>
      <c r="E8409" s="1276">
        <f>[11]building!Y8740</f>
        <v>0</v>
      </c>
      <c r="F8409" s="748">
        <f t="shared" si="370"/>
        <v>0</v>
      </c>
      <c r="G8409" s="1205"/>
      <c r="H8409" s="1055"/>
      <c r="I8409" s="1055"/>
      <c r="J8409" s="1055"/>
      <c r="K8409" s="1205"/>
      <c r="L8409" s="1055"/>
      <c r="M8409" s="1205"/>
      <c r="N8409" s="1054"/>
      <c r="O8409" s="1207"/>
      <c r="Q8409" s="1207"/>
    </row>
    <row r="8410" spans="3:17" s="700" customFormat="1" ht="70.5" hidden="1" customHeight="1">
      <c r="C8410" s="701"/>
      <c r="D8410" s="811"/>
      <c r="E8410" s="1276">
        <f>[11]building!Y8741</f>
        <v>0</v>
      </c>
      <c r="F8410" s="748">
        <f t="shared" si="370"/>
        <v>0</v>
      </c>
      <c r="G8410" s="1205"/>
      <c r="H8410" s="1055"/>
      <c r="I8410" s="1055"/>
      <c r="J8410" s="1055"/>
      <c r="K8410" s="1205"/>
      <c r="L8410" s="1055"/>
      <c r="M8410" s="1205"/>
      <c r="N8410" s="1054"/>
      <c r="O8410" s="1207"/>
      <c r="Q8410" s="1207"/>
    </row>
    <row r="8411" spans="3:17" s="700" customFormat="1" ht="70.5" hidden="1" customHeight="1">
      <c r="C8411" s="701"/>
      <c r="D8411" s="811"/>
      <c r="E8411" s="1276">
        <f>[11]building!Y8742</f>
        <v>0</v>
      </c>
      <c r="F8411" s="748">
        <f t="shared" si="370"/>
        <v>0</v>
      </c>
      <c r="G8411" s="1205"/>
      <c r="H8411" s="1055"/>
      <c r="I8411" s="1055"/>
      <c r="J8411" s="1055"/>
      <c r="K8411" s="1205"/>
      <c r="L8411" s="1055"/>
      <c r="M8411" s="1205"/>
      <c r="N8411" s="1054"/>
      <c r="O8411" s="1207"/>
      <c r="Q8411" s="1207"/>
    </row>
    <row r="8412" spans="3:17" s="700" customFormat="1" ht="70.5" hidden="1" customHeight="1">
      <c r="C8412" s="701"/>
      <c r="D8412" s="811"/>
      <c r="E8412" s="1276">
        <f>[11]building!Y8743</f>
        <v>0</v>
      </c>
      <c r="F8412" s="748">
        <f t="shared" si="370"/>
        <v>0</v>
      </c>
      <c r="G8412" s="1205"/>
      <c r="H8412" s="1055"/>
      <c r="I8412" s="1055"/>
      <c r="J8412" s="1055"/>
      <c r="K8412" s="1205"/>
      <c r="L8412" s="1055"/>
      <c r="M8412" s="1205"/>
      <c r="N8412" s="1054"/>
      <c r="O8412" s="1207"/>
      <c r="Q8412" s="1207"/>
    </row>
    <row r="8413" spans="3:17" s="700" customFormat="1" ht="70.5" hidden="1" customHeight="1">
      <c r="C8413" s="701"/>
      <c r="D8413" s="811"/>
      <c r="E8413" s="1276">
        <f>[11]building!Y8744</f>
        <v>0</v>
      </c>
      <c r="F8413" s="748">
        <f t="shared" si="370"/>
        <v>0</v>
      </c>
      <c r="G8413" s="1205"/>
      <c r="H8413" s="1055"/>
      <c r="I8413" s="1055"/>
      <c r="J8413" s="1055"/>
      <c r="K8413" s="1205"/>
      <c r="L8413" s="1055"/>
      <c r="M8413" s="1205"/>
      <c r="N8413" s="1054"/>
      <c r="O8413" s="1207"/>
      <c r="Q8413" s="1207"/>
    </row>
    <row r="8414" spans="3:17" s="700" customFormat="1" ht="70.5" hidden="1" customHeight="1">
      <c r="C8414" s="701"/>
      <c r="D8414" s="811"/>
      <c r="E8414" s="1276">
        <f>[11]building!Y8745</f>
        <v>0</v>
      </c>
      <c r="F8414" s="748">
        <f t="shared" si="370"/>
        <v>0</v>
      </c>
      <c r="G8414" s="1205"/>
      <c r="H8414" s="1055"/>
      <c r="I8414" s="1055"/>
      <c r="J8414" s="1055"/>
      <c r="K8414" s="1205"/>
      <c r="L8414" s="1055"/>
      <c r="M8414" s="1205"/>
      <c r="N8414" s="1054"/>
      <c r="O8414" s="1207"/>
      <c r="Q8414" s="1207"/>
    </row>
    <row r="8415" spans="3:17" s="700" customFormat="1" ht="70.5" hidden="1" customHeight="1">
      <c r="C8415" s="701"/>
      <c r="D8415" s="811"/>
      <c r="E8415" s="1276">
        <f>[11]building!Y8746</f>
        <v>0</v>
      </c>
      <c r="F8415" s="748">
        <f t="shared" si="370"/>
        <v>0</v>
      </c>
      <c r="G8415" s="1205"/>
      <c r="H8415" s="1055"/>
      <c r="I8415" s="1055"/>
      <c r="J8415" s="1055"/>
      <c r="K8415" s="1205"/>
      <c r="L8415" s="1055"/>
      <c r="M8415" s="1205"/>
      <c r="N8415" s="1054"/>
      <c r="O8415" s="1207"/>
      <c r="Q8415" s="1207"/>
    </row>
    <row r="8416" spans="3:17" s="700" customFormat="1" ht="70.5" hidden="1" customHeight="1">
      <c r="C8416" s="701"/>
      <c r="D8416" s="811"/>
      <c r="E8416" s="1276">
        <f>[11]building!Y8747</f>
        <v>0</v>
      </c>
      <c r="F8416" s="748">
        <f t="shared" si="370"/>
        <v>0</v>
      </c>
      <c r="G8416" s="1205"/>
      <c r="H8416" s="1055"/>
      <c r="I8416" s="1055"/>
      <c r="J8416" s="1055"/>
      <c r="K8416" s="1205"/>
      <c r="L8416" s="1055"/>
      <c r="M8416" s="1205"/>
      <c r="N8416" s="1054"/>
      <c r="O8416" s="1207"/>
      <c r="Q8416" s="1207"/>
    </row>
    <row r="8417" spans="3:17" s="700" customFormat="1" ht="70.5" hidden="1" customHeight="1">
      <c r="C8417" s="701"/>
      <c r="D8417" s="811"/>
      <c r="E8417" s="1276">
        <f>[11]building!Y8748</f>
        <v>0</v>
      </c>
      <c r="F8417" s="748">
        <f t="shared" si="370"/>
        <v>0</v>
      </c>
      <c r="G8417" s="1205"/>
      <c r="H8417" s="1055"/>
      <c r="I8417" s="1055"/>
      <c r="J8417" s="1055"/>
      <c r="K8417" s="1205"/>
      <c r="L8417" s="1055"/>
      <c r="M8417" s="1205"/>
      <c r="N8417" s="1054"/>
      <c r="O8417" s="1207"/>
      <c r="Q8417" s="1207"/>
    </row>
    <row r="8418" spans="3:17" s="700" customFormat="1" ht="70.5" hidden="1" customHeight="1">
      <c r="C8418" s="701"/>
      <c r="D8418" s="811"/>
      <c r="E8418" s="1276">
        <f>[11]building!Y8749</f>
        <v>0</v>
      </c>
      <c r="F8418" s="748">
        <f t="shared" si="370"/>
        <v>0</v>
      </c>
      <c r="G8418" s="1205"/>
      <c r="H8418" s="1055"/>
      <c r="I8418" s="1055"/>
      <c r="J8418" s="1055"/>
      <c r="K8418" s="1205"/>
      <c r="L8418" s="1055"/>
      <c r="M8418" s="1205"/>
      <c r="N8418" s="1054"/>
      <c r="O8418" s="1207"/>
      <c r="Q8418" s="1207"/>
    </row>
    <row r="8419" spans="3:17" s="700" customFormat="1" ht="70.5" hidden="1" customHeight="1">
      <c r="C8419" s="701"/>
      <c r="D8419" s="811"/>
      <c r="E8419" s="1276">
        <f>[11]building!Y8750</f>
        <v>0</v>
      </c>
      <c r="F8419" s="748">
        <f t="shared" si="370"/>
        <v>0</v>
      </c>
      <c r="G8419" s="1205"/>
      <c r="H8419" s="1055"/>
      <c r="I8419" s="1055"/>
      <c r="J8419" s="1055"/>
      <c r="K8419" s="1205"/>
      <c r="L8419" s="1055"/>
      <c r="M8419" s="1205"/>
      <c r="N8419" s="1054"/>
      <c r="O8419" s="1207"/>
      <c r="Q8419" s="1207"/>
    </row>
    <row r="8420" spans="3:17" s="700" customFormat="1" ht="70.5" hidden="1" customHeight="1">
      <c r="C8420" s="701"/>
      <c r="D8420" s="811"/>
      <c r="E8420" s="1276">
        <f>[11]building!Y8751</f>
        <v>0</v>
      </c>
      <c r="F8420" s="748">
        <f t="shared" si="370"/>
        <v>0</v>
      </c>
      <c r="G8420" s="1205"/>
      <c r="H8420" s="1055"/>
      <c r="I8420" s="1055"/>
      <c r="J8420" s="1055"/>
      <c r="K8420" s="1205"/>
      <c r="L8420" s="1055"/>
      <c r="M8420" s="1205"/>
      <c r="N8420" s="1054"/>
      <c r="O8420" s="1207"/>
      <c r="Q8420" s="1207"/>
    </row>
    <row r="8421" spans="3:17" s="700" customFormat="1" ht="70.5" hidden="1" customHeight="1">
      <c r="C8421" s="701"/>
      <c r="D8421" s="811"/>
      <c r="E8421" s="1276">
        <f>[11]building!Y8752</f>
        <v>0</v>
      </c>
      <c r="F8421" s="748">
        <f t="shared" si="370"/>
        <v>0</v>
      </c>
      <c r="G8421" s="1205"/>
      <c r="H8421" s="1055"/>
      <c r="I8421" s="1055"/>
      <c r="J8421" s="1055"/>
      <c r="K8421" s="1205"/>
      <c r="L8421" s="1055"/>
      <c r="M8421" s="1205"/>
      <c r="N8421" s="1054"/>
      <c r="O8421" s="1207"/>
      <c r="Q8421" s="1207"/>
    </row>
    <row r="8422" spans="3:17" s="700" customFormat="1" ht="70.5" hidden="1" customHeight="1">
      <c r="C8422" s="701"/>
      <c r="D8422" s="811"/>
      <c r="E8422" s="1276">
        <f>[11]building!Y8753</f>
        <v>0</v>
      </c>
      <c r="F8422" s="748">
        <f t="shared" si="370"/>
        <v>0</v>
      </c>
      <c r="G8422" s="1205"/>
      <c r="H8422" s="1055"/>
      <c r="I8422" s="1055"/>
      <c r="J8422" s="1055"/>
      <c r="K8422" s="1205"/>
      <c r="L8422" s="1055"/>
      <c r="M8422" s="1205"/>
      <c r="N8422" s="1054"/>
      <c r="O8422" s="1207"/>
      <c r="Q8422" s="1207"/>
    </row>
    <row r="8423" spans="3:17" s="700" customFormat="1" ht="70.5" hidden="1" customHeight="1">
      <c r="C8423" s="701"/>
      <c r="D8423" s="811"/>
      <c r="E8423" s="1276">
        <f>[11]building!Y8754</f>
        <v>0</v>
      </c>
      <c r="F8423" s="748">
        <f t="shared" si="370"/>
        <v>0</v>
      </c>
      <c r="G8423" s="1205"/>
      <c r="H8423" s="1055"/>
      <c r="I8423" s="1055"/>
      <c r="J8423" s="1055"/>
      <c r="K8423" s="1205"/>
      <c r="L8423" s="1055"/>
      <c r="M8423" s="1205"/>
      <c r="N8423" s="1054"/>
      <c r="O8423" s="1207"/>
      <c r="Q8423" s="1207"/>
    </row>
    <row r="8424" spans="3:17" s="700" customFormat="1" ht="70.5" hidden="1" customHeight="1">
      <c r="C8424" s="701"/>
      <c r="D8424" s="811"/>
      <c r="E8424" s="1276">
        <f>[11]building!Y8755</f>
        <v>0</v>
      </c>
      <c r="F8424" s="748">
        <f t="shared" si="370"/>
        <v>0</v>
      </c>
      <c r="G8424" s="1205"/>
      <c r="H8424" s="1055"/>
      <c r="I8424" s="1055"/>
      <c r="J8424" s="1055"/>
      <c r="K8424" s="1205"/>
      <c r="L8424" s="1055"/>
      <c r="M8424" s="1205"/>
      <c r="N8424" s="1054"/>
      <c r="O8424" s="1207"/>
      <c r="Q8424" s="1207"/>
    </row>
    <row r="8425" spans="3:17" s="700" customFormat="1" ht="70.5" hidden="1" customHeight="1">
      <c r="C8425" s="701"/>
      <c r="D8425" s="811"/>
      <c r="E8425" s="1276">
        <f>[11]building!Y8756</f>
        <v>0</v>
      </c>
      <c r="F8425" s="748">
        <f t="shared" si="370"/>
        <v>0</v>
      </c>
      <c r="G8425" s="1205"/>
      <c r="H8425" s="1055"/>
      <c r="I8425" s="1055"/>
      <c r="J8425" s="1055"/>
      <c r="K8425" s="1205"/>
      <c r="L8425" s="1055"/>
      <c r="M8425" s="1205"/>
      <c r="N8425" s="1054"/>
      <c r="O8425" s="1207"/>
      <c r="Q8425" s="1207"/>
    </row>
    <row r="8426" spans="3:17" s="700" customFormat="1" ht="70.5" hidden="1" customHeight="1">
      <c r="C8426" s="701"/>
      <c r="D8426" s="811"/>
      <c r="E8426" s="1276">
        <f>[11]building!Y8757</f>
        <v>0</v>
      </c>
      <c r="F8426" s="748">
        <f t="shared" si="370"/>
        <v>0</v>
      </c>
      <c r="G8426" s="1205"/>
      <c r="H8426" s="1055"/>
      <c r="I8426" s="1055"/>
      <c r="J8426" s="1055"/>
      <c r="K8426" s="1205"/>
      <c r="L8426" s="1055"/>
      <c r="M8426" s="1205"/>
      <c r="N8426" s="1054"/>
      <c r="O8426" s="1207"/>
      <c r="Q8426" s="1207"/>
    </row>
    <row r="8427" spans="3:17" s="700" customFormat="1" ht="70.5" hidden="1" customHeight="1">
      <c r="C8427" s="701"/>
      <c r="D8427" s="811"/>
      <c r="E8427" s="1276">
        <f>[11]building!Y8758</f>
        <v>0</v>
      </c>
      <c r="F8427" s="748">
        <f t="shared" si="370"/>
        <v>0</v>
      </c>
      <c r="G8427" s="1205"/>
      <c r="H8427" s="1055"/>
      <c r="I8427" s="1055"/>
      <c r="J8427" s="1055"/>
      <c r="K8427" s="1205"/>
      <c r="L8427" s="1055"/>
      <c r="M8427" s="1205"/>
      <c r="N8427" s="1054"/>
      <c r="O8427" s="1207"/>
      <c r="Q8427" s="1207"/>
    </row>
    <row r="8428" spans="3:17" s="700" customFormat="1" ht="70.5" hidden="1" customHeight="1">
      <c r="C8428" s="701"/>
      <c r="D8428" s="811"/>
      <c r="E8428" s="1276">
        <f>[11]building!Y8759</f>
        <v>0</v>
      </c>
      <c r="F8428" s="748">
        <f t="shared" si="370"/>
        <v>0</v>
      </c>
      <c r="G8428" s="1205"/>
      <c r="H8428" s="1055"/>
      <c r="I8428" s="1055"/>
      <c r="J8428" s="1055"/>
      <c r="K8428" s="1205"/>
      <c r="L8428" s="1055"/>
      <c r="M8428" s="1205"/>
      <c r="N8428" s="1054"/>
      <c r="O8428" s="1207"/>
      <c r="Q8428" s="1207"/>
    </row>
    <row r="8429" spans="3:17" s="700" customFormat="1" ht="70.5" hidden="1" customHeight="1">
      <c r="C8429" s="701"/>
      <c r="D8429" s="811"/>
      <c r="E8429" s="1276">
        <f>[11]building!Y8760</f>
        <v>0</v>
      </c>
      <c r="F8429" s="748">
        <f t="shared" si="370"/>
        <v>0</v>
      </c>
      <c r="G8429" s="1205"/>
      <c r="H8429" s="1055"/>
      <c r="I8429" s="1055"/>
      <c r="J8429" s="1055"/>
      <c r="K8429" s="1205"/>
      <c r="L8429" s="1055"/>
      <c r="M8429" s="1205"/>
      <c r="N8429" s="1054"/>
      <c r="O8429" s="1207"/>
      <c r="Q8429" s="1207"/>
    </row>
    <row r="8430" spans="3:17" s="700" customFormat="1" ht="70.5" hidden="1" customHeight="1">
      <c r="C8430" s="701"/>
      <c r="D8430" s="811"/>
      <c r="E8430" s="1276">
        <f>[11]building!Y8761</f>
        <v>0</v>
      </c>
      <c r="F8430" s="748">
        <f t="shared" si="370"/>
        <v>0</v>
      </c>
      <c r="G8430" s="1205"/>
      <c r="H8430" s="1055"/>
      <c r="I8430" s="1055"/>
      <c r="J8430" s="1055"/>
      <c r="K8430" s="1205"/>
      <c r="L8430" s="1055"/>
      <c r="M8430" s="1205"/>
      <c r="N8430" s="1054"/>
      <c r="O8430" s="1207"/>
      <c r="Q8430" s="1207"/>
    </row>
    <row r="8431" spans="3:17" s="700" customFormat="1" ht="70.5" hidden="1" customHeight="1">
      <c r="C8431" s="701"/>
      <c r="D8431" s="811"/>
      <c r="E8431" s="1276">
        <f>[11]building!Y8762</f>
        <v>0</v>
      </c>
      <c r="F8431" s="748">
        <f t="shared" si="370"/>
        <v>0</v>
      </c>
      <c r="G8431" s="1205"/>
      <c r="H8431" s="1055"/>
      <c r="I8431" s="1055"/>
      <c r="J8431" s="1055"/>
      <c r="K8431" s="1205"/>
      <c r="L8431" s="1055"/>
      <c r="M8431" s="1205"/>
      <c r="N8431" s="1054"/>
      <c r="O8431" s="1207"/>
      <c r="Q8431" s="1207"/>
    </row>
    <row r="8432" spans="3:17" s="700" customFormat="1" ht="70.5" hidden="1" customHeight="1">
      <c r="C8432" s="701"/>
      <c r="D8432" s="811"/>
      <c r="E8432" s="1276">
        <f>[11]building!Y8763</f>
        <v>0</v>
      </c>
      <c r="F8432" s="748">
        <f t="shared" si="370"/>
        <v>0</v>
      </c>
      <c r="G8432" s="1205"/>
      <c r="H8432" s="1055"/>
      <c r="I8432" s="1055"/>
      <c r="J8432" s="1055"/>
      <c r="K8432" s="1205"/>
      <c r="L8432" s="1055"/>
      <c r="M8432" s="1205"/>
      <c r="N8432" s="1054"/>
      <c r="O8432" s="1207"/>
      <c r="Q8432" s="1207"/>
    </row>
    <row r="8433" spans="3:17" s="700" customFormat="1" ht="70.5" hidden="1" customHeight="1">
      <c r="C8433" s="701"/>
      <c r="D8433" s="811"/>
      <c r="E8433" s="1276">
        <f>[11]building!Y8764</f>
        <v>0</v>
      </c>
      <c r="F8433" s="748">
        <f t="shared" si="370"/>
        <v>0</v>
      </c>
      <c r="G8433" s="1205"/>
      <c r="H8433" s="1055"/>
      <c r="I8433" s="1055"/>
      <c r="J8433" s="1055"/>
      <c r="K8433" s="1205"/>
      <c r="L8433" s="1055"/>
      <c r="M8433" s="1205"/>
      <c r="N8433" s="1054"/>
      <c r="O8433" s="1207"/>
      <c r="Q8433" s="1207"/>
    </row>
    <row r="8434" spans="3:17" s="700" customFormat="1" ht="70.5" hidden="1" customHeight="1">
      <c r="C8434" s="701"/>
      <c r="D8434" s="811"/>
      <c r="E8434" s="1276">
        <f>[11]building!Y8765</f>
        <v>0</v>
      </c>
      <c r="F8434" s="748">
        <f t="shared" si="370"/>
        <v>0</v>
      </c>
      <c r="G8434" s="1205"/>
      <c r="H8434" s="1055"/>
      <c r="I8434" s="1055"/>
      <c r="J8434" s="1055"/>
      <c r="K8434" s="1205"/>
      <c r="L8434" s="1055"/>
      <c r="M8434" s="1205"/>
      <c r="N8434" s="1054"/>
      <c r="O8434" s="1207"/>
      <c r="Q8434" s="1207"/>
    </row>
    <row r="8435" spans="3:17" s="700" customFormat="1" ht="70.5" hidden="1" customHeight="1">
      <c r="C8435" s="701"/>
      <c r="D8435" s="811"/>
      <c r="E8435" s="1276">
        <f>[11]building!Y8766</f>
        <v>0</v>
      </c>
      <c r="F8435" s="748">
        <f t="shared" si="370"/>
        <v>0</v>
      </c>
      <c r="G8435" s="1205"/>
      <c r="H8435" s="1055"/>
      <c r="I8435" s="1055"/>
      <c r="J8435" s="1055"/>
      <c r="K8435" s="1205"/>
      <c r="L8435" s="1055"/>
      <c r="M8435" s="1205"/>
      <c r="N8435" s="1054"/>
      <c r="O8435" s="1207"/>
      <c r="Q8435" s="1207"/>
    </row>
    <row r="8436" spans="3:17" s="700" customFormat="1" ht="70.5" hidden="1" customHeight="1">
      <c r="C8436" s="701"/>
      <c r="D8436" s="811"/>
      <c r="E8436" s="1276">
        <f>[11]building!Y8767</f>
        <v>0</v>
      </c>
      <c r="F8436" s="748">
        <f t="shared" si="370"/>
        <v>0</v>
      </c>
      <c r="G8436" s="1205"/>
      <c r="H8436" s="1055"/>
      <c r="I8436" s="1055"/>
      <c r="J8436" s="1055"/>
      <c r="K8436" s="1205"/>
      <c r="L8436" s="1055"/>
      <c r="M8436" s="1205"/>
      <c r="N8436" s="1054"/>
      <c r="O8436" s="1207"/>
      <c r="Q8436" s="1207"/>
    </row>
    <row r="8437" spans="3:17" s="700" customFormat="1" ht="70.5" hidden="1" customHeight="1">
      <c r="C8437" s="701"/>
      <c r="D8437" s="811"/>
      <c r="E8437" s="1276">
        <f>[11]building!Y8768</f>
        <v>0</v>
      </c>
      <c r="F8437" s="748">
        <f t="shared" si="370"/>
        <v>0</v>
      </c>
      <c r="G8437" s="1205"/>
      <c r="H8437" s="1055"/>
      <c r="I8437" s="1055"/>
      <c r="J8437" s="1055"/>
      <c r="K8437" s="1205"/>
      <c r="L8437" s="1055"/>
      <c r="M8437" s="1205"/>
      <c r="N8437" s="1054"/>
      <c r="O8437" s="1207"/>
      <c r="Q8437" s="1207"/>
    </row>
    <row r="8438" spans="3:17" s="700" customFormat="1" ht="70.5" hidden="1" customHeight="1">
      <c r="C8438" s="701"/>
      <c r="D8438" s="811"/>
      <c r="E8438" s="1276">
        <f>[11]building!Y8769</f>
        <v>0</v>
      </c>
      <c r="F8438" s="748">
        <f t="shared" si="370"/>
        <v>0</v>
      </c>
      <c r="G8438" s="1205"/>
      <c r="H8438" s="1055"/>
      <c r="I8438" s="1055"/>
      <c r="J8438" s="1055"/>
      <c r="K8438" s="1205"/>
      <c r="L8438" s="1055"/>
      <c r="M8438" s="1205"/>
      <c r="N8438" s="1054"/>
      <c r="O8438" s="1207"/>
      <c r="Q8438" s="1207"/>
    </row>
    <row r="8439" spans="3:17" s="700" customFormat="1" ht="70.5" hidden="1" customHeight="1">
      <c r="C8439" s="701"/>
      <c r="D8439" s="811"/>
      <c r="E8439" s="1276">
        <f>[11]building!Y8770</f>
        <v>0</v>
      </c>
      <c r="F8439" s="748">
        <f t="shared" si="370"/>
        <v>0</v>
      </c>
      <c r="G8439" s="1205"/>
      <c r="H8439" s="1055"/>
      <c r="I8439" s="1055"/>
      <c r="J8439" s="1055"/>
      <c r="K8439" s="1205"/>
      <c r="L8439" s="1055"/>
      <c r="M8439" s="1205"/>
      <c r="N8439" s="1054"/>
      <c r="O8439" s="1207"/>
      <c r="Q8439" s="1207"/>
    </row>
    <row r="8440" spans="3:17" s="700" customFormat="1" ht="70.5" hidden="1" customHeight="1">
      <c r="C8440" s="701"/>
      <c r="D8440" s="811"/>
      <c r="E8440" s="1276">
        <f>[11]building!Y8771</f>
        <v>0</v>
      </c>
      <c r="F8440" s="748">
        <f t="shared" si="370"/>
        <v>0</v>
      </c>
      <c r="G8440" s="1205"/>
      <c r="H8440" s="1055"/>
      <c r="I8440" s="1055"/>
      <c r="J8440" s="1055"/>
      <c r="K8440" s="1205"/>
      <c r="L8440" s="1055"/>
      <c r="M8440" s="1205"/>
      <c r="N8440" s="1054"/>
      <c r="O8440" s="1207"/>
      <c r="Q8440" s="1207"/>
    </row>
    <row r="8441" spans="3:17" s="700" customFormat="1" ht="70.5" hidden="1" customHeight="1">
      <c r="C8441" s="701"/>
      <c r="D8441" s="811"/>
      <c r="E8441" s="1276">
        <f>[11]building!Y8772</f>
        <v>0</v>
      </c>
      <c r="F8441" s="748">
        <f t="shared" si="370"/>
        <v>0</v>
      </c>
      <c r="G8441" s="1205"/>
      <c r="H8441" s="1055"/>
      <c r="I8441" s="1055"/>
      <c r="J8441" s="1055"/>
      <c r="K8441" s="1205"/>
      <c r="L8441" s="1055"/>
      <c r="M8441" s="1205"/>
      <c r="N8441" s="1054"/>
      <c r="O8441" s="1207"/>
      <c r="Q8441" s="1207"/>
    </row>
    <row r="8442" spans="3:17" s="700" customFormat="1" ht="70.5" hidden="1" customHeight="1">
      <c r="C8442" s="701"/>
      <c r="D8442" s="811"/>
      <c r="E8442" s="1276">
        <f>[11]building!Y8773</f>
        <v>0</v>
      </c>
      <c r="F8442" s="748">
        <f t="shared" si="370"/>
        <v>0</v>
      </c>
      <c r="G8442" s="1205"/>
      <c r="H8442" s="1055"/>
      <c r="I8442" s="1055"/>
      <c r="J8442" s="1055"/>
      <c r="K8442" s="1205"/>
      <c r="L8442" s="1055"/>
      <c r="M8442" s="1205"/>
      <c r="N8442" s="1054"/>
      <c r="O8442" s="1207"/>
      <c r="Q8442" s="1207"/>
    </row>
    <row r="8443" spans="3:17" s="700" customFormat="1" ht="70.5" hidden="1" customHeight="1">
      <c r="C8443" s="701"/>
      <c r="D8443" s="811"/>
      <c r="E8443" s="1276">
        <f>[11]building!Y8774</f>
        <v>0</v>
      </c>
      <c r="F8443" s="748">
        <f t="shared" si="370"/>
        <v>0</v>
      </c>
      <c r="G8443" s="1205"/>
      <c r="H8443" s="1055"/>
      <c r="I8443" s="1055"/>
      <c r="J8443" s="1055"/>
      <c r="K8443" s="1205"/>
      <c r="L8443" s="1055"/>
      <c r="M8443" s="1205"/>
      <c r="N8443" s="1054"/>
      <c r="O8443" s="1207"/>
      <c r="Q8443" s="1207"/>
    </row>
    <row r="8444" spans="3:17" s="700" customFormat="1" ht="70.5" hidden="1" customHeight="1">
      <c r="C8444" s="701"/>
      <c r="D8444" s="811"/>
      <c r="E8444" s="1276">
        <f>[11]building!Y8775</f>
        <v>0</v>
      </c>
      <c r="F8444" s="748">
        <f t="shared" si="370"/>
        <v>0</v>
      </c>
      <c r="G8444" s="1205"/>
      <c r="H8444" s="1055"/>
      <c r="I8444" s="1055"/>
      <c r="J8444" s="1055"/>
      <c r="K8444" s="1205"/>
      <c r="L8444" s="1055"/>
      <c r="M8444" s="1205"/>
      <c r="N8444" s="1054"/>
      <c r="O8444" s="1207"/>
      <c r="Q8444" s="1207"/>
    </row>
    <row r="8445" spans="3:17" s="700" customFormat="1" ht="70.5" hidden="1" customHeight="1">
      <c r="C8445" s="701"/>
      <c r="D8445" s="811"/>
      <c r="E8445" s="1276">
        <f>[11]building!Y8776</f>
        <v>0</v>
      </c>
      <c r="F8445" s="748">
        <f t="shared" si="370"/>
        <v>0</v>
      </c>
      <c r="G8445" s="1205"/>
      <c r="H8445" s="1055"/>
      <c r="I8445" s="1055"/>
      <c r="J8445" s="1055"/>
      <c r="K8445" s="1205"/>
      <c r="L8445" s="1055"/>
      <c r="M8445" s="1205"/>
      <c r="N8445" s="1054"/>
      <c r="O8445" s="1207"/>
      <c r="Q8445" s="1207"/>
    </row>
    <row r="8446" spans="3:17" s="700" customFormat="1" ht="70.5" hidden="1" customHeight="1">
      <c r="C8446" s="701"/>
      <c r="D8446" s="811"/>
      <c r="E8446" s="1276">
        <f>[11]building!Y8777</f>
        <v>0</v>
      </c>
      <c r="F8446" s="748">
        <f t="shared" si="370"/>
        <v>0</v>
      </c>
      <c r="G8446" s="1205"/>
      <c r="H8446" s="1055"/>
      <c r="I8446" s="1055"/>
      <c r="J8446" s="1055"/>
      <c r="K8446" s="1205"/>
      <c r="L8446" s="1055"/>
      <c r="M8446" s="1205"/>
      <c r="N8446" s="1054"/>
      <c r="O8446" s="1207"/>
      <c r="Q8446" s="1207"/>
    </row>
    <row r="8447" spans="3:17" s="700" customFormat="1" ht="70.5" hidden="1" customHeight="1">
      <c r="C8447" s="701"/>
      <c r="D8447" s="811"/>
      <c r="E8447" s="1276">
        <f>[11]building!Y8778</f>
        <v>0</v>
      </c>
      <c r="F8447" s="748">
        <f t="shared" si="370"/>
        <v>0</v>
      </c>
      <c r="G8447" s="1205"/>
      <c r="H8447" s="1055"/>
      <c r="I8447" s="1055"/>
      <c r="J8447" s="1055"/>
      <c r="K8447" s="1205"/>
      <c r="L8447" s="1055"/>
      <c r="M8447" s="1205"/>
      <c r="N8447" s="1054"/>
      <c r="O8447" s="1207"/>
      <c r="Q8447" s="1207"/>
    </row>
    <row r="8448" spans="3:17" s="700" customFormat="1" ht="70.5" hidden="1" customHeight="1">
      <c r="C8448" s="701"/>
      <c r="D8448" s="811"/>
      <c r="E8448" s="1276">
        <f>[11]building!Y8779</f>
        <v>0</v>
      </c>
      <c r="F8448" s="748">
        <f t="shared" ref="F8448:F8511" si="371">E8448*C8448</f>
        <v>0</v>
      </c>
      <c r="G8448" s="1205"/>
      <c r="H8448" s="1055"/>
      <c r="I8448" s="1055"/>
      <c r="J8448" s="1055"/>
      <c r="K8448" s="1205"/>
      <c r="L8448" s="1055"/>
      <c r="M8448" s="1205"/>
      <c r="N8448" s="1054"/>
      <c r="O8448" s="1207"/>
      <c r="Q8448" s="1207"/>
    </row>
    <row r="8449" spans="3:17" s="700" customFormat="1" ht="70.5" hidden="1" customHeight="1">
      <c r="C8449" s="701"/>
      <c r="D8449" s="811"/>
      <c r="E8449" s="1276">
        <f>[11]building!Y8780</f>
        <v>0</v>
      </c>
      <c r="F8449" s="748">
        <f t="shared" si="371"/>
        <v>0</v>
      </c>
      <c r="G8449" s="1205"/>
      <c r="H8449" s="1055"/>
      <c r="I8449" s="1055"/>
      <c r="J8449" s="1055"/>
      <c r="K8449" s="1205"/>
      <c r="L8449" s="1055"/>
      <c r="M8449" s="1205"/>
      <c r="N8449" s="1054"/>
      <c r="O8449" s="1207"/>
      <c r="Q8449" s="1207"/>
    </row>
    <row r="8450" spans="3:17" s="700" customFormat="1" ht="70.5" hidden="1" customHeight="1">
      <c r="C8450" s="701"/>
      <c r="D8450" s="811"/>
      <c r="E8450" s="1276">
        <f>[11]building!Y8781</f>
        <v>0</v>
      </c>
      <c r="F8450" s="748">
        <f t="shared" si="371"/>
        <v>0</v>
      </c>
      <c r="G8450" s="1205"/>
      <c r="H8450" s="1055"/>
      <c r="I8450" s="1055"/>
      <c r="J8450" s="1055"/>
      <c r="K8450" s="1205"/>
      <c r="L8450" s="1055"/>
      <c r="M8450" s="1205"/>
      <c r="N8450" s="1054"/>
      <c r="O8450" s="1207"/>
      <c r="Q8450" s="1207"/>
    </row>
    <row r="8451" spans="3:17" s="700" customFormat="1" ht="70.5" hidden="1" customHeight="1">
      <c r="C8451" s="701"/>
      <c r="D8451" s="811"/>
      <c r="E8451" s="1276">
        <f>[11]building!Y8782</f>
        <v>0</v>
      </c>
      <c r="F8451" s="748">
        <f t="shared" si="371"/>
        <v>0</v>
      </c>
      <c r="G8451" s="1205"/>
      <c r="H8451" s="1055"/>
      <c r="I8451" s="1055"/>
      <c r="J8451" s="1055"/>
      <c r="K8451" s="1205"/>
      <c r="L8451" s="1055"/>
      <c r="M8451" s="1205"/>
      <c r="N8451" s="1054"/>
      <c r="O8451" s="1207"/>
      <c r="Q8451" s="1207"/>
    </row>
    <row r="8452" spans="3:17" s="700" customFormat="1" ht="70.5" hidden="1" customHeight="1">
      <c r="C8452" s="701"/>
      <c r="D8452" s="811"/>
      <c r="E8452" s="1276">
        <f>[11]building!Y8783</f>
        <v>0</v>
      </c>
      <c r="F8452" s="748">
        <f t="shared" si="371"/>
        <v>0</v>
      </c>
      <c r="G8452" s="1205"/>
      <c r="H8452" s="1055"/>
      <c r="I8452" s="1055"/>
      <c r="J8452" s="1055"/>
      <c r="K8452" s="1205"/>
      <c r="L8452" s="1055"/>
      <c r="M8452" s="1205"/>
      <c r="N8452" s="1054"/>
      <c r="O8452" s="1207"/>
      <c r="Q8452" s="1207"/>
    </row>
    <row r="8453" spans="3:17" s="700" customFormat="1" ht="70.5" hidden="1" customHeight="1">
      <c r="C8453" s="701"/>
      <c r="D8453" s="811"/>
      <c r="E8453" s="1276">
        <f>[11]building!Y8784</f>
        <v>0</v>
      </c>
      <c r="F8453" s="748">
        <f t="shared" si="371"/>
        <v>0</v>
      </c>
      <c r="G8453" s="1205"/>
      <c r="H8453" s="1055"/>
      <c r="I8453" s="1055"/>
      <c r="J8453" s="1055"/>
      <c r="K8453" s="1205"/>
      <c r="L8453" s="1055"/>
      <c r="M8453" s="1205"/>
      <c r="N8453" s="1054"/>
      <c r="O8453" s="1207"/>
      <c r="Q8453" s="1207"/>
    </row>
    <row r="8454" spans="3:17" s="700" customFormat="1" ht="70.5" hidden="1" customHeight="1">
      <c r="C8454" s="701"/>
      <c r="D8454" s="811"/>
      <c r="E8454" s="1276">
        <f>[11]building!Y8785</f>
        <v>0</v>
      </c>
      <c r="F8454" s="748">
        <f t="shared" si="371"/>
        <v>0</v>
      </c>
      <c r="G8454" s="1205"/>
      <c r="H8454" s="1055"/>
      <c r="I8454" s="1055"/>
      <c r="J8454" s="1055"/>
      <c r="K8454" s="1205"/>
      <c r="L8454" s="1055"/>
      <c r="M8454" s="1205"/>
      <c r="N8454" s="1054"/>
      <c r="O8454" s="1207"/>
      <c r="Q8454" s="1207"/>
    </row>
    <row r="8455" spans="3:17" s="700" customFormat="1" ht="70.5" hidden="1" customHeight="1">
      <c r="C8455" s="701"/>
      <c r="D8455" s="811"/>
      <c r="E8455" s="1276">
        <f>[11]building!Y8786</f>
        <v>0</v>
      </c>
      <c r="F8455" s="748">
        <f t="shared" si="371"/>
        <v>0</v>
      </c>
      <c r="G8455" s="1205"/>
      <c r="H8455" s="1055"/>
      <c r="I8455" s="1055"/>
      <c r="J8455" s="1055"/>
      <c r="K8455" s="1205"/>
      <c r="L8455" s="1055"/>
      <c r="M8455" s="1205"/>
      <c r="N8455" s="1054"/>
      <c r="O8455" s="1207"/>
      <c r="Q8455" s="1207"/>
    </row>
    <row r="8456" spans="3:17" s="700" customFormat="1" ht="70.5" hidden="1" customHeight="1">
      <c r="C8456" s="701"/>
      <c r="D8456" s="811"/>
      <c r="E8456" s="1276">
        <f>[11]building!Y8787</f>
        <v>0</v>
      </c>
      <c r="F8456" s="748">
        <f t="shared" si="371"/>
        <v>0</v>
      </c>
      <c r="G8456" s="1205"/>
      <c r="H8456" s="1055"/>
      <c r="I8456" s="1055"/>
      <c r="J8456" s="1055"/>
      <c r="K8456" s="1205"/>
      <c r="L8456" s="1055"/>
      <c r="M8456" s="1205"/>
      <c r="N8456" s="1054"/>
      <c r="O8456" s="1207"/>
      <c r="Q8456" s="1207"/>
    </row>
    <row r="8457" spans="3:17" s="700" customFormat="1" ht="70.5" hidden="1" customHeight="1">
      <c r="C8457" s="701"/>
      <c r="D8457" s="811"/>
      <c r="E8457" s="1276">
        <f>[11]building!Y8788</f>
        <v>0</v>
      </c>
      <c r="F8457" s="748">
        <f t="shared" si="371"/>
        <v>0</v>
      </c>
      <c r="G8457" s="1205"/>
      <c r="H8457" s="1055"/>
      <c r="I8457" s="1055"/>
      <c r="J8457" s="1055"/>
      <c r="K8457" s="1205"/>
      <c r="L8457" s="1055"/>
      <c r="M8457" s="1205"/>
      <c r="N8457" s="1054"/>
      <c r="O8457" s="1207"/>
      <c r="Q8457" s="1207"/>
    </row>
    <row r="8458" spans="3:17" s="700" customFormat="1" ht="70.5" hidden="1" customHeight="1">
      <c r="C8458" s="701"/>
      <c r="D8458" s="811"/>
      <c r="E8458" s="1276">
        <f>[11]building!Y8789</f>
        <v>0</v>
      </c>
      <c r="F8458" s="748">
        <f t="shared" si="371"/>
        <v>0</v>
      </c>
      <c r="G8458" s="1205"/>
      <c r="H8458" s="1055"/>
      <c r="I8458" s="1055"/>
      <c r="J8458" s="1055"/>
      <c r="K8458" s="1205"/>
      <c r="L8458" s="1055"/>
      <c r="M8458" s="1205"/>
      <c r="N8458" s="1054"/>
      <c r="O8458" s="1207"/>
      <c r="Q8458" s="1207"/>
    </row>
    <row r="8459" spans="3:17" s="700" customFormat="1" ht="70.5" hidden="1" customHeight="1">
      <c r="C8459" s="701"/>
      <c r="D8459" s="811"/>
      <c r="E8459" s="1276">
        <f>[11]building!Y8790</f>
        <v>0</v>
      </c>
      <c r="F8459" s="748">
        <f t="shared" si="371"/>
        <v>0</v>
      </c>
      <c r="G8459" s="1205"/>
      <c r="H8459" s="1055"/>
      <c r="I8459" s="1055"/>
      <c r="J8459" s="1055"/>
      <c r="K8459" s="1205"/>
      <c r="L8459" s="1055"/>
      <c r="M8459" s="1205"/>
      <c r="N8459" s="1054"/>
      <c r="O8459" s="1207"/>
      <c r="Q8459" s="1207"/>
    </row>
    <row r="8460" spans="3:17" s="700" customFormat="1" ht="70.5" hidden="1" customHeight="1">
      <c r="C8460" s="701"/>
      <c r="D8460" s="811"/>
      <c r="E8460" s="1276">
        <f>[11]building!Y8791</f>
        <v>0</v>
      </c>
      <c r="F8460" s="748">
        <f t="shared" si="371"/>
        <v>0</v>
      </c>
      <c r="G8460" s="1205"/>
      <c r="H8460" s="1055"/>
      <c r="I8460" s="1055"/>
      <c r="J8460" s="1055"/>
      <c r="K8460" s="1205"/>
      <c r="L8460" s="1055"/>
      <c r="M8460" s="1205"/>
      <c r="N8460" s="1054"/>
      <c r="O8460" s="1207"/>
      <c r="Q8460" s="1207"/>
    </row>
    <row r="8461" spans="3:17" s="700" customFormat="1" ht="70.5" hidden="1" customHeight="1">
      <c r="C8461" s="701"/>
      <c r="D8461" s="811"/>
      <c r="E8461" s="1276">
        <f>[11]building!Y8792</f>
        <v>0</v>
      </c>
      <c r="F8461" s="748">
        <f t="shared" si="371"/>
        <v>0</v>
      </c>
      <c r="G8461" s="1205"/>
      <c r="H8461" s="1055"/>
      <c r="I8461" s="1055"/>
      <c r="J8461" s="1055"/>
      <c r="K8461" s="1205"/>
      <c r="L8461" s="1055"/>
      <c r="M8461" s="1205"/>
      <c r="N8461" s="1054"/>
      <c r="O8461" s="1207"/>
      <c r="Q8461" s="1207"/>
    </row>
    <row r="8462" spans="3:17" s="700" customFormat="1" ht="70.5" hidden="1" customHeight="1">
      <c r="C8462" s="701"/>
      <c r="D8462" s="811"/>
      <c r="E8462" s="1276">
        <f>[11]building!Y8793</f>
        <v>0</v>
      </c>
      <c r="F8462" s="748">
        <f t="shared" si="371"/>
        <v>0</v>
      </c>
      <c r="G8462" s="1205"/>
      <c r="H8462" s="1055"/>
      <c r="I8462" s="1055"/>
      <c r="J8462" s="1055"/>
      <c r="K8462" s="1205"/>
      <c r="L8462" s="1055"/>
      <c r="M8462" s="1205"/>
      <c r="N8462" s="1054"/>
      <c r="O8462" s="1207"/>
      <c r="Q8462" s="1207"/>
    </row>
    <row r="8463" spans="3:17" s="700" customFormat="1" ht="70.5" hidden="1" customHeight="1">
      <c r="C8463" s="701"/>
      <c r="D8463" s="811"/>
      <c r="E8463" s="1276">
        <f>[11]building!Y8794</f>
        <v>0</v>
      </c>
      <c r="F8463" s="748">
        <f t="shared" si="371"/>
        <v>0</v>
      </c>
      <c r="G8463" s="1205"/>
      <c r="H8463" s="1055"/>
      <c r="I8463" s="1055"/>
      <c r="J8463" s="1055"/>
      <c r="K8463" s="1205"/>
      <c r="L8463" s="1055"/>
      <c r="M8463" s="1205"/>
      <c r="N8463" s="1054"/>
      <c r="O8463" s="1207"/>
      <c r="Q8463" s="1207"/>
    </row>
    <row r="8464" spans="3:17" s="700" customFormat="1" ht="70.5" hidden="1" customHeight="1">
      <c r="C8464" s="701"/>
      <c r="D8464" s="811"/>
      <c r="E8464" s="1276">
        <f>[11]building!Y8795</f>
        <v>0</v>
      </c>
      <c r="F8464" s="748">
        <f t="shared" si="371"/>
        <v>0</v>
      </c>
      <c r="G8464" s="1205"/>
      <c r="H8464" s="1055"/>
      <c r="I8464" s="1055"/>
      <c r="J8464" s="1055"/>
      <c r="K8464" s="1205"/>
      <c r="L8464" s="1055"/>
      <c r="M8464" s="1205"/>
      <c r="N8464" s="1054"/>
      <c r="O8464" s="1207"/>
      <c r="Q8464" s="1207"/>
    </row>
    <row r="8465" spans="3:17" s="700" customFormat="1" ht="70.5" hidden="1" customHeight="1">
      <c r="C8465" s="701"/>
      <c r="D8465" s="811"/>
      <c r="E8465" s="1276">
        <f>[11]building!Y8796</f>
        <v>0</v>
      </c>
      <c r="F8465" s="748">
        <f t="shared" si="371"/>
        <v>0</v>
      </c>
      <c r="G8465" s="1205"/>
      <c r="H8465" s="1055"/>
      <c r="I8465" s="1055"/>
      <c r="J8465" s="1055"/>
      <c r="K8465" s="1205"/>
      <c r="L8465" s="1055"/>
      <c r="M8465" s="1205"/>
      <c r="N8465" s="1054"/>
      <c r="O8465" s="1207"/>
      <c r="Q8465" s="1207"/>
    </row>
    <row r="8466" spans="3:17" s="700" customFormat="1" ht="70.5" hidden="1" customHeight="1">
      <c r="C8466" s="701"/>
      <c r="D8466" s="811"/>
      <c r="E8466" s="1276">
        <f>[11]building!Y8797</f>
        <v>0</v>
      </c>
      <c r="F8466" s="748">
        <f t="shared" si="371"/>
        <v>0</v>
      </c>
      <c r="G8466" s="1205"/>
      <c r="H8466" s="1055"/>
      <c r="I8466" s="1055"/>
      <c r="J8466" s="1055"/>
      <c r="K8466" s="1205"/>
      <c r="L8466" s="1055"/>
      <c r="M8466" s="1205"/>
      <c r="N8466" s="1054"/>
      <c r="O8466" s="1207"/>
      <c r="Q8466" s="1207"/>
    </row>
    <row r="8467" spans="3:17" s="700" customFormat="1" ht="70.5" hidden="1" customHeight="1">
      <c r="C8467" s="701"/>
      <c r="D8467" s="811"/>
      <c r="E8467" s="1276">
        <f>[11]building!Y8798</f>
        <v>0</v>
      </c>
      <c r="F8467" s="748">
        <f t="shared" si="371"/>
        <v>0</v>
      </c>
      <c r="G8467" s="1205"/>
      <c r="H8467" s="1055"/>
      <c r="I8467" s="1055"/>
      <c r="J8467" s="1055"/>
      <c r="K8467" s="1205"/>
      <c r="L8467" s="1055"/>
      <c r="M8467" s="1205"/>
      <c r="N8467" s="1054"/>
      <c r="O8467" s="1207"/>
      <c r="Q8467" s="1207"/>
    </row>
    <row r="8468" spans="3:17" s="700" customFormat="1" ht="70.5" hidden="1" customHeight="1">
      <c r="C8468" s="701"/>
      <c r="D8468" s="811"/>
      <c r="E8468" s="1276">
        <f>[11]building!Y8799</f>
        <v>0</v>
      </c>
      <c r="F8468" s="748">
        <f t="shared" si="371"/>
        <v>0</v>
      </c>
      <c r="G8468" s="1205"/>
      <c r="H8468" s="1055"/>
      <c r="I8468" s="1055"/>
      <c r="J8468" s="1055"/>
      <c r="K8468" s="1205"/>
      <c r="L8468" s="1055"/>
      <c r="M8468" s="1205"/>
      <c r="N8468" s="1054"/>
      <c r="O8468" s="1207"/>
      <c r="Q8468" s="1207"/>
    </row>
    <row r="8469" spans="3:17" s="700" customFormat="1" ht="70.5" hidden="1" customHeight="1">
      <c r="C8469" s="701"/>
      <c r="D8469" s="811"/>
      <c r="E8469" s="1276">
        <f>[11]building!Y8800</f>
        <v>0</v>
      </c>
      <c r="F8469" s="748">
        <f t="shared" si="371"/>
        <v>0</v>
      </c>
      <c r="G8469" s="1205"/>
      <c r="H8469" s="1055"/>
      <c r="I8469" s="1055"/>
      <c r="J8469" s="1055"/>
      <c r="K8469" s="1205"/>
      <c r="L8469" s="1055"/>
      <c r="M8469" s="1205"/>
      <c r="N8469" s="1054"/>
      <c r="O8469" s="1207"/>
      <c r="Q8469" s="1207"/>
    </row>
    <row r="8470" spans="3:17" s="700" customFormat="1" ht="70.5" hidden="1" customHeight="1">
      <c r="C8470" s="701"/>
      <c r="D8470" s="811"/>
      <c r="E8470" s="1276">
        <f>[11]building!Y8801</f>
        <v>0</v>
      </c>
      <c r="F8470" s="748">
        <f t="shared" si="371"/>
        <v>0</v>
      </c>
      <c r="G8470" s="1205"/>
      <c r="H8470" s="1055"/>
      <c r="I8470" s="1055"/>
      <c r="J8470" s="1055"/>
      <c r="K8470" s="1205"/>
      <c r="L8470" s="1055"/>
      <c r="M8470" s="1205"/>
      <c r="N8470" s="1054"/>
      <c r="O8470" s="1207"/>
      <c r="Q8470" s="1207"/>
    </row>
    <row r="8471" spans="3:17" s="700" customFormat="1" ht="70.5" hidden="1" customHeight="1">
      <c r="C8471" s="701"/>
      <c r="D8471" s="811"/>
      <c r="E8471" s="1276">
        <f>[11]building!Y8802</f>
        <v>0</v>
      </c>
      <c r="F8471" s="748">
        <f t="shared" si="371"/>
        <v>0</v>
      </c>
      <c r="G8471" s="1205"/>
      <c r="H8471" s="1055"/>
      <c r="I8471" s="1055"/>
      <c r="J8471" s="1055"/>
      <c r="K8471" s="1205"/>
      <c r="L8471" s="1055"/>
      <c r="M8471" s="1205"/>
      <c r="N8471" s="1054"/>
      <c r="O8471" s="1207"/>
      <c r="Q8471" s="1207"/>
    </row>
    <row r="8472" spans="3:17" s="700" customFormat="1" ht="70.5" hidden="1" customHeight="1">
      <c r="C8472" s="701"/>
      <c r="D8472" s="811"/>
      <c r="E8472" s="1276">
        <f>[11]building!Y8803</f>
        <v>0</v>
      </c>
      <c r="F8472" s="748">
        <f t="shared" si="371"/>
        <v>0</v>
      </c>
      <c r="G8472" s="1205"/>
      <c r="H8472" s="1055"/>
      <c r="I8472" s="1055"/>
      <c r="J8472" s="1055"/>
      <c r="K8472" s="1205"/>
      <c r="L8472" s="1055"/>
      <c r="M8472" s="1205"/>
      <c r="N8472" s="1054"/>
      <c r="O8472" s="1207"/>
      <c r="Q8472" s="1207"/>
    </row>
    <row r="8473" spans="3:17" s="700" customFormat="1" ht="70.5" hidden="1" customHeight="1">
      <c r="C8473" s="701"/>
      <c r="D8473" s="811"/>
      <c r="E8473" s="1276">
        <f>[11]building!Y8804</f>
        <v>0</v>
      </c>
      <c r="F8473" s="748">
        <f t="shared" si="371"/>
        <v>0</v>
      </c>
      <c r="G8473" s="1205"/>
      <c r="H8473" s="1055"/>
      <c r="I8473" s="1055"/>
      <c r="J8473" s="1055"/>
      <c r="K8473" s="1205"/>
      <c r="L8473" s="1055"/>
      <c r="M8473" s="1205"/>
      <c r="N8473" s="1054"/>
      <c r="O8473" s="1207"/>
      <c r="Q8473" s="1207"/>
    </row>
    <row r="8474" spans="3:17" s="700" customFormat="1" ht="70.5" hidden="1" customHeight="1">
      <c r="C8474" s="701"/>
      <c r="D8474" s="811"/>
      <c r="E8474" s="1276">
        <f>[11]building!Y8805</f>
        <v>0</v>
      </c>
      <c r="F8474" s="748">
        <f t="shared" si="371"/>
        <v>0</v>
      </c>
      <c r="G8474" s="1205"/>
      <c r="H8474" s="1055"/>
      <c r="I8474" s="1055"/>
      <c r="J8474" s="1055"/>
      <c r="K8474" s="1205"/>
      <c r="L8474" s="1055"/>
      <c r="M8474" s="1205"/>
      <c r="N8474" s="1054"/>
      <c r="O8474" s="1207"/>
      <c r="Q8474" s="1207"/>
    </row>
    <row r="8475" spans="3:17" s="700" customFormat="1" ht="70.5" hidden="1" customHeight="1">
      <c r="C8475" s="701"/>
      <c r="D8475" s="811"/>
      <c r="E8475" s="1276">
        <f>[11]building!Y8806</f>
        <v>0</v>
      </c>
      <c r="F8475" s="748">
        <f t="shared" si="371"/>
        <v>0</v>
      </c>
      <c r="G8475" s="1205"/>
      <c r="H8475" s="1055"/>
      <c r="I8475" s="1055"/>
      <c r="J8475" s="1055"/>
      <c r="K8475" s="1205"/>
      <c r="L8475" s="1055"/>
      <c r="M8475" s="1205"/>
      <c r="N8475" s="1054"/>
      <c r="O8475" s="1207"/>
      <c r="Q8475" s="1207"/>
    </row>
    <row r="8476" spans="3:17" s="700" customFormat="1" ht="70.5" hidden="1" customHeight="1">
      <c r="C8476" s="701"/>
      <c r="D8476" s="811"/>
      <c r="E8476" s="1276">
        <f>[11]building!Y8807</f>
        <v>0</v>
      </c>
      <c r="F8476" s="748">
        <f t="shared" si="371"/>
        <v>0</v>
      </c>
      <c r="G8476" s="1205"/>
      <c r="H8476" s="1055"/>
      <c r="I8476" s="1055"/>
      <c r="J8476" s="1055"/>
      <c r="K8476" s="1205"/>
      <c r="L8476" s="1055"/>
      <c r="M8476" s="1205"/>
      <c r="N8476" s="1054"/>
      <c r="O8476" s="1207"/>
      <c r="Q8476" s="1207"/>
    </row>
    <row r="8477" spans="3:17" s="700" customFormat="1" ht="70.5" hidden="1" customHeight="1">
      <c r="C8477" s="701"/>
      <c r="D8477" s="811"/>
      <c r="E8477" s="1276">
        <f>[11]building!Y8808</f>
        <v>0</v>
      </c>
      <c r="F8477" s="748">
        <f t="shared" si="371"/>
        <v>0</v>
      </c>
      <c r="G8477" s="1205"/>
      <c r="H8477" s="1055"/>
      <c r="I8477" s="1055"/>
      <c r="J8477" s="1055"/>
      <c r="K8477" s="1205"/>
      <c r="L8477" s="1055"/>
      <c r="M8477" s="1205"/>
      <c r="N8477" s="1054"/>
      <c r="O8477" s="1207"/>
      <c r="Q8477" s="1207"/>
    </row>
    <row r="8478" spans="3:17" s="700" customFormat="1" ht="70.5" hidden="1" customHeight="1">
      <c r="C8478" s="701"/>
      <c r="D8478" s="811"/>
      <c r="E8478" s="1276">
        <f>[11]building!Y8809</f>
        <v>0</v>
      </c>
      <c r="F8478" s="748">
        <f t="shared" si="371"/>
        <v>0</v>
      </c>
      <c r="G8478" s="1205"/>
      <c r="H8478" s="1055"/>
      <c r="I8478" s="1055"/>
      <c r="J8478" s="1055"/>
      <c r="K8478" s="1205"/>
      <c r="L8478" s="1055"/>
      <c r="M8478" s="1205"/>
      <c r="N8478" s="1054"/>
      <c r="O8478" s="1207"/>
      <c r="Q8478" s="1207"/>
    </row>
    <row r="8479" spans="3:17" s="700" customFormat="1" ht="70.5" hidden="1" customHeight="1">
      <c r="C8479" s="701"/>
      <c r="D8479" s="811"/>
      <c r="E8479" s="1276">
        <f>[11]building!Y8810</f>
        <v>0</v>
      </c>
      <c r="F8479" s="748">
        <f t="shared" si="371"/>
        <v>0</v>
      </c>
      <c r="G8479" s="1205"/>
      <c r="H8479" s="1055"/>
      <c r="I8479" s="1055"/>
      <c r="J8479" s="1055"/>
      <c r="K8479" s="1205"/>
      <c r="L8479" s="1055"/>
      <c r="M8479" s="1205"/>
      <c r="N8479" s="1054"/>
      <c r="O8479" s="1207"/>
      <c r="Q8479" s="1207"/>
    </row>
    <row r="8480" spans="3:17" s="700" customFormat="1" ht="70.5" hidden="1" customHeight="1">
      <c r="C8480" s="701"/>
      <c r="D8480" s="811"/>
      <c r="E8480" s="1276">
        <f>[11]building!Y8811</f>
        <v>0</v>
      </c>
      <c r="F8480" s="748">
        <f t="shared" si="371"/>
        <v>0</v>
      </c>
      <c r="G8480" s="1205"/>
      <c r="H8480" s="1055"/>
      <c r="I8480" s="1055"/>
      <c r="J8480" s="1055"/>
      <c r="K8480" s="1205"/>
      <c r="L8480" s="1055"/>
      <c r="M8480" s="1205"/>
      <c r="N8480" s="1054"/>
      <c r="O8480" s="1207"/>
      <c r="Q8480" s="1207"/>
    </row>
    <row r="8481" spans="3:17" s="700" customFormat="1" ht="70.5" hidden="1" customHeight="1">
      <c r="C8481" s="701"/>
      <c r="D8481" s="811"/>
      <c r="E8481" s="1276">
        <f>[11]building!Y8812</f>
        <v>0</v>
      </c>
      <c r="F8481" s="748">
        <f t="shared" si="371"/>
        <v>0</v>
      </c>
      <c r="G8481" s="1205"/>
      <c r="H8481" s="1055"/>
      <c r="I8481" s="1055"/>
      <c r="J8481" s="1055"/>
      <c r="K8481" s="1205"/>
      <c r="L8481" s="1055"/>
      <c r="M8481" s="1205"/>
      <c r="N8481" s="1054"/>
      <c r="O8481" s="1207"/>
      <c r="Q8481" s="1207"/>
    </row>
    <row r="8482" spans="3:17" s="700" customFormat="1" ht="70.5" hidden="1" customHeight="1">
      <c r="C8482" s="701"/>
      <c r="D8482" s="811"/>
      <c r="E8482" s="1276">
        <f>[11]building!Y8813</f>
        <v>0</v>
      </c>
      <c r="F8482" s="748">
        <f t="shared" si="371"/>
        <v>0</v>
      </c>
      <c r="G8482" s="1205"/>
      <c r="H8482" s="1055"/>
      <c r="I8482" s="1055"/>
      <c r="J8482" s="1055"/>
      <c r="K8482" s="1205"/>
      <c r="L8482" s="1055"/>
      <c r="M8482" s="1205"/>
      <c r="N8482" s="1054"/>
      <c r="O8482" s="1207"/>
      <c r="Q8482" s="1207"/>
    </row>
    <row r="8483" spans="3:17" s="700" customFormat="1" ht="70.5" hidden="1" customHeight="1">
      <c r="C8483" s="701"/>
      <c r="D8483" s="811"/>
      <c r="E8483" s="1276">
        <f>[11]building!Y8814</f>
        <v>0</v>
      </c>
      <c r="F8483" s="748">
        <f t="shared" si="371"/>
        <v>0</v>
      </c>
      <c r="G8483" s="1205"/>
      <c r="H8483" s="1055"/>
      <c r="I8483" s="1055"/>
      <c r="J8483" s="1055"/>
      <c r="K8483" s="1205"/>
      <c r="L8483" s="1055"/>
      <c r="M8483" s="1205"/>
      <c r="N8483" s="1054"/>
      <c r="O8483" s="1207"/>
      <c r="Q8483" s="1207"/>
    </row>
    <row r="8484" spans="3:17" s="700" customFormat="1" ht="70.5" hidden="1" customHeight="1">
      <c r="C8484" s="701"/>
      <c r="D8484" s="811"/>
      <c r="E8484" s="1276">
        <f>[11]building!Y8815</f>
        <v>0</v>
      </c>
      <c r="F8484" s="748">
        <f t="shared" si="371"/>
        <v>0</v>
      </c>
      <c r="G8484" s="1205"/>
      <c r="H8484" s="1055"/>
      <c r="I8484" s="1055"/>
      <c r="J8484" s="1055"/>
      <c r="K8484" s="1205"/>
      <c r="L8484" s="1055"/>
      <c r="M8484" s="1205"/>
      <c r="N8484" s="1054"/>
      <c r="O8484" s="1207"/>
      <c r="Q8484" s="1207"/>
    </row>
    <row r="8485" spans="3:17" s="700" customFormat="1" ht="70.5" hidden="1" customHeight="1">
      <c r="C8485" s="701"/>
      <c r="D8485" s="811"/>
      <c r="E8485" s="1276">
        <f>[11]building!Y8816</f>
        <v>0</v>
      </c>
      <c r="F8485" s="748">
        <f t="shared" si="371"/>
        <v>0</v>
      </c>
      <c r="G8485" s="1205"/>
      <c r="H8485" s="1055"/>
      <c r="I8485" s="1055"/>
      <c r="J8485" s="1055"/>
      <c r="K8485" s="1205"/>
      <c r="L8485" s="1055"/>
      <c r="M8485" s="1205"/>
      <c r="N8485" s="1054"/>
      <c r="O8485" s="1207"/>
      <c r="Q8485" s="1207"/>
    </row>
    <row r="8486" spans="3:17" s="700" customFormat="1" ht="70.5" hidden="1" customHeight="1">
      <c r="C8486" s="701"/>
      <c r="D8486" s="811"/>
      <c r="E8486" s="1276">
        <f>[11]building!Y8817</f>
        <v>0</v>
      </c>
      <c r="F8486" s="748">
        <f t="shared" si="371"/>
        <v>0</v>
      </c>
      <c r="G8486" s="1205"/>
      <c r="H8486" s="1055"/>
      <c r="I8486" s="1055"/>
      <c r="J8486" s="1055"/>
      <c r="K8486" s="1205"/>
      <c r="L8486" s="1055"/>
      <c r="M8486" s="1205"/>
      <c r="N8486" s="1054"/>
      <c r="O8486" s="1207"/>
      <c r="Q8486" s="1207"/>
    </row>
    <row r="8487" spans="3:17" s="700" customFormat="1" ht="70.5" hidden="1" customHeight="1">
      <c r="C8487" s="701"/>
      <c r="D8487" s="811"/>
      <c r="E8487" s="1276">
        <f>[11]building!Y8818</f>
        <v>0</v>
      </c>
      <c r="F8487" s="748">
        <f t="shared" si="371"/>
        <v>0</v>
      </c>
      <c r="G8487" s="1205"/>
      <c r="H8487" s="1055"/>
      <c r="I8487" s="1055"/>
      <c r="J8487" s="1055"/>
      <c r="K8487" s="1205"/>
      <c r="L8487" s="1055"/>
      <c r="M8487" s="1205"/>
      <c r="N8487" s="1054"/>
      <c r="O8487" s="1207"/>
      <c r="Q8487" s="1207"/>
    </row>
    <row r="8488" spans="3:17" s="700" customFormat="1" ht="70.5" hidden="1" customHeight="1">
      <c r="C8488" s="701"/>
      <c r="D8488" s="811"/>
      <c r="E8488" s="1276">
        <f>[11]building!Y8819</f>
        <v>0</v>
      </c>
      <c r="F8488" s="748">
        <f t="shared" si="371"/>
        <v>0</v>
      </c>
      <c r="G8488" s="1205"/>
      <c r="H8488" s="1055"/>
      <c r="I8488" s="1055"/>
      <c r="J8488" s="1055"/>
      <c r="K8488" s="1205"/>
      <c r="L8488" s="1055"/>
      <c r="M8488" s="1205"/>
      <c r="N8488" s="1054"/>
      <c r="O8488" s="1207"/>
      <c r="Q8488" s="1207"/>
    </row>
    <row r="8489" spans="3:17" s="700" customFormat="1" ht="70.5" hidden="1" customHeight="1">
      <c r="C8489" s="701"/>
      <c r="D8489" s="811"/>
      <c r="E8489" s="1276">
        <f>[11]building!Y8820</f>
        <v>0</v>
      </c>
      <c r="F8489" s="748">
        <f t="shared" si="371"/>
        <v>0</v>
      </c>
      <c r="G8489" s="1205"/>
      <c r="H8489" s="1055"/>
      <c r="I8489" s="1055"/>
      <c r="J8489" s="1055"/>
      <c r="K8489" s="1205"/>
      <c r="L8489" s="1055"/>
      <c r="M8489" s="1205"/>
      <c r="N8489" s="1054"/>
      <c r="O8489" s="1207"/>
      <c r="Q8489" s="1207"/>
    </row>
    <row r="8490" spans="3:17" s="700" customFormat="1" ht="70.5" hidden="1" customHeight="1">
      <c r="C8490" s="701"/>
      <c r="D8490" s="811"/>
      <c r="E8490" s="1276">
        <f>[11]building!Y8821</f>
        <v>0</v>
      </c>
      <c r="F8490" s="748">
        <f t="shared" si="371"/>
        <v>0</v>
      </c>
      <c r="G8490" s="1205"/>
      <c r="H8490" s="1055"/>
      <c r="I8490" s="1055"/>
      <c r="J8490" s="1055"/>
      <c r="K8490" s="1205"/>
      <c r="L8490" s="1055"/>
      <c r="M8490" s="1205"/>
      <c r="N8490" s="1054"/>
      <c r="O8490" s="1207"/>
      <c r="Q8490" s="1207"/>
    </row>
    <row r="8491" spans="3:17" s="700" customFormat="1" ht="70.5" hidden="1" customHeight="1">
      <c r="C8491" s="701"/>
      <c r="D8491" s="811"/>
      <c r="E8491" s="1276">
        <f>[11]building!Y8822</f>
        <v>0</v>
      </c>
      <c r="F8491" s="748">
        <f t="shared" si="371"/>
        <v>0</v>
      </c>
      <c r="G8491" s="1205"/>
      <c r="H8491" s="1055"/>
      <c r="I8491" s="1055"/>
      <c r="J8491" s="1055"/>
      <c r="K8491" s="1205"/>
      <c r="L8491" s="1055"/>
      <c r="M8491" s="1205"/>
      <c r="N8491" s="1054"/>
      <c r="O8491" s="1207"/>
      <c r="Q8491" s="1207"/>
    </row>
    <row r="8492" spans="3:17" s="700" customFormat="1" ht="70.5" hidden="1" customHeight="1">
      <c r="C8492" s="701"/>
      <c r="D8492" s="811"/>
      <c r="E8492" s="1276">
        <f>[11]building!Y8823</f>
        <v>0</v>
      </c>
      <c r="F8492" s="748">
        <f t="shared" si="371"/>
        <v>0</v>
      </c>
      <c r="G8492" s="1205"/>
      <c r="H8492" s="1055"/>
      <c r="I8492" s="1055"/>
      <c r="J8492" s="1055"/>
      <c r="K8492" s="1205"/>
      <c r="L8492" s="1055"/>
      <c r="M8492" s="1205"/>
      <c r="N8492" s="1054"/>
      <c r="O8492" s="1207"/>
      <c r="Q8492" s="1207"/>
    </row>
    <row r="8493" spans="3:17" s="700" customFormat="1" ht="70.5" hidden="1" customHeight="1">
      <c r="C8493" s="701"/>
      <c r="D8493" s="811"/>
      <c r="E8493" s="1276">
        <f>[11]building!Y8824</f>
        <v>0</v>
      </c>
      <c r="F8493" s="748">
        <f t="shared" si="371"/>
        <v>0</v>
      </c>
      <c r="G8493" s="1205"/>
      <c r="H8493" s="1055"/>
      <c r="I8493" s="1055"/>
      <c r="J8493" s="1055"/>
      <c r="K8493" s="1205"/>
      <c r="L8493" s="1055"/>
      <c r="M8493" s="1205"/>
      <c r="N8493" s="1054"/>
      <c r="O8493" s="1207"/>
      <c r="Q8493" s="1207"/>
    </row>
    <row r="8494" spans="3:17" s="700" customFormat="1" ht="70.5" hidden="1" customHeight="1">
      <c r="C8494" s="701"/>
      <c r="D8494" s="811"/>
      <c r="E8494" s="1276">
        <f>[11]building!Y8825</f>
        <v>0</v>
      </c>
      <c r="F8494" s="748">
        <f t="shared" si="371"/>
        <v>0</v>
      </c>
      <c r="G8494" s="1205"/>
      <c r="H8494" s="1055"/>
      <c r="I8494" s="1055"/>
      <c r="J8494" s="1055"/>
      <c r="K8494" s="1205"/>
      <c r="L8494" s="1055"/>
      <c r="M8494" s="1205"/>
      <c r="N8494" s="1054"/>
      <c r="O8494" s="1207"/>
      <c r="Q8494" s="1207"/>
    </row>
    <row r="8495" spans="3:17" s="700" customFormat="1" ht="70.5" hidden="1" customHeight="1">
      <c r="C8495" s="701"/>
      <c r="D8495" s="811"/>
      <c r="E8495" s="1276">
        <f>[11]building!Y8826</f>
        <v>0</v>
      </c>
      <c r="F8495" s="748">
        <f t="shared" si="371"/>
        <v>0</v>
      </c>
      <c r="G8495" s="1205"/>
      <c r="H8495" s="1055"/>
      <c r="I8495" s="1055"/>
      <c r="J8495" s="1055"/>
      <c r="K8495" s="1205"/>
      <c r="L8495" s="1055"/>
      <c r="M8495" s="1205"/>
      <c r="N8495" s="1054"/>
      <c r="O8495" s="1207"/>
      <c r="Q8495" s="1207"/>
    </row>
    <row r="8496" spans="3:17" s="700" customFormat="1" ht="70.5" hidden="1" customHeight="1">
      <c r="C8496" s="701"/>
      <c r="D8496" s="811"/>
      <c r="E8496" s="1276">
        <f>[11]building!Y8827</f>
        <v>0</v>
      </c>
      <c r="F8496" s="748">
        <f t="shared" si="371"/>
        <v>0</v>
      </c>
      <c r="G8496" s="1205"/>
      <c r="H8496" s="1055"/>
      <c r="I8496" s="1055"/>
      <c r="J8496" s="1055"/>
      <c r="K8496" s="1205"/>
      <c r="L8496" s="1055"/>
      <c r="M8496" s="1205"/>
      <c r="N8496" s="1054"/>
      <c r="O8496" s="1207"/>
      <c r="Q8496" s="1207"/>
    </row>
    <row r="8497" spans="3:17" s="700" customFormat="1" ht="70.5" hidden="1" customHeight="1">
      <c r="C8497" s="701"/>
      <c r="D8497" s="811"/>
      <c r="E8497" s="1276">
        <f>[11]building!Y8828</f>
        <v>0</v>
      </c>
      <c r="F8497" s="748">
        <f t="shared" si="371"/>
        <v>0</v>
      </c>
      <c r="G8497" s="1205"/>
      <c r="H8497" s="1055"/>
      <c r="I8497" s="1055"/>
      <c r="J8497" s="1055"/>
      <c r="K8497" s="1205"/>
      <c r="L8497" s="1055"/>
      <c r="M8497" s="1205"/>
      <c r="N8497" s="1054"/>
      <c r="O8497" s="1207"/>
      <c r="Q8497" s="1207"/>
    </row>
    <row r="8498" spans="3:17" s="700" customFormat="1" ht="70.5" hidden="1" customHeight="1">
      <c r="C8498" s="701"/>
      <c r="D8498" s="811"/>
      <c r="E8498" s="1276">
        <f>[11]building!Y8829</f>
        <v>0</v>
      </c>
      <c r="F8498" s="748">
        <f t="shared" si="371"/>
        <v>0</v>
      </c>
      <c r="G8498" s="1205"/>
      <c r="H8498" s="1055"/>
      <c r="I8498" s="1055"/>
      <c r="J8498" s="1055"/>
      <c r="K8498" s="1205"/>
      <c r="L8498" s="1055"/>
      <c r="M8498" s="1205"/>
      <c r="N8498" s="1054"/>
      <c r="O8498" s="1207"/>
      <c r="Q8498" s="1207"/>
    </row>
    <row r="8499" spans="3:17" s="700" customFormat="1" ht="70.5" hidden="1" customHeight="1">
      <c r="C8499" s="701"/>
      <c r="D8499" s="811"/>
      <c r="E8499" s="1276">
        <f>[11]building!Y8830</f>
        <v>0</v>
      </c>
      <c r="F8499" s="748">
        <f t="shared" si="371"/>
        <v>0</v>
      </c>
      <c r="G8499" s="1205"/>
      <c r="H8499" s="1055"/>
      <c r="I8499" s="1055"/>
      <c r="J8499" s="1055"/>
      <c r="K8499" s="1205"/>
      <c r="L8499" s="1055"/>
      <c r="M8499" s="1205"/>
      <c r="N8499" s="1054"/>
      <c r="O8499" s="1207"/>
      <c r="Q8499" s="1207"/>
    </row>
    <row r="8500" spans="3:17" s="700" customFormat="1" ht="70.5" hidden="1" customHeight="1">
      <c r="C8500" s="701"/>
      <c r="D8500" s="811"/>
      <c r="E8500" s="1276">
        <f>[11]building!Y8831</f>
        <v>0</v>
      </c>
      <c r="F8500" s="748">
        <f t="shared" si="371"/>
        <v>0</v>
      </c>
      <c r="G8500" s="1205"/>
      <c r="H8500" s="1055"/>
      <c r="I8500" s="1055"/>
      <c r="J8500" s="1055"/>
      <c r="K8500" s="1205"/>
      <c r="L8500" s="1055"/>
      <c r="M8500" s="1205"/>
      <c r="N8500" s="1054"/>
      <c r="O8500" s="1207"/>
      <c r="Q8500" s="1207"/>
    </row>
    <row r="8501" spans="3:17" s="700" customFormat="1" ht="70.5" hidden="1" customHeight="1">
      <c r="C8501" s="701"/>
      <c r="D8501" s="811"/>
      <c r="E8501" s="1276">
        <f>[11]building!Y8832</f>
        <v>0</v>
      </c>
      <c r="F8501" s="748">
        <f t="shared" si="371"/>
        <v>0</v>
      </c>
      <c r="G8501" s="1205"/>
      <c r="H8501" s="1055"/>
      <c r="I8501" s="1055"/>
      <c r="J8501" s="1055"/>
      <c r="K8501" s="1205"/>
      <c r="L8501" s="1055"/>
      <c r="M8501" s="1205"/>
      <c r="N8501" s="1054"/>
      <c r="O8501" s="1207"/>
      <c r="Q8501" s="1207"/>
    </row>
    <row r="8502" spans="3:17" s="700" customFormat="1" ht="70.5" hidden="1" customHeight="1">
      <c r="C8502" s="701"/>
      <c r="D8502" s="811"/>
      <c r="E8502" s="1276">
        <f>[11]building!Y8833</f>
        <v>0</v>
      </c>
      <c r="F8502" s="748">
        <f t="shared" si="371"/>
        <v>0</v>
      </c>
      <c r="G8502" s="1205"/>
      <c r="H8502" s="1055"/>
      <c r="I8502" s="1055"/>
      <c r="J8502" s="1055"/>
      <c r="K8502" s="1205"/>
      <c r="L8502" s="1055"/>
      <c r="M8502" s="1205"/>
      <c r="N8502" s="1054"/>
      <c r="O8502" s="1207"/>
      <c r="Q8502" s="1207"/>
    </row>
    <row r="8503" spans="3:17" s="700" customFormat="1" ht="70.5" hidden="1" customHeight="1">
      <c r="C8503" s="701"/>
      <c r="D8503" s="811"/>
      <c r="E8503" s="1276">
        <f>[11]building!Y8834</f>
        <v>0</v>
      </c>
      <c r="F8503" s="748">
        <f t="shared" si="371"/>
        <v>0</v>
      </c>
      <c r="G8503" s="1205"/>
      <c r="H8503" s="1055"/>
      <c r="I8503" s="1055"/>
      <c r="J8503" s="1055"/>
      <c r="K8503" s="1205"/>
      <c r="L8503" s="1055"/>
      <c r="M8503" s="1205"/>
      <c r="N8503" s="1054"/>
      <c r="O8503" s="1207"/>
      <c r="Q8503" s="1207"/>
    </row>
    <row r="8504" spans="3:17" s="700" customFormat="1" ht="70.5" hidden="1" customHeight="1">
      <c r="C8504" s="701"/>
      <c r="D8504" s="811"/>
      <c r="E8504" s="1276">
        <f>[11]building!Y8835</f>
        <v>0</v>
      </c>
      <c r="F8504" s="748">
        <f t="shared" si="371"/>
        <v>0</v>
      </c>
      <c r="G8504" s="1205"/>
      <c r="H8504" s="1055"/>
      <c r="I8504" s="1055"/>
      <c r="J8504" s="1055"/>
      <c r="K8504" s="1205"/>
      <c r="L8504" s="1055"/>
      <c r="M8504" s="1205"/>
      <c r="N8504" s="1054"/>
      <c r="O8504" s="1207"/>
      <c r="Q8504" s="1207"/>
    </row>
    <row r="8505" spans="3:17" s="700" customFormat="1" ht="70.5" hidden="1" customHeight="1">
      <c r="C8505" s="701"/>
      <c r="D8505" s="811"/>
      <c r="E8505" s="1276">
        <f>[11]building!Y8836</f>
        <v>0</v>
      </c>
      <c r="F8505" s="748">
        <f t="shared" si="371"/>
        <v>0</v>
      </c>
      <c r="G8505" s="1205"/>
      <c r="H8505" s="1055"/>
      <c r="I8505" s="1055"/>
      <c r="J8505" s="1055"/>
      <c r="K8505" s="1205"/>
      <c r="L8505" s="1055"/>
      <c r="M8505" s="1205"/>
      <c r="N8505" s="1054"/>
      <c r="O8505" s="1207"/>
      <c r="Q8505" s="1207"/>
    </row>
    <row r="8506" spans="3:17" s="700" customFormat="1" ht="70.5" hidden="1" customHeight="1">
      <c r="C8506" s="701"/>
      <c r="D8506" s="811"/>
      <c r="E8506" s="1276">
        <f>[11]building!Y8837</f>
        <v>0</v>
      </c>
      <c r="F8506" s="748">
        <f t="shared" si="371"/>
        <v>0</v>
      </c>
      <c r="G8506" s="1205"/>
      <c r="H8506" s="1055"/>
      <c r="I8506" s="1055"/>
      <c r="J8506" s="1055"/>
      <c r="K8506" s="1205"/>
      <c r="L8506" s="1055"/>
      <c r="M8506" s="1205"/>
      <c r="N8506" s="1054"/>
      <c r="O8506" s="1207"/>
      <c r="Q8506" s="1207"/>
    </row>
    <row r="8507" spans="3:17" s="700" customFormat="1" ht="70.5" hidden="1" customHeight="1">
      <c r="C8507" s="701"/>
      <c r="D8507" s="811"/>
      <c r="E8507" s="1276">
        <f>[11]building!Y8838</f>
        <v>0</v>
      </c>
      <c r="F8507" s="748">
        <f t="shared" si="371"/>
        <v>0</v>
      </c>
      <c r="G8507" s="1205"/>
      <c r="H8507" s="1055"/>
      <c r="I8507" s="1055"/>
      <c r="J8507" s="1055"/>
      <c r="K8507" s="1205"/>
      <c r="L8507" s="1055"/>
      <c r="M8507" s="1205"/>
      <c r="N8507" s="1054"/>
      <c r="O8507" s="1207"/>
      <c r="Q8507" s="1207"/>
    </row>
    <row r="8508" spans="3:17" s="700" customFormat="1" ht="70.5" hidden="1" customHeight="1">
      <c r="C8508" s="701"/>
      <c r="D8508" s="811"/>
      <c r="E8508" s="1276">
        <f>[11]building!Y8839</f>
        <v>0</v>
      </c>
      <c r="F8508" s="748">
        <f t="shared" si="371"/>
        <v>0</v>
      </c>
      <c r="G8508" s="1205"/>
      <c r="H8508" s="1055"/>
      <c r="I8508" s="1055"/>
      <c r="J8508" s="1055"/>
      <c r="K8508" s="1205"/>
      <c r="L8508" s="1055"/>
      <c r="M8508" s="1205"/>
      <c r="N8508" s="1054"/>
      <c r="O8508" s="1207"/>
      <c r="Q8508" s="1207"/>
    </row>
    <row r="8509" spans="3:17" s="700" customFormat="1" ht="70.5" hidden="1" customHeight="1">
      <c r="C8509" s="701"/>
      <c r="D8509" s="811"/>
      <c r="E8509" s="1276">
        <f>[11]building!Y8840</f>
        <v>0</v>
      </c>
      <c r="F8509" s="748">
        <f t="shared" si="371"/>
        <v>0</v>
      </c>
      <c r="G8509" s="1205"/>
      <c r="H8509" s="1055"/>
      <c r="I8509" s="1055"/>
      <c r="J8509" s="1055"/>
      <c r="K8509" s="1205"/>
      <c r="L8509" s="1055"/>
      <c r="M8509" s="1205"/>
      <c r="N8509" s="1054"/>
      <c r="O8509" s="1207"/>
      <c r="Q8509" s="1207"/>
    </row>
    <row r="8510" spans="3:17" s="700" customFormat="1" ht="70.5" hidden="1" customHeight="1">
      <c r="C8510" s="701"/>
      <c r="D8510" s="811"/>
      <c r="E8510" s="1276">
        <f>[11]building!Y8841</f>
        <v>0</v>
      </c>
      <c r="F8510" s="748">
        <f t="shared" si="371"/>
        <v>0</v>
      </c>
      <c r="G8510" s="1205"/>
      <c r="H8510" s="1055"/>
      <c r="I8510" s="1055"/>
      <c r="J8510" s="1055"/>
      <c r="K8510" s="1205"/>
      <c r="L8510" s="1055"/>
      <c r="M8510" s="1205"/>
      <c r="N8510" s="1054"/>
      <c r="O8510" s="1207"/>
      <c r="Q8510" s="1207"/>
    </row>
    <row r="8511" spans="3:17" s="700" customFormat="1" ht="70.5" hidden="1" customHeight="1">
      <c r="C8511" s="701"/>
      <c r="D8511" s="811"/>
      <c r="E8511" s="1276">
        <f>[11]building!Y8842</f>
        <v>0</v>
      </c>
      <c r="F8511" s="748">
        <f t="shared" si="371"/>
        <v>0</v>
      </c>
      <c r="G8511" s="1205"/>
      <c r="H8511" s="1055"/>
      <c r="I8511" s="1055"/>
      <c r="J8511" s="1055"/>
      <c r="K8511" s="1205"/>
      <c r="L8511" s="1055"/>
      <c r="M8511" s="1205"/>
      <c r="N8511" s="1054"/>
      <c r="O8511" s="1207"/>
      <c r="Q8511" s="1207"/>
    </row>
    <row r="8512" spans="3:17" s="700" customFormat="1" ht="70.5" hidden="1" customHeight="1">
      <c r="C8512" s="701"/>
      <c r="D8512" s="811"/>
      <c r="E8512" s="1276">
        <f>[11]building!Y8843</f>
        <v>0</v>
      </c>
      <c r="F8512" s="748">
        <f t="shared" ref="F8512:F8575" si="372">E8512*C8512</f>
        <v>0</v>
      </c>
      <c r="G8512" s="1205"/>
      <c r="H8512" s="1055"/>
      <c r="I8512" s="1055"/>
      <c r="J8512" s="1055"/>
      <c r="K8512" s="1205"/>
      <c r="L8512" s="1055"/>
      <c r="M8512" s="1205"/>
      <c r="N8512" s="1054"/>
      <c r="O8512" s="1207"/>
      <c r="Q8512" s="1207"/>
    </row>
    <row r="8513" spans="3:17" s="700" customFormat="1" ht="70.5" hidden="1" customHeight="1">
      <c r="C8513" s="701"/>
      <c r="D8513" s="811"/>
      <c r="E8513" s="1276">
        <f>[11]building!Y8844</f>
        <v>0</v>
      </c>
      <c r="F8513" s="748">
        <f t="shared" si="372"/>
        <v>0</v>
      </c>
      <c r="G8513" s="1205"/>
      <c r="H8513" s="1055"/>
      <c r="I8513" s="1055"/>
      <c r="J8513" s="1055"/>
      <c r="K8513" s="1205"/>
      <c r="L8513" s="1055"/>
      <c r="M8513" s="1205"/>
      <c r="N8513" s="1054"/>
      <c r="O8513" s="1207"/>
      <c r="Q8513" s="1207"/>
    </row>
    <row r="8514" spans="3:17" s="700" customFormat="1" ht="70.5" hidden="1" customHeight="1">
      <c r="C8514" s="701"/>
      <c r="D8514" s="811"/>
      <c r="E8514" s="1276">
        <f>[11]building!Y8845</f>
        <v>0</v>
      </c>
      <c r="F8514" s="748">
        <f t="shared" si="372"/>
        <v>0</v>
      </c>
      <c r="G8514" s="1205"/>
      <c r="H8514" s="1055"/>
      <c r="I8514" s="1055"/>
      <c r="J8514" s="1055"/>
      <c r="K8514" s="1205"/>
      <c r="L8514" s="1055"/>
      <c r="M8514" s="1205"/>
      <c r="N8514" s="1054"/>
      <c r="O8514" s="1207"/>
      <c r="Q8514" s="1207"/>
    </row>
    <row r="8515" spans="3:17" s="700" customFormat="1" ht="70.5" hidden="1" customHeight="1">
      <c r="C8515" s="701"/>
      <c r="D8515" s="811"/>
      <c r="E8515" s="1276">
        <f>[11]building!Y8846</f>
        <v>0</v>
      </c>
      <c r="F8515" s="748">
        <f t="shared" si="372"/>
        <v>0</v>
      </c>
      <c r="G8515" s="1205"/>
      <c r="H8515" s="1055"/>
      <c r="I8515" s="1055"/>
      <c r="J8515" s="1055"/>
      <c r="K8515" s="1205"/>
      <c r="L8515" s="1055"/>
      <c r="M8515" s="1205"/>
      <c r="N8515" s="1054"/>
      <c r="O8515" s="1207"/>
      <c r="Q8515" s="1207"/>
    </row>
    <row r="8516" spans="3:17" s="700" customFormat="1" ht="70.5" hidden="1" customHeight="1">
      <c r="C8516" s="701"/>
      <c r="D8516" s="811"/>
      <c r="E8516" s="1276">
        <f>[11]building!Y8847</f>
        <v>0</v>
      </c>
      <c r="F8516" s="748">
        <f t="shared" si="372"/>
        <v>0</v>
      </c>
      <c r="G8516" s="1205"/>
      <c r="H8516" s="1055"/>
      <c r="I8516" s="1055"/>
      <c r="J8516" s="1055"/>
      <c r="K8516" s="1205"/>
      <c r="L8516" s="1055"/>
      <c r="M8516" s="1205"/>
      <c r="N8516" s="1054"/>
      <c r="O8516" s="1207"/>
      <c r="Q8516" s="1207"/>
    </row>
    <row r="8517" spans="3:17" s="700" customFormat="1" ht="70.5" hidden="1" customHeight="1">
      <c r="C8517" s="701"/>
      <c r="D8517" s="811"/>
      <c r="E8517" s="1276">
        <f>[11]building!Y8848</f>
        <v>0</v>
      </c>
      <c r="F8517" s="748">
        <f t="shared" si="372"/>
        <v>0</v>
      </c>
      <c r="G8517" s="1205"/>
      <c r="H8517" s="1055"/>
      <c r="I8517" s="1055"/>
      <c r="J8517" s="1055"/>
      <c r="K8517" s="1205"/>
      <c r="L8517" s="1055"/>
      <c r="M8517" s="1205"/>
      <c r="N8517" s="1054"/>
      <c r="O8517" s="1207"/>
      <c r="Q8517" s="1207"/>
    </row>
    <row r="8518" spans="3:17" s="700" customFormat="1" ht="70.5" hidden="1" customHeight="1">
      <c r="C8518" s="701"/>
      <c r="D8518" s="811"/>
      <c r="E8518" s="1276">
        <f>[11]building!Y8849</f>
        <v>0</v>
      </c>
      <c r="F8518" s="748">
        <f t="shared" si="372"/>
        <v>0</v>
      </c>
      <c r="G8518" s="1205"/>
      <c r="H8518" s="1055"/>
      <c r="I8518" s="1055"/>
      <c r="J8518" s="1055"/>
      <c r="K8518" s="1205"/>
      <c r="L8518" s="1055"/>
      <c r="M8518" s="1205"/>
      <c r="N8518" s="1054"/>
      <c r="O8518" s="1207"/>
      <c r="Q8518" s="1207"/>
    </row>
    <row r="8519" spans="3:17" s="700" customFormat="1" ht="70.5" hidden="1" customHeight="1">
      <c r="C8519" s="701"/>
      <c r="D8519" s="811"/>
      <c r="E8519" s="1276">
        <f>[11]building!Y8850</f>
        <v>0</v>
      </c>
      <c r="F8519" s="748">
        <f t="shared" si="372"/>
        <v>0</v>
      </c>
      <c r="G8519" s="1205"/>
      <c r="H8519" s="1055"/>
      <c r="I8519" s="1055"/>
      <c r="J8519" s="1055"/>
      <c r="K8519" s="1205"/>
      <c r="L8519" s="1055"/>
      <c r="M8519" s="1205"/>
      <c r="N8519" s="1054"/>
      <c r="O8519" s="1207"/>
      <c r="Q8519" s="1207"/>
    </row>
    <row r="8520" spans="3:17" s="700" customFormat="1" ht="70.5" hidden="1" customHeight="1">
      <c r="C8520" s="701"/>
      <c r="D8520" s="811"/>
      <c r="E8520" s="1276">
        <f>[11]building!Y8851</f>
        <v>0</v>
      </c>
      <c r="F8520" s="748">
        <f t="shared" si="372"/>
        <v>0</v>
      </c>
      <c r="G8520" s="1205"/>
      <c r="H8520" s="1055"/>
      <c r="I8520" s="1055"/>
      <c r="J8520" s="1055"/>
      <c r="K8520" s="1205"/>
      <c r="L8520" s="1055"/>
      <c r="M8520" s="1205"/>
      <c r="N8520" s="1054"/>
      <c r="O8520" s="1207"/>
      <c r="Q8520" s="1207"/>
    </row>
    <row r="8521" spans="3:17" s="700" customFormat="1" ht="70.5" hidden="1" customHeight="1">
      <c r="C8521" s="701"/>
      <c r="D8521" s="811"/>
      <c r="E8521" s="1276">
        <f>[11]building!Y8852</f>
        <v>0</v>
      </c>
      <c r="F8521" s="748">
        <f t="shared" si="372"/>
        <v>0</v>
      </c>
      <c r="G8521" s="1205"/>
      <c r="H8521" s="1055"/>
      <c r="I8521" s="1055"/>
      <c r="J8521" s="1055"/>
      <c r="K8521" s="1205"/>
      <c r="L8521" s="1055"/>
      <c r="M8521" s="1205"/>
      <c r="N8521" s="1054"/>
      <c r="O8521" s="1207"/>
      <c r="Q8521" s="1207"/>
    </row>
    <row r="8522" spans="3:17" s="700" customFormat="1" ht="70.5" hidden="1" customHeight="1">
      <c r="C8522" s="701"/>
      <c r="D8522" s="811"/>
      <c r="E8522" s="1276">
        <f>[11]building!Y8853</f>
        <v>0</v>
      </c>
      <c r="F8522" s="748">
        <f t="shared" si="372"/>
        <v>0</v>
      </c>
      <c r="G8522" s="1205"/>
      <c r="H8522" s="1055"/>
      <c r="I8522" s="1055"/>
      <c r="J8522" s="1055"/>
      <c r="K8522" s="1205"/>
      <c r="L8522" s="1055"/>
      <c r="M8522" s="1205"/>
      <c r="N8522" s="1054"/>
      <c r="O8522" s="1207"/>
      <c r="Q8522" s="1207"/>
    </row>
    <row r="8523" spans="3:17" s="700" customFormat="1" ht="70.5" hidden="1" customHeight="1">
      <c r="C8523" s="701"/>
      <c r="D8523" s="811"/>
      <c r="E8523" s="1276">
        <f>[11]building!Y8854</f>
        <v>0</v>
      </c>
      <c r="F8523" s="748">
        <f t="shared" si="372"/>
        <v>0</v>
      </c>
      <c r="G8523" s="1205"/>
      <c r="H8523" s="1055"/>
      <c r="I8523" s="1055"/>
      <c r="J8523" s="1055"/>
      <c r="K8523" s="1205"/>
      <c r="L8523" s="1055"/>
      <c r="M8523" s="1205"/>
      <c r="N8523" s="1054"/>
      <c r="O8523" s="1207"/>
      <c r="Q8523" s="1207"/>
    </row>
    <row r="8524" spans="3:17" s="700" customFormat="1" ht="70.5" hidden="1" customHeight="1">
      <c r="C8524" s="701"/>
      <c r="D8524" s="811"/>
      <c r="E8524" s="1276">
        <f>[11]building!Y8855</f>
        <v>0</v>
      </c>
      <c r="F8524" s="748">
        <f t="shared" si="372"/>
        <v>0</v>
      </c>
      <c r="G8524" s="1205"/>
      <c r="H8524" s="1055"/>
      <c r="I8524" s="1055"/>
      <c r="J8524" s="1055"/>
      <c r="K8524" s="1205"/>
      <c r="L8524" s="1055"/>
      <c r="M8524" s="1205"/>
      <c r="N8524" s="1054"/>
      <c r="O8524" s="1207"/>
      <c r="Q8524" s="1207"/>
    </row>
    <row r="8525" spans="3:17" s="700" customFormat="1" ht="70.5" hidden="1" customHeight="1">
      <c r="C8525" s="701"/>
      <c r="D8525" s="811"/>
      <c r="E8525" s="1276">
        <f>[11]building!Y8856</f>
        <v>0</v>
      </c>
      <c r="F8525" s="748">
        <f t="shared" si="372"/>
        <v>0</v>
      </c>
      <c r="G8525" s="1205"/>
      <c r="H8525" s="1055"/>
      <c r="I8525" s="1055"/>
      <c r="J8525" s="1055"/>
      <c r="K8525" s="1205"/>
      <c r="L8525" s="1055"/>
      <c r="M8525" s="1205"/>
      <c r="N8525" s="1054"/>
      <c r="O8525" s="1207"/>
      <c r="Q8525" s="1207"/>
    </row>
    <row r="8526" spans="3:17" s="700" customFormat="1" ht="70.5" hidden="1" customHeight="1">
      <c r="C8526" s="701"/>
      <c r="D8526" s="811"/>
      <c r="E8526" s="1276">
        <f>[11]building!Y8857</f>
        <v>0</v>
      </c>
      <c r="F8526" s="748">
        <f t="shared" si="372"/>
        <v>0</v>
      </c>
      <c r="G8526" s="1205"/>
      <c r="H8526" s="1055"/>
      <c r="I8526" s="1055"/>
      <c r="J8526" s="1055"/>
      <c r="K8526" s="1205"/>
      <c r="L8526" s="1055"/>
      <c r="M8526" s="1205"/>
      <c r="N8526" s="1054"/>
      <c r="O8526" s="1207"/>
      <c r="Q8526" s="1207"/>
    </row>
    <row r="8527" spans="3:17" s="700" customFormat="1" ht="70.5" hidden="1" customHeight="1">
      <c r="C8527" s="701"/>
      <c r="D8527" s="811"/>
      <c r="E8527" s="1276">
        <f>[11]building!Y8858</f>
        <v>0</v>
      </c>
      <c r="F8527" s="748">
        <f t="shared" si="372"/>
        <v>0</v>
      </c>
      <c r="G8527" s="1205"/>
      <c r="H8527" s="1055"/>
      <c r="I8527" s="1055"/>
      <c r="J8527" s="1055"/>
      <c r="K8527" s="1205"/>
      <c r="L8527" s="1055"/>
      <c r="M8527" s="1205"/>
      <c r="N8527" s="1054"/>
      <c r="O8527" s="1207"/>
      <c r="Q8527" s="1207"/>
    </row>
    <row r="8528" spans="3:17" s="700" customFormat="1" ht="70.5" hidden="1" customHeight="1">
      <c r="C8528" s="701"/>
      <c r="D8528" s="811"/>
      <c r="E8528" s="1276">
        <f>[11]building!Y8859</f>
        <v>0</v>
      </c>
      <c r="F8528" s="748">
        <f t="shared" si="372"/>
        <v>0</v>
      </c>
      <c r="G8528" s="1205"/>
      <c r="H8528" s="1055"/>
      <c r="I8528" s="1055"/>
      <c r="J8528" s="1055"/>
      <c r="K8528" s="1205"/>
      <c r="L8528" s="1055"/>
      <c r="M8528" s="1205"/>
      <c r="N8528" s="1054"/>
      <c r="O8528" s="1207"/>
      <c r="Q8528" s="1207"/>
    </row>
    <row r="8529" spans="3:17" s="700" customFormat="1" ht="70.5" hidden="1" customHeight="1">
      <c r="C8529" s="701"/>
      <c r="D8529" s="811"/>
      <c r="E8529" s="1276">
        <f>[11]building!Y8860</f>
        <v>0</v>
      </c>
      <c r="F8529" s="748">
        <f t="shared" si="372"/>
        <v>0</v>
      </c>
      <c r="G8529" s="1205"/>
      <c r="H8529" s="1055"/>
      <c r="I8529" s="1055"/>
      <c r="J8529" s="1055"/>
      <c r="K8529" s="1205"/>
      <c r="L8529" s="1055"/>
      <c r="M8529" s="1205"/>
      <c r="N8529" s="1054"/>
      <c r="O8529" s="1207"/>
      <c r="Q8529" s="1207"/>
    </row>
    <row r="8530" spans="3:17" s="700" customFormat="1" ht="70.5" hidden="1" customHeight="1">
      <c r="C8530" s="701"/>
      <c r="D8530" s="811"/>
      <c r="E8530" s="1276">
        <f>[11]building!Y8861</f>
        <v>0</v>
      </c>
      <c r="F8530" s="748">
        <f t="shared" si="372"/>
        <v>0</v>
      </c>
      <c r="G8530" s="1205"/>
      <c r="H8530" s="1055"/>
      <c r="I8530" s="1055"/>
      <c r="J8530" s="1055"/>
      <c r="K8530" s="1205"/>
      <c r="L8530" s="1055"/>
      <c r="M8530" s="1205"/>
      <c r="N8530" s="1054"/>
      <c r="O8530" s="1207"/>
      <c r="Q8530" s="1207"/>
    </row>
    <row r="8531" spans="3:17" s="700" customFormat="1" ht="70.5" hidden="1" customHeight="1">
      <c r="C8531" s="701"/>
      <c r="D8531" s="811"/>
      <c r="E8531" s="1276">
        <f>[11]building!Y8862</f>
        <v>0</v>
      </c>
      <c r="F8531" s="748">
        <f t="shared" si="372"/>
        <v>0</v>
      </c>
      <c r="G8531" s="1205"/>
      <c r="H8531" s="1055"/>
      <c r="I8531" s="1055"/>
      <c r="J8531" s="1055"/>
      <c r="K8531" s="1205"/>
      <c r="L8531" s="1055"/>
      <c r="M8531" s="1205"/>
      <c r="N8531" s="1054"/>
      <c r="O8531" s="1207"/>
      <c r="Q8531" s="1207"/>
    </row>
    <row r="8532" spans="3:17" s="700" customFormat="1" ht="70.5" hidden="1" customHeight="1">
      <c r="C8532" s="701"/>
      <c r="D8532" s="811"/>
      <c r="E8532" s="1276">
        <f>[11]building!Y8863</f>
        <v>0</v>
      </c>
      <c r="F8532" s="748">
        <f t="shared" si="372"/>
        <v>0</v>
      </c>
      <c r="G8532" s="1205"/>
      <c r="H8532" s="1055"/>
      <c r="I8532" s="1055"/>
      <c r="J8532" s="1055"/>
      <c r="K8532" s="1205"/>
      <c r="L8532" s="1055"/>
      <c r="M8532" s="1205"/>
      <c r="N8532" s="1054"/>
      <c r="O8532" s="1207"/>
      <c r="Q8532" s="1207"/>
    </row>
    <row r="8533" spans="3:17" s="700" customFormat="1" ht="70.5" hidden="1" customHeight="1">
      <c r="C8533" s="701"/>
      <c r="D8533" s="811"/>
      <c r="E8533" s="1276">
        <f>[11]building!Y8864</f>
        <v>0</v>
      </c>
      <c r="F8533" s="748">
        <f t="shared" si="372"/>
        <v>0</v>
      </c>
      <c r="G8533" s="1205"/>
      <c r="H8533" s="1055"/>
      <c r="I8533" s="1055"/>
      <c r="J8533" s="1055"/>
      <c r="K8533" s="1205"/>
      <c r="L8533" s="1055"/>
      <c r="M8533" s="1205"/>
      <c r="N8533" s="1054"/>
      <c r="O8533" s="1207"/>
      <c r="Q8533" s="1207"/>
    </row>
    <row r="8534" spans="3:17" s="700" customFormat="1" ht="70.5" hidden="1" customHeight="1">
      <c r="C8534" s="701"/>
      <c r="D8534" s="811"/>
      <c r="E8534" s="1276">
        <f>[11]building!Y8865</f>
        <v>0</v>
      </c>
      <c r="F8534" s="748">
        <f t="shared" si="372"/>
        <v>0</v>
      </c>
      <c r="G8534" s="1205"/>
      <c r="H8534" s="1055"/>
      <c r="I8534" s="1055"/>
      <c r="J8534" s="1055"/>
      <c r="K8534" s="1205"/>
      <c r="L8534" s="1055"/>
      <c r="M8534" s="1205"/>
      <c r="N8534" s="1054"/>
      <c r="O8534" s="1207"/>
      <c r="Q8534" s="1207"/>
    </row>
    <row r="8535" spans="3:17" s="700" customFormat="1" ht="70.5" hidden="1" customHeight="1">
      <c r="C8535" s="701"/>
      <c r="D8535" s="811"/>
      <c r="E8535" s="1276">
        <f>[11]building!Y8866</f>
        <v>0</v>
      </c>
      <c r="F8535" s="748">
        <f t="shared" si="372"/>
        <v>0</v>
      </c>
      <c r="G8535" s="1205"/>
      <c r="H8535" s="1055"/>
      <c r="I8535" s="1055"/>
      <c r="J8535" s="1055"/>
      <c r="K8535" s="1205"/>
      <c r="L8535" s="1055"/>
      <c r="M8535" s="1205"/>
      <c r="N8535" s="1054"/>
      <c r="O8535" s="1207"/>
      <c r="Q8535" s="1207"/>
    </row>
    <row r="8536" spans="3:17" s="700" customFormat="1" ht="70.5" hidden="1" customHeight="1">
      <c r="C8536" s="701"/>
      <c r="D8536" s="811"/>
      <c r="E8536" s="1276">
        <f>[11]building!Y8867</f>
        <v>0</v>
      </c>
      <c r="F8536" s="748">
        <f t="shared" si="372"/>
        <v>0</v>
      </c>
      <c r="G8536" s="1205"/>
      <c r="H8536" s="1055"/>
      <c r="I8536" s="1055"/>
      <c r="J8536" s="1055"/>
      <c r="K8536" s="1205"/>
      <c r="L8536" s="1055"/>
      <c r="M8536" s="1205"/>
      <c r="N8536" s="1054"/>
      <c r="O8536" s="1207"/>
      <c r="Q8536" s="1207"/>
    </row>
    <row r="8537" spans="3:17" s="700" customFormat="1" ht="70.5" hidden="1" customHeight="1">
      <c r="C8537" s="701"/>
      <c r="D8537" s="811"/>
      <c r="E8537" s="1276">
        <f>[11]building!Y8868</f>
        <v>0</v>
      </c>
      <c r="F8537" s="748">
        <f t="shared" si="372"/>
        <v>0</v>
      </c>
      <c r="G8537" s="1205"/>
      <c r="H8537" s="1055"/>
      <c r="I8537" s="1055"/>
      <c r="J8537" s="1055"/>
      <c r="K8537" s="1205"/>
      <c r="L8537" s="1055"/>
      <c r="M8537" s="1205"/>
      <c r="N8537" s="1054"/>
      <c r="O8537" s="1207"/>
      <c r="Q8537" s="1207"/>
    </row>
    <row r="8538" spans="3:17" s="700" customFormat="1" ht="70.5" hidden="1" customHeight="1">
      <c r="C8538" s="701"/>
      <c r="D8538" s="811"/>
      <c r="E8538" s="1276">
        <f>[11]building!Y8869</f>
        <v>0</v>
      </c>
      <c r="F8538" s="748">
        <f t="shared" si="372"/>
        <v>0</v>
      </c>
      <c r="G8538" s="1205"/>
      <c r="H8538" s="1055"/>
      <c r="I8538" s="1055"/>
      <c r="J8538" s="1055"/>
      <c r="K8538" s="1205"/>
      <c r="L8538" s="1055"/>
      <c r="M8538" s="1205"/>
      <c r="N8538" s="1054"/>
      <c r="O8538" s="1207"/>
      <c r="Q8538" s="1207"/>
    </row>
    <row r="8539" spans="3:17" s="700" customFormat="1" ht="70.5" hidden="1" customHeight="1">
      <c r="C8539" s="701"/>
      <c r="D8539" s="811"/>
      <c r="E8539" s="1276">
        <f>[11]building!Y8870</f>
        <v>0</v>
      </c>
      <c r="F8539" s="748">
        <f t="shared" si="372"/>
        <v>0</v>
      </c>
      <c r="G8539" s="1205"/>
      <c r="H8539" s="1055"/>
      <c r="I8539" s="1055"/>
      <c r="J8539" s="1055"/>
      <c r="K8539" s="1205"/>
      <c r="L8539" s="1055"/>
      <c r="M8539" s="1205"/>
      <c r="N8539" s="1054"/>
      <c r="O8539" s="1207"/>
      <c r="Q8539" s="1207"/>
    </row>
    <row r="8540" spans="3:17" s="700" customFormat="1" ht="70.5" hidden="1" customHeight="1">
      <c r="C8540" s="701"/>
      <c r="D8540" s="811"/>
      <c r="E8540" s="1276">
        <f>[11]building!Y8871</f>
        <v>0</v>
      </c>
      <c r="F8540" s="748">
        <f t="shared" si="372"/>
        <v>0</v>
      </c>
      <c r="G8540" s="1205"/>
      <c r="H8540" s="1055"/>
      <c r="I8540" s="1055"/>
      <c r="J8540" s="1055"/>
      <c r="K8540" s="1205"/>
      <c r="L8540" s="1055"/>
      <c r="M8540" s="1205"/>
      <c r="N8540" s="1054"/>
      <c r="O8540" s="1207"/>
      <c r="Q8540" s="1207"/>
    </row>
    <row r="8541" spans="3:17" s="700" customFormat="1" ht="70.5" hidden="1" customHeight="1">
      <c r="C8541" s="701"/>
      <c r="D8541" s="811"/>
      <c r="E8541" s="1276">
        <f>[11]building!Y8872</f>
        <v>0</v>
      </c>
      <c r="F8541" s="748">
        <f t="shared" si="372"/>
        <v>0</v>
      </c>
      <c r="G8541" s="1205"/>
      <c r="H8541" s="1055"/>
      <c r="I8541" s="1055"/>
      <c r="J8541" s="1055"/>
      <c r="K8541" s="1205"/>
      <c r="L8541" s="1055"/>
      <c r="M8541" s="1205"/>
      <c r="N8541" s="1054"/>
      <c r="O8541" s="1207"/>
      <c r="Q8541" s="1207"/>
    </row>
    <row r="8542" spans="3:17" s="700" customFormat="1" ht="70.5" hidden="1" customHeight="1">
      <c r="C8542" s="701"/>
      <c r="D8542" s="811"/>
      <c r="E8542" s="1276">
        <f>[11]building!Y8873</f>
        <v>0</v>
      </c>
      <c r="F8542" s="748">
        <f t="shared" si="372"/>
        <v>0</v>
      </c>
      <c r="G8542" s="1205"/>
      <c r="H8542" s="1055"/>
      <c r="I8542" s="1055"/>
      <c r="J8542" s="1055"/>
      <c r="K8542" s="1205"/>
      <c r="L8542" s="1055"/>
      <c r="M8542" s="1205"/>
      <c r="N8542" s="1054"/>
      <c r="O8542" s="1207"/>
      <c r="Q8542" s="1207"/>
    </row>
    <row r="8543" spans="3:17" s="700" customFormat="1" ht="70.5" hidden="1" customHeight="1">
      <c r="C8543" s="701"/>
      <c r="D8543" s="811"/>
      <c r="E8543" s="1276">
        <f>[11]building!Y8874</f>
        <v>0</v>
      </c>
      <c r="F8543" s="748">
        <f t="shared" si="372"/>
        <v>0</v>
      </c>
      <c r="G8543" s="1205"/>
      <c r="H8543" s="1055"/>
      <c r="I8543" s="1055"/>
      <c r="J8543" s="1055"/>
      <c r="K8543" s="1205"/>
      <c r="L8543" s="1055"/>
      <c r="M8543" s="1205"/>
      <c r="N8543" s="1054"/>
      <c r="O8543" s="1207"/>
      <c r="Q8543" s="1207"/>
    </row>
    <row r="8544" spans="3:17" s="700" customFormat="1" ht="70.5" hidden="1" customHeight="1">
      <c r="C8544" s="701"/>
      <c r="D8544" s="811"/>
      <c r="E8544" s="1276">
        <f>[11]building!Y8875</f>
        <v>0</v>
      </c>
      <c r="F8544" s="748">
        <f t="shared" si="372"/>
        <v>0</v>
      </c>
      <c r="G8544" s="1205"/>
      <c r="H8544" s="1055"/>
      <c r="I8544" s="1055"/>
      <c r="J8544" s="1055"/>
      <c r="K8544" s="1205"/>
      <c r="L8544" s="1055"/>
      <c r="M8544" s="1205"/>
      <c r="N8544" s="1054"/>
      <c r="O8544" s="1207"/>
      <c r="Q8544" s="1207"/>
    </row>
    <row r="8545" spans="3:17" s="700" customFormat="1" ht="70.5" hidden="1" customHeight="1">
      <c r="C8545" s="701"/>
      <c r="D8545" s="811"/>
      <c r="E8545" s="1276">
        <f>[11]building!Y8876</f>
        <v>0</v>
      </c>
      <c r="F8545" s="748">
        <f t="shared" si="372"/>
        <v>0</v>
      </c>
      <c r="G8545" s="1205"/>
      <c r="H8545" s="1055"/>
      <c r="I8545" s="1055"/>
      <c r="J8545" s="1055"/>
      <c r="K8545" s="1205"/>
      <c r="L8545" s="1055"/>
      <c r="M8545" s="1205"/>
      <c r="N8545" s="1054"/>
      <c r="O8545" s="1207"/>
      <c r="Q8545" s="1207"/>
    </row>
    <row r="8546" spans="3:17" s="700" customFormat="1" ht="70.5" hidden="1" customHeight="1">
      <c r="C8546" s="701"/>
      <c r="D8546" s="811"/>
      <c r="E8546" s="1276">
        <f>[11]building!Y8877</f>
        <v>0</v>
      </c>
      <c r="F8546" s="748">
        <f t="shared" si="372"/>
        <v>0</v>
      </c>
      <c r="G8546" s="1205"/>
      <c r="H8546" s="1055"/>
      <c r="I8546" s="1055"/>
      <c r="J8546" s="1055"/>
      <c r="K8546" s="1205"/>
      <c r="L8546" s="1055"/>
      <c r="M8546" s="1205"/>
      <c r="N8546" s="1054"/>
      <c r="O8546" s="1207"/>
      <c r="Q8546" s="1207"/>
    </row>
    <row r="8547" spans="3:17" s="700" customFormat="1" ht="70.5" hidden="1" customHeight="1">
      <c r="C8547" s="701"/>
      <c r="D8547" s="811"/>
      <c r="E8547" s="1276">
        <f>[11]building!Y8878</f>
        <v>0</v>
      </c>
      <c r="F8547" s="748">
        <f t="shared" si="372"/>
        <v>0</v>
      </c>
      <c r="G8547" s="1205"/>
      <c r="H8547" s="1055"/>
      <c r="I8547" s="1055"/>
      <c r="J8547" s="1055"/>
      <c r="K8547" s="1205"/>
      <c r="L8547" s="1055"/>
      <c r="M8547" s="1205"/>
      <c r="N8547" s="1054"/>
      <c r="O8547" s="1207"/>
      <c r="Q8547" s="1207"/>
    </row>
    <row r="8548" spans="3:17" s="700" customFormat="1" ht="70.5" hidden="1" customHeight="1">
      <c r="C8548" s="701"/>
      <c r="D8548" s="811"/>
      <c r="E8548" s="1276">
        <f>[11]building!Y8879</f>
        <v>0</v>
      </c>
      <c r="F8548" s="748">
        <f t="shared" si="372"/>
        <v>0</v>
      </c>
      <c r="G8548" s="1205"/>
      <c r="H8548" s="1055"/>
      <c r="I8548" s="1055"/>
      <c r="J8548" s="1055"/>
      <c r="K8548" s="1205"/>
      <c r="L8548" s="1055"/>
      <c r="M8548" s="1205"/>
      <c r="N8548" s="1054"/>
      <c r="O8548" s="1207"/>
      <c r="Q8548" s="1207"/>
    </row>
    <row r="8549" spans="3:17" s="700" customFormat="1" ht="70.5" hidden="1" customHeight="1">
      <c r="C8549" s="701"/>
      <c r="D8549" s="811"/>
      <c r="E8549" s="1276">
        <f>[11]building!Y8880</f>
        <v>0</v>
      </c>
      <c r="F8549" s="748">
        <f t="shared" si="372"/>
        <v>0</v>
      </c>
      <c r="G8549" s="1205"/>
      <c r="H8549" s="1055"/>
      <c r="I8549" s="1055"/>
      <c r="J8549" s="1055"/>
      <c r="K8549" s="1205"/>
      <c r="L8549" s="1055"/>
      <c r="M8549" s="1205"/>
      <c r="N8549" s="1054"/>
      <c r="O8549" s="1207"/>
      <c r="Q8549" s="1207"/>
    </row>
    <row r="8550" spans="3:17" s="700" customFormat="1" ht="70.5" hidden="1" customHeight="1">
      <c r="C8550" s="701"/>
      <c r="D8550" s="811"/>
      <c r="E8550" s="1276">
        <f>[11]building!Y8881</f>
        <v>0</v>
      </c>
      <c r="F8550" s="748">
        <f t="shared" si="372"/>
        <v>0</v>
      </c>
      <c r="G8550" s="1205"/>
      <c r="H8550" s="1055"/>
      <c r="I8550" s="1055"/>
      <c r="J8550" s="1055"/>
      <c r="K8550" s="1205"/>
      <c r="L8550" s="1055"/>
      <c r="M8550" s="1205"/>
      <c r="N8550" s="1054"/>
      <c r="O8550" s="1207"/>
      <c r="Q8550" s="1207"/>
    </row>
    <row r="8551" spans="3:17" s="700" customFormat="1" ht="70.5" hidden="1" customHeight="1">
      <c r="C8551" s="701"/>
      <c r="D8551" s="811"/>
      <c r="E8551" s="1276">
        <f>[11]building!Y8882</f>
        <v>0</v>
      </c>
      <c r="F8551" s="748">
        <f t="shared" si="372"/>
        <v>0</v>
      </c>
      <c r="G8551" s="1205"/>
      <c r="H8551" s="1055"/>
      <c r="I8551" s="1055"/>
      <c r="J8551" s="1055"/>
      <c r="K8551" s="1205"/>
      <c r="L8551" s="1055"/>
      <c r="M8551" s="1205"/>
      <c r="N8551" s="1054"/>
      <c r="O8551" s="1207"/>
      <c r="Q8551" s="1207"/>
    </row>
    <row r="8552" spans="3:17" s="700" customFormat="1" ht="70.5" hidden="1" customHeight="1">
      <c r="C8552" s="701"/>
      <c r="D8552" s="811"/>
      <c r="E8552" s="1276">
        <f>[11]building!Y8883</f>
        <v>0</v>
      </c>
      <c r="F8552" s="748">
        <f t="shared" si="372"/>
        <v>0</v>
      </c>
      <c r="G8552" s="1205"/>
      <c r="H8552" s="1055"/>
      <c r="I8552" s="1055"/>
      <c r="J8552" s="1055"/>
      <c r="K8552" s="1205"/>
      <c r="L8552" s="1055"/>
      <c r="M8552" s="1205"/>
      <c r="N8552" s="1054"/>
      <c r="O8552" s="1207"/>
      <c r="Q8552" s="1207"/>
    </row>
    <row r="8553" spans="3:17" s="700" customFormat="1" ht="70.5" hidden="1" customHeight="1">
      <c r="C8553" s="701"/>
      <c r="D8553" s="811"/>
      <c r="E8553" s="1276">
        <f>[11]building!Y8884</f>
        <v>0</v>
      </c>
      <c r="F8553" s="748">
        <f t="shared" si="372"/>
        <v>0</v>
      </c>
      <c r="G8553" s="1205"/>
      <c r="H8553" s="1055"/>
      <c r="I8553" s="1055"/>
      <c r="J8553" s="1055"/>
      <c r="K8553" s="1205"/>
      <c r="L8553" s="1055"/>
      <c r="M8553" s="1205"/>
      <c r="N8553" s="1054"/>
      <c r="O8553" s="1207"/>
      <c r="Q8553" s="1207"/>
    </row>
    <row r="8554" spans="3:17" s="700" customFormat="1" ht="70.5" hidden="1" customHeight="1">
      <c r="C8554" s="701"/>
      <c r="D8554" s="811"/>
      <c r="E8554" s="1276">
        <f>[11]building!Y8885</f>
        <v>0</v>
      </c>
      <c r="F8554" s="748">
        <f t="shared" si="372"/>
        <v>0</v>
      </c>
      <c r="G8554" s="1205"/>
      <c r="H8554" s="1055"/>
      <c r="I8554" s="1055"/>
      <c r="J8554" s="1055"/>
      <c r="K8554" s="1205"/>
      <c r="L8554" s="1055"/>
      <c r="M8554" s="1205"/>
      <c r="N8554" s="1054"/>
      <c r="O8554" s="1207"/>
      <c r="Q8554" s="1207"/>
    </row>
    <row r="8555" spans="3:17" s="700" customFormat="1" ht="70.5" hidden="1" customHeight="1">
      <c r="C8555" s="701"/>
      <c r="D8555" s="811"/>
      <c r="E8555" s="1276">
        <f>[11]building!Y8886</f>
        <v>0</v>
      </c>
      <c r="F8555" s="748">
        <f t="shared" si="372"/>
        <v>0</v>
      </c>
      <c r="G8555" s="1205"/>
      <c r="H8555" s="1055"/>
      <c r="I8555" s="1055"/>
      <c r="J8555" s="1055"/>
      <c r="K8555" s="1205"/>
      <c r="L8555" s="1055"/>
      <c r="M8555" s="1205"/>
      <c r="N8555" s="1054"/>
      <c r="O8555" s="1207"/>
      <c r="Q8555" s="1207"/>
    </row>
    <row r="8556" spans="3:17" s="700" customFormat="1" ht="70.5" hidden="1" customHeight="1">
      <c r="C8556" s="701"/>
      <c r="D8556" s="811"/>
      <c r="E8556" s="1276">
        <f>[11]building!Y8887</f>
        <v>0</v>
      </c>
      <c r="F8556" s="748">
        <f t="shared" si="372"/>
        <v>0</v>
      </c>
      <c r="G8556" s="1205"/>
      <c r="H8556" s="1055"/>
      <c r="I8556" s="1055"/>
      <c r="J8556" s="1055"/>
      <c r="K8556" s="1205"/>
      <c r="L8556" s="1055"/>
      <c r="M8556" s="1205"/>
      <c r="N8556" s="1054"/>
      <c r="O8556" s="1207"/>
      <c r="Q8556" s="1207"/>
    </row>
    <row r="8557" spans="3:17" s="700" customFormat="1" ht="70.5" hidden="1" customHeight="1">
      <c r="C8557" s="701"/>
      <c r="D8557" s="811"/>
      <c r="E8557" s="1276">
        <f>[11]building!Y8888</f>
        <v>0</v>
      </c>
      <c r="F8557" s="748">
        <f t="shared" si="372"/>
        <v>0</v>
      </c>
      <c r="G8557" s="1205"/>
      <c r="H8557" s="1055"/>
      <c r="I8557" s="1055"/>
      <c r="J8557" s="1055"/>
      <c r="K8557" s="1205"/>
      <c r="L8557" s="1055"/>
      <c r="M8557" s="1205"/>
      <c r="N8557" s="1054"/>
      <c r="O8557" s="1207"/>
      <c r="Q8557" s="1207"/>
    </row>
    <row r="8558" spans="3:17" s="700" customFormat="1" ht="70.5" hidden="1" customHeight="1">
      <c r="C8558" s="701"/>
      <c r="D8558" s="811"/>
      <c r="E8558" s="1276">
        <f>[11]building!Y8889</f>
        <v>0</v>
      </c>
      <c r="F8558" s="748">
        <f t="shared" si="372"/>
        <v>0</v>
      </c>
      <c r="G8558" s="1205"/>
      <c r="H8558" s="1055"/>
      <c r="I8558" s="1055"/>
      <c r="J8558" s="1055"/>
      <c r="K8558" s="1205"/>
      <c r="L8558" s="1055"/>
      <c r="M8558" s="1205"/>
      <c r="N8558" s="1054"/>
      <c r="O8558" s="1207"/>
      <c r="Q8558" s="1207"/>
    </row>
    <row r="8559" spans="3:17" s="700" customFormat="1" ht="70.5" hidden="1" customHeight="1">
      <c r="C8559" s="701"/>
      <c r="D8559" s="811"/>
      <c r="E8559" s="1276">
        <f>[11]building!Y8890</f>
        <v>0</v>
      </c>
      <c r="F8559" s="748">
        <f t="shared" si="372"/>
        <v>0</v>
      </c>
      <c r="G8559" s="1205"/>
      <c r="H8559" s="1055"/>
      <c r="I8559" s="1055"/>
      <c r="J8559" s="1055"/>
      <c r="K8559" s="1205"/>
      <c r="L8559" s="1055"/>
      <c r="M8559" s="1205"/>
      <c r="N8559" s="1054"/>
      <c r="O8559" s="1207"/>
      <c r="Q8559" s="1207"/>
    </row>
    <row r="8560" spans="3:17" s="700" customFormat="1" ht="70.5" hidden="1" customHeight="1">
      <c r="C8560" s="701"/>
      <c r="D8560" s="811"/>
      <c r="E8560" s="1276">
        <f>[11]building!Y8891</f>
        <v>0</v>
      </c>
      <c r="F8560" s="748">
        <f t="shared" si="372"/>
        <v>0</v>
      </c>
      <c r="G8560" s="1205"/>
      <c r="H8560" s="1055"/>
      <c r="I8560" s="1055"/>
      <c r="J8560" s="1055"/>
      <c r="K8560" s="1205"/>
      <c r="L8560" s="1055"/>
      <c r="M8560" s="1205"/>
      <c r="N8560" s="1054"/>
      <c r="O8560" s="1207"/>
      <c r="Q8560" s="1207"/>
    </row>
    <row r="8561" spans="3:17" s="700" customFormat="1" ht="70.5" hidden="1" customHeight="1">
      <c r="C8561" s="701"/>
      <c r="D8561" s="811"/>
      <c r="E8561" s="1276">
        <f>[11]building!Y8892</f>
        <v>0</v>
      </c>
      <c r="F8561" s="748">
        <f t="shared" si="372"/>
        <v>0</v>
      </c>
      <c r="G8561" s="1205"/>
      <c r="H8561" s="1055"/>
      <c r="I8561" s="1055"/>
      <c r="J8561" s="1055"/>
      <c r="K8561" s="1205"/>
      <c r="L8561" s="1055"/>
      <c r="M8561" s="1205"/>
      <c r="N8561" s="1054"/>
      <c r="O8561" s="1207"/>
      <c r="Q8561" s="1207"/>
    </row>
    <row r="8562" spans="3:17" s="700" customFormat="1" ht="70.5" hidden="1" customHeight="1">
      <c r="C8562" s="701"/>
      <c r="D8562" s="811"/>
      <c r="E8562" s="1276">
        <f>[11]building!Y8893</f>
        <v>0</v>
      </c>
      <c r="F8562" s="748">
        <f t="shared" si="372"/>
        <v>0</v>
      </c>
      <c r="G8562" s="1205"/>
      <c r="H8562" s="1055"/>
      <c r="I8562" s="1055"/>
      <c r="J8562" s="1055"/>
      <c r="K8562" s="1205"/>
      <c r="L8562" s="1055"/>
      <c r="M8562" s="1205"/>
      <c r="N8562" s="1054"/>
      <c r="O8562" s="1207"/>
      <c r="Q8562" s="1207"/>
    </row>
    <row r="8563" spans="3:17" s="700" customFormat="1" ht="70.5" hidden="1" customHeight="1">
      <c r="C8563" s="701"/>
      <c r="D8563" s="811"/>
      <c r="E8563" s="1276">
        <f>[11]building!Y8894</f>
        <v>0</v>
      </c>
      <c r="F8563" s="748">
        <f t="shared" si="372"/>
        <v>0</v>
      </c>
      <c r="G8563" s="1205"/>
      <c r="H8563" s="1055"/>
      <c r="I8563" s="1055"/>
      <c r="J8563" s="1055"/>
      <c r="K8563" s="1205"/>
      <c r="L8563" s="1055"/>
      <c r="M8563" s="1205"/>
      <c r="N8563" s="1054"/>
      <c r="O8563" s="1207"/>
      <c r="Q8563" s="1207"/>
    </row>
    <row r="8564" spans="3:17" s="700" customFormat="1" ht="70.5" hidden="1" customHeight="1">
      <c r="C8564" s="701"/>
      <c r="D8564" s="811"/>
      <c r="E8564" s="1276">
        <f>[11]building!Y8895</f>
        <v>0</v>
      </c>
      <c r="F8564" s="748">
        <f t="shared" si="372"/>
        <v>0</v>
      </c>
      <c r="G8564" s="1205"/>
      <c r="H8564" s="1055"/>
      <c r="I8564" s="1055"/>
      <c r="J8564" s="1055"/>
      <c r="K8564" s="1205"/>
      <c r="L8564" s="1055"/>
      <c r="M8564" s="1205"/>
      <c r="N8564" s="1054"/>
      <c r="O8564" s="1207"/>
      <c r="Q8564" s="1207"/>
    </row>
    <row r="8565" spans="3:17" s="700" customFormat="1" ht="70.5" hidden="1" customHeight="1">
      <c r="C8565" s="701"/>
      <c r="D8565" s="811"/>
      <c r="E8565" s="1276">
        <f>[11]building!Y8896</f>
        <v>0</v>
      </c>
      <c r="F8565" s="748">
        <f t="shared" si="372"/>
        <v>0</v>
      </c>
      <c r="G8565" s="1205"/>
      <c r="H8565" s="1055"/>
      <c r="I8565" s="1055"/>
      <c r="J8565" s="1055"/>
      <c r="K8565" s="1205"/>
      <c r="L8565" s="1055"/>
      <c r="M8565" s="1205"/>
      <c r="N8565" s="1054"/>
      <c r="O8565" s="1207"/>
      <c r="Q8565" s="1207"/>
    </row>
    <row r="8566" spans="3:17" s="700" customFormat="1" ht="70.5" hidden="1" customHeight="1">
      <c r="C8566" s="701"/>
      <c r="D8566" s="811"/>
      <c r="E8566" s="1276">
        <f>[11]building!Y8897</f>
        <v>0</v>
      </c>
      <c r="F8566" s="748">
        <f t="shared" si="372"/>
        <v>0</v>
      </c>
      <c r="G8566" s="1205"/>
      <c r="H8566" s="1055"/>
      <c r="I8566" s="1055"/>
      <c r="J8566" s="1055"/>
      <c r="K8566" s="1205"/>
      <c r="L8566" s="1055"/>
      <c r="M8566" s="1205"/>
      <c r="N8566" s="1054"/>
      <c r="O8566" s="1207"/>
      <c r="Q8566" s="1207"/>
    </row>
    <row r="8567" spans="3:17" s="700" customFormat="1" ht="70.5" hidden="1" customHeight="1">
      <c r="C8567" s="701"/>
      <c r="D8567" s="811"/>
      <c r="E8567" s="1276">
        <f>[11]building!Y8898</f>
        <v>0</v>
      </c>
      <c r="F8567" s="748">
        <f t="shared" si="372"/>
        <v>0</v>
      </c>
      <c r="G8567" s="1205"/>
      <c r="H8567" s="1055"/>
      <c r="I8567" s="1055"/>
      <c r="J8567" s="1055"/>
      <c r="K8567" s="1205"/>
      <c r="L8567" s="1055"/>
      <c r="M8567" s="1205"/>
      <c r="N8567" s="1054"/>
      <c r="O8567" s="1207"/>
      <c r="Q8567" s="1207"/>
    </row>
    <row r="8568" spans="3:17" s="700" customFormat="1" ht="70.5" hidden="1" customHeight="1">
      <c r="C8568" s="701"/>
      <c r="D8568" s="811"/>
      <c r="E8568" s="1276">
        <f>[11]building!Y8899</f>
        <v>0</v>
      </c>
      <c r="F8568" s="748">
        <f t="shared" si="372"/>
        <v>0</v>
      </c>
      <c r="G8568" s="1205"/>
      <c r="H8568" s="1055"/>
      <c r="I8568" s="1055"/>
      <c r="J8568" s="1055"/>
      <c r="K8568" s="1205"/>
      <c r="L8568" s="1055"/>
      <c r="M8568" s="1205"/>
      <c r="N8568" s="1054"/>
      <c r="O8568" s="1207"/>
      <c r="Q8568" s="1207"/>
    </row>
    <row r="8569" spans="3:17" s="700" customFormat="1" ht="70.5" hidden="1" customHeight="1">
      <c r="C8569" s="701"/>
      <c r="D8569" s="811"/>
      <c r="E8569" s="1276">
        <f>[11]building!Y8900</f>
        <v>0</v>
      </c>
      <c r="F8569" s="748">
        <f t="shared" si="372"/>
        <v>0</v>
      </c>
      <c r="G8569" s="1205"/>
      <c r="H8569" s="1055"/>
      <c r="I8569" s="1055"/>
      <c r="J8569" s="1055"/>
      <c r="K8569" s="1205"/>
      <c r="L8569" s="1055"/>
      <c r="M8569" s="1205"/>
      <c r="N8569" s="1054"/>
      <c r="O8569" s="1207"/>
      <c r="Q8569" s="1207"/>
    </row>
    <row r="8570" spans="3:17" s="700" customFormat="1" ht="70.5" hidden="1" customHeight="1">
      <c r="C8570" s="701"/>
      <c r="D8570" s="811"/>
      <c r="E8570" s="1276">
        <f>[11]building!Y8901</f>
        <v>0</v>
      </c>
      <c r="F8570" s="748">
        <f t="shared" si="372"/>
        <v>0</v>
      </c>
      <c r="G8570" s="1205"/>
      <c r="H8570" s="1055"/>
      <c r="I8570" s="1055"/>
      <c r="J8570" s="1055"/>
      <c r="K8570" s="1205"/>
      <c r="L8570" s="1055"/>
      <c r="M8570" s="1205"/>
      <c r="N8570" s="1054"/>
      <c r="O8570" s="1207"/>
      <c r="Q8570" s="1207"/>
    </row>
    <row r="8571" spans="3:17" s="700" customFormat="1" ht="70.5" hidden="1" customHeight="1">
      <c r="C8571" s="701"/>
      <c r="D8571" s="811"/>
      <c r="E8571" s="1276">
        <f>[11]building!Y8902</f>
        <v>0</v>
      </c>
      <c r="F8571" s="748">
        <f t="shared" si="372"/>
        <v>0</v>
      </c>
      <c r="G8571" s="1205"/>
      <c r="H8571" s="1055"/>
      <c r="I8571" s="1055"/>
      <c r="J8571" s="1055"/>
      <c r="K8571" s="1205"/>
      <c r="L8571" s="1055"/>
      <c r="M8571" s="1205"/>
      <c r="N8571" s="1054"/>
      <c r="O8571" s="1207"/>
      <c r="Q8571" s="1207"/>
    </row>
    <row r="8572" spans="3:17" s="700" customFormat="1" ht="70.5" hidden="1" customHeight="1">
      <c r="C8572" s="701"/>
      <c r="D8572" s="811"/>
      <c r="E8572" s="1276">
        <f>[11]building!Y8903</f>
        <v>0</v>
      </c>
      <c r="F8572" s="748">
        <f t="shared" si="372"/>
        <v>0</v>
      </c>
      <c r="G8572" s="1205"/>
      <c r="H8572" s="1055"/>
      <c r="I8572" s="1055"/>
      <c r="J8572" s="1055"/>
      <c r="K8572" s="1205"/>
      <c r="L8572" s="1055"/>
      <c r="M8572" s="1205"/>
      <c r="N8572" s="1054"/>
      <c r="O8572" s="1207"/>
      <c r="Q8572" s="1207"/>
    </row>
    <row r="8573" spans="3:17" s="700" customFormat="1" ht="70.5" hidden="1" customHeight="1">
      <c r="C8573" s="701"/>
      <c r="D8573" s="811"/>
      <c r="E8573" s="1276">
        <f>[11]building!Y8904</f>
        <v>0</v>
      </c>
      <c r="F8573" s="748">
        <f t="shared" si="372"/>
        <v>0</v>
      </c>
      <c r="G8573" s="1205"/>
      <c r="H8573" s="1055"/>
      <c r="I8573" s="1055"/>
      <c r="J8573" s="1055"/>
      <c r="K8573" s="1205"/>
      <c r="L8573" s="1055"/>
      <c r="M8573" s="1205"/>
      <c r="N8573" s="1054"/>
      <c r="O8573" s="1207"/>
      <c r="Q8573" s="1207"/>
    </row>
    <row r="8574" spans="3:17" s="700" customFormat="1" ht="70.5" hidden="1" customHeight="1">
      <c r="C8574" s="701"/>
      <c r="D8574" s="811"/>
      <c r="E8574" s="1276">
        <f>[11]building!Y8905</f>
        <v>0</v>
      </c>
      <c r="F8574" s="748">
        <f t="shared" si="372"/>
        <v>0</v>
      </c>
      <c r="G8574" s="1205"/>
      <c r="H8574" s="1055"/>
      <c r="I8574" s="1055"/>
      <c r="J8574" s="1055"/>
      <c r="K8574" s="1205"/>
      <c r="L8574" s="1055"/>
      <c r="M8574" s="1205"/>
      <c r="N8574" s="1054"/>
      <c r="O8574" s="1207"/>
      <c r="Q8574" s="1207"/>
    </row>
    <row r="8575" spans="3:17" s="700" customFormat="1" ht="70.5" hidden="1" customHeight="1">
      <c r="C8575" s="701"/>
      <c r="D8575" s="811"/>
      <c r="E8575" s="1276">
        <f>[11]building!Y8906</f>
        <v>0</v>
      </c>
      <c r="F8575" s="748">
        <f t="shared" si="372"/>
        <v>0</v>
      </c>
      <c r="G8575" s="1205"/>
      <c r="H8575" s="1055"/>
      <c r="I8575" s="1055"/>
      <c r="J8575" s="1055"/>
      <c r="K8575" s="1205"/>
      <c r="L8575" s="1055"/>
      <c r="M8575" s="1205"/>
      <c r="N8575" s="1054"/>
      <c r="O8575" s="1207"/>
      <c r="Q8575" s="1207"/>
    </row>
    <row r="8576" spans="3:17" s="700" customFormat="1" ht="70.5" hidden="1" customHeight="1">
      <c r="C8576" s="701"/>
      <c r="D8576" s="811"/>
      <c r="E8576" s="1276">
        <f>[11]building!Y8907</f>
        <v>0</v>
      </c>
      <c r="F8576" s="748">
        <f t="shared" ref="F8576:F8639" si="373">E8576*C8576</f>
        <v>0</v>
      </c>
      <c r="G8576" s="1205"/>
      <c r="H8576" s="1055"/>
      <c r="I8576" s="1055"/>
      <c r="J8576" s="1055"/>
      <c r="K8576" s="1205"/>
      <c r="L8576" s="1055"/>
      <c r="M8576" s="1205"/>
      <c r="N8576" s="1054"/>
      <c r="O8576" s="1207"/>
      <c r="Q8576" s="1207"/>
    </row>
    <row r="8577" spans="3:17" s="700" customFormat="1" ht="70.5" hidden="1" customHeight="1">
      <c r="C8577" s="701"/>
      <c r="D8577" s="811"/>
      <c r="E8577" s="1276">
        <f>[11]building!Y8908</f>
        <v>0</v>
      </c>
      <c r="F8577" s="748">
        <f t="shared" si="373"/>
        <v>0</v>
      </c>
      <c r="G8577" s="1205"/>
      <c r="H8577" s="1055"/>
      <c r="I8577" s="1055"/>
      <c r="J8577" s="1055"/>
      <c r="K8577" s="1205"/>
      <c r="L8577" s="1055"/>
      <c r="M8577" s="1205"/>
      <c r="N8577" s="1054"/>
      <c r="O8577" s="1207"/>
      <c r="Q8577" s="1207"/>
    </row>
    <row r="8578" spans="3:17" s="700" customFormat="1" ht="70.5" hidden="1" customHeight="1">
      <c r="C8578" s="701"/>
      <c r="D8578" s="811"/>
      <c r="E8578" s="1276">
        <f>[11]building!Y8909</f>
        <v>0</v>
      </c>
      <c r="F8578" s="748">
        <f t="shared" si="373"/>
        <v>0</v>
      </c>
      <c r="G8578" s="1205"/>
      <c r="H8578" s="1055"/>
      <c r="I8578" s="1055"/>
      <c r="J8578" s="1055"/>
      <c r="K8578" s="1205"/>
      <c r="L8578" s="1055"/>
      <c r="M8578" s="1205"/>
      <c r="N8578" s="1054"/>
      <c r="O8578" s="1207"/>
      <c r="Q8578" s="1207"/>
    </row>
    <row r="8579" spans="3:17" s="700" customFormat="1" ht="70.5" hidden="1" customHeight="1">
      <c r="C8579" s="701"/>
      <c r="D8579" s="811"/>
      <c r="E8579" s="1276">
        <f>[11]building!Y8910</f>
        <v>0</v>
      </c>
      <c r="F8579" s="748">
        <f t="shared" si="373"/>
        <v>0</v>
      </c>
      <c r="G8579" s="1205"/>
      <c r="H8579" s="1055"/>
      <c r="I8579" s="1055"/>
      <c r="J8579" s="1055"/>
      <c r="K8579" s="1205"/>
      <c r="L8579" s="1055"/>
      <c r="M8579" s="1205"/>
      <c r="N8579" s="1054"/>
      <c r="O8579" s="1207"/>
      <c r="Q8579" s="1207"/>
    </row>
    <row r="8580" spans="3:17" s="700" customFormat="1" ht="70.5" hidden="1" customHeight="1">
      <c r="C8580" s="701"/>
      <c r="D8580" s="811"/>
      <c r="E8580" s="1276">
        <f>[11]building!Y8911</f>
        <v>0</v>
      </c>
      <c r="F8580" s="748">
        <f t="shared" si="373"/>
        <v>0</v>
      </c>
      <c r="G8580" s="1205"/>
      <c r="H8580" s="1055"/>
      <c r="I8580" s="1055"/>
      <c r="J8580" s="1055"/>
      <c r="K8580" s="1205"/>
      <c r="L8580" s="1055"/>
      <c r="M8580" s="1205"/>
      <c r="N8580" s="1054"/>
      <c r="O8580" s="1207"/>
      <c r="Q8580" s="1207"/>
    </row>
    <row r="8581" spans="3:17" s="700" customFormat="1" ht="70.5" hidden="1" customHeight="1">
      <c r="C8581" s="701"/>
      <c r="D8581" s="811"/>
      <c r="E8581" s="1276">
        <f>[11]building!Y8912</f>
        <v>0</v>
      </c>
      <c r="F8581" s="748">
        <f t="shared" si="373"/>
        <v>0</v>
      </c>
      <c r="G8581" s="1205"/>
      <c r="H8581" s="1055"/>
      <c r="I8581" s="1055"/>
      <c r="J8581" s="1055"/>
      <c r="K8581" s="1205"/>
      <c r="L8581" s="1055"/>
      <c r="M8581" s="1205"/>
      <c r="N8581" s="1054"/>
      <c r="O8581" s="1207"/>
      <c r="Q8581" s="1207"/>
    </row>
    <row r="8582" spans="3:17" s="700" customFormat="1" ht="70.5" hidden="1" customHeight="1">
      <c r="C8582" s="701"/>
      <c r="D8582" s="811"/>
      <c r="E8582" s="1276">
        <f>[11]building!Y8913</f>
        <v>0</v>
      </c>
      <c r="F8582" s="748">
        <f t="shared" si="373"/>
        <v>0</v>
      </c>
      <c r="G8582" s="1205"/>
      <c r="H8582" s="1055"/>
      <c r="I8582" s="1055"/>
      <c r="J8582" s="1055"/>
      <c r="K8582" s="1205"/>
      <c r="L8582" s="1055"/>
      <c r="M8582" s="1205"/>
      <c r="N8582" s="1054"/>
      <c r="O8582" s="1207"/>
      <c r="Q8582" s="1207"/>
    </row>
    <row r="8583" spans="3:17" s="700" customFormat="1" ht="70.5" hidden="1" customHeight="1">
      <c r="C8583" s="701"/>
      <c r="D8583" s="811"/>
      <c r="E8583" s="1276">
        <f>[11]building!Y8914</f>
        <v>0</v>
      </c>
      <c r="F8583" s="748">
        <f t="shared" si="373"/>
        <v>0</v>
      </c>
      <c r="G8583" s="1205"/>
      <c r="H8583" s="1055"/>
      <c r="I8583" s="1055"/>
      <c r="J8583" s="1055"/>
      <c r="K8583" s="1205"/>
      <c r="L8583" s="1055"/>
      <c r="M8583" s="1205"/>
      <c r="N8583" s="1054"/>
      <c r="O8583" s="1207"/>
      <c r="Q8583" s="1207"/>
    </row>
    <row r="8584" spans="3:17" s="700" customFormat="1" ht="70.5" hidden="1" customHeight="1">
      <c r="C8584" s="701"/>
      <c r="D8584" s="811"/>
      <c r="E8584" s="1276">
        <f>[11]building!Y8915</f>
        <v>0</v>
      </c>
      <c r="F8584" s="748">
        <f t="shared" si="373"/>
        <v>0</v>
      </c>
      <c r="G8584" s="1205"/>
      <c r="H8584" s="1055"/>
      <c r="I8584" s="1055"/>
      <c r="J8584" s="1055"/>
      <c r="K8584" s="1205"/>
      <c r="L8584" s="1055"/>
      <c r="M8584" s="1205"/>
      <c r="N8584" s="1054"/>
      <c r="O8584" s="1207"/>
      <c r="Q8584" s="1207"/>
    </row>
    <row r="8585" spans="3:17" s="700" customFormat="1" ht="70.5" hidden="1" customHeight="1">
      <c r="C8585" s="701"/>
      <c r="D8585" s="811"/>
      <c r="E8585" s="1276">
        <f>[11]building!Y8916</f>
        <v>0</v>
      </c>
      <c r="F8585" s="748">
        <f t="shared" si="373"/>
        <v>0</v>
      </c>
      <c r="G8585" s="1205"/>
      <c r="H8585" s="1055"/>
      <c r="I8585" s="1055"/>
      <c r="J8585" s="1055"/>
      <c r="K8585" s="1205"/>
      <c r="L8585" s="1055"/>
      <c r="M8585" s="1205"/>
      <c r="N8585" s="1054"/>
      <c r="O8585" s="1207"/>
      <c r="Q8585" s="1207"/>
    </row>
    <row r="8586" spans="3:17" s="700" customFormat="1" ht="70.5" hidden="1" customHeight="1">
      <c r="C8586" s="701"/>
      <c r="D8586" s="811"/>
      <c r="E8586" s="1276">
        <f>[11]building!Y8917</f>
        <v>0</v>
      </c>
      <c r="F8586" s="748">
        <f t="shared" si="373"/>
        <v>0</v>
      </c>
      <c r="G8586" s="1205"/>
      <c r="H8586" s="1055"/>
      <c r="I8586" s="1055"/>
      <c r="J8586" s="1055"/>
      <c r="K8586" s="1205"/>
      <c r="L8586" s="1055"/>
      <c r="M8586" s="1205"/>
      <c r="N8586" s="1054"/>
      <c r="O8586" s="1207"/>
      <c r="Q8586" s="1207"/>
    </row>
    <row r="8587" spans="3:17" s="700" customFormat="1" ht="70.5" hidden="1" customHeight="1">
      <c r="C8587" s="701"/>
      <c r="D8587" s="811"/>
      <c r="E8587" s="1276">
        <f>[11]building!Y8918</f>
        <v>0</v>
      </c>
      <c r="F8587" s="748">
        <f t="shared" si="373"/>
        <v>0</v>
      </c>
      <c r="G8587" s="1205"/>
      <c r="H8587" s="1055"/>
      <c r="I8587" s="1055"/>
      <c r="J8587" s="1055"/>
      <c r="K8587" s="1205"/>
      <c r="L8587" s="1055"/>
      <c r="M8587" s="1205"/>
      <c r="N8587" s="1054"/>
      <c r="O8587" s="1207"/>
      <c r="Q8587" s="1207"/>
    </row>
    <row r="8588" spans="3:17" s="700" customFormat="1" ht="70.5" hidden="1" customHeight="1">
      <c r="C8588" s="701"/>
      <c r="D8588" s="811"/>
      <c r="E8588" s="1276">
        <f>[11]building!Y8919</f>
        <v>0</v>
      </c>
      <c r="F8588" s="748">
        <f t="shared" si="373"/>
        <v>0</v>
      </c>
      <c r="G8588" s="1205"/>
      <c r="H8588" s="1055"/>
      <c r="I8588" s="1055"/>
      <c r="J8588" s="1055"/>
      <c r="K8588" s="1205"/>
      <c r="L8588" s="1055"/>
      <c r="M8588" s="1205"/>
      <c r="N8588" s="1054"/>
      <c r="O8588" s="1207"/>
      <c r="Q8588" s="1207"/>
    </row>
    <row r="8589" spans="3:17" s="700" customFormat="1" ht="70.5" hidden="1" customHeight="1">
      <c r="C8589" s="701"/>
      <c r="D8589" s="811"/>
      <c r="E8589" s="1276">
        <f>[11]building!Y8920</f>
        <v>0</v>
      </c>
      <c r="F8589" s="748">
        <f t="shared" si="373"/>
        <v>0</v>
      </c>
      <c r="G8589" s="1205"/>
      <c r="H8589" s="1055"/>
      <c r="I8589" s="1055"/>
      <c r="J8589" s="1055"/>
      <c r="K8589" s="1205"/>
      <c r="L8589" s="1055"/>
      <c r="M8589" s="1205"/>
      <c r="N8589" s="1054"/>
      <c r="O8589" s="1207"/>
      <c r="Q8589" s="1207"/>
    </row>
    <row r="8590" spans="3:17" s="700" customFormat="1" ht="70.5" hidden="1" customHeight="1">
      <c r="C8590" s="701"/>
      <c r="D8590" s="811"/>
      <c r="E8590" s="1276">
        <f>[11]building!Y8921</f>
        <v>0</v>
      </c>
      <c r="F8590" s="748">
        <f t="shared" si="373"/>
        <v>0</v>
      </c>
      <c r="G8590" s="1205"/>
      <c r="H8590" s="1055"/>
      <c r="I8590" s="1055"/>
      <c r="J8590" s="1055"/>
      <c r="K8590" s="1205"/>
      <c r="L8590" s="1055"/>
      <c r="M8590" s="1205"/>
      <c r="N8590" s="1054"/>
      <c r="O8590" s="1207"/>
      <c r="Q8590" s="1207"/>
    </row>
    <row r="8591" spans="3:17" s="700" customFormat="1" ht="70.5" hidden="1" customHeight="1">
      <c r="C8591" s="701"/>
      <c r="D8591" s="811"/>
      <c r="E8591" s="1276">
        <f>[11]building!Y8922</f>
        <v>0</v>
      </c>
      <c r="F8591" s="748">
        <f t="shared" si="373"/>
        <v>0</v>
      </c>
      <c r="G8591" s="1205"/>
      <c r="H8591" s="1055"/>
      <c r="I8591" s="1055"/>
      <c r="J8591" s="1055"/>
      <c r="K8591" s="1205"/>
      <c r="L8591" s="1055"/>
      <c r="M8591" s="1205"/>
      <c r="N8591" s="1054"/>
      <c r="O8591" s="1207"/>
      <c r="Q8591" s="1207"/>
    </row>
    <row r="8592" spans="3:17" s="700" customFormat="1" ht="70.5" hidden="1" customHeight="1">
      <c r="C8592" s="701"/>
      <c r="D8592" s="811"/>
      <c r="E8592" s="1276">
        <f>[11]building!Y8923</f>
        <v>0</v>
      </c>
      <c r="F8592" s="748">
        <f t="shared" si="373"/>
        <v>0</v>
      </c>
      <c r="G8592" s="1205"/>
      <c r="H8592" s="1055"/>
      <c r="I8592" s="1055"/>
      <c r="J8592" s="1055"/>
      <c r="K8592" s="1205"/>
      <c r="L8592" s="1055"/>
      <c r="M8592" s="1205"/>
      <c r="N8592" s="1054"/>
      <c r="O8592" s="1207"/>
      <c r="Q8592" s="1207"/>
    </row>
    <row r="8593" spans="3:17" s="700" customFormat="1" ht="70.5" hidden="1" customHeight="1">
      <c r="C8593" s="701"/>
      <c r="D8593" s="811"/>
      <c r="E8593" s="1276">
        <f>[11]building!Y8924</f>
        <v>0</v>
      </c>
      <c r="F8593" s="748">
        <f t="shared" si="373"/>
        <v>0</v>
      </c>
      <c r="G8593" s="1205"/>
      <c r="H8593" s="1055"/>
      <c r="I8593" s="1055"/>
      <c r="J8593" s="1055"/>
      <c r="K8593" s="1205"/>
      <c r="L8593" s="1055"/>
      <c r="M8593" s="1205"/>
      <c r="N8593" s="1054"/>
      <c r="O8593" s="1207"/>
      <c r="Q8593" s="1207"/>
    </row>
    <row r="8594" spans="3:17" s="700" customFormat="1" ht="70.5" hidden="1" customHeight="1">
      <c r="C8594" s="701"/>
      <c r="D8594" s="811"/>
      <c r="E8594" s="1276">
        <f>[11]building!Y8925</f>
        <v>0</v>
      </c>
      <c r="F8594" s="748">
        <f t="shared" si="373"/>
        <v>0</v>
      </c>
      <c r="G8594" s="1205"/>
      <c r="H8594" s="1055"/>
      <c r="I8594" s="1055"/>
      <c r="J8594" s="1055"/>
      <c r="K8594" s="1205"/>
      <c r="L8594" s="1055"/>
      <c r="M8594" s="1205"/>
      <c r="N8594" s="1054"/>
      <c r="O8594" s="1207"/>
      <c r="Q8594" s="1207"/>
    </row>
    <row r="8595" spans="3:17" s="700" customFormat="1" ht="70.5" hidden="1" customHeight="1">
      <c r="C8595" s="701"/>
      <c r="D8595" s="811"/>
      <c r="E8595" s="1276">
        <f>[11]building!Y8926</f>
        <v>0</v>
      </c>
      <c r="F8595" s="748">
        <f t="shared" si="373"/>
        <v>0</v>
      </c>
      <c r="G8595" s="1205"/>
      <c r="H8595" s="1055"/>
      <c r="I8595" s="1055"/>
      <c r="J8595" s="1055"/>
      <c r="K8595" s="1205"/>
      <c r="L8595" s="1055"/>
      <c r="M8595" s="1205"/>
      <c r="N8595" s="1054"/>
      <c r="O8595" s="1207"/>
      <c r="Q8595" s="1207"/>
    </row>
    <row r="8596" spans="3:17" s="700" customFormat="1" ht="70.5" hidden="1" customHeight="1">
      <c r="C8596" s="701"/>
      <c r="D8596" s="811"/>
      <c r="E8596" s="1276">
        <f>[11]building!Y8927</f>
        <v>0</v>
      </c>
      <c r="F8596" s="748">
        <f t="shared" si="373"/>
        <v>0</v>
      </c>
      <c r="G8596" s="1205"/>
      <c r="H8596" s="1055"/>
      <c r="I8596" s="1055"/>
      <c r="J8596" s="1055"/>
      <c r="K8596" s="1205"/>
      <c r="L8596" s="1055"/>
      <c r="M8596" s="1205"/>
      <c r="N8596" s="1054"/>
      <c r="O8596" s="1207"/>
      <c r="Q8596" s="1207"/>
    </row>
    <row r="8597" spans="3:17" s="700" customFormat="1" ht="70.5" hidden="1" customHeight="1">
      <c r="C8597" s="701"/>
      <c r="D8597" s="811"/>
      <c r="E8597" s="1276">
        <f>[11]building!Y8928</f>
        <v>0</v>
      </c>
      <c r="F8597" s="748">
        <f t="shared" si="373"/>
        <v>0</v>
      </c>
      <c r="G8597" s="1205"/>
      <c r="H8597" s="1055"/>
      <c r="I8597" s="1055"/>
      <c r="J8597" s="1055"/>
      <c r="K8597" s="1205"/>
      <c r="L8597" s="1055"/>
      <c r="M8597" s="1205"/>
      <c r="N8597" s="1054"/>
      <c r="O8597" s="1207"/>
      <c r="Q8597" s="1207"/>
    </row>
    <row r="8598" spans="3:17" s="700" customFormat="1" ht="70.5" hidden="1" customHeight="1">
      <c r="C8598" s="701"/>
      <c r="D8598" s="811"/>
      <c r="E8598" s="1276">
        <f>[11]building!Y8929</f>
        <v>0</v>
      </c>
      <c r="F8598" s="748">
        <f t="shared" si="373"/>
        <v>0</v>
      </c>
      <c r="G8598" s="1205"/>
      <c r="H8598" s="1055"/>
      <c r="I8598" s="1055"/>
      <c r="J8598" s="1055"/>
      <c r="K8598" s="1205"/>
      <c r="L8598" s="1055"/>
      <c r="M8598" s="1205"/>
      <c r="N8598" s="1054"/>
      <c r="O8598" s="1207"/>
      <c r="Q8598" s="1207"/>
    </row>
    <row r="8599" spans="3:17" s="700" customFormat="1" ht="70.5" hidden="1" customHeight="1">
      <c r="C8599" s="701"/>
      <c r="D8599" s="811"/>
      <c r="E8599" s="1276">
        <f>[11]building!Y8930</f>
        <v>0</v>
      </c>
      <c r="F8599" s="748">
        <f t="shared" si="373"/>
        <v>0</v>
      </c>
      <c r="G8599" s="1205"/>
      <c r="H8599" s="1055"/>
      <c r="I8599" s="1055"/>
      <c r="J8599" s="1055"/>
      <c r="K8599" s="1205"/>
      <c r="L8599" s="1055"/>
      <c r="M8599" s="1205"/>
      <c r="N8599" s="1054"/>
      <c r="O8599" s="1207"/>
      <c r="Q8599" s="1207"/>
    </row>
    <row r="8600" spans="3:17" s="700" customFormat="1" ht="70.5" hidden="1" customHeight="1">
      <c r="C8600" s="701"/>
      <c r="D8600" s="811"/>
      <c r="E8600" s="1276">
        <f>[11]building!Y8931</f>
        <v>0</v>
      </c>
      <c r="F8600" s="748">
        <f t="shared" si="373"/>
        <v>0</v>
      </c>
      <c r="G8600" s="1205"/>
      <c r="H8600" s="1055"/>
      <c r="I8600" s="1055"/>
      <c r="J8600" s="1055"/>
      <c r="K8600" s="1205"/>
      <c r="L8600" s="1055"/>
      <c r="M8600" s="1205"/>
      <c r="N8600" s="1054"/>
      <c r="O8600" s="1207"/>
      <c r="Q8600" s="1207"/>
    </row>
    <row r="8601" spans="3:17" s="700" customFormat="1" ht="70.5" hidden="1" customHeight="1">
      <c r="C8601" s="701"/>
      <c r="D8601" s="811"/>
      <c r="E8601" s="1276">
        <f>[11]building!Y8932</f>
        <v>0</v>
      </c>
      <c r="F8601" s="748">
        <f t="shared" si="373"/>
        <v>0</v>
      </c>
      <c r="G8601" s="1205"/>
      <c r="H8601" s="1055"/>
      <c r="I8601" s="1055"/>
      <c r="J8601" s="1055"/>
      <c r="K8601" s="1205"/>
      <c r="L8601" s="1055"/>
      <c r="M8601" s="1205"/>
      <c r="N8601" s="1054"/>
      <c r="O8601" s="1207"/>
      <c r="Q8601" s="1207"/>
    </row>
    <row r="8602" spans="3:17" s="700" customFormat="1" ht="70.5" hidden="1" customHeight="1">
      <c r="C8602" s="701"/>
      <c r="D8602" s="811"/>
      <c r="E8602" s="1276">
        <f>[11]building!Y8933</f>
        <v>0</v>
      </c>
      <c r="F8602" s="748">
        <f t="shared" si="373"/>
        <v>0</v>
      </c>
      <c r="G8602" s="1205"/>
      <c r="H8602" s="1055"/>
      <c r="I8602" s="1055"/>
      <c r="J8602" s="1055"/>
      <c r="K8602" s="1205"/>
      <c r="L8602" s="1055"/>
      <c r="M8602" s="1205"/>
      <c r="N8602" s="1054"/>
      <c r="O8602" s="1207"/>
      <c r="Q8602" s="1207"/>
    </row>
    <row r="8603" spans="3:17" s="700" customFormat="1" ht="70.5" hidden="1" customHeight="1">
      <c r="C8603" s="701"/>
      <c r="D8603" s="811"/>
      <c r="E8603" s="1276">
        <f>[11]building!Y8934</f>
        <v>0</v>
      </c>
      <c r="F8603" s="748">
        <f t="shared" si="373"/>
        <v>0</v>
      </c>
      <c r="G8603" s="1205"/>
      <c r="H8603" s="1055"/>
      <c r="I8603" s="1055"/>
      <c r="J8603" s="1055"/>
      <c r="K8603" s="1205"/>
      <c r="L8603" s="1055"/>
      <c r="M8603" s="1205"/>
      <c r="N8603" s="1054"/>
      <c r="O8603" s="1207"/>
      <c r="Q8603" s="1207"/>
    </row>
    <row r="8604" spans="3:17" s="700" customFormat="1" ht="70.5" hidden="1" customHeight="1">
      <c r="C8604" s="701"/>
      <c r="D8604" s="811"/>
      <c r="E8604" s="1276">
        <f>[11]building!Y8935</f>
        <v>0</v>
      </c>
      <c r="F8604" s="748">
        <f t="shared" si="373"/>
        <v>0</v>
      </c>
      <c r="G8604" s="1205"/>
      <c r="H8604" s="1055"/>
      <c r="I8604" s="1055"/>
      <c r="J8604" s="1055"/>
      <c r="K8604" s="1205"/>
      <c r="L8604" s="1055"/>
      <c r="M8604" s="1205"/>
      <c r="N8604" s="1054"/>
      <c r="O8604" s="1207"/>
      <c r="Q8604" s="1207"/>
    </row>
    <row r="8605" spans="3:17" s="700" customFormat="1" ht="70.5" hidden="1" customHeight="1">
      <c r="C8605" s="701"/>
      <c r="D8605" s="811"/>
      <c r="E8605" s="1276">
        <f>[11]building!Y8936</f>
        <v>0</v>
      </c>
      <c r="F8605" s="748">
        <f t="shared" si="373"/>
        <v>0</v>
      </c>
      <c r="G8605" s="1205"/>
      <c r="H8605" s="1055"/>
      <c r="I8605" s="1055"/>
      <c r="J8605" s="1055"/>
      <c r="K8605" s="1205"/>
      <c r="L8605" s="1055"/>
      <c r="M8605" s="1205"/>
      <c r="N8605" s="1054"/>
      <c r="O8605" s="1207"/>
      <c r="Q8605" s="1207"/>
    </row>
    <row r="8606" spans="3:17" s="700" customFormat="1" ht="70.5" hidden="1" customHeight="1">
      <c r="C8606" s="701"/>
      <c r="D8606" s="811"/>
      <c r="E8606" s="1276">
        <f>[11]building!Y8937</f>
        <v>0</v>
      </c>
      <c r="F8606" s="748">
        <f t="shared" si="373"/>
        <v>0</v>
      </c>
      <c r="G8606" s="1205"/>
      <c r="H8606" s="1055"/>
      <c r="I8606" s="1055"/>
      <c r="J8606" s="1055"/>
      <c r="K8606" s="1205"/>
      <c r="L8606" s="1055"/>
      <c r="M8606" s="1205"/>
      <c r="N8606" s="1054"/>
      <c r="O8606" s="1207"/>
      <c r="Q8606" s="1207"/>
    </row>
    <row r="8607" spans="3:17" s="700" customFormat="1" ht="70.5" hidden="1" customHeight="1">
      <c r="C8607" s="701"/>
      <c r="D8607" s="811"/>
      <c r="E8607" s="1276">
        <f>[11]building!Y8938</f>
        <v>0</v>
      </c>
      <c r="F8607" s="748">
        <f t="shared" si="373"/>
        <v>0</v>
      </c>
      <c r="G8607" s="1205"/>
      <c r="H8607" s="1055"/>
      <c r="I8607" s="1055"/>
      <c r="J8607" s="1055"/>
      <c r="K8607" s="1205"/>
      <c r="L8607" s="1055"/>
      <c r="M8607" s="1205"/>
      <c r="N8607" s="1054"/>
      <c r="O8607" s="1207"/>
      <c r="Q8607" s="1207"/>
    </row>
    <row r="8608" spans="3:17" s="700" customFormat="1" ht="70.5" hidden="1" customHeight="1">
      <c r="C8608" s="701"/>
      <c r="D8608" s="811"/>
      <c r="E8608" s="1276">
        <f>[11]building!Y8939</f>
        <v>0</v>
      </c>
      <c r="F8608" s="748">
        <f t="shared" si="373"/>
        <v>0</v>
      </c>
      <c r="G8608" s="1205"/>
      <c r="H8608" s="1055"/>
      <c r="I8608" s="1055"/>
      <c r="J8608" s="1055"/>
      <c r="K8608" s="1205"/>
      <c r="L8608" s="1055"/>
      <c r="M8608" s="1205"/>
      <c r="N8608" s="1054"/>
      <c r="O8608" s="1207"/>
      <c r="Q8608" s="1207"/>
    </row>
    <row r="8609" spans="3:17" s="700" customFormat="1" ht="70.5" hidden="1" customHeight="1">
      <c r="C8609" s="701"/>
      <c r="D8609" s="811"/>
      <c r="E8609" s="1276">
        <f>[11]building!Y8940</f>
        <v>0</v>
      </c>
      <c r="F8609" s="748">
        <f t="shared" si="373"/>
        <v>0</v>
      </c>
      <c r="G8609" s="1205"/>
      <c r="H8609" s="1055"/>
      <c r="I8609" s="1055"/>
      <c r="J8609" s="1055"/>
      <c r="K8609" s="1205"/>
      <c r="L8609" s="1055"/>
      <c r="M8609" s="1205"/>
      <c r="N8609" s="1054"/>
      <c r="O8609" s="1207"/>
      <c r="Q8609" s="1207"/>
    </row>
    <row r="8610" spans="3:17" s="700" customFormat="1" ht="70.5" hidden="1" customHeight="1">
      <c r="C8610" s="701"/>
      <c r="D8610" s="811"/>
      <c r="E8610" s="1276">
        <f>[11]building!Y8941</f>
        <v>0</v>
      </c>
      <c r="F8610" s="748">
        <f t="shared" si="373"/>
        <v>0</v>
      </c>
      <c r="G8610" s="1205"/>
      <c r="H8610" s="1055"/>
      <c r="I8610" s="1055"/>
      <c r="J8610" s="1055"/>
      <c r="K8610" s="1205"/>
      <c r="L8610" s="1055"/>
      <c r="M8610" s="1205"/>
      <c r="N8610" s="1054"/>
      <c r="O8610" s="1207"/>
      <c r="Q8610" s="1207"/>
    </row>
    <row r="8611" spans="3:17" s="700" customFormat="1" ht="70.5" hidden="1" customHeight="1">
      <c r="C8611" s="701"/>
      <c r="D8611" s="811"/>
      <c r="E8611" s="1276">
        <f>[11]building!Y8942</f>
        <v>0</v>
      </c>
      <c r="F8611" s="748">
        <f t="shared" si="373"/>
        <v>0</v>
      </c>
      <c r="G8611" s="1205"/>
      <c r="H8611" s="1055"/>
      <c r="I8611" s="1055"/>
      <c r="J8611" s="1055"/>
      <c r="K8611" s="1205"/>
      <c r="L8611" s="1055"/>
      <c r="M8611" s="1205"/>
      <c r="N8611" s="1054"/>
      <c r="O8611" s="1207"/>
      <c r="Q8611" s="1207"/>
    </row>
    <row r="8612" spans="3:17" s="700" customFormat="1" ht="70.5" hidden="1" customHeight="1">
      <c r="C8612" s="701"/>
      <c r="D8612" s="811"/>
      <c r="E8612" s="1276">
        <f>[11]building!Y8943</f>
        <v>0</v>
      </c>
      <c r="F8612" s="748">
        <f t="shared" si="373"/>
        <v>0</v>
      </c>
      <c r="G8612" s="1205"/>
      <c r="H8612" s="1055"/>
      <c r="I8612" s="1055"/>
      <c r="J8612" s="1055"/>
      <c r="K8612" s="1205"/>
      <c r="L8612" s="1055"/>
      <c r="M8612" s="1205"/>
      <c r="N8612" s="1054"/>
      <c r="O8612" s="1207"/>
      <c r="Q8612" s="1207"/>
    </row>
    <row r="8613" spans="3:17" s="700" customFormat="1" ht="70.5" hidden="1" customHeight="1">
      <c r="C8613" s="701"/>
      <c r="D8613" s="811"/>
      <c r="E8613" s="1276">
        <f>[11]building!Y8944</f>
        <v>0</v>
      </c>
      <c r="F8613" s="748">
        <f t="shared" si="373"/>
        <v>0</v>
      </c>
      <c r="G8613" s="1205"/>
      <c r="H8613" s="1055"/>
      <c r="I8613" s="1055"/>
      <c r="J8613" s="1055"/>
      <c r="K8613" s="1205"/>
      <c r="L8613" s="1055"/>
      <c r="M8613" s="1205"/>
      <c r="N8613" s="1054"/>
      <c r="O8613" s="1207"/>
      <c r="Q8613" s="1207"/>
    </row>
    <row r="8614" spans="3:17" s="700" customFormat="1" ht="70.5" hidden="1" customHeight="1">
      <c r="C8614" s="701"/>
      <c r="D8614" s="811"/>
      <c r="E8614" s="1276">
        <f>[11]building!Y8945</f>
        <v>0</v>
      </c>
      <c r="F8614" s="748">
        <f t="shared" si="373"/>
        <v>0</v>
      </c>
      <c r="G8614" s="1205"/>
      <c r="H8614" s="1055"/>
      <c r="I8614" s="1055"/>
      <c r="J8614" s="1055"/>
      <c r="K8614" s="1205"/>
      <c r="L8614" s="1055"/>
      <c r="M8614" s="1205"/>
      <c r="N8614" s="1054"/>
      <c r="O8614" s="1207"/>
      <c r="Q8614" s="1207"/>
    </row>
    <row r="8615" spans="3:17" s="700" customFormat="1" ht="70.5" hidden="1" customHeight="1">
      <c r="C8615" s="701"/>
      <c r="D8615" s="811"/>
      <c r="E8615" s="1276">
        <f>[11]building!Y8946</f>
        <v>0</v>
      </c>
      <c r="F8615" s="748">
        <f t="shared" si="373"/>
        <v>0</v>
      </c>
      <c r="G8615" s="1205"/>
      <c r="H8615" s="1055"/>
      <c r="I8615" s="1055"/>
      <c r="J8615" s="1055"/>
      <c r="K8615" s="1205"/>
      <c r="L8615" s="1055"/>
      <c r="M8615" s="1205"/>
      <c r="N8615" s="1054"/>
      <c r="O8615" s="1207"/>
      <c r="Q8615" s="1207"/>
    </row>
    <row r="8616" spans="3:17" s="700" customFormat="1" ht="70.5" hidden="1" customHeight="1">
      <c r="C8616" s="701"/>
      <c r="D8616" s="811"/>
      <c r="E8616" s="1276">
        <f>[11]building!Y8947</f>
        <v>0</v>
      </c>
      <c r="F8616" s="748">
        <f t="shared" si="373"/>
        <v>0</v>
      </c>
      <c r="G8616" s="1205"/>
      <c r="H8616" s="1055"/>
      <c r="I8616" s="1055"/>
      <c r="J8616" s="1055"/>
      <c r="K8616" s="1205"/>
      <c r="L8616" s="1055"/>
      <c r="M8616" s="1205"/>
      <c r="N8616" s="1054"/>
      <c r="O8616" s="1207"/>
      <c r="Q8616" s="1207"/>
    </row>
    <row r="8617" spans="3:17" s="700" customFormat="1" ht="70.5" hidden="1" customHeight="1">
      <c r="C8617" s="701"/>
      <c r="D8617" s="811"/>
      <c r="E8617" s="1276">
        <f>[11]building!Y8948</f>
        <v>0</v>
      </c>
      <c r="F8617" s="748">
        <f t="shared" si="373"/>
        <v>0</v>
      </c>
      <c r="G8617" s="1205"/>
      <c r="H8617" s="1055"/>
      <c r="I8617" s="1055"/>
      <c r="J8617" s="1055"/>
      <c r="K8617" s="1205"/>
      <c r="L8617" s="1055"/>
      <c r="M8617" s="1205"/>
      <c r="N8617" s="1054"/>
      <c r="O8617" s="1207"/>
      <c r="Q8617" s="1207"/>
    </row>
    <row r="8618" spans="3:17" s="700" customFormat="1" ht="70.5" hidden="1" customHeight="1">
      <c r="C8618" s="701"/>
      <c r="D8618" s="811"/>
      <c r="E8618" s="1276">
        <f>[11]building!Y8949</f>
        <v>0</v>
      </c>
      <c r="F8618" s="748">
        <f t="shared" si="373"/>
        <v>0</v>
      </c>
      <c r="G8618" s="1205"/>
      <c r="H8618" s="1055"/>
      <c r="I8618" s="1055"/>
      <c r="J8618" s="1055"/>
      <c r="K8618" s="1205"/>
      <c r="L8618" s="1055"/>
      <c r="M8618" s="1205"/>
      <c r="N8618" s="1054"/>
      <c r="O8618" s="1207"/>
      <c r="Q8618" s="1207"/>
    </row>
    <row r="8619" spans="3:17" s="700" customFormat="1" ht="70.5" hidden="1" customHeight="1">
      <c r="C8619" s="701"/>
      <c r="D8619" s="811"/>
      <c r="E8619" s="1276">
        <f>[11]building!Y8950</f>
        <v>0</v>
      </c>
      <c r="F8619" s="748">
        <f t="shared" si="373"/>
        <v>0</v>
      </c>
      <c r="G8619" s="1205"/>
      <c r="H8619" s="1055"/>
      <c r="I8619" s="1055"/>
      <c r="J8619" s="1055"/>
      <c r="K8619" s="1205"/>
      <c r="L8619" s="1055"/>
      <c r="M8619" s="1205"/>
      <c r="N8619" s="1054"/>
      <c r="O8619" s="1207"/>
      <c r="Q8619" s="1207"/>
    </row>
    <row r="8620" spans="3:17" s="700" customFormat="1" ht="70.5" hidden="1" customHeight="1">
      <c r="C8620" s="701"/>
      <c r="D8620" s="811"/>
      <c r="E8620" s="1276">
        <f>[11]building!Y8951</f>
        <v>0</v>
      </c>
      <c r="F8620" s="748">
        <f t="shared" si="373"/>
        <v>0</v>
      </c>
      <c r="G8620" s="1205"/>
      <c r="H8620" s="1055"/>
      <c r="I8620" s="1055"/>
      <c r="J8620" s="1055"/>
      <c r="K8620" s="1205"/>
      <c r="L8620" s="1055"/>
      <c r="M8620" s="1205"/>
      <c r="N8620" s="1054"/>
      <c r="O8620" s="1207"/>
      <c r="Q8620" s="1207"/>
    </row>
    <row r="8621" spans="3:17" s="700" customFormat="1" ht="70.5" hidden="1" customHeight="1">
      <c r="C8621" s="701"/>
      <c r="D8621" s="811"/>
      <c r="E8621" s="1276">
        <f>[11]building!Y8952</f>
        <v>0</v>
      </c>
      <c r="F8621" s="748">
        <f t="shared" si="373"/>
        <v>0</v>
      </c>
      <c r="G8621" s="1205"/>
      <c r="H8621" s="1055"/>
      <c r="I8621" s="1055"/>
      <c r="J8621" s="1055"/>
      <c r="K8621" s="1205"/>
      <c r="L8621" s="1055"/>
      <c r="M8621" s="1205"/>
      <c r="N8621" s="1054"/>
      <c r="O8621" s="1207"/>
      <c r="Q8621" s="1207"/>
    </row>
    <row r="8622" spans="3:17" s="700" customFormat="1" ht="70.5" hidden="1" customHeight="1">
      <c r="C8622" s="701"/>
      <c r="D8622" s="811"/>
      <c r="E8622" s="1276">
        <f>[11]building!Y8953</f>
        <v>0</v>
      </c>
      <c r="F8622" s="748">
        <f t="shared" si="373"/>
        <v>0</v>
      </c>
      <c r="G8622" s="1205"/>
      <c r="H8622" s="1055"/>
      <c r="I8622" s="1055"/>
      <c r="J8622" s="1055"/>
      <c r="K8622" s="1205"/>
      <c r="L8622" s="1055"/>
      <c r="M8622" s="1205"/>
      <c r="N8622" s="1054"/>
      <c r="O8622" s="1207"/>
      <c r="Q8622" s="1207"/>
    </row>
    <row r="8623" spans="3:17" s="700" customFormat="1" ht="70.5" hidden="1" customHeight="1">
      <c r="C8623" s="701"/>
      <c r="D8623" s="811"/>
      <c r="E8623" s="1276">
        <f>[11]building!Y8954</f>
        <v>0</v>
      </c>
      <c r="F8623" s="748">
        <f t="shared" si="373"/>
        <v>0</v>
      </c>
      <c r="G8623" s="1205"/>
      <c r="H8623" s="1055"/>
      <c r="I8623" s="1055"/>
      <c r="J8623" s="1055"/>
      <c r="K8623" s="1205"/>
      <c r="L8623" s="1055"/>
      <c r="M8623" s="1205"/>
      <c r="N8623" s="1054"/>
      <c r="O8623" s="1207"/>
      <c r="Q8623" s="1207"/>
    </row>
    <row r="8624" spans="3:17" s="700" customFormat="1" ht="70.5" hidden="1" customHeight="1">
      <c r="C8624" s="701"/>
      <c r="D8624" s="811"/>
      <c r="E8624" s="1276">
        <f>[11]building!Y8955</f>
        <v>0</v>
      </c>
      <c r="F8624" s="748">
        <f t="shared" si="373"/>
        <v>0</v>
      </c>
      <c r="G8624" s="1205"/>
      <c r="H8624" s="1055"/>
      <c r="I8624" s="1055"/>
      <c r="J8624" s="1055"/>
      <c r="K8624" s="1205"/>
      <c r="L8624" s="1055"/>
      <c r="M8624" s="1205"/>
      <c r="N8624" s="1054"/>
      <c r="O8624" s="1207"/>
      <c r="Q8624" s="1207"/>
    </row>
    <row r="8625" spans="3:17" s="700" customFormat="1" ht="70.5" hidden="1" customHeight="1">
      <c r="C8625" s="701"/>
      <c r="D8625" s="811"/>
      <c r="E8625" s="1276">
        <f>[11]building!Y8956</f>
        <v>0</v>
      </c>
      <c r="F8625" s="748">
        <f t="shared" si="373"/>
        <v>0</v>
      </c>
      <c r="G8625" s="1205"/>
      <c r="H8625" s="1055"/>
      <c r="I8625" s="1055"/>
      <c r="J8625" s="1055"/>
      <c r="K8625" s="1205"/>
      <c r="L8625" s="1055"/>
      <c r="M8625" s="1205"/>
      <c r="N8625" s="1054"/>
      <c r="O8625" s="1207"/>
      <c r="Q8625" s="1207"/>
    </row>
    <row r="8626" spans="3:17" s="700" customFormat="1" ht="70.5" hidden="1" customHeight="1">
      <c r="C8626" s="701"/>
      <c r="D8626" s="811"/>
      <c r="E8626" s="1276">
        <f>[11]building!Y8957</f>
        <v>0</v>
      </c>
      <c r="F8626" s="748">
        <f t="shared" si="373"/>
        <v>0</v>
      </c>
      <c r="G8626" s="1205"/>
      <c r="H8626" s="1055"/>
      <c r="I8626" s="1055"/>
      <c r="J8626" s="1055"/>
      <c r="K8626" s="1205"/>
      <c r="L8626" s="1055"/>
      <c r="M8626" s="1205"/>
      <c r="N8626" s="1054"/>
      <c r="O8626" s="1207"/>
      <c r="Q8626" s="1207"/>
    </row>
    <row r="8627" spans="3:17" s="700" customFormat="1" ht="70.5" hidden="1" customHeight="1">
      <c r="C8627" s="701"/>
      <c r="D8627" s="811"/>
      <c r="E8627" s="1276">
        <f>[11]building!Y8958</f>
        <v>0</v>
      </c>
      <c r="F8627" s="748">
        <f t="shared" si="373"/>
        <v>0</v>
      </c>
      <c r="G8627" s="1205"/>
      <c r="H8627" s="1055"/>
      <c r="I8627" s="1055"/>
      <c r="J8627" s="1055"/>
      <c r="K8627" s="1205"/>
      <c r="L8627" s="1055"/>
      <c r="M8627" s="1205"/>
      <c r="N8627" s="1054"/>
      <c r="O8627" s="1207"/>
      <c r="Q8627" s="1207"/>
    </row>
    <row r="8628" spans="3:17" s="700" customFormat="1" ht="70.5" hidden="1" customHeight="1">
      <c r="C8628" s="701"/>
      <c r="D8628" s="811"/>
      <c r="E8628" s="1276">
        <f>[11]building!Y8959</f>
        <v>0</v>
      </c>
      <c r="F8628" s="748">
        <f t="shared" si="373"/>
        <v>0</v>
      </c>
      <c r="G8628" s="1205"/>
      <c r="H8628" s="1055"/>
      <c r="I8628" s="1055"/>
      <c r="J8628" s="1055"/>
      <c r="K8628" s="1205"/>
      <c r="L8628" s="1055"/>
      <c r="M8628" s="1205"/>
      <c r="N8628" s="1054"/>
      <c r="O8628" s="1207"/>
      <c r="Q8628" s="1207"/>
    </row>
    <row r="8629" spans="3:17" s="700" customFormat="1" ht="70.5" hidden="1" customHeight="1">
      <c r="C8629" s="701"/>
      <c r="D8629" s="811"/>
      <c r="E8629" s="1276">
        <f>[11]building!Y8960</f>
        <v>0</v>
      </c>
      <c r="F8629" s="748">
        <f t="shared" si="373"/>
        <v>0</v>
      </c>
      <c r="G8629" s="1205"/>
      <c r="H8629" s="1055"/>
      <c r="I8629" s="1055"/>
      <c r="J8629" s="1055"/>
      <c r="K8629" s="1205"/>
      <c r="L8629" s="1055"/>
      <c r="M8629" s="1205"/>
      <c r="N8629" s="1054"/>
      <c r="O8629" s="1207"/>
      <c r="Q8629" s="1207"/>
    </row>
    <row r="8630" spans="3:17" s="700" customFormat="1" ht="70.5" hidden="1" customHeight="1">
      <c r="C8630" s="701"/>
      <c r="D8630" s="811"/>
      <c r="E8630" s="1276">
        <f>[11]building!Y8961</f>
        <v>0</v>
      </c>
      <c r="F8630" s="748">
        <f t="shared" si="373"/>
        <v>0</v>
      </c>
      <c r="G8630" s="1205"/>
      <c r="H8630" s="1055"/>
      <c r="I8630" s="1055"/>
      <c r="J8630" s="1055"/>
      <c r="K8630" s="1205"/>
      <c r="L8630" s="1055"/>
      <c r="M8630" s="1205"/>
      <c r="N8630" s="1054"/>
      <c r="O8630" s="1207"/>
      <c r="Q8630" s="1207"/>
    </row>
    <row r="8631" spans="3:17" s="700" customFormat="1" ht="70.5" hidden="1" customHeight="1">
      <c r="C8631" s="701"/>
      <c r="D8631" s="811"/>
      <c r="E8631" s="1276">
        <f>[11]building!Y8962</f>
        <v>0</v>
      </c>
      <c r="F8631" s="748">
        <f t="shared" si="373"/>
        <v>0</v>
      </c>
      <c r="G8631" s="1205"/>
      <c r="H8631" s="1055"/>
      <c r="I8631" s="1055"/>
      <c r="J8631" s="1055"/>
      <c r="K8631" s="1205"/>
      <c r="L8631" s="1055"/>
      <c r="M8631" s="1205"/>
      <c r="N8631" s="1054"/>
      <c r="O8631" s="1207"/>
      <c r="Q8631" s="1207"/>
    </row>
    <row r="8632" spans="3:17" s="700" customFormat="1" ht="70.5" hidden="1" customHeight="1">
      <c r="C8632" s="701"/>
      <c r="D8632" s="811"/>
      <c r="E8632" s="1276">
        <f>[11]building!Y8963</f>
        <v>0</v>
      </c>
      <c r="F8632" s="748">
        <f t="shared" si="373"/>
        <v>0</v>
      </c>
      <c r="G8632" s="1205"/>
      <c r="H8632" s="1055"/>
      <c r="I8632" s="1055"/>
      <c r="J8632" s="1055"/>
      <c r="K8632" s="1205"/>
      <c r="L8632" s="1055"/>
      <c r="M8632" s="1205"/>
      <c r="N8632" s="1054"/>
      <c r="O8632" s="1207"/>
      <c r="Q8632" s="1207"/>
    </row>
    <row r="8633" spans="3:17" s="700" customFormat="1" ht="70.5" hidden="1" customHeight="1">
      <c r="C8633" s="701"/>
      <c r="D8633" s="811"/>
      <c r="E8633" s="1276">
        <f>[11]building!Y8964</f>
        <v>0</v>
      </c>
      <c r="F8633" s="748">
        <f t="shared" si="373"/>
        <v>0</v>
      </c>
      <c r="G8633" s="1205"/>
      <c r="H8633" s="1055"/>
      <c r="I8633" s="1055"/>
      <c r="J8633" s="1055"/>
      <c r="K8633" s="1205"/>
      <c r="L8633" s="1055"/>
      <c r="M8633" s="1205"/>
      <c r="N8633" s="1054"/>
      <c r="O8633" s="1207"/>
      <c r="Q8633" s="1207"/>
    </row>
    <row r="8634" spans="3:17" s="700" customFormat="1" ht="70.5" hidden="1" customHeight="1">
      <c r="C8634" s="701"/>
      <c r="D8634" s="811"/>
      <c r="E8634" s="1276">
        <f>[11]building!Y8965</f>
        <v>0</v>
      </c>
      <c r="F8634" s="748">
        <f t="shared" si="373"/>
        <v>0</v>
      </c>
      <c r="G8634" s="1205"/>
      <c r="H8634" s="1055"/>
      <c r="I8634" s="1055"/>
      <c r="J8634" s="1055"/>
      <c r="K8634" s="1205"/>
      <c r="L8634" s="1055"/>
      <c r="M8634" s="1205"/>
      <c r="N8634" s="1054"/>
      <c r="O8634" s="1207"/>
      <c r="Q8634" s="1207"/>
    </row>
    <row r="8635" spans="3:17" s="700" customFormat="1" ht="70.5" hidden="1" customHeight="1">
      <c r="C8635" s="701"/>
      <c r="D8635" s="811"/>
      <c r="E8635" s="1276">
        <f>[11]building!Y8966</f>
        <v>0</v>
      </c>
      <c r="F8635" s="748">
        <f t="shared" si="373"/>
        <v>0</v>
      </c>
      <c r="G8635" s="1205"/>
      <c r="H8635" s="1055"/>
      <c r="I8635" s="1055"/>
      <c r="J8635" s="1055"/>
      <c r="K8635" s="1205"/>
      <c r="L8635" s="1055"/>
      <c r="M8635" s="1205"/>
      <c r="N8635" s="1054"/>
      <c r="O8635" s="1207"/>
      <c r="Q8635" s="1207"/>
    </row>
    <row r="8636" spans="3:17" s="700" customFormat="1" ht="70.5" hidden="1" customHeight="1">
      <c r="C8636" s="701"/>
      <c r="D8636" s="811"/>
      <c r="E8636" s="1276">
        <f>[11]building!Y8967</f>
        <v>0</v>
      </c>
      <c r="F8636" s="748">
        <f t="shared" si="373"/>
        <v>0</v>
      </c>
      <c r="G8636" s="1205"/>
      <c r="H8636" s="1055"/>
      <c r="I8636" s="1055"/>
      <c r="J8636" s="1055"/>
      <c r="K8636" s="1205"/>
      <c r="L8636" s="1055"/>
      <c r="M8636" s="1205"/>
      <c r="N8636" s="1054"/>
      <c r="O8636" s="1207"/>
      <c r="Q8636" s="1207"/>
    </row>
    <row r="8637" spans="3:17" s="700" customFormat="1" ht="70.5" hidden="1" customHeight="1">
      <c r="C8637" s="701"/>
      <c r="D8637" s="811"/>
      <c r="E8637" s="1276">
        <f>[11]building!Y8968</f>
        <v>0</v>
      </c>
      <c r="F8637" s="748">
        <f t="shared" si="373"/>
        <v>0</v>
      </c>
      <c r="G8637" s="1205"/>
      <c r="H8637" s="1055"/>
      <c r="I8637" s="1055"/>
      <c r="J8637" s="1055"/>
      <c r="K8637" s="1205"/>
      <c r="L8637" s="1055"/>
      <c r="M8637" s="1205"/>
      <c r="N8637" s="1054"/>
      <c r="O8637" s="1207"/>
      <c r="Q8637" s="1207"/>
    </row>
    <row r="8638" spans="3:17" s="700" customFormat="1" ht="70.5" hidden="1" customHeight="1">
      <c r="C8638" s="701"/>
      <c r="D8638" s="811"/>
      <c r="E8638" s="1276">
        <f>[11]building!Y8969</f>
        <v>0</v>
      </c>
      <c r="F8638" s="748">
        <f t="shared" si="373"/>
        <v>0</v>
      </c>
      <c r="G8638" s="1205"/>
      <c r="H8638" s="1055"/>
      <c r="I8638" s="1055"/>
      <c r="J8638" s="1055"/>
      <c r="K8638" s="1205"/>
      <c r="L8638" s="1055"/>
      <c r="M8638" s="1205"/>
      <c r="N8638" s="1054"/>
      <c r="O8638" s="1207"/>
      <c r="Q8638" s="1207"/>
    </row>
    <row r="8639" spans="3:17" s="700" customFormat="1" ht="70.5" hidden="1" customHeight="1">
      <c r="C8639" s="701"/>
      <c r="D8639" s="811"/>
      <c r="E8639" s="1276">
        <f>[11]building!Y8970</f>
        <v>0</v>
      </c>
      <c r="F8639" s="748">
        <f t="shared" si="373"/>
        <v>0</v>
      </c>
      <c r="G8639" s="1205"/>
      <c r="H8639" s="1055"/>
      <c r="I8639" s="1055"/>
      <c r="J8639" s="1055"/>
      <c r="K8639" s="1205"/>
      <c r="L8639" s="1055"/>
      <c r="M8639" s="1205"/>
      <c r="N8639" s="1054"/>
      <c r="O8639" s="1207"/>
      <c r="Q8639" s="1207"/>
    </row>
    <row r="8640" spans="3:17" s="700" customFormat="1" ht="70.5" hidden="1" customHeight="1">
      <c r="C8640" s="701"/>
      <c r="D8640" s="811"/>
      <c r="E8640" s="1276">
        <f>[11]building!Y8971</f>
        <v>0</v>
      </c>
      <c r="F8640" s="748">
        <f t="shared" ref="F8640:F8703" si="374">E8640*C8640</f>
        <v>0</v>
      </c>
      <c r="G8640" s="1205"/>
      <c r="H8640" s="1055"/>
      <c r="I8640" s="1055"/>
      <c r="J8640" s="1055"/>
      <c r="K8640" s="1205"/>
      <c r="L8640" s="1055"/>
      <c r="M8640" s="1205"/>
      <c r="N8640" s="1054"/>
      <c r="O8640" s="1207"/>
      <c r="Q8640" s="1207"/>
    </row>
    <row r="8641" spans="3:17" s="700" customFormat="1" ht="70.5" hidden="1" customHeight="1">
      <c r="C8641" s="701"/>
      <c r="D8641" s="811"/>
      <c r="E8641" s="1276">
        <f>[11]building!Y8972</f>
        <v>0</v>
      </c>
      <c r="F8641" s="748">
        <f t="shared" si="374"/>
        <v>0</v>
      </c>
      <c r="G8641" s="1205"/>
      <c r="H8641" s="1055"/>
      <c r="I8641" s="1055"/>
      <c r="J8641" s="1055"/>
      <c r="K8641" s="1205"/>
      <c r="L8641" s="1055"/>
      <c r="M8641" s="1205"/>
      <c r="N8641" s="1054"/>
      <c r="O8641" s="1207"/>
      <c r="Q8641" s="1207"/>
    </row>
    <row r="8642" spans="3:17" s="700" customFormat="1" ht="70.5" hidden="1" customHeight="1">
      <c r="C8642" s="701"/>
      <c r="D8642" s="811"/>
      <c r="E8642" s="1276">
        <f>[11]building!Y8973</f>
        <v>0</v>
      </c>
      <c r="F8642" s="748">
        <f t="shared" si="374"/>
        <v>0</v>
      </c>
      <c r="G8642" s="1205"/>
      <c r="H8642" s="1055"/>
      <c r="I8642" s="1055"/>
      <c r="J8642" s="1055"/>
      <c r="K8642" s="1205"/>
      <c r="L8642" s="1055"/>
      <c r="M8642" s="1205"/>
      <c r="N8642" s="1054"/>
      <c r="O8642" s="1207"/>
      <c r="Q8642" s="1207"/>
    </row>
    <row r="8643" spans="3:17" s="700" customFormat="1" ht="70.5" hidden="1" customHeight="1">
      <c r="C8643" s="701"/>
      <c r="D8643" s="811"/>
      <c r="E8643" s="1276">
        <f>[11]building!Y8974</f>
        <v>0</v>
      </c>
      <c r="F8643" s="748">
        <f t="shared" si="374"/>
        <v>0</v>
      </c>
      <c r="G8643" s="1205"/>
      <c r="H8643" s="1055"/>
      <c r="I8643" s="1055"/>
      <c r="J8643" s="1055"/>
      <c r="K8643" s="1205"/>
      <c r="L8643" s="1055"/>
      <c r="M8643" s="1205"/>
      <c r="N8643" s="1054"/>
      <c r="O8643" s="1207"/>
      <c r="Q8643" s="1207"/>
    </row>
    <row r="8644" spans="3:17" s="700" customFormat="1" ht="70.5" hidden="1" customHeight="1">
      <c r="C8644" s="701"/>
      <c r="D8644" s="811"/>
      <c r="E8644" s="1276">
        <f>[11]building!Y8975</f>
        <v>0</v>
      </c>
      <c r="F8644" s="748">
        <f t="shared" si="374"/>
        <v>0</v>
      </c>
      <c r="G8644" s="1205"/>
      <c r="H8644" s="1055"/>
      <c r="I8644" s="1055"/>
      <c r="J8644" s="1055"/>
      <c r="K8644" s="1205"/>
      <c r="L8644" s="1055"/>
      <c r="M8644" s="1205"/>
      <c r="N8644" s="1054"/>
      <c r="O8644" s="1207"/>
      <c r="Q8644" s="1207"/>
    </row>
    <row r="8645" spans="3:17" s="700" customFormat="1" ht="70.5" hidden="1" customHeight="1">
      <c r="C8645" s="701"/>
      <c r="D8645" s="811"/>
      <c r="E8645" s="1276">
        <f>[11]building!Y8976</f>
        <v>0</v>
      </c>
      <c r="F8645" s="748">
        <f t="shared" si="374"/>
        <v>0</v>
      </c>
      <c r="G8645" s="1205"/>
      <c r="H8645" s="1055"/>
      <c r="I8645" s="1055"/>
      <c r="J8645" s="1055"/>
      <c r="K8645" s="1205"/>
      <c r="L8645" s="1055"/>
      <c r="M8645" s="1205"/>
      <c r="N8645" s="1054"/>
      <c r="O8645" s="1207"/>
      <c r="Q8645" s="1207"/>
    </row>
    <row r="8646" spans="3:17" s="700" customFormat="1" ht="70.5" hidden="1" customHeight="1">
      <c r="C8646" s="701"/>
      <c r="D8646" s="811"/>
      <c r="E8646" s="1276">
        <f>[11]building!Y8977</f>
        <v>0</v>
      </c>
      <c r="F8646" s="748">
        <f t="shared" si="374"/>
        <v>0</v>
      </c>
      <c r="G8646" s="1205"/>
      <c r="H8646" s="1055"/>
      <c r="I8646" s="1055"/>
      <c r="J8646" s="1055"/>
      <c r="K8646" s="1205"/>
      <c r="L8646" s="1055"/>
      <c r="M8646" s="1205"/>
      <c r="N8646" s="1054"/>
      <c r="O8646" s="1207"/>
      <c r="Q8646" s="1207"/>
    </row>
    <row r="8647" spans="3:17" s="700" customFormat="1" ht="70.5" hidden="1" customHeight="1">
      <c r="C8647" s="701"/>
      <c r="D8647" s="811"/>
      <c r="E8647" s="1276">
        <f>[11]building!Y8978</f>
        <v>0</v>
      </c>
      <c r="F8647" s="748">
        <f t="shared" si="374"/>
        <v>0</v>
      </c>
      <c r="G8647" s="1205"/>
      <c r="H8647" s="1055"/>
      <c r="I8647" s="1055"/>
      <c r="J8647" s="1055"/>
      <c r="K8647" s="1205"/>
      <c r="L8647" s="1055"/>
      <c r="M8647" s="1205"/>
      <c r="N8647" s="1054"/>
      <c r="O8647" s="1207"/>
      <c r="Q8647" s="1207"/>
    </row>
    <row r="8648" spans="3:17" s="700" customFormat="1" ht="70.5" hidden="1" customHeight="1">
      <c r="C8648" s="701"/>
      <c r="D8648" s="811"/>
      <c r="E8648" s="1276">
        <f>[11]building!Y8979</f>
        <v>0</v>
      </c>
      <c r="F8648" s="748">
        <f t="shared" si="374"/>
        <v>0</v>
      </c>
      <c r="G8648" s="1205"/>
      <c r="H8648" s="1055"/>
      <c r="I8648" s="1055"/>
      <c r="J8648" s="1055"/>
      <c r="K8648" s="1205"/>
      <c r="L8648" s="1055"/>
      <c r="M8648" s="1205"/>
      <c r="N8648" s="1054"/>
      <c r="O8648" s="1207"/>
      <c r="Q8648" s="1207"/>
    </row>
    <row r="8649" spans="3:17" s="700" customFormat="1" ht="70.5" hidden="1" customHeight="1">
      <c r="C8649" s="701"/>
      <c r="D8649" s="811"/>
      <c r="E8649" s="1276">
        <f>[11]building!Y8980</f>
        <v>0</v>
      </c>
      <c r="F8649" s="748">
        <f t="shared" si="374"/>
        <v>0</v>
      </c>
      <c r="G8649" s="1205"/>
      <c r="H8649" s="1055"/>
      <c r="I8649" s="1055"/>
      <c r="J8649" s="1055"/>
      <c r="K8649" s="1205"/>
      <c r="L8649" s="1055"/>
      <c r="M8649" s="1205"/>
      <c r="N8649" s="1054"/>
      <c r="O8649" s="1207"/>
      <c r="Q8649" s="1207"/>
    </row>
    <row r="8650" spans="3:17" s="700" customFormat="1" ht="70.5" hidden="1" customHeight="1">
      <c r="C8650" s="701"/>
      <c r="D8650" s="811"/>
      <c r="E8650" s="1276">
        <f>[11]building!Y8981</f>
        <v>0</v>
      </c>
      <c r="F8650" s="748">
        <f t="shared" si="374"/>
        <v>0</v>
      </c>
      <c r="G8650" s="1205"/>
      <c r="H8650" s="1055"/>
      <c r="I8650" s="1055"/>
      <c r="J8650" s="1055"/>
      <c r="K8650" s="1205"/>
      <c r="L8650" s="1055"/>
      <c r="M8650" s="1205"/>
      <c r="N8650" s="1054"/>
      <c r="O8650" s="1207"/>
      <c r="Q8650" s="1207"/>
    </row>
    <row r="8651" spans="3:17" s="700" customFormat="1" ht="70.5" hidden="1" customHeight="1">
      <c r="C8651" s="701"/>
      <c r="D8651" s="811"/>
      <c r="E8651" s="1276">
        <f>[11]building!Y8982</f>
        <v>0</v>
      </c>
      <c r="F8651" s="748">
        <f t="shared" si="374"/>
        <v>0</v>
      </c>
      <c r="G8651" s="1205"/>
      <c r="H8651" s="1055"/>
      <c r="I8651" s="1055"/>
      <c r="J8651" s="1055"/>
      <c r="K8651" s="1205"/>
      <c r="L8651" s="1055"/>
      <c r="M8651" s="1205"/>
      <c r="N8651" s="1054"/>
      <c r="O8651" s="1207"/>
      <c r="Q8651" s="1207"/>
    </row>
    <row r="8652" spans="3:17" s="700" customFormat="1" ht="70.5" hidden="1" customHeight="1">
      <c r="C8652" s="701"/>
      <c r="D8652" s="811"/>
      <c r="E8652" s="1276">
        <f>[11]building!Y8983</f>
        <v>0</v>
      </c>
      <c r="F8652" s="748">
        <f t="shared" si="374"/>
        <v>0</v>
      </c>
      <c r="G8652" s="1205"/>
      <c r="H8652" s="1055"/>
      <c r="I8652" s="1055"/>
      <c r="J8652" s="1055"/>
      <c r="K8652" s="1205"/>
      <c r="L8652" s="1055"/>
      <c r="M8652" s="1205"/>
      <c r="N8652" s="1054"/>
      <c r="O8652" s="1207"/>
      <c r="Q8652" s="1207"/>
    </row>
    <row r="8653" spans="3:17" s="700" customFormat="1" ht="70.5" hidden="1" customHeight="1">
      <c r="C8653" s="701"/>
      <c r="D8653" s="811"/>
      <c r="E8653" s="1276">
        <f>[11]building!Y8984</f>
        <v>0</v>
      </c>
      <c r="F8653" s="748">
        <f t="shared" si="374"/>
        <v>0</v>
      </c>
      <c r="G8653" s="1205"/>
      <c r="H8653" s="1055"/>
      <c r="I8653" s="1055"/>
      <c r="J8653" s="1055"/>
      <c r="K8653" s="1205"/>
      <c r="L8653" s="1055"/>
      <c r="M8653" s="1205"/>
      <c r="N8653" s="1054"/>
      <c r="O8653" s="1207"/>
      <c r="Q8653" s="1207"/>
    </row>
    <row r="8654" spans="3:17" s="700" customFormat="1" ht="70.5" hidden="1" customHeight="1">
      <c r="C8654" s="701"/>
      <c r="D8654" s="811"/>
      <c r="E8654" s="1276">
        <f>[11]building!Y8985</f>
        <v>0</v>
      </c>
      <c r="F8654" s="748">
        <f t="shared" si="374"/>
        <v>0</v>
      </c>
      <c r="G8654" s="1205"/>
      <c r="H8654" s="1055"/>
      <c r="I8654" s="1055"/>
      <c r="J8654" s="1055"/>
      <c r="K8654" s="1205"/>
      <c r="L8654" s="1055"/>
      <c r="M8654" s="1205"/>
      <c r="N8654" s="1054"/>
      <c r="O8654" s="1207"/>
      <c r="Q8654" s="1207"/>
    </row>
    <row r="8655" spans="3:17" s="700" customFormat="1" ht="70.5" hidden="1" customHeight="1">
      <c r="C8655" s="701"/>
      <c r="D8655" s="811"/>
      <c r="E8655" s="1276">
        <f>[11]building!Y8986</f>
        <v>0</v>
      </c>
      <c r="F8655" s="748">
        <f t="shared" si="374"/>
        <v>0</v>
      </c>
      <c r="G8655" s="1205"/>
      <c r="H8655" s="1055"/>
      <c r="I8655" s="1055"/>
      <c r="J8655" s="1055"/>
      <c r="K8655" s="1205"/>
      <c r="L8655" s="1055"/>
      <c r="M8655" s="1205"/>
      <c r="N8655" s="1054"/>
      <c r="O8655" s="1207"/>
      <c r="Q8655" s="1207"/>
    </row>
    <row r="8656" spans="3:17" s="700" customFormat="1" ht="70.5" hidden="1" customHeight="1">
      <c r="C8656" s="701"/>
      <c r="D8656" s="811"/>
      <c r="E8656" s="1276">
        <f>[11]building!Y8987</f>
        <v>0</v>
      </c>
      <c r="F8656" s="748">
        <f t="shared" si="374"/>
        <v>0</v>
      </c>
      <c r="G8656" s="1205"/>
      <c r="H8656" s="1055"/>
      <c r="I8656" s="1055"/>
      <c r="J8656" s="1055"/>
      <c r="K8656" s="1205"/>
      <c r="L8656" s="1055"/>
      <c r="M8656" s="1205"/>
      <c r="N8656" s="1054"/>
      <c r="O8656" s="1207"/>
      <c r="Q8656" s="1207"/>
    </row>
    <row r="8657" spans="3:17" s="700" customFormat="1" ht="70.5" hidden="1" customHeight="1">
      <c r="C8657" s="701"/>
      <c r="D8657" s="811"/>
      <c r="E8657" s="1276">
        <f>[11]building!Y8988</f>
        <v>0</v>
      </c>
      <c r="F8657" s="748">
        <f t="shared" si="374"/>
        <v>0</v>
      </c>
      <c r="G8657" s="1205"/>
      <c r="H8657" s="1055"/>
      <c r="I8657" s="1055"/>
      <c r="J8657" s="1055"/>
      <c r="K8657" s="1205"/>
      <c r="L8657" s="1055"/>
      <c r="M8657" s="1205"/>
      <c r="N8657" s="1054"/>
      <c r="O8657" s="1207"/>
      <c r="Q8657" s="1207"/>
    </row>
    <row r="8658" spans="3:17" s="700" customFormat="1" ht="70.5" hidden="1" customHeight="1">
      <c r="C8658" s="701"/>
      <c r="D8658" s="811"/>
      <c r="E8658" s="1276">
        <f>[11]building!Y8989</f>
        <v>0</v>
      </c>
      <c r="F8658" s="748">
        <f t="shared" si="374"/>
        <v>0</v>
      </c>
      <c r="G8658" s="1205"/>
      <c r="H8658" s="1055"/>
      <c r="I8658" s="1055"/>
      <c r="J8658" s="1055"/>
      <c r="K8658" s="1205"/>
      <c r="L8658" s="1055"/>
      <c r="M8658" s="1205"/>
      <c r="N8658" s="1054"/>
      <c r="O8658" s="1207"/>
      <c r="Q8658" s="1207"/>
    </row>
    <row r="8659" spans="3:17" s="700" customFormat="1" ht="70.5" hidden="1" customHeight="1">
      <c r="C8659" s="701"/>
      <c r="D8659" s="811"/>
      <c r="E8659" s="1276">
        <f>[11]building!Y8990</f>
        <v>0</v>
      </c>
      <c r="F8659" s="748">
        <f t="shared" si="374"/>
        <v>0</v>
      </c>
      <c r="G8659" s="1205"/>
      <c r="H8659" s="1055"/>
      <c r="I8659" s="1055"/>
      <c r="J8659" s="1055"/>
      <c r="K8659" s="1205"/>
      <c r="L8659" s="1055"/>
      <c r="M8659" s="1205"/>
      <c r="N8659" s="1054"/>
      <c r="O8659" s="1207"/>
      <c r="Q8659" s="1207"/>
    </row>
    <row r="8660" spans="3:17" s="700" customFormat="1" ht="70.5" hidden="1" customHeight="1">
      <c r="C8660" s="701"/>
      <c r="D8660" s="811"/>
      <c r="E8660" s="1276">
        <f>[11]building!Y8991</f>
        <v>0</v>
      </c>
      <c r="F8660" s="748">
        <f t="shared" si="374"/>
        <v>0</v>
      </c>
      <c r="G8660" s="1205"/>
      <c r="H8660" s="1055"/>
      <c r="I8660" s="1055"/>
      <c r="J8660" s="1055"/>
      <c r="K8660" s="1205"/>
      <c r="L8660" s="1055"/>
      <c r="M8660" s="1205"/>
      <c r="N8660" s="1054"/>
      <c r="O8660" s="1207"/>
      <c r="Q8660" s="1207"/>
    </row>
    <row r="8661" spans="3:17" s="700" customFormat="1" ht="70.5" hidden="1" customHeight="1">
      <c r="C8661" s="701"/>
      <c r="D8661" s="811"/>
      <c r="E8661" s="1276">
        <f>[11]building!Y8992</f>
        <v>0</v>
      </c>
      <c r="F8661" s="748">
        <f t="shared" si="374"/>
        <v>0</v>
      </c>
      <c r="G8661" s="1205"/>
      <c r="H8661" s="1055"/>
      <c r="I8661" s="1055"/>
      <c r="J8661" s="1055"/>
      <c r="K8661" s="1205"/>
      <c r="L8661" s="1055"/>
      <c r="M8661" s="1205"/>
      <c r="N8661" s="1054"/>
      <c r="O8661" s="1207"/>
      <c r="Q8661" s="1207"/>
    </row>
    <row r="8662" spans="3:17" s="700" customFormat="1" ht="70.5" hidden="1" customHeight="1">
      <c r="C8662" s="701"/>
      <c r="D8662" s="811"/>
      <c r="E8662" s="1276">
        <f>[11]building!Y8993</f>
        <v>0</v>
      </c>
      <c r="F8662" s="748">
        <f t="shared" si="374"/>
        <v>0</v>
      </c>
      <c r="G8662" s="1205"/>
      <c r="H8662" s="1055"/>
      <c r="I8662" s="1055"/>
      <c r="J8662" s="1055"/>
      <c r="K8662" s="1205"/>
      <c r="L8662" s="1055"/>
      <c r="M8662" s="1205"/>
      <c r="N8662" s="1054"/>
      <c r="O8662" s="1207"/>
      <c r="Q8662" s="1207"/>
    </row>
    <row r="8663" spans="3:17" s="700" customFormat="1" ht="70.5" hidden="1" customHeight="1">
      <c r="C8663" s="701"/>
      <c r="D8663" s="811"/>
      <c r="E8663" s="1276">
        <f>[11]building!Y8994</f>
        <v>0</v>
      </c>
      <c r="F8663" s="748">
        <f t="shared" si="374"/>
        <v>0</v>
      </c>
      <c r="G8663" s="1205"/>
      <c r="H8663" s="1055"/>
      <c r="I8663" s="1055"/>
      <c r="J8663" s="1055"/>
      <c r="K8663" s="1205"/>
      <c r="L8663" s="1055"/>
      <c r="M8663" s="1205"/>
      <c r="N8663" s="1054"/>
      <c r="O8663" s="1207"/>
      <c r="Q8663" s="1207"/>
    </row>
    <row r="8664" spans="3:17" s="700" customFormat="1" ht="70.5" hidden="1" customHeight="1">
      <c r="C8664" s="701"/>
      <c r="D8664" s="811"/>
      <c r="E8664" s="1276">
        <f>[11]building!Y8995</f>
        <v>0</v>
      </c>
      <c r="F8664" s="748">
        <f t="shared" si="374"/>
        <v>0</v>
      </c>
      <c r="G8664" s="1205"/>
      <c r="H8664" s="1055"/>
      <c r="I8664" s="1055"/>
      <c r="J8664" s="1055"/>
      <c r="K8664" s="1205"/>
      <c r="L8664" s="1055"/>
      <c r="M8664" s="1205"/>
      <c r="N8664" s="1054"/>
      <c r="O8664" s="1207"/>
      <c r="Q8664" s="1207"/>
    </row>
    <row r="8665" spans="3:17" s="700" customFormat="1" ht="70.5" hidden="1" customHeight="1">
      <c r="C8665" s="701"/>
      <c r="D8665" s="811"/>
      <c r="E8665" s="1276">
        <f>[11]building!Y8996</f>
        <v>0</v>
      </c>
      <c r="F8665" s="748">
        <f t="shared" si="374"/>
        <v>0</v>
      </c>
      <c r="G8665" s="1205"/>
      <c r="H8665" s="1055"/>
      <c r="I8665" s="1055"/>
      <c r="J8665" s="1055"/>
      <c r="K8665" s="1205"/>
      <c r="L8665" s="1055"/>
      <c r="M8665" s="1205"/>
      <c r="N8665" s="1054"/>
      <c r="O8665" s="1207"/>
      <c r="Q8665" s="1207"/>
    </row>
    <row r="8666" spans="3:17" s="700" customFormat="1" ht="70.5" hidden="1" customHeight="1">
      <c r="C8666" s="701"/>
      <c r="D8666" s="811"/>
      <c r="E8666" s="1276">
        <f>[11]building!Y8997</f>
        <v>0</v>
      </c>
      <c r="F8666" s="748">
        <f t="shared" si="374"/>
        <v>0</v>
      </c>
      <c r="G8666" s="1205"/>
      <c r="H8666" s="1055"/>
      <c r="I8666" s="1055"/>
      <c r="J8666" s="1055"/>
      <c r="K8666" s="1205"/>
      <c r="L8666" s="1055"/>
      <c r="M8666" s="1205"/>
      <c r="N8666" s="1054"/>
      <c r="O8666" s="1207"/>
      <c r="Q8666" s="1207"/>
    </row>
    <row r="8667" spans="3:17" s="700" customFormat="1" ht="70.5" hidden="1" customHeight="1">
      <c r="C8667" s="701"/>
      <c r="D8667" s="811"/>
      <c r="E8667" s="1276">
        <f>[11]building!Y8998</f>
        <v>0</v>
      </c>
      <c r="F8667" s="748">
        <f t="shared" si="374"/>
        <v>0</v>
      </c>
      <c r="G8667" s="1205"/>
      <c r="H8667" s="1055"/>
      <c r="I8667" s="1055"/>
      <c r="J8667" s="1055"/>
      <c r="K8667" s="1205"/>
      <c r="L8667" s="1055"/>
      <c r="M8667" s="1205"/>
      <c r="N8667" s="1054"/>
      <c r="O8667" s="1207"/>
      <c r="Q8667" s="1207"/>
    </row>
    <row r="8668" spans="3:17" s="700" customFormat="1" ht="70.5" hidden="1" customHeight="1">
      <c r="C8668" s="701"/>
      <c r="D8668" s="811"/>
      <c r="E8668" s="1276">
        <f>[11]building!Y8999</f>
        <v>0</v>
      </c>
      <c r="F8668" s="748">
        <f t="shared" si="374"/>
        <v>0</v>
      </c>
      <c r="G8668" s="1205"/>
      <c r="H8668" s="1055"/>
      <c r="I8668" s="1055"/>
      <c r="J8668" s="1055"/>
      <c r="K8668" s="1205"/>
      <c r="L8668" s="1055"/>
      <c r="M8668" s="1205"/>
      <c r="N8668" s="1054"/>
      <c r="O8668" s="1207"/>
      <c r="Q8668" s="1207"/>
    </row>
    <row r="8669" spans="3:17" s="700" customFormat="1" ht="70.5" hidden="1" customHeight="1">
      <c r="C8669" s="701"/>
      <c r="D8669" s="811"/>
      <c r="E8669" s="1276">
        <f>[11]building!Y9000</f>
        <v>0</v>
      </c>
      <c r="F8669" s="748">
        <f t="shared" si="374"/>
        <v>0</v>
      </c>
      <c r="G8669" s="1205"/>
      <c r="H8669" s="1055"/>
      <c r="I8669" s="1055"/>
      <c r="J8669" s="1055"/>
      <c r="K8669" s="1205"/>
      <c r="L8669" s="1055"/>
      <c r="M8669" s="1205"/>
      <c r="N8669" s="1054"/>
      <c r="O8669" s="1207"/>
      <c r="Q8669" s="1207"/>
    </row>
    <row r="8670" spans="3:17" s="700" customFormat="1" ht="70.5" hidden="1" customHeight="1">
      <c r="C8670" s="701"/>
      <c r="D8670" s="811"/>
      <c r="E8670" s="1276">
        <f>[11]building!Y9001</f>
        <v>0</v>
      </c>
      <c r="F8670" s="748">
        <f t="shared" si="374"/>
        <v>0</v>
      </c>
      <c r="G8670" s="1205"/>
      <c r="H8670" s="1055"/>
      <c r="I8670" s="1055"/>
      <c r="J8670" s="1055"/>
      <c r="K8670" s="1205"/>
      <c r="L8670" s="1055"/>
      <c r="M8670" s="1205"/>
      <c r="N8670" s="1054"/>
      <c r="O8670" s="1207"/>
      <c r="Q8670" s="1207"/>
    </row>
    <row r="8671" spans="3:17" s="700" customFormat="1" ht="70.5" hidden="1" customHeight="1">
      <c r="C8671" s="701"/>
      <c r="D8671" s="811"/>
      <c r="E8671" s="1276">
        <f>[11]building!Y9002</f>
        <v>0</v>
      </c>
      <c r="F8671" s="748">
        <f t="shared" si="374"/>
        <v>0</v>
      </c>
      <c r="G8671" s="1205"/>
      <c r="H8671" s="1055"/>
      <c r="I8671" s="1055"/>
      <c r="J8671" s="1055"/>
      <c r="K8671" s="1205"/>
      <c r="L8671" s="1055"/>
      <c r="M8671" s="1205"/>
      <c r="N8671" s="1054"/>
      <c r="O8671" s="1207"/>
      <c r="Q8671" s="1207"/>
    </row>
    <row r="8672" spans="3:17" s="700" customFormat="1" ht="70.5" hidden="1" customHeight="1">
      <c r="C8672" s="701"/>
      <c r="D8672" s="811"/>
      <c r="E8672" s="1276">
        <f>[11]building!Y9003</f>
        <v>0</v>
      </c>
      <c r="F8672" s="748">
        <f t="shared" si="374"/>
        <v>0</v>
      </c>
      <c r="G8672" s="1205"/>
      <c r="H8672" s="1055"/>
      <c r="I8672" s="1055"/>
      <c r="J8672" s="1055"/>
      <c r="K8672" s="1205"/>
      <c r="L8672" s="1055"/>
      <c r="M8672" s="1205"/>
      <c r="N8672" s="1054"/>
      <c r="O8672" s="1207"/>
      <c r="Q8672" s="1207"/>
    </row>
    <row r="8673" spans="3:17" s="700" customFormat="1" ht="70.5" hidden="1" customHeight="1">
      <c r="C8673" s="701"/>
      <c r="D8673" s="811"/>
      <c r="E8673" s="1276">
        <f>[11]building!Y9004</f>
        <v>0</v>
      </c>
      <c r="F8673" s="748">
        <f t="shared" si="374"/>
        <v>0</v>
      </c>
      <c r="G8673" s="1205"/>
      <c r="H8673" s="1055"/>
      <c r="I8673" s="1055"/>
      <c r="J8673" s="1055"/>
      <c r="K8673" s="1205"/>
      <c r="L8673" s="1055"/>
      <c r="M8673" s="1205"/>
      <c r="N8673" s="1054"/>
      <c r="O8673" s="1207"/>
      <c r="Q8673" s="1207"/>
    </row>
    <row r="8674" spans="3:17" s="700" customFormat="1" ht="70.5" hidden="1" customHeight="1">
      <c r="C8674" s="701"/>
      <c r="D8674" s="811"/>
      <c r="E8674" s="1276">
        <f>[11]building!Y9005</f>
        <v>0</v>
      </c>
      <c r="F8674" s="748">
        <f t="shared" si="374"/>
        <v>0</v>
      </c>
      <c r="G8674" s="1205"/>
      <c r="H8674" s="1055"/>
      <c r="I8674" s="1055"/>
      <c r="J8674" s="1055"/>
      <c r="K8674" s="1205"/>
      <c r="L8674" s="1055"/>
      <c r="M8674" s="1205"/>
      <c r="N8674" s="1054"/>
      <c r="O8674" s="1207"/>
      <c r="Q8674" s="1207"/>
    </row>
    <row r="8675" spans="3:17" s="700" customFormat="1" ht="70.5" hidden="1" customHeight="1">
      <c r="C8675" s="701"/>
      <c r="D8675" s="811"/>
      <c r="E8675" s="1276">
        <f>[11]building!Y9006</f>
        <v>0</v>
      </c>
      <c r="F8675" s="748">
        <f t="shared" si="374"/>
        <v>0</v>
      </c>
      <c r="G8675" s="1205"/>
      <c r="H8675" s="1055"/>
      <c r="I8675" s="1055"/>
      <c r="J8675" s="1055"/>
      <c r="K8675" s="1205"/>
      <c r="L8675" s="1055"/>
      <c r="M8675" s="1205"/>
      <c r="N8675" s="1054"/>
      <c r="O8675" s="1207"/>
      <c r="Q8675" s="1207"/>
    </row>
    <row r="8676" spans="3:17" s="700" customFormat="1" ht="70.5" hidden="1" customHeight="1">
      <c r="C8676" s="701"/>
      <c r="D8676" s="811"/>
      <c r="E8676" s="1276">
        <f>[11]building!Y9007</f>
        <v>0</v>
      </c>
      <c r="F8676" s="748">
        <f t="shared" si="374"/>
        <v>0</v>
      </c>
      <c r="G8676" s="1205"/>
      <c r="H8676" s="1055"/>
      <c r="I8676" s="1055"/>
      <c r="J8676" s="1055"/>
      <c r="K8676" s="1205"/>
      <c r="L8676" s="1055"/>
      <c r="M8676" s="1205"/>
      <c r="N8676" s="1054"/>
      <c r="O8676" s="1207"/>
      <c r="Q8676" s="1207"/>
    </row>
    <row r="8677" spans="3:17" s="700" customFormat="1" ht="70.5" hidden="1" customHeight="1">
      <c r="C8677" s="701"/>
      <c r="D8677" s="811"/>
      <c r="E8677" s="1276">
        <f>[11]building!Y9008</f>
        <v>0</v>
      </c>
      <c r="F8677" s="748">
        <f t="shared" si="374"/>
        <v>0</v>
      </c>
      <c r="G8677" s="1205"/>
      <c r="H8677" s="1055"/>
      <c r="I8677" s="1055"/>
      <c r="J8677" s="1055"/>
      <c r="K8677" s="1205"/>
      <c r="L8677" s="1055"/>
      <c r="M8677" s="1205"/>
      <c r="N8677" s="1054"/>
      <c r="O8677" s="1207"/>
      <c r="Q8677" s="1207"/>
    </row>
    <row r="8678" spans="3:17" s="700" customFormat="1" ht="70.5" hidden="1" customHeight="1">
      <c r="C8678" s="701"/>
      <c r="D8678" s="811"/>
      <c r="E8678" s="1276">
        <f>[11]building!Y9009</f>
        <v>0</v>
      </c>
      <c r="F8678" s="748">
        <f t="shared" si="374"/>
        <v>0</v>
      </c>
      <c r="G8678" s="1205"/>
      <c r="H8678" s="1055"/>
      <c r="I8678" s="1055"/>
      <c r="J8678" s="1055"/>
      <c r="K8678" s="1205"/>
      <c r="L8678" s="1055"/>
      <c r="M8678" s="1205"/>
      <c r="N8678" s="1054"/>
      <c r="O8678" s="1207"/>
      <c r="Q8678" s="1207"/>
    </row>
    <row r="8679" spans="3:17" s="700" customFormat="1" ht="70.5" hidden="1" customHeight="1">
      <c r="C8679" s="701"/>
      <c r="D8679" s="811"/>
      <c r="E8679" s="1276">
        <f>[11]building!Y9010</f>
        <v>0</v>
      </c>
      <c r="F8679" s="748">
        <f t="shared" si="374"/>
        <v>0</v>
      </c>
      <c r="G8679" s="1205"/>
      <c r="H8679" s="1055"/>
      <c r="I8679" s="1055"/>
      <c r="J8679" s="1055"/>
      <c r="K8679" s="1205"/>
      <c r="L8679" s="1055"/>
      <c r="M8679" s="1205"/>
      <c r="N8679" s="1054"/>
      <c r="O8679" s="1207"/>
      <c r="Q8679" s="1207"/>
    </row>
    <row r="8680" spans="3:17" s="700" customFormat="1" ht="70.5" hidden="1" customHeight="1">
      <c r="C8680" s="701"/>
      <c r="D8680" s="811"/>
      <c r="E8680" s="1276">
        <f>[11]building!Y9011</f>
        <v>0</v>
      </c>
      <c r="F8680" s="748">
        <f t="shared" si="374"/>
        <v>0</v>
      </c>
      <c r="G8680" s="1205"/>
      <c r="H8680" s="1055"/>
      <c r="I8680" s="1055"/>
      <c r="J8680" s="1055"/>
      <c r="K8680" s="1205"/>
      <c r="L8680" s="1055"/>
      <c r="M8680" s="1205"/>
      <c r="N8680" s="1054"/>
      <c r="O8680" s="1207"/>
      <c r="Q8680" s="1207"/>
    </row>
    <row r="8681" spans="3:17" s="700" customFormat="1" ht="70.5" hidden="1" customHeight="1">
      <c r="C8681" s="701"/>
      <c r="D8681" s="811"/>
      <c r="E8681" s="1276">
        <f>[11]building!Y9012</f>
        <v>0</v>
      </c>
      <c r="F8681" s="748">
        <f t="shared" si="374"/>
        <v>0</v>
      </c>
      <c r="G8681" s="1205"/>
      <c r="H8681" s="1055"/>
      <c r="I8681" s="1055"/>
      <c r="J8681" s="1055"/>
      <c r="K8681" s="1205"/>
      <c r="L8681" s="1055"/>
      <c r="M8681" s="1205"/>
      <c r="N8681" s="1054"/>
      <c r="O8681" s="1207"/>
      <c r="Q8681" s="1207"/>
    </row>
    <row r="8682" spans="3:17" s="700" customFormat="1" ht="70.5" hidden="1" customHeight="1">
      <c r="C8682" s="701"/>
      <c r="D8682" s="811"/>
      <c r="E8682" s="1276">
        <f>[11]building!Y9013</f>
        <v>0</v>
      </c>
      <c r="F8682" s="748">
        <f t="shared" si="374"/>
        <v>0</v>
      </c>
      <c r="G8682" s="1205"/>
      <c r="H8682" s="1055"/>
      <c r="I8682" s="1055"/>
      <c r="J8682" s="1055"/>
      <c r="K8682" s="1205"/>
      <c r="L8682" s="1055"/>
      <c r="M8682" s="1205"/>
      <c r="N8682" s="1054"/>
      <c r="O8682" s="1207"/>
      <c r="Q8682" s="1207"/>
    </row>
    <row r="8683" spans="3:17" s="700" customFormat="1" ht="70.5" hidden="1" customHeight="1">
      <c r="C8683" s="701"/>
      <c r="D8683" s="811"/>
      <c r="E8683" s="1276">
        <f>[11]building!Y9014</f>
        <v>0</v>
      </c>
      <c r="F8683" s="748">
        <f t="shared" si="374"/>
        <v>0</v>
      </c>
      <c r="G8683" s="1205"/>
      <c r="H8683" s="1055"/>
      <c r="I8683" s="1055"/>
      <c r="J8683" s="1055"/>
      <c r="K8683" s="1205"/>
      <c r="L8683" s="1055"/>
      <c r="M8683" s="1205"/>
      <c r="N8683" s="1054"/>
      <c r="O8683" s="1207"/>
      <c r="Q8683" s="1207"/>
    </row>
    <row r="8684" spans="3:17" s="700" customFormat="1" ht="70.5" hidden="1" customHeight="1">
      <c r="C8684" s="701"/>
      <c r="D8684" s="811"/>
      <c r="E8684" s="1276">
        <f>[11]building!Y9015</f>
        <v>0</v>
      </c>
      <c r="F8684" s="748">
        <f t="shared" si="374"/>
        <v>0</v>
      </c>
      <c r="G8684" s="1205"/>
      <c r="H8684" s="1055"/>
      <c r="I8684" s="1055"/>
      <c r="J8684" s="1055"/>
      <c r="K8684" s="1205"/>
      <c r="L8684" s="1055"/>
      <c r="M8684" s="1205"/>
      <c r="N8684" s="1054"/>
      <c r="O8684" s="1207"/>
      <c r="Q8684" s="1207"/>
    </row>
    <row r="8685" spans="3:17" s="700" customFormat="1" ht="70.5" hidden="1" customHeight="1">
      <c r="C8685" s="701"/>
      <c r="D8685" s="811"/>
      <c r="E8685" s="1276">
        <f>[11]building!Y9016</f>
        <v>0</v>
      </c>
      <c r="F8685" s="748">
        <f t="shared" si="374"/>
        <v>0</v>
      </c>
      <c r="G8685" s="1205"/>
      <c r="H8685" s="1055"/>
      <c r="I8685" s="1055"/>
      <c r="J8685" s="1055"/>
      <c r="K8685" s="1205"/>
      <c r="L8685" s="1055"/>
      <c r="M8685" s="1205"/>
      <c r="N8685" s="1054"/>
      <c r="O8685" s="1207"/>
      <c r="Q8685" s="1207"/>
    </row>
    <row r="8686" spans="3:17" s="700" customFormat="1" ht="70.5" hidden="1" customHeight="1">
      <c r="C8686" s="701"/>
      <c r="D8686" s="811"/>
      <c r="E8686" s="1276">
        <f>[11]building!Y9017</f>
        <v>0</v>
      </c>
      <c r="F8686" s="748">
        <f t="shared" si="374"/>
        <v>0</v>
      </c>
      <c r="G8686" s="1205"/>
      <c r="H8686" s="1055"/>
      <c r="I8686" s="1055"/>
      <c r="J8686" s="1055"/>
      <c r="K8686" s="1205"/>
      <c r="L8686" s="1055"/>
      <c r="M8686" s="1205"/>
      <c r="N8686" s="1054"/>
      <c r="O8686" s="1207"/>
      <c r="Q8686" s="1207"/>
    </row>
    <row r="8687" spans="3:17" s="700" customFormat="1" ht="70.5" hidden="1" customHeight="1">
      <c r="C8687" s="701"/>
      <c r="D8687" s="811"/>
      <c r="E8687" s="1276">
        <f>[11]building!Y9018</f>
        <v>0</v>
      </c>
      <c r="F8687" s="748">
        <f t="shared" si="374"/>
        <v>0</v>
      </c>
      <c r="G8687" s="1205"/>
      <c r="H8687" s="1055"/>
      <c r="I8687" s="1055"/>
      <c r="J8687" s="1055"/>
      <c r="K8687" s="1205"/>
      <c r="L8687" s="1055"/>
      <c r="M8687" s="1205"/>
      <c r="N8687" s="1054"/>
      <c r="O8687" s="1207"/>
      <c r="Q8687" s="1207"/>
    </row>
    <row r="8688" spans="3:17" s="700" customFormat="1" ht="70.5" hidden="1" customHeight="1">
      <c r="C8688" s="701"/>
      <c r="D8688" s="811"/>
      <c r="E8688" s="1276">
        <f>[11]building!Y9019</f>
        <v>0</v>
      </c>
      <c r="F8688" s="748">
        <f t="shared" si="374"/>
        <v>0</v>
      </c>
      <c r="G8688" s="1205"/>
      <c r="H8688" s="1055"/>
      <c r="I8688" s="1055"/>
      <c r="J8688" s="1055"/>
      <c r="K8688" s="1205"/>
      <c r="L8688" s="1055"/>
      <c r="M8688" s="1205"/>
      <c r="N8688" s="1054"/>
      <c r="O8688" s="1207"/>
      <c r="Q8688" s="1207"/>
    </row>
    <row r="8689" spans="3:17" s="700" customFormat="1" ht="70.5" hidden="1" customHeight="1">
      <c r="C8689" s="701"/>
      <c r="D8689" s="811"/>
      <c r="E8689" s="1276">
        <f>[11]building!Y9020</f>
        <v>0</v>
      </c>
      <c r="F8689" s="748">
        <f t="shared" si="374"/>
        <v>0</v>
      </c>
      <c r="G8689" s="1205"/>
      <c r="H8689" s="1055"/>
      <c r="I8689" s="1055"/>
      <c r="J8689" s="1055"/>
      <c r="K8689" s="1205"/>
      <c r="L8689" s="1055"/>
      <c r="M8689" s="1205"/>
      <c r="N8689" s="1054"/>
      <c r="O8689" s="1207"/>
      <c r="Q8689" s="1207"/>
    </row>
    <row r="8690" spans="3:17" s="700" customFormat="1" ht="70.5" hidden="1" customHeight="1">
      <c r="C8690" s="701"/>
      <c r="D8690" s="811"/>
      <c r="E8690" s="1276">
        <f>[11]building!Y9021</f>
        <v>0</v>
      </c>
      <c r="F8690" s="748">
        <f t="shared" si="374"/>
        <v>0</v>
      </c>
      <c r="G8690" s="1205"/>
      <c r="H8690" s="1055"/>
      <c r="I8690" s="1055"/>
      <c r="J8690" s="1055"/>
      <c r="K8690" s="1205"/>
      <c r="L8690" s="1055"/>
      <c r="M8690" s="1205"/>
      <c r="N8690" s="1054"/>
      <c r="O8690" s="1207"/>
      <c r="Q8690" s="1207"/>
    </row>
    <row r="8691" spans="3:17" s="700" customFormat="1" ht="70.5" hidden="1" customHeight="1">
      <c r="C8691" s="701"/>
      <c r="D8691" s="811"/>
      <c r="E8691" s="1276">
        <f>[11]building!Y9022</f>
        <v>0</v>
      </c>
      <c r="F8691" s="748">
        <f t="shared" si="374"/>
        <v>0</v>
      </c>
      <c r="G8691" s="1205"/>
      <c r="H8691" s="1055"/>
      <c r="I8691" s="1055"/>
      <c r="J8691" s="1055"/>
      <c r="K8691" s="1205"/>
      <c r="L8691" s="1055"/>
      <c r="M8691" s="1205"/>
      <c r="N8691" s="1054"/>
      <c r="O8691" s="1207"/>
      <c r="Q8691" s="1207"/>
    </row>
    <row r="8692" spans="3:17" s="700" customFormat="1" ht="70.5" hidden="1" customHeight="1">
      <c r="C8692" s="701"/>
      <c r="D8692" s="811"/>
      <c r="E8692" s="1276">
        <f>[11]building!Y9023</f>
        <v>0</v>
      </c>
      <c r="F8692" s="748">
        <f t="shared" si="374"/>
        <v>0</v>
      </c>
      <c r="G8692" s="1205"/>
      <c r="H8692" s="1055"/>
      <c r="I8692" s="1055"/>
      <c r="J8692" s="1055"/>
      <c r="K8692" s="1205"/>
      <c r="L8692" s="1055"/>
      <c r="M8692" s="1205"/>
      <c r="N8692" s="1054"/>
      <c r="O8692" s="1207"/>
      <c r="Q8692" s="1207"/>
    </row>
    <row r="8693" spans="3:17" s="700" customFormat="1" ht="70.5" hidden="1" customHeight="1">
      <c r="C8693" s="701"/>
      <c r="D8693" s="811"/>
      <c r="E8693" s="1276">
        <f>[11]building!Y9024</f>
        <v>0</v>
      </c>
      <c r="F8693" s="748">
        <f t="shared" si="374"/>
        <v>0</v>
      </c>
      <c r="G8693" s="1205"/>
      <c r="H8693" s="1055"/>
      <c r="I8693" s="1055"/>
      <c r="J8693" s="1055"/>
      <c r="K8693" s="1205"/>
      <c r="L8693" s="1055"/>
      <c r="M8693" s="1205"/>
      <c r="N8693" s="1054"/>
      <c r="O8693" s="1207"/>
      <c r="Q8693" s="1207"/>
    </row>
    <row r="8694" spans="3:17" s="700" customFormat="1" ht="70.5" hidden="1" customHeight="1">
      <c r="C8694" s="701"/>
      <c r="D8694" s="811"/>
      <c r="E8694" s="1276">
        <f>[11]building!Y9025</f>
        <v>0</v>
      </c>
      <c r="F8694" s="748">
        <f t="shared" si="374"/>
        <v>0</v>
      </c>
      <c r="G8694" s="1205"/>
      <c r="H8694" s="1055"/>
      <c r="I8694" s="1055"/>
      <c r="J8694" s="1055"/>
      <c r="K8694" s="1205"/>
      <c r="L8694" s="1055"/>
      <c r="M8694" s="1205"/>
      <c r="N8694" s="1054"/>
      <c r="O8694" s="1207"/>
      <c r="Q8694" s="1207"/>
    </row>
    <row r="8695" spans="3:17" s="700" customFormat="1" ht="70.5" hidden="1" customHeight="1">
      <c r="C8695" s="701"/>
      <c r="D8695" s="811"/>
      <c r="E8695" s="1276">
        <f>[11]building!Y9026</f>
        <v>0</v>
      </c>
      <c r="F8695" s="748">
        <f t="shared" si="374"/>
        <v>0</v>
      </c>
      <c r="G8695" s="1205"/>
      <c r="H8695" s="1055"/>
      <c r="I8695" s="1055"/>
      <c r="J8695" s="1055"/>
      <c r="K8695" s="1205"/>
      <c r="L8695" s="1055"/>
      <c r="M8695" s="1205"/>
      <c r="N8695" s="1054"/>
      <c r="O8695" s="1207"/>
      <c r="Q8695" s="1207"/>
    </row>
    <row r="8696" spans="3:17" s="700" customFormat="1" ht="70.5" hidden="1" customHeight="1">
      <c r="C8696" s="701"/>
      <c r="D8696" s="811"/>
      <c r="E8696" s="1276">
        <f>[11]building!Y9027</f>
        <v>0</v>
      </c>
      <c r="F8696" s="748">
        <f t="shared" si="374"/>
        <v>0</v>
      </c>
      <c r="G8696" s="1205"/>
      <c r="H8696" s="1055"/>
      <c r="I8696" s="1055"/>
      <c r="J8696" s="1055"/>
      <c r="K8696" s="1205"/>
      <c r="L8696" s="1055"/>
      <c r="M8696" s="1205"/>
      <c r="N8696" s="1054"/>
      <c r="O8696" s="1207"/>
      <c r="Q8696" s="1207"/>
    </row>
    <row r="8697" spans="3:17" s="700" customFormat="1" ht="70.5" hidden="1" customHeight="1">
      <c r="C8697" s="701"/>
      <c r="D8697" s="811"/>
      <c r="E8697" s="1276">
        <f>[11]building!Y9028</f>
        <v>0</v>
      </c>
      <c r="F8697" s="748">
        <f t="shared" si="374"/>
        <v>0</v>
      </c>
      <c r="G8697" s="1205"/>
      <c r="H8697" s="1055"/>
      <c r="I8697" s="1055"/>
      <c r="J8697" s="1055"/>
      <c r="K8697" s="1205"/>
      <c r="L8697" s="1055"/>
      <c r="M8697" s="1205"/>
      <c r="N8697" s="1054"/>
      <c r="O8697" s="1207"/>
      <c r="Q8697" s="1207"/>
    </row>
    <row r="8698" spans="3:17" s="700" customFormat="1" ht="70.5" hidden="1" customHeight="1">
      <c r="C8698" s="701"/>
      <c r="D8698" s="811"/>
      <c r="E8698" s="1276">
        <f>[11]building!Y9029</f>
        <v>0</v>
      </c>
      <c r="F8698" s="748">
        <f t="shared" si="374"/>
        <v>0</v>
      </c>
      <c r="G8698" s="1205"/>
      <c r="H8698" s="1055"/>
      <c r="I8698" s="1055"/>
      <c r="J8698" s="1055"/>
      <c r="K8698" s="1205"/>
      <c r="L8698" s="1055"/>
      <c r="M8698" s="1205"/>
      <c r="N8698" s="1054"/>
      <c r="O8698" s="1207"/>
      <c r="Q8698" s="1207"/>
    </row>
    <row r="8699" spans="3:17" s="700" customFormat="1" ht="70.5" hidden="1" customHeight="1">
      <c r="C8699" s="701"/>
      <c r="D8699" s="811"/>
      <c r="E8699" s="1276">
        <f>[11]building!Y9030</f>
        <v>0</v>
      </c>
      <c r="F8699" s="748">
        <f t="shared" si="374"/>
        <v>0</v>
      </c>
      <c r="G8699" s="1205"/>
      <c r="H8699" s="1055"/>
      <c r="I8699" s="1055"/>
      <c r="J8699" s="1055"/>
      <c r="K8699" s="1205"/>
      <c r="L8699" s="1055"/>
      <c r="M8699" s="1205"/>
      <c r="N8699" s="1054"/>
      <c r="O8699" s="1207"/>
      <c r="Q8699" s="1207"/>
    </row>
    <row r="8700" spans="3:17" s="700" customFormat="1" ht="70.5" hidden="1" customHeight="1">
      <c r="C8700" s="701"/>
      <c r="D8700" s="811"/>
      <c r="E8700" s="1276">
        <f>[11]building!Y9031</f>
        <v>0</v>
      </c>
      <c r="F8700" s="748">
        <f t="shared" si="374"/>
        <v>0</v>
      </c>
      <c r="G8700" s="1205"/>
      <c r="H8700" s="1055"/>
      <c r="I8700" s="1055"/>
      <c r="J8700" s="1055"/>
      <c r="K8700" s="1205"/>
      <c r="L8700" s="1055"/>
      <c r="M8700" s="1205"/>
      <c r="N8700" s="1054"/>
      <c r="O8700" s="1207"/>
      <c r="Q8700" s="1207"/>
    </row>
    <row r="8701" spans="3:17" s="700" customFormat="1" ht="70.5" hidden="1" customHeight="1">
      <c r="C8701" s="701"/>
      <c r="D8701" s="811"/>
      <c r="E8701" s="1276">
        <f>[11]building!Y9032</f>
        <v>0</v>
      </c>
      <c r="F8701" s="748">
        <f t="shared" si="374"/>
        <v>0</v>
      </c>
      <c r="G8701" s="1205"/>
      <c r="H8701" s="1055"/>
      <c r="I8701" s="1055"/>
      <c r="J8701" s="1055"/>
      <c r="K8701" s="1205"/>
      <c r="L8701" s="1055"/>
      <c r="M8701" s="1205"/>
      <c r="N8701" s="1054"/>
      <c r="O8701" s="1207"/>
      <c r="Q8701" s="1207"/>
    </row>
    <row r="8702" spans="3:17" s="700" customFormat="1" ht="70.5" hidden="1" customHeight="1">
      <c r="C8702" s="701"/>
      <c r="D8702" s="811"/>
      <c r="E8702" s="1276">
        <f>[11]building!Y9033</f>
        <v>0</v>
      </c>
      <c r="F8702" s="748">
        <f t="shared" si="374"/>
        <v>0</v>
      </c>
      <c r="G8702" s="1205"/>
      <c r="H8702" s="1055"/>
      <c r="I8702" s="1055"/>
      <c r="J8702" s="1055"/>
      <c r="K8702" s="1205"/>
      <c r="L8702" s="1055"/>
      <c r="M8702" s="1205"/>
      <c r="N8702" s="1054"/>
      <c r="O8702" s="1207"/>
      <c r="Q8702" s="1207"/>
    </row>
    <row r="8703" spans="3:17" s="700" customFormat="1" ht="70.5" hidden="1" customHeight="1">
      <c r="C8703" s="701"/>
      <c r="D8703" s="811"/>
      <c r="E8703" s="1276">
        <f>[11]building!Y9034</f>
        <v>0</v>
      </c>
      <c r="F8703" s="748">
        <f t="shared" si="374"/>
        <v>0</v>
      </c>
      <c r="G8703" s="1205"/>
      <c r="H8703" s="1055"/>
      <c r="I8703" s="1055"/>
      <c r="J8703" s="1055"/>
      <c r="K8703" s="1205"/>
      <c r="L8703" s="1055"/>
      <c r="M8703" s="1205"/>
      <c r="N8703" s="1054"/>
      <c r="O8703" s="1207"/>
      <c r="Q8703" s="1207"/>
    </row>
    <row r="8704" spans="3:17" s="700" customFormat="1" ht="70.5" hidden="1" customHeight="1">
      <c r="C8704" s="701"/>
      <c r="D8704" s="811"/>
      <c r="E8704" s="1276">
        <f>[11]building!Y9035</f>
        <v>0</v>
      </c>
      <c r="F8704" s="748">
        <f t="shared" ref="F8704:F8767" si="375">E8704*C8704</f>
        <v>0</v>
      </c>
      <c r="G8704" s="1205"/>
      <c r="H8704" s="1055"/>
      <c r="I8704" s="1055"/>
      <c r="J8704" s="1055"/>
      <c r="K8704" s="1205"/>
      <c r="L8704" s="1055"/>
      <c r="M8704" s="1205"/>
      <c r="N8704" s="1054"/>
      <c r="O8704" s="1207"/>
      <c r="Q8704" s="1207"/>
    </row>
    <row r="8705" spans="3:17" s="700" customFormat="1" ht="70.5" hidden="1" customHeight="1">
      <c r="C8705" s="701"/>
      <c r="D8705" s="811"/>
      <c r="E8705" s="1276">
        <f>[11]building!Y9036</f>
        <v>0</v>
      </c>
      <c r="F8705" s="748">
        <f t="shared" si="375"/>
        <v>0</v>
      </c>
      <c r="G8705" s="1205"/>
      <c r="H8705" s="1055"/>
      <c r="I8705" s="1055"/>
      <c r="J8705" s="1055"/>
      <c r="K8705" s="1205"/>
      <c r="L8705" s="1055"/>
      <c r="M8705" s="1205"/>
      <c r="N8705" s="1054"/>
      <c r="O8705" s="1207"/>
      <c r="Q8705" s="1207"/>
    </row>
    <row r="8706" spans="3:17" s="700" customFormat="1" ht="70.5" hidden="1" customHeight="1">
      <c r="C8706" s="701"/>
      <c r="D8706" s="811"/>
      <c r="E8706" s="1276">
        <f>[11]building!Y9037</f>
        <v>0</v>
      </c>
      <c r="F8706" s="748">
        <f t="shared" si="375"/>
        <v>0</v>
      </c>
      <c r="G8706" s="1205"/>
      <c r="H8706" s="1055"/>
      <c r="I8706" s="1055"/>
      <c r="J8706" s="1055"/>
      <c r="K8706" s="1205"/>
      <c r="L8706" s="1055"/>
      <c r="M8706" s="1205"/>
      <c r="N8706" s="1054"/>
      <c r="O8706" s="1207"/>
      <c r="Q8706" s="1207"/>
    </row>
    <row r="8707" spans="3:17" s="700" customFormat="1" ht="70.5" hidden="1" customHeight="1">
      <c r="C8707" s="701"/>
      <c r="D8707" s="811"/>
      <c r="E8707" s="1276">
        <f>[11]building!Y9038</f>
        <v>0</v>
      </c>
      <c r="F8707" s="748">
        <f t="shared" si="375"/>
        <v>0</v>
      </c>
      <c r="G8707" s="1205"/>
      <c r="H8707" s="1055"/>
      <c r="I8707" s="1055"/>
      <c r="J8707" s="1055"/>
      <c r="K8707" s="1205"/>
      <c r="L8707" s="1055"/>
      <c r="M8707" s="1205"/>
      <c r="N8707" s="1054"/>
      <c r="O8707" s="1207"/>
      <c r="Q8707" s="1207"/>
    </row>
    <row r="8708" spans="3:17" s="700" customFormat="1" ht="70.5" hidden="1" customHeight="1">
      <c r="C8708" s="701"/>
      <c r="D8708" s="811"/>
      <c r="E8708" s="1276">
        <f>[11]building!Y9039</f>
        <v>0</v>
      </c>
      <c r="F8708" s="748">
        <f t="shared" si="375"/>
        <v>0</v>
      </c>
      <c r="G8708" s="1205"/>
      <c r="H8708" s="1055"/>
      <c r="I8708" s="1055"/>
      <c r="J8708" s="1055"/>
      <c r="K8708" s="1205"/>
      <c r="L8708" s="1055"/>
      <c r="M8708" s="1205"/>
      <c r="N8708" s="1054"/>
      <c r="O8708" s="1207"/>
      <c r="Q8708" s="1207"/>
    </row>
    <row r="8709" spans="3:17" s="700" customFormat="1" ht="70.5" hidden="1" customHeight="1">
      <c r="C8709" s="701"/>
      <c r="D8709" s="811"/>
      <c r="E8709" s="1276">
        <f>[11]building!Y9040</f>
        <v>0</v>
      </c>
      <c r="F8709" s="748">
        <f t="shared" si="375"/>
        <v>0</v>
      </c>
      <c r="G8709" s="1205"/>
      <c r="H8709" s="1055"/>
      <c r="I8709" s="1055"/>
      <c r="J8709" s="1055"/>
      <c r="K8709" s="1205"/>
      <c r="L8709" s="1055"/>
      <c r="M8709" s="1205"/>
      <c r="N8709" s="1054"/>
      <c r="O8709" s="1207"/>
      <c r="Q8709" s="1207"/>
    </row>
    <row r="8710" spans="3:17" s="700" customFormat="1" ht="70.5" hidden="1" customHeight="1">
      <c r="C8710" s="701"/>
      <c r="D8710" s="811"/>
      <c r="E8710" s="1276">
        <f>[11]building!Y9041</f>
        <v>0</v>
      </c>
      <c r="F8710" s="748">
        <f t="shared" si="375"/>
        <v>0</v>
      </c>
      <c r="G8710" s="1205"/>
      <c r="H8710" s="1055"/>
      <c r="I8710" s="1055"/>
      <c r="J8710" s="1055"/>
      <c r="K8710" s="1205"/>
      <c r="L8710" s="1055"/>
      <c r="M8710" s="1205"/>
      <c r="N8710" s="1054"/>
      <c r="O8710" s="1207"/>
      <c r="Q8710" s="1207"/>
    </row>
    <row r="8711" spans="3:17" s="700" customFormat="1" ht="70.5" hidden="1" customHeight="1">
      <c r="C8711" s="701"/>
      <c r="D8711" s="811"/>
      <c r="E8711" s="1276">
        <f>[11]building!Y9042</f>
        <v>0</v>
      </c>
      <c r="F8711" s="748">
        <f t="shared" si="375"/>
        <v>0</v>
      </c>
      <c r="G8711" s="1205"/>
      <c r="H8711" s="1055"/>
      <c r="I8711" s="1055"/>
      <c r="J8711" s="1055"/>
      <c r="K8711" s="1205"/>
      <c r="L8711" s="1055"/>
      <c r="M8711" s="1205"/>
      <c r="N8711" s="1054"/>
      <c r="O8711" s="1207"/>
      <c r="Q8711" s="1207"/>
    </row>
    <row r="8712" spans="3:17" s="700" customFormat="1" ht="70.5" hidden="1" customHeight="1">
      <c r="C8712" s="701"/>
      <c r="D8712" s="811"/>
      <c r="E8712" s="1276">
        <f>[11]building!Y9043</f>
        <v>0</v>
      </c>
      <c r="F8712" s="748">
        <f t="shared" si="375"/>
        <v>0</v>
      </c>
      <c r="G8712" s="1205"/>
      <c r="H8712" s="1055"/>
      <c r="I8712" s="1055"/>
      <c r="J8712" s="1055"/>
      <c r="K8712" s="1205"/>
      <c r="L8712" s="1055"/>
      <c r="M8712" s="1205"/>
      <c r="N8712" s="1054"/>
      <c r="O8712" s="1207"/>
      <c r="Q8712" s="1207"/>
    </row>
    <row r="8713" spans="3:17" s="700" customFormat="1" ht="70.5" hidden="1" customHeight="1">
      <c r="C8713" s="701"/>
      <c r="D8713" s="811"/>
      <c r="E8713" s="1276">
        <f>[11]building!Y9044</f>
        <v>0</v>
      </c>
      <c r="F8713" s="748">
        <f t="shared" si="375"/>
        <v>0</v>
      </c>
      <c r="G8713" s="1205"/>
      <c r="H8713" s="1055"/>
      <c r="I8713" s="1055"/>
      <c r="J8713" s="1055"/>
      <c r="K8713" s="1205"/>
      <c r="L8713" s="1055"/>
      <c r="M8713" s="1205"/>
      <c r="N8713" s="1054"/>
      <c r="O8713" s="1207"/>
      <c r="Q8713" s="1207"/>
    </row>
    <row r="8714" spans="3:17" s="700" customFormat="1" ht="70.5" hidden="1" customHeight="1">
      <c r="C8714" s="701"/>
      <c r="D8714" s="811"/>
      <c r="E8714" s="1276">
        <f>[11]building!Y9045</f>
        <v>0</v>
      </c>
      <c r="F8714" s="748">
        <f t="shared" si="375"/>
        <v>0</v>
      </c>
      <c r="G8714" s="1205"/>
      <c r="H8714" s="1055"/>
      <c r="I8714" s="1055"/>
      <c r="J8714" s="1055"/>
      <c r="K8714" s="1205"/>
      <c r="L8714" s="1055"/>
      <c r="M8714" s="1205"/>
      <c r="N8714" s="1054"/>
      <c r="O8714" s="1207"/>
      <c r="Q8714" s="1207"/>
    </row>
    <row r="8715" spans="3:17" s="700" customFormat="1" ht="70.5" hidden="1" customHeight="1">
      <c r="C8715" s="701"/>
      <c r="D8715" s="811"/>
      <c r="E8715" s="1276">
        <f>[11]building!Y9046</f>
        <v>0</v>
      </c>
      <c r="F8715" s="748">
        <f t="shared" si="375"/>
        <v>0</v>
      </c>
      <c r="G8715" s="1205"/>
      <c r="H8715" s="1055"/>
      <c r="I8715" s="1055"/>
      <c r="J8715" s="1055"/>
      <c r="K8715" s="1205"/>
      <c r="L8715" s="1055"/>
      <c r="M8715" s="1205"/>
      <c r="N8715" s="1054"/>
      <c r="O8715" s="1207"/>
      <c r="Q8715" s="1207"/>
    </row>
    <row r="8716" spans="3:17" s="700" customFormat="1" ht="70.5" hidden="1" customHeight="1">
      <c r="C8716" s="701"/>
      <c r="D8716" s="811"/>
      <c r="E8716" s="1276">
        <f>[11]building!Y9047</f>
        <v>0</v>
      </c>
      <c r="F8716" s="748">
        <f t="shared" si="375"/>
        <v>0</v>
      </c>
      <c r="G8716" s="1205"/>
      <c r="H8716" s="1055"/>
      <c r="I8716" s="1055"/>
      <c r="J8716" s="1055"/>
      <c r="K8716" s="1205"/>
      <c r="L8716" s="1055"/>
      <c r="M8716" s="1205"/>
      <c r="N8716" s="1054"/>
      <c r="O8716" s="1207"/>
      <c r="Q8716" s="1207"/>
    </row>
    <row r="8717" spans="3:17" s="700" customFormat="1" ht="70.5" hidden="1" customHeight="1">
      <c r="C8717" s="701"/>
      <c r="D8717" s="811"/>
      <c r="E8717" s="1276">
        <f>[11]building!Y9048</f>
        <v>0</v>
      </c>
      <c r="F8717" s="748">
        <f t="shared" si="375"/>
        <v>0</v>
      </c>
      <c r="G8717" s="1205"/>
      <c r="H8717" s="1055"/>
      <c r="I8717" s="1055"/>
      <c r="J8717" s="1055"/>
      <c r="K8717" s="1205"/>
      <c r="L8717" s="1055"/>
      <c r="M8717" s="1205"/>
      <c r="N8717" s="1054"/>
      <c r="O8717" s="1207"/>
      <c r="Q8717" s="1207"/>
    </row>
    <row r="8718" spans="3:17" s="700" customFormat="1" ht="70.5" hidden="1" customHeight="1">
      <c r="C8718" s="701"/>
      <c r="D8718" s="811"/>
      <c r="E8718" s="1276">
        <f>[11]building!Y9049</f>
        <v>0</v>
      </c>
      <c r="F8718" s="748">
        <f t="shared" si="375"/>
        <v>0</v>
      </c>
      <c r="G8718" s="1205"/>
      <c r="H8718" s="1055"/>
      <c r="I8718" s="1055"/>
      <c r="J8718" s="1055"/>
      <c r="K8718" s="1205"/>
      <c r="L8718" s="1055"/>
      <c r="M8718" s="1205"/>
      <c r="N8718" s="1054"/>
      <c r="O8718" s="1207"/>
      <c r="Q8718" s="1207"/>
    </row>
    <row r="8719" spans="3:17" s="700" customFormat="1" ht="70.5" hidden="1" customHeight="1">
      <c r="C8719" s="701"/>
      <c r="D8719" s="811"/>
      <c r="E8719" s="1276">
        <f>[11]building!Y9050</f>
        <v>0</v>
      </c>
      <c r="F8719" s="748">
        <f t="shared" si="375"/>
        <v>0</v>
      </c>
      <c r="G8719" s="1205"/>
      <c r="H8719" s="1055"/>
      <c r="I8719" s="1055"/>
      <c r="J8719" s="1055"/>
      <c r="K8719" s="1205"/>
      <c r="L8719" s="1055"/>
      <c r="M8719" s="1205"/>
      <c r="N8719" s="1054"/>
      <c r="O8719" s="1207"/>
      <c r="Q8719" s="1207"/>
    </row>
    <row r="8720" spans="3:17" s="700" customFormat="1" ht="70.5" hidden="1" customHeight="1">
      <c r="C8720" s="701"/>
      <c r="D8720" s="811"/>
      <c r="E8720" s="1276">
        <f>[11]building!Y9051</f>
        <v>0</v>
      </c>
      <c r="F8720" s="748">
        <f t="shared" si="375"/>
        <v>0</v>
      </c>
      <c r="G8720" s="1205"/>
      <c r="H8720" s="1055"/>
      <c r="I8720" s="1055"/>
      <c r="J8720" s="1055"/>
      <c r="K8720" s="1205"/>
      <c r="L8720" s="1055"/>
      <c r="M8720" s="1205"/>
      <c r="N8720" s="1054"/>
      <c r="O8720" s="1207"/>
      <c r="Q8720" s="1207"/>
    </row>
    <row r="8721" spans="3:17" s="700" customFormat="1" ht="70.5" hidden="1" customHeight="1">
      <c r="C8721" s="701"/>
      <c r="D8721" s="811"/>
      <c r="E8721" s="1276">
        <f>[11]building!Y9052</f>
        <v>0</v>
      </c>
      <c r="F8721" s="748">
        <f t="shared" si="375"/>
        <v>0</v>
      </c>
      <c r="G8721" s="1205"/>
      <c r="H8721" s="1055"/>
      <c r="I8721" s="1055"/>
      <c r="J8721" s="1055"/>
      <c r="K8721" s="1205"/>
      <c r="L8721" s="1055"/>
      <c r="M8721" s="1205"/>
      <c r="N8721" s="1054"/>
      <c r="O8721" s="1207"/>
      <c r="Q8721" s="1207"/>
    </row>
    <row r="8722" spans="3:17" s="700" customFormat="1" ht="70.5" hidden="1" customHeight="1">
      <c r="C8722" s="701"/>
      <c r="D8722" s="811"/>
      <c r="E8722" s="1276">
        <f>[11]building!Y9053</f>
        <v>0</v>
      </c>
      <c r="F8722" s="748">
        <f t="shared" si="375"/>
        <v>0</v>
      </c>
      <c r="G8722" s="1205"/>
      <c r="H8722" s="1055"/>
      <c r="I8722" s="1055"/>
      <c r="J8722" s="1055"/>
      <c r="K8722" s="1205"/>
      <c r="L8722" s="1055"/>
      <c r="M8722" s="1205"/>
      <c r="N8722" s="1054"/>
      <c r="O8722" s="1207"/>
      <c r="Q8722" s="1207"/>
    </row>
    <row r="8723" spans="3:17" s="700" customFormat="1" ht="70.5" hidden="1" customHeight="1">
      <c r="C8723" s="701"/>
      <c r="D8723" s="811"/>
      <c r="E8723" s="1276">
        <f>[11]building!Y9054</f>
        <v>0</v>
      </c>
      <c r="F8723" s="748">
        <f t="shared" si="375"/>
        <v>0</v>
      </c>
      <c r="G8723" s="1205"/>
      <c r="H8723" s="1055"/>
      <c r="I8723" s="1055"/>
      <c r="J8723" s="1055"/>
      <c r="K8723" s="1205"/>
      <c r="L8723" s="1055"/>
      <c r="M8723" s="1205"/>
      <c r="N8723" s="1054"/>
      <c r="O8723" s="1207"/>
      <c r="Q8723" s="1207"/>
    </row>
    <row r="8724" spans="3:17" s="700" customFormat="1" ht="70.5" hidden="1" customHeight="1">
      <c r="C8724" s="701"/>
      <c r="D8724" s="811"/>
      <c r="E8724" s="1276">
        <f>[11]building!Y9055</f>
        <v>0</v>
      </c>
      <c r="F8724" s="748">
        <f t="shared" si="375"/>
        <v>0</v>
      </c>
      <c r="G8724" s="1205"/>
      <c r="H8724" s="1055"/>
      <c r="I8724" s="1055"/>
      <c r="J8724" s="1055"/>
      <c r="K8724" s="1205"/>
      <c r="L8724" s="1055"/>
      <c r="M8724" s="1205"/>
      <c r="N8724" s="1054"/>
      <c r="O8724" s="1207"/>
      <c r="Q8724" s="1207"/>
    </row>
    <row r="8725" spans="3:17" s="700" customFormat="1" ht="70.5" hidden="1" customHeight="1">
      <c r="C8725" s="701"/>
      <c r="D8725" s="811"/>
      <c r="E8725" s="1276">
        <f>[11]building!Y9056</f>
        <v>0</v>
      </c>
      <c r="F8725" s="748">
        <f t="shared" si="375"/>
        <v>0</v>
      </c>
      <c r="G8725" s="1205"/>
      <c r="H8725" s="1055"/>
      <c r="I8725" s="1055"/>
      <c r="J8725" s="1055"/>
      <c r="K8725" s="1205"/>
      <c r="L8725" s="1055"/>
      <c r="M8725" s="1205"/>
      <c r="N8725" s="1054"/>
      <c r="O8725" s="1207"/>
      <c r="Q8725" s="1207"/>
    </row>
    <row r="8726" spans="3:17" s="700" customFormat="1" ht="70.5" hidden="1" customHeight="1">
      <c r="C8726" s="701"/>
      <c r="D8726" s="811"/>
      <c r="E8726" s="1276">
        <f>[11]building!Y9057</f>
        <v>0</v>
      </c>
      <c r="F8726" s="748">
        <f t="shared" si="375"/>
        <v>0</v>
      </c>
      <c r="G8726" s="1205"/>
      <c r="H8726" s="1055"/>
      <c r="I8726" s="1055"/>
      <c r="J8726" s="1055"/>
      <c r="K8726" s="1205"/>
      <c r="L8726" s="1055"/>
      <c r="M8726" s="1205"/>
      <c r="N8726" s="1054"/>
      <c r="O8726" s="1207"/>
      <c r="Q8726" s="1207"/>
    </row>
    <row r="8727" spans="3:17" s="700" customFormat="1" ht="70.5" hidden="1" customHeight="1">
      <c r="C8727" s="701"/>
      <c r="D8727" s="811"/>
      <c r="E8727" s="1276">
        <f>[11]building!Y9058</f>
        <v>0</v>
      </c>
      <c r="F8727" s="748">
        <f t="shared" si="375"/>
        <v>0</v>
      </c>
      <c r="G8727" s="1205"/>
      <c r="H8727" s="1055"/>
      <c r="I8727" s="1055"/>
      <c r="J8727" s="1055"/>
      <c r="K8727" s="1205"/>
      <c r="L8727" s="1055"/>
      <c r="M8727" s="1205"/>
      <c r="N8727" s="1054"/>
      <c r="O8727" s="1207"/>
      <c r="Q8727" s="1207"/>
    </row>
    <row r="8728" spans="3:17" s="700" customFormat="1" ht="70.5" hidden="1" customHeight="1">
      <c r="C8728" s="701"/>
      <c r="D8728" s="811"/>
      <c r="E8728" s="1276">
        <f>[11]building!Y9059</f>
        <v>0</v>
      </c>
      <c r="F8728" s="748">
        <f t="shared" si="375"/>
        <v>0</v>
      </c>
      <c r="G8728" s="1205"/>
      <c r="H8728" s="1055"/>
      <c r="I8728" s="1055"/>
      <c r="J8728" s="1055"/>
      <c r="K8728" s="1205"/>
      <c r="L8728" s="1055"/>
      <c r="M8728" s="1205"/>
      <c r="N8728" s="1054"/>
      <c r="O8728" s="1207"/>
      <c r="Q8728" s="1207"/>
    </row>
    <row r="8729" spans="3:17" s="700" customFormat="1" ht="70.5" hidden="1" customHeight="1">
      <c r="C8729" s="701"/>
      <c r="D8729" s="811"/>
      <c r="E8729" s="1276">
        <f>[11]building!Y9060</f>
        <v>0</v>
      </c>
      <c r="F8729" s="748">
        <f t="shared" si="375"/>
        <v>0</v>
      </c>
      <c r="G8729" s="1205"/>
      <c r="H8729" s="1055"/>
      <c r="I8729" s="1055"/>
      <c r="J8729" s="1055"/>
      <c r="K8729" s="1205"/>
      <c r="L8729" s="1055"/>
      <c r="M8729" s="1205"/>
      <c r="N8729" s="1054"/>
      <c r="O8729" s="1207"/>
      <c r="Q8729" s="1207"/>
    </row>
    <row r="8730" spans="3:17" s="700" customFormat="1" ht="70.5" hidden="1" customHeight="1">
      <c r="C8730" s="701"/>
      <c r="D8730" s="811"/>
      <c r="E8730" s="1276">
        <f>[11]building!Y9061</f>
        <v>0</v>
      </c>
      <c r="F8730" s="748">
        <f t="shared" si="375"/>
        <v>0</v>
      </c>
      <c r="G8730" s="1205"/>
      <c r="H8730" s="1055"/>
      <c r="I8730" s="1055"/>
      <c r="J8730" s="1055"/>
      <c r="K8730" s="1205"/>
      <c r="L8730" s="1055"/>
      <c r="M8730" s="1205"/>
      <c r="N8730" s="1054"/>
      <c r="O8730" s="1207"/>
      <c r="Q8730" s="1207"/>
    </row>
    <row r="8731" spans="3:17" s="700" customFormat="1" ht="70.5" hidden="1" customHeight="1">
      <c r="C8731" s="701"/>
      <c r="D8731" s="811"/>
      <c r="E8731" s="1276">
        <f>[11]building!Y9062</f>
        <v>0</v>
      </c>
      <c r="F8731" s="748">
        <f t="shared" si="375"/>
        <v>0</v>
      </c>
      <c r="G8731" s="1205"/>
      <c r="H8731" s="1055"/>
      <c r="I8731" s="1055"/>
      <c r="J8731" s="1055"/>
      <c r="K8731" s="1205"/>
      <c r="L8731" s="1055"/>
      <c r="M8731" s="1205"/>
      <c r="N8731" s="1054"/>
      <c r="O8731" s="1207"/>
      <c r="Q8731" s="1207"/>
    </row>
    <row r="8732" spans="3:17" s="700" customFormat="1" ht="70.5" hidden="1" customHeight="1">
      <c r="C8732" s="701"/>
      <c r="D8732" s="811"/>
      <c r="E8732" s="1276">
        <f>[11]building!Y9063</f>
        <v>0</v>
      </c>
      <c r="F8732" s="748">
        <f t="shared" si="375"/>
        <v>0</v>
      </c>
      <c r="G8732" s="1205"/>
      <c r="H8732" s="1055"/>
      <c r="I8732" s="1055"/>
      <c r="J8732" s="1055"/>
      <c r="K8732" s="1205"/>
      <c r="L8732" s="1055"/>
      <c r="M8732" s="1205"/>
      <c r="N8732" s="1054"/>
      <c r="O8732" s="1207"/>
      <c r="Q8732" s="1207"/>
    </row>
    <row r="8733" spans="3:17" s="700" customFormat="1" ht="70.5" hidden="1" customHeight="1">
      <c r="C8733" s="701"/>
      <c r="D8733" s="811"/>
      <c r="E8733" s="1276">
        <f>[11]building!Y9064</f>
        <v>0</v>
      </c>
      <c r="F8733" s="748">
        <f t="shared" si="375"/>
        <v>0</v>
      </c>
      <c r="G8733" s="1205"/>
      <c r="H8733" s="1055"/>
      <c r="I8733" s="1055"/>
      <c r="J8733" s="1055"/>
      <c r="K8733" s="1205"/>
      <c r="L8733" s="1055"/>
      <c r="M8733" s="1205"/>
      <c r="N8733" s="1054"/>
      <c r="O8733" s="1207"/>
      <c r="Q8733" s="1207"/>
    </row>
    <row r="8734" spans="3:17" s="700" customFormat="1" ht="70.5" hidden="1" customHeight="1">
      <c r="C8734" s="701"/>
      <c r="D8734" s="811"/>
      <c r="E8734" s="1276">
        <f>[11]building!Y9065</f>
        <v>0</v>
      </c>
      <c r="F8734" s="748">
        <f t="shared" si="375"/>
        <v>0</v>
      </c>
      <c r="G8734" s="1205"/>
      <c r="H8734" s="1055"/>
      <c r="I8734" s="1055"/>
      <c r="J8734" s="1055"/>
      <c r="K8734" s="1205"/>
      <c r="L8734" s="1055"/>
      <c r="M8734" s="1205"/>
      <c r="N8734" s="1054"/>
      <c r="O8734" s="1207"/>
      <c r="Q8734" s="1207"/>
    </row>
    <row r="8735" spans="3:17" s="700" customFormat="1" ht="70.5" hidden="1" customHeight="1">
      <c r="C8735" s="701"/>
      <c r="D8735" s="811"/>
      <c r="E8735" s="1276">
        <f>[11]building!Y9066</f>
        <v>0</v>
      </c>
      <c r="F8735" s="748">
        <f t="shared" si="375"/>
        <v>0</v>
      </c>
      <c r="G8735" s="1205"/>
      <c r="H8735" s="1055"/>
      <c r="I8735" s="1055"/>
      <c r="J8735" s="1055"/>
      <c r="K8735" s="1205"/>
      <c r="L8735" s="1055"/>
      <c r="M8735" s="1205"/>
      <c r="N8735" s="1054"/>
      <c r="O8735" s="1207"/>
      <c r="Q8735" s="1207"/>
    </row>
    <row r="8736" spans="3:17" s="700" customFormat="1" ht="70.5" hidden="1" customHeight="1">
      <c r="C8736" s="701"/>
      <c r="D8736" s="811"/>
      <c r="E8736" s="1276">
        <f>[11]building!Y9067</f>
        <v>0</v>
      </c>
      <c r="F8736" s="748">
        <f t="shared" si="375"/>
        <v>0</v>
      </c>
      <c r="G8736" s="1205"/>
      <c r="H8736" s="1055"/>
      <c r="I8736" s="1055"/>
      <c r="J8736" s="1055"/>
      <c r="K8736" s="1205"/>
      <c r="L8736" s="1055"/>
      <c r="M8736" s="1205"/>
      <c r="N8736" s="1054"/>
      <c r="O8736" s="1207"/>
      <c r="Q8736" s="1207"/>
    </row>
    <row r="8737" spans="3:17" s="700" customFormat="1" ht="70.5" hidden="1" customHeight="1">
      <c r="C8737" s="701"/>
      <c r="D8737" s="811"/>
      <c r="E8737" s="1276">
        <f>[11]building!Y9068</f>
        <v>0</v>
      </c>
      <c r="F8737" s="748">
        <f t="shared" si="375"/>
        <v>0</v>
      </c>
      <c r="G8737" s="1205"/>
      <c r="H8737" s="1055"/>
      <c r="I8737" s="1055"/>
      <c r="J8737" s="1055"/>
      <c r="K8737" s="1205"/>
      <c r="L8737" s="1055"/>
      <c r="M8737" s="1205"/>
      <c r="N8737" s="1054"/>
      <c r="O8737" s="1207"/>
      <c r="Q8737" s="1207"/>
    </row>
    <row r="8738" spans="3:17" s="700" customFormat="1" ht="70.5" hidden="1" customHeight="1">
      <c r="C8738" s="701"/>
      <c r="D8738" s="811"/>
      <c r="E8738" s="1276">
        <f>[11]building!Y9069</f>
        <v>0</v>
      </c>
      <c r="F8738" s="748">
        <f t="shared" si="375"/>
        <v>0</v>
      </c>
      <c r="G8738" s="1205"/>
      <c r="H8738" s="1055"/>
      <c r="I8738" s="1055"/>
      <c r="J8738" s="1055"/>
      <c r="K8738" s="1205"/>
      <c r="L8738" s="1055"/>
      <c r="M8738" s="1205"/>
      <c r="N8738" s="1054"/>
      <c r="O8738" s="1207"/>
      <c r="Q8738" s="1207"/>
    </row>
    <row r="8739" spans="3:17" s="700" customFormat="1" ht="70.5" hidden="1" customHeight="1">
      <c r="C8739" s="701"/>
      <c r="D8739" s="811"/>
      <c r="E8739" s="1276">
        <f>[11]building!Y9070</f>
        <v>0</v>
      </c>
      <c r="F8739" s="748">
        <f t="shared" si="375"/>
        <v>0</v>
      </c>
      <c r="G8739" s="1205"/>
      <c r="H8739" s="1055"/>
      <c r="I8739" s="1055"/>
      <c r="J8739" s="1055"/>
      <c r="K8739" s="1205"/>
      <c r="L8739" s="1055"/>
      <c r="M8739" s="1205"/>
      <c r="N8739" s="1054"/>
      <c r="O8739" s="1207"/>
      <c r="Q8739" s="1207"/>
    </row>
    <row r="8740" spans="3:17" s="700" customFormat="1" ht="70.5" hidden="1" customHeight="1">
      <c r="C8740" s="701"/>
      <c r="D8740" s="811"/>
      <c r="E8740" s="1276">
        <f>[11]building!Y9071</f>
        <v>0</v>
      </c>
      <c r="F8740" s="748">
        <f t="shared" si="375"/>
        <v>0</v>
      </c>
      <c r="G8740" s="1205"/>
      <c r="H8740" s="1055"/>
      <c r="I8740" s="1055"/>
      <c r="J8740" s="1055"/>
      <c r="K8740" s="1205"/>
      <c r="L8740" s="1055"/>
      <c r="M8740" s="1205"/>
      <c r="N8740" s="1054"/>
      <c r="O8740" s="1207"/>
      <c r="Q8740" s="1207"/>
    </row>
    <row r="8741" spans="3:17" s="700" customFormat="1" ht="70.5" hidden="1" customHeight="1">
      <c r="C8741" s="701"/>
      <c r="D8741" s="811"/>
      <c r="E8741" s="1276">
        <f>[11]building!Y9072</f>
        <v>0</v>
      </c>
      <c r="F8741" s="748">
        <f t="shared" si="375"/>
        <v>0</v>
      </c>
      <c r="G8741" s="1205"/>
      <c r="H8741" s="1055"/>
      <c r="I8741" s="1055"/>
      <c r="J8741" s="1055"/>
      <c r="K8741" s="1205"/>
      <c r="L8741" s="1055"/>
      <c r="M8741" s="1205"/>
      <c r="N8741" s="1054"/>
      <c r="O8741" s="1207"/>
      <c r="Q8741" s="1207"/>
    </row>
    <row r="8742" spans="3:17" s="700" customFormat="1" ht="70.5" hidden="1" customHeight="1">
      <c r="C8742" s="701"/>
      <c r="D8742" s="811"/>
      <c r="E8742" s="1276">
        <f>[11]building!Y9073</f>
        <v>0</v>
      </c>
      <c r="F8742" s="748">
        <f t="shared" si="375"/>
        <v>0</v>
      </c>
      <c r="G8742" s="1205"/>
      <c r="H8742" s="1055"/>
      <c r="I8742" s="1055"/>
      <c r="J8742" s="1055"/>
      <c r="K8742" s="1205"/>
      <c r="L8742" s="1055"/>
      <c r="M8742" s="1205"/>
      <c r="N8742" s="1054"/>
      <c r="O8742" s="1207"/>
      <c r="Q8742" s="1207"/>
    </row>
    <row r="8743" spans="3:17" s="700" customFormat="1" ht="70.5" hidden="1" customHeight="1">
      <c r="C8743" s="701"/>
      <c r="D8743" s="811"/>
      <c r="E8743" s="1276">
        <f>[11]building!Y9074</f>
        <v>0</v>
      </c>
      <c r="F8743" s="748">
        <f t="shared" si="375"/>
        <v>0</v>
      </c>
      <c r="G8743" s="1205"/>
      <c r="H8743" s="1055"/>
      <c r="I8743" s="1055"/>
      <c r="J8743" s="1055"/>
      <c r="K8743" s="1205"/>
      <c r="L8743" s="1055"/>
      <c r="M8743" s="1205"/>
      <c r="N8743" s="1054"/>
      <c r="O8743" s="1207"/>
      <c r="Q8743" s="1207"/>
    </row>
    <row r="8744" spans="3:17" s="700" customFormat="1" ht="70.5" hidden="1" customHeight="1">
      <c r="C8744" s="701"/>
      <c r="D8744" s="811"/>
      <c r="E8744" s="1276">
        <f>[11]building!Y9075</f>
        <v>0</v>
      </c>
      <c r="F8744" s="748">
        <f t="shared" si="375"/>
        <v>0</v>
      </c>
      <c r="G8744" s="1205"/>
      <c r="H8744" s="1055"/>
      <c r="I8744" s="1055"/>
      <c r="J8744" s="1055"/>
      <c r="K8744" s="1205"/>
      <c r="L8744" s="1055"/>
      <c r="M8744" s="1205"/>
      <c r="N8744" s="1054"/>
      <c r="O8744" s="1207"/>
      <c r="Q8744" s="1207"/>
    </row>
    <row r="8745" spans="3:17" s="700" customFormat="1" ht="70.5" hidden="1" customHeight="1">
      <c r="C8745" s="701"/>
      <c r="D8745" s="811"/>
      <c r="E8745" s="1276">
        <f>[11]building!Y9076</f>
        <v>0</v>
      </c>
      <c r="F8745" s="748">
        <f t="shared" si="375"/>
        <v>0</v>
      </c>
      <c r="G8745" s="1205"/>
      <c r="H8745" s="1055"/>
      <c r="I8745" s="1055"/>
      <c r="J8745" s="1055"/>
      <c r="K8745" s="1205"/>
      <c r="L8745" s="1055"/>
      <c r="M8745" s="1205"/>
      <c r="N8745" s="1054"/>
      <c r="O8745" s="1207"/>
      <c r="Q8745" s="1207"/>
    </row>
    <row r="8746" spans="3:17" s="700" customFormat="1" ht="70.5" hidden="1" customHeight="1">
      <c r="C8746" s="701"/>
      <c r="D8746" s="811"/>
      <c r="E8746" s="1276">
        <f>[11]building!Y9077</f>
        <v>0</v>
      </c>
      <c r="F8746" s="748">
        <f t="shared" si="375"/>
        <v>0</v>
      </c>
      <c r="G8746" s="1205"/>
      <c r="H8746" s="1055"/>
      <c r="I8746" s="1055"/>
      <c r="J8746" s="1055"/>
      <c r="K8746" s="1205"/>
      <c r="L8746" s="1055"/>
      <c r="M8746" s="1205"/>
      <c r="N8746" s="1054"/>
      <c r="O8746" s="1207"/>
      <c r="Q8746" s="1207"/>
    </row>
    <row r="8747" spans="3:17" s="700" customFormat="1" ht="70.5" hidden="1" customHeight="1">
      <c r="C8747" s="701"/>
      <c r="D8747" s="811"/>
      <c r="E8747" s="1276">
        <f>[11]building!Y9078</f>
        <v>0</v>
      </c>
      <c r="F8747" s="748">
        <f t="shared" si="375"/>
        <v>0</v>
      </c>
      <c r="G8747" s="1205"/>
      <c r="H8747" s="1055"/>
      <c r="I8747" s="1055"/>
      <c r="J8747" s="1055"/>
      <c r="K8747" s="1205"/>
      <c r="L8747" s="1055"/>
      <c r="M8747" s="1205"/>
      <c r="N8747" s="1054"/>
      <c r="O8747" s="1207"/>
      <c r="Q8747" s="1207"/>
    </row>
    <row r="8748" spans="3:17" s="700" customFormat="1" ht="70.5" hidden="1" customHeight="1">
      <c r="C8748" s="701"/>
      <c r="D8748" s="811"/>
      <c r="E8748" s="1276">
        <f>[11]building!Y9079</f>
        <v>0</v>
      </c>
      <c r="F8748" s="748">
        <f t="shared" si="375"/>
        <v>0</v>
      </c>
      <c r="G8748" s="1205"/>
      <c r="H8748" s="1055"/>
      <c r="I8748" s="1055"/>
      <c r="J8748" s="1055"/>
      <c r="K8748" s="1205"/>
      <c r="L8748" s="1055"/>
      <c r="M8748" s="1205"/>
      <c r="N8748" s="1054"/>
      <c r="O8748" s="1207"/>
      <c r="Q8748" s="1207"/>
    </row>
    <row r="8749" spans="3:17" s="700" customFormat="1" ht="70.5" hidden="1" customHeight="1">
      <c r="C8749" s="701"/>
      <c r="D8749" s="811"/>
      <c r="E8749" s="1276">
        <f>[11]building!Y9080</f>
        <v>0</v>
      </c>
      <c r="F8749" s="748">
        <f t="shared" si="375"/>
        <v>0</v>
      </c>
      <c r="G8749" s="1205"/>
      <c r="H8749" s="1055"/>
      <c r="I8749" s="1055"/>
      <c r="J8749" s="1055"/>
      <c r="K8749" s="1205"/>
      <c r="L8749" s="1055"/>
      <c r="M8749" s="1205"/>
      <c r="N8749" s="1054"/>
      <c r="O8749" s="1207"/>
      <c r="Q8749" s="1207"/>
    </row>
    <row r="8750" spans="3:17" s="700" customFormat="1" ht="70.5" hidden="1" customHeight="1">
      <c r="C8750" s="701"/>
      <c r="D8750" s="811"/>
      <c r="E8750" s="1276">
        <f>[11]building!Y9081</f>
        <v>0</v>
      </c>
      <c r="F8750" s="748">
        <f t="shared" si="375"/>
        <v>0</v>
      </c>
      <c r="G8750" s="1205"/>
      <c r="H8750" s="1055"/>
      <c r="I8750" s="1055"/>
      <c r="J8750" s="1055"/>
      <c r="K8750" s="1205"/>
      <c r="L8750" s="1055"/>
      <c r="M8750" s="1205"/>
      <c r="N8750" s="1054"/>
      <c r="O8750" s="1207"/>
      <c r="Q8750" s="1207"/>
    </row>
    <row r="8751" spans="3:17" s="700" customFormat="1" ht="70.5" hidden="1" customHeight="1">
      <c r="C8751" s="701"/>
      <c r="D8751" s="811"/>
      <c r="E8751" s="1276">
        <f>[11]building!Y9082</f>
        <v>0</v>
      </c>
      <c r="F8751" s="748">
        <f t="shared" si="375"/>
        <v>0</v>
      </c>
      <c r="G8751" s="1205"/>
      <c r="H8751" s="1055"/>
      <c r="I8751" s="1055"/>
      <c r="J8751" s="1055"/>
      <c r="K8751" s="1205"/>
      <c r="L8751" s="1055"/>
      <c r="M8751" s="1205"/>
      <c r="N8751" s="1054"/>
      <c r="O8751" s="1207"/>
      <c r="Q8751" s="1207"/>
    </row>
    <row r="8752" spans="3:17" s="700" customFormat="1" ht="70.5" hidden="1" customHeight="1">
      <c r="C8752" s="701"/>
      <c r="D8752" s="811"/>
      <c r="E8752" s="1276">
        <f>[11]building!Y9083</f>
        <v>0</v>
      </c>
      <c r="F8752" s="748">
        <f t="shared" si="375"/>
        <v>0</v>
      </c>
      <c r="G8752" s="1205"/>
      <c r="H8752" s="1055"/>
      <c r="I8752" s="1055"/>
      <c r="J8752" s="1055"/>
      <c r="K8752" s="1205"/>
      <c r="L8752" s="1055"/>
      <c r="M8752" s="1205"/>
      <c r="N8752" s="1054"/>
      <c r="O8752" s="1207"/>
      <c r="Q8752" s="1207"/>
    </row>
    <row r="8753" spans="3:17" s="700" customFormat="1" ht="70.5" hidden="1" customHeight="1">
      <c r="C8753" s="701"/>
      <c r="D8753" s="811"/>
      <c r="E8753" s="1276">
        <f>[11]building!Y9084</f>
        <v>0</v>
      </c>
      <c r="F8753" s="748">
        <f t="shared" si="375"/>
        <v>0</v>
      </c>
      <c r="G8753" s="1205"/>
      <c r="H8753" s="1055"/>
      <c r="I8753" s="1055"/>
      <c r="J8753" s="1055"/>
      <c r="K8753" s="1205"/>
      <c r="L8753" s="1055"/>
      <c r="M8753" s="1205"/>
      <c r="N8753" s="1054"/>
      <c r="O8753" s="1207"/>
      <c r="Q8753" s="1207"/>
    </row>
    <row r="8754" spans="3:17" s="700" customFormat="1" ht="70.5" hidden="1" customHeight="1">
      <c r="C8754" s="701"/>
      <c r="D8754" s="811"/>
      <c r="E8754" s="1276">
        <f>[11]building!Y9085</f>
        <v>0</v>
      </c>
      <c r="F8754" s="748">
        <f t="shared" si="375"/>
        <v>0</v>
      </c>
      <c r="G8754" s="1205"/>
      <c r="H8754" s="1055"/>
      <c r="I8754" s="1055"/>
      <c r="J8754" s="1055"/>
      <c r="K8754" s="1205"/>
      <c r="L8754" s="1055"/>
      <c r="M8754" s="1205"/>
      <c r="N8754" s="1054"/>
      <c r="O8754" s="1207"/>
      <c r="Q8754" s="1207"/>
    </row>
    <row r="8755" spans="3:17" s="700" customFormat="1" ht="70.5" hidden="1" customHeight="1">
      <c r="C8755" s="701"/>
      <c r="D8755" s="811"/>
      <c r="E8755" s="1276">
        <f>[11]building!Y9086</f>
        <v>0</v>
      </c>
      <c r="F8755" s="748">
        <f t="shared" si="375"/>
        <v>0</v>
      </c>
      <c r="G8755" s="1205"/>
      <c r="H8755" s="1055"/>
      <c r="I8755" s="1055"/>
      <c r="J8755" s="1055"/>
      <c r="K8755" s="1205"/>
      <c r="L8755" s="1055"/>
      <c r="M8755" s="1205"/>
      <c r="N8755" s="1054"/>
      <c r="O8755" s="1207"/>
      <c r="Q8755" s="1207"/>
    </row>
    <row r="8756" spans="3:17" s="700" customFormat="1" ht="70.5" hidden="1" customHeight="1">
      <c r="C8756" s="701"/>
      <c r="D8756" s="811"/>
      <c r="E8756" s="1276">
        <f>[11]building!Y9087</f>
        <v>0</v>
      </c>
      <c r="F8756" s="748">
        <f t="shared" si="375"/>
        <v>0</v>
      </c>
      <c r="G8756" s="1205"/>
      <c r="H8756" s="1055"/>
      <c r="I8756" s="1055"/>
      <c r="J8756" s="1055"/>
      <c r="K8756" s="1205"/>
      <c r="L8756" s="1055"/>
      <c r="M8756" s="1205"/>
      <c r="N8756" s="1054"/>
      <c r="O8756" s="1207"/>
      <c r="Q8756" s="1207"/>
    </row>
    <row r="8757" spans="3:17" s="700" customFormat="1" ht="70.5" hidden="1" customHeight="1">
      <c r="C8757" s="701"/>
      <c r="D8757" s="811"/>
      <c r="E8757" s="1276">
        <f>[11]building!Y9088</f>
        <v>0</v>
      </c>
      <c r="F8757" s="748">
        <f t="shared" si="375"/>
        <v>0</v>
      </c>
      <c r="G8757" s="1205"/>
      <c r="H8757" s="1055"/>
      <c r="I8757" s="1055"/>
      <c r="J8757" s="1055"/>
      <c r="K8757" s="1205"/>
      <c r="L8757" s="1055"/>
      <c r="M8757" s="1205"/>
      <c r="N8757" s="1054"/>
      <c r="O8757" s="1207"/>
      <c r="Q8757" s="1207"/>
    </row>
    <row r="8758" spans="3:17" s="700" customFormat="1" ht="70.5" hidden="1" customHeight="1">
      <c r="C8758" s="701"/>
      <c r="D8758" s="811"/>
      <c r="E8758" s="1276">
        <f>[11]building!Y9089</f>
        <v>0</v>
      </c>
      <c r="F8758" s="748">
        <f t="shared" si="375"/>
        <v>0</v>
      </c>
      <c r="G8758" s="1205"/>
      <c r="H8758" s="1055"/>
      <c r="I8758" s="1055"/>
      <c r="J8758" s="1055"/>
      <c r="K8758" s="1205"/>
      <c r="L8758" s="1055"/>
      <c r="M8758" s="1205"/>
      <c r="N8758" s="1054"/>
      <c r="O8758" s="1207"/>
      <c r="Q8758" s="1207"/>
    </row>
    <row r="8759" spans="3:17" s="700" customFormat="1" ht="70.5" hidden="1" customHeight="1">
      <c r="C8759" s="701"/>
      <c r="D8759" s="811"/>
      <c r="E8759" s="1276">
        <f>[11]building!Y9090</f>
        <v>0</v>
      </c>
      <c r="F8759" s="748">
        <f t="shared" si="375"/>
        <v>0</v>
      </c>
      <c r="G8759" s="1205"/>
      <c r="H8759" s="1055"/>
      <c r="I8759" s="1055"/>
      <c r="J8759" s="1055"/>
      <c r="K8759" s="1205"/>
      <c r="L8759" s="1055"/>
      <c r="M8759" s="1205"/>
      <c r="N8759" s="1054"/>
      <c r="O8759" s="1207"/>
      <c r="Q8759" s="1207"/>
    </row>
    <row r="8760" spans="3:17" s="700" customFormat="1" ht="70.5" hidden="1" customHeight="1">
      <c r="C8760" s="701"/>
      <c r="D8760" s="811"/>
      <c r="E8760" s="1276">
        <f>[11]building!Y9091</f>
        <v>0</v>
      </c>
      <c r="F8760" s="748">
        <f t="shared" si="375"/>
        <v>0</v>
      </c>
      <c r="G8760" s="1205"/>
      <c r="H8760" s="1055"/>
      <c r="I8760" s="1055"/>
      <c r="J8760" s="1055"/>
      <c r="K8760" s="1205"/>
      <c r="L8760" s="1055"/>
      <c r="M8760" s="1205"/>
      <c r="N8760" s="1054"/>
      <c r="O8760" s="1207"/>
      <c r="Q8760" s="1207"/>
    </row>
    <row r="8761" spans="3:17" s="700" customFormat="1" ht="70.5" hidden="1" customHeight="1">
      <c r="C8761" s="701"/>
      <c r="D8761" s="811"/>
      <c r="E8761" s="1276">
        <f>[11]building!Y9092</f>
        <v>0</v>
      </c>
      <c r="F8761" s="748">
        <f t="shared" si="375"/>
        <v>0</v>
      </c>
      <c r="G8761" s="1205"/>
      <c r="H8761" s="1055"/>
      <c r="I8761" s="1055"/>
      <c r="J8761" s="1055"/>
      <c r="K8761" s="1205"/>
      <c r="L8761" s="1055"/>
      <c r="M8761" s="1205"/>
      <c r="N8761" s="1054"/>
      <c r="O8761" s="1207"/>
      <c r="Q8761" s="1207"/>
    </row>
    <row r="8762" spans="3:17" s="700" customFormat="1" ht="70.5" hidden="1" customHeight="1">
      <c r="C8762" s="701"/>
      <c r="D8762" s="811"/>
      <c r="E8762" s="1276">
        <f>[11]building!Y9093</f>
        <v>0</v>
      </c>
      <c r="F8762" s="748">
        <f t="shared" si="375"/>
        <v>0</v>
      </c>
      <c r="G8762" s="1205"/>
      <c r="H8762" s="1055"/>
      <c r="I8762" s="1055"/>
      <c r="J8762" s="1055"/>
      <c r="K8762" s="1205"/>
      <c r="L8762" s="1055"/>
      <c r="M8762" s="1205"/>
      <c r="N8762" s="1054"/>
      <c r="O8762" s="1207"/>
      <c r="Q8762" s="1207"/>
    </row>
    <row r="8763" spans="3:17" s="700" customFormat="1" ht="70.5" hidden="1" customHeight="1">
      <c r="C8763" s="701"/>
      <c r="D8763" s="811"/>
      <c r="E8763" s="1276">
        <f>[11]building!Y9094</f>
        <v>0</v>
      </c>
      <c r="F8763" s="748">
        <f t="shared" si="375"/>
        <v>0</v>
      </c>
      <c r="G8763" s="1205"/>
      <c r="H8763" s="1055"/>
      <c r="I8763" s="1055"/>
      <c r="J8763" s="1055"/>
      <c r="K8763" s="1205"/>
      <c r="L8763" s="1055"/>
      <c r="M8763" s="1205"/>
      <c r="N8763" s="1054"/>
      <c r="O8763" s="1207"/>
      <c r="Q8763" s="1207"/>
    </row>
    <row r="8764" spans="3:17" s="700" customFormat="1" ht="70.5" hidden="1" customHeight="1">
      <c r="C8764" s="701"/>
      <c r="D8764" s="811"/>
      <c r="E8764" s="1276">
        <f>[11]building!Y9095</f>
        <v>0</v>
      </c>
      <c r="F8764" s="748">
        <f t="shared" si="375"/>
        <v>0</v>
      </c>
      <c r="G8764" s="1205"/>
      <c r="H8764" s="1055"/>
      <c r="I8764" s="1055"/>
      <c r="J8764" s="1055"/>
      <c r="K8764" s="1205"/>
      <c r="L8764" s="1055"/>
      <c r="M8764" s="1205"/>
      <c r="N8764" s="1054"/>
      <c r="O8764" s="1207"/>
      <c r="Q8764" s="1207"/>
    </row>
    <row r="8765" spans="3:17" s="700" customFormat="1" ht="70.5" hidden="1" customHeight="1">
      <c r="C8765" s="701"/>
      <c r="D8765" s="811"/>
      <c r="E8765" s="1276">
        <f>[11]building!Y9096</f>
        <v>0</v>
      </c>
      <c r="F8765" s="748">
        <f t="shared" si="375"/>
        <v>0</v>
      </c>
      <c r="G8765" s="1205"/>
      <c r="H8765" s="1055"/>
      <c r="I8765" s="1055"/>
      <c r="J8765" s="1055"/>
      <c r="K8765" s="1205"/>
      <c r="L8765" s="1055"/>
      <c r="M8765" s="1205"/>
      <c r="N8765" s="1054"/>
      <c r="O8765" s="1207"/>
      <c r="Q8765" s="1207"/>
    </row>
    <row r="8766" spans="3:17" s="700" customFormat="1" ht="70.5" hidden="1" customHeight="1">
      <c r="C8766" s="701"/>
      <c r="D8766" s="811"/>
      <c r="E8766" s="1276">
        <f>[11]building!Y9097</f>
        <v>0</v>
      </c>
      <c r="F8766" s="748">
        <f t="shared" si="375"/>
        <v>0</v>
      </c>
      <c r="G8766" s="1205"/>
      <c r="H8766" s="1055"/>
      <c r="I8766" s="1055"/>
      <c r="J8766" s="1055"/>
      <c r="K8766" s="1205"/>
      <c r="L8766" s="1055"/>
      <c r="M8766" s="1205"/>
      <c r="N8766" s="1054"/>
      <c r="O8766" s="1207"/>
      <c r="Q8766" s="1207"/>
    </row>
    <row r="8767" spans="3:17" s="700" customFormat="1" ht="70.5" hidden="1" customHeight="1">
      <c r="C8767" s="701"/>
      <c r="D8767" s="811"/>
      <c r="E8767" s="1276">
        <f>[11]building!Y9098</f>
        <v>0</v>
      </c>
      <c r="F8767" s="748">
        <f t="shared" si="375"/>
        <v>0</v>
      </c>
      <c r="G8767" s="1205"/>
      <c r="H8767" s="1055"/>
      <c r="I8767" s="1055"/>
      <c r="J8767" s="1055"/>
      <c r="K8767" s="1205"/>
      <c r="L8767" s="1055"/>
      <c r="M8767" s="1205"/>
      <c r="N8767" s="1054"/>
      <c r="O8767" s="1207"/>
      <c r="Q8767" s="1207"/>
    </row>
    <row r="8768" spans="3:17" s="700" customFormat="1" ht="70.5" hidden="1" customHeight="1">
      <c r="C8768" s="701"/>
      <c r="D8768" s="811"/>
      <c r="E8768" s="1276">
        <f>[11]building!Y9099</f>
        <v>0</v>
      </c>
      <c r="F8768" s="748">
        <f t="shared" ref="F8768:F8831" si="376">E8768*C8768</f>
        <v>0</v>
      </c>
      <c r="G8768" s="1205"/>
      <c r="H8768" s="1055"/>
      <c r="I8768" s="1055"/>
      <c r="J8768" s="1055"/>
      <c r="K8768" s="1205"/>
      <c r="L8768" s="1055"/>
      <c r="M8768" s="1205"/>
      <c r="N8768" s="1054"/>
      <c r="O8768" s="1207"/>
      <c r="Q8768" s="1207"/>
    </row>
    <row r="8769" spans="3:17" s="700" customFormat="1" ht="70.5" hidden="1" customHeight="1">
      <c r="C8769" s="701"/>
      <c r="D8769" s="811"/>
      <c r="E8769" s="1276">
        <f>[11]building!Y9100</f>
        <v>0</v>
      </c>
      <c r="F8769" s="748">
        <f t="shared" si="376"/>
        <v>0</v>
      </c>
      <c r="G8769" s="1205"/>
      <c r="H8769" s="1055"/>
      <c r="I8769" s="1055"/>
      <c r="J8769" s="1055"/>
      <c r="K8769" s="1205"/>
      <c r="L8769" s="1055"/>
      <c r="M8769" s="1205"/>
      <c r="N8769" s="1054"/>
      <c r="O8769" s="1207"/>
      <c r="Q8769" s="1207"/>
    </row>
    <row r="8770" spans="3:17" s="700" customFormat="1" ht="70.5" hidden="1" customHeight="1">
      <c r="C8770" s="701"/>
      <c r="D8770" s="811"/>
      <c r="E8770" s="1276">
        <f>[11]building!Y9101</f>
        <v>0</v>
      </c>
      <c r="F8770" s="748">
        <f t="shared" si="376"/>
        <v>0</v>
      </c>
      <c r="G8770" s="1205"/>
      <c r="H8770" s="1055"/>
      <c r="I8770" s="1055"/>
      <c r="J8770" s="1055"/>
      <c r="K8770" s="1205"/>
      <c r="L8770" s="1055"/>
      <c r="M8770" s="1205"/>
      <c r="N8770" s="1054"/>
      <c r="O8770" s="1207"/>
      <c r="Q8770" s="1207"/>
    </row>
    <row r="8771" spans="3:17" s="700" customFormat="1" ht="70.5" hidden="1" customHeight="1">
      <c r="C8771" s="701"/>
      <c r="D8771" s="811"/>
      <c r="E8771" s="1276">
        <f>[11]building!Y9102</f>
        <v>0</v>
      </c>
      <c r="F8771" s="748">
        <f t="shared" si="376"/>
        <v>0</v>
      </c>
      <c r="G8771" s="1205"/>
      <c r="H8771" s="1055"/>
      <c r="I8771" s="1055"/>
      <c r="J8771" s="1055"/>
      <c r="K8771" s="1205"/>
      <c r="L8771" s="1055"/>
      <c r="M8771" s="1205"/>
      <c r="N8771" s="1054"/>
      <c r="O8771" s="1207"/>
      <c r="Q8771" s="1207"/>
    </row>
    <row r="8772" spans="3:17" s="700" customFormat="1" ht="70.5" hidden="1" customHeight="1">
      <c r="C8772" s="701"/>
      <c r="D8772" s="811"/>
      <c r="E8772" s="1276">
        <f>[11]building!Y9103</f>
        <v>0</v>
      </c>
      <c r="F8772" s="748">
        <f t="shared" si="376"/>
        <v>0</v>
      </c>
      <c r="G8772" s="1205"/>
      <c r="H8772" s="1055"/>
      <c r="I8772" s="1055"/>
      <c r="J8772" s="1055"/>
      <c r="K8772" s="1205"/>
      <c r="L8772" s="1055"/>
      <c r="M8772" s="1205"/>
      <c r="N8772" s="1054"/>
      <c r="O8772" s="1207"/>
      <c r="Q8772" s="1207"/>
    </row>
    <row r="8773" spans="3:17" s="700" customFormat="1" ht="70.5" hidden="1" customHeight="1">
      <c r="C8773" s="701"/>
      <c r="D8773" s="811"/>
      <c r="E8773" s="1276">
        <f>[11]building!Y9104</f>
        <v>0</v>
      </c>
      <c r="F8773" s="748">
        <f t="shared" si="376"/>
        <v>0</v>
      </c>
      <c r="G8773" s="1205"/>
      <c r="H8773" s="1055"/>
      <c r="I8773" s="1055"/>
      <c r="J8773" s="1055"/>
      <c r="K8773" s="1205"/>
      <c r="L8773" s="1055"/>
      <c r="M8773" s="1205"/>
      <c r="N8773" s="1054"/>
      <c r="O8773" s="1207"/>
      <c r="Q8773" s="1207"/>
    </row>
    <row r="8774" spans="3:17" s="700" customFormat="1" ht="70.5" hidden="1" customHeight="1">
      <c r="C8774" s="701"/>
      <c r="D8774" s="811"/>
      <c r="E8774" s="1276">
        <f>[11]building!Y9105</f>
        <v>0</v>
      </c>
      <c r="F8774" s="748">
        <f t="shared" si="376"/>
        <v>0</v>
      </c>
      <c r="G8774" s="1205"/>
      <c r="H8774" s="1055"/>
      <c r="I8774" s="1055"/>
      <c r="J8774" s="1055"/>
      <c r="K8774" s="1205"/>
      <c r="L8774" s="1055"/>
      <c r="M8774" s="1205"/>
      <c r="N8774" s="1054"/>
      <c r="O8774" s="1207"/>
      <c r="Q8774" s="1207"/>
    </row>
    <row r="8775" spans="3:17" s="700" customFormat="1" ht="70.5" hidden="1" customHeight="1">
      <c r="C8775" s="701"/>
      <c r="D8775" s="811"/>
      <c r="E8775" s="1276">
        <f>[11]building!Y9106</f>
        <v>0</v>
      </c>
      <c r="F8775" s="748">
        <f t="shared" si="376"/>
        <v>0</v>
      </c>
      <c r="G8775" s="1205"/>
      <c r="H8775" s="1055"/>
      <c r="I8775" s="1055"/>
      <c r="J8775" s="1055"/>
      <c r="K8775" s="1205"/>
      <c r="L8775" s="1055"/>
      <c r="M8775" s="1205"/>
      <c r="N8775" s="1054"/>
      <c r="O8775" s="1207"/>
      <c r="Q8775" s="1207"/>
    </row>
    <row r="8776" spans="3:17" s="700" customFormat="1" ht="70.5" hidden="1" customHeight="1">
      <c r="C8776" s="701"/>
      <c r="D8776" s="811"/>
      <c r="E8776" s="1276">
        <f>[11]building!Y9107</f>
        <v>0</v>
      </c>
      <c r="F8776" s="748">
        <f t="shared" si="376"/>
        <v>0</v>
      </c>
      <c r="G8776" s="1205"/>
      <c r="H8776" s="1055"/>
      <c r="I8776" s="1055"/>
      <c r="J8776" s="1055"/>
      <c r="K8776" s="1205"/>
      <c r="L8776" s="1055"/>
      <c r="M8776" s="1205"/>
      <c r="N8776" s="1054"/>
      <c r="O8776" s="1207"/>
      <c r="Q8776" s="1207"/>
    </row>
    <row r="8777" spans="3:17" s="700" customFormat="1" ht="70.5" hidden="1" customHeight="1">
      <c r="C8777" s="701"/>
      <c r="D8777" s="811"/>
      <c r="E8777" s="1276">
        <f>[11]building!Y9108</f>
        <v>0</v>
      </c>
      <c r="F8777" s="748">
        <f t="shared" si="376"/>
        <v>0</v>
      </c>
      <c r="G8777" s="1205"/>
      <c r="H8777" s="1055"/>
      <c r="I8777" s="1055"/>
      <c r="J8777" s="1055"/>
      <c r="K8777" s="1205"/>
      <c r="L8777" s="1055"/>
      <c r="M8777" s="1205"/>
      <c r="N8777" s="1054"/>
      <c r="O8777" s="1207"/>
      <c r="Q8777" s="1207"/>
    </row>
    <row r="8778" spans="3:17" s="700" customFormat="1" ht="70.5" hidden="1" customHeight="1">
      <c r="C8778" s="701"/>
      <c r="D8778" s="811"/>
      <c r="E8778" s="1276">
        <f>[11]building!Y9109</f>
        <v>0</v>
      </c>
      <c r="F8778" s="748">
        <f t="shared" si="376"/>
        <v>0</v>
      </c>
      <c r="G8778" s="1205"/>
      <c r="H8778" s="1055"/>
      <c r="I8778" s="1055"/>
      <c r="J8778" s="1055"/>
      <c r="K8778" s="1205"/>
      <c r="L8778" s="1055"/>
      <c r="M8778" s="1205"/>
      <c r="N8778" s="1054"/>
      <c r="O8778" s="1207"/>
      <c r="Q8778" s="1207"/>
    </row>
    <row r="8779" spans="3:17" s="700" customFormat="1" ht="70.5" hidden="1" customHeight="1">
      <c r="C8779" s="701"/>
      <c r="D8779" s="811"/>
      <c r="E8779" s="1276">
        <f>[11]building!Y9110</f>
        <v>0</v>
      </c>
      <c r="F8779" s="748">
        <f t="shared" si="376"/>
        <v>0</v>
      </c>
      <c r="G8779" s="1205"/>
      <c r="H8779" s="1055"/>
      <c r="I8779" s="1055"/>
      <c r="J8779" s="1055"/>
      <c r="K8779" s="1205"/>
      <c r="L8779" s="1055"/>
      <c r="M8779" s="1205"/>
      <c r="N8779" s="1054"/>
      <c r="O8779" s="1207"/>
      <c r="Q8779" s="1207"/>
    </row>
    <row r="8780" spans="3:17" s="700" customFormat="1" ht="70.5" hidden="1" customHeight="1">
      <c r="C8780" s="701"/>
      <c r="D8780" s="811"/>
      <c r="E8780" s="1276">
        <f>[11]building!Y9111</f>
        <v>0</v>
      </c>
      <c r="F8780" s="748">
        <f t="shared" si="376"/>
        <v>0</v>
      </c>
      <c r="G8780" s="1205"/>
      <c r="H8780" s="1055"/>
      <c r="I8780" s="1055"/>
      <c r="J8780" s="1055"/>
      <c r="K8780" s="1205"/>
      <c r="L8780" s="1055"/>
      <c r="M8780" s="1205"/>
      <c r="N8780" s="1054"/>
      <c r="O8780" s="1207"/>
      <c r="Q8780" s="1207"/>
    </row>
    <row r="8781" spans="3:17" s="700" customFormat="1" ht="70.5" hidden="1" customHeight="1">
      <c r="C8781" s="701"/>
      <c r="D8781" s="811"/>
      <c r="E8781" s="1276">
        <f>[11]building!Y9112</f>
        <v>0</v>
      </c>
      <c r="F8781" s="748">
        <f t="shared" si="376"/>
        <v>0</v>
      </c>
      <c r="G8781" s="1205"/>
      <c r="H8781" s="1055"/>
      <c r="I8781" s="1055"/>
      <c r="J8781" s="1055"/>
      <c r="K8781" s="1205"/>
      <c r="L8781" s="1055"/>
      <c r="M8781" s="1205"/>
      <c r="N8781" s="1054"/>
      <c r="O8781" s="1207"/>
      <c r="Q8781" s="1207"/>
    </row>
    <row r="8782" spans="3:17" s="700" customFormat="1" ht="70.5" hidden="1" customHeight="1">
      <c r="C8782" s="701"/>
      <c r="D8782" s="811"/>
      <c r="E8782" s="1276">
        <f>[11]building!Y9113</f>
        <v>0</v>
      </c>
      <c r="F8782" s="748">
        <f t="shared" si="376"/>
        <v>0</v>
      </c>
      <c r="G8782" s="1205"/>
      <c r="H8782" s="1055"/>
      <c r="I8782" s="1055"/>
      <c r="J8782" s="1055"/>
      <c r="K8782" s="1205"/>
      <c r="L8782" s="1055"/>
      <c r="M8782" s="1205"/>
      <c r="N8782" s="1054"/>
      <c r="O8782" s="1207"/>
      <c r="Q8782" s="1207"/>
    </row>
    <row r="8783" spans="3:17" s="700" customFormat="1" ht="70.5" hidden="1" customHeight="1">
      <c r="C8783" s="701"/>
      <c r="D8783" s="811"/>
      <c r="E8783" s="1276">
        <f>[11]building!Y9114</f>
        <v>0</v>
      </c>
      <c r="F8783" s="748">
        <f t="shared" si="376"/>
        <v>0</v>
      </c>
      <c r="G8783" s="1205"/>
      <c r="H8783" s="1055"/>
      <c r="I8783" s="1055"/>
      <c r="J8783" s="1055"/>
      <c r="K8783" s="1205"/>
      <c r="L8783" s="1055"/>
      <c r="M8783" s="1205"/>
      <c r="N8783" s="1054"/>
      <c r="O8783" s="1207"/>
      <c r="Q8783" s="1207"/>
    </row>
    <row r="8784" spans="3:17" s="700" customFormat="1" ht="70.5" hidden="1" customHeight="1">
      <c r="C8784" s="701"/>
      <c r="D8784" s="811"/>
      <c r="E8784" s="1276">
        <f>[11]building!Y9115</f>
        <v>0</v>
      </c>
      <c r="F8784" s="748">
        <f t="shared" si="376"/>
        <v>0</v>
      </c>
      <c r="G8784" s="1205"/>
      <c r="H8784" s="1055"/>
      <c r="I8784" s="1055"/>
      <c r="J8784" s="1055"/>
      <c r="K8784" s="1205"/>
      <c r="L8784" s="1055"/>
      <c r="M8784" s="1205"/>
      <c r="N8784" s="1054"/>
      <c r="O8784" s="1207"/>
      <c r="Q8784" s="1207"/>
    </row>
    <row r="8785" spans="3:17" s="700" customFormat="1" ht="70.5" hidden="1" customHeight="1">
      <c r="C8785" s="701"/>
      <c r="D8785" s="811"/>
      <c r="E8785" s="1276">
        <f>[11]building!Y9116</f>
        <v>0</v>
      </c>
      <c r="F8785" s="748">
        <f t="shared" si="376"/>
        <v>0</v>
      </c>
      <c r="G8785" s="1205"/>
      <c r="H8785" s="1055"/>
      <c r="I8785" s="1055"/>
      <c r="J8785" s="1055"/>
      <c r="K8785" s="1205"/>
      <c r="L8785" s="1055"/>
      <c r="M8785" s="1205"/>
      <c r="N8785" s="1054"/>
      <c r="O8785" s="1207"/>
      <c r="Q8785" s="1207"/>
    </row>
    <row r="8786" spans="3:17" s="700" customFormat="1" ht="70.5" hidden="1" customHeight="1">
      <c r="C8786" s="701"/>
      <c r="D8786" s="811"/>
      <c r="E8786" s="1276">
        <f>[11]building!Y9117</f>
        <v>0</v>
      </c>
      <c r="F8786" s="748">
        <f t="shared" si="376"/>
        <v>0</v>
      </c>
      <c r="G8786" s="1205"/>
      <c r="H8786" s="1055"/>
      <c r="I8786" s="1055"/>
      <c r="J8786" s="1055"/>
      <c r="K8786" s="1205"/>
      <c r="L8786" s="1055"/>
      <c r="M8786" s="1205"/>
      <c r="N8786" s="1054"/>
      <c r="O8786" s="1207"/>
      <c r="Q8786" s="1207"/>
    </row>
    <row r="8787" spans="3:17" s="700" customFormat="1" ht="70.5" hidden="1" customHeight="1">
      <c r="C8787" s="701"/>
      <c r="D8787" s="811"/>
      <c r="E8787" s="1276">
        <f>[11]building!Y9118</f>
        <v>0</v>
      </c>
      <c r="F8787" s="748">
        <f t="shared" si="376"/>
        <v>0</v>
      </c>
      <c r="G8787" s="1205"/>
      <c r="H8787" s="1055"/>
      <c r="I8787" s="1055"/>
      <c r="J8787" s="1055"/>
      <c r="K8787" s="1205"/>
      <c r="L8787" s="1055"/>
      <c r="M8787" s="1205"/>
      <c r="N8787" s="1054"/>
      <c r="O8787" s="1207"/>
      <c r="Q8787" s="1207"/>
    </row>
    <row r="8788" spans="3:17" s="700" customFormat="1" ht="70.5" hidden="1" customHeight="1">
      <c r="C8788" s="701"/>
      <c r="D8788" s="811"/>
      <c r="E8788" s="1276">
        <f>[11]building!Y9119</f>
        <v>0</v>
      </c>
      <c r="F8788" s="748">
        <f t="shared" si="376"/>
        <v>0</v>
      </c>
      <c r="G8788" s="1205"/>
      <c r="H8788" s="1055"/>
      <c r="I8788" s="1055"/>
      <c r="J8788" s="1055"/>
      <c r="K8788" s="1205"/>
      <c r="L8788" s="1055"/>
      <c r="M8788" s="1205"/>
      <c r="N8788" s="1054"/>
      <c r="O8788" s="1207"/>
      <c r="Q8788" s="1207"/>
    </row>
    <row r="8789" spans="3:17" s="700" customFormat="1" ht="70.5" hidden="1" customHeight="1">
      <c r="C8789" s="701"/>
      <c r="D8789" s="811"/>
      <c r="E8789" s="1276">
        <f>[11]building!Y9120</f>
        <v>0</v>
      </c>
      <c r="F8789" s="748">
        <f t="shared" si="376"/>
        <v>0</v>
      </c>
      <c r="G8789" s="1205"/>
      <c r="H8789" s="1055"/>
      <c r="I8789" s="1055"/>
      <c r="J8789" s="1055"/>
      <c r="K8789" s="1205"/>
      <c r="L8789" s="1055"/>
      <c r="M8789" s="1205"/>
      <c r="N8789" s="1054"/>
      <c r="O8789" s="1207"/>
      <c r="Q8789" s="1207"/>
    </row>
    <row r="8790" spans="3:17" s="700" customFormat="1" ht="70.5" hidden="1" customHeight="1">
      <c r="C8790" s="701"/>
      <c r="D8790" s="811"/>
      <c r="E8790" s="1276">
        <f>[11]building!Y9121</f>
        <v>0</v>
      </c>
      <c r="F8790" s="748">
        <f t="shared" si="376"/>
        <v>0</v>
      </c>
      <c r="G8790" s="1205"/>
      <c r="H8790" s="1055"/>
      <c r="I8790" s="1055"/>
      <c r="J8790" s="1055"/>
      <c r="K8790" s="1205"/>
      <c r="L8790" s="1055"/>
      <c r="M8790" s="1205"/>
      <c r="N8790" s="1054"/>
      <c r="O8790" s="1207"/>
      <c r="Q8790" s="1207"/>
    </row>
    <row r="8791" spans="3:17" s="700" customFormat="1" ht="70.5" hidden="1" customHeight="1">
      <c r="C8791" s="701"/>
      <c r="D8791" s="811"/>
      <c r="E8791" s="1276">
        <f>[11]building!Y9122</f>
        <v>0</v>
      </c>
      <c r="F8791" s="748">
        <f t="shared" si="376"/>
        <v>0</v>
      </c>
      <c r="G8791" s="1205"/>
      <c r="H8791" s="1055"/>
      <c r="I8791" s="1055"/>
      <c r="J8791" s="1055"/>
      <c r="K8791" s="1205"/>
      <c r="L8791" s="1055"/>
      <c r="M8791" s="1205"/>
      <c r="N8791" s="1054"/>
      <c r="O8791" s="1207"/>
      <c r="Q8791" s="1207"/>
    </row>
    <row r="8792" spans="3:17" s="700" customFormat="1" ht="70.5" hidden="1" customHeight="1">
      <c r="C8792" s="701"/>
      <c r="D8792" s="811"/>
      <c r="E8792" s="1276">
        <f>[11]building!Y9123</f>
        <v>0</v>
      </c>
      <c r="F8792" s="748">
        <f t="shared" si="376"/>
        <v>0</v>
      </c>
      <c r="G8792" s="1205"/>
      <c r="H8792" s="1055"/>
      <c r="I8792" s="1055"/>
      <c r="J8792" s="1055"/>
      <c r="K8792" s="1205"/>
      <c r="L8792" s="1055"/>
      <c r="M8792" s="1205"/>
      <c r="N8792" s="1054"/>
      <c r="O8792" s="1207"/>
      <c r="Q8792" s="1207"/>
    </row>
    <row r="8793" spans="3:17" s="700" customFormat="1" ht="70.5" hidden="1" customHeight="1">
      <c r="C8793" s="701"/>
      <c r="D8793" s="811"/>
      <c r="E8793" s="1276">
        <f>[11]building!Y9124</f>
        <v>0</v>
      </c>
      <c r="F8793" s="748">
        <f t="shared" si="376"/>
        <v>0</v>
      </c>
      <c r="G8793" s="1205"/>
      <c r="H8793" s="1055"/>
      <c r="I8793" s="1055"/>
      <c r="J8793" s="1055"/>
      <c r="K8793" s="1205"/>
      <c r="L8793" s="1055"/>
      <c r="M8793" s="1205"/>
      <c r="N8793" s="1054"/>
      <c r="O8793" s="1207"/>
      <c r="Q8793" s="1207"/>
    </row>
    <row r="8794" spans="3:17" s="700" customFormat="1" ht="70.5" hidden="1" customHeight="1">
      <c r="C8794" s="701"/>
      <c r="D8794" s="811"/>
      <c r="E8794" s="1276">
        <f>[11]building!Y9125</f>
        <v>0</v>
      </c>
      <c r="F8794" s="748">
        <f t="shared" si="376"/>
        <v>0</v>
      </c>
      <c r="G8794" s="1205"/>
      <c r="H8794" s="1055"/>
      <c r="I8794" s="1055"/>
      <c r="J8794" s="1055"/>
      <c r="K8794" s="1205"/>
      <c r="L8794" s="1055"/>
      <c r="M8794" s="1205"/>
      <c r="N8794" s="1054"/>
      <c r="O8794" s="1207"/>
      <c r="Q8794" s="1207"/>
    </row>
    <row r="8795" spans="3:17" s="700" customFormat="1" ht="70.5" hidden="1" customHeight="1">
      <c r="C8795" s="701"/>
      <c r="D8795" s="811"/>
      <c r="E8795" s="1276">
        <f>[11]building!Y9126</f>
        <v>0</v>
      </c>
      <c r="F8795" s="748">
        <f t="shared" si="376"/>
        <v>0</v>
      </c>
      <c r="G8795" s="1205"/>
      <c r="H8795" s="1055"/>
      <c r="I8795" s="1055"/>
      <c r="J8795" s="1055"/>
      <c r="K8795" s="1205"/>
      <c r="L8795" s="1055"/>
      <c r="M8795" s="1205"/>
      <c r="N8795" s="1054"/>
      <c r="O8795" s="1207"/>
      <c r="Q8795" s="1207"/>
    </row>
    <row r="8796" spans="3:17" s="700" customFormat="1" ht="70.5" hidden="1" customHeight="1">
      <c r="C8796" s="701"/>
      <c r="D8796" s="811"/>
      <c r="E8796" s="1276">
        <f>[11]building!Y9127</f>
        <v>0</v>
      </c>
      <c r="F8796" s="748">
        <f t="shared" si="376"/>
        <v>0</v>
      </c>
      <c r="G8796" s="1205"/>
      <c r="H8796" s="1055"/>
      <c r="I8796" s="1055"/>
      <c r="J8796" s="1055"/>
      <c r="K8796" s="1205"/>
      <c r="L8796" s="1055"/>
      <c r="M8796" s="1205"/>
      <c r="N8796" s="1054"/>
      <c r="O8796" s="1207"/>
      <c r="Q8796" s="1207"/>
    </row>
    <row r="8797" spans="3:17" s="700" customFormat="1" ht="70.5" hidden="1" customHeight="1">
      <c r="C8797" s="701"/>
      <c r="D8797" s="811"/>
      <c r="E8797" s="1276">
        <f>[11]building!Y9128</f>
        <v>0</v>
      </c>
      <c r="F8797" s="748">
        <f t="shared" si="376"/>
        <v>0</v>
      </c>
      <c r="G8797" s="1205"/>
      <c r="H8797" s="1055"/>
      <c r="I8797" s="1055"/>
      <c r="J8797" s="1055"/>
      <c r="K8797" s="1205"/>
      <c r="L8797" s="1055"/>
      <c r="M8797" s="1205"/>
      <c r="N8797" s="1054"/>
      <c r="O8797" s="1207"/>
      <c r="Q8797" s="1207"/>
    </row>
    <row r="8798" spans="3:17" s="700" customFormat="1" ht="70.5" hidden="1" customHeight="1">
      <c r="C8798" s="701"/>
      <c r="D8798" s="811"/>
      <c r="E8798" s="1276">
        <f>[11]building!Y9129</f>
        <v>0</v>
      </c>
      <c r="F8798" s="748">
        <f t="shared" si="376"/>
        <v>0</v>
      </c>
      <c r="G8798" s="1205"/>
      <c r="H8798" s="1055"/>
      <c r="I8798" s="1055"/>
      <c r="J8798" s="1055"/>
      <c r="K8798" s="1205"/>
      <c r="L8798" s="1055"/>
      <c r="M8798" s="1205"/>
      <c r="N8798" s="1054"/>
      <c r="O8798" s="1207"/>
      <c r="Q8798" s="1207"/>
    </row>
    <row r="8799" spans="3:17" s="700" customFormat="1" ht="70.5" hidden="1" customHeight="1">
      <c r="C8799" s="701"/>
      <c r="D8799" s="811"/>
      <c r="E8799" s="1276">
        <f>[11]building!Y9130</f>
        <v>0</v>
      </c>
      <c r="F8799" s="748">
        <f t="shared" si="376"/>
        <v>0</v>
      </c>
      <c r="G8799" s="1205"/>
      <c r="H8799" s="1055"/>
      <c r="I8799" s="1055"/>
      <c r="J8799" s="1055"/>
      <c r="K8799" s="1205"/>
      <c r="L8799" s="1055"/>
      <c r="M8799" s="1205"/>
      <c r="N8799" s="1054"/>
      <c r="O8799" s="1207"/>
      <c r="Q8799" s="1207"/>
    </row>
    <row r="8800" spans="3:17" s="700" customFormat="1" ht="70.5" hidden="1" customHeight="1">
      <c r="C8800" s="701"/>
      <c r="D8800" s="811"/>
      <c r="E8800" s="1276">
        <f>[11]building!Y9131</f>
        <v>0</v>
      </c>
      <c r="F8800" s="748">
        <f t="shared" si="376"/>
        <v>0</v>
      </c>
      <c r="G8800" s="1205"/>
      <c r="H8800" s="1055"/>
      <c r="I8800" s="1055"/>
      <c r="J8800" s="1055"/>
      <c r="K8800" s="1205"/>
      <c r="L8800" s="1055"/>
      <c r="M8800" s="1205"/>
      <c r="N8800" s="1054"/>
      <c r="O8800" s="1207"/>
      <c r="Q8800" s="1207"/>
    </row>
    <row r="8801" spans="3:17" s="700" customFormat="1" ht="70.5" hidden="1" customHeight="1">
      <c r="C8801" s="701"/>
      <c r="D8801" s="811"/>
      <c r="E8801" s="1276">
        <f>[11]building!Y9132</f>
        <v>0</v>
      </c>
      <c r="F8801" s="748">
        <f t="shared" si="376"/>
        <v>0</v>
      </c>
      <c r="G8801" s="1205"/>
      <c r="H8801" s="1055"/>
      <c r="I8801" s="1055"/>
      <c r="J8801" s="1055"/>
      <c r="K8801" s="1205"/>
      <c r="L8801" s="1055"/>
      <c r="M8801" s="1205"/>
      <c r="N8801" s="1054"/>
      <c r="O8801" s="1207"/>
      <c r="Q8801" s="1207"/>
    </row>
    <row r="8802" spans="3:17" s="700" customFormat="1" ht="70.5" hidden="1" customHeight="1">
      <c r="C8802" s="701"/>
      <c r="D8802" s="811"/>
      <c r="E8802" s="1276">
        <f>[11]building!Y9133</f>
        <v>0</v>
      </c>
      <c r="F8802" s="748">
        <f t="shared" si="376"/>
        <v>0</v>
      </c>
      <c r="G8802" s="1205"/>
      <c r="H8802" s="1055"/>
      <c r="I8802" s="1055"/>
      <c r="J8802" s="1055"/>
      <c r="K8802" s="1205"/>
      <c r="L8802" s="1055"/>
      <c r="M8802" s="1205"/>
      <c r="N8802" s="1054"/>
      <c r="O8802" s="1207"/>
      <c r="Q8802" s="1207"/>
    </row>
    <row r="8803" spans="3:17" s="700" customFormat="1" ht="70.5" hidden="1" customHeight="1">
      <c r="C8803" s="701"/>
      <c r="D8803" s="811"/>
      <c r="E8803" s="1276">
        <f>[11]building!Y9134</f>
        <v>0</v>
      </c>
      <c r="F8803" s="748">
        <f t="shared" si="376"/>
        <v>0</v>
      </c>
      <c r="G8803" s="1205"/>
      <c r="H8803" s="1055"/>
      <c r="I8803" s="1055"/>
      <c r="J8803" s="1055"/>
      <c r="K8803" s="1205"/>
      <c r="L8803" s="1055"/>
      <c r="M8803" s="1205"/>
      <c r="N8803" s="1054"/>
      <c r="O8803" s="1207"/>
      <c r="Q8803" s="1207"/>
    </row>
    <row r="8804" spans="3:17" s="700" customFormat="1" ht="70.5" hidden="1" customHeight="1">
      <c r="C8804" s="701"/>
      <c r="D8804" s="811"/>
      <c r="E8804" s="1276">
        <f>[11]building!Y9135</f>
        <v>0</v>
      </c>
      <c r="F8804" s="748">
        <f t="shared" si="376"/>
        <v>0</v>
      </c>
      <c r="G8804" s="1205"/>
      <c r="H8804" s="1055"/>
      <c r="I8804" s="1055"/>
      <c r="J8804" s="1055"/>
      <c r="K8804" s="1205"/>
      <c r="L8804" s="1055"/>
      <c r="M8804" s="1205"/>
      <c r="N8804" s="1054"/>
      <c r="O8804" s="1207"/>
      <c r="Q8804" s="1207"/>
    </row>
    <row r="8805" spans="3:17" s="700" customFormat="1" ht="70.5" hidden="1" customHeight="1">
      <c r="C8805" s="701"/>
      <c r="D8805" s="811"/>
      <c r="E8805" s="1276">
        <f>[11]building!Y9136</f>
        <v>0</v>
      </c>
      <c r="F8805" s="748">
        <f t="shared" si="376"/>
        <v>0</v>
      </c>
      <c r="G8805" s="1205"/>
      <c r="H8805" s="1055"/>
      <c r="I8805" s="1055"/>
      <c r="J8805" s="1055"/>
      <c r="K8805" s="1205"/>
      <c r="L8805" s="1055"/>
      <c r="M8805" s="1205"/>
      <c r="N8805" s="1054"/>
      <c r="O8805" s="1207"/>
      <c r="Q8805" s="1207"/>
    </row>
    <row r="8806" spans="3:17" s="700" customFormat="1" ht="70.5" hidden="1" customHeight="1">
      <c r="C8806" s="701"/>
      <c r="D8806" s="811"/>
      <c r="E8806" s="1276">
        <f>[11]building!Y9137</f>
        <v>0</v>
      </c>
      <c r="F8806" s="748">
        <f t="shared" si="376"/>
        <v>0</v>
      </c>
      <c r="G8806" s="1205"/>
      <c r="H8806" s="1055"/>
      <c r="I8806" s="1055"/>
      <c r="J8806" s="1055"/>
      <c r="K8806" s="1205"/>
      <c r="L8806" s="1055"/>
      <c r="M8806" s="1205"/>
      <c r="N8806" s="1054"/>
      <c r="O8806" s="1207"/>
      <c r="Q8806" s="1207"/>
    </row>
    <row r="8807" spans="3:17" s="700" customFormat="1" ht="70.5" hidden="1" customHeight="1">
      <c r="C8807" s="701"/>
      <c r="D8807" s="811"/>
      <c r="E8807" s="1276">
        <f>[11]building!Y9138</f>
        <v>0</v>
      </c>
      <c r="F8807" s="748">
        <f t="shared" si="376"/>
        <v>0</v>
      </c>
      <c r="G8807" s="1205"/>
      <c r="H8807" s="1055"/>
      <c r="I8807" s="1055"/>
      <c r="J8807" s="1055"/>
      <c r="K8807" s="1205"/>
      <c r="L8807" s="1055"/>
      <c r="M8807" s="1205"/>
      <c r="N8807" s="1054"/>
      <c r="O8807" s="1207"/>
      <c r="Q8807" s="1207"/>
    </row>
    <row r="8808" spans="3:17" s="700" customFormat="1" ht="70.5" hidden="1" customHeight="1">
      <c r="C8808" s="701"/>
      <c r="D8808" s="811"/>
      <c r="E8808" s="1276">
        <f>[11]building!Y9139</f>
        <v>0</v>
      </c>
      <c r="F8808" s="748">
        <f t="shared" si="376"/>
        <v>0</v>
      </c>
      <c r="G8808" s="1205"/>
      <c r="H8808" s="1055"/>
      <c r="I8808" s="1055"/>
      <c r="J8808" s="1055"/>
      <c r="K8808" s="1205"/>
      <c r="L8808" s="1055"/>
      <c r="M8808" s="1205"/>
      <c r="N8808" s="1054"/>
      <c r="O8808" s="1207"/>
      <c r="Q8808" s="1207"/>
    </row>
    <row r="8809" spans="3:17" s="700" customFormat="1" ht="70.5" hidden="1" customHeight="1">
      <c r="C8809" s="701"/>
      <c r="D8809" s="811"/>
      <c r="E8809" s="1276">
        <f>[11]building!Y9140</f>
        <v>0</v>
      </c>
      <c r="F8809" s="748">
        <f t="shared" si="376"/>
        <v>0</v>
      </c>
      <c r="G8809" s="1205"/>
      <c r="H8809" s="1055"/>
      <c r="I8809" s="1055"/>
      <c r="J8809" s="1055"/>
      <c r="K8809" s="1205"/>
      <c r="L8809" s="1055"/>
      <c r="M8809" s="1205"/>
      <c r="N8809" s="1054"/>
      <c r="O8809" s="1207"/>
      <c r="Q8809" s="1207"/>
    </row>
    <row r="8810" spans="3:17" s="700" customFormat="1" ht="70.5" hidden="1" customHeight="1">
      <c r="C8810" s="701"/>
      <c r="D8810" s="811"/>
      <c r="E8810" s="1276">
        <f>[11]building!Y9141</f>
        <v>0</v>
      </c>
      <c r="F8810" s="748">
        <f t="shared" si="376"/>
        <v>0</v>
      </c>
      <c r="G8810" s="1205"/>
      <c r="H8810" s="1055"/>
      <c r="I8810" s="1055"/>
      <c r="J8810" s="1055"/>
      <c r="K8810" s="1205"/>
      <c r="L8810" s="1055"/>
      <c r="M8810" s="1205"/>
      <c r="N8810" s="1054"/>
      <c r="O8810" s="1207"/>
      <c r="Q8810" s="1207"/>
    </row>
    <row r="8811" spans="3:17" s="700" customFormat="1" ht="70.5" hidden="1" customHeight="1">
      <c r="C8811" s="701"/>
      <c r="D8811" s="811"/>
      <c r="E8811" s="1276">
        <f>[11]building!Y9142</f>
        <v>0</v>
      </c>
      <c r="F8811" s="748">
        <f t="shared" si="376"/>
        <v>0</v>
      </c>
      <c r="G8811" s="1205"/>
      <c r="H8811" s="1055"/>
      <c r="I8811" s="1055"/>
      <c r="J8811" s="1055"/>
      <c r="K8811" s="1205"/>
      <c r="L8811" s="1055"/>
      <c r="M8811" s="1205"/>
      <c r="N8811" s="1054"/>
      <c r="O8811" s="1207"/>
      <c r="Q8811" s="1207"/>
    </row>
    <row r="8812" spans="3:17" s="700" customFormat="1" ht="70.5" hidden="1" customHeight="1">
      <c r="C8812" s="701"/>
      <c r="D8812" s="811"/>
      <c r="E8812" s="1276">
        <f>[11]building!Y9143</f>
        <v>0</v>
      </c>
      <c r="F8812" s="748">
        <f t="shared" si="376"/>
        <v>0</v>
      </c>
      <c r="G8812" s="1205"/>
      <c r="H8812" s="1055"/>
      <c r="I8812" s="1055"/>
      <c r="J8812" s="1055"/>
      <c r="K8812" s="1205"/>
      <c r="L8812" s="1055"/>
      <c r="M8812" s="1205"/>
      <c r="N8812" s="1054"/>
      <c r="O8812" s="1207"/>
      <c r="Q8812" s="1207"/>
    </row>
    <row r="8813" spans="3:17" s="700" customFormat="1" ht="70.5" hidden="1" customHeight="1">
      <c r="C8813" s="701"/>
      <c r="D8813" s="811"/>
      <c r="E8813" s="1276">
        <f>[11]building!Y9144</f>
        <v>0</v>
      </c>
      <c r="F8813" s="748">
        <f t="shared" si="376"/>
        <v>0</v>
      </c>
      <c r="G8813" s="1205"/>
      <c r="H8813" s="1055"/>
      <c r="I8813" s="1055"/>
      <c r="J8813" s="1055"/>
      <c r="K8813" s="1205"/>
      <c r="L8813" s="1055"/>
      <c r="M8813" s="1205"/>
      <c r="N8813" s="1054"/>
      <c r="O8813" s="1207"/>
      <c r="Q8813" s="1207"/>
    </row>
    <row r="8814" spans="3:17" s="700" customFormat="1" ht="70.5" hidden="1" customHeight="1">
      <c r="C8814" s="701"/>
      <c r="D8814" s="811"/>
      <c r="E8814" s="1276">
        <f>[11]building!Y9145</f>
        <v>0</v>
      </c>
      <c r="F8814" s="748">
        <f t="shared" si="376"/>
        <v>0</v>
      </c>
      <c r="G8814" s="1205"/>
      <c r="H8814" s="1055"/>
      <c r="I8814" s="1055"/>
      <c r="J8814" s="1055"/>
      <c r="K8814" s="1205"/>
      <c r="L8814" s="1055"/>
      <c r="M8814" s="1205"/>
      <c r="N8814" s="1054"/>
      <c r="O8814" s="1207"/>
      <c r="Q8814" s="1207"/>
    </row>
    <row r="8815" spans="3:17" s="700" customFormat="1" ht="70.5" hidden="1" customHeight="1">
      <c r="C8815" s="701"/>
      <c r="D8815" s="811"/>
      <c r="E8815" s="1276">
        <f>[11]building!Y9146</f>
        <v>0</v>
      </c>
      <c r="F8815" s="748">
        <f t="shared" si="376"/>
        <v>0</v>
      </c>
      <c r="G8815" s="1205"/>
      <c r="H8815" s="1055"/>
      <c r="I8815" s="1055"/>
      <c r="J8815" s="1055"/>
      <c r="K8815" s="1205"/>
      <c r="L8815" s="1055"/>
      <c r="M8815" s="1205"/>
      <c r="N8815" s="1054"/>
      <c r="O8815" s="1207"/>
      <c r="Q8815" s="1207"/>
    </row>
    <row r="8816" spans="3:17" s="700" customFormat="1" ht="70.5" hidden="1" customHeight="1">
      <c r="C8816" s="701"/>
      <c r="D8816" s="811"/>
      <c r="E8816" s="1276">
        <f>[11]building!Y9147</f>
        <v>0</v>
      </c>
      <c r="F8816" s="748">
        <f t="shared" si="376"/>
        <v>0</v>
      </c>
      <c r="G8816" s="1205"/>
      <c r="H8816" s="1055"/>
      <c r="I8816" s="1055"/>
      <c r="J8816" s="1055"/>
      <c r="K8816" s="1205"/>
      <c r="L8816" s="1055"/>
      <c r="M8816" s="1205"/>
      <c r="N8816" s="1054"/>
      <c r="O8816" s="1207"/>
      <c r="Q8816" s="1207"/>
    </row>
    <row r="8817" spans="3:17" s="700" customFormat="1" ht="70.5" hidden="1" customHeight="1">
      <c r="C8817" s="701"/>
      <c r="D8817" s="811"/>
      <c r="E8817" s="1276">
        <f>[11]building!Y9148</f>
        <v>0</v>
      </c>
      <c r="F8817" s="748">
        <f t="shared" si="376"/>
        <v>0</v>
      </c>
      <c r="G8817" s="1205"/>
      <c r="H8817" s="1055"/>
      <c r="I8817" s="1055"/>
      <c r="J8817" s="1055"/>
      <c r="K8817" s="1205"/>
      <c r="L8817" s="1055"/>
      <c r="M8817" s="1205"/>
      <c r="N8817" s="1054"/>
      <c r="O8817" s="1207"/>
      <c r="Q8817" s="1207"/>
    </row>
    <row r="8818" spans="3:17" s="700" customFormat="1" ht="70.5" hidden="1" customHeight="1">
      <c r="C8818" s="701"/>
      <c r="D8818" s="811"/>
      <c r="E8818" s="1276">
        <f>[11]building!Y9149</f>
        <v>0</v>
      </c>
      <c r="F8818" s="748">
        <f t="shared" si="376"/>
        <v>0</v>
      </c>
      <c r="G8818" s="1205"/>
      <c r="H8818" s="1055"/>
      <c r="I8818" s="1055"/>
      <c r="J8818" s="1055"/>
      <c r="K8818" s="1205"/>
      <c r="L8818" s="1055"/>
      <c r="M8818" s="1205"/>
      <c r="N8818" s="1054"/>
      <c r="O8818" s="1207"/>
      <c r="Q8818" s="1207"/>
    </row>
    <row r="8819" spans="3:17" s="700" customFormat="1" ht="70.5" hidden="1" customHeight="1">
      <c r="C8819" s="701"/>
      <c r="D8819" s="811"/>
      <c r="E8819" s="1276">
        <f>[11]building!Y9150</f>
        <v>0</v>
      </c>
      <c r="F8819" s="748">
        <f t="shared" si="376"/>
        <v>0</v>
      </c>
      <c r="G8819" s="1205"/>
      <c r="H8819" s="1055"/>
      <c r="I8819" s="1055"/>
      <c r="J8819" s="1055"/>
      <c r="K8819" s="1205"/>
      <c r="L8819" s="1055"/>
      <c r="M8819" s="1205"/>
      <c r="N8819" s="1054"/>
      <c r="O8819" s="1207"/>
      <c r="Q8819" s="1207"/>
    </row>
    <row r="8820" spans="3:17" s="700" customFormat="1" ht="70.5" hidden="1" customHeight="1">
      <c r="C8820" s="701"/>
      <c r="D8820" s="811"/>
      <c r="E8820" s="1276">
        <f>[11]building!Y9151</f>
        <v>0</v>
      </c>
      <c r="F8820" s="748">
        <f t="shared" si="376"/>
        <v>0</v>
      </c>
      <c r="G8820" s="1205"/>
      <c r="H8820" s="1055"/>
      <c r="I8820" s="1055"/>
      <c r="J8820" s="1055"/>
      <c r="K8820" s="1205"/>
      <c r="L8820" s="1055"/>
      <c r="M8820" s="1205"/>
      <c r="N8820" s="1054"/>
      <c r="O8820" s="1207"/>
      <c r="Q8820" s="1207"/>
    </row>
    <row r="8821" spans="3:17" s="700" customFormat="1" ht="70.5" hidden="1" customHeight="1">
      <c r="C8821" s="701"/>
      <c r="D8821" s="811"/>
      <c r="E8821" s="1276">
        <f>[11]building!Y9152</f>
        <v>0</v>
      </c>
      <c r="F8821" s="748">
        <f t="shared" si="376"/>
        <v>0</v>
      </c>
      <c r="G8821" s="1205"/>
      <c r="H8821" s="1055"/>
      <c r="I8821" s="1055"/>
      <c r="J8821" s="1055"/>
      <c r="K8821" s="1205"/>
      <c r="L8821" s="1055"/>
      <c r="M8821" s="1205"/>
      <c r="N8821" s="1054"/>
      <c r="O8821" s="1207"/>
      <c r="Q8821" s="1207"/>
    </row>
    <row r="8822" spans="3:17" s="700" customFormat="1" ht="70.5" hidden="1" customHeight="1">
      <c r="C8822" s="701"/>
      <c r="D8822" s="811"/>
      <c r="E8822" s="1276">
        <f>[11]building!Y9153</f>
        <v>0</v>
      </c>
      <c r="F8822" s="748">
        <f t="shared" si="376"/>
        <v>0</v>
      </c>
      <c r="G8822" s="1205"/>
      <c r="H8822" s="1055"/>
      <c r="I8822" s="1055"/>
      <c r="J8822" s="1055"/>
      <c r="K8822" s="1205"/>
      <c r="L8822" s="1055"/>
      <c r="M8822" s="1205"/>
      <c r="N8822" s="1054"/>
      <c r="O8822" s="1207"/>
      <c r="Q8822" s="1207"/>
    </row>
    <row r="8823" spans="3:17" s="700" customFormat="1" ht="70.5" hidden="1" customHeight="1">
      <c r="C8823" s="701"/>
      <c r="D8823" s="811"/>
      <c r="E8823" s="1276">
        <f>[11]building!Y9154</f>
        <v>0</v>
      </c>
      <c r="F8823" s="748">
        <f t="shared" si="376"/>
        <v>0</v>
      </c>
      <c r="G8823" s="1205"/>
      <c r="H8823" s="1055"/>
      <c r="I8823" s="1055"/>
      <c r="J8823" s="1055"/>
      <c r="K8823" s="1205"/>
      <c r="L8823" s="1055"/>
      <c r="M8823" s="1205"/>
      <c r="N8823" s="1054"/>
      <c r="O8823" s="1207"/>
      <c r="Q8823" s="1207"/>
    </row>
    <row r="8824" spans="3:17" s="700" customFormat="1" ht="70.5" hidden="1" customHeight="1">
      <c r="C8824" s="701"/>
      <c r="D8824" s="811"/>
      <c r="E8824" s="1276">
        <f>[11]building!Y9155</f>
        <v>0</v>
      </c>
      <c r="F8824" s="748">
        <f t="shared" si="376"/>
        <v>0</v>
      </c>
      <c r="G8824" s="1205"/>
      <c r="H8824" s="1055"/>
      <c r="I8824" s="1055"/>
      <c r="J8824" s="1055"/>
      <c r="K8824" s="1205"/>
      <c r="L8824" s="1055"/>
      <c r="M8824" s="1205"/>
      <c r="N8824" s="1054"/>
      <c r="O8824" s="1207"/>
      <c r="Q8824" s="1207"/>
    </row>
    <row r="8825" spans="3:17" s="700" customFormat="1" ht="70.5" hidden="1" customHeight="1">
      <c r="C8825" s="701"/>
      <c r="D8825" s="811"/>
      <c r="E8825" s="1276">
        <f>[11]building!Y9156</f>
        <v>0</v>
      </c>
      <c r="F8825" s="748">
        <f t="shared" si="376"/>
        <v>0</v>
      </c>
      <c r="G8825" s="1205"/>
      <c r="H8825" s="1055"/>
      <c r="I8825" s="1055"/>
      <c r="J8825" s="1055"/>
      <c r="K8825" s="1205"/>
      <c r="L8825" s="1055"/>
      <c r="M8825" s="1205"/>
      <c r="N8825" s="1054"/>
      <c r="O8825" s="1207"/>
      <c r="Q8825" s="1207"/>
    </row>
    <row r="8826" spans="3:17" s="700" customFormat="1" ht="70.5" hidden="1" customHeight="1">
      <c r="C8826" s="701"/>
      <c r="D8826" s="811"/>
      <c r="E8826" s="1276">
        <f>[11]building!Y9157</f>
        <v>0</v>
      </c>
      <c r="F8826" s="748">
        <f t="shared" si="376"/>
        <v>0</v>
      </c>
      <c r="G8826" s="1205"/>
      <c r="H8826" s="1055"/>
      <c r="I8826" s="1055"/>
      <c r="J8826" s="1055"/>
      <c r="K8826" s="1205"/>
      <c r="L8826" s="1055"/>
      <c r="M8826" s="1205"/>
      <c r="N8826" s="1054"/>
      <c r="O8826" s="1207"/>
      <c r="Q8826" s="1207"/>
    </row>
    <row r="8827" spans="3:17" s="700" customFormat="1" ht="70.5" hidden="1" customHeight="1">
      <c r="C8827" s="701"/>
      <c r="D8827" s="811"/>
      <c r="E8827" s="1276">
        <f>[11]building!Y9158</f>
        <v>0</v>
      </c>
      <c r="F8827" s="748">
        <f t="shared" si="376"/>
        <v>0</v>
      </c>
      <c r="G8827" s="1205"/>
      <c r="H8827" s="1055"/>
      <c r="I8827" s="1055"/>
      <c r="J8827" s="1055"/>
      <c r="K8827" s="1205"/>
      <c r="L8827" s="1055"/>
      <c r="M8827" s="1205"/>
      <c r="N8827" s="1054"/>
      <c r="O8827" s="1207"/>
      <c r="Q8827" s="1207"/>
    </row>
    <row r="8828" spans="3:17" s="700" customFormat="1" ht="70.5" hidden="1" customHeight="1">
      <c r="C8828" s="701"/>
      <c r="D8828" s="811"/>
      <c r="E8828" s="1276">
        <f>[11]building!Y9159</f>
        <v>0</v>
      </c>
      <c r="F8828" s="748">
        <f t="shared" si="376"/>
        <v>0</v>
      </c>
      <c r="G8828" s="1205"/>
      <c r="H8828" s="1055"/>
      <c r="I8828" s="1055"/>
      <c r="J8828" s="1055"/>
      <c r="K8828" s="1205"/>
      <c r="L8828" s="1055"/>
      <c r="M8828" s="1205"/>
      <c r="N8828" s="1054"/>
      <c r="O8828" s="1207"/>
      <c r="Q8828" s="1207"/>
    </row>
    <row r="8829" spans="3:17" s="700" customFormat="1" ht="70.5" hidden="1" customHeight="1">
      <c r="C8829" s="701"/>
      <c r="D8829" s="811"/>
      <c r="E8829" s="1276">
        <f>[11]building!Y9160</f>
        <v>0</v>
      </c>
      <c r="F8829" s="748">
        <f t="shared" si="376"/>
        <v>0</v>
      </c>
      <c r="G8829" s="1205"/>
      <c r="H8829" s="1055"/>
      <c r="I8829" s="1055"/>
      <c r="J8829" s="1055"/>
      <c r="K8829" s="1205"/>
      <c r="L8829" s="1055"/>
      <c r="M8829" s="1205"/>
      <c r="N8829" s="1054"/>
      <c r="O8829" s="1207"/>
      <c r="Q8829" s="1207"/>
    </row>
    <row r="8830" spans="3:17" s="700" customFormat="1" ht="70.5" hidden="1" customHeight="1">
      <c r="C8830" s="701"/>
      <c r="D8830" s="811"/>
      <c r="E8830" s="1276">
        <f>[11]building!Y9161</f>
        <v>0</v>
      </c>
      <c r="F8830" s="748">
        <f t="shared" si="376"/>
        <v>0</v>
      </c>
      <c r="G8830" s="1205"/>
      <c r="H8830" s="1055"/>
      <c r="I8830" s="1055"/>
      <c r="J8830" s="1055"/>
      <c r="K8830" s="1205"/>
      <c r="L8830" s="1055"/>
      <c r="M8830" s="1205"/>
      <c r="N8830" s="1054"/>
      <c r="O8830" s="1207"/>
      <c r="Q8830" s="1207"/>
    </row>
    <row r="8831" spans="3:17" s="700" customFormat="1" ht="70.5" hidden="1" customHeight="1">
      <c r="C8831" s="701"/>
      <c r="D8831" s="811"/>
      <c r="E8831" s="1276">
        <f>[11]building!Y9162</f>
        <v>0</v>
      </c>
      <c r="F8831" s="748">
        <f t="shared" si="376"/>
        <v>0</v>
      </c>
      <c r="G8831" s="1205"/>
      <c r="H8831" s="1055"/>
      <c r="I8831" s="1055"/>
      <c r="J8831" s="1055"/>
      <c r="K8831" s="1205"/>
      <c r="L8831" s="1055"/>
      <c r="M8831" s="1205"/>
      <c r="N8831" s="1054"/>
      <c r="O8831" s="1207"/>
      <c r="Q8831" s="1207"/>
    </row>
    <row r="8832" spans="3:17" s="700" customFormat="1" ht="70.5" hidden="1" customHeight="1">
      <c r="C8832" s="701"/>
      <c r="D8832" s="811"/>
      <c r="E8832" s="1276">
        <f>[11]building!Y9163</f>
        <v>0</v>
      </c>
      <c r="F8832" s="748">
        <f t="shared" ref="F8832:F8895" si="377">E8832*C8832</f>
        <v>0</v>
      </c>
      <c r="G8832" s="1205"/>
      <c r="H8832" s="1055"/>
      <c r="I8832" s="1055"/>
      <c r="J8832" s="1055"/>
      <c r="K8832" s="1205"/>
      <c r="L8832" s="1055"/>
      <c r="M8832" s="1205"/>
      <c r="N8832" s="1054"/>
      <c r="O8832" s="1207"/>
      <c r="Q8832" s="1207"/>
    </row>
    <row r="8833" spans="3:17" s="700" customFormat="1" ht="70.5" hidden="1" customHeight="1">
      <c r="C8833" s="701"/>
      <c r="D8833" s="811"/>
      <c r="E8833" s="1276">
        <f>[11]building!Y9164</f>
        <v>0</v>
      </c>
      <c r="F8833" s="748">
        <f t="shared" si="377"/>
        <v>0</v>
      </c>
      <c r="G8833" s="1205"/>
      <c r="H8833" s="1055"/>
      <c r="I8833" s="1055"/>
      <c r="J8833" s="1055"/>
      <c r="K8833" s="1205"/>
      <c r="L8833" s="1055"/>
      <c r="M8833" s="1205"/>
      <c r="N8833" s="1054"/>
      <c r="O8833" s="1207"/>
      <c r="Q8833" s="1207"/>
    </row>
    <row r="8834" spans="3:17" s="700" customFormat="1" ht="70.5" hidden="1" customHeight="1">
      <c r="C8834" s="701"/>
      <c r="D8834" s="811"/>
      <c r="E8834" s="1276">
        <f>[11]building!Y9165</f>
        <v>0</v>
      </c>
      <c r="F8834" s="748">
        <f t="shared" si="377"/>
        <v>0</v>
      </c>
      <c r="G8834" s="1205"/>
      <c r="H8834" s="1055"/>
      <c r="I8834" s="1055"/>
      <c r="J8834" s="1055"/>
      <c r="K8834" s="1205"/>
      <c r="L8834" s="1055"/>
      <c r="M8834" s="1205"/>
      <c r="N8834" s="1054"/>
      <c r="O8834" s="1207"/>
      <c r="Q8834" s="1207"/>
    </row>
    <row r="8835" spans="3:17" s="700" customFormat="1" ht="70.5" hidden="1" customHeight="1">
      <c r="C8835" s="701"/>
      <c r="D8835" s="811"/>
      <c r="E8835" s="1276">
        <f>[11]building!Y9166</f>
        <v>0</v>
      </c>
      <c r="F8835" s="748">
        <f t="shared" si="377"/>
        <v>0</v>
      </c>
      <c r="G8835" s="1205"/>
      <c r="H8835" s="1055"/>
      <c r="I8835" s="1055"/>
      <c r="J8835" s="1055"/>
      <c r="K8835" s="1205"/>
      <c r="L8835" s="1055"/>
      <c r="M8835" s="1205"/>
      <c r="N8835" s="1054"/>
      <c r="O8835" s="1207"/>
      <c r="Q8835" s="1207"/>
    </row>
    <row r="8836" spans="3:17" s="700" customFormat="1" ht="70.5" hidden="1" customHeight="1">
      <c r="C8836" s="701"/>
      <c r="D8836" s="811"/>
      <c r="E8836" s="1276">
        <f>[11]building!Y9167</f>
        <v>0</v>
      </c>
      <c r="F8836" s="748">
        <f t="shared" si="377"/>
        <v>0</v>
      </c>
      <c r="G8836" s="1205"/>
      <c r="H8836" s="1055"/>
      <c r="I8836" s="1055"/>
      <c r="J8836" s="1055"/>
      <c r="K8836" s="1205"/>
      <c r="L8836" s="1055"/>
      <c r="M8836" s="1205"/>
      <c r="N8836" s="1054"/>
      <c r="O8836" s="1207"/>
      <c r="Q8836" s="1207"/>
    </row>
    <row r="8837" spans="3:17" s="700" customFormat="1" ht="70.5" hidden="1" customHeight="1">
      <c r="C8837" s="701"/>
      <c r="D8837" s="811"/>
      <c r="E8837" s="1276">
        <f>[11]building!Y9168</f>
        <v>0</v>
      </c>
      <c r="F8837" s="748">
        <f t="shared" si="377"/>
        <v>0</v>
      </c>
      <c r="G8837" s="1205"/>
      <c r="H8837" s="1055"/>
      <c r="I8837" s="1055"/>
      <c r="J8837" s="1055"/>
      <c r="K8837" s="1205"/>
      <c r="L8837" s="1055"/>
      <c r="M8837" s="1205"/>
      <c r="N8837" s="1054"/>
      <c r="O8837" s="1207"/>
      <c r="Q8837" s="1207"/>
    </row>
    <row r="8838" spans="3:17" s="700" customFormat="1" ht="70.5" hidden="1" customHeight="1">
      <c r="C8838" s="701"/>
      <c r="D8838" s="811"/>
      <c r="E8838" s="1276">
        <f>[11]building!Y9169</f>
        <v>0</v>
      </c>
      <c r="F8838" s="748">
        <f t="shared" si="377"/>
        <v>0</v>
      </c>
      <c r="G8838" s="1205"/>
      <c r="H8838" s="1055"/>
      <c r="I8838" s="1055"/>
      <c r="J8838" s="1055"/>
      <c r="K8838" s="1205"/>
      <c r="L8838" s="1055"/>
      <c r="M8838" s="1205"/>
      <c r="N8838" s="1054"/>
      <c r="O8838" s="1207"/>
      <c r="Q8838" s="1207"/>
    </row>
    <row r="8839" spans="3:17" s="700" customFormat="1" ht="70.5" hidden="1" customHeight="1">
      <c r="C8839" s="701"/>
      <c r="D8839" s="811"/>
      <c r="E8839" s="1276">
        <f>[11]building!Y9170</f>
        <v>0</v>
      </c>
      <c r="F8839" s="748">
        <f t="shared" si="377"/>
        <v>0</v>
      </c>
      <c r="G8839" s="1205"/>
      <c r="H8839" s="1055"/>
      <c r="I8839" s="1055"/>
      <c r="J8839" s="1055"/>
      <c r="K8839" s="1205"/>
      <c r="L8839" s="1055"/>
      <c r="M8839" s="1205"/>
      <c r="N8839" s="1054"/>
      <c r="O8839" s="1207"/>
      <c r="Q8839" s="1207"/>
    </row>
    <row r="8840" spans="3:17" s="700" customFormat="1" ht="70.5" hidden="1" customHeight="1">
      <c r="C8840" s="701"/>
      <c r="D8840" s="811"/>
      <c r="E8840" s="1276">
        <f>[11]building!Y9171</f>
        <v>0</v>
      </c>
      <c r="F8840" s="748">
        <f t="shared" si="377"/>
        <v>0</v>
      </c>
      <c r="G8840" s="1205"/>
      <c r="H8840" s="1055"/>
      <c r="I8840" s="1055"/>
      <c r="J8840" s="1055"/>
      <c r="K8840" s="1205"/>
      <c r="L8840" s="1055"/>
      <c r="M8840" s="1205"/>
      <c r="N8840" s="1054"/>
      <c r="O8840" s="1207"/>
      <c r="Q8840" s="1207"/>
    </row>
    <row r="8841" spans="3:17" s="700" customFormat="1" ht="70.5" hidden="1" customHeight="1">
      <c r="C8841" s="701"/>
      <c r="D8841" s="811"/>
      <c r="E8841" s="1276">
        <f>[11]building!Y9172</f>
        <v>0</v>
      </c>
      <c r="F8841" s="748">
        <f t="shared" si="377"/>
        <v>0</v>
      </c>
      <c r="G8841" s="1205"/>
      <c r="H8841" s="1055"/>
      <c r="I8841" s="1055"/>
      <c r="J8841" s="1055"/>
      <c r="K8841" s="1205"/>
      <c r="L8841" s="1055"/>
      <c r="M8841" s="1205"/>
      <c r="N8841" s="1054"/>
      <c r="O8841" s="1207"/>
      <c r="Q8841" s="1207"/>
    </row>
    <row r="8842" spans="3:17" s="700" customFormat="1" ht="70.5" hidden="1" customHeight="1">
      <c r="C8842" s="701"/>
      <c r="D8842" s="811"/>
      <c r="E8842" s="1276">
        <f>[11]building!Y9173</f>
        <v>0</v>
      </c>
      <c r="F8842" s="748">
        <f t="shared" si="377"/>
        <v>0</v>
      </c>
      <c r="G8842" s="1205"/>
      <c r="H8842" s="1055"/>
      <c r="I8842" s="1055"/>
      <c r="J8842" s="1055"/>
      <c r="K8842" s="1205"/>
      <c r="L8842" s="1055"/>
      <c r="M8842" s="1205"/>
      <c r="N8842" s="1054"/>
      <c r="O8842" s="1207"/>
      <c r="Q8842" s="1207"/>
    </row>
    <row r="8843" spans="3:17" s="700" customFormat="1" ht="70.5" hidden="1" customHeight="1">
      <c r="C8843" s="701"/>
      <c r="D8843" s="811"/>
      <c r="E8843" s="1276">
        <f>[11]building!Y9174</f>
        <v>0</v>
      </c>
      <c r="F8843" s="748">
        <f t="shared" si="377"/>
        <v>0</v>
      </c>
      <c r="G8843" s="1205"/>
      <c r="H8843" s="1055"/>
      <c r="I8843" s="1055"/>
      <c r="J8843" s="1055"/>
      <c r="K8843" s="1205"/>
      <c r="L8843" s="1055"/>
      <c r="M8843" s="1205"/>
      <c r="N8843" s="1054"/>
      <c r="O8843" s="1207"/>
      <c r="Q8843" s="1207"/>
    </row>
    <row r="8844" spans="3:17" s="700" customFormat="1" ht="70.5" hidden="1" customHeight="1">
      <c r="C8844" s="701"/>
      <c r="D8844" s="811"/>
      <c r="E8844" s="1276">
        <f>[11]building!Y9175</f>
        <v>0</v>
      </c>
      <c r="F8844" s="748">
        <f t="shared" si="377"/>
        <v>0</v>
      </c>
      <c r="G8844" s="1205"/>
      <c r="H8844" s="1055"/>
      <c r="I8844" s="1055"/>
      <c r="J8844" s="1055"/>
      <c r="K8844" s="1205"/>
      <c r="L8844" s="1055"/>
      <c r="M8844" s="1205"/>
      <c r="N8844" s="1054"/>
      <c r="O8844" s="1207"/>
      <c r="Q8844" s="1207"/>
    </row>
    <row r="8845" spans="3:17" s="700" customFormat="1" ht="70.5" hidden="1" customHeight="1">
      <c r="C8845" s="701"/>
      <c r="D8845" s="811"/>
      <c r="E8845" s="1276">
        <f>[11]building!Y9176</f>
        <v>0</v>
      </c>
      <c r="F8845" s="748">
        <f t="shared" si="377"/>
        <v>0</v>
      </c>
      <c r="G8845" s="1205"/>
      <c r="H8845" s="1055"/>
      <c r="I8845" s="1055"/>
      <c r="J8845" s="1055"/>
      <c r="K8845" s="1205"/>
      <c r="L8845" s="1055"/>
      <c r="M8845" s="1205"/>
      <c r="N8845" s="1054"/>
      <c r="O8845" s="1207"/>
      <c r="Q8845" s="1207"/>
    </row>
    <row r="8846" spans="3:17" s="700" customFormat="1" ht="70.5" hidden="1" customHeight="1">
      <c r="C8846" s="701"/>
      <c r="D8846" s="811"/>
      <c r="E8846" s="1276">
        <f>[11]building!Y9177</f>
        <v>0</v>
      </c>
      <c r="F8846" s="748">
        <f t="shared" si="377"/>
        <v>0</v>
      </c>
      <c r="G8846" s="1205"/>
      <c r="H8846" s="1055"/>
      <c r="I8846" s="1055"/>
      <c r="J8846" s="1055"/>
      <c r="K8846" s="1205"/>
      <c r="L8846" s="1055"/>
      <c r="M8846" s="1205"/>
      <c r="N8846" s="1054"/>
      <c r="O8846" s="1207"/>
      <c r="Q8846" s="1207"/>
    </row>
    <row r="8847" spans="3:17" s="700" customFormat="1" ht="70.5" hidden="1" customHeight="1">
      <c r="C8847" s="701"/>
      <c r="D8847" s="811"/>
      <c r="E8847" s="1276">
        <f>[11]building!Y9178</f>
        <v>0</v>
      </c>
      <c r="F8847" s="748">
        <f t="shared" si="377"/>
        <v>0</v>
      </c>
      <c r="G8847" s="1205"/>
      <c r="H8847" s="1055"/>
      <c r="I8847" s="1055"/>
      <c r="J8847" s="1055"/>
      <c r="K8847" s="1205"/>
      <c r="L8847" s="1055"/>
      <c r="M8847" s="1205"/>
      <c r="N8847" s="1054"/>
      <c r="O8847" s="1207"/>
      <c r="Q8847" s="1207"/>
    </row>
    <row r="8848" spans="3:17" s="700" customFormat="1" ht="70.5" hidden="1" customHeight="1">
      <c r="C8848" s="701"/>
      <c r="D8848" s="811"/>
      <c r="E8848" s="1276">
        <f>[11]building!Y9179</f>
        <v>0</v>
      </c>
      <c r="F8848" s="748">
        <f t="shared" si="377"/>
        <v>0</v>
      </c>
      <c r="G8848" s="1205"/>
      <c r="H8848" s="1055"/>
      <c r="I8848" s="1055"/>
      <c r="J8848" s="1055"/>
      <c r="K8848" s="1205"/>
      <c r="L8848" s="1055"/>
      <c r="M8848" s="1205"/>
      <c r="N8848" s="1054"/>
      <c r="O8848" s="1207"/>
      <c r="Q8848" s="1207"/>
    </row>
    <row r="8849" spans="3:17" s="700" customFormat="1" ht="70.5" hidden="1" customHeight="1">
      <c r="C8849" s="701"/>
      <c r="D8849" s="811"/>
      <c r="E8849" s="1276">
        <f>[11]building!Y9180</f>
        <v>0</v>
      </c>
      <c r="F8849" s="748">
        <f t="shared" si="377"/>
        <v>0</v>
      </c>
      <c r="G8849" s="1205"/>
      <c r="H8849" s="1055"/>
      <c r="I8849" s="1055"/>
      <c r="J8849" s="1055"/>
      <c r="K8849" s="1205"/>
      <c r="L8849" s="1055"/>
      <c r="M8849" s="1205"/>
      <c r="N8849" s="1054"/>
      <c r="O8849" s="1207"/>
      <c r="Q8849" s="1207"/>
    </row>
    <row r="8850" spans="3:17" s="700" customFormat="1" ht="70.5" hidden="1" customHeight="1">
      <c r="C8850" s="701"/>
      <c r="D8850" s="811"/>
      <c r="E8850" s="1276">
        <f>[11]building!Y9181</f>
        <v>0</v>
      </c>
      <c r="F8850" s="748">
        <f t="shared" si="377"/>
        <v>0</v>
      </c>
      <c r="G8850" s="1205"/>
      <c r="H8850" s="1055"/>
      <c r="I8850" s="1055"/>
      <c r="J8850" s="1055"/>
      <c r="K8850" s="1205"/>
      <c r="L8850" s="1055"/>
      <c r="M8850" s="1205"/>
      <c r="N8850" s="1054"/>
      <c r="O8850" s="1207"/>
      <c r="Q8850" s="1207"/>
    </row>
    <row r="8851" spans="3:17" s="700" customFormat="1" ht="70.5" hidden="1" customHeight="1">
      <c r="C8851" s="701"/>
      <c r="D8851" s="811"/>
      <c r="E8851" s="1276">
        <f>[11]building!Y9182</f>
        <v>0</v>
      </c>
      <c r="F8851" s="748">
        <f t="shared" si="377"/>
        <v>0</v>
      </c>
      <c r="G8851" s="1205"/>
      <c r="H8851" s="1055"/>
      <c r="I8851" s="1055"/>
      <c r="J8851" s="1055"/>
      <c r="K8851" s="1205"/>
      <c r="L8851" s="1055"/>
      <c r="M8851" s="1205"/>
      <c r="N8851" s="1054"/>
      <c r="O8851" s="1207"/>
      <c r="Q8851" s="1207"/>
    </row>
    <row r="8852" spans="3:17" s="700" customFormat="1" ht="70.5" hidden="1" customHeight="1">
      <c r="C8852" s="701"/>
      <c r="D8852" s="811"/>
      <c r="E8852" s="1276">
        <f>[11]building!Y9183</f>
        <v>0</v>
      </c>
      <c r="F8852" s="748">
        <f t="shared" si="377"/>
        <v>0</v>
      </c>
      <c r="G8852" s="1205"/>
      <c r="H8852" s="1055"/>
      <c r="I8852" s="1055"/>
      <c r="J8852" s="1055"/>
      <c r="K8852" s="1205"/>
      <c r="L8852" s="1055"/>
      <c r="M8852" s="1205"/>
      <c r="N8852" s="1054"/>
      <c r="O8852" s="1207"/>
      <c r="Q8852" s="1207"/>
    </row>
    <row r="8853" spans="3:17" s="700" customFormat="1" ht="70.5" hidden="1" customHeight="1">
      <c r="C8853" s="701"/>
      <c r="D8853" s="811"/>
      <c r="E8853" s="1276">
        <f>[11]building!Y9184</f>
        <v>0</v>
      </c>
      <c r="F8853" s="748">
        <f t="shared" si="377"/>
        <v>0</v>
      </c>
      <c r="G8853" s="1205"/>
      <c r="H8853" s="1055"/>
      <c r="I8853" s="1055"/>
      <c r="J8853" s="1055"/>
      <c r="K8853" s="1205"/>
      <c r="L8853" s="1055"/>
      <c r="M8853" s="1205"/>
      <c r="N8853" s="1054"/>
      <c r="O8853" s="1207"/>
      <c r="Q8853" s="1207"/>
    </row>
    <row r="8854" spans="3:17" s="700" customFormat="1" ht="70.5" hidden="1" customHeight="1">
      <c r="C8854" s="701"/>
      <c r="D8854" s="811"/>
      <c r="E8854" s="1276">
        <f>[11]building!Y9185</f>
        <v>0</v>
      </c>
      <c r="F8854" s="748">
        <f t="shared" si="377"/>
        <v>0</v>
      </c>
      <c r="G8854" s="1205"/>
      <c r="H8854" s="1055"/>
      <c r="I8854" s="1055"/>
      <c r="J8854" s="1055"/>
      <c r="K8854" s="1205"/>
      <c r="L8854" s="1055"/>
      <c r="M8854" s="1205"/>
      <c r="N8854" s="1054"/>
      <c r="O8854" s="1207"/>
      <c r="Q8854" s="1207"/>
    </row>
    <row r="8855" spans="3:17" s="700" customFormat="1" ht="70.5" hidden="1" customHeight="1">
      <c r="C8855" s="701"/>
      <c r="D8855" s="811"/>
      <c r="E8855" s="1276">
        <f>[11]building!Y9186</f>
        <v>0</v>
      </c>
      <c r="F8855" s="748">
        <f t="shared" si="377"/>
        <v>0</v>
      </c>
      <c r="G8855" s="1205"/>
      <c r="H8855" s="1055"/>
      <c r="I8855" s="1055"/>
      <c r="J8855" s="1055"/>
      <c r="K8855" s="1205"/>
      <c r="L8855" s="1055"/>
      <c r="M8855" s="1205"/>
      <c r="N8855" s="1054"/>
      <c r="O8855" s="1207"/>
      <c r="Q8855" s="1207"/>
    </row>
    <row r="8856" spans="3:17" s="700" customFormat="1" ht="70.5" hidden="1" customHeight="1">
      <c r="C8856" s="701"/>
      <c r="D8856" s="811"/>
      <c r="E8856" s="1276">
        <f>[11]building!Y9187</f>
        <v>0</v>
      </c>
      <c r="F8856" s="748">
        <f t="shared" si="377"/>
        <v>0</v>
      </c>
      <c r="G8856" s="1205"/>
      <c r="H8856" s="1055"/>
      <c r="I8856" s="1055"/>
      <c r="J8856" s="1055"/>
      <c r="K8856" s="1205"/>
      <c r="L8856" s="1055"/>
      <c r="M8856" s="1205"/>
      <c r="N8856" s="1054"/>
      <c r="O8856" s="1207"/>
      <c r="Q8856" s="1207"/>
    </row>
    <row r="8857" spans="3:17" s="700" customFormat="1" ht="70.5" hidden="1" customHeight="1">
      <c r="C8857" s="701"/>
      <c r="D8857" s="811"/>
      <c r="E8857" s="1276">
        <f>[11]building!Y9188</f>
        <v>0</v>
      </c>
      <c r="F8857" s="748">
        <f t="shared" si="377"/>
        <v>0</v>
      </c>
      <c r="G8857" s="1205"/>
      <c r="H8857" s="1055"/>
      <c r="I8857" s="1055"/>
      <c r="J8857" s="1055"/>
      <c r="K8857" s="1205"/>
      <c r="L8857" s="1055"/>
      <c r="M8857" s="1205"/>
      <c r="N8857" s="1054"/>
      <c r="O8857" s="1207"/>
      <c r="Q8857" s="1207"/>
    </row>
    <row r="8858" spans="3:17" s="700" customFormat="1" ht="70.5" hidden="1" customHeight="1">
      <c r="C8858" s="701"/>
      <c r="D8858" s="811"/>
      <c r="E8858" s="1276">
        <f>[11]building!Y9189</f>
        <v>0</v>
      </c>
      <c r="F8858" s="748">
        <f t="shared" si="377"/>
        <v>0</v>
      </c>
      <c r="G8858" s="1205"/>
      <c r="H8858" s="1055"/>
      <c r="I8858" s="1055"/>
      <c r="J8858" s="1055"/>
      <c r="K8858" s="1205"/>
      <c r="L8858" s="1055"/>
      <c r="M8858" s="1205"/>
      <c r="N8858" s="1054"/>
      <c r="O8858" s="1207"/>
      <c r="Q8858" s="1207"/>
    </row>
    <row r="8859" spans="3:17" s="700" customFormat="1" ht="70.5" hidden="1" customHeight="1">
      <c r="C8859" s="701"/>
      <c r="D8859" s="811"/>
      <c r="E8859" s="1276">
        <f>[11]building!Y9190</f>
        <v>0</v>
      </c>
      <c r="F8859" s="748">
        <f t="shared" si="377"/>
        <v>0</v>
      </c>
      <c r="G8859" s="1205"/>
      <c r="H8859" s="1055"/>
      <c r="I8859" s="1055"/>
      <c r="J8859" s="1055"/>
      <c r="K8859" s="1205"/>
      <c r="L8859" s="1055"/>
      <c r="M8859" s="1205"/>
      <c r="N8859" s="1054"/>
      <c r="O8859" s="1207"/>
      <c r="Q8859" s="1207"/>
    </row>
    <row r="8860" spans="3:17" s="700" customFormat="1" ht="70.5" hidden="1" customHeight="1">
      <c r="C8860" s="701"/>
      <c r="D8860" s="811"/>
      <c r="E8860" s="1276">
        <f>[11]building!Y9191</f>
        <v>0</v>
      </c>
      <c r="F8860" s="748">
        <f t="shared" si="377"/>
        <v>0</v>
      </c>
      <c r="G8860" s="1205"/>
      <c r="H8860" s="1055"/>
      <c r="I8860" s="1055"/>
      <c r="J8860" s="1055"/>
      <c r="K8860" s="1205"/>
      <c r="L8860" s="1055"/>
      <c r="M8860" s="1205"/>
      <c r="N8860" s="1054"/>
      <c r="O8860" s="1207"/>
      <c r="Q8860" s="1207"/>
    </row>
    <row r="8861" spans="3:17" s="700" customFormat="1" ht="70.5" hidden="1" customHeight="1">
      <c r="C8861" s="701"/>
      <c r="D8861" s="811"/>
      <c r="E8861" s="1276">
        <f>[11]building!Y9192</f>
        <v>0</v>
      </c>
      <c r="F8861" s="748">
        <f t="shared" si="377"/>
        <v>0</v>
      </c>
      <c r="G8861" s="1205"/>
      <c r="H8861" s="1055"/>
      <c r="I8861" s="1055"/>
      <c r="J8861" s="1055"/>
      <c r="K8861" s="1205"/>
      <c r="L8861" s="1055"/>
      <c r="M8861" s="1205"/>
      <c r="N8861" s="1054"/>
      <c r="O8861" s="1207"/>
      <c r="Q8861" s="1207"/>
    </row>
    <row r="8862" spans="3:17" s="700" customFormat="1" ht="70.5" hidden="1" customHeight="1">
      <c r="C8862" s="701"/>
      <c r="D8862" s="811"/>
      <c r="E8862" s="1276">
        <f>[11]building!Y9193</f>
        <v>0</v>
      </c>
      <c r="F8862" s="748">
        <f t="shared" si="377"/>
        <v>0</v>
      </c>
      <c r="G8862" s="1205"/>
      <c r="H8862" s="1055"/>
      <c r="I8862" s="1055"/>
      <c r="J8862" s="1055"/>
      <c r="K8862" s="1205"/>
      <c r="L8862" s="1055"/>
      <c r="M8862" s="1205"/>
      <c r="N8862" s="1054"/>
      <c r="O8862" s="1207"/>
      <c r="Q8862" s="1207"/>
    </row>
    <row r="8863" spans="3:17" s="700" customFormat="1" ht="70.5" hidden="1" customHeight="1">
      <c r="C8863" s="701"/>
      <c r="D8863" s="811"/>
      <c r="E8863" s="1276">
        <f>[11]building!Y9194</f>
        <v>0</v>
      </c>
      <c r="F8863" s="748">
        <f t="shared" si="377"/>
        <v>0</v>
      </c>
      <c r="G8863" s="1205"/>
      <c r="H8863" s="1055"/>
      <c r="I8863" s="1055"/>
      <c r="J8863" s="1055"/>
      <c r="K8863" s="1205"/>
      <c r="L8863" s="1055"/>
      <c r="M8863" s="1205"/>
      <c r="N8863" s="1054"/>
      <c r="O8863" s="1207"/>
      <c r="Q8863" s="1207"/>
    </row>
    <row r="8864" spans="3:17" s="700" customFormat="1" ht="70.5" hidden="1" customHeight="1">
      <c r="C8864" s="701"/>
      <c r="D8864" s="811"/>
      <c r="E8864" s="1276">
        <f>[11]building!Y9195</f>
        <v>0</v>
      </c>
      <c r="F8864" s="748">
        <f t="shared" si="377"/>
        <v>0</v>
      </c>
      <c r="G8864" s="1205"/>
      <c r="H8864" s="1055"/>
      <c r="I8864" s="1055"/>
      <c r="J8864" s="1055"/>
      <c r="K8864" s="1205"/>
      <c r="L8864" s="1055"/>
      <c r="M8864" s="1205"/>
      <c r="N8864" s="1054"/>
      <c r="O8864" s="1207"/>
      <c r="Q8864" s="1207"/>
    </row>
    <row r="8865" spans="3:17" s="700" customFormat="1" ht="70.5" hidden="1" customHeight="1">
      <c r="C8865" s="701"/>
      <c r="D8865" s="811"/>
      <c r="E8865" s="1276">
        <f>[11]building!Y9196</f>
        <v>0</v>
      </c>
      <c r="F8865" s="748">
        <f t="shared" si="377"/>
        <v>0</v>
      </c>
      <c r="G8865" s="1205"/>
      <c r="H8865" s="1055"/>
      <c r="I8865" s="1055"/>
      <c r="J8865" s="1055"/>
      <c r="K8865" s="1205"/>
      <c r="L8865" s="1055"/>
      <c r="M8865" s="1205"/>
      <c r="N8865" s="1054"/>
      <c r="O8865" s="1207"/>
      <c r="Q8865" s="1207"/>
    </row>
    <row r="8866" spans="3:17" s="700" customFormat="1" ht="70.5" hidden="1" customHeight="1">
      <c r="C8866" s="701"/>
      <c r="D8866" s="811"/>
      <c r="E8866" s="1276">
        <f>[11]building!Y9197</f>
        <v>0</v>
      </c>
      <c r="F8866" s="748">
        <f t="shared" si="377"/>
        <v>0</v>
      </c>
      <c r="G8866" s="1205"/>
      <c r="H8866" s="1055"/>
      <c r="I8866" s="1055"/>
      <c r="J8866" s="1055"/>
      <c r="K8866" s="1205"/>
      <c r="L8866" s="1055"/>
      <c r="M8866" s="1205"/>
      <c r="N8866" s="1054"/>
      <c r="O8866" s="1207"/>
      <c r="Q8866" s="1207"/>
    </row>
    <row r="8867" spans="3:17" s="700" customFormat="1" ht="70.5" hidden="1" customHeight="1">
      <c r="C8867" s="701"/>
      <c r="D8867" s="811"/>
      <c r="E8867" s="1276">
        <f>[11]building!Y9198</f>
        <v>0</v>
      </c>
      <c r="F8867" s="748">
        <f t="shared" si="377"/>
        <v>0</v>
      </c>
      <c r="G8867" s="1205"/>
      <c r="H8867" s="1055"/>
      <c r="I8867" s="1055"/>
      <c r="J8867" s="1055"/>
      <c r="K8867" s="1205"/>
      <c r="L8867" s="1055"/>
      <c r="M8867" s="1205"/>
      <c r="N8867" s="1054"/>
      <c r="O8867" s="1207"/>
      <c r="Q8867" s="1207"/>
    </row>
    <row r="8868" spans="3:17" s="700" customFormat="1" ht="70.5" hidden="1" customHeight="1">
      <c r="C8868" s="701"/>
      <c r="D8868" s="811"/>
      <c r="E8868" s="1276">
        <f>[11]building!Y9199</f>
        <v>0</v>
      </c>
      <c r="F8868" s="748">
        <f t="shared" si="377"/>
        <v>0</v>
      </c>
      <c r="G8868" s="1205"/>
      <c r="H8868" s="1055"/>
      <c r="I8868" s="1055"/>
      <c r="J8868" s="1055"/>
      <c r="K8868" s="1205"/>
      <c r="L8868" s="1055"/>
      <c r="M8868" s="1205"/>
      <c r="N8868" s="1054"/>
      <c r="O8868" s="1207"/>
      <c r="Q8868" s="1207"/>
    </row>
    <row r="8869" spans="3:17" s="700" customFormat="1" ht="70.5" hidden="1" customHeight="1">
      <c r="C8869" s="701"/>
      <c r="D8869" s="811"/>
      <c r="E8869" s="1276">
        <f>[11]building!Y9200</f>
        <v>0</v>
      </c>
      <c r="F8869" s="748">
        <f t="shared" si="377"/>
        <v>0</v>
      </c>
      <c r="G8869" s="1205"/>
      <c r="H8869" s="1055"/>
      <c r="I8869" s="1055"/>
      <c r="J8869" s="1055"/>
      <c r="K8869" s="1205"/>
      <c r="L8869" s="1055"/>
      <c r="M8869" s="1205"/>
      <c r="N8869" s="1054"/>
      <c r="O8869" s="1207"/>
      <c r="Q8869" s="1207"/>
    </row>
    <row r="8870" spans="3:17" s="700" customFormat="1" ht="70.5" hidden="1" customHeight="1">
      <c r="C8870" s="701"/>
      <c r="D8870" s="811"/>
      <c r="E8870" s="1276">
        <f>[11]building!Y9201</f>
        <v>0</v>
      </c>
      <c r="F8870" s="748">
        <f t="shared" si="377"/>
        <v>0</v>
      </c>
      <c r="G8870" s="1205"/>
      <c r="H8870" s="1055"/>
      <c r="I8870" s="1055"/>
      <c r="J8870" s="1055"/>
      <c r="K8870" s="1205"/>
      <c r="L8870" s="1055"/>
      <c r="M8870" s="1205"/>
      <c r="N8870" s="1054"/>
      <c r="O8870" s="1207"/>
      <c r="Q8870" s="1207"/>
    </row>
    <row r="8871" spans="3:17" s="700" customFormat="1" ht="70.5" hidden="1" customHeight="1">
      <c r="C8871" s="701"/>
      <c r="D8871" s="811"/>
      <c r="E8871" s="1276">
        <f>[11]building!Y9202</f>
        <v>0</v>
      </c>
      <c r="F8871" s="748">
        <f t="shared" si="377"/>
        <v>0</v>
      </c>
      <c r="G8871" s="1205"/>
      <c r="H8871" s="1055"/>
      <c r="I8871" s="1055"/>
      <c r="J8871" s="1055"/>
      <c r="K8871" s="1205"/>
      <c r="L8871" s="1055"/>
      <c r="M8871" s="1205"/>
      <c r="N8871" s="1054"/>
      <c r="O8871" s="1207"/>
      <c r="Q8871" s="1207"/>
    </row>
    <row r="8872" spans="3:17" s="700" customFormat="1" ht="70.5" hidden="1" customHeight="1">
      <c r="C8872" s="701"/>
      <c r="D8872" s="811"/>
      <c r="E8872" s="1276">
        <f>[11]building!Y9203</f>
        <v>0</v>
      </c>
      <c r="F8872" s="748">
        <f t="shared" si="377"/>
        <v>0</v>
      </c>
      <c r="G8872" s="1205"/>
      <c r="H8872" s="1055"/>
      <c r="I8872" s="1055"/>
      <c r="J8872" s="1055"/>
      <c r="K8872" s="1205"/>
      <c r="L8872" s="1055"/>
      <c r="M8872" s="1205"/>
      <c r="N8872" s="1054"/>
      <c r="O8872" s="1207"/>
      <c r="Q8872" s="1207"/>
    </row>
    <row r="8873" spans="3:17" s="700" customFormat="1" ht="70.5" hidden="1" customHeight="1">
      <c r="C8873" s="701"/>
      <c r="D8873" s="811"/>
      <c r="E8873" s="1276">
        <f>[11]building!Y9204</f>
        <v>0</v>
      </c>
      <c r="F8873" s="748">
        <f t="shared" si="377"/>
        <v>0</v>
      </c>
      <c r="G8873" s="1205"/>
      <c r="H8873" s="1055"/>
      <c r="I8873" s="1055"/>
      <c r="J8873" s="1055"/>
      <c r="K8873" s="1205"/>
      <c r="L8873" s="1055"/>
      <c r="M8873" s="1205"/>
      <c r="N8873" s="1054"/>
      <c r="O8873" s="1207"/>
      <c r="Q8873" s="1207"/>
    </row>
    <row r="8874" spans="3:17" s="700" customFormat="1" ht="70.5" hidden="1" customHeight="1">
      <c r="C8874" s="701"/>
      <c r="D8874" s="811"/>
      <c r="E8874" s="1276">
        <f>[11]building!Y9205</f>
        <v>0</v>
      </c>
      <c r="F8874" s="748">
        <f t="shared" si="377"/>
        <v>0</v>
      </c>
      <c r="G8874" s="1205"/>
      <c r="H8874" s="1055"/>
      <c r="I8874" s="1055"/>
      <c r="J8874" s="1055"/>
      <c r="K8874" s="1205"/>
      <c r="L8874" s="1055"/>
      <c r="M8874" s="1205"/>
      <c r="N8874" s="1054"/>
      <c r="O8874" s="1207"/>
      <c r="Q8874" s="1207"/>
    </row>
    <row r="8875" spans="3:17" s="700" customFormat="1" ht="70.5" hidden="1" customHeight="1">
      <c r="C8875" s="701"/>
      <c r="D8875" s="811"/>
      <c r="E8875" s="1276">
        <f>[11]building!Y9206</f>
        <v>0</v>
      </c>
      <c r="F8875" s="748">
        <f t="shared" si="377"/>
        <v>0</v>
      </c>
      <c r="G8875" s="1205"/>
      <c r="H8875" s="1055"/>
      <c r="I8875" s="1055"/>
      <c r="J8875" s="1055"/>
      <c r="K8875" s="1205"/>
      <c r="L8875" s="1055"/>
      <c r="M8875" s="1205"/>
      <c r="N8875" s="1054"/>
      <c r="O8875" s="1207"/>
      <c r="Q8875" s="1207"/>
    </row>
    <row r="8876" spans="3:17" s="700" customFormat="1" ht="70.5" hidden="1" customHeight="1">
      <c r="C8876" s="701"/>
      <c r="D8876" s="811"/>
      <c r="E8876" s="1276">
        <f>[11]building!Y9207</f>
        <v>0</v>
      </c>
      <c r="F8876" s="748">
        <f t="shared" si="377"/>
        <v>0</v>
      </c>
      <c r="G8876" s="1205"/>
      <c r="H8876" s="1055"/>
      <c r="I8876" s="1055"/>
      <c r="J8876" s="1055"/>
      <c r="K8876" s="1205"/>
      <c r="L8876" s="1055"/>
      <c r="M8876" s="1205"/>
      <c r="N8876" s="1054"/>
      <c r="O8876" s="1207"/>
      <c r="Q8876" s="1207"/>
    </row>
    <row r="8877" spans="3:17" s="700" customFormat="1" ht="70.5" hidden="1" customHeight="1">
      <c r="C8877" s="701"/>
      <c r="D8877" s="811"/>
      <c r="E8877" s="1276">
        <f>[11]building!Y9208</f>
        <v>0</v>
      </c>
      <c r="F8877" s="748">
        <f t="shared" si="377"/>
        <v>0</v>
      </c>
      <c r="G8877" s="1205"/>
      <c r="H8877" s="1055"/>
      <c r="I8877" s="1055"/>
      <c r="J8877" s="1055"/>
      <c r="K8877" s="1205"/>
      <c r="L8877" s="1055"/>
      <c r="M8877" s="1205"/>
      <c r="N8877" s="1054"/>
      <c r="O8877" s="1207"/>
      <c r="Q8877" s="1207"/>
    </row>
    <row r="8878" spans="3:17" s="700" customFormat="1" ht="70.5" hidden="1" customHeight="1">
      <c r="C8878" s="701"/>
      <c r="D8878" s="811"/>
      <c r="E8878" s="1276">
        <f>[11]building!Y9209</f>
        <v>0</v>
      </c>
      <c r="F8878" s="748">
        <f t="shared" si="377"/>
        <v>0</v>
      </c>
      <c r="G8878" s="1205"/>
      <c r="H8878" s="1055"/>
      <c r="I8878" s="1055"/>
      <c r="J8878" s="1055"/>
      <c r="K8878" s="1205"/>
      <c r="L8878" s="1055"/>
      <c r="M8878" s="1205"/>
      <c r="N8878" s="1054"/>
      <c r="O8878" s="1207"/>
      <c r="Q8878" s="1207"/>
    </row>
    <row r="8879" spans="3:17" s="700" customFormat="1" ht="70.5" hidden="1" customHeight="1">
      <c r="C8879" s="701"/>
      <c r="D8879" s="811"/>
      <c r="E8879" s="1276">
        <f>[11]building!Y9210</f>
        <v>0</v>
      </c>
      <c r="F8879" s="748">
        <f t="shared" si="377"/>
        <v>0</v>
      </c>
      <c r="G8879" s="1205"/>
      <c r="H8879" s="1055"/>
      <c r="I8879" s="1055"/>
      <c r="J8879" s="1055"/>
      <c r="K8879" s="1205"/>
      <c r="L8879" s="1055"/>
      <c r="M8879" s="1205"/>
      <c r="N8879" s="1054"/>
      <c r="O8879" s="1207"/>
      <c r="Q8879" s="1207"/>
    </row>
    <row r="8880" spans="3:17" s="700" customFormat="1" ht="70.5" hidden="1" customHeight="1">
      <c r="C8880" s="701"/>
      <c r="D8880" s="811"/>
      <c r="E8880" s="1276">
        <f>[11]building!Y9211</f>
        <v>0</v>
      </c>
      <c r="F8880" s="748">
        <f t="shared" si="377"/>
        <v>0</v>
      </c>
      <c r="G8880" s="1205"/>
      <c r="H8880" s="1055"/>
      <c r="I8880" s="1055"/>
      <c r="J8880" s="1055"/>
      <c r="K8880" s="1205"/>
      <c r="L8880" s="1055"/>
      <c r="M8880" s="1205"/>
      <c r="N8880" s="1054"/>
      <c r="O8880" s="1207"/>
      <c r="Q8880" s="1207"/>
    </row>
    <row r="8881" spans="3:17" s="700" customFormat="1" ht="70.5" hidden="1" customHeight="1">
      <c r="C8881" s="701"/>
      <c r="D8881" s="811"/>
      <c r="E8881" s="1276">
        <f>[11]building!Y9212</f>
        <v>0</v>
      </c>
      <c r="F8881" s="748">
        <f t="shared" si="377"/>
        <v>0</v>
      </c>
      <c r="G8881" s="1205"/>
      <c r="H8881" s="1055"/>
      <c r="I8881" s="1055"/>
      <c r="J8881" s="1055"/>
      <c r="K8881" s="1205"/>
      <c r="L8881" s="1055"/>
      <c r="M8881" s="1205"/>
      <c r="N8881" s="1054"/>
      <c r="O8881" s="1207"/>
      <c r="Q8881" s="1207"/>
    </row>
    <row r="8882" spans="3:17" s="700" customFormat="1" ht="70.5" hidden="1" customHeight="1">
      <c r="C8882" s="701"/>
      <c r="D8882" s="811"/>
      <c r="E8882" s="1276">
        <f>[11]building!Y9213</f>
        <v>0</v>
      </c>
      <c r="F8882" s="748">
        <f t="shared" si="377"/>
        <v>0</v>
      </c>
      <c r="G8882" s="1205"/>
      <c r="H8882" s="1055"/>
      <c r="I8882" s="1055"/>
      <c r="J8882" s="1055"/>
      <c r="K8882" s="1205"/>
      <c r="L8882" s="1055"/>
      <c r="M8882" s="1205"/>
      <c r="N8882" s="1054"/>
      <c r="O8882" s="1207"/>
      <c r="Q8882" s="1207"/>
    </row>
    <row r="8883" spans="3:17" s="700" customFormat="1" ht="70.5" hidden="1" customHeight="1">
      <c r="C8883" s="701"/>
      <c r="D8883" s="811"/>
      <c r="E8883" s="1276">
        <f>[11]building!Y9214</f>
        <v>0</v>
      </c>
      <c r="F8883" s="748">
        <f t="shared" si="377"/>
        <v>0</v>
      </c>
      <c r="G8883" s="1205"/>
      <c r="H8883" s="1055"/>
      <c r="I8883" s="1055"/>
      <c r="J8883" s="1055"/>
      <c r="K8883" s="1205"/>
      <c r="L8883" s="1055"/>
      <c r="M8883" s="1205"/>
      <c r="N8883" s="1054"/>
      <c r="O8883" s="1207"/>
      <c r="Q8883" s="1207"/>
    </row>
    <row r="8884" spans="3:17" s="700" customFormat="1" ht="70.5" hidden="1" customHeight="1">
      <c r="C8884" s="701"/>
      <c r="D8884" s="811"/>
      <c r="E8884" s="1276">
        <f>[11]building!Y9215</f>
        <v>0</v>
      </c>
      <c r="F8884" s="748">
        <f t="shared" si="377"/>
        <v>0</v>
      </c>
      <c r="G8884" s="1205"/>
      <c r="H8884" s="1055"/>
      <c r="I8884" s="1055"/>
      <c r="J8884" s="1055"/>
      <c r="K8884" s="1205"/>
      <c r="L8884" s="1055"/>
      <c r="M8884" s="1205"/>
      <c r="N8884" s="1054"/>
      <c r="O8884" s="1207"/>
      <c r="Q8884" s="1207"/>
    </row>
    <row r="8885" spans="3:17" s="700" customFormat="1" ht="70.5" hidden="1" customHeight="1">
      <c r="C8885" s="701"/>
      <c r="D8885" s="811"/>
      <c r="E8885" s="1276">
        <f>[11]building!Y9216</f>
        <v>0</v>
      </c>
      <c r="F8885" s="748">
        <f t="shared" si="377"/>
        <v>0</v>
      </c>
      <c r="G8885" s="1205"/>
      <c r="H8885" s="1055"/>
      <c r="I8885" s="1055"/>
      <c r="J8885" s="1055"/>
      <c r="K8885" s="1205"/>
      <c r="L8885" s="1055"/>
      <c r="M8885" s="1205"/>
      <c r="N8885" s="1054"/>
      <c r="O8885" s="1207"/>
      <c r="Q8885" s="1207"/>
    </row>
    <row r="8886" spans="3:17" s="700" customFormat="1" ht="70.5" hidden="1" customHeight="1">
      <c r="C8886" s="701"/>
      <c r="D8886" s="811"/>
      <c r="E8886" s="1276">
        <f>[11]building!Y9217</f>
        <v>0</v>
      </c>
      <c r="F8886" s="748">
        <f t="shared" si="377"/>
        <v>0</v>
      </c>
      <c r="G8886" s="1205"/>
      <c r="H8886" s="1055"/>
      <c r="I8886" s="1055"/>
      <c r="J8886" s="1055"/>
      <c r="K8886" s="1205"/>
      <c r="L8886" s="1055"/>
      <c r="M8886" s="1205"/>
      <c r="N8886" s="1054"/>
      <c r="O8886" s="1207"/>
      <c r="Q8886" s="1207"/>
    </row>
    <row r="8887" spans="3:17" s="700" customFormat="1" ht="70.5" hidden="1" customHeight="1">
      <c r="C8887" s="701"/>
      <c r="D8887" s="811"/>
      <c r="E8887" s="1276">
        <f>[11]building!Y9218</f>
        <v>0</v>
      </c>
      <c r="F8887" s="748">
        <f t="shared" si="377"/>
        <v>0</v>
      </c>
      <c r="G8887" s="1205"/>
      <c r="H8887" s="1055"/>
      <c r="I8887" s="1055"/>
      <c r="J8887" s="1055"/>
      <c r="K8887" s="1205"/>
      <c r="L8887" s="1055"/>
      <c r="M8887" s="1205"/>
      <c r="N8887" s="1054"/>
      <c r="O8887" s="1207"/>
      <c r="Q8887" s="1207"/>
    </row>
    <row r="8888" spans="3:17" s="700" customFormat="1" ht="70.5" hidden="1" customHeight="1">
      <c r="C8888" s="701"/>
      <c r="D8888" s="811"/>
      <c r="E8888" s="1276">
        <f>[11]building!Y9219</f>
        <v>0</v>
      </c>
      <c r="F8888" s="748">
        <f t="shared" si="377"/>
        <v>0</v>
      </c>
      <c r="G8888" s="1205"/>
      <c r="H8888" s="1055"/>
      <c r="I8888" s="1055"/>
      <c r="J8888" s="1055"/>
      <c r="K8888" s="1205"/>
      <c r="L8888" s="1055"/>
      <c r="M8888" s="1205"/>
      <c r="N8888" s="1054"/>
      <c r="O8888" s="1207"/>
      <c r="Q8888" s="1207"/>
    </row>
    <row r="8889" spans="3:17" s="700" customFormat="1" ht="70.5" hidden="1" customHeight="1">
      <c r="C8889" s="701"/>
      <c r="D8889" s="811"/>
      <c r="E8889" s="1276">
        <f>[11]building!Y9220</f>
        <v>0</v>
      </c>
      <c r="F8889" s="748">
        <f t="shared" si="377"/>
        <v>0</v>
      </c>
      <c r="G8889" s="1205"/>
      <c r="H8889" s="1055"/>
      <c r="I8889" s="1055"/>
      <c r="J8889" s="1055"/>
      <c r="K8889" s="1205"/>
      <c r="L8889" s="1055"/>
      <c r="M8889" s="1205"/>
      <c r="N8889" s="1054"/>
      <c r="O8889" s="1207"/>
      <c r="Q8889" s="1207"/>
    </row>
    <row r="8890" spans="3:17" s="700" customFormat="1" ht="70.5" hidden="1" customHeight="1">
      <c r="C8890" s="701"/>
      <c r="D8890" s="811"/>
      <c r="E8890" s="1276">
        <f>[11]building!Y9221</f>
        <v>0</v>
      </c>
      <c r="F8890" s="748">
        <f t="shared" si="377"/>
        <v>0</v>
      </c>
      <c r="G8890" s="1205"/>
      <c r="H8890" s="1055"/>
      <c r="I8890" s="1055"/>
      <c r="J8890" s="1055"/>
      <c r="K8890" s="1205"/>
      <c r="L8890" s="1055"/>
      <c r="M8890" s="1205"/>
      <c r="N8890" s="1054"/>
      <c r="O8890" s="1207"/>
      <c r="Q8890" s="1207"/>
    </row>
    <row r="8891" spans="3:17" s="700" customFormat="1" ht="70.5" hidden="1" customHeight="1">
      <c r="C8891" s="701"/>
      <c r="D8891" s="811"/>
      <c r="E8891" s="1276">
        <f>[11]building!Y9222</f>
        <v>0</v>
      </c>
      <c r="F8891" s="748">
        <f t="shared" si="377"/>
        <v>0</v>
      </c>
      <c r="G8891" s="1205"/>
      <c r="H8891" s="1055"/>
      <c r="I8891" s="1055"/>
      <c r="J8891" s="1055"/>
      <c r="K8891" s="1205"/>
      <c r="L8891" s="1055"/>
      <c r="M8891" s="1205"/>
      <c r="N8891" s="1054"/>
      <c r="O8891" s="1207"/>
      <c r="Q8891" s="1207"/>
    </row>
    <row r="8892" spans="3:17" s="700" customFormat="1" ht="70.5" hidden="1" customHeight="1">
      <c r="C8892" s="701"/>
      <c r="D8892" s="811"/>
      <c r="E8892" s="1276">
        <f>[11]building!Y9223</f>
        <v>0</v>
      </c>
      <c r="F8892" s="748">
        <f t="shared" si="377"/>
        <v>0</v>
      </c>
      <c r="G8892" s="1205"/>
      <c r="H8892" s="1055"/>
      <c r="I8892" s="1055"/>
      <c r="J8892" s="1055"/>
      <c r="K8892" s="1205"/>
      <c r="L8892" s="1055"/>
      <c r="M8892" s="1205"/>
      <c r="N8892" s="1054"/>
      <c r="O8892" s="1207"/>
      <c r="Q8892" s="1207"/>
    </row>
    <row r="8893" spans="3:17" s="700" customFormat="1" ht="70.5" hidden="1" customHeight="1">
      <c r="C8893" s="701"/>
      <c r="D8893" s="811"/>
      <c r="E8893" s="1276">
        <f>[11]building!Y9224</f>
        <v>0</v>
      </c>
      <c r="F8893" s="748">
        <f t="shared" si="377"/>
        <v>0</v>
      </c>
      <c r="G8893" s="1205"/>
      <c r="H8893" s="1055"/>
      <c r="I8893" s="1055"/>
      <c r="J8893" s="1055"/>
      <c r="K8893" s="1205"/>
      <c r="L8893" s="1055"/>
      <c r="M8893" s="1205"/>
      <c r="N8893" s="1054"/>
      <c r="O8893" s="1207"/>
      <c r="Q8893" s="1207"/>
    </row>
    <row r="8894" spans="3:17" s="700" customFormat="1" ht="70.5" hidden="1" customHeight="1">
      <c r="C8894" s="701"/>
      <c r="D8894" s="811"/>
      <c r="E8894" s="1276">
        <f>[11]building!Y9225</f>
        <v>0</v>
      </c>
      <c r="F8894" s="748">
        <f t="shared" si="377"/>
        <v>0</v>
      </c>
      <c r="G8894" s="1205"/>
      <c r="H8894" s="1055"/>
      <c r="I8894" s="1055"/>
      <c r="J8894" s="1055"/>
      <c r="K8894" s="1205"/>
      <c r="L8894" s="1055"/>
      <c r="M8894" s="1205"/>
      <c r="N8894" s="1054"/>
      <c r="O8894" s="1207"/>
      <c r="Q8894" s="1207"/>
    </row>
    <row r="8895" spans="3:17" s="700" customFormat="1" ht="70.5" hidden="1" customHeight="1">
      <c r="C8895" s="701"/>
      <c r="D8895" s="811"/>
      <c r="E8895" s="1276">
        <f>[11]building!Y9226</f>
        <v>0</v>
      </c>
      <c r="F8895" s="748">
        <f t="shared" si="377"/>
        <v>0</v>
      </c>
      <c r="G8895" s="1205"/>
      <c r="H8895" s="1055"/>
      <c r="I8895" s="1055"/>
      <c r="J8895" s="1055"/>
      <c r="K8895" s="1205"/>
      <c r="L8895" s="1055"/>
      <c r="M8895" s="1205"/>
      <c r="N8895" s="1054"/>
      <c r="O8895" s="1207"/>
      <c r="Q8895" s="1207"/>
    </row>
    <row r="8896" spans="3:17" s="700" customFormat="1" ht="70.5" hidden="1" customHeight="1">
      <c r="C8896" s="701"/>
      <c r="D8896" s="811"/>
      <c r="E8896" s="1276">
        <f>[11]building!Y9227</f>
        <v>0</v>
      </c>
      <c r="F8896" s="748">
        <f t="shared" ref="F8896:F8959" si="378">E8896*C8896</f>
        <v>0</v>
      </c>
      <c r="G8896" s="1205"/>
      <c r="H8896" s="1055"/>
      <c r="I8896" s="1055"/>
      <c r="J8896" s="1055"/>
      <c r="K8896" s="1205"/>
      <c r="L8896" s="1055"/>
      <c r="M8896" s="1205"/>
      <c r="N8896" s="1054"/>
      <c r="O8896" s="1207"/>
      <c r="Q8896" s="1207"/>
    </row>
    <row r="8897" spans="3:17" s="700" customFormat="1" ht="70.5" hidden="1" customHeight="1">
      <c r="C8897" s="701"/>
      <c r="D8897" s="811"/>
      <c r="E8897" s="1276">
        <f>[11]building!Y9228</f>
        <v>0</v>
      </c>
      <c r="F8897" s="748">
        <f t="shared" si="378"/>
        <v>0</v>
      </c>
      <c r="G8897" s="1205"/>
      <c r="H8897" s="1055"/>
      <c r="I8897" s="1055"/>
      <c r="J8897" s="1055"/>
      <c r="K8897" s="1205"/>
      <c r="L8897" s="1055"/>
      <c r="M8897" s="1205"/>
      <c r="N8897" s="1054"/>
      <c r="O8897" s="1207"/>
      <c r="Q8897" s="1207"/>
    </row>
    <row r="8898" spans="3:17" s="700" customFormat="1" ht="70.5" hidden="1" customHeight="1">
      <c r="C8898" s="701"/>
      <c r="D8898" s="811"/>
      <c r="E8898" s="1276">
        <f>[11]building!Y9229</f>
        <v>0</v>
      </c>
      <c r="F8898" s="748">
        <f t="shared" si="378"/>
        <v>0</v>
      </c>
      <c r="G8898" s="1205"/>
      <c r="H8898" s="1055"/>
      <c r="I8898" s="1055"/>
      <c r="J8898" s="1055"/>
      <c r="K8898" s="1205"/>
      <c r="L8898" s="1055"/>
      <c r="M8898" s="1205"/>
      <c r="N8898" s="1054"/>
      <c r="O8898" s="1207"/>
      <c r="Q8898" s="1207"/>
    </row>
    <row r="8899" spans="3:17" s="700" customFormat="1" ht="70.5" hidden="1" customHeight="1">
      <c r="C8899" s="701"/>
      <c r="D8899" s="811"/>
      <c r="E8899" s="1276">
        <f>[11]building!Y9230</f>
        <v>0</v>
      </c>
      <c r="F8899" s="748">
        <f t="shared" si="378"/>
        <v>0</v>
      </c>
      <c r="G8899" s="1205"/>
      <c r="H8899" s="1055"/>
      <c r="I8899" s="1055"/>
      <c r="J8899" s="1055"/>
      <c r="K8899" s="1205"/>
      <c r="L8899" s="1055"/>
      <c r="M8899" s="1205"/>
      <c r="N8899" s="1054"/>
      <c r="O8899" s="1207"/>
      <c r="Q8899" s="1207"/>
    </row>
    <row r="8900" spans="3:17" s="700" customFormat="1" ht="70.5" hidden="1" customHeight="1">
      <c r="C8900" s="701"/>
      <c r="D8900" s="811"/>
      <c r="E8900" s="1276">
        <f>[11]building!Y9231</f>
        <v>0</v>
      </c>
      <c r="F8900" s="748">
        <f t="shared" si="378"/>
        <v>0</v>
      </c>
      <c r="G8900" s="1205"/>
      <c r="H8900" s="1055"/>
      <c r="I8900" s="1055"/>
      <c r="J8900" s="1055"/>
      <c r="K8900" s="1205"/>
      <c r="L8900" s="1055"/>
      <c r="M8900" s="1205"/>
      <c r="N8900" s="1054"/>
      <c r="O8900" s="1207"/>
      <c r="Q8900" s="1207"/>
    </row>
    <row r="8901" spans="3:17" s="700" customFormat="1" ht="70.5" hidden="1" customHeight="1">
      <c r="C8901" s="701"/>
      <c r="D8901" s="811"/>
      <c r="E8901" s="1276">
        <f>[11]building!Y9232</f>
        <v>0</v>
      </c>
      <c r="F8901" s="748">
        <f t="shared" si="378"/>
        <v>0</v>
      </c>
      <c r="G8901" s="1205"/>
      <c r="H8901" s="1055"/>
      <c r="I8901" s="1055"/>
      <c r="J8901" s="1055"/>
      <c r="K8901" s="1205"/>
      <c r="L8901" s="1055"/>
      <c r="M8901" s="1205"/>
      <c r="N8901" s="1054"/>
      <c r="O8901" s="1207"/>
      <c r="Q8901" s="1207"/>
    </row>
    <row r="8902" spans="3:17" s="700" customFormat="1" ht="70.5" hidden="1" customHeight="1">
      <c r="C8902" s="701"/>
      <c r="D8902" s="811"/>
      <c r="E8902" s="1276">
        <f>[11]building!Y9233</f>
        <v>0</v>
      </c>
      <c r="F8902" s="748">
        <f t="shared" si="378"/>
        <v>0</v>
      </c>
      <c r="G8902" s="1205"/>
      <c r="H8902" s="1055"/>
      <c r="I8902" s="1055"/>
      <c r="J8902" s="1055"/>
      <c r="K8902" s="1205"/>
      <c r="L8902" s="1055"/>
      <c r="M8902" s="1205"/>
      <c r="N8902" s="1054"/>
      <c r="O8902" s="1207"/>
      <c r="Q8902" s="1207"/>
    </row>
    <row r="8903" spans="3:17" s="700" customFormat="1" ht="70.5" hidden="1" customHeight="1">
      <c r="C8903" s="701"/>
      <c r="D8903" s="811"/>
      <c r="E8903" s="1276">
        <f>[11]building!Y9234</f>
        <v>0</v>
      </c>
      <c r="F8903" s="748">
        <f t="shared" si="378"/>
        <v>0</v>
      </c>
      <c r="G8903" s="1205"/>
      <c r="H8903" s="1055"/>
      <c r="I8903" s="1055"/>
      <c r="J8903" s="1055"/>
      <c r="K8903" s="1205"/>
      <c r="L8903" s="1055"/>
      <c r="M8903" s="1205"/>
      <c r="N8903" s="1054"/>
      <c r="O8903" s="1207"/>
      <c r="Q8903" s="1207"/>
    </row>
    <row r="8904" spans="3:17" s="700" customFormat="1" ht="70.5" hidden="1" customHeight="1">
      <c r="C8904" s="701"/>
      <c r="D8904" s="811"/>
      <c r="E8904" s="1276">
        <f>[11]building!Y9235</f>
        <v>0</v>
      </c>
      <c r="F8904" s="748">
        <f t="shared" si="378"/>
        <v>0</v>
      </c>
      <c r="G8904" s="1205"/>
      <c r="H8904" s="1055"/>
      <c r="I8904" s="1055"/>
      <c r="J8904" s="1055"/>
      <c r="K8904" s="1205"/>
      <c r="L8904" s="1055"/>
      <c r="M8904" s="1205"/>
      <c r="N8904" s="1054"/>
      <c r="O8904" s="1207"/>
      <c r="Q8904" s="1207"/>
    </row>
    <row r="8905" spans="3:17" s="700" customFormat="1" ht="70.5" hidden="1" customHeight="1">
      <c r="C8905" s="701"/>
      <c r="D8905" s="811"/>
      <c r="E8905" s="1276">
        <f>[11]building!Y9236</f>
        <v>0</v>
      </c>
      <c r="F8905" s="748">
        <f t="shared" si="378"/>
        <v>0</v>
      </c>
      <c r="G8905" s="1205"/>
      <c r="H8905" s="1055"/>
      <c r="I8905" s="1055"/>
      <c r="J8905" s="1055"/>
      <c r="K8905" s="1205"/>
      <c r="L8905" s="1055"/>
      <c r="M8905" s="1205"/>
      <c r="N8905" s="1054"/>
      <c r="O8905" s="1207"/>
      <c r="Q8905" s="1207"/>
    </row>
    <row r="8906" spans="3:17" s="700" customFormat="1" ht="70.5" hidden="1" customHeight="1">
      <c r="C8906" s="701"/>
      <c r="D8906" s="811"/>
      <c r="E8906" s="1276">
        <f>[11]building!Y9237</f>
        <v>0</v>
      </c>
      <c r="F8906" s="748">
        <f t="shared" si="378"/>
        <v>0</v>
      </c>
      <c r="G8906" s="1205"/>
      <c r="H8906" s="1055"/>
      <c r="I8906" s="1055"/>
      <c r="J8906" s="1055"/>
      <c r="K8906" s="1205"/>
      <c r="L8906" s="1055"/>
      <c r="M8906" s="1205"/>
      <c r="N8906" s="1054"/>
      <c r="O8906" s="1207"/>
      <c r="Q8906" s="1207"/>
    </row>
    <row r="8907" spans="3:17" s="700" customFormat="1" ht="70.5" hidden="1" customHeight="1">
      <c r="C8907" s="701"/>
      <c r="D8907" s="811"/>
      <c r="E8907" s="1276">
        <f>[11]building!Y9238</f>
        <v>0</v>
      </c>
      <c r="F8907" s="748">
        <f t="shared" si="378"/>
        <v>0</v>
      </c>
      <c r="G8907" s="1205"/>
      <c r="H8907" s="1055"/>
      <c r="I8907" s="1055"/>
      <c r="J8907" s="1055"/>
      <c r="K8907" s="1205"/>
      <c r="L8907" s="1055"/>
      <c r="M8907" s="1205"/>
      <c r="N8907" s="1054"/>
      <c r="O8907" s="1207"/>
      <c r="Q8907" s="1207"/>
    </row>
    <row r="8908" spans="3:17" s="700" customFormat="1" ht="70.5" hidden="1" customHeight="1">
      <c r="C8908" s="701"/>
      <c r="D8908" s="811"/>
      <c r="E8908" s="1276">
        <f>[11]building!Y9239</f>
        <v>0</v>
      </c>
      <c r="F8908" s="748">
        <f t="shared" si="378"/>
        <v>0</v>
      </c>
      <c r="G8908" s="1205"/>
      <c r="H8908" s="1055"/>
      <c r="I8908" s="1055"/>
      <c r="J8908" s="1055"/>
      <c r="K8908" s="1205"/>
      <c r="L8908" s="1055"/>
      <c r="M8908" s="1205"/>
      <c r="N8908" s="1054"/>
      <c r="O8908" s="1207"/>
      <c r="Q8908" s="1207"/>
    </row>
    <row r="8909" spans="3:17" s="700" customFormat="1" ht="70.5" hidden="1" customHeight="1">
      <c r="C8909" s="701"/>
      <c r="D8909" s="811"/>
      <c r="E8909" s="1276">
        <f>[11]building!Y9240</f>
        <v>0</v>
      </c>
      <c r="F8909" s="748">
        <f t="shared" si="378"/>
        <v>0</v>
      </c>
      <c r="G8909" s="1205"/>
      <c r="H8909" s="1055"/>
      <c r="I8909" s="1055"/>
      <c r="J8909" s="1055"/>
      <c r="K8909" s="1205"/>
      <c r="L8909" s="1055"/>
      <c r="M8909" s="1205"/>
      <c r="N8909" s="1054"/>
      <c r="O8909" s="1207"/>
      <c r="Q8909" s="1207"/>
    </row>
    <row r="8910" spans="3:17" s="700" customFormat="1" ht="70.5" hidden="1" customHeight="1">
      <c r="C8910" s="701"/>
      <c r="D8910" s="811"/>
      <c r="E8910" s="1276">
        <f>[11]building!Y9241</f>
        <v>0</v>
      </c>
      <c r="F8910" s="748">
        <f t="shared" si="378"/>
        <v>0</v>
      </c>
      <c r="G8910" s="1205"/>
      <c r="H8910" s="1055"/>
      <c r="I8910" s="1055"/>
      <c r="J8910" s="1055"/>
      <c r="K8910" s="1205"/>
      <c r="L8910" s="1055"/>
      <c r="M8910" s="1205"/>
      <c r="N8910" s="1054"/>
      <c r="O8910" s="1207"/>
      <c r="Q8910" s="1207"/>
    </row>
    <row r="8911" spans="3:17" s="700" customFormat="1" ht="70.5" hidden="1" customHeight="1">
      <c r="C8911" s="701"/>
      <c r="D8911" s="811"/>
      <c r="E8911" s="1276">
        <f>[11]building!Y9242</f>
        <v>0</v>
      </c>
      <c r="F8911" s="748">
        <f t="shared" si="378"/>
        <v>0</v>
      </c>
      <c r="G8911" s="1205"/>
      <c r="H8911" s="1055"/>
      <c r="I8911" s="1055"/>
      <c r="J8911" s="1055"/>
      <c r="K8911" s="1205"/>
      <c r="L8911" s="1055"/>
      <c r="M8911" s="1205"/>
      <c r="N8911" s="1054"/>
      <c r="O8911" s="1207"/>
      <c r="Q8911" s="1207"/>
    </row>
    <row r="8912" spans="3:17" s="700" customFormat="1" ht="70.5" hidden="1" customHeight="1">
      <c r="C8912" s="701"/>
      <c r="D8912" s="811"/>
      <c r="E8912" s="1276">
        <f>[11]building!Y9243</f>
        <v>0</v>
      </c>
      <c r="F8912" s="748">
        <f t="shared" si="378"/>
        <v>0</v>
      </c>
      <c r="G8912" s="1205"/>
      <c r="H8912" s="1055"/>
      <c r="I8912" s="1055"/>
      <c r="J8912" s="1055"/>
      <c r="K8912" s="1205"/>
      <c r="L8912" s="1055"/>
      <c r="M8912" s="1205"/>
      <c r="N8912" s="1054"/>
      <c r="O8912" s="1207"/>
      <c r="Q8912" s="1207"/>
    </row>
    <row r="8913" spans="3:17" s="700" customFormat="1" ht="70.5" hidden="1" customHeight="1">
      <c r="C8913" s="701"/>
      <c r="D8913" s="811"/>
      <c r="E8913" s="1276">
        <f>[11]building!Y9244</f>
        <v>0</v>
      </c>
      <c r="F8913" s="748">
        <f t="shared" si="378"/>
        <v>0</v>
      </c>
      <c r="G8913" s="1205"/>
      <c r="H8913" s="1055"/>
      <c r="I8913" s="1055"/>
      <c r="J8913" s="1055"/>
      <c r="K8913" s="1205"/>
      <c r="L8913" s="1055"/>
      <c r="M8913" s="1205"/>
      <c r="N8913" s="1054"/>
      <c r="O8913" s="1207"/>
      <c r="Q8913" s="1207"/>
    </row>
    <row r="8914" spans="3:17" s="700" customFormat="1" ht="70.5" hidden="1" customHeight="1">
      <c r="C8914" s="701"/>
      <c r="D8914" s="811"/>
      <c r="E8914" s="1276">
        <f>[11]building!Y9245</f>
        <v>0</v>
      </c>
      <c r="F8914" s="748">
        <f t="shared" si="378"/>
        <v>0</v>
      </c>
      <c r="G8914" s="1205"/>
      <c r="H8914" s="1055"/>
      <c r="I8914" s="1055"/>
      <c r="J8914" s="1055"/>
      <c r="K8914" s="1205"/>
      <c r="L8914" s="1055"/>
      <c r="M8914" s="1205"/>
      <c r="N8914" s="1054"/>
      <c r="O8914" s="1207"/>
      <c r="Q8914" s="1207"/>
    </row>
    <row r="8915" spans="3:17" s="700" customFormat="1" ht="70.5" hidden="1" customHeight="1">
      <c r="C8915" s="701"/>
      <c r="D8915" s="811"/>
      <c r="E8915" s="1276">
        <f>[11]building!Y9246</f>
        <v>0</v>
      </c>
      <c r="F8915" s="748">
        <f t="shared" si="378"/>
        <v>0</v>
      </c>
      <c r="G8915" s="1205"/>
      <c r="H8915" s="1055"/>
      <c r="I8915" s="1055"/>
      <c r="J8915" s="1055"/>
      <c r="K8915" s="1205"/>
      <c r="L8915" s="1055"/>
      <c r="M8915" s="1205"/>
      <c r="N8915" s="1054"/>
      <c r="O8915" s="1207"/>
      <c r="Q8915" s="1207"/>
    </row>
    <row r="8916" spans="3:17" s="700" customFormat="1" ht="70.5" hidden="1" customHeight="1">
      <c r="C8916" s="701"/>
      <c r="D8916" s="811"/>
      <c r="E8916" s="1276">
        <f>[11]building!Y9247</f>
        <v>0</v>
      </c>
      <c r="F8916" s="748">
        <f t="shared" si="378"/>
        <v>0</v>
      </c>
      <c r="G8916" s="1205"/>
      <c r="H8916" s="1055"/>
      <c r="I8916" s="1055"/>
      <c r="J8916" s="1055"/>
      <c r="K8916" s="1205"/>
      <c r="L8916" s="1055"/>
      <c r="M8916" s="1205"/>
      <c r="N8916" s="1054"/>
      <c r="O8916" s="1207"/>
      <c r="Q8916" s="1207"/>
    </row>
    <row r="8917" spans="3:17" s="700" customFormat="1" ht="70.5" hidden="1" customHeight="1">
      <c r="C8917" s="701"/>
      <c r="D8917" s="811"/>
      <c r="E8917" s="1276">
        <f>[11]building!Y9248</f>
        <v>0</v>
      </c>
      <c r="F8917" s="748">
        <f t="shared" si="378"/>
        <v>0</v>
      </c>
      <c r="G8917" s="1205"/>
      <c r="H8917" s="1055"/>
      <c r="I8917" s="1055"/>
      <c r="J8917" s="1055"/>
      <c r="K8917" s="1205"/>
      <c r="L8917" s="1055"/>
      <c r="M8917" s="1205"/>
      <c r="N8917" s="1054"/>
      <c r="O8917" s="1207"/>
      <c r="Q8917" s="1207"/>
    </row>
    <row r="8918" spans="3:17" s="700" customFormat="1" ht="70.5" hidden="1" customHeight="1">
      <c r="C8918" s="701"/>
      <c r="D8918" s="811"/>
      <c r="E8918" s="1276">
        <f>[11]building!Y9249</f>
        <v>0</v>
      </c>
      <c r="F8918" s="748">
        <f t="shared" si="378"/>
        <v>0</v>
      </c>
      <c r="G8918" s="1205"/>
      <c r="H8918" s="1055"/>
      <c r="I8918" s="1055"/>
      <c r="J8918" s="1055"/>
      <c r="K8918" s="1205"/>
      <c r="L8918" s="1055"/>
      <c r="M8918" s="1205"/>
      <c r="N8918" s="1054"/>
      <c r="O8918" s="1207"/>
      <c r="Q8918" s="1207"/>
    </row>
    <row r="8919" spans="3:17" s="700" customFormat="1" ht="70.5" hidden="1" customHeight="1">
      <c r="C8919" s="701"/>
      <c r="D8919" s="811"/>
      <c r="E8919" s="1276">
        <f>[11]building!Y9250</f>
        <v>0</v>
      </c>
      <c r="F8919" s="748">
        <f t="shared" si="378"/>
        <v>0</v>
      </c>
      <c r="G8919" s="1205"/>
      <c r="H8919" s="1055"/>
      <c r="I8919" s="1055"/>
      <c r="J8919" s="1055"/>
      <c r="K8919" s="1205"/>
      <c r="L8919" s="1055"/>
      <c r="M8919" s="1205"/>
      <c r="N8919" s="1054"/>
      <c r="O8919" s="1207"/>
      <c r="Q8919" s="1207"/>
    </row>
    <row r="8920" spans="3:17" s="700" customFormat="1" ht="70.5" hidden="1" customHeight="1">
      <c r="C8920" s="701"/>
      <c r="D8920" s="811"/>
      <c r="E8920" s="1276">
        <f>[11]building!Y9251</f>
        <v>0</v>
      </c>
      <c r="F8920" s="748">
        <f t="shared" si="378"/>
        <v>0</v>
      </c>
      <c r="G8920" s="1205"/>
      <c r="H8920" s="1055"/>
      <c r="I8920" s="1055"/>
      <c r="J8920" s="1055"/>
      <c r="K8920" s="1205"/>
      <c r="L8920" s="1055"/>
      <c r="M8920" s="1205"/>
      <c r="N8920" s="1054"/>
      <c r="O8920" s="1207"/>
      <c r="Q8920" s="1207"/>
    </row>
    <row r="8921" spans="3:17" s="700" customFormat="1" ht="70.5" hidden="1" customHeight="1">
      <c r="C8921" s="701"/>
      <c r="D8921" s="811"/>
      <c r="E8921" s="1276">
        <f>[11]building!Y9252</f>
        <v>0</v>
      </c>
      <c r="F8921" s="748">
        <f t="shared" si="378"/>
        <v>0</v>
      </c>
      <c r="G8921" s="1205"/>
      <c r="H8921" s="1055"/>
      <c r="I8921" s="1055"/>
      <c r="J8921" s="1055"/>
      <c r="K8921" s="1205"/>
      <c r="L8921" s="1055"/>
      <c r="M8921" s="1205"/>
      <c r="N8921" s="1054"/>
      <c r="O8921" s="1207"/>
      <c r="Q8921" s="1207"/>
    </row>
    <row r="8922" spans="3:17" s="700" customFormat="1" ht="70.5" hidden="1" customHeight="1">
      <c r="C8922" s="701"/>
      <c r="D8922" s="811"/>
      <c r="E8922" s="1276">
        <f>[11]building!Y9253</f>
        <v>0</v>
      </c>
      <c r="F8922" s="748">
        <f t="shared" si="378"/>
        <v>0</v>
      </c>
      <c r="G8922" s="1205"/>
      <c r="H8922" s="1055"/>
      <c r="I8922" s="1055"/>
      <c r="J8922" s="1055"/>
      <c r="K8922" s="1205"/>
      <c r="L8922" s="1055"/>
      <c r="M8922" s="1205"/>
      <c r="N8922" s="1054"/>
      <c r="O8922" s="1207"/>
      <c r="Q8922" s="1207"/>
    </row>
    <row r="8923" spans="3:17" s="700" customFormat="1" ht="70.5" hidden="1" customHeight="1">
      <c r="C8923" s="701"/>
      <c r="D8923" s="811"/>
      <c r="E8923" s="1276">
        <f>[11]building!Y9254</f>
        <v>0</v>
      </c>
      <c r="F8923" s="748">
        <f t="shared" si="378"/>
        <v>0</v>
      </c>
      <c r="G8923" s="1205"/>
      <c r="H8923" s="1055"/>
      <c r="I8923" s="1055"/>
      <c r="J8923" s="1055"/>
      <c r="K8923" s="1205"/>
      <c r="L8923" s="1055"/>
      <c r="M8923" s="1205"/>
      <c r="N8923" s="1054"/>
      <c r="O8923" s="1207"/>
      <c r="Q8923" s="1207"/>
    </row>
    <row r="8924" spans="3:17" s="700" customFormat="1" ht="70.5" hidden="1" customHeight="1">
      <c r="C8924" s="701"/>
      <c r="D8924" s="811"/>
      <c r="E8924" s="1276">
        <f>[11]building!Y9255</f>
        <v>0</v>
      </c>
      <c r="F8924" s="748">
        <f t="shared" si="378"/>
        <v>0</v>
      </c>
      <c r="G8924" s="1205"/>
      <c r="H8924" s="1055"/>
      <c r="I8924" s="1055"/>
      <c r="J8924" s="1055"/>
      <c r="K8924" s="1205"/>
      <c r="L8924" s="1055"/>
      <c r="M8924" s="1205"/>
      <c r="N8924" s="1054"/>
      <c r="O8924" s="1207"/>
      <c r="Q8924" s="1207"/>
    </row>
    <row r="8925" spans="3:17" s="700" customFormat="1" ht="70.5" hidden="1" customHeight="1">
      <c r="C8925" s="701"/>
      <c r="D8925" s="811"/>
      <c r="E8925" s="1276">
        <f>[11]building!Y9256</f>
        <v>0</v>
      </c>
      <c r="F8925" s="748">
        <f t="shared" si="378"/>
        <v>0</v>
      </c>
      <c r="G8925" s="1205"/>
      <c r="H8925" s="1055"/>
      <c r="I8925" s="1055"/>
      <c r="J8925" s="1055"/>
      <c r="K8925" s="1205"/>
      <c r="L8925" s="1055"/>
      <c r="M8925" s="1205"/>
      <c r="N8925" s="1054"/>
      <c r="O8925" s="1207"/>
      <c r="Q8925" s="1207"/>
    </row>
    <row r="8926" spans="3:17" s="700" customFormat="1" ht="70.5" hidden="1" customHeight="1">
      <c r="C8926" s="701"/>
      <c r="D8926" s="811"/>
      <c r="E8926" s="1276">
        <f>[11]building!Y9257</f>
        <v>0</v>
      </c>
      <c r="F8926" s="748">
        <f t="shared" si="378"/>
        <v>0</v>
      </c>
      <c r="G8926" s="1205"/>
      <c r="H8926" s="1055"/>
      <c r="I8926" s="1055"/>
      <c r="J8926" s="1055"/>
      <c r="K8926" s="1205"/>
      <c r="L8926" s="1055"/>
      <c r="M8926" s="1205"/>
      <c r="N8926" s="1054"/>
      <c r="O8926" s="1207"/>
      <c r="Q8926" s="1207"/>
    </row>
    <row r="8927" spans="3:17" s="700" customFormat="1" ht="70.5" hidden="1" customHeight="1">
      <c r="C8927" s="701"/>
      <c r="D8927" s="811"/>
      <c r="E8927" s="1276">
        <f>[11]building!Y9258</f>
        <v>0</v>
      </c>
      <c r="F8927" s="748">
        <f t="shared" si="378"/>
        <v>0</v>
      </c>
      <c r="G8927" s="1205"/>
      <c r="H8927" s="1055"/>
      <c r="I8927" s="1055"/>
      <c r="J8927" s="1055"/>
      <c r="K8927" s="1205"/>
      <c r="L8927" s="1055"/>
      <c r="M8927" s="1205"/>
      <c r="N8927" s="1054"/>
      <c r="O8927" s="1207"/>
      <c r="Q8927" s="1207"/>
    </row>
    <row r="8928" spans="3:17" s="700" customFormat="1" ht="70.5" hidden="1" customHeight="1">
      <c r="C8928" s="701"/>
      <c r="D8928" s="811"/>
      <c r="E8928" s="1276">
        <f>[11]building!Y9259</f>
        <v>0</v>
      </c>
      <c r="F8928" s="748">
        <f t="shared" si="378"/>
        <v>0</v>
      </c>
      <c r="G8928" s="1205"/>
      <c r="H8928" s="1055"/>
      <c r="I8928" s="1055"/>
      <c r="J8928" s="1055"/>
      <c r="K8928" s="1205"/>
      <c r="L8928" s="1055"/>
      <c r="M8928" s="1205"/>
      <c r="N8928" s="1054"/>
      <c r="O8928" s="1207"/>
      <c r="Q8928" s="1207"/>
    </row>
    <row r="8929" spans="3:17" s="700" customFormat="1" ht="70.5" hidden="1" customHeight="1">
      <c r="C8929" s="701"/>
      <c r="D8929" s="811"/>
      <c r="E8929" s="1276">
        <f>[11]building!Y9260</f>
        <v>0</v>
      </c>
      <c r="F8929" s="748">
        <f t="shared" si="378"/>
        <v>0</v>
      </c>
      <c r="G8929" s="1205"/>
      <c r="H8929" s="1055"/>
      <c r="I8929" s="1055"/>
      <c r="J8929" s="1055"/>
      <c r="K8929" s="1205"/>
      <c r="L8929" s="1055"/>
      <c r="M8929" s="1205"/>
      <c r="N8929" s="1054"/>
      <c r="O8929" s="1207"/>
      <c r="Q8929" s="1207"/>
    </row>
    <row r="8930" spans="3:17" s="700" customFormat="1" ht="70.5" hidden="1" customHeight="1">
      <c r="C8930" s="701"/>
      <c r="D8930" s="811"/>
      <c r="E8930" s="1276">
        <f>[11]building!Y9261</f>
        <v>0</v>
      </c>
      <c r="F8930" s="748">
        <f t="shared" si="378"/>
        <v>0</v>
      </c>
      <c r="G8930" s="1205"/>
      <c r="H8930" s="1055"/>
      <c r="I8930" s="1055"/>
      <c r="J8930" s="1055"/>
      <c r="K8930" s="1205"/>
      <c r="L8930" s="1055"/>
      <c r="M8930" s="1205"/>
      <c r="N8930" s="1054"/>
      <c r="O8930" s="1207"/>
      <c r="Q8930" s="1207"/>
    </row>
    <row r="8931" spans="3:17" s="700" customFormat="1" ht="70.5" hidden="1" customHeight="1">
      <c r="C8931" s="701"/>
      <c r="D8931" s="811"/>
      <c r="E8931" s="1276">
        <f>[11]building!Y9262</f>
        <v>0</v>
      </c>
      <c r="F8931" s="748">
        <f t="shared" si="378"/>
        <v>0</v>
      </c>
      <c r="G8931" s="1205"/>
      <c r="H8931" s="1055"/>
      <c r="I8931" s="1055"/>
      <c r="J8931" s="1055"/>
      <c r="K8931" s="1205"/>
      <c r="L8931" s="1055"/>
      <c r="M8931" s="1205"/>
      <c r="N8931" s="1054"/>
      <c r="O8931" s="1207"/>
      <c r="Q8931" s="1207"/>
    </row>
    <row r="8932" spans="3:17" s="700" customFormat="1" ht="70.5" hidden="1" customHeight="1">
      <c r="C8932" s="701"/>
      <c r="D8932" s="811"/>
      <c r="E8932" s="1276">
        <f>[11]building!Y9263</f>
        <v>0</v>
      </c>
      <c r="F8932" s="748">
        <f t="shared" si="378"/>
        <v>0</v>
      </c>
      <c r="G8932" s="1205"/>
      <c r="H8932" s="1055"/>
      <c r="I8932" s="1055"/>
      <c r="J8932" s="1055"/>
      <c r="K8932" s="1205"/>
      <c r="L8932" s="1055"/>
      <c r="M8932" s="1205"/>
      <c r="N8932" s="1054"/>
      <c r="O8932" s="1207"/>
      <c r="Q8932" s="1207"/>
    </row>
    <row r="8933" spans="3:17" s="700" customFormat="1" ht="70.5" hidden="1" customHeight="1">
      <c r="C8933" s="701"/>
      <c r="D8933" s="811"/>
      <c r="E8933" s="1276">
        <f>[11]building!Y9264</f>
        <v>0</v>
      </c>
      <c r="F8933" s="748">
        <f t="shared" si="378"/>
        <v>0</v>
      </c>
      <c r="G8933" s="1205"/>
      <c r="H8933" s="1055"/>
      <c r="I8933" s="1055"/>
      <c r="J8933" s="1055"/>
      <c r="K8933" s="1205"/>
      <c r="L8933" s="1055"/>
      <c r="M8933" s="1205"/>
      <c r="N8933" s="1054"/>
      <c r="O8933" s="1207"/>
      <c r="Q8933" s="1207"/>
    </row>
    <row r="8934" spans="3:17" s="700" customFormat="1" ht="70.5" hidden="1" customHeight="1">
      <c r="C8934" s="701"/>
      <c r="D8934" s="811"/>
      <c r="E8934" s="1276">
        <f>[11]building!Y9265</f>
        <v>0</v>
      </c>
      <c r="F8934" s="748">
        <f t="shared" si="378"/>
        <v>0</v>
      </c>
      <c r="G8934" s="1205"/>
      <c r="H8934" s="1055"/>
      <c r="I8934" s="1055"/>
      <c r="J8934" s="1055"/>
      <c r="K8934" s="1205"/>
      <c r="L8934" s="1055"/>
      <c r="M8934" s="1205"/>
      <c r="N8934" s="1054"/>
      <c r="O8934" s="1207"/>
      <c r="Q8934" s="1207"/>
    </row>
    <row r="8935" spans="3:17" s="700" customFormat="1" ht="70.5" hidden="1" customHeight="1">
      <c r="C8935" s="701"/>
      <c r="D8935" s="811"/>
      <c r="E8935" s="1276">
        <f>[11]building!Y9266</f>
        <v>0</v>
      </c>
      <c r="F8935" s="748">
        <f t="shared" si="378"/>
        <v>0</v>
      </c>
      <c r="G8935" s="1205"/>
      <c r="H8935" s="1055"/>
      <c r="I8935" s="1055"/>
      <c r="J8935" s="1055"/>
      <c r="K8935" s="1205"/>
      <c r="L8935" s="1055"/>
      <c r="M8935" s="1205"/>
      <c r="N8935" s="1054"/>
      <c r="O8935" s="1207"/>
      <c r="Q8935" s="1207"/>
    </row>
    <row r="8936" spans="3:17" s="700" customFormat="1" ht="70.5" hidden="1" customHeight="1">
      <c r="C8936" s="701"/>
      <c r="D8936" s="811"/>
      <c r="E8936" s="1276">
        <f>[11]building!Y9267</f>
        <v>0</v>
      </c>
      <c r="F8936" s="748">
        <f t="shared" si="378"/>
        <v>0</v>
      </c>
      <c r="G8936" s="1205"/>
      <c r="H8936" s="1055"/>
      <c r="I8936" s="1055"/>
      <c r="J8936" s="1055"/>
      <c r="K8936" s="1205"/>
      <c r="L8936" s="1055"/>
      <c r="M8936" s="1205"/>
      <c r="N8936" s="1054"/>
      <c r="O8936" s="1207"/>
      <c r="Q8936" s="1207"/>
    </row>
    <row r="8937" spans="3:17" s="700" customFormat="1" ht="70.5" hidden="1" customHeight="1">
      <c r="C8937" s="701"/>
      <c r="D8937" s="811"/>
      <c r="E8937" s="1276">
        <f>[11]building!Y9268</f>
        <v>0</v>
      </c>
      <c r="F8937" s="748">
        <f t="shared" si="378"/>
        <v>0</v>
      </c>
      <c r="G8937" s="1205"/>
      <c r="H8937" s="1055"/>
      <c r="I8937" s="1055"/>
      <c r="J8937" s="1055"/>
      <c r="K8937" s="1205"/>
      <c r="L8937" s="1055"/>
      <c r="M8937" s="1205"/>
      <c r="N8937" s="1054"/>
      <c r="O8937" s="1207"/>
      <c r="Q8937" s="1207"/>
    </row>
    <row r="8938" spans="3:17" s="700" customFormat="1" ht="70.5" hidden="1" customHeight="1">
      <c r="C8938" s="701"/>
      <c r="D8938" s="811"/>
      <c r="E8938" s="1276">
        <f>[11]building!Y9269</f>
        <v>0</v>
      </c>
      <c r="F8938" s="748">
        <f t="shared" si="378"/>
        <v>0</v>
      </c>
      <c r="G8938" s="1205"/>
      <c r="H8938" s="1055"/>
      <c r="I8938" s="1055"/>
      <c r="J8938" s="1055"/>
      <c r="K8938" s="1205"/>
      <c r="L8938" s="1055"/>
      <c r="M8938" s="1205"/>
      <c r="N8938" s="1054"/>
      <c r="O8938" s="1207"/>
      <c r="Q8938" s="1207"/>
    </row>
    <row r="8939" spans="3:17" s="700" customFormat="1" ht="70.5" hidden="1" customHeight="1">
      <c r="C8939" s="701"/>
      <c r="D8939" s="811"/>
      <c r="E8939" s="1276">
        <f>[11]building!Y9270</f>
        <v>0</v>
      </c>
      <c r="F8939" s="748">
        <f t="shared" si="378"/>
        <v>0</v>
      </c>
      <c r="G8939" s="1205"/>
      <c r="H8939" s="1055"/>
      <c r="I8939" s="1055"/>
      <c r="J8939" s="1055"/>
      <c r="K8939" s="1205"/>
      <c r="L8939" s="1055"/>
      <c r="M8939" s="1205"/>
      <c r="N8939" s="1054"/>
      <c r="O8939" s="1207"/>
      <c r="Q8939" s="1207"/>
    </row>
    <row r="8940" spans="3:17" s="700" customFormat="1" ht="70.5" hidden="1" customHeight="1">
      <c r="C8940" s="701"/>
      <c r="D8940" s="811"/>
      <c r="E8940" s="1276">
        <f>[11]building!Y9271</f>
        <v>0</v>
      </c>
      <c r="F8940" s="748">
        <f t="shared" si="378"/>
        <v>0</v>
      </c>
      <c r="G8940" s="1205"/>
      <c r="H8940" s="1055"/>
      <c r="I8940" s="1055"/>
      <c r="J8940" s="1055"/>
      <c r="K8940" s="1205"/>
      <c r="L8940" s="1055"/>
      <c r="M8940" s="1205"/>
      <c r="N8940" s="1054"/>
      <c r="O8940" s="1207"/>
      <c r="Q8940" s="1207"/>
    </row>
    <row r="8941" spans="3:17" s="700" customFormat="1" ht="70.5" hidden="1" customHeight="1">
      <c r="C8941" s="701"/>
      <c r="D8941" s="811"/>
      <c r="E8941" s="1276">
        <f>[11]building!Y9272</f>
        <v>0</v>
      </c>
      <c r="F8941" s="748">
        <f t="shared" si="378"/>
        <v>0</v>
      </c>
      <c r="G8941" s="1205"/>
      <c r="H8941" s="1055"/>
      <c r="I8941" s="1055"/>
      <c r="J8941" s="1055"/>
      <c r="K8941" s="1205"/>
      <c r="L8941" s="1055"/>
      <c r="M8941" s="1205"/>
      <c r="N8941" s="1054"/>
      <c r="O8941" s="1207"/>
      <c r="Q8941" s="1207"/>
    </row>
    <row r="8942" spans="3:17" s="700" customFormat="1" ht="70.5" hidden="1" customHeight="1">
      <c r="C8942" s="701"/>
      <c r="D8942" s="811"/>
      <c r="E8942" s="1276">
        <f>[11]building!Y9273</f>
        <v>0</v>
      </c>
      <c r="F8942" s="748">
        <f t="shared" si="378"/>
        <v>0</v>
      </c>
      <c r="G8942" s="1205"/>
      <c r="H8942" s="1055"/>
      <c r="I8942" s="1055"/>
      <c r="J8942" s="1055"/>
      <c r="K8942" s="1205"/>
      <c r="L8942" s="1055"/>
      <c r="M8942" s="1205"/>
      <c r="N8942" s="1054"/>
      <c r="O8942" s="1207"/>
      <c r="Q8942" s="1207"/>
    </row>
    <row r="8943" spans="3:17" s="700" customFormat="1" ht="70.5" hidden="1" customHeight="1">
      <c r="C8943" s="701"/>
      <c r="D8943" s="811"/>
      <c r="E8943" s="1276">
        <f>[11]building!Y9274</f>
        <v>0</v>
      </c>
      <c r="F8943" s="748">
        <f t="shared" si="378"/>
        <v>0</v>
      </c>
      <c r="G8943" s="1205"/>
      <c r="H8943" s="1055"/>
      <c r="I8943" s="1055"/>
      <c r="J8943" s="1055"/>
      <c r="K8943" s="1205"/>
      <c r="L8943" s="1055"/>
      <c r="M8943" s="1205"/>
      <c r="N8943" s="1054"/>
      <c r="O8943" s="1207"/>
      <c r="Q8943" s="1207"/>
    </row>
    <row r="8944" spans="3:17" s="700" customFormat="1" ht="70.5" hidden="1" customHeight="1">
      <c r="C8944" s="701"/>
      <c r="D8944" s="811"/>
      <c r="E8944" s="1276">
        <f>[11]building!Y9275</f>
        <v>0</v>
      </c>
      <c r="F8944" s="748">
        <f t="shared" si="378"/>
        <v>0</v>
      </c>
      <c r="G8944" s="1205"/>
      <c r="H8944" s="1055"/>
      <c r="I8944" s="1055"/>
      <c r="J8944" s="1055"/>
      <c r="K8944" s="1205"/>
      <c r="L8944" s="1055"/>
      <c r="M8944" s="1205"/>
      <c r="N8944" s="1054"/>
      <c r="O8944" s="1207"/>
      <c r="Q8944" s="1207"/>
    </row>
    <row r="8945" spans="3:17" s="700" customFormat="1" ht="70.5" hidden="1" customHeight="1">
      <c r="C8945" s="701"/>
      <c r="D8945" s="811"/>
      <c r="E8945" s="1276">
        <f>[11]building!Y9276</f>
        <v>0</v>
      </c>
      <c r="F8945" s="748">
        <f t="shared" si="378"/>
        <v>0</v>
      </c>
      <c r="G8945" s="1205"/>
      <c r="H8945" s="1055"/>
      <c r="I8945" s="1055"/>
      <c r="J8945" s="1055"/>
      <c r="K8945" s="1205"/>
      <c r="L8945" s="1055"/>
      <c r="M8945" s="1205"/>
      <c r="N8945" s="1054"/>
      <c r="O8945" s="1207"/>
      <c r="Q8945" s="1207"/>
    </row>
    <row r="8946" spans="3:17" s="700" customFormat="1" ht="70.5" hidden="1" customHeight="1">
      <c r="C8946" s="701"/>
      <c r="D8946" s="811"/>
      <c r="E8946" s="1276">
        <f>[11]building!Y9277</f>
        <v>0</v>
      </c>
      <c r="F8946" s="748">
        <f t="shared" si="378"/>
        <v>0</v>
      </c>
      <c r="G8946" s="1205"/>
      <c r="H8946" s="1055"/>
      <c r="I8946" s="1055"/>
      <c r="J8946" s="1055"/>
      <c r="K8946" s="1205"/>
      <c r="L8946" s="1055"/>
      <c r="M8946" s="1205"/>
      <c r="N8946" s="1054"/>
      <c r="O8946" s="1207"/>
      <c r="Q8946" s="1207"/>
    </row>
    <row r="8947" spans="3:17" s="700" customFormat="1" ht="70.5" hidden="1" customHeight="1">
      <c r="C8947" s="701"/>
      <c r="D8947" s="811"/>
      <c r="E8947" s="1276">
        <f>[11]building!Y9278</f>
        <v>0</v>
      </c>
      <c r="F8947" s="748">
        <f t="shared" si="378"/>
        <v>0</v>
      </c>
      <c r="G8947" s="1205"/>
      <c r="H8947" s="1055"/>
      <c r="I8947" s="1055"/>
      <c r="J8947" s="1055"/>
      <c r="K8947" s="1205"/>
      <c r="L8947" s="1055"/>
      <c r="M8947" s="1205"/>
      <c r="N8947" s="1054"/>
      <c r="O8947" s="1207"/>
      <c r="Q8947" s="1207"/>
    </row>
    <row r="8948" spans="3:17" s="700" customFormat="1" ht="70.5" hidden="1" customHeight="1">
      <c r="C8948" s="701"/>
      <c r="D8948" s="811"/>
      <c r="E8948" s="1276">
        <f>[11]building!Y9279</f>
        <v>0</v>
      </c>
      <c r="F8948" s="748">
        <f t="shared" si="378"/>
        <v>0</v>
      </c>
      <c r="G8948" s="1205"/>
      <c r="H8948" s="1055"/>
      <c r="I8948" s="1055"/>
      <c r="J8948" s="1055"/>
      <c r="K8948" s="1205"/>
      <c r="L8948" s="1055"/>
      <c r="M8948" s="1205"/>
      <c r="N8948" s="1054"/>
      <c r="O8948" s="1207"/>
      <c r="Q8948" s="1207"/>
    </row>
    <row r="8949" spans="3:17" s="700" customFormat="1" ht="70.5" hidden="1" customHeight="1">
      <c r="C8949" s="701"/>
      <c r="D8949" s="811"/>
      <c r="E8949" s="1276">
        <f>[11]building!Y9280</f>
        <v>0</v>
      </c>
      <c r="F8949" s="748">
        <f t="shared" si="378"/>
        <v>0</v>
      </c>
      <c r="G8949" s="1205"/>
      <c r="H8949" s="1055"/>
      <c r="I8949" s="1055"/>
      <c r="J8949" s="1055"/>
      <c r="K8949" s="1205"/>
      <c r="L8949" s="1055"/>
      <c r="M8949" s="1205"/>
      <c r="N8949" s="1054"/>
      <c r="O8949" s="1207"/>
      <c r="Q8949" s="1207"/>
    </row>
    <row r="8950" spans="3:17" s="700" customFormat="1" ht="70.5" hidden="1" customHeight="1">
      <c r="C8950" s="701"/>
      <c r="D8950" s="811"/>
      <c r="E8950" s="1276">
        <f>[11]building!Y9281</f>
        <v>0</v>
      </c>
      <c r="F8950" s="748">
        <f t="shared" si="378"/>
        <v>0</v>
      </c>
      <c r="G8950" s="1205"/>
      <c r="H8950" s="1055"/>
      <c r="I8950" s="1055"/>
      <c r="J8950" s="1055"/>
      <c r="K8950" s="1205"/>
      <c r="L8950" s="1055"/>
      <c r="M8950" s="1205"/>
      <c r="N8950" s="1054"/>
      <c r="O8950" s="1207"/>
      <c r="Q8950" s="1207"/>
    </row>
    <row r="8951" spans="3:17" s="700" customFormat="1" ht="70.5" hidden="1" customHeight="1">
      <c r="C8951" s="701"/>
      <c r="D8951" s="811"/>
      <c r="E8951" s="1276">
        <f>[11]building!Y9282</f>
        <v>0</v>
      </c>
      <c r="F8951" s="748">
        <f t="shared" si="378"/>
        <v>0</v>
      </c>
      <c r="G8951" s="1205"/>
      <c r="H8951" s="1055"/>
      <c r="I8951" s="1055"/>
      <c r="J8951" s="1055"/>
      <c r="K8951" s="1205"/>
      <c r="L8951" s="1055"/>
      <c r="M8951" s="1205"/>
      <c r="N8951" s="1054"/>
      <c r="O8951" s="1207"/>
      <c r="Q8951" s="1207"/>
    </row>
    <row r="8952" spans="3:17" s="700" customFormat="1" ht="70.5" hidden="1" customHeight="1">
      <c r="C8952" s="701"/>
      <c r="D8952" s="811"/>
      <c r="E8952" s="1276">
        <f>[11]building!Y9283</f>
        <v>0</v>
      </c>
      <c r="F8952" s="748">
        <f t="shared" si="378"/>
        <v>0</v>
      </c>
      <c r="G8952" s="1205"/>
      <c r="H8952" s="1055"/>
      <c r="I8952" s="1055"/>
      <c r="J8952" s="1055"/>
      <c r="K8952" s="1205"/>
      <c r="L8952" s="1055"/>
      <c r="M8952" s="1205"/>
      <c r="N8952" s="1054"/>
      <c r="O8952" s="1207"/>
      <c r="Q8952" s="1207"/>
    </row>
    <row r="8953" spans="3:17" s="700" customFormat="1" ht="70.5" hidden="1" customHeight="1">
      <c r="C8953" s="701"/>
      <c r="D8953" s="811"/>
      <c r="E8953" s="1276">
        <f>[11]building!Y9284</f>
        <v>0</v>
      </c>
      <c r="F8953" s="748">
        <f t="shared" si="378"/>
        <v>0</v>
      </c>
      <c r="G8953" s="1205"/>
      <c r="H8953" s="1055"/>
      <c r="I8953" s="1055"/>
      <c r="J8953" s="1055"/>
      <c r="K8953" s="1205"/>
      <c r="L8953" s="1055"/>
      <c r="M8953" s="1205"/>
      <c r="N8953" s="1054"/>
      <c r="O8953" s="1207"/>
      <c r="Q8953" s="1207"/>
    </row>
    <row r="8954" spans="3:17" s="700" customFormat="1" ht="70.5" hidden="1" customHeight="1">
      <c r="C8954" s="701"/>
      <c r="D8954" s="811"/>
      <c r="E8954" s="1276">
        <f>[11]building!Y9285</f>
        <v>0</v>
      </c>
      <c r="F8954" s="748">
        <f t="shared" si="378"/>
        <v>0</v>
      </c>
      <c r="G8954" s="1205"/>
      <c r="H8954" s="1055"/>
      <c r="I8954" s="1055"/>
      <c r="J8954" s="1055"/>
      <c r="K8954" s="1205"/>
      <c r="L8954" s="1055"/>
      <c r="M8954" s="1205"/>
      <c r="N8954" s="1054"/>
      <c r="O8954" s="1207"/>
      <c r="Q8954" s="1207"/>
    </row>
    <row r="8955" spans="3:17" s="700" customFormat="1" ht="70.5" hidden="1" customHeight="1">
      <c r="C8955" s="701"/>
      <c r="D8955" s="811"/>
      <c r="E8955" s="1276">
        <f>[11]building!Y9286</f>
        <v>0</v>
      </c>
      <c r="F8955" s="748">
        <f t="shared" si="378"/>
        <v>0</v>
      </c>
      <c r="G8955" s="1205"/>
      <c r="H8955" s="1055"/>
      <c r="I8955" s="1055"/>
      <c r="J8955" s="1055"/>
      <c r="K8955" s="1205"/>
      <c r="L8955" s="1055"/>
      <c r="M8955" s="1205"/>
      <c r="N8955" s="1054"/>
      <c r="O8955" s="1207"/>
      <c r="Q8955" s="1207"/>
    </row>
    <row r="8956" spans="3:17" s="700" customFormat="1" ht="70.5" hidden="1" customHeight="1">
      <c r="C8956" s="701"/>
      <c r="D8956" s="811"/>
      <c r="E8956" s="1276">
        <f>[11]building!Y9287</f>
        <v>0</v>
      </c>
      <c r="F8956" s="748">
        <f t="shared" si="378"/>
        <v>0</v>
      </c>
      <c r="G8956" s="1205"/>
      <c r="H8956" s="1055"/>
      <c r="I8956" s="1055"/>
      <c r="J8956" s="1055"/>
      <c r="K8956" s="1205"/>
      <c r="L8956" s="1055"/>
      <c r="M8956" s="1205"/>
      <c r="N8956" s="1054"/>
      <c r="O8956" s="1207"/>
      <c r="Q8956" s="1207"/>
    </row>
    <row r="8957" spans="3:17" s="700" customFormat="1" ht="70.5" hidden="1" customHeight="1">
      <c r="C8957" s="701"/>
      <c r="D8957" s="811"/>
      <c r="E8957" s="1276">
        <f>[11]building!Y9288</f>
        <v>0</v>
      </c>
      <c r="F8957" s="748">
        <f t="shared" si="378"/>
        <v>0</v>
      </c>
      <c r="G8957" s="1205"/>
      <c r="H8957" s="1055"/>
      <c r="I8957" s="1055"/>
      <c r="J8957" s="1055"/>
      <c r="K8957" s="1205"/>
      <c r="L8957" s="1055"/>
      <c r="M8957" s="1205"/>
      <c r="N8957" s="1054"/>
      <c r="O8957" s="1207"/>
      <c r="Q8957" s="1207"/>
    </row>
    <row r="8958" spans="3:17" s="700" customFormat="1" ht="70.5" hidden="1" customHeight="1">
      <c r="C8958" s="701"/>
      <c r="D8958" s="811"/>
      <c r="E8958" s="1276">
        <f>[11]building!Y9289</f>
        <v>0</v>
      </c>
      <c r="F8958" s="748">
        <f t="shared" si="378"/>
        <v>0</v>
      </c>
      <c r="G8958" s="1205"/>
      <c r="H8958" s="1055"/>
      <c r="I8958" s="1055"/>
      <c r="J8958" s="1055"/>
      <c r="K8958" s="1205"/>
      <c r="L8958" s="1055"/>
      <c r="M8958" s="1205"/>
      <c r="N8958" s="1054"/>
      <c r="O8958" s="1207"/>
      <c r="Q8958" s="1207"/>
    </row>
    <row r="8959" spans="3:17" s="700" customFormat="1" ht="70.5" hidden="1" customHeight="1">
      <c r="C8959" s="701"/>
      <c r="D8959" s="811"/>
      <c r="E8959" s="1276">
        <f>[11]building!Y9290</f>
        <v>0</v>
      </c>
      <c r="F8959" s="748">
        <f t="shared" si="378"/>
        <v>0</v>
      </c>
      <c r="G8959" s="1205"/>
      <c r="H8959" s="1055"/>
      <c r="I8959" s="1055"/>
      <c r="J8959" s="1055"/>
      <c r="K8959" s="1205"/>
      <c r="L8959" s="1055"/>
      <c r="M8959" s="1205"/>
      <c r="N8959" s="1054"/>
      <c r="O8959" s="1207"/>
      <c r="Q8959" s="1207"/>
    </row>
    <row r="8960" spans="3:17" s="700" customFormat="1" ht="70.5" hidden="1" customHeight="1">
      <c r="C8960" s="701"/>
      <c r="D8960" s="811"/>
      <c r="E8960" s="1276">
        <f>[11]building!Y9291</f>
        <v>0</v>
      </c>
      <c r="F8960" s="748">
        <f t="shared" ref="F8960:F9023" si="379">E8960*C8960</f>
        <v>0</v>
      </c>
      <c r="G8960" s="1205"/>
      <c r="H8960" s="1055"/>
      <c r="I8960" s="1055"/>
      <c r="J8960" s="1055"/>
      <c r="K8960" s="1205"/>
      <c r="L8960" s="1055"/>
      <c r="M8960" s="1205"/>
      <c r="N8960" s="1054"/>
      <c r="O8960" s="1207"/>
      <c r="Q8960" s="1207"/>
    </row>
    <row r="8961" spans="3:17" s="700" customFormat="1" ht="70.5" hidden="1" customHeight="1">
      <c r="C8961" s="701"/>
      <c r="D8961" s="811"/>
      <c r="E8961" s="1276">
        <f>[11]building!Y9292</f>
        <v>0</v>
      </c>
      <c r="F8961" s="748">
        <f t="shared" si="379"/>
        <v>0</v>
      </c>
      <c r="G8961" s="1205"/>
      <c r="H8961" s="1055"/>
      <c r="I8961" s="1055"/>
      <c r="J8961" s="1055"/>
      <c r="K8961" s="1205"/>
      <c r="L8961" s="1055"/>
      <c r="M8961" s="1205"/>
      <c r="N8961" s="1054"/>
      <c r="O8961" s="1207"/>
      <c r="Q8961" s="1207"/>
    </row>
    <row r="8962" spans="3:17" s="700" customFormat="1" ht="70.5" hidden="1" customHeight="1">
      <c r="C8962" s="701"/>
      <c r="D8962" s="811"/>
      <c r="E8962" s="1276">
        <f>[11]building!Y9293</f>
        <v>0</v>
      </c>
      <c r="F8962" s="748">
        <f t="shared" si="379"/>
        <v>0</v>
      </c>
      <c r="G8962" s="1205"/>
      <c r="H8962" s="1055"/>
      <c r="I8962" s="1055"/>
      <c r="J8962" s="1055"/>
      <c r="K8962" s="1205"/>
      <c r="L8962" s="1055"/>
      <c r="M8962" s="1205"/>
      <c r="N8962" s="1054"/>
      <c r="O8962" s="1207"/>
      <c r="Q8962" s="1207"/>
    </row>
    <row r="8963" spans="3:17" s="700" customFormat="1" ht="70.5" hidden="1" customHeight="1">
      <c r="C8963" s="701"/>
      <c r="D8963" s="811"/>
      <c r="E8963" s="1276">
        <f>[11]building!Y9294</f>
        <v>0</v>
      </c>
      <c r="F8963" s="748">
        <f t="shared" si="379"/>
        <v>0</v>
      </c>
      <c r="G8963" s="1205"/>
      <c r="H8963" s="1055"/>
      <c r="I8963" s="1055"/>
      <c r="J8963" s="1055"/>
      <c r="K8963" s="1205"/>
      <c r="L8963" s="1055"/>
      <c r="M8963" s="1205"/>
      <c r="N8963" s="1054"/>
      <c r="O8963" s="1207"/>
      <c r="Q8963" s="1207"/>
    </row>
    <row r="8964" spans="3:17" s="700" customFormat="1" ht="70.5" hidden="1" customHeight="1">
      <c r="C8964" s="701"/>
      <c r="D8964" s="811"/>
      <c r="E8964" s="1276">
        <f>[11]building!Y9295</f>
        <v>0</v>
      </c>
      <c r="F8964" s="748">
        <f t="shared" si="379"/>
        <v>0</v>
      </c>
      <c r="G8964" s="1205"/>
      <c r="H8964" s="1055"/>
      <c r="I8964" s="1055"/>
      <c r="J8964" s="1055"/>
      <c r="K8964" s="1205"/>
      <c r="L8964" s="1055"/>
      <c r="M8964" s="1205"/>
      <c r="N8964" s="1054"/>
      <c r="O8964" s="1207"/>
      <c r="Q8964" s="1207"/>
    </row>
    <row r="8965" spans="3:17" s="700" customFormat="1" ht="70.5" hidden="1" customHeight="1">
      <c r="C8965" s="701"/>
      <c r="D8965" s="811"/>
      <c r="E8965" s="1276">
        <f>[11]building!Y9296</f>
        <v>0</v>
      </c>
      <c r="F8965" s="748">
        <f t="shared" si="379"/>
        <v>0</v>
      </c>
      <c r="G8965" s="1205"/>
      <c r="H8965" s="1055"/>
      <c r="I8965" s="1055"/>
      <c r="J8965" s="1055"/>
      <c r="K8965" s="1205"/>
      <c r="L8965" s="1055"/>
      <c r="M8965" s="1205"/>
      <c r="N8965" s="1054"/>
      <c r="O8965" s="1207"/>
      <c r="Q8965" s="1207"/>
    </row>
    <row r="8966" spans="3:17" s="700" customFormat="1" ht="70.5" hidden="1" customHeight="1">
      <c r="C8966" s="701"/>
      <c r="D8966" s="811"/>
      <c r="E8966" s="1276">
        <f>[11]building!Y9297</f>
        <v>0</v>
      </c>
      <c r="F8966" s="748">
        <f t="shared" si="379"/>
        <v>0</v>
      </c>
      <c r="G8966" s="1205"/>
      <c r="H8966" s="1055"/>
      <c r="I8966" s="1055"/>
      <c r="J8966" s="1055"/>
      <c r="K8966" s="1205"/>
      <c r="L8966" s="1055"/>
      <c r="M8966" s="1205"/>
      <c r="N8966" s="1054"/>
      <c r="O8966" s="1207"/>
      <c r="Q8966" s="1207"/>
    </row>
    <row r="8967" spans="3:17" s="700" customFormat="1" ht="70.5" hidden="1" customHeight="1">
      <c r="C8967" s="701"/>
      <c r="D8967" s="811"/>
      <c r="E8967" s="1276">
        <f>[11]building!Y9298</f>
        <v>0</v>
      </c>
      <c r="F8967" s="748">
        <f t="shared" si="379"/>
        <v>0</v>
      </c>
      <c r="G8967" s="1205"/>
      <c r="H8967" s="1055"/>
      <c r="I8967" s="1055"/>
      <c r="J8967" s="1055"/>
      <c r="K8967" s="1205"/>
      <c r="L8967" s="1055"/>
      <c r="M8967" s="1205"/>
      <c r="N8967" s="1054"/>
      <c r="O8967" s="1207"/>
      <c r="Q8967" s="1207"/>
    </row>
    <row r="8968" spans="3:17" s="700" customFormat="1" ht="70.5" hidden="1" customHeight="1">
      <c r="C8968" s="701"/>
      <c r="D8968" s="811"/>
      <c r="E8968" s="1276">
        <f>[11]building!Y9299</f>
        <v>0</v>
      </c>
      <c r="F8968" s="748">
        <f t="shared" si="379"/>
        <v>0</v>
      </c>
      <c r="G8968" s="1205"/>
      <c r="H8968" s="1055"/>
      <c r="I8968" s="1055"/>
      <c r="J8968" s="1055"/>
      <c r="K8968" s="1205"/>
      <c r="L8968" s="1055"/>
      <c r="M8968" s="1205"/>
      <c r="N8968" s="1054"/>
      <c r="O8968" s="1207"/>
      <c r="Q8968" s="1207"/>
    </row>
    <row r="8969" spans="3:17" s="700" customFormat="1" ht="70.5" hidden="1" customHeight="1">
      <c r="C8969" s="701"/>
      <c r="D8969" s="811"/>
      <c r="E8969" s="1276">
        <f>[11]building!Y9300</f>
        <v>0</v>
      </c>
      <c r="F8969" s="748">
        <f t="shared" si="379"/>
        <v>0</v>
      </c>
      <c r="G8969" s="1205"/>
      <c r="H8969" s="1055"/>
      <c r="I8969" s="1055"/>
      <c r="J8969" s="1055"/>
      <c r="K8969" s="1205"/>
      <c r="L8969" s="1055"/>
      <c r="M8969" s="1205"/>
      <c r="N8969" s="1054"/>
      <c r="O8969" s="1207"/>
      <c r="Q8969" s="1207"/>
    </row>
    <row r="8970" spans="3:17" s="700" customFormat="1" ht="70.5" hidden="1" customHeight="1">
      <c r="C8970" s="701"/>
      <c r="D8970" s="811"/>
      <c r="E8970" s="1276">
        <f>[11]building!Y9301</f>
        <v>0</v>
      </c>
      <c r="F8970" s="748">
        <f t="shared" si="379"/>
        <v>0</v>
      </c>
      <c r="G8970" s="1205"/>
      <c r="H8970" s="1055"/>
      <c r="I8970" s="1055"/>
      <c r="J8970" s="1055"/>
      <c r="K8970" s="1205"/>
      <c r="L8970" s="1055"/>
      <c r="M8970" s="1205"/>
      <c r="N8970" s="1054"/>
      <c r="O8970" s="1207"/>
      <c r="Q8970" s="1207"/>
    </row>
    <row r="8971" spans="3:17" s="700" customFormat="1" ht="70.5" hidden="1" customHeight="1">
      <c r="C8971" s="701"/>
      <c r="D8971" s="811"/>
      <c r="E8971" s="1276">
        <f>[11]building!Y9302</f>
        <v>0</v>
      </c>
      <c r="F8971" s="748">
        <f t="shared" si="379"/>
        <v>0</v>
      </c>
      <c r="G8971" s="1205"/>
      <c r="H8971" s="1055"/>
      <c r="I8971" s="1055"/>
      <c r="J8971" s="1055"/>
      <c r="K8971" s="1205"/>
      <c r="L8971" s="1055"/>
      <c r="M8971" s="1205"/>
      <c r="N8971" s="1054"/>
      <c r="O8971" s="1207"/>
      <c r="Q8971" s="1207"/>
    </row>
    <row r="8972" spans="3:17" s="700" customFormat="1" ht="70.5" hidden="1" customHeight="1">
      <c r="C8972" s="701"/>
      <c r="D8972" s="811"/>
      <c r="E8972" s="1276">
        <f>[11]building!Y9303</f>
        <v>0</v>
      </c>
      <c r="F8972" s="748">
        <f t="shared" si="379"/>
        <v>0</v>
      </c>
      <c r="G8972" s="1205"/>
      <c r="H8972" s="1055"/>
      <c r="I8972" s="1055"/>
      <c r="J8972" s="1055"/>
      <c r="K8972" s="1205"/>
      <c r="L8972" s="1055"/>
      <c r="M8972" s="1205"/>
      <c r="N8972" s="1054"/>
      <c r="O8972" s="1207"/>
      <c r="Q8972" s="1207"/>
    </row>
    <row r="8973" spans="3:17" s="700" customFormat="1" ht="70.5" hidden="1" customHeight="1">
      <c r="C8973" s="701"/>
      <c r="D8973" s="811"/>
      <c r="E8973" s="1276">
        <f>[11]building!Y9304</f>
        <v>0</v>
      </c>
      <c r="F8973" s="748">
        <f t="shared" si="379"/>
        <v>0</v>
      </c>
      <c r="G8973" s="1205"/>
      <c r="H8973" s="1055"/>
      <c r="I8973" s="1055"/>
      <c r="J8973" s="1055"/>
      <c r="K8973" s="1205"/>
      <c r="L8973" s="1055"/>
      <c r="M8973" s="1205"/>
      <c r="N8973" s="1054"/>
      <c r="O8973" s="1207"/>
      <c r="Q8973" s="1207"/>
    </row>
    <row r="8974" spans="3:17" s="700" customFormat="1" ht="70.5" hidden="1" customHeight="1">
      <c r="C8974" s="701"/>
      <c r="D8974" s="811"/>
      <c r="E8974" s="1276">
        <f>[11]building!Y9305</f>
        <v>0</v>
      </c>
      <c r="F8974" s="748">
        <f t="shared" si="379"/>
        <v>0</v>
      </c>
      <c r="G8974" s="1205"/>
      <c r="H8974" s="1055"/>
      <c r="I8974" s="1055"/>
      <c r="J8974" s="1055"/>
      <c r="K8974" s="1205"/>
      <c r="L8974" s="1055"/>
      <c r="M8974" s="1205"/>
      <c r="N8974" s="1054"/>
      <c r="O8974" s="1207"/>
      <c r="Q8974" s="1207"/>
    </row>
    <row r="8975" spans="3:17" s="700" customFormat="1" ht="70.5" hidden="1" customHeight="1">
      <c r="C8975" s="701"/>
      <c r="D8975" s="811"/>
      <c r="E8975" s="1276">
        <f>[11]building!Y9306</f>
        <v>0</v>
      </c>
      <c r="F8975" s="748">
        <f t="shared" si="379"/>
        <v>0</v>
      </c>
      <c r="G8975" s="1205"/>
      <c r="H8975" s="1055"/>
      <c r="I8975" s="1055"/>
      <c r="J8975" s="1055"/>
      <c r="K8975" s="1205"/>
      <c r="L8975" s="1055"/>
      <c r="M8975" s="1205"/>
      <c r="N8975" s="1054"/>
      <c r="O8975" s="1207"/>
      <c r="Q8975" s="1207"/>
    </row>
    <row r="8976" spans="3:17" s="700" customFormat="1" ht="70.5" hidden="1" customHeight="1">
      <c r="C8976" s="701"/>
      <c r="D8976" s="811"/>
      <c r="E8976" s="1276">
        <f>[11]building!Y9307</f>
        <v>0</v>
      </c>
      <c r="F8976" s="748">
        <f t="shared" si="379"/>
        <v>0</v>
      </c>
      <c r="G8976" s="1205"/>
      <c r="H8976" s="1055"/>
      <c r="I8976" s="1055"/>
      <c r="J8976" s="1055"/>
      <c r="K8976" s="1205"/>
      <c r="L8976" s="1055"/>
      <c r="M8976" s="1205"/>
      <c r="N8976" s="1054"/>
      <c r="O8976" s="1207"/>
      <c r="Q8976" s="1207"/>
    </row>
    <row r="8977" spans="3:17" s="700" customFormat="1" ht="70.5" hidden="1" customHeight="1">
      <c r="C8977" s="701"/>
      <c r="D8977" s="811"/>
      <c r="E8977" s="1276">
        <f>[11]building!Y9308</f>
        <v>0</v>
      </c>
      <c r="F8977" s="748">
        <f t="shared" si="379"/>
        <v>0</v>
      </c>
      <c r="G8977" s="1205"/>
      <c r="H8977" s="1055"/>
      <c r="I8977" s="1055"/>
      <c r="J8977" s="1055"/>
      <c r="K8977" s="1205"/>
      <c r="L8977" s="1055"/>
      <c r="M8977" s="1205"/>
      <c r="N8977" s="1054"/>
      <c r="O8977" s="1207"/>
      <c r="Q8977" s="1207"/>
    </row>
    <row r="8978" spans="3:17" s="700" customFormat="1" ht="70.5" hidden="1" customHeight="1">
      <c r="C8978" s="701"/>
      <c r="D8978" s="811"/>
      <c r="E8978" s="1276">
        <f>[11]building!Y9309</f>
        <v>0</v>
      </c>
      <c r="F8978" s="748">
        <f t="shared" si="379"/>
        <v>0</v>
      </c>
      <c r="G8978" s="1205"/>
      <c r="H8978" s="1055"/>
      <c r="I8978" s="1055"/>
      <c r="J8978" s="1055"/>
      <c r="K8978" s="1205"/>
      <c r="L8978" s="1055"/>
      <c r="M8978" s="1205"/>
      <c r="N8978" s="1054"/>
      <c r="O8978" s="1207"/>
      <c r="Q8978" s="1207"/>
    </row>
    <row r="8979" spans="3:17" s="700" customFormat="1" ht="70.5" hidden="1" customHeight="1">
      <c r="C8979" s="701"/>
      <c r="D8979" s="811"/>
      <c r="E8979" s="1276">
        <f>[11]building!Y9310</f>
        <v>0</v>
      </c>
      <c r="F8979" s="748">
        <f t="shared" si="379"/>
        <v>0</v>
      </c>
      <c r="G8979" s="1205"/>
      <c r="H8979" s="1055"/>
      <c r="I8979" s="1055"/>
      <c r="J8979" s="1055"/>
      <c r="K8979" s="1205"/>
      <c r="L8979" s="1055"/>
      <c r="M8979" s="1205"/>
      <c r="N8979" s="1054"/>
      <c r="O8979" s="1207"/>
      <c r="Q8979" s="1207"/>
    </row>
    <row r="8980" spans="3:17" s="700" customFormat="1" ht="70.5" hidden="1" customHeight="1">
      <c r="C8980" s="701"/>
      <c r="D8980" s="811"/>
      <c r="E8980" s="1276">
        <f>[11]building!Y9311</f>
        <v>0</v>
      </c>
      <c r="F8980" s="748">
        <f t="shared" si="379"/>
        <v>0</v>
      </c>
      <c r="G8980" s="1205"/>
      <c r="H8980" s="1055"/>
      <c r="I8980" s="1055"/>
      <c r="J8980" s="1055"/>
      <c r="K8980" s="1205"/>
      <c r="L8980" s="1055"/>
      <c r="M8980" s="1205"/>
      <c r="N8980" s="1054"/>
      <c r="O8980" s="1207"/>
      <c r="Q8980" s="1207"/>
    </row>
    <row r="8981" spans="3:17" s="700" customFormat="1" ht="70.5" hidden="1" customHeight="1">
      <c r="C8981" s="701"/>
      <c r="D8981" s="811"/>
      <c r="E8981" s="1276">
        <f>[11]building!Y9312</f>
        <v>0</v>
      </c>
      <c r="F8981" s="748">
        <f t="shared" si="379"/>
        <v>0</v>
      </c>
      <c r="G8981" s="1205"/>
      <c r="H8981" s="1055"/>
      <c r="I8981" s="1055"/>
      <c r="J8981" s="1055"/>
      <c r="K8981" s="1205"/>
      <c r="L8981" s="1055"/>
      <c r="M8981" s="1205"/>
      <c r="N8981" s="1054"/>
      <c r="O8981" s="1207"/>
      <c r="Q8981" s="1207"/>
    </row>
    <row r="8982" spans="3:17" s="700" customFormat="1" ht="70.5" hidden="1" customHeight="1">
      <c r="C8982" s="701"/>
      <c r="D8982" s="811"/>
      <c r="E8982" s="1276">
        <f>[11]building!Y9313</f>
        <v>0</v>
      </c>
      <c r="F8982" s="748">
        <f t="shared" si="379"/>
        <v>0</v>
      </c>
      <c r="G8982" s="1205"/>
      <c r="H8982" s="1055"/>
      <c r="I8982" s="1055"/>
      <c r="J8982" s="1055"/>
      <c r="K8982" s="1205"/>
      <c r="L8982" s="1055"/>
      <c r="M8982" s="1205"/>
      <c r="N8982" s="1054"/>
      <c r="O8982" s="1207"/>
      <c r="Q8982" s="1207"/>
    </row>
    <row r="8983" spans="3:17" s="700" customFormat="1" ht="70.5" hidden="1" customHeight="1">
      <c r="C8983" s="701"/>
      <c r="D8983" s="811"/>
      <c r="E8983" s="1276">
        <f>[11]building!Y9314</f>
        <v>0</v>
      </c>
      <c r="F8983" s="748">
        <f t="shared" si="379"/>
        <v>0</v>
      </c>
      <c r="G8983" s="1205"/>
      <c r="H8983" s="1055"/>
      <c r="I8983" s="1055"/>
      <c r="J8983" s="1055"/>
      <c r="K8983" s="1205"/>
      <c r="L8983" s="1055"/>
      <c r="M8983" s="1205"/>
      <c r="N8983" s="1054"/>
      <c r="O8983" s="1207"/>
      <c r="Q8983" s="1207"/>
    </row>
    <row r="8984" spans="3:17" s="700" customFormat="1" ht="70.5" hidden="1" customHeight="1">
      <c r="C8984" s="701"/>
      <c r="D8984" s="811"/>
      <c r="E8984" s="1276">
        <f>[11]building!Y9315</f>
        <v>0</v>
      </c>
      <c r="F8984" s="748">
        <f t="shared" si="379"/>
        <v>0</v>
      </c>
      <c r="G8984" s="1205"/>
      <c r="H8984" s="1055"/>
      <c r="I8984" s="1055"/>
      <c r="J8984" s="1055"/>
      <c r="K8984" s="1205"/>
      <c r="L8984" s="1055"/>
      <c r="M8984" s="1205"/>
      <c r="N8984" s="1054"/>
      <c r="O8984" s="1207"/>
      <c r="Q8984" s="1207"/>
    </row>
    <row r="8985" spans="3:17" s="700" customFormat="1" ht="70.5" hidden="1" customHeight="1">
      <c r="C8985" s="701"/>
      <c r="D8985" s="811"/>
      <c r="E8985" s="1276">
        <f>[11]building!Y9316</f>
        <v>0</v>
      </c>
      <c r="F8985" s="748">
        <f t="shared" si="379"/>
        <v>0</v>
      </c>
      <c r="G8985" s="1205"/>
      <c r="H8985" s="1055"/>
      <c r="I8985" s="1055"/>
      <c r="J8985" s="1055"/>
      <c r="K8985" s="1205"/>
      <c r="L8985" s="1055"/>
      <c r="M8985" s="1205"/>
      <c r="N8985" s="1054"/>
      <c r="O8985" s="1207"/>
      <c r="Q8985" s="1207"/>
    </row>
    <row r="8986" spans="3:17" s="700" customFormat="1" ht="70.5" hidden="1" customHeight="1">
      <c r="C8986" s="701"/>
      <c r="D8986" s="811"/>
      <c r="E8986" s="1276">
        <f>[11]building!Y9317</f>
        <v>0</v>
      </c>
      <c r="F8986" s="748">
        <f t="shared" si="379"/>
        <v>0</v>
      </c>
      <c r="G8986" s="1205"/>
      <c r="H8986" s="1055"/>
      <c r="I8986" s="1055"/>
      <c r="J8986" s="1055"/>
      <c r="K8986" s="1205"/>
      <c r="L8986" s="1055"/>
      <c r="M8986" s="1205"/>
      <c r="N8986" s="1054"/>
      <c r="O8986" s="1207"/>
      <c r="Q8986" s="1207"/>
    </row>
    <row r="8987" spans="3:17" s="700" customFormat="1" ht="70.5" hidden="1" customHeight="1">
      <c r="C8987" s="701"/>
      <c r="D8987" s="811"/>
      <c r="E8987" s="1276">
        <f>[11]building!Y9318</f>
        <v>0</v>
      </c>
      <c r="F8987" s="748">
        <f t="shared" si="379"/>
        <v>0</v>
      </c>
      <c r="G8987" s="1205"/>
      <c r="H8987" s="1055"/>
      <c r="I8987" s="1055"/>
      <c r="J8987" s="1055"/>
      <c r="K8987" s="1205"/>
      <c r="L8987" s="1055"/>
      <c r="M8987" s="1205"/>
      <c r="N8987" s="1054"/>
      <c r="O8987" s="1207"/>
      <c r="Q8987" s="1207"/>
    </row>
    <row r="8988" spans="3:17" s="700" customFormat="1" ht="70.5" hidden="1" customHeight="1">
      <c r="C8988" s="701"/>
      <c r="D8988" s="811"/>
      <c r="E8988" s="1276">
        <f>[11]building!Y9319</f>
        <v>0</v>
      </c>
      <c r="F8988" s="748">
        <f t="shared" si="379"/>
        <v>0</v>
      </c>
      <c r="G8988" s="1205"/>
      <c r="H8988" s="1055"/>
      <c r="I8988" s="1055"/>
      <c r="J8988" s="1055"/>
      <c r="K8988" s="1205"/>
      <c r="L8988" s="1055"/>
      <c r="M8988" s="1205"/>
      <c r="N8988" s="1054"/>
      <c r="O8988" s="1207"/>
      <c r="Q8988" s="1207"/>
    </row>
    <row r="8989" spans="3:17" s="700" customFormat="1" ht="70.5" hidden="1" customHeight="1">
      <c r="C8989" s="701"/>
      <c r="D8989" s="811"/>
      <c r="E8989" s="1276">
        <f>[11]building!Y9320</f>
        <v>0</v>
      </c>
      <c r="F8989" s="748">
        <f t="shared" si="379"/>
        <v>0</v>
      </c>
      <c r="G8989" s="1205"/>
      <c r="H8989" s="1055"/>
      <c r="I8989" s="1055"/>
      <c r="J8989" s="1055"/>
      <c r="K8989" s="1205"/>
      <c r="L8989" s="1055"/>
      <c r="M8989" s="1205"/>
      <c r="N8989" s="1054"/>
      <c r="O8989" s="1207"/>
      <c r="Q8989" s="1207"/>
    </row>
    <row r="8990" spans="3:17" s="700" customFormat="1" ht="70.5" hidden="1" customHeight="1">
      <c r="C8990" s="701"/>
      <c r="D8990" s="811"/>
      <c r="E8990" s="1276">
        <f>[11]building!Y9321</f>
        <v>0</v>
      </c>
      <c r="F8990" s="748">
        <f t="shared" si="379"/>
        <v>0</v>
      </c>
      <c r="G8990" s="1205"/>
      <c r="H8990" s="1055"/>
      <c r="I8990" s="1055"/>
      <c r="J8990" s="1055"/>
      <c r="K8990" s="1205"/>
      <c r="L8990" s="1055"/>
      <c r="M8990" s="1205"/>
      <c r="N8990" s="1054"/>
      <c r="O8990" s="1207"/>
      <c r="Q8990" s="1207"/>
    </row>
    <row r="8991" spans="3:17" s="700" customFormat="1" ht="70.5" hidden="1" customHeight="1">
      <c r="C8991" s="701"/>
      <c r="D8991" s="811"/>
      <c r="E8991" s="1276">
        <f>[11]building!Y9322</f>
        <v>0</v>
      </c>
      <c r="F8991" s="748">
        <f t="shared" si="379"/>
        <v>0</v>
      </c>
      <c r="G8991" s="1205"/>
      <c r="H8991" s="1055"/>
      <c r="I8991" s="1055"/>
      <c r="J8991" s="1055"/>
      <c r="K8991" s="1205"/>
      <c r="L8991" s="1055"/>
      <c r="M8991" s="1205"/>
      <c r="N8991" s="1054"/>
      <c r="O8991" s="1207"/>
      <c r="Q8991" s="1207"/>
    </row>
    <row r="8992" spans="3:17" s="700" customFormat="1" ht="70.5" hidden="1" customHeight="1">
      <c r="C8992" s="701"/>
      <c r="D8992" s="811"/>
      <c r="E8992" s="1276">
        <f>[11]building!Y9323</f>
        <v>0</v>
      </c>
      <c r="F8992" s="748">
        <f t="shared" si="379"/>
        <v>0</v>
      </c>
      <c r="G8992" s="1205"/>
      <c r="H8992" s="1055"/>
      <c r="I8992" s="1055"/>
      <c r="J8992" s="1055"/>
      <c r="K8992" s="1205"/>
      <c r="L8992" s="1055"/>
      <c r="M8992" s="1205"/>
      <c r="N8992" s="1054"/>
      <c r="O8992" s="1207"/>
      <c r="Q8992" s="1207"/>
    </row>
    <row r="8993" spans="3:17" s="700" customFormat="1" ht="70.5" hidden="1" customHeight="1">
      <c r="C8993" s="701"/>
      <c r="D8993" s="811"/>
      <c r="E8993" s="1276">
        <f>[11]building!Y9324</f>
        <v>0</v>
      </c>
      <c r="F8993" s="748">
        <f t="shared" si="379"/>
        <v>0</v>
      </c>
      <c r="G8993" s="1205"/>
      <c r="H8993" s="1055"/>
      <c r="I8993" s="1055"/>
      <c r="J8993" s="1055"/>
      <c r="K8993" s="1205"/>
      <c r="L8993" s="1055"/>
      <c r="M8993" s="1205"/>
      <c r="N8993" s="1054"/>
      <c r="O8993" s="1207"/>
      <c r="Q8993" s="1207"/>
    </row>
    <row r="8994" spans="3:17" s="700" customFormat="1" ht="70.5" hidden="1" customHeight="1">
      <c r="C8994" s="701"/>
      <c r="D8994" s="811"/>
      <c r="E8994" s="1276">
        <f>[11]building!Y9325</f>
        <v>0</v>
      </c>
      <c r="F8994" s="748">
        <f t="shared" si="379"/>
        <v>0</v>
      </c>
      <c r="G8994" s="1205"/>
      <c r="H8994" s="1055"/>
      <c r="I8994" s="1055"/>
      <c r="J8994" s="1055"/>
      <c r="K8994" s="1205"/>
      <c r="L8994" s="1055"/>
      <c r="M8994" s="1205"/>
      <c r="N8994" s="1054"/>
      <c r="O8994" s="1207"/>
      <c r="Q8994" s="1207"/>
    </row>
    <row r="8995" spans="3:17" s="700" customFormat="1" ht="70.5" hidden="1" customHeight="1">
      <c r="C8995" s="701"/>
      <c r="D8995" s="811"/>
      <c r="E8995" s="1276">
        <f>[11]building!Y9326</f>
        <v>0</v>
      </c>
      <c r="F8995" s="748">
        <f t="shared" si="379"/>
        <v>0</v>
      </c>
      <c r="G8995" s="1205"/>
      <c r="H8995" s="1055"/>
      <c r="I8995" s="1055"/>
      <c r="J8995" s="1055"/>
      <c r="K8995" s="1205"/>
      <c r="L8995" s="1055"/>
      <c r="M8995" s="1205"/>
      <c r="N8995" s="1054"/>
      <c r="O8995" s="1207"/>
      <c r="Q8995" s="1207"/>
    </row>
    <row r="8996" spans="3:17" s="700" customFormat="1" ht="70.5" hidden="1" customHeight="1">
      <c r="C8996" s="701"/>
      <c r="D8996" s="811"/>
      <c r="E8996" s="1276">
        <f>[11]building!Y9327</f>
        <v>0</v>
      </c>
      <c r="F8996" s="748">
        <f t="shared" si="379"/>
        <v>0</v>
      </c>
      <c r="G8996" s="1205"/>
      <c r="H8996" s="1055"/>
      <c r="I8996" s="1055"/>
      <c r="J8996" s="1055"/>
      <c r="K8996" s="1205"/>
      <c r="L8996" s="1055"/>
      <c r="M8996" s="1205"/>
      <c r="N8996" s="1054"/>
      <c r="O8996" s="1207"/>
      <c r="Q8996" s="1207"/>
    </row>
    <row r="8997" spans="3:17" s="700" customFormat="1" ht="70.5" hidden="1" customHeight="1">
      <c r="C8997" s="701"/>
      <c r="D8997" s="811"/>
      <c r="E8997" s="1276">
        <f>[11]building!Y9328</f>
        <v>0</v>
      </c>
      <c r="F8997" s="748">
        <f t="shared" si="379"/>
        <v>0</v>
      </c>
      <c r="G8997" s="1205"/>
      <c r="H8997" s="1055"/>
      <c r="I8997" s="1055"/>
      <c r="J8997" s="1055"/>
      <c r="K8997" s="1205"/>
      <c r="L8997" s="1055"/>
      <c r="M8997" s="1205"/>
      <c r="N8997" s="1054"/>
      <c r="O8997" s="1207"/>
      <c r="Q8997" s="1207"/>
    </row>
    <row r="8998" spans="3:17" s="700" customFormat="1" ht="70.5" hidden="1" customHeight="1">
      <c r="C8998" s="701"/>
      <c r="D8998" s="811"/>
      <c r="E8998" s="1276">
        <f>[11]building!Y9329</f>
        <v>0</v>
      </c>
      <c r="F8998" s="748">
        <f t="shared" si="379"/>
        <v>0</v>
      </c>
      <c r="G8998" s="1205"/>
      <c r="H8998" s="1055"/>
      <c r="I8998" s="1055"/>
      <c r="J8998" s="1055"/>
      <c r="K8998" s="1205"/>
      <c r="L8998" s="1055"/>
      <c r="M8998" s="1205"/>
      <c r="N8998" s="1054"/>
      <c r="O8998" s="1207"/>
      <c r="Q8998" s="1207"/>
    </row>
    <row r="8999" spans="3:17" s="700" customFormat="1" ht="70.5" hidden="1" customHeight="1">
      <c r="C8999" s="701"/>
      <c r="D8999" s="811"/>
      <c r="E8999" s="1276">
        <f>[11]building!Y9330</f>
        <v>0</v>
      </c>
      <c r="F8999" s="748">
        <f t="shared" si="379"/>
        <v>0</v>
      </c>
      <c r="G8999" s="1205"/>
      <c r="H8999" s="1055"/>
      <c r="I8999" s="1055"/>
      <c r="J8999" s="1055"/>
      <c r="K8999" s="1205"/>
      <c r="L8999" s="1055"/>
      <c r="M8999" s="1205"/>
      <c r="N8999" s="1054"/>
      <c r="O8999" s="1207"/>
      <c r="Q8999" s="1207"/>
    </row>
    <row r="9000" spans="3:17" s="700" customFormat="1" ht="70.5" hidden="1" customHeight="1">
      <c r="C9000" s="701"/>
      <c r="D9000" s="811"/>
      <c r="E9000" s="1276">
        <f>[11]building!Y9331</f>
        <v>0</v>
      </c>
      <c r="F9000" s="748">
        <f t="shared" si="379"/>
        <v>0</v>
      </c>
      <c r="G9000" s="1205"/>
      <c r="H9000" s="1055"/>
      <c r="I9000" s="1055"/>
      <c r="J9000" s="1055"/>
      <c r="K9000" s="1205"/>
      <c r="L9000" s="1055"/>
      <c r="M9000" s="1205"/>
      <c r="N9000" s="1054"/>
      <c r="O9000" s="1207"/>
      <c r="Q9000" s="1207"/>
    </row>
    <row r="9001" spans="3:17" s="700" customFormat="1" ht="70.5" hidden="1" customHeight="1">
      <c r="C9001" s="701"/>
      <c r="D9001" s="811"/>
      <c r="E9001" s="1276">
        <f>[11]building!Y9332</f>
        <v>0</v>
      </c>
      <c r="F9001" s="748">
        <f t="shared" si="379"/>
        <v>0</v>
      </c>
      <c r="G9001" s="1205"/>
      <c r="H9001" s="1055"/>
      <c r="I9001" s="1055"/>
      <c r="J9001" s="1055"/>
      <c r="K9001" s="1205"/>
      <c r="L9001" s="1055"/>
      <c r="M9001" s="1205"/>
      <c r="N9001" s="1054"/>
      <c r="O9001" s="1207"/>
      <c r="Q9001" s="1207"/>
    </row>
    <row r="9002" spans="3:17" s="700" customFormat="1" ht="70.5" hidden="1" customHeight="1">
      <c r="C9002" s="701"/>
      <c r="D9002" s="811"/>
      <c r="E9002" s="1276">
        <f>[11]building!Y9333</f>
        <v>0</v>
      </c>
      <c r="F9002" s="748">
        <f t="shared" si="379"/>
        <v>0</v>
      </c>
      <c r="G9002" s="1205"/>
      <c r="H9002" s="1055"/>
      <c r="I9002" s="1055"/>
      <c r="J9002" s="1055"/>
      <c r="K9002" s="1205"/>
      <c r="L9002" s="1055"/>
      <c r="M9002" s="1205"/>
      <c r="N9002" s="1054"/>
      <c r="O9002" s="1207"/>
      <c r="Q9002" s="1207"/>
    </row>
    <row r="9003" spans="3:17" s="700" customFormat="1" ht="70.5" hidden="1" customHeight="1">
      <c r="C9003" s="701"/>
      <c r="D9003" s="811"/>
      <c r="E9003" s="1276">
        <f>[11]building!Y9334</f>
        <v>0</v>
      </c>
      <c r="F9003" s="748">
        <f t="shared" si="379"/>
        <v>0</v>
      </c>
      <c r="G9003" s="1205"/>
      <c r="H9003" s="1055"/>
      <c r="I9003" s="1055"/>
      <c r="J9003" s="1055"/>
      <c r="K9003" s="1205"/>
      <c r="L9003" s="1055"/>
      <c r="M9003" s="1205"/>
      <c r="N9003" s="1054"/>
      <c r="O9003" s="1207"/>
      <c r="Q9003" s="1207"/>
    </row>
    <row r="9004" spans="3:17" s="700" customFormat="1" ht="70.5" hidden="1" customHeight="1">
      <c r="C9004" s="701"/>
      <c r="D9004" s="811"/>
      <c r="E9004" s="1276">
        <f>[11]building!Y9335</f>
        <v>0</v>
      </c>
      <c r="F9004" s="748">
        <f t="shared" si="379"/>
        <v>0</v>
      </c>
      <c r="G9004" s="1205"/>
      <c r="H9004" s="1055"/>
      <c r="I9004" s="1055"/>
      <c r="J9004" s="1055"/>
      <c r="K9004" s="1205"/>
      <c r="L9004" s="1055"/>
      <c r="M9004" s="1205"/>
      <c r="N9004" s="1054"/>
      <c r="O9004" s="1207"/>
      <c r="Q9004" s="1207"/>
    </row>
    <row r="9005" spans="3:17" s="700" customFormat="1" ht="70.5" hidden="1" customHeight="1">
      <c r="C9005" s="701"/>
      <c r="D9005" s="811"/>
      <c r="E9005" s="1276">
        <f>[11]building!Y9336</f>
        <v>0</v>
      </c>
      <c r="F9005" s="748">
        <f t="shared" si="379"/>
        <v>0</v>
      </c>
      <c r="G9005" s="1205"/>
      <c r="H9005" s="1055"/>
      <c r="I9005" s="1055"/>
      <c r="J9005" s="1055"/>
      <c r="K9005" s="1205"/>
      <c r="L9005" s="1055"/>
      <c r="M9005" s="1205"/>
      <c r="N9005" s="1054"/>
      <c r="O9005" s="1207"/>
      <c r="Q9005" s="1207"/>
    </row>
    <row r="9006" spans="3:17" s="700" customFormat="1" ht="70.5" hidden="1" customHeight="1">
      <c r="C9006" s="701"/>
      <c r="D9006" s="811"/>
      <c r="E9006" s="1276">
        <f>[11]building!Y9337</f>
        <v>0</v>
      </c>
      <c r="F9006" s="748">
        <f t="shared" si="379"/>
        <v>0</v>
      </c>
      <c r="G9006" s="1205"/>
      <c r="H9006" s="1055"/>
      <c r="I9006" s="1055"/>
      <c r="J9006" s="1055"/>
      <c r="K9006" s="1205"/>
      <c r="L9006" s="1055"/>
      <c r="M9006" s="1205"/>
      <c r="N9006" s="1054"/>
      <c r="O9006" s="1207"/>
      <c r="Q9006" s="1207"/>
    </row>
    <row r="9007" spans="3:17" s="700" customFormat="1" ht="70.5" hidden="1" customHeight="1">
      <c r="C9007" s="701"/>
      <c r="D9007" s="811"/>
      <c r="E9007" s="1276">
        <f>[11]building!Y9338</f>
        <v>0</v>
      </c>
      <c r="F9007" s="748">
        <f t="shared" si="379"/>
        <v>0</v>
      </c>
      <c r="G9007" s="1205"/>
      <c r="H9007" s="1055"/>
      <c r="I9007" s="1055"/>
      <c r="J9007" s="1055"/>
      <c r="K9007" s="1205"/>
      <c r="L9007" s="1055"/>
      <c r="M9007" s="1205"/>
      <c r="N9007" s="1054"/>
      <c r="O9007" s="1207"/>
      <c r="Q9007" s="1207"/>
    </row>
    <row r="9008" spans="3:17" s="700" customFormat="1" ht="70.5" hidden="1" customHeight="1">
      <c r="C9008" s="701"/>
      <c r="D9008" s="811"/>
      <c r="E9008" s="1276">
        <f>[11]building!Y9339</f>
        <v>0</v>
      </c>
      <c r="F9008" s="748">
        <f t="shared" si="379"/>
        <v>0</v>
      </c>
      <c r="G9008" s="1205"/>
      <c r="H9008" s="1055"/>
      <c r="I9008" s="1055"/>
      <c r="J9008" s="1055"/>
      <c r="K9008" s="1205"/>
      <c r="L9008" s="1055"/>
      <c r="M9008" s="1205"/>
      <c r="N9008" s="1054"/>
      <c r="O9008" s="1207"/>
      <c r="Q9008" s="1207"/>
    </row>
    <row r="9009" spans="3:17" s="700" customFormat="1" ht="70.5" hidden="1" customHeight="1">
      <c r="C9009" s="701"/>
      <c r="D9009" s="811"/>
      <c r="E9009" s="1276">
        <f>[11]building!Y9340</f>
        <v>0</v>
      </c>
      <c r="F9009" s="748">
        <f t="shared" si="379"/>
        <v>0</v>
      </c>
      <c r="G9009" s="1205"/>
      <c r="H9009" s="1055"/>
      <c r="I9009" s="1055"/>
      <c r="J9009" s="1055"/>
      <c r="K9009" s="1205"/>
      <c r="L9009" s="1055"/>
      <c r="M9009" s="1205"/>
      <c r="N9009" s="1054"/>
      <c r="O9009" s="1207"/>
      <c r="Q9009" s="1207"/>
    </row>
    <row r="9010" spans="3:17" s="700" customFormat="1" ht="70.5" hidden="1" customHeight="1">
      <c r="C9010" s="701"/>
      <c r="D9010" s="811"/>
      <c r="E9010" s="1276">
        <f>[11]building!Y9341</f>
        <v>0</v>
      </c>
      <c r="F9010" s="748">
        <f t="shared" si="379"/>
        <v>0</v>
      </c>
      <c r="G9010" s="1205"/>
      <c r="H9010" s="1055"/>
      <c r="I9010" s="1055"/>
      <c r="J9010" s="1055"/>
      <c r="K9010" s="1205"/>
      <c r="L9010" s="1055"/>
      <c r="M9010" s="1205"/>
      <c r="N9010" s="1054"/>
      <c r="O9010" s="1207"/>
      <c r="Q9010" s="1207"/>
    </row>
    <row r="9011" spans="3:17" s="700" customFormat="1" ht="70.5" hidden="1" customHeight="1">
      <c r="C9011" s="701"/>
      <c r="D9011" s="811"/>
      <c r="E9011" s="1276">
        <f>[11]building!Y9342</f>
        <v>0</v>
      </c>
      <c r="F9011" s="748">
        <f t="shared" si="379"/>
        <v>0</v>
      </c>
      <c r="G9011" s="1205"/>
      <c r="H9011" s="1055"/>
      <c r="I9011" s="1055"/>
      <c r="J9011" s="1055"/>
      <c r="K9011" s="1205"/>
      <c r="L9011" s="1055"/>
      <c r="M9011" s="1205"/>
      <c r="N9011" s="1054"/>
      <c r="O9011" s="1207"/>
      <c r="Q9011" s="1207"/>
    </row>
    <row r="9012" spans="3:17" s="700" customFormat="1" ht="70.5" hidden="1" customHeight="1">
      <c r="C9012" s="701"/>
      <c r="D9012" s="811"/>
      <c r="E9012" s="1276">
        <f>[11]building!Y9343</f>
        <v>0</v>
      </c>
      <c r="F9012" s="748">
        <f t="shared" si="379"/>
        <v>0</v>
      </c>
      <c r="G9012" s="1205"/>
      <c r="H9012" s="1055"/>
      <c r="I9012" s="1055"/>
      <c r="J9012" s="1055"/>
      <c r="K9012" s="1205"/>
      <c r="L9012" s="1055"/>
      <c r="M9012" s="1205"/>
      <c r="N9012" s="1054"/>
      <c r="O9012" s="1207"/>
      <c r="Q9012" s="1207"/>
    </row>
    <row r="9013" spans="3:17" s="700" customFormat="1" ht="70.5" hidden="1" customHeight="1">
      <c r="C9013" s="701"/>
      <c r="D9013" s="811"/>
      <c r="E9013" s="1276">
        <f>[11]building!Y9344</f>
        <v>0</v>
      </c>
      <c r="F9013" s="748">
        <f t="shared" si="379"/>
        <v>0</v>
      </c>
      <c r="G9013" s="1205"/>
      <c r="H9013" s="1055"/>
      <c r="I9013" s="1055"/>
      <c r="J9013" s="1055"/>
      <c r="K9013" s="1205"/>
      <c r="L9013" s="1055"/>
      <c r="M9013" s="1205"/>
      <c r="N9013" s="1054"/>
      <c r="O9013" s="1207"/>
      <c r="Q9013" s="1207"/>
    </row>
    <row r="9014" spans="3:17" s="700" customFormat="1" ht="70.5" hidden="1" customHeight="1">
      <c r="C9014" s="701"/>
      <c r="D9014" s="811"/>
      <c r="E9014" s="1276">
        <f>[11]building!Y9345</f>
        <v>0</v>
      </c>
      <c r="F9014" s="748">
        <f t="shared" si="379"/>
        <v>0</v>
      </c>
      <c r="G9014" s="1205"/>
      <c r="H9014" s="1055"/>
      <c r="I9014" s="1055"/>
      <c r="J9014" s="1055"/>
      <c r="K9014" s="1205"/>
      <c r="L9014" s="1055"/>
      <c r="M9014" s="1205"/>
      <c r="N9014" s="1054"/>
      <c r="O9014" s="1207"/>
      <c r="Q9014" s="1207"/>
    </row>
    <row r="9015" spans="3:17" s="700" customFormat="1" ht="70.5" hidden="1" customHeight="1">
      <c r="C9015" s="701"/>
      <c r="D9015" s="811"/>
      <c r="E9015" s="1276">
        <f>[11]building!Y9346</f>
        <v>0</v>
      </c>
      <c r="F9015" s="748">
        <f t="shared" si="379"/>
        <v>0</v>
      </c>
      <c r="G9015" s="1205"/>
      <c r="H9015" s="1055"/>
      <c r="I9015" s="1055"/>
      <c r="J9015" s="1055"/>
      <c r="K9015" s="1205"/>
      <c r="L9015" s="1055"/>
      <c r="M9015" s="1205"/>
      <c r="N9015" s="1054"/>
      <c r="O9015" s="1207"/>
      <c r="Q9015" s="1207"/>
    </row>
    <row r="9016" spans="3:17" s="700" customFormat="1" ht="70.5" hidden="1" customHeight="1">
      <c r="C9016" s="701"/>
      <c r="D9016" s="811"/>
      <c r="E9016" s="1276">
        <f>[11]building!Y9347</f>
        <v>0</v>
      </c>
      <c r="F9016" s="748">
        <f t="shared" si="379"/>
        <v>0</v>
      </c>
      <c r="G9016" s="1205"/>
      <c r="H9016" s="1055"/>
      <c r="I9016" s="1055"/>
      <c r="J9016" s="1055"/>
      <c r="K9016" s="1205"/>
      <c r="L9016" s="1055"/>
      <c r="M9016" s="1205"/>
      <c r="N9016" s="1054"/>
      <c r="O9016" s="1207"/>
      <c r="Q9016" s="1207"/>
    </row>
    <row r="9017" spans="3:17" s="700" customFormat="1" ht="70.5" hidden="1" customHeight="1">
      <c r="C9017" s="701"/>
      <c r="D9017" s="811"/>
      <c r="E9017" s="1276">
        <f>[11]building!Y9348</f>
        <v>0</v>
      </c>
      <c r="F9017" s="748">
        <f t="shared" si="379"/>
        <v>0</v>
      </c>
      <c r="G9017" s="1205"/>
      <c r="H9017" s="1055"/>
      <c r="I9017" s="1055"/>
      <c r="J9017" s="1055"/>
      <c r="K9017" s="1205"/>
      <c r="L9017" s="1055"/>
      <c r="M9017" s="1205"/>
      <c r="N9017" s="1054"/>
      <c r="O9017" s="1207"/>
      <c r="Q9017" s="1207"/>
    </row>
    <row r="9018" spans="3:17" s="700" customFormat="1" ht="70.5" hidden="1" customHeight="1">
      <c r="C9018" s="701"/>
      <c r="D9018" s="811"/>
      <c r="E9018" s="1276">
        <f>[11]building!Y9349</f>
        <v>0</v>
      </c>
      <c r="F9018" s="748">
        <f t="shared" si="379"/>
        <v>0</v>
      </c>
      <c r="G9018" s="1205"/>
      <c r="H9018" s="1055"/>
      <c r="I9018" s="1055"/>
      <c r="J9018" s="1055"/>
      <c r="K9018" s="1205"/>
      <c r="L9018" s="1055"/>
      <c r="M9018" s="1205"/>
      <c r="N9018" s="1054"/>
      <c r="O9018" s="1207"/>
      <c r="Q9018" s="1207"/>
    </row>
    <row r="9019" spans="3:17" s="700" customFormat="1" ht="70.5" hidden="1" customHeight="1">
      <c r="C9019" s="701"/>
      <c r="D9019" s="811"/>
      <c r="E9019" s="1276">
        <f>[11]building!Y9350</f>
        <v>0</v>
      </c>
      <c r="F9019" s="748">
        <f t="shared" si="379"/>
        <v>0</v>
      </c>
      <c r="G9019" s="1205"/>
      <c r="H9019" s="1055"/>
      <c r="I9019" s="1055"/>
      <c r="J9019" s="1055"/>
      <c r="K9019" s="1205"/>
      <c r="L9019" s="1055"/>
      <c r="M9019" s="1205"/>
      <c r="N9019" s="1054"/>
      <c r="O9019" s="1207"/>
      <c r="Q9019" s="1207"/>
    </row>
    <row r="9020" spans="3:17" s="700" customFormat="1" ht="70.5" hidden="1" customHeight="1">
      <c r="C9020" s="701"/>
      <c r="D9020" s="811"/>
      <c r="E9020" s="1276">
        <f>[11]building!Y9351</f>
        <v>0</v>
      </c>
      <c r="F9020" s="748">
        <f t="shared" si="379"/>
        <v>0</v>
      </c>
      <c r="G9020" s="1205"/>
      <c r="H9020" s="1055"/>
      <c r="I9020" s="1055"/>
      <c r="J9020" s="1055"/>
      <c r="K9020" s="1205"/>
      <c r="L9020" s="1055"/>
      <c r="M9020" s="1205"/>
      <c r="N9020" s="1054"/>
      <c r="O9020" s="1207"/>
      <c r="Q9020" s="1207"/>
    </row>
    <row r="9021" spans="3:17" s="700" customFormat="1" ht="70.5" hidden="1" customHeight="1">
      <c r="C9021" s="701"/>
      <c r="D9021" s="811"/>
      <c r="E9021" s="1276">
        <f>[11]building!Y9352</f>
        <v>0</v>
      </c>
      <c r="F9021" s="748">
        <f t="shared" si="379"/>
        <v>0</v>
      </c>
      <c r="G9021" s="1205"/>
      <c r="H9021" s="1055"/>
      <c r="I9021" s="1055"/>
      <c r="J9021" s="1055"/>
      <c r="K9021" s="1205"/>
      <c r="L9021" s="1055"/>
      <c r="M9021" s="1205"/>
      <c r="N9021" s="1054"/>
      <c r="O9021" s="1207"/>
      <c r="Q9021" s="1207"/>
    </row>
    <row r="9022" spans="3:17" s="700" customFormat="1" ht="70.5" hidden="1" customHeight="1">
      <c r="C9022" s="701"/>
      <c r="D9022" s="811"/>
      <c r="E9022" s="1276">
        <f>[11]building!Y9353</f>
        <v>0</v>
      </c>
      <c r="F9022" s="748">
        <f t="shared" si="379"/>
        <v>0</v>
      </c>
      <c r="G9022" s="1205"/>
      <c r="H9022" s="1055"/>
      <c r="I9022" s="1055"/>
      <c r="J9022" s="1055"/>
      <c r="K9022" s="1205"/>
      <c r="L9022" s="1055"/>
      <c r="M9022" s="1205"/>
      <c r="N9022" s="1054"/>
      <c r="O9022" s="1207"/>
      <c r="Q9022" s="1207"/>
    </row>
    <row r="9023" spans="3:17" s="700" customFormat="1" ht="70.5" hidden="1" customHeight="1">
      <c r="C9023" s="701"/>
      <c r="D9023" s="811"/>
      <c r="E9023" s="1276">
        <f>[11]building!Y9354</f>
        <v>0</v>
      </c>
      <c r="F9023" s="748">
        <f t="shared" si="379"/>
        <v>0</v>
      </c>
      <c r="G9023" s="1205"/>
      <c r="H9023" s="1055"/>
      <c r="I9023" s="1055"/>
      <c r="J9023" s="1055"/>
      <c r="K9023" s="1205"/>
      <c r="L9023" s="1055"/>
      <c r="M9023" s="1205"/>
      <c r="N9023" s="1054"/>
      <c r="O9023" s="1207"/>
      <c r="Q9023" s="1207"/>
    </row>
    <row r="9024" spans="3:17" s="700" customFormat="1" ht="70.5" hidden="1" customHeight="1">
      <c r="C9024" s="701"/>
      <c r="D9024" s="811"/>
      <c r="E9024" s="1276">
        <f>[11]building!Y9355</f>
        <v>0</v>
      </c>
      <c r="F9024" s="748">
        <f t="shared" ref="F9024:F9087" si="380">E9024*C9024</f>
        <v>0</v>
      </c>
      <c r="G9024" s="1205"/>
      <c r="H9024" s="1055"/>
      <c r="I9024" s="1055"/>
      <c r="J9024" s="1055"/>
      <c r="K9024" s="1205"/>
      <c r="L9024" s="1055"/>
      <c r="M9024" s="1205"/>
      <c r="N9024" s="1054"/>
      <c r="O9024" s="1207"/>
      <c r="Q9024" s="1207"/>
    </row>
    <row r="9025" spans="3:17" s="700" customFormat="1" ht="70.5" hidden="1" customHeight="1">
      <c r="C9025" s="701"/>
      <c r="D9025" s="811"/>
      <c r="E9025" s="1276">
        <f>[11]building!Y9356</f>
        <v>0</v>
      </c>
      <c r="F9025" s="748">
        <f t="shared" si="380"/>
        <v>0</v>
      </c>
      <c r="G9025" s="1205"/>
      <c r="H9025" s="1055"/>
      <c r="I9025" s="1055"/>
      <c r="J9025" s="1055"/>
      <c r="K9025" s="1205"/>
      <c r="L9025" s="1055"/>
      <c r="M9025" s="1205"/>
      <c r="N9025" s="1054"/>
      <c r="O9025" s="1207"/>
      <c r="Q9025" s="1207"/>
    </row>
    <row r="9026" spans="3:17" s="700" customFormat="1" ht="70.5" hidden="1" customHeight="1">
      <c r="C9026" s="701"/>
      <c r="D9026" s="811"/>
      <c r="E9026" s="1276">
        <f>[11]building!Y9357</f>
        <v>0</v>
      </c>
      <c r="F9026" s="748">
        <f t="shared" si="380"/>
        <v>0</v>
      </c>
      <c r="G9026" s="1205"/>
      <c r="H9026" s="1055"/>
      <c r="I9026" s="1055"/>
      <c r="J9026" s="1055"/>
      <c r="K9026" s="1205"/>
      <c r="L9026" s="1055"/>
      <c r="M9026" s="1205"/>
      <c r="N9026" s="1054"/>
      <c r="O9026" s="1207"/>
      <c r="Q9026" s="1207"/>
    </row>
    <row r="9027" spans="3:17" s="700" customFormat="1" ht="70.5" hidden="1" customHeight="1">
      <c r="C9027" s="701"/>
      <c r="D9027" s="811"/>
      <c r="E9027" s="1276">
        <f>[11]building!Y9358</f>
        <v>0</v>
      </c>
      <c r="F9027" s="748">
        <f t="shared" si="380"/>
        <v>0</v>
      </c>
      <c r="G9027" s="1205"/>
      <c r="H9027" s="1055"/>
      <c r="I9027" s="1055"/>
      <c r="J9027" s="1055"/>
      <c r="K9027" s="1205"/>
      <c r="L9027" s="1055"/>
      <c r="M9027" s="1205"/>
      <c r="N9027" s="1054"/>
      <c r="O9027" s="1207"/>
      <c r="Q9027" s="1207"/>
    </row>
    <row r="9028" spans="3:17" s="700" customFormat="1" ht="70.5" hidden="1" customHeight="1">
      <c r="C9028" s="701"/>
      <c r="D9028" s="811"/>
      <c r="E9028" s="1276">
        <f>[11]building!Y9359</f>
        <v>0</v>
      </c>
      <c r="F9028" s="748">
        <f t="shared" si="380"/>
        <v>0</v>
      </c>
      <c r="G9028" s="1205"/>
      <c r="H9028" s="1055"/>
      <c r="I9028" s="1055"/>
      <c r="J9028" s="1055"/>
      <c r="K9028" s="1205"/>
      <c r="L9028" s="1055"/>
      <c r="M9028" s="1205"/>
      <c r="N9028" s="1054"/>
      <c r="O9028" s="1207"/>
      <c r="Q9028" s="1207"/>
    </row>
    <row r="9029" spans="3:17" s="700" customFormat="1" ht="70.5" hidden="1" customHeight="1">
      <c r="C9029" s="701"/>
      <c r="D9029" s="811"/>
      <c r="E9029" s="1276">
        <f>[11]building!Y9360</f>
        <v>0</v>
      </c>
      <c r="F9029" s="748">
        <f t="shared" si="380"/>
        <v>0</v>
      </c>
      <c r="G9029" s="1205"/>
      <c r="H9029" s="1055"/>
      <c r="I9029" s="1055"/>
      <c r="J9029" s="1055"/>
      <c r="K9029" s="1205"/>
      <c r="L9029" s="1055"/>
      <c r="M9029" s="1205"/>
      <c r="N9029" s="1054"/>
      <c r="O9029" s="1207"/>
      <c r="Q9029" s="1207"/>
    </row>
    <row r="9030" spans="3:17" s="700" customFormat="1" ht="70.5" hidden="1" customHeight="1">
      <c r="C9030" s="701"/>
      <c r="D9030" s="811"/>
      <c r="E9030" s="1276">
        <f>[11]building!Y9361</f>
        <v>0</v>
      </c>
      <c r="F9030" s="748">
        <f t="shared" si="380"/>
        <v>0</v>
      </c>
      <c r="G9030" s="1205"/>
      <c r="H9030" s="1055"/>
      <c r="I9030" s="1055"/>
      <c r="J9030" s="1055"/>
      <c r="K9030" s="1205"/>
      <c r="L9030" s="1055"/>
      <c r="M9030" s="1205"/>
      <c r="N9030" s="1054"/>
      <c r="O9030" s="1207"/>
      <c r="Q9030" s="1207"/>
    </row>
    <row r="9031" spans="3:17" s="700" customFormat="1" ht="70.5" hidden="1" customHeight="1">
      <c r="C9031" s="701"/>
      <c r="D9031" s="811"/>
      <c r="E9031" s="1276">
        <f>[11]building!Y9362</f>
        <v>0</v>
      </c>
      <c r="F9031" s="748">
        <f t="shared" si="380"/>
        <v>0</v>
      </c>
      <c r="G9031" s="1205"/>
      <c r="H9031" s="1055"/>
      <c r="I9031" s="1055"/>
      <c r="J9031" s="1055"/>
      <c r="K9031" s="1205"/>
      <c r="L9031" s="1055"/>
      <c r="M9031" s="1205"/>
      <c r="N9031" s="1054"/>
      <c r="O9031" s="1207"/>
      <c r="Q9031" s="1207"/>
    </row>
    <row r="9032" spans="3:17" s="700" customFormat="1" ht="70.5" hidden="1" customHeight="1">
      <c r="C9032" s="701"/>
      <c r="D9032" s="811"/>
      <c r="E9032" s="1276">
        <f>[11]building!Y9363</f>
        <v>0</v>
      </c>
      <c r="F9032" s="748">
        <f t="shared" si="380"/>
        <v>0</v>
      </c>
      <c r="G9032" s="1205"/>
      <c r="H9032" s="1055"/>
      <c r="I9032" s="1055"/>
      <c r="J9032" s="1055"/>
      <c r="K9032" s="1205"/>
      <c r="L9032" s="1055"/>
      <c r="M9032" s="1205"/>
      <c r="N9032" s="1054"/>
      <c r="O9032" s="1207"/>
      <c r="Q9032" s="1207"/>
    </row>
    <row r="9033" spans="3:17" s="700" customFormat="1" ht="70.5" hidden="1" customHeight="1">
      <c r="C9033" s="701"/>
      <c r="D9033" s="811"/>
      <c r="E9033" s="1276">
        <f>[11]building!Y9364</f>
        <v>0</v>
      </c>
      <c r="F9033" s="748">
        <f t="shared" si="380"/>
        <v>0</v>
      </c>
      <c r="G9033" s="1205"/>
      <c r="H9033" s="1055"/>
      <c r="I9033" s="1055"/>
      <c r="J9033" s="1055"/>
      <c r="K9033" s="1205"/>
      <c r="L9033" s="1055"/>
      <c r="M9033" s="1205"/>
      <c r="N9033" s="1054"/>
      <c r="O9033" s="1207"/>
      <c r="Q9033" s="1207"/>
    </row>
    <row r="9034" spans="3:17" s="700" customFormat="1" ht="70.5" hidden="1" customHeight="1">
      <c r="C9034" s="701"/>
      <c r="D9034" s="811"/>
      <c r="E9034" s="1276">
        <f>[11]building!Y9365</f>
        <v>0</v>
      </c>
      <c r="F9034" s="748">
        <f t="shared" si="380"/>
        <v>0</v>
      </c>
      <c r="G9034" s="1205"/>
      <c r="H9034" s="1055"/>
      <c r="I9034" s="1055"/>
      <c r="J9034" s="1055"/>
      <c r="K9034" s="1205"/>
      <c r="L9034" s="1055"/>
      <c r="M9034" s="1205"/>
      <c r="N9034" s="1054"/>
      <c r="O9034" s="1207"/>
      <c r="Q9034" s="1207"/>
    </row>
    <row r="9035" spans="3:17" s="700" customFormat="1" ht="70.5" hidden="1" customHeight="1">
      <c r="C9035" s="701"/>
      <c r="D9035" s="811"/>
      <c r="E9035" s="1276">
        <f>[11]building!Y9366</f>
        <v>0</v>
      </c>
      <c r="F9035" s="748">
        <f t="shared" si="380"/>
        <v>0</v>
      </c>
      <c r="G9035" s="1205"/>
      <c r="H9035" s="1055"/>
      <c r="I9035" s="1055"/>
      <c r="J9035" s="1055"/>
      <c r="K9035" s="1205"/>
      <c r="L9035" s="1055"/>
      <c r="M9035" s="1205"/>
      <c r="N9035" s="1054"/>
      <c r="O9035" s="1207"/>
      <c r="Q9035" s="1207"/>
    </row>
    <row r="9036" spans="3:17" s="700" customFormat="1" ht="70.5" hidden="1" customHeight="1">
      <c r="C9036" s="701"/>
      <c r="D9036" s="811"/>
      <c r="E9036" s="1276">
        <f>[11]building!Y9367</f>
        <v>0</v>
      </c>
      <c r="F9036" s="748">
        <f t="shared" si="380"/>
        <v>0</v>
      </c>
      <c r="G9036" s="1205"/>
      <c r="H9036" s="1055"/>
      <c r="I9036" s="1055"/>
      <c r="J9036" s="1055"/>
      <c r="K9036" s="1205"/>
      <c r="L9036" s="1055"/>
      <c r="M9036" s="1205"/>
      <c r="N9036" s="1054"/>
      <c r="O9036" s="1207"/>
      <c r="Q9036" s="1207"/>
    </row>
    <row r="9037" spans="3:17" s="700" customFormat="1" ht="70.5" hidden="1" customHeight="1">
      <c r="C9037" s="701"/>
      <c r="D9037" s="811"/>
      <c r="E9037" s="1276">
        <f>[11]building!Y9368</f>
        <v>0</v>
      </c>
      <c r="F9037" s="748">
        <f t="shared" si="380"/>
        <v>0</v>
      </c>
      <c r="G9037" s="1205"/>
      <c r="H9037" s="1055"/>
      <c r="I9037" s="1055"/>
      <c r="J9037" s="1055"/>
      <c r="K9037" s="1205"/>
      <c r="L9037" s="1055"/>
      <c r="M9037" s="1205"/>
      <c r="N9037" s="1054"/>
      <c r="O9037" s="1207"/>
      <c r="Q9037" s="1207"/>
    </row>
    <row r="9038" spans="3:17" s="700" customFormat="1" ht="70.5" hidden="1" customHeight="1">
      <c r="C9038" s="701"/>
      <c r="D9038" s="811"/>
      <c r="E9038" s="1276">
        <f>[11]building!Y9369</f>
        <v>0</v>
      </c>
      <c r="F9038" s="748">
        <f t="shared" si="380"/>
        <v>0</v>
      </c>
      <c r="G9038" s="1205"/>
      <c r="H9038" s="1055"/>
      <c r="I9038" s="1055"/>
      <c r="J9038" s="1055"/>
      <c r="K9038" s="1205"/>
      <c r="L9038" s="1055"/>
      <c r="M9038" s="1205"/>
      <c r="N9038" s="1054"/>
      <c r="O9038" s="1207"/>
      <c r="Q9038" s="1207"/>
    </row>
    <row r="9039" spans="3:17" s="700" customFormat="1" ht="70.5" hidden="1" customHeight="1">
      <c r="C9039" s="701"/>
      <c r="D9039" s="811"/>
      <c r="E9039" s="1276">
        <f>[11]building!Y9370</f>
        <v>0</v>
      </c>
      <c r="F9039" s="748">
        <f t="shared" si="380"/>
        <v>0</v>
      </c>
      <c r="G9039" s="1205"/>
      <c r="H9039" s="1055"/>
      <c r="I9039" s="1055"/>
      <c r="J9039" s="1055"/>
      <c r="K9039" s="1205"/>
      <c r="L9039" s="1055"/>
      <c r="M9039" s="1205"/>
      <c r="N9039" s="1054"/>
      <c r="O9039" s="1207"/>
      <c r="Q9039" s="1207"/>
    </row>
    <row r="9040" spans="3:17" s="700" customFormat="1" ht="70.5" hidden="1" customHeight="1">
      <c r="C9040" s="701"/>
      <c r="D9040" s="811"/>
      <c r="E9040" s="1276">
        <f>[11]building!Y9371</f>
        <v>0</v>
      </c>
      <c r="F9040" s="748">
        <f t="shared" si="380"/>
        <v>0</v>
      </c>
      <c r="G9040" s="1205"/>
      <c r="H9040" s="1055"/>
      <c r="I9040" s="1055"/>
      <c r="J9040" s="1055"/>
      <c r="K9040" s="1205"/>
      <c r="L9040" s="1055"/>
      <c r="M9040" s="1205"/>
      <c r="N9040" s="1054"/>
      <c r="O9040" s="1207"/>
      <c r="Q9040" s="1207"/>
    </row>
    <row r="9041" spans="3:17" s="700" customFormat="1" ht="70.5" hidden="1" customHeight="1">
      <c r="C9041" s="701"/>
      <c r="D9041" s="811"/>
      <c r="E9041" s="1276">
        <f>[11]building!Y9372</f>
        <v>0</v>
      </c>
      <c r="F9041" s="748">
        <f t="shared" si="380"/>
        <v>0</v>
      </c>
      <c r="G9041" s="1205"/>
      <c r="H9041" s="1055"/>
      <c r="I9041" s="1055"/>
      <c r="J9041" s="1055"/>
      <c r="K9041" s="1205"/>
      <c r="L9041" s="1055"/>
      <c r="M9041" s="1205"/>
      <c r="N9041" s="1054"/>
      <c r="O9041" s="1207"/>
      <c r="Q9041" s="1207"/>
    </row>
    <row r="9042" spans="3:17" s="700" customFormat="1" ht="70.5" hidden="1" customHeight="1">
      <c r="C9042" s="701"/>
      <c r="D9042" s="811"/>
      <c r="E9042" s="1276">
        <f>[11]building!Y9373</f>
        <v>0</v>
      </c>
      <c r="F9042" s="748">
        <f t="shared" si="380"/>
        <v>0</v>
      </c>
      <c r="G9042" s="1205"/>
      <c r="H9042" s="1055"/>
      <c r="I9042" s="1055"/>
      <c r="J9042" s="1055"/>
      <c r="K9042" s="1205"/>
      <c r="L9042" s="1055"/>
      <c r="M9042" s="1205"/>
      <c r="N9042" s="1054"/>
      <c r="O9042" s="1207"/>
      <c r="Q9042" s="1207"/>
    </row>
    <row r="9043" spans="3:17" s="700" customFormat="1" ht="70.5" hidden="1" customHeight="1">
      <c r="C9043" s="701"/>
      <c r="D9043" s="811"/>
      <c r="E9043" s="1276">
        <f>[11]building!Y9374</f>
        <v>0</v>
      </c>
      <c r="F9043" s="748">
        <f t="shared" si="380"/>
        <v>0</v>
      </c>
      <c r="G9043" s="1205"/>
      <c r="H9043" s="1055"/>
      <c r="I9043" s="1055"/>
      <c r="J9043" s="1055"/>
      <c r="K9043" s="1205"/>
      <c r="L9043" s="1055"/>
      <c r="M9043" s="1205"/>
      <c r="N9043" s="1054"/>
      <c r="O9043" s="1207"/>
      <c r="Q9043" s="1207"/>
    </row>
    <row r="9044" spans="3:17" s="700" customFormat="1" ht="70.5" hidden="1" customHeight="1">
      <c r="C9044" s="701"/>
      <c r="D9044" s="811"/>
      <c r="E9044" s="1276">
        <f>[11]building!Y9375</f>
        <v>0</v>
      </c>
      <c r="F9044" s="748">
        <f t="shared" si="380"/>
        <v>0</v>
      </c>
      <c r="G9044" s="1205"/>
      <c r="H9044" s="1055"/>
      <c r="I9044" s="1055"/>
      <c r="J9044" s="1055"/>
      <c r="K9044" s="1205"/>
      <c r="L9044" s="1055"/>
      <c r="M9044" s="1205"/>
      <c r="N9044" s="1054"/>
      <c r="O9044" s="1207"/>
      <c r="Q9044" s="1207"/>
    </row>
    <row r="9045" spans="3:17" s="700" customFormat="1" ht="70.5" hidden="1" customHeight="1">
      <c r="C9045" s="701"/>
      <c r="D9045" s="811"/>
      <c r="E9045" s="1276">
        <f>[11]building!Y9376</f>
        <v>0</v>
      </c>
      <c r="F9045" s="748">
        <f t="shared" si="380"/>
        <v>0</v>
      </c>
      <c r="G9045" s="1205"/>
      <c r="H9045" s="1055"/>
      <c r="I9045" s="1055"/>
      <c r="J9045" s="1055"/>
      <c r="K9045" s="1205"/>
      <c r="L9045" s="1055"/>
      <c r="M9045" s="1205"/>
      <c r="N9045" s="1054"/>
      <c r="O9045" s="1207"/>
      <c r="Q9045" s="1207"/>
    </row>
    <row r="9046" spans="3:17" s="700" customFormat="1" ht="70.5" hidden="1" customHeight="1">
      <c r="C9046" s="701"/>
      <c r="D9046" s="811"/>
      <c r="E9046" s="1276">
        <f>[11]building!Y9377</f>
        <v>0</v>
      </c>
      <c r="F9046" s="748">
        <f t="shared" si="380"/>
        <v>0</v>
      </c>
      <c r="G9046" s="1205"/>
      <c r="H9046" s="1055"/>
      <c r="I9046" s="1055"/>
      <c r="J9046" s="1055"/>
      <c r="K9046" s="1205"/>
      <c r="L9046" s="1055"/>
      <c r="M9046" s="1205"/>
      <c r="N9046" s="1054"/>
      <c r="O9046" s="1207"/>
      <c r="Q9046" s="1207"/>
    </row>
    <row r="9047" spans="3:17" s="700" customFormat="1" ht="70.5" hidden="1" customHeight="1">
      <c r="C9047" s="701"/>
      <c r="D9047" s="811"/>
      <c r="E9047" s="1276">
        <f>[11]building!Y9378</f>
        <v>0</v>
      </c>
      <c r="F9047" s="748">
        <f t="shared" si="380"/>
        <v>0</v>
      </c>
      <c r="G9047" s="1205"/>
      <c r="H9047" s="1055"/>
      <c r="I9047" s="1055"/>
      <c r="J9047" s="1055"/>
      <c r="K9047" s="1205"/>
      <c r="L9047" s="1055"/>
      <c r="M9047" s="1205"/>
      <c r="N9047" s="1054"/>
      <c r="O9047" s="1207"/>
      <c r="Q9047" s="1207"/>
    </row>
    <row r="9048" spans="3:17" s="700" customFormat="1" ht="70.5" hidden="1" customHeight="1">
      <c r="C9048" s="701"/>
      <c r="D9048" s="811"/>
      <c r="E9048" s="1276">
        <f>[11]building!Y9379</f>
        <v>0</v>
      </c>
      <c r="F9048" s="748">
        <f t="shared" si="380"/>
        <v>0</v>
      </c>
      <c r="G9048" s="1205"/>
      <c r="H9048" s="1055"/>
      <c r="I9048" s="1055"/>
      <c r="J9048" s="1055"/>
      <c r="K9048" s="1205"/>
      <c r="L9048" s="1055"/>
      <c r="M9048" s="1205"/>
      <c r="N9048" s="1054"/>
      <c r="O9048" s="1207"/>
      <c r="Q9048" s="1207"/>
    </row>
    <row r="9049" spans="3:17" s="700" customFormat="1" ht="70.5" hidden="1" customHeight="1">
      <c r="C9049" s="701"/>
      <c r="D9049" s="811"/>
      <c r="E9049" s="1276">
        <f>[11]building!Y9380</f>
        <v>0</v>
      </c>
      <c r="F9049" s="748">
        <f t="shared" si="380"/>
        <v>0</v>
      </c>
      <c r="G9049" s="1205"/>
      <c r="H9049" s="1055"/>
      <c r="I9049" s="1055"/>
      <c r="J9049" s="1055"/>
      <c r="K9049" s="1205"/>
      <c r="L9049" s="1055"/>
      <c r="M9049" s="1205"/>
      <c r="N9049" s="1054"/>
      <c r="O9049" s="1207"/>
      <c r="Q9049" s="1207"/>
    </row>
    <row r="9050" spans="3:17" s="700" customFormat="1" ht="70.5" hidden="1" customHeight="1">
      <c r="C9050" s="701"/>
      <c r="D9050" s="811"/>
      <c r="E9050" s="1276">
        <f>[11]building!Y9381</f>
        <v>0</v>
      </c>
      <c r="F9050" s="748">
        <f t="shared" si="380"/>
        <v>0</v>
      </c>
      <c r="G9050" s="1205"/>
      <c r="H9050" s="1055"/>
      <c r="I9050" s="1055"/>
      <c r="J9050" s="1055"/>
      <c r="K9050" s="1205"/>
      <c r="L9050" s="1055"/>
      <c r="M9050" s="1205"/>
      <c r="N9050" s="1054"/>
      <c r="O9050" s="1207"/>
      <c r="Q9050" s="1207"/>
    </row>
    <row r="9051" spans="3:17" s="700" customFormat="1" ht="70.5" hidden="1" customHeight="1">
      <c r="C9051" s="701"/>
      <c r="D9051" s="811"/>
      <c r="E9051" s="1276">
        <f>[11]building!Y9382</f>
        <v>0</v>
      </c>
      <c r="F9051" s="748">
        <f t="shared" si="380"/>
        <v>0</v>
      </c>
      <c r="G9051" s="1205"/>
      <c r="H9051" s="1055"/>
      <c r="I9051" s="1055"/>
      <c r="J9051" s="1055"/>
      <c r="K9051" s="1205"/>
      <c r="L9051" s="1055"/>
      <c r="M9051" s="1205"/>
      <c r="N9051" s="1054"/>
      <c r="O9051" s="1207"/>
      <c r="Q9051" s="1207"/>
    </row>
    <row r="9052" spans="3:17" s="700" customFormat="1" ht="70.5" hidden="1" customHeight="1">
      <c r="C9052" s="701"/>
      <c r="D9052" s="811"/>
      <c r="E9052" s="1276">
        <f>[11]building!Y9383</f>
        <v>0</v>
      </c>
      <c r="F9052" s="748">
        <f t="shared" si="380"/>
        <v>0</v>
      </c>
      <c r="G9052" s="1205"/>
      <c r="H9052" s="1055"/>
      <c r="I9052" s="1055"/>
      <c r="J9052" s="1055"/>
      <c r="K9052" s="1205"/>
      <c r="L9052" s="1055"/>
      <c r="M9052" s="1205"/>
      <c r="N9052" s="1054"/>
      <c r="O9052" s="1207"/>
      <c r="Q9052" s="1207"/>
    </row>
    <row r="9053" spans="3:17" s="700" customFormat="1" ht="70.5" hidden="1" customHeight="1">
      <c r="C9053" s="701"/>
      <c r="D9053" s="811"/>
      <c r="E9053" s="1276">
        <f>[11]building!Y9384</f>
        <v>0</v>
      </c>
      <c r="F9053" s="748">
        <f t="shared" si="380"/>
        <v>0</v>
      </c>
      <c r="G9053" s="1205"/>
      <c r="H9053" s="1055"/>
      <c r="I9053" s="1055"/>
      <c r="J9053" s="1055"/>
      <c r="K9053" s="1205"/>
      <c r="L9053" s="1055"/>
      <c r="M9053" s="1205"/>
      <c r="N9053" s="1054"/>
      <c r="O9053" s="1207"/>
      <c r="Q9053" s="1207"/>
    </row>
    <row r="9054" spans="3:17" s="700" customFormat="1" ht="70.5" hidden="1" customHeight="1">
      <c r="C9054" s="701"/>
      <c r="D9054" s="811"/>
      <c r="E9054" s="1276">
        <f>[11]building!Y9385</f>
        <v>0</v>
      </c>
      <c r="F9054" s="748">
        <f t="shared" si="380"/>
        <v>0</v>
      </c>
      <c r="G9054" s="1205"/>
      <c r="H9054" s="1055"/>
      <c r="I9054" s="1055"/>
      <c r="J9054" s="1055"/>
      <c r="K9054" s="1205"/>
      <c r="L9054" s="1055"/>
      <c r="M9054" s="1205"/>
      <c r="N9054" s="1054"/>
      <c r="O9054" s="1207"/>
      <c r="Q9054" s="1207"/>
    </row>
    <row r="9055" spans="3:17" s="700" customFormat="1" ht="70.5" hidden="1" customHeight="1">
      <c r="C9055" s="701"/>
      <c r="D9055" s="811"/>
      <c r="E9055" s="1276">
        <f>[11]building!Y9386</f>
        <v>0</v>
      </c>
      <c r="F9055" s="748">
        <f t="shared" si="380"/>
        <v>0</v>
      </c>
      <c r="G9055" s="1205"/>
      <c r="H9055" s="1055"/>
      <c r="I9055" s="1055"/>
      <c r="J9055" s="1055"/>
      <c r="K9055" s="1205"/>
      <c r="L9055" s="1055"/>
      <c r="M9055" s="1205"/>
      <c r="N9055" s="1054"/>
      <c r="O9055" s="1207"/>
      <c r="Q9055" s="1207"/>
    </row>
    <row r="9056" spans="3:17" s="700" customFormat="1" ht="70.5" hidden="1" customHeight="1">
      <c r="C9056" s="701"/>
      <c r="D9056" s="811"/>
      <c r="E9056" s="1276">
        <f>[11]building!Y9387</f>
        <v>0</v>
      </c>
      <c r="F9056" s="748">
        <f t="shared" si="380"/>
        <v>0</v>
      </c>
      <c r="G9056" s="1205"/>
      <c r="H9056" s="1055"/>
      <c r="I9056" s="1055"/>
      <c r="J9056" s="1055"/>
      <c r="K9056" s="1205"/>
      <c r="L9056" s="1055"/>
      <c r="M9056" s="1205"/>
      <c r="N9056" s="1054"/>
      <c r="O9056" s="1207"/>
      <c r="Q9056" s="1207"/>
    </row>
    <row r="9057" spans="3:17" s="700" customFormat="1" ht="70.5" hidden="1" customHeight="1">
      <c r="C9057" s="701"/>
      <c r="D9057" s="811"/>
      <c r="E9057" s="1276">
        <f>[11]building!Y9388</f>
        <v>0</v>
      </c>
      <c r="F9057" s="748">
        <f t="shared" si="380"/>
        <v>0</v>
      </c>
      <c r="G9057" s="1205"/>
      <c r="H9057" s="1055"/>
      <c r="I9057" s="1055"/>
      <c r="J9057" s="1055"/>
      <c r="K9057" s="1205"/>
      <c r="L9057" s="1055"/>
      <c r="M9057" s="1205"/>
      <c r="N9057" s="1054"/>
      <c r="O9057" s="1207"/>
      <c r="Q9057" s="1207"/>
    </row>
    <row r="9058" spans="3:17" s="700" customFormat="1" ht="70.5" hidden="1" customHeight="1">
      <c r="C9058" s="701"/>
      <c r="D9058" s="811"/>
      <c r="E9058" s="1276">
        <f>[11]building!Y9389</f>
        <v>0</v>
      </c>
      <c r="F9058" s="748">
        <f t="shared" si="380"/>
        <v>0</v>
      </c>
      <c r="G9058" s="1205"/>
      <c r="H9058" s="1055"/>
      <c r="I9058" s="1055"/>
      <c r="J9058" s="1055"/>
      <c r="K9058" s="1205"/>
      <c r="L9058" s="1055"/>
      <c r="M9058" s="1205"/>
      <c r="N9058" s="1054"/>
      <c r="O9058" s="1207"/>
      <c r="Q9058" s="1207"/>
    </row>
    <row r="9059" spans="3:17" s="700" customFormat="1" ht="70.5" hidden="1" customHeight="1">
      <c r="C9059" s="701"/>
      <c r="D9059" s="811"/>
      <c r="E9059" s="1276">
        <f>[11]building!Y9390</f>
        <v>0</v>
      </c>
      <c r="F9059" s="748">
        <f t="shared" si="380"/>
        <v>0</v>
      </c>
      <c r="G9059" s="1205"/>
      <c r="H9059" s="1055"/>
      <c r="I9059" s="1055"/>
      <c r="J9059" s="1055"/>
      <c r="K9059" s="1205"/>
      <c r="L9059" s="1055"/>
      <c r="M9059" s="1205"/>
      <c r="N9059" s="1054"/>
      <c r="O9059" s="1207"/>
      <c r="Q9059" s="1207"/>
    </row>
    <row r="9060" spans="3:17" s="700" customFormat="1" ht="70.5" hidden="1" customHeight="1">
      <c r="C9060" s="701"/>
      <c r="D9060" s="811"/>
      <c r="E9060" s="1276">
        <f>[11]building!Y9391</f>
        <v>0</v>
      </c>
      <c r="F9060" s="748">
        <f t="shared" si="380"/>
        <v>0</v>
      </c>
      <c r="G9060" s="1205"/>
      <c r="H9060" s="1055"/>
      <c r="I9060" s="1055"/>
      <c r="J9060" s="1055"/>
      <c r="K9060" s="1205"/>
      <c r="L9060" s="1055"/>
      <c r="M9060" s="1205"/>
      <c r="N9060" s="1054"/>
      <c r="O9060" s="1207"/>
      <c r="Q9060" s="1207"/>
    </row>
    <row r="9061" spans="3:17" s="700" customFormat="1" ht="70.5" hidden="1" customHeight="1">
      <c r="C9061" s="701"/>
      <c r="D9061" s="811"/>
      <c r="E9061" s="1276">
        <f>[11]building!Y9392</f>
        <v>0</v>
      </c>
      <c r="F9061" s="748">
        <f t="shared" si="380"/>
        <v>0</v>
      </c>
      <c r="G9061" s="1205"/>
      <c r="H9061" s="1055"/>
      <c r="I9061" s="1055"/>
      <c r="J9061" s="1055"/>
      <c r="K9061" s="1205"/>
      <c r="L9061" s="1055"/>
      <c r="M9061" s="1205"/>
      <c r="N9061" s="1054"/>
      <c r="O9061" s="1207"/>
      <c r="Q9061" s="1207"/>
    </row>
    <row r="9062" spans="3:17" s="700" customFormat="1" ht="70.5" hidden="1" customHeight="1">
      <c r="C9062" s="701"/>
      <c r="D9062" s="811"/>
      <c r="E9062" s="1276">
        <f>[11]building!Y9393</f>
        <v>0</v>
      </c>
      <c r="F9062" s="748">
        <f t="shared" si="380"/>
        <v>0</v>
      </c>
      <c r="G9062" s="1205"/>
      <c r="H9062" s="1055"/>
      <c r="I9062" s="1055"/>
      <c r="J9062" s="1055"/>
      <c r="K9062" s="1205"/>
      <c r="L9062" s="1055"/>
      <c r="M9062" s="1205"/>
      <c r="N9062" s="1054"/>
      <c r="O9062" s="1207"/>
      <c r="Q9062" s="1207"/>
    </row>
    <row r="9063" spans="3:17" s="700" customFormat="1" ht="70.5" hidden="1" customHeight="1">
      <c r="C9063" s="701"/>
      <c r="D9063" s="811"/>
      <c r="E9063" s="1276">
        <f>[11]building!Y9394</f>
        <v>0</v>
      </c>
      <c r="F9063" s="748">
        <f t="shared" si="380"/>
        <v>0</v>
      </c>
      <c r="G9063" s="1205"/>
      <c r="H9063" s="1055"/>
      <c r="I9063" s="1055"/>
      <c r="J9063" s="1055"/>
      <c r="K9063" s="1205"/>
      <c r="L9063" s="1055"/>
      <c r="M9063" s="1205"/>
      <c r="N9063" s="1054"/>
      <c r="O9063" s="1207"/>
      <c r="Q9063" s="1207"/>
    </row>
    <row r="9064" spans="3:17" s="700" customFormat="1" ht="70.5" hidden="1" customHeight="1">
      <c r="C9064" s="701"/>
      <c r="D9064" s="811"/>
      <c r="E9064" s="1276">
        <f>[11]building!Y9395</f>
        <v>0</v>
      </c>
      <c r="F9064" s="748">
        <f t="shared" si="380"/>
        <v>0</v>
      </c>
      <c r="G9064" s="1205"/>
      <c r="H9064" s="1055"/>
      <c r="I9064" s="1055"/>
      <c r="J9064" s="1055"/>
      <c r="K9064" s="1205"/>
      <c r="L9064" s="1055"/>
      <c r="M9064" s="1205"/>
      <c r="N9064" s="1054"/>
      <c r="O9064" s="1207"/>
      <c r="Q9064" s="1207"/>
    </row>
    <row r="9065" spans="3:17" s="700" customFormat="1" ht="70.5" hidden="1" customHeight="1">
      <c r="C9065" s="701"/>
      <c r="D9065" s="811"/>
      <c r="E9065" s="1276">
        <f>[11]building!Y9396</f>
        <v>0</v>
      </c>
      <c r="F9065" s="748">
        <f t="shared" si="380"/>
        <v>0</v>
      </c>
      <c r="G9065" s="1205"/>
      <c r="H9065" s="1055"/>
      <c r="I9065" s="1055"/>
      <c r="J9065" s="1055"/>
      <c r="K9065" s="1205"/>
      <c r="L9065" s="1055"/>
      <c r="M9065" s="1205"/>
      <c r="N9065" s="1054"/>
      <c r="O9065" s="1207"/>
      <c r="Q9065" s="1207"/>
    </row>
    <row r="9066" spans="3:17" s="700" customFormat="1" ht="70.5" hidden="1" customHeight="1">
      <c r="C9066" s="701"/>
      <c r="D9066" s="811"/>
      <c r="E9066" s="1276">
        <f>[11]building!Y9397</f>
        <v>0</v>
      </c>
      <c r="F9066" s="748">
        <f t="shared" si="380"/>
        <v>0</v>
      </c>
      <c r="G9066" s="1205"/>
      <c r="H9066" s="1055"/>
      <c r="I9066" s="1055"/>
      <c r="J9066" s="1055"/>
      <c r="K9066" s="1205"/>
      <c r="L9066" s="1055"/>
      <c r="M9066" s="1205"/>
      <c r="N9066" s="1054"/>
      <c r="O9066" s="1207"/>
      <c r="Q9066" s="1207"/>
    </row>
    <row r="9067" spans="3:17" s="700" customFormat="1" ht="70.5" hidden="1" customHeight="1">
      <c r="C9067" s="701"/>
      <c r="D9067" s="811"/>
      <c r="E9067" s="1276">
        <f>[11]building!Y9398</f>
        <v>0</v>
      </c>
      <c r="F9067" s="748">
        <f t="shared" si="380"/>
        <v>0</v>
      </c>
      <c r="G9067" s="1205"/>
      <c r="H9067" s="1055"/>
      <c r="I9067" s="1055"/>
      <c r="J9067" s="1055"/>
      <c r="K9067" s="1205"/>
      <c r="L9067" s="1055"/>
      <c r="M9067" s="1205"/>
      <c r="N9067" s="1054"/>
      <c r="O9067" s="1207"/>
      <c r="Q9067" s="1207"/>
    </row>
    <row r="9068" spans="3:17" s="700" customFormat="1" ht="70.5" hidden="1" customHeight="1">
      <c r="C9068" s="701"/>
      <c r="D9068" s="811"/>
      <c r="E9068" s="1276">
        <f>[11]building!Y9399</f>
        <v>0</v>
      </c>
      <c r="F9068" s="748">
        <f t="shared" si="380"/>
        <v>0</v>
      </c>
      <c r="G9068" s="1205"/>
      <c r="H9068" s="1055"/>
      <c r="I9068" s="1055"/>
      <c r="J9068" s="1055"/>
      <c r="K9068" s="1205"/>
      <c r="L9068" s="1055"/>
      <c r="M9068" s="1205"/>
      <c r="N9068" s="1054"/>
      <c r="O9068" s="1207"/>
      <c r="Q9068" s="1207"/>
    </row>
    <row r="9069" spans="3:17" s="700" customFormat="1" ht="70.5" hidden="1" customHeight="1">
      <c r="C9069" s="701"/>
      <c r="D9069" s="811"/>
      <c r="E9069" s="1276">
        <f>[11]building!Y9400</f>
        <v>0</v>
      </c>
      <c r="F9069" s="748">
        <f t="shared" si="380"/>
        <v>0</v>
      </c>
      <c r="G9069" s="1205"/>
      <c r="H9069" s="1055"/>
      <c r="I9069" s="1055"/>
      <c r="J9069" s="1055"/>
      <c r="K9069" s="1205"/>
      <c r="L9069" s="1055"/>
      <c r="M9069" s="1205"/>
      <c r="N9069" s="1054"/>
      <c r="O9069" s="1207"/>
      <c r="Q9069" s="1207"/>
    </row>
    <row r="9070" spans="3:17" s="700" customFormat="1" ht="70.5" hidden="1" customHeight="1">
      <c r="C9070" s="701"/>
      <c r="D9070" s="811"/>
      <c r="E9070" s="1276">
        <f>[11]building!Y9401</f>
        <v>0</v>
      </c>
      <c r="F9070" s="748">
        <f t="shared" si="380"/>
        <v>0</v>
      </c>
      <c r="G9070" s="1205"/>
      <c r="H9070" s="1055"/>
      <c r="I9070" s="1055"/>
      <c r="J9070" s="1055"/>
      <c r="K9070" s="1205"/>
      <c r="L9070" s="1055"/>
      <c r="M9070" s="1205"/>
      <c r="N9070" s="1054"/>
      <c r="O9070" s="1207"/>
      <c r="Q9070" s="1207"/>
    </row>
    <row r="9071" spans="3:17" s="700" customFormat="1" ht="70.5" hidden="1" customHeight="1">
      <c r="C9071" s="701"/>
      <c r="D9071" s="811"/>
      <c r="E9071" s="1276">
        <f>[11]building!Y9402</f>
        <v>0</v>
      </c>
      <c r="F9071" s="748">
        <f t="shared" si="380"/>
        <v>0</v>
      </c>
      <c r="G9071" s="1205"/>
      <c r="H9071" s="1055"/>
      <c r="I9071" s="1055"/>
      <c r="J9071" s="1055"/>
      <c r="K9071" s="1205"/>
      <c r="L9071" s="1055"/>
      <c r="M9071" s="1205"/>
      <c r="N9071" s="1054"/>
      <c r="O9071" s="1207"/>
      <c r="Q9071" s="1207"/>
    </row>
    <row r="9072" spans="3:17" s="700" customFormat="1" ht="70.5" hidden="1" customHeight="1">
      <c r="C9072" s="701"/>
      <c r="D9072" s="811"/>
      <c r="E9072" s="1276">
        <f>[11]building!Y9403</f>
        <v>0</v>
      </c>
      <c r="F9072" s="748">
        <f t="shared" si="380"/>
        <v>0</v>
      </c>
      <c r="G9072" s="1205"/>
      <c r="H9072" s="1055"/>
      <c r="I9072" s="1055"/>
      <c r="J9072" s="1055"/>
      <c r="K9072" s="1205"/>
      <c r="L9072" s="1055"/>
      <c r="M9072" s="1205"/>
      <c r="N9072" s="1054"/>
      <c r="O9072" s="1207"/>
      <c r="Q9072" s="1207"/>
    </row>
    <row r="9073" spans="3:17" s="700" customFormat="1" ht="70.5" hidden="1" customHeight="1">
      <c r="C9073" s="701"/>
      <c r="D9073" s="811"/>
      <c r="E9073" s="1276">
        <f>[11]building!Y9404</f>
        <v>0</v>
      </c>
      <c r="F9073" s="748">
        <f t="shared" si="380"/>
        <v>0</v>
      </c>
      <c r="G9073" s="1205"/>
      <c r="H9073" s="1055"/>
      <c r="I9073" s="1055"/>
      <c r="J9073" s="1055"/>
      <c r="K9073" s="1205"/>
      <c r="L9073" s="1055"/>
      <c r="M9073" s="1205"/>
      <c r="N9073" s="1054"/>
      <c r="O9073" s="1207"/>
      <c r="Q9073" s="1207"/>
    </row>
    <row r="9074" spans="3:17" s="700" customFormat="1" ht="70.5" hidden="1" customHeight="1">
      <c r="C9074" s="701"/>
      <c r="D9074" s="811"/>
      <c r="E9074" s="1276">
        <f>[11]building!Y9405</f>
        <v>0</v>
      </c>
      <c r="F9074" s="748">
        <f t="shared" si="380"/>
        <v>0</v>
      </c>
      <c r="G9074" s="1205"/>
      <c r="H9074" s="1055"/>
      <c r="I9074" s="1055"/>
      <c r="J9074" s="1055"/>
      <c r="K9074" s="1205"/>
      <c r="L9074" s="1055"/>
      <c r="M9074" s="1205"/>
      <c r="N9074" s="1054"/>
      <c r="O9074" s="1207"/>
      <c r="Q9074" s="1207"/>
    </row>
    <row r="9075" spans="3:17" s="700" customFormat="1" ht="70.5" hidden="1" customHeight="1">
      <c r="C9075" s="701"/>
      <c r="D9075" s="811"/>
      <c r="E9075" s="1276">
        <f>[11]building!Y9406</f>
        <v>0</v>
      </c>
      <c r="F9075" s="748">
        <f t="shared" si="380"/>
        <v>0</v>
      </c>
      <c r="G9075" s="1205"/>
      <c r="H9075" s="1055"/>
      <c r="I9075" s="1055"/>
      <c r="J9075" s="1055"/>
      <c r="K9075" s="1205"/>
      <c r="L9075" s="1055"/>
      <c r="M9075" s="1205"/>
      <c r="N9075" s="1054"/>
      <c r="O9075" s="1207"/>
      <c r="Q9075" s="1207"/>
    </row>
    <row r="9076" spans="3:17" s="700" customFormat="1" ht="70.5" hidden="1" customHeight="1">
      <c r="C9076" s="701"/>
      <c r="D9076" s="811"/>
      <c r="E9076" s="1276">
        <f>[11]building!Y9407</f>
        <v>0</v>
      </c>
      <c r="F9076" s="748">
        <f t="shared" si="380"/>
        <v>0</v>
      </c>
      <c r="G9076" s="1205"/>
      <c r="H9076" s="1055"/>
      <c r="I9076" s="1055"/>
      <c r="J9076" s="1055"/>
      <c r="K9076" s="1205"/>
      <c r="L9076" s="1055"/>
      <c r="M9076" s="1205"/>
      <c r="N9076" s="1054"/>
      <c r="O9076" s="1207"/>
      <c r="Q9076" s="1207"/>
    </row>
    <row r="9077" spans="3:17" s="700" customFormat="1" ht="70.5" hidden="1" customHeight="1">
      <c r="C9077" s="701"/>
      <c r="D9077" s="811"/>
      <c r="E9077" s="1276">
        <f>[11]building!Y9408</f>
        <v>0</v>
      </c>
      <c r="F9077" s="748">
        <f t="shared" si="380"/>
        <v>0</v>
      </c>
      <c r="G9077" s="1205"/>
      <c r="H9077" s="1055"/>
      <c r="I9077" s="1055"/>
      <c r="J9077" s="1055"/>
      <c r="K9077" s="1205"/>
      <c r="L9077" s="1055"/>
      <c r="M9077" s="1205"/>
      <c r="N9077" s="1054"/>
      <c r="O9077" s="1207"/>
      <c r="Q9077" s="1207"/>
    </row>
    <row r="9078" spans="3:17" s="700" customFormat="1" ht="70.5" hidden="1" customHeight="1">
      <c r="C9078" s="701"/>
      <c r="D9078" s="811"/>
      <c r="E9078" s="1276">
        <f>[11]building!Y9409</f>
        <v>0</v>
      </c>
      <c r="F9078" s="748">
        <f t="shared" si="380"/>
        <v>0</v>
      </c>
      <c r="G9078" s="1205"/>
      <c r="H9078" s="1055"/>
      <c r="I9078" s="1055"/>
      <c r="J9078" s="1055"/>
      <c r="K9078" s="1205"/>
      <c r="L9078" s="1055"/>
      <c r="M9078" s="1205"/>
      <c r="N9078" s="1054"/>
      <c r="O9078" s="1207"/>
      <c r="Q9078" s="1207"/>
    </row>
    <row r="9079" spans="3:17" s="700" customFormat="1" ht="70.5" hidden="1" customHeight="1">
      <c r="C9079" s="701"/>
      <c r="D9079" s="811"/>
      <c r="E9079" s="1276">
        <f>[11]building!Y9410</f>
        <v>0</v>
      </c>
      <c r="F9079" s="748">
        <f t="shared" si="380"/>
        <v>0</v>
      </c>
      <c r="G9079" s="1205"/>
      <c r="H9079" s="1055"/>
      <c r="I9079" s="1055"/>
      <c r="J9079" s="1055"/>
      <c r="K9079" s="1205"/>
      <c r="L9079" s="1055"/>
      <c r="M9079" s="1205"/>
      <c r="N9079" s="1054"/>
      <c r="O9079" s="1207"/>
      <c r="Q9079" s="1207"/>
    </row>
    <row r="9080" spans="3:17" s="700" customFormat="1" ht="70.5" hidden="1" customHeight="1">
      <c r="C9080" s="701"/>
      <c r="D9080" s="811"/>
      <c r="E9080" s="1276">
        <f>[11]building!Y9411</f>
        <v>0</v>
      </c>
      <c r="F9080" s="748">
        <f t="shared" si="380"/>
        <v>0</v>
      </c>
      <c r="G9080" s="1205"/>
      <c r="H9080" s="1055"/>
      <c r="I9080" s="1055"/>
      <c r="J9080" s="1055"/>
      <c r="K9080" s="1205"/>
      <c r="L9080" s="1055"/>
      <c r="M9080" s="1205"/>
      <c r="N9080" s="1054"/>
      <c r="O9080" s="1207"/>
      <c r="Q9080" s="1207"/>
    </row>
    <row r="9081" spans="3:17" s="700" customFormat="1" ht="70.5" hidden="1" customHeight="1">
      <c r="C9081" s="701"/>
      <c r="D9081" s="811"/>
      <c r="E9081" s="1276">
        <f>[11]building!Y9412</f>
        <v>0</v>
      </c>
      <c r="F9081" s="748">
        <f t="shared" si="380"/>
        <v>0</v>
      </c>
      <c r="G9081" s="1205"/>
      <c r="H9081" s="1055"/>
      <c r="I9081" s="1055"/>
      <c r="J9081" s="1055"/>
      <c r="K9081" s="1205"/>
      <c r="L9081" s="1055"/>
      <c r="M9081" s="1205"/>
      <c r="N9081" s="1054"/>
      <c r="O9081" s="1207"/>
      <c r="Q9081" s="1207"/>
    </row>
    <row r="9082" spans="3:17" s="700" customFormat="1" ht="70.5" hidden="1" customHeight="1">
      <c r="C9082" s="701"/>
      <c r="D9082" s="811"/>
      <c r="E9082" s="1276">
        <f>[11]building!Y9413</f>
        <v>0</v>
      </c>
      <c r="F9082" s="748">
        <f t="shared" si="380"/>
        <v>0</v>
      </c>
      <c r="G9082" s="1205"/>
      <c r="H9082" s="1055"/>
      <c r="I9082" s="1055"/>
      <c r="J9082" s="1055"/>
      <c r="K9082" s="1205"/>
      <c r="L9082" s="1055"/>
      <c r="M9082" s="1205"/>
      <c r="N9082" s="1054"/>
      <c r="O9082" s="1207"/>
      <c r="Q9082" s="1207"/>
    </row>
    <row r="9083" spans="3:17" s="700" customFormat="1" ht="70.5" hidden="1" customHeight="1">
      <c r="C9083" s="701"/>
      <c r="D9083" s="811"/>
      <c r="E9083" s="1276">
        <f>[11]building!Y9414</f>
        <v>0</v>
      </c>
      <c r="F9083" s="748">
        <f t="shared" si="380"/>
        <v>0</v>
      </c>
      <c r="G9083" s="1205"/>
      <c r="H9083" s="1055"/>
      <c r="I9083" s="1055"/>
      <c r="J9083" s="1055"/>
      <c r="K9083" s="1205"/>
      <c r="L9083" s="1055"/>
      <c r="M9083" s="1205"/>
      <c r="N9083" s="1054"/>
      <c r="O9083" s="1207"/>
      <c r="Q9083" s="1207"/>
    </row>
    <row r="9084" spans="3:17" s="700" customFormat="1" ht="70.5" hidden="1" customHeight="1">
      <c r="C9084" s="701"/>
      <c r="D9084" s="811"/>
      <c r="E9084" s="1276">
        <f>[11]building!Y9415</f>
        <v>0</v>
      </c>
      <c r="F9084" s="748">
        <f t="shared" si="380"/>
        <v>0</v>
      </c>
      <c r="G9084" s="1205"/>
      <c r="H9084" s="1055"/>
      <c r="I9084" s="1055"/>
      <c r="J9084" s="1055"/>
      <c r="K9084" s="1205"/>
      <c r="L9084" s="1055"/>
      <c r="M9084" s="1205"/>
      <c r="N9084" s="1054"/>
      <c r="O9084" s="1207"/>
      <c r="Q9084" s="1207"/>
    </row>
    <row r="9085" spans="3:17" s="700" customFormat="1" ht="70.5" hidden="1" customHeight="1">
      <c r="C9085" s="701"/>
      <c r="D9085" s="811"/>
      <c r="E9085" s="1276">
        <f>[11]building!Y9416</f>
        <v>0</v>
      </c>
      <c r="F9085" s="748">
        <f t="shared" si="380"/>
        <v>0</v>
      </c>
      <c r="G9085" s="1205"/>
      <c r="H9085" s="1055"/>
      <c r="I9085" s="1055"/>
      <c r="J9085" s="1055"/>
      <c r="K9085" s="1205"/>
      <c r="L9085" s="1055"/>
      <c r="M9085" s="1205"/>
      <c r="N9085" s="1054"/>
      <c r="O9085" s="1207"/>
      <c r="Q9085" s="1207"/>
    </row>
    <row r="9086" spans="3:17" s="700" customFormat="1" ht="70.5" hidden="1" customHeight="1">
      <c r="C9086" s="701"/>
      <c r="D9086" s="811"/>
      <c r="E9086" s="1276">
        <f>[11]building!Y9417</f>
        <v>0</v>
      </c>
      <c r="F9086" s="748">
        <f t="shared" si="380"/>
        <v>0</v>
      </c>
      <c r="G9086" s="1205"/>
      <c r="H9086" s="1055"/>
      <c r="I9086" s="1055"/>
      <c r="J9086" s="1055"/>
      <c r="K9086" s="1205"/>
      <c r="L9086" s="1055"/>
      <c r="M9086" s="1205"/>
      <c r="N9086" s="1054"/>
      <c r="O9086" s="1207"/>
      <c r="Q9086" s="1207"/>
    </row>
    <row r="9087" spans="3:17" s="700" customFormat="1" ht="70.5" hidden="1" customHeight="1">
      <c r="C9087" s="701"/>
      <c r="D9087" s="811"/>
      <c r="E9087" s="1276">
        <f>[11]building!Y9418</f>
        <v>0</v>
      </c>
      <c r="F9087" s="748">
        <f t="shared" si="380"/>
        <v>0</v>
      </c>
      <c r="G9087" s="1205"/>
      <c r="H9087" s="1055"/>
      <c r="I9087" s="1055"/>
      <c r="J9087" s="1055"/>
      <c r="K9087" s="1205"/>
      <c r="L9087" s="1055"/>
      <c r="M9087" s="1205"/>
      <c r="N9087" s="1054"/>
      <c r="O9087" s="1207"/>
      <c r="Q9087" s="1207"/>
    </row>
    <row r="9088" spans="3:17" s="700" customFormat="1" ht="70.5" hidden="1" customHeight="1">
      <c r="C9088" s="701"/>
      <c r="D9088" s="811"/>
      <c r="E9088" s="1276">
        <f>[11]building!Y9419</f>
        <v>0</v>
      </c>
      <c r="F9088" s="748">
        <f t="shared" ref="F9088:F9151" si="381">E9088*C9088</f>
        <v>0</v>
      </c>
      <c r="G9088" s="1205"/>
      <c r="H9088" s="1055"/>
      <c r="I9088" s="1055"/>
      <c r="J9088" s="1055"/>
      <c r="K9088" s="1205"/>
      <c r="L9088" s="1055"/>
      <c r="M9088" s="1205"/>
      <c r="N9088" s="1054"/>
      <c r="O9088" s="1207"/>
      <c r="Q9088" s="1207"/>
    </row>
    <row r="9089" spans="3:17" s="700" customFormat="1" ht="70.5" hidden="1" customHeight="1">
      <c r="C9089" s="701"/>
      <c r="D9089" s="811"/>
      <c r="E9089" s="1276">
        <f>[11]building!Y9420</f>
        <v>0</v>
      </c>
      <c r="F9089" s="748">
        <f t="shared" si="381"/>
        <v>0</v>
      </c>
      <c r="G9089" s="1205"/>
      <c r="H9089" s="1055"/>
      <c r="I9089" s="1055"/>
      <c r="J9089" s="1055"/>
      <c r="K9089" s="1205"/>
      <c r="L9089" s="1055"/>
      <c r="M9089" s="1205"/>
      <c r="N9089" s="1054"/>
      <c r="O9089" s="1207"/>
      <c r="Q9089" s="1207"/>
    </row>
    <row r="9090" spans="3:17" s="700" customFormat="1" ht="70.5" hidden="1" customHeight="1">
      <c r="C9090" s="701"/>
      <c r="D9090" s="811"/>
      <c r="E9090" s="1276">
        <f>[11]building!Y9421</f>
        <v>0</v>
      </c>
      <c r="F9090" s="748">
        <f t="shared" si="381"/>
        <v>0</v>
      </c>
      <c r="G9090" s="1205"/>
      <c r="H9090" s="1055"/>
      <c r="I9090" s="1055"/>
      <c r="J9090" s="1055"/>
      <c r="K9090" s="1205"/>
      <c r="L9090" s="1055"/>
      <c r="M9090" s="1205"/>
      <c r="N9090" s="1054"/>
      <c r="O9090" s="1207"/>
      <c r="Q9090" s="1207"/>
    </row>
    <row r="9091" spans="3:17" s="700" customFormat="1" ht="70.5" hidden="1" customHeight="1">
      <c r="C9091" s="701"/>
      <c r="D9091" s="811"/>
      <c r="E9091" s="1276">
        <f>[11]building!Y9422</f>
        <v>0</v>
      </c>
      <c r="F9091" s="748">
        <f t="shared" si="381"/>
        <v>0</v>
      </c>
      <c r="G9091" s="1205"/>
      <c r="H9091" s="1055"/>
      <c r="I9091" s="1055"/>
      <c r="J9091" s="1055"/>
      <c r="K9091" s="1205"/>
      <c r="L9091" s="1055"/>
      <c r="M9091" s="1205"/>
      <c r="N9091" s="1054"/>
      <c r="O9091" s="1207"/>
      <c r="Q9091" s="1207"/>
    </row>
    <row r="9092" spans="3:17" s="700" customFormat="1" ht="70.5" hidden="1" customHeight="1">
      <c r="C9092" s="701"/>
      <c r="D9092" s="811"/>
      <c r="E9092" s="1276">
        <f>[11]building!Y9423</f>
        <v>0</v>
      </c>
      <c r="F9092" s="748">
        <f t="shared" si="381"/>
        <v>0</v>
      </c>
      <c r="G9092" s="1205"/>
      <c r="H9092" s="1055"/>
      <c r="I9092" s="1055"/>
      <c r="J9092" s="1055"/>
      <c r="K9092" s="1205"/>
      <c r="L9092" s="1055"/>
      <c r="M9092" s="1205"/>
      <c r="N9092" s="1054"/>
      <c r="O9092" s="1207"/>
      <c r="Q9092" s="1207"/>
    </row>
    <row r="9093" spans="3:17" s="700" customFormat="1" ht="70.5" hidden="1" customHeight="1">
      <c r="C9093" s="701"/>
      <c r="D9093" s="811"/>
      <c r="E9093" s="1276">
        <f>[11]building!Y9424</f>
        <v>0</v>
      </c>
      <c r="F9093" s="748">
        <f t="shared" si="381"/>
        <v>0</v>
      </c>
      <c r="G9093" s="1205"/>
      <c r="H9093" s="1055"/>
      <c r="I9093" s="1055"/>
      <c r="J9093" s="1055"/>
      <c r="K9093" s="1205"/>
      <c r="L9093" s="1055"/>
      <c r="M9093" s="1205"/>
      <c r="N9093" s="1054"/>
      <c r="O9093" s="1207"/>
      <c r="Q9093" s="1207"/>
    </row>
    <row r="9094" spans="3:17" s="700" customFormat="1" ht="70.5" hidden="1" customHeight="1">
      <c r="C9094" s="701"/>
      <c r="D9094" s="811"/>
      <c r="E9094" s="1276">
        <f>[11]building!Y9425</f>
        <v>0</v>
      </c>
      <c r="F9094" s="748">
        <f t="shared" si="381"/>
        <v>0</v>
      </c>
      <c r="G9094" s="1205"/>
      <c r="H9094" s="1055"/>
      <c r="I9094" s="1055"/>
      <c r="J9094" s="1055"/>
      <c r="K9094" s="1205"/>
      <c r="L9094" s="1055"/>
      <c r="M9094" s="1205"/>
      <c r="N9094" s="1054"/>
      <c r="O9094" s="1207"/>
      <c r="Q9094" s="1207"/>
    </row>
    <row r="9095" spans="3:17" s="700" customFormat="1" ht="70.5" hidden="1" customHeight="1">
      <c r="C9095" s="701"/>
      <c r="D9095" s="811"/>
      <c r="E9095" s="1276">
        <f>[11]building!Y9426</f>
        <v>0</v>
      </c>
      <c r="F9095" s="748">
        <f t="shared" si="381"/>
        <v>0</v>
      </c>
      <c r="G9095" s="1205"/>
      <c r="H9095" s="1055"/>
      <c r="I9095" s="1055"/>
      <c r="J9095" s="1055"/>
      <c r="K9095" s="1205"/>
      <c r="L9095" s="1055"/>
      <c r="M9095" s="1205"/>
      <c r="N9095" s="1054"/>
      <c r="O9095" s="1207"/>
      <c r="Q9095" s="1207"/>
    </row>
    <row r="9096" spans="3:17" s="700" customFormat="1" ht="70.5" hidden="1" customHeight="1">
      <c r="C9096" s="701"/>
      <c r="D9096" s="811"/>
      <c r="E9096" s="1276">
        <f>[11]building!Y9427</f>
        <v>0</v>
      </c>
      <c r="F9096" s="748">
        <f t="shared" si="381"/>
        <v>0</v>
      </c>
      <c r="G9096" s="1205"/>
      <c r="H9096" s="1055"/>
      <c r="I9096" s="1055"/>
      <c r="J9096" s="1055"/>
      <c r="K9096" s="1205"/>
      <c r="L9096" s="1055"/>
      <c r="M9096" s="1205"/>
      <c r="N9096" s="1054"/>
      <c r="O9096" s="1207"/>
      <c r="Q9096" s="1207"/>
    </row>
    <row r="9097" spans="3:17" s="700" customFormat="1" ht="70.5" hidden="1" customHeight="1">
      <c r="C9097" s="701"/>
      <c r="D9097" s="811"/>
      <c r="E9097" s="1276">
        <f>[11]building!Y9428</f>
        <v>0</v>
      </c>
      <c r="F9097" s="748">
        <f t="shared" si="381"/>
        <v>0</v>
      </c>
      <c r="G9097" s="1205"/>
      <c r="H9097" s="1055"/>
      <c r="I9097" s="1055"/>
      <c r="J9097" s="1055"/>
      <c r="K9097" s="1205"/>
      <c r="L9097" s="1055"/>
      <c r="M9097" s="1205"/>
      <c r="N9097" s="1054"/>
      <c r="O9097" s="1207"/>
      <c r="Q9097" s="1207"/>
    </row>
    <row r="9098" spans="3:17" s="700" customFormat="1" ht="70.5" hidden="1" customHeight="1">
      <c r="C9098" s="701"/>
      <c r="D9098" s="811"/>
      <c r="E9098" s="1276">
        <f>[11]building!Y9429</f>
        <v>0</v>
      </c>
      <c r="F9098" s="748">
        <f t="shared" si="381"/>
        <v>0</v>
      </c>
      <c r="G9098" s="1205"/>
      <c r="H9098" s="1055"/>
      <c r="I9098" s="1055"/>
      <c r="J9098" s="1055"/>
      <c r="K9098" s="1205"/>
      <c r="L9098" s="1055"/>
      <c r="M9098" s="1205"/>
      <c r="N9098" s="1054"/>
      <c r="O9098" s="1207"/>
      <c r="Q9098" s="1207"/>
    </row>
    <row r="9099" spans="3:17" s="700" customFormat="1" ht="70.5" hidden="1" customHeight="1">
      <c r="C9099" s="701"/>
      <c r="D9099" s="811"/>
      <c r="E9099" s="1276">
        <f>[11]building!Y9430</f>
        <v>0</v>
      </c>
      <c r="F9099" s="748">
        <f t="shared" si="381"/>
        <v>0</v>
      </c>
      <c r="G9099" s="1205"/>
      <c r="H9099" s="1055"/>
      <c r="I9099" s="1055"/>
      <c r="J9099" s="1055"/>
      <c r="K9099" s="1205"/>
      <c r="L9099" s="1055"/>
      <c r="M9099" s="1205"/>
      <c r="N9099" s="1054"/>
      <c r="O9099" s="1207"/>
      <c r="Q9099" s="1207"/>
    </row>
    <row r="9100" spans="3:17" s="700" customFormat="1" ht="70.5" hidden="1" customHeight="1">
      <c r="C9100" s="701"/>
      <c r="D9100" s="811"/>
      <c r="E9100" s="1276">
        <f>[11]building!Y9431</f>
        <v>0</v>
      </c>
      <c r="F9100" s="748">
        <f t="shared" si="381"/>
        <v>0</v>
      </c>
      <c r="G9100" s="1205"/>
      <c r="H9100" s="1055"/>
      <c r="I9100" s="1055"/>
      <c r="J9100" s="1055"/>
      <c r="K9100" s="1205"/>
      <c r="L9100" s="1055"/>
      <c r="M9100" s="1205"/>
      <c r="N9100" s="1054"/>
      <c r="O9100" s="1207"/>
      <c r="Q9100" s="1207"/>
    </row>
    <row r="9101" spans="3:17" s="700" customFormat="1" ht="70.5" hidden="1" customHeight="1">
      <c r="C9101" s="701"/>
      <c r="D9101" s="811"/>
      <c r="E9101" s="1276">
        <f>[11]building!Y9432</f>
        <v>0</v>
      </c>
      <c r="F9101" s="748">
        <f t="shared" si="381"/>
        <v>0</v>
      </c>
      <c r="G9101" s="1205"/>
      <c r="H9101" s="1055"/>
      <c r="I9101" s="1055"/>
      <c r="J9101" s="1055"/>
      <c r="K9101" s="1205"/>
      <c r="L9101" s="1055"/>
      <c r="M9101" s="1205"/>
      <c r="N9101" s="1054"/>
      <c r="O9101" s="1207"/>
      <c r="Q9101" s="1207"/>
    </row>
    <row r="9102" spans="3:17" s="700" customFormat="1" ht="70.5" hidden="1" customHeight="1">
      <c r="C9102" s="701"/>
      <c r="D9102" s="811"/>
      <c r="E9102" s="1276">
        <f>[11]building!Y9433</f>
        <v>0</v>
      </c>
      <c r="F9102" s="748">
        <f t="shared" si="381"/>
        <v>0</v>
      </c>
      <c r="G9102" s="1205"/>
      <c r="H9102" s="1055"/>
      <c r="I9102" s="1055"/>
      <c r="J9102" s="1055"/>
      <c r="K9102" s="1205"/>
      <c r="L9102" s="1055"/>
      <c r="M9102" s="1205"/>
      <c r="N9102" s="1054"/>
      <c r="O9102" s="1207"/>
      <c r="Q9102" s="1207"/>
    </row>
    <row r="9103" spans="3:17" s="700" customFormat="1" ht="70.5" hidden="1" customHeight="1">
      <c r="C9103" s="701"/>
      <c r="D9103" s="811"/>
      <c r="E9103" s="1276">
        <f>[11]building!Y9434</f>
        <v>0</v>
      </c>
      <c r="F9103" s="748">
        <f t="shared" si="381"/>
        <v>0</v>
      </c>
      <c r="G9103" s="1205"/>
      <c r="H9103" s="1055"/>
      <c r="I9103" s="1055"/>
      <c r="J9103" s="1055"/>
      <c r="K9103" s="1205"/>
      <c r="L9103" s="1055"/>
      <c r="M9103" s="1205"/>
      <c r="N9103" s="1054"/>
      <c r="O9103" s="1207"/>
      <c r="Q9103" s="1207"/>
    </row>
    <row r="9104" spans="3:17" s="700" customFormat="1" ht="70.5" hidden="1" customHeight="1">
      <c r="C9104" s="701"/>
      <c r="D9104" s="811"/>
      <c r="E9104" s="1276">
        <f>[11]building!Y9435</f>
        <v>0</v>
      </c>
      <c r="F9104" s="748">
        <f t="shared" si="381"/>
        <v>0</v>
      </c>
      <c r="G9104" s="1205"/>
      <c r="H9104" s="1055"/>
      <c r="I9104" s="1055"/>
      <c r="J9104" s="1055"/>
      <c r="K9104" s="1205"/>
      <c r="L9104" s="1055"/>
      <c r="M9104" s="1205"/>
      <c r="N9104" s="1054"/>
      <c r="O9104" s="1207"/>
      <c r="Q9104" s="1207"/>
    </row>
    <row r="9105" spans="3:17" s="700" customFormat="1" ht="70.5" hidden="1" customHeight="1">
      <c r="C9105" s="701"/>
      <c r="D9105" s="811"/>
      <c r="E9105" s="1276">
        <f>[11]building!Y9436</f>
        <v>0</v>
      </c>
      <c r="F9105" s="748">
        <f t="shared" si="381"/>
        <v>0</v>
      </c>
      <c r="G9105" s="1205"/>
      <c r="H9105" s="1055"/>
      <c r="I9105" s="1055"/>
      <c r="J9105" s="1055"/>
      <c r="K9105" s="1205"/>
      <c r="L9105" s="1055"/>
      <c r="M9105" s="1205"/>
      <c r="N9105" s="1054"/>
      <c r="O9105" s="1207"/>
      <c r="Q9105" s="1207"/>
    </row>
    <row r="9106" spans="3:17" s="700" customFormat="1" ht="70.5" hidden="1" customHeight="1">
      <c r="C9106" s="701"/>
      <c r="D9106" s="811"/>
      <c r="E9106" s="1276">
        <f>[11]building!Y9437</f>
        <v>0</v>
      </c>
      <c r="F9106" s="748">
        <f t="shared" si="381"/>
        <v>0</v>
      </c>
      <c r="G9106" s="1205"/>
      <c r="H9106" s="1055"/>
      <c r="I9106" s="1055"/>
      <c r="J9106" s="1055"/>
      <c r="K9106" s="1205"/>
      <c r="L9106" s="1055"/>
      <c r="M9106" s="1205"/>
      <c r="N9106" s="1054"/>
      <c r="O9106" s="1207"/>
      <c r="Q9106" s="1207"/>
    </row>
    <row r="9107" spans="3:17" s="700" customFormat="1" ht="70.5" hidden="1" customHeight="1">
      <c r="C9107" s="701"/>
      <c r="D9107" s="811"/>
      <c r="E9107" s="1276">
        <f>[11]building!Y9438</f>
        <v>0</v>
      </c>
      <c r="F9107" s="748">
        <f t="shared" si="381"/>
        <v>0</v>
      </c>
      <c r="G9107" s="1205"/>
      <c r="H9107" s="1055"/>
      <c r="I9107" s="1055"/>
      <c r="J9107" s="1055"/>
      <c r="K9107" s="1205"/>
      <c r="L9107" s="1055"/>
      <c r="M9107" s="1205"/>
      <c r="N9107" s="1054"/>
      <c r="O9107" s="1207"/>
      <c r="Q9107" s="1207"/>
    </row>
    <row r="9108" spans="3:17" s="700" customFormat="1" ht="70.5" hidden="1" customHeight="1">
      <c r="C9108" s="701"/>
      <c r="D9108" s="811"/>
      <c r="E9108" s="1276">
        <f>[11]building!Y9439</f>
        <v>0</v>
      </c>
      <c r="F9108" s="748">
        <f t="shared" si="381"/>
        <v>0</v>
      </c>
      <c r="G9108" s="1205"/>
      <c r="H9108" s="1055"/>
      <c r="I9108" s="1055"/>
      <c r="J9108" s="1055"/>
      <c r="K9108" s="1205"/>
      <c r="L9108" s="1055"/>
      <c r="M9108" s="1205"/>
      <c r="N9108" s="1054"/>
      <c r="O9108" s="1207"/>
      <c r="Q9108" s="1207"/>
    </row>
    <row r="9109" spans="3:17" s="700" customFormat="1" ht="70.5" hidden="1" customHeight="1">
      <c r="C9109" s="701"/>
      <c r="D9109" s="811"/>
      <c r="E9109" s="1276">
        <f>[11]building!Y9440</f>
        <v>0</v>
      </c>
      <c r="F9109" s="748">
        <f t="shared" si="381"/>
        <v>0</v>
      </c>
      <c r="G9109" s="1205"/>
      <c r="H9109" s="1055"/>
      <c r="I9109" s="1055"/>
      <c r="J9109" s="1055"/>
      <c r="K9109" s="1205"/>
      <c r="L9109" s="1055"/>
      <c r="M9109" s="1205"/>
      <c r="N9109" s="1054"/>
      <c r="O9109" s="1207"/>
      <c r="Q9109" s="1207"/>
    </row>
    <row r="9110" spans="3:17" s="700" customFormat="1" ht="70.5" hidden="1" customHeight="1">
      <c r="C9110" s="701"/>
      <c r="D9110" s="811"/>
      <c r="E9110" s="1276">
        <f>[11]building!Y9441</f>
        <v>0</v>
      </c>
      <c r="F9110" s="748">
        <f t="shared" si="381"/>
        <v>0</v>
      </c>
      <c r="G9110" s="1205"/>
      <c r="H9110" s="1055"/>
      <c r="I9110" s="1055"/>
      <c r="J9110" s="1055"/>
      <c r="K9110" s="1205"/>
      <c r="L9110" s="1055"/>
      <c r="M9110" s="1205"/>
      <c r="N9110" s="1054"/>
      <c r="O9110" s="1207"/>
      <c r="Q9110" s="1207"/>
    </row>
    <row r="9111" spans="3:17" s="700" customFormat="1" ht="70.5" hidden="1" customHeight="1">
      <c r="C9111" s="701"/>
      <c r="D9111" s="811"/>
      <c r="E9111" s="1276">
        <f>[11]building!Y9442</f>
        <v>0</v>
      </c>
      <c r="F9111" s="748">
        <f t="shared" si="381"/>
        <v>0</v>
      </c>
      <c r="G9111" s="1205"/>
      <c r="H9111" s="1055"/>
      <c r="I9111" s="1055"/>
      <c r="J9111" s="1055"/>
      <c r="K9111" s="1205"/>
      <c r="L9111" s="1055"/>
      <c r="M9111" s="1205"/>
      <c r="N9111" s="1054"/>
      <c r="O9111" s="1207"/>
      <c r="Q9111" s="1207"/>
    </row>
    <row r="9112" spans="3:17" s="700" customFormat="1" ht="70.5" hidden="1" customHeight="1">
      <c r="C9112" s="701"/>
      <c r="D9112" s="811"/>
      <c r="E9112" s="1276">
        <f>[11]building!Y9443</f>
        <v>0</v>
      </c>
      <c r="F9112" s="748">
        <f t="shared" si="381"/>
        <v>0</v>
      </c>
      <c r="G9112" s="1205"/>
      <c r="H9112" s="1055"/>
      <c r="I9112" s="1055"/>
      <c r="J9112" s="1055"/>
      <c r="K9112" s="1205"/>
      <c r="L9112" s="1055"/>
      <c r="M9112" s="1205"/>
      <c r="N9112" s="1054"/>
      <c r="O9112" s="1207"/>
      <c r="Q9112" s="1207"/>
    </row>
    <row r="9113" spans="3:17" s="700" customFormat="1" ht="70.5" hidden="1" customHeight="1">
      <c r="C9113" s="701"/>
      <c r="D9113" s="811"/>
      <c r="E9113" s="1276">
        <f>[11]building!Y9444</f>
        <v>0</v>
      </c>
      <c r="F9113" s="748">
        <f t="shared" si="381"/>
        <v>0</v>
      </c>
      <c r="G9113" s="1205"/>
      <c r="H9113" s="1055"/>
      <c r="I9113" s="1055"/>
      <c r="J9113" s="1055"/>
      <c r="K9113" s="1205"/>
      <c r="L9113" s="1055"/>
      <c r="M9113" s="1205"/>
      <c r="N9113" s="1054"/>
      <c r="O9113" s="1207"/>
      <c r="Q9113" s="1207"/>
    </row>
    <row r="9114" spans="3:17" s="700" customFormat="1" ht="70.5" hidden="1" customHeight="1">
      <c r="C9114" s="701"/>
      <c r="D9114" s="811"/>
      <c r="E9114" s="1276">
        <f>[11]building!Y9445</f>
        <v>0</v>
      </c>
      <c r="F9114" s="748">
        <f t="shared" si="381"/>
        <v>0</v>
      </c>
      <c r="G9114" s="1205"/>
      <c r="H9114" s="1055"/>
      <c r="I9114" s="1055"/>
      <c r="J9114" s="1055"/>
      <c r="K9114" s="1205"/>
      <c r="L9114" s="1055"/>
      <c r="M9114" s="1205"/>
      <c r="N9114" s="1054"/>
      <c r="O9114" s="1207"/>
      <c r="Q9114" s="1207"/>
    </row>
    <row r="9115" spans="3:17" s="700" customFormat="1" ht="70.5" hidden="1" customHeight="1">
      <c r="C9115" s="701"/>
      <c r="D9115" s="811"/>
      <c r="E9115" s="1276">
        <f>[11]building!Y9446</f>
        <v>0</v>
      </c>
      <c r="F9115" s="748">
        <f t="shared" si="381"/>
        <v>0</v>
      </c>
      <c r="G9115" s="1205"/>
      <c r="H9115" s="1055"/>
      <c r="I9115" s="1055"/>
      <c r="J9115" s="1055"/>
      <c r="K9115" s="1205"/>
      <c r="L9115" s="1055"/>
      <c r="M9115" s="1205"/>
      <c r="N9115" s="1054"/>
      <c r="O9115" s="1207"/>
      <c r="Q9115" s="1207"/>
    </row>
    <row r="9116" spans="3:17" s="700" customFormat="1" ht="70.5" hidden="1" customHeight="1">
      <c r="C9116" s="701"/>
      <c r="D9116" s="811"/>
      <c r="E9116" s="1276">
        <f>[11]building!Y9447</f>
        <v>0</v>
      </c>
      <c r="F9116" s="748">
        <f t="shared" si="381"/>
        <v>0</v>
      </c>
      <c r="G9116" s="1205"/>
      <c r="H9116" s="1055"/>
      <c r="I9116" s="1055"/>
      <c r="J9116" s="1055"/>
      <c r="K9116" s="1205"/>
      <c r="L9116" s="1055"/>
      <c r="M9116" s="1205"/>
      <c r="N9116" s="1054"/>
      <c r="O9116" s="1207"/>
      <c r="Q9116" s="1207"/>
    </row>
    <row r="9117" spans="3:17" s="700" customFormat="1" ht="70.5" hidden="1" customHeight="1">
      <c r="C9117" s="701"/>
      <c r="D9117" s="811"/>
      <c r="E9117" s="1276">
        <f>[11]building!Y9448</f>
        <v>0</v>
      </c>
      <c r="F9117" s="748">
        <f t="shared" si="381"/>
        <v>0</v>
      </c>
      <c r="G9117" s="1205"/>
      <c r="H9117" s="1055"/>
      <c r="I9117" s="1055"/>
      <c r="J9117" s="1055"/>
      <c r="K9117" s="1205"/>
      <c r="L9117" s="1055"/>
      <c r="M9117" s="1205"/>
      <c r="N9117" s="1054"/>
      <c r="O9117" s="1207"/>
      <c r="Q9117" s="1207"/>
    </row>
    <row r="9118" spans="3:17" s="700" customFormat="1" ht="70.5" hidden="1" customHeight="1">
      <c r="C9118" s="701"/>
      <c r="D9118" s="811"/>
      <c r="E9118" s="1276">
        <f>[11]building!Y9449</f>
        <v>0</v>
      </c>
      <c r="F9118" s="748">
        <f t="shared" si="381"/>
        <v>0</v>
      </c>
      <c r="G9118" s="1205"/>
      <c r="H9118" s="1055"/>
      <c r="I9118" s="1055"/>
      <c r="J9118" s="1055"/>
      <c r="K9118" s="1205"/>
      <c r="L9118" s="1055"/>
      <c r="M9118" s="1205"/>
      <c r="N9118" s="1054"/>
      <c r="O9118" s="1207"/>
      <c r="Q9118" s="1207"/>
    </row>
    <row r="9119" spans="3:17" s="700" customFormat="1" ht="70.5" hidden="1" customHeight="1">
      <c r="C9119" s="701"/>
      <c r="D9119" s="811"/>
      <c r="E9119" s="1276">
        <f>[11]building!Y9450</f>
        <v>0</v>
      </c>
      <c r="F9119" s="748">
        <f t="shared" si="381"/>
        <v>0</v>
      </c>
      <c r="G9119" s="1205"/>
      <c r="H9119" s="1055"/>
      <c r="I9119" s="1055"/>
      <c r="J9119" s="1055"/>
      <c r="K9119" s="1205"/>
      <c r="L9119" s="1055"/>
      <c r="M9119" s="1205"/>
      <c r="N9119" s="1054"/>
      <c r="O9119" s="1207"/>
      <c r="Q9119" s="1207"/>
    </row>
    <row r="9120" spans="3:17" s="700" customFormat="1" ht="70.5" hidden="1" customHeight="1">
      <c r="C9120" s="701"/>
      <c r="D9120" s="811"/>
      <c r="E9120" s="1276">
        <f>[11]building!Y9451</f>
        <v>0</v>
      </c>
      <c r="F9120" s="748">
        <f t="shared" si="381"/>
        <v>0</v>
      </c>
      <c r="G9120" s="1205"/>
      <c r="H9120" s="1055"/>
      <c r="I9120" s="1055"/>
      <c r="J9120" s="1055"/>
      <c r="K9120" s="1205"/>
      <c r="L9120" s="1055"/>
      <c r="M9120" s="1205"/>
      <c r="N9120" s="1054"/>
      <c r="O9120" s="1207"/>
      <c r="Q9120" s="1207"/>
    </row>
    <row r="9121" spans="3:17" s="700" customFormat="1" ht="70.5" hidden="1" customHeight="1">
      <c r="C9121" s="701"/>
      <c r="D9121" s="811"/>
      <c r="E9121" s="1276">
        <f>[11]building!Y9452</f>
        <v>0</v>
      </c>
      <c r="F9121" s="748">
        <f t="shared" si="381"/>
        <v>0</v>
      </c>
      <c r="G9121" s="1205"/>
      <c r="H9121" s="1055"/>
      <c r="I9121" s="1055"/>
      <c r="J9121" s="1055"/>
      <c r="K9121" s="1205"/>
      <c r="L9121" s="1055"/>
      <c r="M9121" s="1205"/>
      <c r="N9121" s="1054"/>
      <c r="O9121" s="1207"/>
      <c r="Q9121" s="1207"/>
    </row>
    <row r="9122" spans="3:17" s="700" customFormat="1" ht="70.5" hidden="1" customHeight="1">
      <c r="C9122" s="701"/>
      <c r="D9122" s="811"/>
      <c r="E9122" s="1276">
        <f>[11]building!Y9453</f>
        <v>0</v>
      </c>
      <c r="F9122" s="748">
        <f t="shared" si="381"/>
        <v>0</v>
      </c>
      <c r="G9122" s="1205"/>
      <c r="H9122" s="1055"/>
      <c r="I9122" s="1055"/>
      <c r="J9122" s="1055"/>
      <c r="K9122" s="1205"/>
      <c r="L9122" s="1055"/>
      <c r="M9122" s="1205"/>
      <c r="N9122" s="1054"/>
      <c r="O9122" s="1207"/>
      <c r="Q9122" s="1207"/>
    </row>
    <row r="9123" spans="3:17" s="700" customFormat="1" ht="70.5" hidden="1" customHeight="1">
      <c r="C9123" s="701"/>
      <c r="D9123" s="811"/>
      <c r="E9123" s="1276">
        <f>[11]building!Y9454</f>
        <v>0</v>
      </c>
      <c r="F9123" s="748">
        <f t="shared" si="381"/>
        <v>0</v>
      </c>
      <c r="G9123" s="1205"/>
      <c r="H9123" s="1055"/>
      <c r="I9123" s="1055"/>
      <c r="J9123" s="1055"/>
      <c r="K9123" s="1205"/>
      <c r="L9123" s="1055"/>
      <c r="M9123" s="1205"/>
      <c r="N9123" s="1054"/>
      <c r="O9123" s="1207"/>
      <c r="Q9123" s="1207"/>
    </row>
    <row r="9124" spans="3:17" s="700" customFormat="1" ht="70.5" hidden="1" customHeight="1">
      <c r="C9124" s="701"/>
      <c r="D9124" s="811"/>
      <c r="E9124" s="1276">
        <f>[11]building!Y9455</f>
        <v>0</v>
      </c>
      <c r="F9124" s="748">
        <f t="shared" si="381"/>
        <v>0</v>
      </c>
      <c r="G9124" s="1205"/>
      <c r="H9124" s="1055"/>
      <c r="I9124" s="1055"/>
      <c r="J9124" s="1055"/>
      <c r="K9124" s="1205"/>
      <c r="L9124" s="1055"/>
      <c r="M9124" s="1205"/>
      <c r="N9124" s="1054"/>
      <c r="O9124" s="1207"/>
      <c r="Q9124" s="1207"/>
    </row>
    <row r="9125" spans="3:17" s="700" customFormat="1" ht="70.5" hidden="1" customHeight="1">
      <c r="C9125" s="701"/>
      <c r="D9125" s="811"/>
      <c r="E9125" s="1276">
        <f>[11]building!Y9456</f>
        <v>0</v>
      </c>
      <c r="F9125" s="748">
        <f t="shared" si="381"/>
        <v>0</v>
      </c>
      <c r="G9125" s="1205"/>
      <c r="H9125" s="1055"/>
      <c r="I9125" s="1055"/>
      <c r="J9125" s="1055"/>
      <c r="K9125" s="1205"/>
      <c r="L9125" s="1055"/>
      <c r="M9125" s="1205"/>
      <c r="N9125" s="1054"/>
      <c r="O9125" s="1207"/>
      <c r="Q9125" s="1207"/>
    </row>
    <row r="9126" spans="3:17" s="700" customFormat="1" ht="70.5" hidden="1" customHeight="1">
      <c r="C9126" s="701"/>
      <c r="D9126" s="811"/>
      <c r="E9126" s="1276">
        <f>[11]building!Y9457</f>
        <v>0</v>
      </c>
      <c r="F9126" s="748">
        <f t="shared" si="381"/>
        <v>0</v>
      </c>
      <c r="G9126" s="1205"/>
      <c r="H9126" s="1055"/>
      <c r="I9126" s="1055"/>
      <c r="J9126" s="1055"/>
      <c r="K9126" s="1205"/>
      <c r="L9126" s="1055"/>
      <c r="M9126" s="1205"/>
      <c r="N9126" s="1054"/>
      <c r="O9126" s="1207"/>
      <c r="Q9126" s="1207"/>
    </row>
    <row r="9127" spans="3:17" s="700" customFormat="1" ht="70.5" hidden="1" customHeight="1">
      <c r="C9127" s="701"/>
      <c r="D9127" s="811"/>
      <c r="E9127" s="1276">
        <f>[11]building!Y9458</f>
        <v>0</v>
      </c>
      <c r="F9127" s="748">
        <f t="shared" si="381"/>
        <v>0</v>
      </c>
      <c r="G9127" s="1205"/>
      <c r="H9127" s="1055"/>
      <c r="I9127" s="1055"/>
      <c r="J9127" s="1055"/>
      <c r="K9127" s="1205"/>
      <c r="L9127" s="1055"/>
      <c r="M9127" s="1205"/>
      <c r="N9127" s="1054"/>
      <c r="O9127" s="1207"/>
      <c r="Q9127" s="1207"/>
    </row>
    <row r="9128" spans="3:17" s="700" customFormat="1" ht="70.5" hidden="1" customHeight="1">
      <c r="C9128" s="701"/>
      <c r="D9128" s="811"/>
      <c r="E9128" s="1276">
        <f>[11]building!Y9459</f>
        <v>0</v>
      </c>
      <c r="F9128" s="748">
        <f t="shared" si="381"/>
        <v>0</v>
      </c>
      <c r="G9128" s="1205"/>
      <c r="H9128" s="1055"/>
      <c r="I9128" s="1055"/>
      <c r="J9128" s="1055"/>
      <c r="K9128" s="1205"/>
      <c r="L9128" s="1055"/>
      <c r="M9128" s="1205"/>
      <c r="N9128" s="1054"/>
      <c r="O9128" s="1207"/>
      <c r="Q9128" s="1207"/>
    </row>
    <row r="9129" spans="3:17" s="700" customFormat="1" ht="70.5" hidden="1" customHeight="1">
      <c r="C9129" s="701"/>
      <c r="D9129" s="811"/>
      <c r="E9129" s="1276">
        <f>[11]building!Y9460</f>
        <v>0</v>
      </c>
      <c r="F9129" s="748">
        <f t="shared" si="381"/>
        <v>0</v>
      </c>
      <c r="G9129" s="1205"/>
      <c r="H9129" s="1055"/>
      <c r="I9129" s="1055"/>
      <c r="J9129" s="1055"/>
      <c r="K9129" s="1205"/>
      <c r="L9129" s="1055"/>
      <c r="M9129" s="1205"/>
      <c r="N9129" s="1054"/>
      <c r="O9129" s="1207"/>
      <c r="Q9129" s="1207"/>
    </row>
    <row r="9130" spans="3:17" s="700" customFormat="1" ht="70.5" hidden="1" customHeight="1">
      <c r="C9130" s="701"/>
      <c r="D9130" s="811"/>
      <c r="E9130" s="1276">
        <f>[11]building!Y9461</f>
        <v>0</v>
      </c>
      <c r="F9130" s="748">
        <f t="shared" si="381"/>
        <v>0</v>
      </c>
      <c r="G9130" s="1205"/>
      <c r="H9130" s="1055"/>
      <c r="I9130" s="1055"/>
      <c r="J9130" s="1055"/>
      <c r="K9130" s="1205"/>
      <c r="L9130" s="1055"/>
      <c r="M9130" s="1205"/>
      <c r="N9130" s="1054"/>
      <c r="O9130" s="1207"/>
      <c r="Q9130" s="1207"/>
    </row>
    <row r="9131" spans="3:17" s="700" customFormat="1" ht="70.5" hidden="1" customHeight="1">
      <c r="C9131" s="701"/>
      <c r="D9131" s="811"/>
      <c r="E9131" s="1276">
        <f>[11]building!Y9462</f>
        <v>0</v>
      </c>
      <c r="F9131" s="748">
        <f t="shared" si="381"/>
        <v>0</v>
      </c>
      <c r="G9131" s="1205"/>
      <c r="H9131" s="1055"/>
      <c r="I9131" s="1055"/>
      <c r="J9131" s="1055"/>
      <c r="K9131" s="1205"/>
      <c r="L9131" s="1055"/>
      <c r="M9131" s="1205"/>
      <c r="N9131" s="1054"/>
      <c r="O9131" s="1207"/>
      <c r="Q9131" s="1207"/>
    </row>
    <row r="9132" spans="3:17" s="700" customFormat="1" ht="70.5" hidden="1" customHeight="1">
      <c r="C9132" s="701"/>
      <c r="D9132" s="811"/>
      <c r="E9132" s="1276">
        <f>[11]building!Y9463</f>
        <v>0</v>
      </c>
      <c r="F9132" s="748">
        <f t="shared" si="381"/>
        <v>0</v>
      </c>
      <c r="G9132" s="1205"/>
      <c r="H9132" s="1055"/>
      <c r="I9132" s="1055"/>
      <c r="J9132" s="1055"/>
      <c r="K9132" s="1205"/>
      <c r="L9132" s="1055"/>
      <c r="M9132" s="1205"/>
      <c r="N9132" s="1054"/>
      <c r="O9132" s="1207"/>
      <c r="Q9132" s="1207"/>
    </row>
    <row r="9133" spans="3:17" s="700" customFormat="1" ht="70.5" hidden="1" customHeight="1">
      <c r="C9133" s="701"/>
      <c r="D9133" s="811"/>
      <c r="E9133" s="1276">
        <f>[11]building!Y9464</f>
        <v>0</v>
      </c>
      <c r="F9133" s="748">
        <f t="shared" si="381"/>
        <v>0</v>
      </c>
      <c r="G9133" s="1205"/>
      <c r="H9133" s="1055"/>
      <c r="I9133" s="1055"/>
      <c r="J9133" s="1055"/>
      <c r="K9133" s="1205"/>
      <c r="L9133" s="1055"/>
      <c r="M9133" s="1205"/>
      <c r="N9133" s="1054"/>
      <c r="O9133" s="1207"/>
      <c r="Q9133" s="1207"/>
    </row>
    <row r="9134" spans="3:17" s="700" customFormat="1" ht="70.5" hidden="1" customHeight="1">
      <c r="C9134" s="701"/>
      <c r="D9134" s="811"/>
      <c r="E9134" s="1276">
        <f>[11]building!Y9465</f>
        <v>0</v>
      </c>
      <c r="F9134" s="748">
        <f t="shared" si="381"/>
        <v>0</v>
      </c>
      <c r="G9134" s="1205"/>
      <c r="H9134" s="1055"/>
      <c r="I9134" s="1055"/>
      <c r="J9134" s="1055"/>
      <c r="K9134" s="1205"/>
      <c r="L9134" s="1055"/>
      <c r="M9134" s="1205"/>
      <c r="N9134" s="1054"/>
      <c r="O9134" s="1207"/>
      <c r="Q9134" s="1207"/>
    </row>
    <row r="9135" spans="3:17" s="700" customFormat="1" ht="70.5" hidden="1" customHeight="1">
      <c r="C9135" s="701"/>
      <c r="D9135" s="811"/>
      <c r="E9135" s="1276">
        <f>[11]building!Y9466</f>
        <v>0</v>
      </c>
      <c r="F9135" s="748">
        <f t="shared" si="381"/>
        <v>0</v>
      </c>
      <c r="G9135" s="1205"/>
      <c r="H9135" s="1055"/>
      <c r="I9135" s="1055"/>
      <c r="J9135" s="1055"/>
      <c r="K9135" s="1205"/>
      <c r="L9135" s="1055"/>
      <c r="M9135" s="1205"/>
      <c r="N9135" s="1054"/>
      <c r="O9135" s="1207"/>
      <c r="Q9135" s="1207"/>
    </row>
    <row r="9136" spans="3:17" s="700" customFormat="1" ht="70.5" hidden="1" customHeight="1">
      <c r="C9136" s="701"/>
      <c r="D9136" s="811"/>
      <c r="E9136" s="1276">
        <f>[11]building!Y9467</f>
        <v>0</v>
      </c>
      <c r="F9136" s="748">
        <f t="shared" si="381"/>
        <v>0</v>
      </c>
      <c r="G9136" s="1205"/>
      <c r="H9136" s="1055"/>
      <c r="I9136" s="1055"/>
      <c r="J9136" s="1055"/>
      <c r="K9136" s="1205"/>
      <c r="L9136" s="1055"/>
      <c r="M9136" s="1205"/>
      <c r="N9136" s="1054"/>
      <c r="O9136" s="1207"/>
      <c r="Q9136" s="1207"/>
    </row>
    <row r="9137" spans="3:17" s="700" customFormat="1" ht="70.5" hidden="1" customHeight="1">
      <c r="C9137" s="701"/>
      <c r="D9137" s="811"/>
      <c r="E9137" s="1276">
        <f>[11]building!Y9468</f>
        <v>0</v>
      </c>
      <c r="F9137" s="748">
        <f t="shared" si="381"/>
        <v>0</v>
      </c>
      <c r="G9137" s="1205"/>
      <c r="H9137" s="1055"/>
      <c r="I9137" s="1055"/>
      <c r="J9137" s="1055"/>
      <c r="K9137" s="1205"/>
      <c r="L9137" s="1055"/>
      <c r="M9137" s="1205"/>
      <c r="N9137" s="1054"/>
      <c r="O9137" s="1207"/>
      <c r="Q9137" s="1207"/>
    </row>
    <row r="9138" spans="3:17" s="700" customFormat="1" ht="70.5" hidden="1" customHeight="1">
      <c r="C9138" s="701"/>
      <c r="D9138" s="811"/>
      <c r="E9138" s="1276">
        <f>[11]building!Y9469</f>
        <v>0</v>
      </c>
      <c r="F9138" s="748">
        <f t="shared" si="381"/>
        <v>0</v>
      </c>
      <c r="G9138" s="1205"/>
      <c r="H9138" s="1055"/>
      <c r="I9138" s="1055"/>
      <c r="J9138" s="1055"/>
      <c r="K9138" s="1205"/>
      <c r="L9138" s="1055"/>
      <c r="M9138" s="1205"/>
      <c r="N9138" s="1054"/>
      <c r="O9138" s="1207"/>
      <c r="Q9138" s="1207"/>
    </row>
    <row r="9139" spans="3:17" s="700" customFormat="1" ht="70.5" hidden="1" customHeight="1">
      <c r="C9139" s="701"/>
      <c r="D9139" s="811"/>
      <c r="E9139" s="1276">
        <f>[11]building!Y9470</f>
        <v>0</v>
      </c>
      <c r="F9139" s="748">
        <f t="shared" si="381"/>
        <v>0</v>
      </c>
      <c r="G9139" s="1205"/>
      <c r="H9139" s="1055"/>
      <c r="I9139" s="1055"/>
      <c r="J9139" s="1055"/>
      <c r="K9139" s="1205"/>
      <c r="L9139" s="1055"/>
      <c r="M9139" s="1205"/>
      <c r="N9139" s="1054"/>
      <c r="O9139" s="1207"/>
      <c r="Q9139" s="1207"/>
    </row>
    <row r="9140" spans="3:17" s="700" customFormat="1" ht="70.5" hidden="1" customHeight="1">
      <c r="C9140" s="701"/>
      <c r="D9140" s="811"/>
      <c r="E9140" s="1276">
        <f>[11]building!Y9471</f>
        <v>0</v>
      </c>
      <c r="F9140" s="748">
        <f t="shared" si="381"/>
        <v>0</v>
      </c>
      <c r="G9140" s="1205"/>
      <c r="H9140" s="1055"/>
      <c r="I9140" s="1055"/>
      <c r="J9140" s="1055"/>
      <c r="K9140" s="1205"/>
      <c r="L9140" s="1055"/>
      <c r="M9140" s="1205"/>
      <c r="N9140" s="1054"/>
      <c r="O9140" s="1207"/>
      <c r="Q9140" s="1207"/>
    </row>
    <row r="9141" spans="3:17" s="700" customFormat="1" ht="70.5" hidden="1" customHeight="1">
      <c r="C9141" s="701"/>
      <c r="D9141" s="811"/>
      <c r="E9141" s="1276">
        <f>[11]building!Y9472</f>
        <v>0</v>
      </c>
      <c r="F9141" s="748">
        <f t="shared" si="381"/>
        <v>0</v>
      </c>
      <c r="G9141" s="1205"/>
      <c r="H9141" s="1055"/>
      <c r="I9141" s="1055"/>
      <c r="J9141" s="1055"/>
      <c r="K9141" s="1205"/>
      <c r="L9141" s="1055"/>
      <c r="M9141" s="1205"/>
      <c r="N9141" s="1054"/>
      <c r="O9141" s="1207"/>
      <c r="Q9141" s="1207"/>
    </row>
    <row r="9142" spans="3:17" s="700" customFormat="1" ht="70.5" hidden="1" customHeight="1">
      <c r="C9142" s="701"/>
      <c r="D9142" s="811"/>
      <c r="E9142" s="1276">
        <f>[11]building!Y9473</f>
        <v>0</v>
      </c>
      <c r="F9142" s="748">
        <f t="shared" si="381"/>
        <v>0</v>
      </c>
      <c r="G9142" s="1205"/>
      <c r="H9142" s="1055"/>
      <c r="I9142" s="1055"/>
      <c r="J9142" s="1055"/>
      <c r="K9142" s="1205"/>
      <c r="L9142" s="1055"/>
      <c r="M9142" s="1205"/>
      <c r="N9142" s="1054"/>
      <c r="O9142" s="1207"/>
      <c r="Q9142" s="1207"/>
    </row>
    <row r="9143" spans="3:17" s="700" customFormat="1" ht="70.5" hidden="1" customHeight="1">
      <c r="C9143" s="701"/>
      <c r="D9143" s="811"/>
      <c r="E9143" s="1276">
        <f>[11]building!Y9474</f>
        <v>0</v>
      </c>
      <c r="F9143" s="748">
        <f t="shared" si="381"/>
        <v>0</v>
      </c>
      <c r="G9143" s="1205"/>
      <c r="H9143" s="1055"/>
      <c r="I9143" s="1055"/>
      <c r="J9143" s="1055"/>
      <c r="K9143" s="1205"/>
      <c r="L9143" s="1055"/>
      <c r="M9143" s="1205"/>
      <c r="N9143" s="1054"/>
      <c r="O9143" s="1207"/>
      <c r="Q9143" s="1207"/>
    </row>
    <row r="9144" spans="3:17" s="700" customFormat="1" ht="70.5" hidden="1" customHeight="1">
      <c r="C9144" s="701"/>
      <c r="D9144" s="811"/>
      <c r="E9144" s="1276">
        <f>[11]building!Y9475</f>
        <v>0</v>
      </c>
      <c r="F9144" s="748">
        <f t="shared" si="381"/>
        <v>0</v>
      </c>
      <c r="G9144" s="1205"/>
      <c r="H9144" s="1055"/>
      <c r="I9144" s="1055"/>
      <c r="J9144" s="1055"/>
      <c r="K9144" s="1205"/>
      <c r="L9144" s="1055"/>
      <c r="M9144" s="1205"/>
      <c r="N9144" s="1054"/>
      <c r="O9144" s="1207"/>
      <c r="Q9144" s="1207"/>
    </row>
    <row r="9145" spans="3:17" s="700" customFormat="1" ht="70.5" hidden="1" customHeight="1">
      <c r="C9145" s="701"/>
      <c r="D9145" s="811"/>
      <c r="E9145" s="1276">
        <f>[11]building!Y9476</f>
        <v>0</v>
      </c>
      <c r="F9145" s="748">
        <f t="shared" si="381"/>
        <v>0</v>
      </c>
      <c r="G9145" s="1205"/>
      <c r="H9145" s="1055"/>
      <c r="I9145" s="1055"/>
      <c r="J9145" s="1055"/>
      <c r="K9145" s="1205"/>
      <c r="L9145" s="1055"/>
      <c r="M9145" s="1205"/>
      <c r="N9145" s="1054"/>
      <c r="O9145" s="1207"/>
      <c r="Q9145" s="1207"/>
    </row>
    <row r="9146" spans="3:17" s="700" customFormat="1" ht="70.5" hidden="1" customHeight="1">
      <c r="C9146" s="701"/>
      <c r="D9146" s="811"/>
      <c r="E9146" s="1276">
        <f>[11]building!Y9477</f>
        <v>0</v>
      </c>
      <c r="F9146" s="748">
        <f t="shared" si="381"/>
        <v>0</v>
      </c>
      <c r="G9146" s="1205"/>
      <c r="H9146" s="1055"/>
      <c r="I9146" s="1055"/>
      <c r="J9146" s="1055"/>
      <c r="K9146" s="1205"/>
      <c r="L9146" s="1055"/>
      <c r="M9146" s="1205"/>
      <c r="N9146" s="1054"/>
      <c r="O9146" s="1207"/>
      <c r="Q9146" s="1207"/>
    </row>
    <row r="9147" spans="3:17" s="700" customFormat="1" ht="70.5" hidden="1" customHeight="1">
      <c r="C9147" s="701"/>
      <c r="D9147" s="811"/>
      <c r="E9147" s="1276">
        <f>[11]building!Y9478</f>
        <v>0</v>
      </c>
      <c r="F9147" s="748">
        <f t="shared" si="381"/>
        <v>0</v>
      </c>
      <c r="G9147" s="1205"/>
      <c r="H9147" s="1055"/>
      <c r="I9147" s="1055"/>
      <c r="J9147" s="1055"/>
      <c r="K9147" s="1205"/>
      <c r="L9147" s="1055"/>
      <c r="M9147" s="1205"/>
      <c r="N9147" s="1054"/>
      <c r="O9147" s="1207"/>
      <c r="Q9147" s="1207"/>
    </row>
    <row r="9148" spans="3:17" s="700" customFormat="1" ht="70.5" hidden="1" customHeight="1">
      <c r="C9148" s="701"/>
      <c r="D9148" s="811"/>
      <c r="E9148" s="1276">
        <f>[11]building!Y9479</f>
        <v>0</v>
      </c>
      <c r="F9148" s="748">
        <f t="shared" si="381"/>
        <v>0</v>
      </c>
      <c r="G9148" s="1205"/>
      <c r="H9148" s="1055"/>
      <c r="I9148" s="1055"/>
      <c r="J9148" s="1055"/>
      <c r="K9148" s="1205"/>
      <c r="L9148" s="1055"/>
      <c r="M9148" s="1205"/>
      <c r="N9148" s="1054"/>
      <c r="O9148" s="1207"/>
      <c r="Q9148" s="1207"/>
    </row>
    <row r="9149" spans="3:17" s="700" customFormat="1" ht="70.5" hidden="1" customHeight="1">
      <c r="C9149" s="701"/>
      <c r="D9149" s="811"/>
      <c r="E9149" s="1276">
        <f>[11]building!Y9480</f>
        <v>0</v>
      </c>
      <c r="F9149" s="748">
        <f t="shared" si="381"/>
        <v>0</v>
      </c>
      <c r="G9149" s="1205"/>
      <c r="H9149" s="1055"/>
      <c r="I9149" s="1055"/>
      <c r="J9149" s="1055"/>
      <c r="K9149" s="1205"/>
      <c r="L9149" s="1055"/>
      <c r="M9149" s="1205"/>
      <c r="N9149" s="1054"/>
      <c r="O9149" s="1207"/>
      <c r="Q9149" s="1207"/>
    </row>
    <row r="9150" spans="3:17" s="700" customFormat="1" ht="70.5" hidden="1" customHeight="1">
      <c r="C9150" s="701"/>
      <c r="D9150" s="811"/>
      <c r="E9150" s="1276">
        <f>[11]building!Y9481</f>
        <v>0</v>
      </c>
      <c r="F9150" s="748">
        <f t="shared" si="381"/>
        <v>0</v>
      </c>
      <c r="G9150" s="1205"/>
      <c r="H9150" s="1055"/>
      <c r="I9150" s="1055"/>
      <c r="J9150" s="1055"/>
      <c r="K9150" s="1205"/>
      <c r="L9150" s="1055"/>
      <c r="M9150" s="1205"/>
      <c r="N9150" s="1054"/>
      <c r="O9150" s="1207"/>
      <c r="Q9150" s="1207"/>
    </row>
    <row r="9151" spans="3:17" s="700" customFormat="1" ht="70.5" hidden="1" customHeight="1">
      <c r="C9151" s="701"/>
      <c r="D9151" s="811"/>
      <c r="E9151" s="1276">
        <f>[11]building!Y9482</f>
        <v>0</v>
      </c>
      <c r="F9151" s="748">
        <f t="shared" si="381"/>
        <v>0</v>
      </c>
      <c r="G9151" s="1205"/>
      <c r="H9151" s="1055"/>
      <c r="I9151" s="1055"/>
      <c r="J9151" s="1055"/>
      <c r="K9151" s="1205"/>
      <c r="L9151" s="1055"/>
      <c r="M9151" s="1205"/>
      <c r="N9151" s="1054"/>
      <c r="O9151" s="1207"/>
      <c r="Q9151" s="1207"/>
    </row>
    <row r="9152" spans="3:17" s="700" customFormat="1" ht="70.5" hidden="1" customHeight="1">
      <c r="C9152" s="701"/>
      <c r="D9152" s="811"/>
      <c r="E9152" s="1276">
        <f>[11]building!Y9483</f>
        <v>0</v>
      </c>
      <c r="F9152" s="748">
        <f t="shared" ref="F9152:F9215" si="382">E9152*C9152</f>
        <v>0</v>
      </c>
      <c r="G9152" s="1205"/>
      <c r="H9152" s="1055"/>
      <c r="I9152" s="1055"/>
      <c r="J9152" s="1055"/>
      <c r="K9152" s="1205"/>
      <c r="L9152" s="1055"/>
      <c r="M9152" s="1205"/>
      <c r="N9152" s="1054"/>
      <c r="O9152" s="1207"/>
      <c r="Q9152" s="1207"/>
    </row>
    <row r="9153" spans="3:17" s="700" customFormat="1" ht="70.5" hidden="1" customHeight="1">
      <c r="C9153" s="701"/>
      <c r="D9153" s="811"/>
      <c r="E9153" s="1276">
        <f>[11]building!Y9484</f>
        <v>0</v>
      </c>
      <c r="F9153" s="748">
        <f t="shared" si="382"/>
        <v>0</v>
      </c>
      <c r="G9153" s="1205"/>
      <c r="H9153" s="1055"/>
      <c r="I9153" s="1055"/>
      <c r="J9153" s="1055"/>
      <c r="K9153" s="1205"/>
      <c r="L9153" s="1055"/>
      <c r="M9153" s="1205"/>
      <c r="N9153" s="1054"/>
      <c r="O9153" s="1207"/>
      <c r="Q9153" s="1207"/>
    </row>
    <row r="9154" spans="3:17" s="700" customFormat="1" ht="70.5" hidden="1" customHeight="1">
      <c r="C9154" s="701"/>
      <c r="D9154" s="811"/>
      <c r="E9154" s="1276">
        <f>[11]building!Y9485</f>
        <v>0</v>
      </c>
      <c r="F9154" s="748">
        <f t="shared" si="382"/>
        <v>0</v>
      </c>
      <c r="G9154" s="1205"/>
      <c r="H9154" s="1055"/>
      <c r="I9154" s="1055"/>
      <c r="J9154" s="1055"/>
      <c r="K9154" s="1205"/>
      <c r="L9154" s="1055"/>
      <c r="M9154" s="1205"/>
      <c r="N9154" s="1054"/>
      <c r="O9154" s="1207"/>
      <c r="Q9154" s="1207"/>
    </row>
    <row r="9155" spans="3:17" s="700" customFormat="1" ht="70.5" hidden="1" customHeight="1">
      <c r="C9155" s="701"/>
      <c r="D9155" s="811"/>
      <c r="E9155" s="1276">
        <f>[11]building!Y9486</f>
        <v>0</v>
      </c>
      <c r="F9155" s="748">
        <f t="shared" si="382"/>
        <v>0</v>
      </c>
      <c r="G9155" s="1205"/>
      <c r="H9155" s="1055"/>
      <c r="I9155" s="1055"/>
      <c r="J9155" s="1055"/>
      <c r="K9155" s="1205"/>
      <c r="L9155" s="1055"/>
      <c r="M9155" s="1205"/>
      <c r="N9155" s="1054"/>
      <c r="O9155" s="1207"/>
      <c r="Q9155" s="1207"/>
    </row>
    <row r="9156" spans="3:17" s="700" customFormat="1" ht="70.5" hidden="1" customHeight="1">
      <c r="C9156" s="701"/>
      <c r="D9156" s="811"/>
      <c r="E9156" s="1276">
        <f>[11]building!Y9487</f>
        <v>0</v>
      </c>
      <c r="F9156" s="748">
        <f t="shared" si="382"/>
        <v>0</v>
      </c>
      <c r="G9156" s="1205"/>
      <c r="H9156" s="1055"/>
      <c r="I9156" s="1055"/>
      <c r="J9156" s="1055"/>
      <c r="K9156" s="1205"/>
      <c r="L9156" s="1055"/>
      <c r="M9156" s="1205"/>
      <c r="N9156" s="1054"/>
      <c r="O9156" s="1207"/>
      <c r="Q9156" s="1207"/>
    </row>
    <row r="9157" spans="3:17" s="700" customFormat="1" ht="70.5" hidden="1" customHeight="1">
      <c r="C9157" s="701"/>
      <c r="D9157" s="811"/>
      <c r="E9157" s="1276">
        <f>[11]building!Y9488</f>
        <v>0</v>
      </c>
      <c r="F9157" s="748">
        <f t="shared" si="382"/>
        <v>0</v>
      </c>
      <c r="G9157" s="1205"/>
      <c r="H9157" s="1055"/>
      <c r="I9157" s="1055"/>
      <c r="J9157" s="1055"/>
      <c r="K9157" s="1205"/>
      <c r="L9157" s="1055"/>
      <c r="M9157" s="1205"/>
      <c r="N9157" s="1054"/>
      <c r="O9157" s="1207"/>
      <c r="Q9157" s="1207"/>
    </row>
    <row r="9158" spans="3:17" s="700" customFormat="1" ht="70.5" hidden="1" customHeight="1">
      <c r="C9158" s="701"/>
      <c r="D9158" s="811"/>
      <c r="E9158" s="1276">
        <f>[11]building!Y9489</f>
        <v>0</v>
      </c>
      <c r="F9158" s="748">
        <f t="shared" si="382"/>
        <v>0</v>
      </c>
      <c r="G9158" s="1205"/>
      <c r="H9158" s="1055"/>
      <c r="I9158" s="1055"/>
      <c r="J9158" s="1055"/>
      <c r="K9158" s="1205"/>
      <c r="L9158" s="1055"/>
      <c r="M9158" s="1205"/>
      <c r="N9158" s="1054"/>
      <c r="O9158" s="1207"/>
      <c r="Q9158" s="1207"/>
    </row>
    <row r="9159" spans="3:17" s="700" customFormat="1" ht="70.5" hidden="1" customHeight="1">
      <c r="C9159" s="701"/>
      <c r="D9159" s="811"/>
      <c r="E9159" s="1276">
        <f>[11]building!Y9490</f>
        <v>0</v>
      </c>
      <c r="F9159" s="748">
        <f t="shared" si="382"/>
        <v>0</v>
      </c>
      <c r="G9159" s="1205"/>
      <c r="H9159" s="1055"/>
      <c r="I9159" s="1055"/>
      <c r="J9159" s="1055"/>
      <c r="K9159" s="1205"/>
      <c r="L9159" s="1055"/>
      <c r="M9159" s="1205"/>
      <c r="N9159" s="1054"/>
      <c r="O9159" s="1207"/>
      <c r="Q9159" s="1207"/>
    </row>
    <row r="9160" spans="3:17" s="700" customFormat="1" ht="70.5" hidden="1" customHeight="1">
      <c r="C9160" s="701"/>
      <c r="D9160" s="811"/>
      <c r="E9160" s="1276">
        <f>[11]building!Y9491</f>
        <v>0</v>
      </c>
      <c r="F9160" s="748">
        <f t="shared" si="382"/>
        <v>0</v>
      </c>
      <c r="G9160" s="1205"/>
      <c r="H9160" s="1055"/>
      <c r="I9160" s="1055"/>
      <c r="J9160" s="1055"/>
      <c r="K9160" s="1205"/>
      <c r="L9160" s="1055"/>
      <c r="M9160" s="1205"/>
      <c r="N9160" s="1054"/>
      <c r="O9160" s="1207"/>
      <c r="Q9160" s="1207"/>
    </row>
    <row r="9161" spans="3:17" s="700" customFormat="1" ht="70.5" hidden="1" customHeight="1">
      <c r="C9161" s="701"/>
      <c r="D9161" s="811"/>
      <c r="E9161" s="1276">
        <f>[11]building!Y9492</f>
        <v>0</v>
      </c>
      <c r="F9161" s="748">
        <f t="shared" si="382"/>
        <v>0</v>
      </c>
      <c r="G9161" s="1205"/>
      <c r="H9161" s="1055"/>
      <c r="I9161" s="1055"/>
      <c r="J9161" s="1055"/>
      <c r="K9161" s="1205"/>
      <c r="L9161" s="1055"/>
      <c r="M9161" s="1205"/>
      <c r="N9161" s="1054"/>
      <c r="O9161" s="1207"/>
      <c r="Q9161" s="1207"/>
    </row>
    <row r="9162" spans="3:17" s="700" customFormat="1" ht="70.5" hidden="1" customHeight="1">
      <c r="C9162" s="701"/>
      <c r="D9162" s="811"/>
      <c r="E9162" s="1276">
        <f>[11]building!Y9493</f>
        <v>0</v>
      </c>
      <c r="F9162" s="748">
        <f t="shared" si="382"/>
        <v>0</v>
      </c>
      <c r="G9162" s="1205"/>
      <c r="H9162" s="1055"/>
      <c r="I9162" s="1055"/>
      <c r="J9162" s="1055"/>
      <c r="K9162" s="1205"/>
      <c r="L9162" s="1055"/>
      <c r="M9162" s="1205"/>
      <c r="N9162" s="1054"/>
      <c r="O9162" s="1207"/>
      <c r="Q9162" s="1207"/>
    </row>
    <row r="9163" spans="3:17" s="700" customFormat="1" ht="70.5" hidden="1" customHeight="1">
      <c r="C9163" s="701"/>
      <c r="D9163" s="811"/>
      <c r="E9163" s="1276">
        <f>[11]building!Y9494</f>
        <v>0</v>
      </c>
      <c r="F9163" s="748">
        <f t="shared" si="382"/>
        <v>0</v>
      </c>
      <c r="G9163" s="1205"/>
      <c r="H9163" s="1055"/>
      <c r="I9163" s="1055"/>
      <c r="J9163" s="1055"/>
      <c r="K9163" s="1205"/>
      <c r="L9163" s="1055"/>
      <c r="M9163" s="1205"/>
      <c r="N9163" s="1054"/>
      <c r="O9163" s="1207"/>
      <c r="Q9163" s="1207"/>
    </row>
    <row r="9164" spans="3:17" s="700" customFormat="1" ht="70.5" hidden="1" customHeight="1">
      <c r="C9164" s="701"/>
      <c r="D9164" s="811"/>
      <c r="E9164" s="1276">
        <f>[11]building!Y9495</f>
        <v>0</v>
      </c>
      <c r="F9164" s="748">
        <f t="shared" si="382"/>
        <v>0</v>
      </c>
      <c r="G9164" s="1205"/>
      <c r="H9164" s="1055"/>
      <c r="I9164" s="1055"/>
      <c r="J9164" s="1055"/>
      <c r="K9164" s="1205"/>
      <c r="L9164" s="1055"/>
      <c r="M9164" s="1205"/>
      <c r="N9164" s="1054"/>
      <c r="O9164" s="1207"/>
      <c r="Q9164" s="1207"/>
    </row>
    <row r="9165" spans="3:17" s="700" customFormat="1" ht="70.5" hidden="1" customHeight="1">
      <c r="C9165" s="701"/>
      <c r="D9165" s="811"/>
      <c r="E9165" s="1276">
        <f>[11]building!Y9496</f>
        <v>0</v>
      </c>
      <c r="F9165" s="748">
        <f t="shared" si="382"/>
        <v>0</v>
      </c>
      <c r="G9165" s="1205"/>
      <c r="H9165" s="1055"/>
      <c r="I9165" s="1055"/>
      <c r="J9165" s="1055"/>
      <c r="K9165" s="1205"/>
      <c r="L9165" s="1055"/>
      <c r="M9165" s="1205"/>
      <c r="N9165" s="1054"/>
      <c r="O9165" s="1207"/>
      <c r="Q9165" s="1207"/>
    </row>
    <row r="9166" spans="3:17" s="700" customFormat="1" ht="70.5" hidden="1" customHeight="1">
      <c r="C9166" s="701"/>
      <c r="D9166" s="811"/>
      <c r="E9166" s="1276">
        <f>[11]building!Y9497</f>
        <v>0</v>
      </c>
      <c r="F9166" s="748">
        <f t="shared" si="382"/>
        <v>0</v>
      </c>
      <c r="G9166" s="1205"/>
      <c r="H9166" s="1055"/>
      <c r="I9166" s="1055"/>
      <c r="J9166" s="1055"/>
      <c r="K9166" s="1205"/>
      <c r="L9166" s="1055"/>
      <c r="M9166" s="1205"/>
      <c r="N9166" s="1054"/>
      <c r="O9166" s="1207"/>
      <c r="Q9166" s="1207"/>
    </row>
    <row r="9167" spans="3:17" s="700" customFormat="1" ht="70.5" hidden="1" customHeight="1">
      <c r="C9167" s="701"/>
      <c r="D9167" s="811"/>
      <c r="E9167" s="1276">
        <f>[11]building!Y9498</f>
        <v>0</v>
      </c>
      <c r="F9167" s="748">
        <f t="shared" si="382"/>
        <v>0</v>
      </c>
      <c r="G9167" s="1205"/>
      <c r="H9167" s="1055"/>
      <c r="I9167" s="1055"/>
      <c r="J9167" s="1055"/>
      <c r="K9167" s="1205"/>
      <c r="L9167" s="1055"/>
      <c r="M9167" s="1205"/>
      <c r="N9167" s="1054"/>
      <c r="O9167" s="1207"/>
      <c r="Q9167" s="1207"/>
    </row>
    <row r="9168" spans="3:17" s="700" customFormat="1" ht="70.5" hidden="1" customHeight="1">
      <c r="C9168" s="701"/>
      <c r="D9168" s="811"/>
      <c r="E9168" s="1276">
        <f>[11]building!Y9499</f>
        <v>0</v>
      </c>
      <c r="F9168" s="748">
        <f t="shared" si="382"/>
        <v>0</v>
      </c>
      <c r="G9168" s="1205"/>
      <c r="H9168" s="1055"/>
      <c r="I9168" s="1055"/>
      <c r="J9168" s="1055"/>
      <c r="K9168" s="1205"/>
      <c r="L9168" s="1055"/>
      <c r="M9168" s="1205"/>
      <c r="N9168" s="1054"/>
      <c r="O9168" s="1207"/>
      <c r="Q9168" s="1207"/>
    </row>
    <row r="9169" spans="3:17" s="700" customFormat="1" ht="70.5" hidden="1" customHeight="1">
      <c r="C9169" s="701"/>
      <c r="D9169" s="811"/>
      <c r="E9169" s="1276">
        <f>[11]building!Y9500</f>
        <v>0</v>
      </c>
      <c r="F9169" s="748">
        <f t="shared" si="382"/>
        <v>0</v>
      </c>
      <c r="G9169" s="1205"/>
      <c r="H9169" s="1055"/>
      <c r="I9169" s="1055"/>
      <c r="J9169" s="1055"/>
      <c r="K9169" s="1205"/>
      <c r="L9169" s="1055"/>
      <c r="M9169" s="1205"/>
      <c r="N9169" s="1054"/>
      <c r="O9169" s="1207"/>
      <c r="Q9169" s="1207"/>
    </row>
    <row r="9170" spans="3:17" s="700" customFormat="1" ht="70.5" hidden="1" customHeight="1">
      <c r="C9170" s="701"/>
      <c r="D9170" s="811"/>
      <c r="E9170" s="1276">
        <f>[11]building!Y9501</f>
        <v>0</v>
      </c>
      <c r="F9170" s="748">
        <f t="shared" si="382"/>
        <v>0</v>
      </c>
      <c r="G9170" s="1205"/>
      <c r="H9170" s="1055"/>
      <c r="I9170" s="1055"/>
      <c r="J9170" s="1055"/>
      <c r="K9170" s="1205"/>
      <c r="L9170" s="1055"/>
      <c r="M9170" s="1205"/>
      <c r="N9170" s="1054"/>
      <c r="O9170" s="1207"/>
      <c r="Q9170" s="1207"/>
    </row>
    <row r="9171" spans="3:17" s="700" customFormat="1" ht="70.5" hidden="1" customHeight="1">
      <c r="C9171" s="701"/>
      <c r="D9171" s="811"/>
      <c r="E9171" s="1276">
        <f>[11]building!Y9502</f>
        <v>0</v>
      </c>
      <c r="F9171" s="748">
        <f t="shared" si="382"/>
        <v>0</v>
      </c>
      <c r="G9171" s="1205"/>
      <c r="H9171" s="1055"/>
      <c r="I9171" s="1055"/>
      <c r="J9171" s="1055"/>
      <c r="K9171" s="1205"/>
      <c r="L9171" s="1055"/>
      <c r="M9171" s="1205"/>
      <c r="N9171" s="1054"/>
      <c r="O9171" s="1207"/>
      <c r="Q9171" s="1207"/>
    </row>
    <row r="9172" spans="3:17" s="700" customFormat="1" ht="70.5" hidden="1" customHeight="1">
      <c r="C9172" s="701"/>
      <c r="D9172" s="811"/>
      <c r="E9172" s="1276">
        <f>[11]building!Y9503</f>
        <v>0</v>
      </c>
      <c r="F9172" s="748">
        <f t="shared" si="382"/>
        <v>0</v>
      </c>
      <c r="G9172" s="1205"/>
      <c r="H9172" s="1055"/>
      <c r="I9172" s="1055"/>
      <c r="J9172" s="1055"/>
      <c r="K9172" s="1205"/>
      <c r="L9172" s="1055"/>
      <c r="M9172" s="1205"/>
      <c r="N9172" s="1054"/>
      <c r="O9172" s="1207"/>
      <c r="Q9172" s="1207"/>
    </row>
    <row r="9173" spans="3:17" s="700" customFormat="1" ht="70.5" hidden="1" customHeight="1">
      <c r="C9173" s="701"/>
      <c r="D9173" s="811"/>
      <c r="E9173" s="1276">
        <f>[11]building!Y9504</f>
        <v>0</v>
      </c>
      <c r="F9173" s="748">
        <f t="shared" si="382"/>
        <v>0</v>
      </c>
      <c r="G9173" s="1205"/>
      <c r="H9173" s="1055"/>
      <c r="I9173" s="1055"/>
      <c r="J9173" s="1055"/>
      <c r="K9173" s="1205"/>
      <c r="L9173" s="1055"/>
      <c r="M9173" s="1205"/>
      <c r="N9173" s="1054"/>
      <c r="O9173" s="1207"/>
      <c r="Q9173" s="1207"/>
    </row>
    <row r="9174" spans="3:17" s="700" customFormat="1" ht="70.5" hidden="1" customHeight="1">
      <c r="C9174" s="701"/>
      <c r="D9174" s="811"/>
      <c r="E9174" s="1276">
        <f>[11]building!Y9505</f>
        <v>0</v>
      </c>
      <c r="F9174" s="748">
        <f t="shared" si="382"/>
        <v>0</v>
      </c>
      <c r="G9174" s="1205"/>
      <c r="H9174" s="1055"/>
      <c r="I9174" s="1055"/>
      <c r="J9174" s="1055"/>
      <c r="K9174" s="1205"/>
      <c r="L9174" s="1055"/>
      <c r="M9174" s="1205"/>
      <c r="N9174" s="1054"/>
      <c r="O9174" s="1207"/>
      <c r="Q9174" s="1207"/>
    </row>
    <row r="9175" spans="3:17" s="700" customFormat="1" ht="70.5" hidden="1" customHeight="1">
      <c r="C9175" s="701"/>
      <c r="D9175" s="811"/>
      <c r="E9175" s="1276">
        <f>[11]building!Y9506</f>
        <v>0</v>
      </c>
      <c r="F9175" s="748">
        <f t="shared" si="382"/>
        <v>0</v>
      </c>
      <c r="G9175" s="1205"/>
      <c r="H9175" s="1055"/>
      <c r="I9175" s="1055"/>
      <c r="J9175" s="1055"/>
      <c r="K9175" s="1205"/>
      <c r="L9175" s="1055"/>
      <c r="M9175" s="1205"/>
      <c r="N9175" s="1054"/>
      <c r="O9175" s="1207"/>
      <c r="Q9175" s="1207"/>
    </row>
    <row r="9176" spans="3:17" s="700" customFormat="1" ht="70.5" hidden="1" customHeight="1">
      <c r="C9176" s="701"/>
      <c r="D9176" s="811"/>
      <c r="E9176" s="1276">
        <f>[11]building!Y9507</f>
        <v>0</v>
      </c>
      <c r="F9176" s="748">
        <f t="shared" si="382"/>
        <v>0</v>
      </c>
      <c r="G9176" s="1205"/>
      <c r="H9176" s="1055"/>
      <c r="I9176" s="1055"/>
      <c r="J9176" s="1055"/>
      <c r="K9176" s="1205"/>
      <c r="L9176" s="1055"/>
      <c r="M9176" s="1205"/>
      <c r="N9176" s="1054"/>
      <c r="O9176" s="1207"/>
      <c r="Q9176" s="1207"/>
    </row>
    <row r="9177" spans="3:17" s="700" customFormat="1" ht="70.5" hidden="1" customHeight="1">
      <c r="C9177" s="701"/>
      <c r="D9177" s="811"/>
      <c r="E9177" s="1276">
        <f>[11]building!Y9508</f>
        <v>0</v>
      </c>
      <c r="F9177" s="748">
        <f t="shared" si="382"/>
        <v>0</v>
      </c>
      <c r="G9177" s="1205"/>
      <c r="H9177" s="1055"/>
      <c r="I9177" s="1055"/>
      <c r="J9177" s="1055"/>
      <c r="K9177" s="1205"/>
      <c r="L9177" s="1055"/>
      <c r="M9177" s="1205"/>
      <c r="N9177" s="1054"/>
      <c r="O9177" s="1207"/>
      <c r="Q9177" s="1207"/>
    </row>
    <row r="9178" spans="3:17" s="700" customFormat="1" ht="70.5" hidden="1" customHeight="1">
      <c r="C9178" s="701"/>
      <c r="D9178" s="811"/>
      <c r="E9178" s="1276">
        <f>[11]building!Y9509</f>
        <v>0</v>
      </c>
      <c r="F9178" s="748">
        <f t="shared" si="382"/>
        <v>0</v>
      </c>
      <c r="G9178" s="1205"/>
      <c r="H9178" s="1055"/>
      <c r="I9178" s="1055"/>
      <c r="J9178" s="1055"/>
      <c r="K9178" s="1205"/>
      <c r="L9178" s="1055"/>
      <c r="M9178" s="1205"/>
      <c r="N9178" s="1054"/>
      <c r="O9178" s="1207"/>
      <c r="Q9178" s="1207"/>
    </row>
    <row r="9179" spans="3:17" s="700" customFormat="1" ht="70.5" hidden="1" customHeight="1">
      <c r="C9179" s="701"/>
      <c r="D9179" s="811"/>
      <c r="E9179" s="1276">
        <f>[11]building!Y9510</f>
        <v>0</v>
      </c>
      <c r="F9179" s="748">
        <f t="shared" si="382"/>
        <v>0</v>
      </c>
      <c r="G9179" s="1205"/>
      <c r="H9179" s="1055"/>
      <c r="I9179" s="1055"/>
      <c r="J9179" s="1055"/>
      <c r="K9179" s="1205"/>
      <c r="L9179" s="1055"/>
      <c r="M9179" s="1205"/>
      <c r="N9179" s="1054"/>
      <c r="O9179" s="1207"/>
      <c r="Q9179" s="1207"/>
    </row>
    <row r="9180" spans="3:17" s="700" customFormat="1" ht="70.5" hidden="1" customHeight="1">
      <c r="C9180" s="701"/>
      <c r="D9180" s="811"/>
      <c r="E9180" s="1276">
        <f>[11]building!Y9511</f>
        <v>0</v>
      </c>
      <c r="F9180" s="748">
        <f t="shared" si="382"/>
        <v>0</v>
      </c>
      <c r="G9180" s="1205"/>
      <c r="H9180" s="1055"/>
      <c r="I9180" s="1055"/>
      <c r="J9180" s="1055"/>
      <c r="K9180" s="1205"/>
      <c r="L9180" s="1055"/>
      <c r="M9180" s="1205"/>
      <c r="N9180" s="1054"/>
      <c r="O9180" s="1207"/>
      <c r="Q9180" s="1207"/>
    </row>
    <row r="9181" spans="3:17" s="700" customFormat="1" ht="70.5" hidden="1" customHeight="1">
      <c r="C9181" s="701"/>
      <c r="D9181" s="811"/>
      <c r="E9181" s="1276">
        <f>[11]building!Y9512</f>
        <v>0</v>
      </c>
      <c r="F9181" s="748">
        <f t="shared" si="382"/>
        <v>0</v>
      </c>
      <c r="G9181" s="1205"/>
      <c r="H9181" s="1055"/>
      <c r="I9181" s="1055"/>
      <c r="J9181" s="1055"/>
      <c r="K9181" s="1205"/>
      <c r="L9181" s="1055"/>
      <c r="M9181" s="1205"/>
      <c r="N9181" s="1054"/>
      <c r="O9181" s="1207"/>
      <c r="Q9181" s="1207"/>
    </row>
    <row r="9182" spans="3:17" s="700" customFormat="1" ht="70.5" hidden="1" customHeight="1">
      <c r="C9182" s="701"/>
      <c r="D9182" s="811"/>
      <c r="E9182" s="1276">
        <f>[11]building!Y9513</f>
        <v>0</v>
      </c>
      <c r="F9182" s="748">
        <f t="shared" si="382"/>
        <v>0</v>
      </c>
      <c r="G9182" s="1205"/>
      <c r="H9182" s="1055"/>
      <c r="I9182" s="1055"/>
      <c r="J9182" s="1055"/>
      <c r="K9182" s="1205"/>
      <c r="L9182" s="1055"/>
      <c r="M9182" s="1205"/>
      <c r="N9182" s="1054"/>
      <c r="O9182" s="1207"/>
      <c r="Q9182" s="1207"/>
    </row>
    <row r="9183" spans="3:17" s="700" customFormat="1" ht="70.5" hidden="1" customHeight="1">
      <c r="C9183" s="701"/>
      <c r="D9183" s="811"/>
      <c r="E9183" s="1276">
        <f>[11]building!Y9514</f>
        <v>0</v>
      </c>
      <c r="F9183" s="748">
        <f t="shared" si="382"/>
        <v>0</v>
      </c>
      <c r="G9183" s="1205"/>
      <c r="H9183" s="1055"/>
      <c r="I9183" s="1055"/>
      <c r="J9183" s="1055"/>
      <c r="K9183" s="1205"/>
      <c r="L9183" s="1055"/>
      <c r="M9183" s="1205"/>
      <c r="N9183" s="1054"/>
      <c r="O9183" s="1207"/>
      <c r="Q9183" s="1207"/>
    </row>
    <row r="9184" spans="3:17" s="700" customFormat="1" ht="70.5" hidden="1" customHeight="1">
      <c r="C9184" s="701"/>
      <c r="D9184" s="811"/>
      <c r="E9184" s="1276">
        <f>[11]building!Y9515</f>
        <v>0</v>
      </c>
      <c r="F9184" s="748">
        <f t="shared" si="382"/>
        <v>0</v>
      </c>
      <c r="G9184" s="1205"/>
      <c r="H9184" s="1055"/>
      <c r="I9184" s="1055"/>
      <c r="J9184" s="1055"/>
      <c r="K9184" s="1205"/>
      <c r="L9184" s="1055"/>
      <c r="M9184" s="1205"/>
      <c r="N9184" s="1054"/>
      <c r="O9184" s="1207"/>
      <c r="Q9184" s="1207"/>
    </row>
    <row r="9185" spans="3:17" s="700" customFormat="1" ht="70.5" hidden="1" customHeight="1">
      <c r="C9185" s="701"/>
      <c r="D9185" s="811"/>
      <c r="E9185" s="1276">
        <f>[11]building!Y9516</f>
        <v>0</v>
      </c>
      <c r="F9185" s="748">
        <f t="shared" si="382"/>
        <v>0</v>
      </c>
      <c r="G9185" s="1205"/>
      <c r="H9185" s="1055"/>
      <c r="I9185" s="1055"/>
      <c r="J9185" s="1055"/>
      <c r="K9185" s="1205"/>
      <c r="L9185" s="1055"/>
      <c r="M9185" s="1205"/>
      <c r="N9185" s="1054"/>
      <c r="O9185" s="1207"/>
      <c r="Q9185" s="1207"/>
    </row>
    <row r="9186" spans="3:17" s="700" customFormat="1" ht="70.5" hidden="1" customHeight="1">
      <c r="C9186" s="701"/>
      <c r="D9186" s="811"/>
      <c r="E9186" s="1276">
        <f>[11]building!Y9517</f>
        <v>0</v>
      </c>
      <c r="F9186" s="748">
        <f t="shared" si="382"/>
        <v>0</v>
      </c>
      <c r="G9186" s="1205"/>
      <c r="H9186" s="1055"/>
      <c r="I9186" s="1055"/>
      <c r="J9186" s="1055"/>
      <c r="K9186" s="1205"/>
      <c r="L9186" s="1055"/>
      <c r="M9186" s="1205"/>
      <c r="N9186" s="1054"/>
      <c r="O9186" s="1207"/>
      <c r="Q9186" s="1207"/>
    </row>
    <row r="9187" spans="3:17" s="700" customFormat="1" ht="70.5" hidden="1" customHeight="1">
      <c r="C9187" s="701"/>
      <c r="D9187" s="811"/>
      <c r="E9187" s="1276">
        <f>[11]building!Y9518</f>
        <v>0</v>
      </c>
      <c r="F9187" s="748">
        <f t="shared" si="382"/>
        <v>0</v>
      </c>
      <c r="G9187" s="1205"/>
      <c r="H9187" s="1055"/>
      <c r="I9187" s="1055"/>
      <c r="J9187" s="1055"/>
      <c r="K9187" s="1205"/>
      <c r="L9187" s="1055"/>
      <c r="M9187" s="1205"/>
      <c r="N9187" s="1054"/>
      <c r="O9187" s="1207"/>
      <c r="Q9187" s="1207"/>
    </row>
    <row r="9188" spans="3:17" s="700" customFormat="1" ht="70.5" hidden="1" customHeight="1">
      <c r="C9188" s="701"/>
      <c r="D9188" s="811"/>
      <c r="E9188" s="1276">
        <f>[11]building!Y9519</f>
        <v>0</v>
      </c>
      <c r="F9188" s="748">
        <f t="shared" si="382"/>
        <v>0</v>
      </c>
      <c r="G9188" s="1205"/>
      <c r="H9188" s="1055"/>
      <c r="I9188" s="1055"/>
      <c r="J9188" s="1055"/>
      <c r="K9188" s="1205"/>
      <c r="L9188" s="1055"/>
      <c r="M9188" s="1205"/>
      <c r="N9188" s="1054"/>
      <c r="O9188" s="1207"/>
      <c r="Q9188" s="1207"/>
    </row>
    <row r="9189" spans="3:17" s="700" customFormat="1" ht="70.5" hidden="1" customHeight="1">
      <c r="C9189" s="701"/>
      <c r="D9189" s="811"/>
      <c r="E9189" s="1276">
        <f>[11]building!Y9520</f>
        <v>0</v>
      </c>
      <c r="F9189" s="748">
        <f t="shared" si="382"/>
        <v>0</v>
      </c>
      <c r="G9189" s="1205"/>
      <c r="H9189" s="1055"/>
      <c r="I9189" s="1055"/>
      <c r="J9189" s="1055"/>
      <c r="K9189" s="1205"/>
      <c r="L9189" s="1055"/>
      <c r="M9189" s="1205"/>
      <c r="N9189" s="1054"/>
      <c r="O9189" s="1207"/>
      <c r="Q9189" s="1207"/>
    </row>
    <row r="9190" spans="3:17" s="700" customFormat="1" ht="70.5" hidden="1" customHeight="1">
      <c r="C9190" s="701"/>
      <c r="D9190" s="811"/>
      <c r="E9190" s="1276">
        <f>[11]building!Y9521</f>
        <v>0</v>
      </c>
      <c r="F9190" s="748">
        <f t="shared" si="382"/>
        <v>0</v>
      </c>
      <c r="G9190" s="1205"/>
      <c r="H9190" s="1055"/>
      <c r="I9190" s="1055"/>
      <c r="J9190" s="1055"/>
      <c r="K9190" s="1205"/>
      <c r="L9190" s="1055"/>
      <c r="M9190" s="1205"/>
      <c r="N9190" s="1054"/>
      <c r="O9190" s="1207"/>
      <c r="Q9190" s="1207"/>
    </row>
    <row r="9191" spans="3:17" s="700" customFormat="1" ht="70.5" hidden="1" customHeight="1">
      <c r="C9191" s="701"/>
      <c r="D9191" s="811"/>
      <c r="E9191" s="1276">
        <f>[11]building!Y9522</f>
        <v>0</v>
      </c>
      <c r="F9191" s="748">
        <f t="shared" si="382"/>
        <v>0</v>
      </c>
      <c r="G9191" s="1205"/>
      <c r="H9191" s="1055"/>
      <c r="I9191" s="1055"/>
      <c r="J9191" s="1055"/>
      <c r="K9191" s="1205"/>
      <c r="L9191" s="1055"/>
      <c r="M9191" s="1205"/>
      <c r="N9191" s="1054"/>
      <c r="O9191" s="1207"/>
      <c r="Q9191" s="1207"/>
    </row>
    <row r="9192" spans="3:17" s="700" customFormat="1" ht="70.5" hidden="1" customHeight="1">
      <c r="C9192" s="701"/>
      <c r="D9192" s="811"/>
      <c r="E9192" s="1276">
        <f>[11]building!Y9523</f>
        <v>0</v>
      </c>
      <c r="F9192" s="748">
        <f t="shared" si="382"/>
        <v>0</v>
      </c>
      <c r="G9192" s="1205"/>
      <c r="H9192" s="1055"/>
      <c r="I9192" s="1055"/>
      <c r="J9192" s="1055"/>
      <c r="K9192" s="1205"/>
      <c r="L9192" s="1055"/>
      <c r="M9192" s="1205"/>
      <c r="N9192" s="1054"/>
      <c r="O9192" s="1207"/>
      <c r="Q9192" s="1207"/>
    </row>
    <row r="9193" spans="3:17" s="700" customFormat="1" ht="70.5" hidden="1" customHeight="1">
      <c r="C9193" s="701"/>
      <c r="D9193" s="811"/>
      <c r="E9193" s="1276">
        <f>[11]building!Y9524</f>
        <v>0</v>
      </c>
      <c r="F9193" s="748">
        <f t="shared" si="382"/>
        <v>0</v>
      </c>
      <c r="G9193" s="1205"/>
      <c r="H9193" s="1055"/>
      <c r="I9193" s="1055"/>
      <c r="J9193" s="1055"/>
      <c r="K9193" s="1205"/>
      <c r="L9193" s="1055"/>
      <c r="M9193" s="1205"/>
      <c r="N9193" s="1054"/>
      <c r="O9193" s="1207"/>
      <c r="Q9193" s="1207"/>
    </row>
    <row r="9194" spans="3:17" s="700" customFormat="1" ht="70.5" hidden="1" customHeight="1">
      <c r="C9194" s="701"/>
      <c r="D9194" s="811"/>
      <c r="E9194" s="1276">
        <f>[11]building!Y9525</f>
        <v>0</v>
      </c>
      <c r="F9194" s="748">
        <f t="shared" si="382"/>
        <v>0</v>
      </c>
      <c r="G9194" s="1205"/>
      <c r="H9194" s="1055"/>
      <c r="I9194" s="1055"/>
      <c r="J9194" s="1055"/>
      <c r="K9194" s="1205"/>
      <c r="L9194" s="1055"/>
      <c r="M9194" s="1205"/>
      <c r="N9194" s="1054"/>
      <c r="O9194" s="1207"/>
      <c r="Q9194" s="1207"/>
    </row>
    <row r="9195" spans="3:17" s="700" customFormat="1" ht="70.5" hidden="1" customHeight="1">
      <c r="C9195" s="701"/>
      <c r="D9195" s="811"/>
      <c r="E9195" s="1276">
        <f>[11]building!Y9526</f>
        <v>0</v>
      </c>
      <c r="F9195" s="748">
        <f t="shared" si="382"/>
        <v>0</v>
      </c>
      <c r="G9195" s="1205"/>
      <c r="H9195" s="1055"/>
      <c r="I9195" s="1055"/>
      <c r="J9195" s="1055"/>
      <c r="K9195" s="1205"/>
      <c r="L9195" s="1055"/>
      <c r="M9195" s="1205"/>
      <c r="N9195" s="1054"/>
      <c r="O9195" s="1207"/>
      <c r="Q9195" s="1207"/>
    </row>
    <row r="9196" spans="3:17" s="700" customFormat="1" ht="70.5" hidden="1" customHeight="1">
      <c r="C9196" s="701"/>
      <c r="D9196" s="811"/>
      <c r="E9196" s="1276">
        <f>[11]building!Y9527</f>
        <v>0</v>
      </c>
      <c r="F9196" s="748">
        <f t="shared" si="382"/>
        <v>0</v>
      </c>
      <c r="G9196" s="1205"/>
      <c r="H9196" s="1055"/>
      <c r="I9196" s="1055"/>
      <c r="J9196" s="1055"/>
      <c r="K9196" s="1205"/>
      <c r="L9196" s="1055"/>
      <c r="M9196" s="1205"/>
      <c r="N9196" s="1054"/>
      <c r="O9196" s="1207"/>
      <c r="Q9196" s="1207"/>
    </row>
    <row r="9197" spans="3:17" s="700" customFormat="1" ht="70.5" hidden="1" customHeight="1">
      <c r="C9197" s="701"/>
      <c r="D9197" s="811"/>
      <c r="E9197" s="1276">
        <f>[11]building!Y9528</f>
        <v>0</v>
      </c>
      <c r="F9197" s="748">
        <f t="shared" si="382"/>
        <v>0</v>
      </c>
      <c r="G9197" s="1205"/>
      <c r="H9197" s="1055"/>
      <c r="I9197" s="1055"/>
      <c r="J9197" s="1055"/>
      <c r="K9197" s="1205"/>
      <c r="L9197" s="1055"/>
      <c r="M9197" s="1205"/>
      <c r="N9197" s="1054"/>
      <c r="O9197" s="1207"/>
      <c r="Q9197" s="1207"/>
    </row>
    <row r="9198" spans="3:17" s="700" customFormat="1" ht="70.5" hidden="1" customHeight="1">
      <c r="C9198" s="701"/>
      <c r="D9198" s="811"/>
      <c r="E9198" s="1276">
        <f>[11]building!Y9529</f>
        <v>0</v>
      </c>
      <c r="F9198" s="748">
        <f t="shared" si="382"/>
        <v>0</v>
      </c>
      <c r="G9198" s="1205"/>
      <c r="H9198" s="1055"/>
      <c r="I9198" s="1055"/>
      <c r="J9198" s="1055"/>
      <c r="K9198" s="1205"/>
      <c r="L9198" s="1055"/>
      <c r="M9198" s="1205"/>
      <c r="N9198" s="1054"/>
      <c r="O9198" s="1207"/>
      <c r="Q9198" s="1207"/>
    </row>
    <row r="9199" spans="3:17" s="700" customFormat="1" ht="70.5" hidden="1" customHeight="1">
      <c r="C9199" s="701"/>
      <c r="D9199" s="811"/>
      <c r="E9199" s="1276">
        <f>[11]building!Y9530</f>
        <v>0</v>
      </c>
      <c r="F9199" s="748">
        <f t="shared" si="382"/>
        <v>0</v>
      </c>
      <c r="G9199" s="1205"/>
      <c r="H9199" s="1055"/>
      <c r="I9199" s="1055"/>
      <c r="J9199" s="1055"/>
      <c r="K9199" s="1205"/>
      <c r="L9199" s="1055"/>
      <c r="M9199" s="1205"/>
      <c r="N9199" s="1054"/>
      <c r="O9199" s="1207"/>
      <c r="Q9199" s="1207"/>
    </row>
    <row r="9200" spans="3:17" s="700" customFormat="1" ht="70.5" hidden="1" customHeight="1">
      <c r="C9200" s="701"/>
      <c r="D9200" s="811"/>
      <c r="E9200" s="1276">
        <f>[11]building!Y9531</f>
        <v>0</v>
      </c>
      <c r="F9200" s="748">
        <f t="shared" si="382"/>
        <v>0</v>
      </c>
      <c r="G9200" s="1205"/>
      <c r="H9200" s="1055"/>
      <c r="I9200" s="1055"/>
      <c r="J9200" s="1055"/>
      <c r="K9200" s="1205"/>
      <c r="L9200" s="1055"/>
      <c r="M9200" s="1205"/>
      <c r="N9200" s="1054"/>
      <c r="O9200" s="1207"/>
      <c r="Q9200" s="1207"/>
    </row>
    <row r="9201" spans="3:17" s="700" customFormat="1" ht="70.5" hidden="1" customHeight="1">
      <c r="C9201" s="701"/>
      <c r="D9201" s="811"/>
      <c r="E9201" s="1276">
        <f>[11]building!Y9532</f>
        <v>0</v>
      </c>
      <c r="F9201" s="748">
        <f t="shared" si="382"/>
        <v>0</v>
      </c>
      <c r="G9201" s="1205"/>
      <c r="H9201" s="1055"/>
      <c r="I9201" s="1055"/>
      <c r="J9201" s="1055"/>
      <c r="K9201" s="1205"/>
      <c r="L9201" s="1055"/>
      <c r="M9201" s="1205"/>
      <c r="N9201" s="1054"/>
      <c r="O9201" s="1207"/>
      <c r="Q9201" s="1207"/>
    </row>
    <row r="9202" spans="3:17" s="700" customFormat="1" ht="70.5" hidden="1" customHeight="1">
      <c r="C9202" s="701"/>
      <c r="D9202" s="811"/>
      <c r="E9202" s="1276">
        <f>[11]building!Y9533</f>
        <v>0</v>
      </c>
      <c r="F9202" s="748">
        <f t="shared" si="382"/>
        <v>0</v>
      </c>
      <c r="G9202" s="1205"/>
      <c r="H9202" s="1055"/>
      <c r="I9202" s="1055"/>
      <c r="J9202" s="1055"/>
      <c r="K9202" s="1205"/>
      <c r="L9202" s="1055"/>
      <c r="M9202" s="1205"/>
      <c r="N9202" s="1054"/>
      <c r="O9202" s="1207"/>
      <c r="Q9202" s="1207"/>
    </row>
    <row r="9203" spans="3:17" s="700" customFormat="1" ht="70.5" hidden="1" customHeight="1">
      <c r="C9203" s="701"/>
      <c r="D9203" s="811"/>
      <c r="E9203" s="1276">
        <f>[11]building!Y9534</f>
        <v>0</v>
      </c>
      <c r="F9203" s="748">
        <f t="shared" si="382"/>
        <v>0</v>
      </c>
      <c r="G9203" s="1205"/>
      <c r="H9203" s="1055"/>
      <c r="I9203" s="1055"/>
      <c r="J9203" s="1055"/>
      <c r="K9203" s="1205"/>
      <c r="L9203" s="1055"/>
      <c r="M9203" s="1205"/>
      <c r="N9203" s="1054"/>
      <c r="O9203" s="1207"/>
      <c r="Q9203" s="1207"/>
    </row>
    <row r="9204" spans="3:17" s="700" customFormat="1" ht="70.5" hidden="1" customHeight="1">
      <c r="C9204" s="701"/>
      <c r="D9204" s="811"/>
      <c r="E9204" s="1276">
        <f>[11]building!Y9535</f>
        <v>0</v>
      </c>
      <c r="F9204" s="748">
        <f t="shared" si="382"/>
        <v>0</v>
      </c>
      <c r="G9204" s="1205"/>
      <c r="H9204" s="1055"/>
      <c r="I9204" s="1055"/>
      <c r="J9204" s="1055"/>
      <c r="K9204" s="1205"/>
      <c r="L9204" s="1055"/>
      <c r="M9204" s="1205"/>
      <c r="N9204" s="1054"/>
      <c r="O9204" s="1207"/>
      <c r="Q9204" s="1207"/>
    </row>
    <row r="9205" spans="3:17" s="700" customFormat="1" ht="70.5" hidden="1" customHeight="1">
      <c r="C9205" s="701"/>
      <c r="D9205" s="811"/>
      <c r="E9205" s="1276">
        <f>[11]building!Y9536</f>
        <v>0</v>
      </c>
      <c r="F9205" s="748">
        <f t="shared" si="382"/>
        <v>0</v>
      </c>
      <c r="G9205" s="1205"/>
      <c r="H9205" s="1055"/>
      <c r="I9205" s="1055"/>
      <c r="J9205" s="1055"/>
      <c r="K9205" s="1205"/>
      <c r="L9205" s="1055"/>
      <c r="M9205" s="1205"/>
      <c r="N9205" s="1054"/>
      <c r="O9205" s="1207"/>
      <c r="Q9205" s="1207"/>
    </row>
    <row r="9206" spans="3:17" s="700" customFormat="1" ht="70.5" hidden="1" customHeight="1">
      <c r="C9206" s="701"/>
      <c r="D9206" s="811"/>
      <c r="E9206" s="1276">
        <f>[11]building!Y9537</f>
        <v>0</v>
      </c>
      <c r="F9206" s="748">
        <f t="shared" si="382"/>
        <v>0</v>
      </c>
      <c r="G9206" s="1205"/>
      <c r="H9206" s="1055"/>
      <c r="I9206" s="1055"/>
      <c r="J9206" s="1055"/>
      <c r="K9206" s="1205"/>
      <c r="L9206" s="1055"/>
      <c r="M9206" s="1205"/>
      <c r="N9206" s="1054"/>
      <c r="O9206" s="1207"/>
      <c r="Q9206" s="1207"/>
    </row>
    <row r="9207" spans="3:17" s="700" customFormat="1" ht="70.5" hidden="1" customHeight="1">
      <c r="C9207" s="701"/>
      <c r="D9207" s="811"/>
      <c r="E9207" s="1276">
        <f>[11]building!Y9538</f>
        <v>0</v>
      </c>
      <c r="F9207" s="748">
        <f t="shared" si="382"/>
        <v>0</v>
      </c>
      <c r="G9207" s="1205"/>
      <c r="H9207" s="1055"/>
      <c r="I9207" s="1055"/>
      <c r="J9207" s="1055"/>
      <c r="K9207" s="1205"/>
      <c r="L9207" s="1055"/>
      <c r="M9207" s="1205"/>
      <c r="N9207" s="1054"/>
      <c r="O9207" s="1207"/>
      <c r="Q9207" s="1207"/>
    </row>
    <row r="9208" spans="3:17" s="700" customFormat="1" ht="70.5" hidden="1" customHeight="1">
      <c r="C9208" s="701"/>
      <c r="D9208" s="811"/>
      <c r="E9208" s="1276">
        <f>[11]building!Y9539</f>
        <v>0</v>
      </c>
      <c r="F9208" s="748">
        <f t="shared" si="382"/>
        <v>0</v>
      </c>
      <c r="G9208" s="1205"/>
      <c r="H9208" s="1055"/>
      <c r="I9208" s="1055"/>
      <c r="J9208" s="1055"/>
      <c r="K9208" s="1205"/>
      <c r="L9208" s="1055"/>
      <c r="M9208" s="1205"/>
      <c r="N9208" s="1054"/>
      <c r="O9208" s="1207"/>
      <c r="Q9208" s="1207"/>
    </row>
    <row r="9209" spans="3:17" s="700" customFormat="1" ht="70.5" hidden="1" customHeight="1">
      <c r="C9209" s="701"/>
      <c r="D9209" s="811"/>
      <c r="E9209" s="1276">
        <f>[11]building!Y9540</f>
        <v>0</v>
      </c>
      <c r="F9209" s="748">
        <f t="shared" si="382"/>
        <v>0</v>
      </c>
      <c r="G9209" s="1205"/>
      <c r="H9209" s="1055"/>
      <c r="I9209" s="1055"/>
      <c r="J9209" s="1055"/>
      <c r="K9209" s="1205"/>
      <c r="L9209" s="1055"/>
      <c r="M9209" s="1205"/>
      <c r="N9209" s="1054"/>
      <c r="O9209" s="1207"/>
      <c r="Q9209" s="1207"/>
    </row>
    <row r="9210" spans="3:17" s="700" customFormat="1" ht="70.5" hidden="1" customHeight="1">
      <c r="C9210" s="701"/>
      <c r="D9210" s="811"/>
      <c r="E9210" s="1276">
        <f>[11]building!Y9541</f>
        <v>0</v>
      </c>
      <c r="F9210" s="748">
        <f t="shared" si="382"/>
        <v>0</v>
      </c>
      <c r="G9210" s="1205"/>
      <c r="H9210" s="1055"/>
      <c r="I9210" s="1055"/>
      <c r="J9210" s="1055"/>
      <c r="K9210" s="1205"/>
      <c r="L9210" s="1055"/>
      <c r="M9210" s="1205"/>
      <c r="N9210" s="1054"/>
      <c r="O9210" s="1207"/>
      <c r="Q9210" s="1207"/>
    </row>
    <row r="9211" spans="3:17" s="700" customFormat="1" ht="70.5" hidden="1" customHeight="1">
      <c r="C9211" s="701"/>
      <c r="D9211" s="811"/>
      <c r="E9211" s="1276">
        <f>[11]building!Y9542</f>
        <v>0</v>
      </c>
      <c r="F9211" s="748">
        <f t="shared" si="382"/>
        <v>0</v>
      </c>
      <c r="G9211" s="1205"/>
      <c r="H9211" s="1055"/>
      <c r="I9211" s="1055"/>
      <c r="J9211" s="1055"/>
      <c r="K9211" s="1205"/>
      <c r="L9211" s="1055"/>
      <c r="M9211" s="1205"/>
      <c r="N9211" s="1054"/>
      <c r="O9211" s="1207"/>
      <c r="Q9211" s="1207"/>
    </row>
    <row r="9212" spans="3:17" s="700" customFormat="1" ht="70.5" hidden="1" customHeight="1">
      <c r="C9212" s="701"/>
      <c r="D9212" s="811"/>
      <c r="E9212" s="1276">
        <f>[11]building!Y9543</f>
        <v>0</v>
      </c>
      <c r="F9212" s="748">
        <f t="shared" si="382"/>
        <v>0</v>
      </c>
      <c r="G9212" s="1205"/>
      <c r="H9212" s="1055"/>
      <c r="I9212" s="1055"/>
      <c r="J9212" s="1055"/>
      <c r="K9212" s="1205"/>
      <c r="L9212" s="1055"/>
      <c r="M9212" s="1205"/>
      <c r="N9212" s="1054"/>
      <c r="O9212" s="1207"/>
      <c r="Q9212" s="1207"/>
    </row>
    <row r="9213" spans="3:17" s="700" customFormat="1" ht="70.5" hidden="1" customHeight="1">
      <c r="C9213" s="701"/>
      <c r="D9213" s="811"/>
      <c r="E9213" s="1276">
        <f>[11]building!Y9544</f>
        <v>0</v>
      </c>
      <c r="F9213" s="748">
        <f t="shared" si="382"/>
        <v>0</v>
      </c>
      <c r="G9213" s="1205"/>
      <c r="H9213" s="1055"/>
      <c r="I9213" s="1055"/>
      <c r="J9213" s="1055"/>
      <c r="K9213" s="1205"/>
      <c r="L9213" s="1055"/>
      <c r="M9213" s="1205"/>
      <c r="N9213" s="1054"/>
      <c r="O9213" s="1207"/>
      <c r="Q9213" s="1207"/>
    </row>
    <row r="9214" spans="3:17" s="700" customFormat="1" ht="70.5" hidden="1" customHeight="1">
      <c r="C9214" s="701"/>
      <c r="D9214" s="811"/>
      <c r="E9214" s="1276">
        <f>[11]building!Y9545</f>
        <v>0</v>
      </c>
      <c r="F9214" s="748">
        <f t="shared" si="382"/>
        <v>0</v>
      </c>
      <c r="G9214" s="1205"/>
      <c r="H9214" s="1055"/>
      <c r="I9214" s="1055"/>
      <c r="J9214" s="1055"/>
      <c r="K9214" s="1205"/>
      <c r="L9214" s="1055"/>
      <c r="M9214" s="1205"/>
      <c r="N9214" s="1054"/>
      <c r="O9214" s="1207"/>
      <c r="Q9214" s="1207"/>
    </row>
    <row r="9215" spans="3:17" s="700" customFormat="1" ht="70.5" hidden="1" customHeight="1">
      <c r="C9215" s="701"/>
      <c r="D9215" s="811"/>
      <c r="E9215" s="1276">
        <f>[11]building!Y9546</f>
        <v>0</v>
      </c>
      <c r="F9215" s="748">
        <f t="shared" si="382"/>
        <v>0</v>
      </c>
      <c r="G9215" s="1205"/>
      <c r="H9215" s="1055"/>
      <c r="I9215" s="1055"/>
      <c r="J9215" s="1055"/>
      <c r="K9215" s="1205"/>
      <c r="L9215" s="1055"/>
      <c r="M9215" s="1205"/>
      <c r="N9215" s="1054"/>
      <c r="O9215" s="1207"/>
      <c r="Q9215" s="1207"/>
    </row>
    <row r="9216" spans="3:17" s="700" customFormat="1" ht="70.5" hidden="1" customHeight="1">
      <c r="C9216" s="701"/>
      <c r="D9216" s="811"/>
      <c r="E9216" s="1276">
        <f>[11]building!Y9547</f>
        <v>0</v>
      </c>
      <c r="F9216" s="748">
        <f t="shared" ref="F9216:F9279" si="383">E9216*C9216</f>
        <v>0</v>
      </c>
      <c r="G9216" s="1205"/>
      <c r="H9216" s="1055"/>
      <c r="I9216" s="1055"/>
      <c r="J9216" s="1055"/>
      <c r="K9216" s="1205"/>
      <c r="L9216" s="1055"/>
      <c r="M9216" s="1205"/>
      <c r="N9216" s="1054"/>
      <c r="O9216" s="1207"/>
      <c r="Q9216" s="1207"/>
    </row>
    <row r="9217" spans="3:17" s="700" customFormat="1" ht="70.5" hidden="1" customHeight="1">
      <c r="C9217" s="701"/>
      <c r="D9217" s="811"/>
      <c r="E9217" s="1276">
        <f>[11]building!Y9548</f>
        <v>0</v>
      </c>
      <c r="F9217" s="748">
        <f t="shared" si="383"/>
        <v>0</v>
      </c>
      <c r="G9217" s="1205"/>
      <c r="H9217" s="1055"/>
      <c r="I9217" s="1055"/>
      <c r="J9217" s="1055"/>
      <c r="K9217" s="1205"/>
      <c r="L9217" s="1055"/>
      <c r="M9217" s="1205"/>
      <c r="N9217" s="1054"/>
      <c r="O9217" s="1207"/>
      <c r="Q9217" s="1207"/>
    </row>
    <row r="9218" spans="3:17" s="700" customFormat="1" ht="70.5" hidden="1" customHeight="1">
      <c r="C9218" s="701"/>
      <c r="D9218" s="811"/>
      <c r="E9218" s="1276">
        <f>[11]building!Y9549</f>
        <v>0</v>
      </c>
      <c r="F9218" s="748">
        <f t="shared" si="383"/>
        <v>0</v>
      </c>
      <c r="G9218" s="1205"/>
      <c r="H9218" s="1055"/>
      <c r="I9218" s="1055"/>
      <c r="J9218" s="1055"/>
      <c r="K9218" s="1205"/>
      <c r="L9218" s="1055"/>
      <c r="M9218" s="1205"/>
      <c r="N9218" s="1054"/>
      <c r="O9218" s="1207"/>
      <c r="Q9218" s="1207"/>
    </row>
    <row r="9219" spans="3:17" s="700" customFormat="1" ht="70.5" hidden="1" customHeight="1">
      <c r="C9219" s="701"/>
      <c r="D9219" s="811"/>
      <c r="E9219" s="1276">
        <f>[11]building!Y9550</f>
        <v>0</v>
      </c>
      <c r="F9219" s="748">
        <f t="shared" si="383"/>
        <v>0</v>
      </c>
      <c r="G9219" s="1205"/>
      <c r="H9219" s="1055"/>
      <c r="I9219" s="1055"/>
      <c r="J9219" s="1055"/>
      <c r="K9219" s="1205"/>
      <c r="L9219" s="1055"/>
      <c r="M9219" s="1205"/>
      <c r="N9219" s="1054"/>
      <c r="O9219" s="1207"/>
      <c r="Q9219" s="1207"/>
    </row>
    <row r="9220" spans="3:17" s="700" customFormat="1" ht="70.5" hidden="1" customHeight="1">
      <c r="C9220" s="701"/>
      <c r="D9220" s="811"/>
      <c r="E9220" s="1276">
        <f>[11]building!Y9551</f>
        <v>0</v>
      </c>
      <c r="F9220" s="748">
        <f t="shared" si="383"/>
        <v>0</v>
      </c>
      <c r="G9220" s="1205"/>
      <c r="H9220" s="1055"/>
      <c r="I9220" s="1055"/>
      <c r="J9220" s="1055"/>
      <c r="K9220" s="1205"/>
      <c r="L9220" s="1055"/>
      <c r="M9220" s="1205"/>
      <c r="N9220" s="1054"/>
      <c r="O9220" s="1207"/>
      <c r="Q9220" s="1207"/>
    </row>
    <row r="9221" spans="3:17" s="700" customFormat="1" ht="70.5" hidden="1" customHeight="1">
      <c r="C9221" s="701"/>
      <c r="D9221" s="811"/>
      <c r="E9221" s="1276">
        <f>[11]building!Y9552</f>
        <v>0</v>
      </c>
      <c r="F9221" s="748">
        <f t="shared" si="383"/>
        <v>0</v>
      </c>
      <c r="G9221" s="1205"/>
      <c r="H9221" s="1055"/>
      <c r="I9221" s="1055"/>
      <c r="J9221" s="1055"/>
      <c r="K9221" s="1205"/>
      <c r="L9221" s="1055"/>
      <c r="M9221" s="1205"/>
      <c r="N9221" s="1054"/>
      <c r="O9221" s="1207"/>
      <c r="Q9221" s="1207"/>
    </row>
    <row r="9222" spans="3:17" s="700" customFormat="1" ht="70.5" hidden="1" customHeight="1">
      <c r="C9222" s="701"/>
      <c r="D9222" s="811"/>
      <c r="E9222" s="1276">
        <f>[11]building!Y9553</f>
        <v>0</v>
      </c>
      <c r="F9222" s="748">
        <f t="shared" si="383"/>
        <v>0</v>
      </c>
      <c r="G9222" s="1205"/>
      <c r="H9222" s="1055"/>
      <c r="I9222" s="1055"/>
      <c r="J9222" s="1055"/>
      <c r="K9222" s="1205"/>
      <c r="L9222" s="1055"/>
      <c r="M9222" s="1205"/>
      <c r="N9222" s="1054"/>
      <c r="O9222" s="1207"/>
      <c r="Q9222" s="1207"/>
    </row>
    <row r="9223" spans="3:17" s="700" customFormat="1" ht="70.5" hidden="1" customHeight="1">
      <c r="C9223" s="701"/>
      <c r="D9223" s="811"/>
      <c r="E9223" s="1276">
        <f>[11]building!Y9554</f>
        <v>0</v>
      </c>
      <c r="F9223" s="748">
        <f t="shared" si="383"/>
        <v>0</v>
      </c>
      <c r="G9223" s="1205"/>
      <c r="H9223" s="1055"/>
      <c r="I9223" s="1055"/>
      <c r="J9223" s="1055"/>
      <c r="K9223" s="1205"/>
      <c r="L9223" s="1055"/>
      <c r="M9223" s="1205"/>
      <c r="N9223" s="1054"/>
      <c r="O9223" s="1207"/>
      <c r="Q9223" s="1207"/>
    </row>
    <row r="9224" spans="3:17" s="700" customFormat="1" ht="70.5" hidden="1" customHeight="1">
      <c r="C9224" s="701"/>
      <c r="D9224" s="811"/>
      <c r="E9224" s="1276">
        <f>[11]building!Y9555</f>
        <v>0</v>
      </c>
      <c r="F9224" s="748">
        <f t="shared" si="383"/>
        <v>0</v>
      </c>
      <c r="G9224" s="1205"/>
      <c r="H9224" s="1055"/>
      <c r="I9224" s="1055"/>
      <c r="J9224" s="1055"/>
      <c r="K9224" s="1205"/>
      <c r="L9224" s="1055"/>
      <c r="M9224" s="1205"/>
      <c r="N9224" s="1054"/>
      <c r="O9224" s="1207"/>
      <c r="Q9224" s="1207"/>
    </row>
    <row r="9225" spans="3:17" s="700" customFormat="1" ht="70.5" hidden="1" customHeight="1">
      <c r="C9225" s="701"/>
      <c r="D9225" s="811"/>
      <c r="E9225" s="1276">
        <f>[11]building!Y9556</f>
        <v>0</v>
      </c>
      <c r="F9225" s="748">
        <f t="shared" si="383"/>
        <v>0</v>
      </c>
      <c r="G9225" s="1205"/>
      <c r="H9225" s="1055"/>
      <c r="I9225" s="1055"/>
      <c r="J9225" s="1055"/>
      <c r="K9225" s="1205"/>
      <c r="L9225" s="1055"/>
      <c r="M9225" s="1205"/>
      <c r="N9225" s="1054"/>
      <c r="O9225" s="1207"/>
      <c r="Q9225" s="1207"/>
    </row>
    <row r="9226" spans="3:17" s="700" customFormat="1" ht="70.5" hidden="1" customHeight="1">
      <c r="C9226" s="701"/>
      <c r="D9226" s="811"/>
      <c r="E9226" s="1276">
        <f>[11]building!Y9557</f>
        <v>0</v>
      </c>
      <c r="F9226" s="748">
        <f t="shared" si="383"/>
        <v>0</v>
      </c>
      <c r="G9226" s="1205"/>
      <c r="H9226" s="1055"/>
      <c r="I9226" s="1055"/>
      <c r="J9226" s="1055"/>
      <c r="K9226" s="1205"/>
      <c r="L9226" s="1055"/>
      <c r="M9226" s="1205"/>
      <c r="N9226" s="1054"/>
      <c r="O9226" s="1207"/>
      <c r="Q9226" s="1207"/>
    </row>
    <row r="9227" spans="3:17" s="700" customFormat="1" ht="70.5" hidden="1" customHeight="1">
      <c r="C9227" s="701"/>
      <c r="D9227" s="811"/>
      <c r="E9227" s="1276">
        <f>[11]building!Y9558</f>
        <v>0</v>
      </c>
      <c r="F9227" s="748">
        <f t="shared" si="383"/>
        <v>0</v>
      </c>
      <c r="G9227" s="1205"/>
      <c r="H9227" s="1055"/>
      <c r="I9227" s="1055"/>
      <c r="J9227" s="1055"/>
      <c r="K9227" s="1205"/>
      <c r="L9227" s="1055"/>
      <c r="M9227" s="1205"/>
      <c r="N9227" s="1054"/>
      <c r="O9227" s="1207"/>
      <c r="Q9227" s="1207"/>
    </row>
    <row r="9228" spans="3:17" s="700" customFormat="1" ht="70.5" hidden="1" customHeight="1">
      <c r="C9228" s="701"/>
      <c r="D9228" s="811"/>
      <c r="E9228" s="1276">
        <f>[11]building!Y9559</f>
        <v>0</v>
      </c>
      <c r="F9228" s="748">
        <f t="shared" si="383"/>
        <v>0</v>
      </c>
      <c r="G9228" s="1205"/>
      <c r="H9228" s="1055"/>
      <c r="I9228" s="1055"/>
      <c r="J9228" s="1055"/>
      <c r="K9228" s="1205"/>
      <c r="L9228" s="1055"/>
      <c r="M9228" s="1205"/>
      <c r="N9228" s="1054"/>
      <c r="O9228" s="1207"/>
      <c r="Q9228" s="1207"/>
    </row>
    <row r="9229" spans="3:17" s="700" customFormat="1" ht="70.5" hidden="1" customHeight="1">
      <c r="C9229" s="701"/>
      <c r="D9229" s="811"/>
      <c r="E9229" s="1276">
        <f>[11]building!Y9560</f>
        <v>0</v>
      </c>
      <c r="F9229" s="748">
        <f t="shared" si="383"/>
        <v>0</v>
      </c>
      <c r="G9229" s="1205"/>
      <c r="H9229" s="1055"/>
      <c r="I9229" s="1055"/>
      <c r="J9229" s="1055"/>
      <c r="K9229" s="1205"/>
      <c r="L9229" s="1055"/>
      <c r="M9229" s="1205"/>
      <c r="N9229" s="1054"/>
      <c r="O9229" s="1207"/>
      <c r="Q9229" s="1207"/>
    </row>
    <row r="9230" spans="3:17" s="700" customFormat="1" ht="70.5" hidden="1" customHeight="1">
      <c r="C9230" s="701"/>
      <c r="D9230" s="811"/>
      <c r="E9230" s="1276">
        <f>[11]building!Y9561</f>
        <v>0</v>
      </c>
      <c r="F9230" s="748">
        <f t="shared" si="383"/>
        <v>0</v>
      </c>
      <c r="G9230" s="1205"/>
      <c r="H9230" s="1055"/>
      <c r="I9230" s="1055"/>
      <c r="J9230" s="1055"/>
      <c r="K9230" s="1205"/>
      <c r="L9230" s="1055"/>
      <c r="M9230" s="1205"/>
      <c r="N9230" s="1054"/>
      <c r="O9230" s="1207"/>
      <c r="Q9230" s="1207"/>
    </row>
    <row r="9231" spans="3:17" s="700" customFormat="1" ht="70.5" hidden="1" customHeight="1">
      <c r="C9231" s="701"/>
      <c r="D9231" s="811"/>
      <c r="E9231" s="1276">
        <f>[11]building!Y9562</f>
        <v>0</v>
      </c>
      <c r="F9231" s="748">
        <f t="shared" si="383"/>
        <v>0</v>
      </c>
      <c r="G9231" s="1205"/>
      <c r="H9231" s="1055"/>
      <c r="I9231" s="1055"/>
      <c r="J9231" s="1055"/>
      <c r="K9231" s="1205"/>
      <c r="L9231" s="1055"/>
      <c r="M9231" s="1205"/>
      <c r="N9231" s="1054"/>
      <c r="O9231" s="1207"/>
      <c r="Q9231" s="1207"/>
    </row>
    <row r="9232" spans="3:17" s="700" customFormat="1" ht="70.5" hidden="1" customHeight="1">
      <c r="C9232" s="701"/>
      <c r="D9232" s="811"/>
      <c r="E9232" s="1276">
        <f>[11]building!Y9563</f>
        <v>0</v>
      </c>
      <c r="F9232" s="748">
        <f t="shared" si="383"/>
        <v>0</v>
      </c>
      <c r="G9232" s="1205"/>
      <c r="H9232" s="1055"/>
      <c r="I9232" s="1055"/>
      <c r="J9232" s="1055"/>
      <c r="K9232" s="1205"/>
      <c r="L9232" s="1055"/>
      <c r="M9232" s="1205"/>
      <c r="N9232" s="1054"/>
      <c r="O9232" s="1207"/>
      <c r="Q9232" s="1207"/>
    </row>
    <row r="9233" spans="3:17" s="700" customFormat="1" ht="70.5" hidden="1" customHeight="1">
      <c r="C9233" s="701"/>
      <c r="D9233" s="811"/>
      <c r="E9233" s="1276">
        <f>[11]building!Y9564</f>
        <v>0</v>
      </c>
      <c r="F9233" s="748">
        <f t="shared" si="383"/>
        <v>0</v>
      </c>
      <c r="G9233" s="1205"/>
      <c r="H9233" s="1055"/>
      <c r="I9233" s="1055"/>
      <c r="J9233" s="1055"/>
      <c r="K9233" s="1205"/>
      <c r="L9233" s="1055"/>
      <c r="M9233" s="1205"/>
      <c r="N9233" s="1054"/>
      <c r="O9233" s="1207"/>
      <c r="Q9233" s="1207"/>
    </row>
    <row r="9234" spans="3:17" s="700" customFormat="1" ht="70.5" hidden="1" customHeight="1">
      <c r="C9234" s="701"/>
      <c r="D9234" s="811"/>
      <c r="E9234" s="1276">
        <f>[11]building!Y9565</f>
        <v>0</v>
      </c>
      <c r="F9234" s="748">
        <f t="shared" si="383"/>
        <v>0</v>
      </c>
      <c r="G9234" s="1205"/>
      <c r="H9234" s="1055"/>
      <c r="I9234" s="1055"/>
      <c r="J9234" s="1055"/>
      <c r="K9234" s="1205"/>
      <c r="L9234" s="1055"/>
      <c r="M9234" s="1205"/>
      <c r="N9234" s="1054"/>
      <c r="O9234" s="1207"/>
      <c r="Q9234" s="1207"/>
    </row>
    <row r="9235" spans="3:17" s="700" customFormat="1" ht="70.5" hidden="1" customHeight="1">
      <c r="C9235" s="701"/>
      <c r="D9235" s="811"/>
      <c r="E9235" s="1276">
        <f>[11]building!Y9566</f>
        <v>0</v>
      </c>
      <c r="F9235" s="748">
        <f t="shared" si="383"/>
        <v>0</v>
      </c>
      <c r="G9235" s="1205"/>
      <c r="H9235" s="1055"/>
      <c r="I9235" s="1055"/>
      <c r="J9235" s="1055"/>
      <c r="K9235" s="1205"/>
      <c r="L9235" s="1055"/>
      <c r="M9235" s="1205"/>
      <c r="N9235" s="1054"/>
      <c r="O9235" s="1207"/>
      <c r="Q9235" s="1207"/>
    </row>
    <row r="9236" spans="3:17" s="700" customFormat="1" ht="70.5" hidden="1" customHeight="1">
      <c r="C9236" s="701"/>
      <c r="D9236" s="811"/>
      <c r="E9236" s="1276">
        <f>[11]building!Y9567</f>
        <v>0</v>
      </c>
      <c r="F9236" s="748">
        <f t="shared" si="383"/>
        <v>0</v>
      </c>
      <c r="G9236" s="1205"/>
      <c r="H9236" s="1055"/>
      <c r="I9236" s="1055"/>
      <c r="J9236" s="1055"/>
      <c r="K9236" s="1205"/>
      <c r="L9236" s="1055"/>
      <c r="M9236" s="1205"/>
      <c r="N9236" s="1054"/>
      <c r="O9236" s="1207"/>
      <c r="Q9236" s="1207"/>
    </row>
    <row r="9237" spans="3:17" s="700" customFormat="1" ht="70.5" hidden="1" customHeight="1">
      <c r="C9237" s="701"/>
      <c r="D9237" s="811"/>
      <c r="E9237" s="1276">
        <f>[11]building!Y9568</f>
        <v>0</v>
      </c>
      <c r="F9237" s="748">
        <f t="shared" si="383"/>
        <v>0</v>
      </c>
      <c r="G9237" s="1205"/>
      <c r="H9237" s="1055"/>
      <c r="I9237" s="1055"/>
      <c r="J9237" s="1055"/>
      <c r="K9237" s="1205"/>
      <c r="L9237" s="1055"/>
      <c r="M9237" s="1205"/>
      <c r="N9237" s="1054"/>
      <c r="O9237" s="1207"/>
      <c r="Q9237" s="1207"/>
    </row>
    <row r="9238" spans="3:17" s="700" customFormat="1" ht="70.5" hidden="1" customHeight="1">
      <c r="C9238" s="701"/>
      <c r="D9238" s="811"/>
      <c r="E9238" s="1276">
        <f>[11]building!Y9569</f>
        <v>0</v>
      </c>
      <c r="F9238" s="748">
        <f t="shared" si="383"/>
        <v>0</v>
      </c>
      <c r="G9238" s="1205"/>
      <c r="H9238" s="1055"/>
      <c r="I9238" s="1055"/>
      <c r="J9238" s="1055"/>
      <c r="K9238" s="1205"/>
      <c r="L9238" s="1055"/>
      <c r="M9238" s="1205"/>
      <c r="N9238" s="1054"/>
      <c r="O9238" s="1207"/>
      <c r="Q9238" s="1207"/>
    </row>
    <row r="9239" spans="3:17" s="700" customFormat="1" ht="70.5" hidden="1" customHeight="1">
      <c r="C9239" s="701"/>
      <c r="D9239" s="811"/>
      <c r="E9239" s="1276">
        <f>[11]building!Y9570</f>
        <v>0</v>
      </c>
      <c r="F9239" s="748">
        <f t="shared" si="383"/>
        <v>0</v>
      </c>
      <c r="G9239" s="1205"/>
      <c r="H9239" s="1055"/>
      <c r="I9239" s="1055"/>
      <c r="J9239" s="1055"/>
      <c r="K9239" s="1205"/>
      <c r="L9239" s="1055"/>
      <c r="M9239" s="1205"/>
      <c r="N9239" s="1054"/>
      <c r="O9239" s="1207"/>
      <c r="Q9239" s="1207"/>
    </row>
    <row r="9240" spans="3:17" s="700" customFormat="1" ht="70.5" hidden="1" customHeight="1">
      <c r="C9240" s="701"/>
      <c r="D9240" s="811"/>
      <c r="E9240" s="1276">
        <f>[11]building!Y9571</f>
        <v>0</v>
      </c>
      <c r="F9240" s="748">
        <f t="shared" si="383"/>
        <v>0</v>
      </c>
      <c r="G9240" s="1205"/>
      <c r="H9240" s="1055"/>
      <c r="I9240" s="1055"/>
      <c r="J9240" s="1055"/>
      <c r="K9240" s="1205"/>
      <c r="L9240" s="1055"/>
      <c r="M9240" s="1205"/>
      <c r="N9240" s="1054"/>
      <c r="O9240" s="1207"/>
      <c r="Q9240" s="1207"/>
    </row>
    <row r="9241" spans="3:17" s="700" customFormat="1" ht="70.5" hidden="1" customHeight="1">
      <c r="C9241" s="701"/>
      <c r="D9241" s="811"/>
      <c r="E9241" s="1276">
        <f>[11]building!Y9572</f>
        <v>0</v>
      </c>
      <c r="F9241" s="748">
        <f t="shared" si="383"/>
        <v>0</v>
      </c>
      <c r="G9241" s="1205"/>
      <c r="H9241" s="1055"/>
      <c r="I9241" s="1055"/>
      <c r="J9241" s="1055"/>
      <c r="K9241" s="1205"/>
      <c r="L9241" s="1055"/>
      <c r="M9241" s="1205"/>
      <c r="N9241" s="1054"/>
      <c r="O9241" s="1207"/>
      <c r="Q9241" s="1207"/>
    </row>
    <row r="9242" spans="3:17" s="700" customFormat="1" ht="70.5" hidden="1" customHeight="1">
      <c r="C9242" s="701"/>
      <c r="D9242" s="811"/>
      <c r="E9242" s="1276">
        <f>[11]building!Y9573</f>
        <v>0</v>
      </c>
      <c r="F9242" s="748">
        <f t="shared" si="383"/>
        <v>0</v>
      </c>
      <c r="G9242" s="1205"/>
      <c r="H9242" s="1055"/>
      <c r="I9242" s="1055"/>
      <c r="J9242" s="1055"/>
      <c r="K9242" s="1205"/>
      <c r="L9242" s="1055"/>
      <c r="M9242" s="1205"/>
      <c r="N9242" s="1054"/>
      <c r="O9242" s="1207"/>
      <c r="Q9242" s="1207"/>
    </row>
    <row r="9243" spans="3:17" s="700" customFormat="1" ht="70.5" hidden="1" customHeight="1">
      <c r="C9243" s="701"/>
      <c r="D9243" s="811"/>
      <c r="E9243" s="1276">
        <f>[11]building!Y9574</f>
        <v>0</v>
      </c>
      <c r="F9243" s="748">
        <f t="shared" si="383"/>
        <v>0</v>
      </c>
      <c r="G9243" s="1205"/>
      <c r="H9243" s="1055"/>
      <c r="I9243" s="1055"/>
      <c r="J9243" s="1055"/>
      <c r="K9243" s="1205"/>
      <c r="L9243" s="1055"/>
      <c r="M9243" s="1205"/>
      <c r="N9243" s="1054"/>
      <c r="O9243" s="1207"/>
      <c r="Q9243" s="1207"/>
    </row>
    <row r="9244" spans="3:17" s="700" customFormat="1" ht="70.5" hidden="1" customHeight="1">
      <c r="C9244" s="701"/>
      <c r="D9244" s="811"/>
      <c r="E9244" s="1276">
        <f>[11]building!Y9575</f>
        <v>0</v>
      </c>
      <c r="F9244" s="748">
        <f t="shared" si="383"/>
        <v>0</v>
      </c>
      <c r="G9244" s="1205"/>
      <c r="H9244" s="1055"/>
      <c r="I9244" s="1055"/>
      <c r="J9244" s="1055"/>
      <c r="K9244" s="1205"/>
      <c r="L9244" s="1055"/>
      <c r="M9244" s="1205"/>
      <c r="N9244" s="1054"/>
      <c r="O9244" s="1207"/>
      <c r="Q9244" s="1207"/>
    </row>
    <row r="9245" spans="3:17" s="700" customFormat="1" ht="70.5" hidden="1" customHeight="1">
      <c r="C9245" s="701"/>
      <c r="D9245" s="811"/>
      <c r="E9245" s="1276">
        <f>[11]building!Y9576</f>
        <v>0</v>
      </c>
      <c r="F9245" s="748">
        <f t="shared" si="383"/>
        <v>0</v>
      </c>
      <c r="G9245" s="1205"/>
      <c r="H9245" s="1055"/>
      <c r="I9245" s="1055"/>
      <c r="J9245" s="1055"/>
      <c r="K9245" s="1205"/>
      <c r="L9245" s="1055"/>
      <c r="M9245" s="1205"/>
      <c r="N9245" s="1054"/>
      <c r="O9245" s="1207"/>
      <c r="Q9245" s="1207"/>
    </row>
    <row r="9246" spans="3:17" s="700" customFormat="1" ht="70.5" hidden="1" customHeight="1">
      <c r="C9246" s="701"/>
      <c r="D9246" s="811"/>
      <c r="E9246" s="1276">
        <f>[11]building!Y9577</f>
        <v>0</v>
      </c>
      <c r="F9246" s="748">
        <f t="shared" si="383"/>
        <v>0</v>
      </c>
      <c r="G9246" s="1205"/>
      <c r="H9246" s="1055"/>
      <c r="I9246" s="1055"/>
      <c r="J9246" s="1055"/>
      <c r="K9246" s="1205"/>
      <c r="L9246" s="1055"/>
      <c r="M9246" s="1205"/>
      <c r="N9246" s="1054"/>
      <c r="O9246" s="1207"/>
      <c r="Q9246" s="1207"/>
    </row>
    <row r="9247" spans="3:17" s="700" customFormat="1" ht="70.5" hidden="1" customHeight="1">
      <c r="C9247" s="701"/>
      <c r="D9247" s="811"/>
      <c r="E9247" s="1276">
        <f>[11]building!Y9578</f>
        <v>0</v>
      </c>
      <c r="F9247" s="748">
        <f t="shared" si="383"/>
        <v>0</v>
      </c>
      <c r="G9247" s="1205"/>
      <c r="H9247" s="1055"/>
      <c r="I9247" s="1055"/>
      <c r="J9247" s="1055"/>
      <c r="K9247" s="1205"/>
      <c r="L9247" s="1055"/>
      <c r="M9247" s="1205"/>
      <c r="N9247" s="1054"/>
      <c r="O9247" s="1207"/>
      <c r="Q9247" s="1207"/>
    </row>
    <row r="9248" spans="3:17" s="700" customFormat="1" ht="70.5" hidden="1" customHeight="1">
      <c r="C9248" s="701"/>
      <c r="D9248" s="811"/>
      <c r="E9248" s="1276">
        <f>[11]building!Y9579</f>
        <v>0</v>
      </c>
      <c r="F9248" s="748">
        <f t="shared" si="383"/>
        <v>0</v>
      </c>
      <c r="G9248" s="1205"/>
      <c r="H9248" s="1055"/>
      <c r="I9248" s="1055"/>
      <c r="J9248" s="1055"/>
      <c r="K9248" s="1205"/>
      <c r="L9248" s="1055"/>
      <c r="M9248" s="1205"/>
      <c r="N9248" s="1054"/>
      <c r="O9248" s="1207"/>
      <c r="Q9248" s="1207"/>
    </row>
    <row r="9249" spans="3:17" s="700" customFormat="1" ht="70.5" hidden="1" customHeight="1">
      <c r="C9249" s="701"/>
      <c r="D9249" s="811"/>
      <c r="E9249" s="1276">
        <f>[11]building!Y9580</f>
        <v>0</v>
      </c>
      <c r="F9249" s="748">
        <f t="shared" si="383"/>
        <v>0</v>
      </c>
      <c r="G9249" s="1205"/>
      <c r="H9249" s="1055"/>
      <c r="I9249" s="1055"/>
      <c r="J9249" s="1055"/>
      <c r="K9249" s="1205"/>
      <c r="L9249" s="1055"/>
      <c r="M9249" s="1205"/>
      <c r="N9249" s="1054"/>
      <c r="O9249" s="1207"/>
      <c r="Q9249" s="1207"/>
    </row>
    <row r="9250" spans="3:17" s="700" customFormat="1" ht="70.5" hidden="1" customHeight="1">
      <c r="C9250" s="701"/>
      <c r="D9250" s="811"/>
      <c r="E9250" s="1276">
        <f>[11]building!Y9581</f>
        <v>0</v>
      </c>
      <c r="F9250" s="748">
        <f t="shared" si="383"/>
        <v>0</v>
      </c>
      <c r="G9250" s="1205"/>
      <c r="H9250" s="1055"/>
      <c r="I9250" s="1055"/>
      <c r="J9250" s="1055"/>
      <c r="K9250" s="1205"/>
      <c r="L9250" s="1055"/>
      <c r="M9250" s="1205"/>
      <c r="N9250" s="1054"/>
      <c r="O9250" s="1207"/>
      <c r="Q9250" s="1207"/>
    </row>
    <row r="9251" spans="3:17" s="700" customFormat="1" ht="70.5" hidden="1" customHeight="1">
      <c r="C9251" s="701"/>
      <c r="D9251" s="811"/>
      <c r="E9251" s="1276">
        <f>[11]building!Y9582</f>
        <v>0</v>
      </c>
      <c r="F9251" s="748">
        <f t="shared" si="383"/>
        <v>0</v>
      </c>
      <c r="G9251" s="1205"/>
      <c r="H9251" s="1055"/>
      <c r="I9251" s="1055"/>
      <c r="J9251" s="1055"/>
      <c r="K9251" s="1205"/>
      <c r="L9251" s="1055"/>
      <c r="M9251" s="1205"/>
      <c r="N9251" s="1054"/>
      <c r="O9251" s="1207"/>
      <c r="Q9251" s="1207"/>
    </row>
    <row r="9252" spans="3:17" s="700" customFormat="1" ht="70.5" hidden="1" customHeight="1">
      <c r="C9252" s="701"/>
      <c r="D9252" s="811"/>
      <c r="E9252" s="1276">
        <f>[11]building!Y9583</f>
        <v>0</v>
      </c>
      <c r="F9252" s="748">
        <f t="shared" si="383"/>
        <v>0</v>
      </c>
      <c r="G9252" s="1205"/>
      <c r="H9252" s="1055"/>
      <c r="I9252" s="1055"/>
      <c r="J9252" s="1055"/>
      <c r="K9252" s="1205"/>
      <c r="L9252" s="1055"/>
      <c r="M9252" s="1205"/>
      <c r="N9252" s="1054"/>
      <c r="O9252" s="1207"/>
      <c r="Q9252" s="1207"/>
    </row>
    <row r="9253" spans="3:17" s="700" customFormat="1" ht="70.5" hidden="1" customHeight="1">
      <c r="C9253" s="701"/>
      <c r="D9253" s="811"/>
      <c r="E9253" s="1276">
        <f>[11]building!Y9584</f>
        <v>0</v>
      </c>
      <c r="F9253" s="748">
        <f t="shared" si="383"/>
        <v>0</v>
      </c>
      <c r="G9253" s="1205"/>
      <c r="H9253" s="1055"/>
      <c r="I9253" s="1055"/>
      <c r="J9253" s="1055"/>
      <c r="K9253" s="1205"/>
      <c r="L9253" s="1055"/>
      <c r="M9253" s="1205"/>
      <c r="N9253" s="1054"/>
      <c r="O9253" s="1207"/>
      <c r="Q9253" s="1207"/>
    </row>
    <row r="9254" spans="3:17" s="700" customFormat="1" ht="70.5" hidden="1" customHeight="1">
      <c r="C9254" s="701"/>
      <c r="D9254" s="811"/>
      <c r="E9254" s="1276">
        <f>[11]building!Y9585</f>
        <v>0</v>
      </c>
      <c r="F9254" s="748">
        <f t="shared" si="383"/>
        <v>0</v>
      </c>
      <c r="G9254" s="1205"/>
      <c r="H9254" s="1055"/>
      <c r="I9254" s="1055"/>
      <c r="J9254" s="1055"/>
      <c r="K9254" s="1205"/>
      <c r="L9254" s="1055"/>
      <c r="M9254" s="1205"/>
      <c r="N9254" s="1054"/>
      <c r="O9254" s="1207"/>
      <c r="Q9254" s="1207"/>
    </row>
    <row r="9255" spans="3:17" s="700" customFormat="1" ht="70.5" hidden="1" customHeight="1">
      <c r="C9255" s="701"/>
      <c r="D9255" s="811"/>
      <c r="E9255" s="1276">
        <f>[11]building!Y9586</f>
        <v>0</v>
      </c>
      <c r="F9255" s="748">
        <f t="shared" si="383"/>
        <v>0</v>
      </c>
      <c r="G9255" s="1205"/>
      <c r="H9255" s="1055"/>
      <c r="I9255" s="1055"/>
      <c r="J9255" s="1055"/>
      <c r="K9255" s="1205"/>
      <c r="L9255" s="1055"/>
      <c r="M9255" s="1205"/>
      <c r="N9255" s="1054"/>
      <c r="O9255" s="1207"/>
      <c r="Q9255" s="1207"/>
    </row>
    <row r="9256" spans="3:17" s="700" customFormat="1" ht="70.5" hidden="1" customHeight="1">
      <c r="C9256" s="701"/>
      <c r="D9256" s="811"/>
      <c r="E9256" s="1276">
        <f>[11]building!Y9587</f>
        <v>0</v>
      </c>
      <c r="F9256" s="748">
        <f t="shared" si="383"/>
        <v>0</v>
      </c>
      <c r="G9256" s="1205"/>
      <c r="H9256" s="1055"/>
      <c r="I9256" s="1055"/>
      <c r="J9256" s="1055"/>
      <c r="K9256" s="1205"/>
      <c r="L9256" s="1055"/>
      <c r="M9256" s="1205"/>
      <c r="N9256" s="1054"/>
      <c r="O9256" s="1207"/>
      <c r="Q9256" s="1207"/>
    </row>
    <row r="9257" spans="3:17" s="700" customFormat="1" ht="70.5" hidden="1" customHeight="1">
      <c r="C9257" s="701"/>
      <c r="D9257" s="811"/>
      <c r="E9257" s="1276">
        <f>[11]building!Y9588</f>
        <v>0</v>
      </c>
      <c r="F9257" s="748">
        <f t="shared" si="383"/>
        <v>0</v>
      </c>
      <c r="G9257" s="1205"/>
      <c r="H9257" s="1055"/>
      <c r="I9257" s="1055"/>
      <c r="J9257" s="1055"/>
      <c r="K9257" s="1205"/>
      <c r="L9257" s="1055"/>
      <c r="M9257" s="1205"/>
      <c r="N9257" s="1054"/>
      <c r="O9257" s="1207"/>
      <c r="Q9257" s="1207"/>
    </row>
    <row r="9258" spans="3:17" s="700" customFormat="1" ht="70.5" hidden="1" customHeight="1">
      <c r="C9258" s="701"/>
      <c r="D9258" s="811"/>
      <c r="E9258" s="1276">
        <f>[11]building!Y9589</f>
        <v>0</v>
      </c>
      <c r="F9258" s="748">
        <f t="shared" si="383"/>
        <v>0</v>
      </c>
      <c r="G9258" s="1205"/>
      <c r="H9258" s="1055"/>
      <c r="I9258" s="1055"/>
      <c r="J9258" s="1055"/>
      <c r="K9258" s="1205"/>
      <c r="L9258" s="1055"/>
      <c r="M9258" s="1205"/>
      <c r="N9258" s="1054"/>
      <c r="O9258" s="1207"/>
      <c r="Q9258" s="1207"/>
    </row>
    <row r="9259" spans="3:17" s="700" customFormat="1" ht="70.5" hidden="1" customHeight="1">
      <c r="C9259" s="701"/>
      <c r="D9259" s="811"/>
      <c r="E9259" s="1276">
        <f>[11]building!Y9590</f>
        <v>0</v>
      </c>
      <c r="F9259" s="748">
        <f t="shared" si="383"/>
        <v>0</v>
      </c>
      <c r="G9259" s="1205"/>
      <c r="H9259" s="1055"/>
      <c r="I9259" s="1055"/>
      <c r="J9259" s="1055"/>
      <c r="K9259" s="1205"/>
      <c r="L9259" s="1055"/>
      <c r="M9259" s="1205"/>
      <c r="N9259" s="1054"/>
      <c r="O9259" s="1207"/>
      <c r="Q9259" s="1207"/>
    </row>
    <row r="9260" spans="3:17" s="700" customFormat="1" ht="70.5" hidden="1" customHeight="1">
      <c r="C9260" s="701"/>
      <c r="D9260" s="811"/>
      <c r="E9260" s="1276">
        <f>[11]building!Y9591</f>
        <v>0</v>
      </c>
      <c r="F9260" s="748">
        <f t="shared" si="383"/>
        <v>0</v>
      </c>
      <c r="G9260" s="1205"/>
      <c r="H9260" s="1055"/>
      <c r="I9260" s="1055"/>
      <c r="J9260" s="1055"/>
      <c r="K9260" s="1205"/>
      <c r="L9260" s="1055"/>
      <c r="M9260" s="1205"/>
      <c r="N9260" s="1054"/>
      <c r="O9260" s="1207"/>
      <c r="Q9260" s="1207"/>
    </row>
    <row r="9261" spans="3:17" s="700" customFormat="1" ht="70.5" hidden="1" customHeight="1">
      <c r="C9261" s="701"/>
      <c r="D9261" s="811"/>
      <c r="E9261" s="1276">
        <f>[11]building!Y9592</f>
        <v>0</v>
      </c>
      <c r="F9261" s="748">
        <f t="shared" si="383"/>
        <v>0</v>
      </c>
      <c r="G9261" s="1205"/>
      <c r="H9261" s="1055"/>
      <c r="I9261" s="1055"/>
      <c r="J9261" s="1055"/>
      <c r="K9261" s="1205"/>
      <c r="L9261" s="1055"/>
      <c r="M9261" s="1205"/>
      <c r="N9261" s="1054"/>
      <c r="O9261" s="1207"/>
      <c r="Q9261" s="1207"/>
    </row>
    <row r="9262" spans="3:17" s="700" customFormat="1" ht="70.5" hidden="1" customHeight="1">
      <c r="C9262" s="701"/>
      <c r="D9262" s="811"/>
      <c r="E9262" s="1276">
        <f>[11]building!Y9593</f>
        <v>0</v>
      </c>
      <c r="F9262" s="748">
        <f t="shared" si="383"/>
        <v>0</v>
      </c>
      <c r="G9262" s="1205"/>
      <c r="H9262" s="1055"/>
      <c r="I9262" s="1055"/>
      <c r="J9262" s="1055"/>
      <c r="K9262" s="1205"/>
      <c r="L9262" s="1055"/>
      <c r="M9262" s="1205"/>
      <c r="N9262" s="1054"/>
      <c r="O9262" s="1207"/>
      <c r="Q9262" s="1207"/>
    </row>
    <row r="9263" spans="3:17" s="700" customFormat="1" ht="70.5" hidden="1" customHeight="1">
      <c r="C9263" s="701"/>
      <c r="D9263" s="811"/>
      <c r="E9263" s="1276">
        <f>[11]building!Y9594</f>
        <v>0</v>
      </c>
      <c r="F9263" s="748">
        <f t="shared" si="383"/>
        <v>0</v>
      </c>
      <c r="G9263" s="1205"/>
      <c r="H9263" s="1055"/>
      <c r="I9263" s="1055"/>
      <c r="J9263" s="1055"/>
      <c r="K9263" s="1205"/>
      <c r="L9263" s="1055"/>
      <c r="M9263" s="1205"/>
      <c r="N9263" s="1054"/>
      <c r="O9263" s="1207"/>
      <c r="Q9263" s="1207"/>
    </row>
    <row r="9264" spans="3:17" s="700" customFormat="1" ht="70.5" hidden="1" customHeight="1">
      <c r="C9264" s="701"/>
      <c r="D9264" s="811"/>
      <c r="E9264" s="1276">
        <f>[11]building!Y9595</f>
        <v>0</v>
      </c>
      <c r="F9264" s="748">
        <f t="shared" si="383"/>
        <v>0</v>
      </c>
      <c r="G9264" s="1205"/>
      <c r="H9264" s="1055"/>
      <c r="I9264" s="1055"/>
      <c r="J9264" s="1055"/>
      <c r="K9264" s="1205"/>
      <c r="L9264" s="1055"/>
      <c r="M9264" s="1205"/>
      <c r="N9264" s="1054"/>
      <c r="O9264" s="1207"/>
      <c r="Q9264" s="1207"/>
    </row>
    <row r="9265" spans="3:17" s="700" customFormat="1" ht="70.5" hidden="1" customHeight="1">
      <c r="C9265" s="701"/>
      <c r="D9265" s="811"/>
      <c r="E9265" s="1276">
        <f>[11]building!Y9596</f>
        <v>0</v>
      </c>
      <c r="F9265" s="748">
        <f t="shared" si="383"/>
        <v>0</v>
      </c>
      <c r="G9265" s="1205"/>
      <c r="H9265" s="1055"/>
      <c r="I9265" s="1055"/>
      <c r="J9265" s="1055"/>
      <c r="K9265" s="1205"/>
      <c r="L9265" s="1055"/>
      <c r="M9265" s="1205"/>
      <c r="N9265" s="1054"/>
      <c r="O9265" s="1207"/>
      <c r="Q9265" s="1207"/>
    </row>
    <row r="9266" spans="3:17" s="700" customFormat="1" ht="70.5" hidden="1" customHeight="1">
      <c r="C9266" s="701"/>
      <c r="D9266" s="811"/>
      <c r="E9266" s="1276">
        <f>[11]building!Y9597</f>
        <v>0</v>
      </c>
      <c r="F9266" s="748">
        <f t="shared" si="383"/>
        <v>0</v>
      </c>
      <c r="G9266" s="1205"/>
      <c r="H9266" s="1055"/>
      <c r="I9266" s="1055"/>
      <c r="J9266" s="1055"/>
      <c r="K9266" s="1205"/>
      <c r="L9266" s="1055"/>
      <c r="M9266" s="1205"/>
      <c r="N9266" s="1054"/>
      <c r="O9266" s="1207"/>
      <c r="Q9266" s="1207"/>
    </row>
    <row r="9267" spans="3:17" s="700" customFormat="1" ht="70.5" hidden="1" customHeight="1">
      <c r="C9267" s="701"/>
      <c r="D9267" s="811"/>
      <c r="E9267" s="1276">
        <f>[11]building!Y9598</f>
        <v>0</v>
      </c>
      <c r="F9267" s="748">
        <f t="shared" si="383"/>
        <v>0</v>
      </c>
      <c r="G9267" s="1205"/>
      <c r="H9267" s="1055"/>
      <c r="I9267" s="1055"/>
      <c r="J9267" s="1055"/>
      <c r="K9267" s="1205"/>
      <c r="L9267" s="1055"/>
      <c r="M9267" s="1205"/>
      <c r="N9267" s="1054"/>
      <c r="O9267" s="1207"/>
      <c r="Q9267" s="1207"/>
    </row>
    <row r="9268" spans="3:17" s="700" customFormat="1" ht="70.5" hidden="1" customHeight="1">
      <c r="C9268" s="701"/>
      <c r="D9268" s="811"/>
      <c r="E9268" s="1276">
        <f>[11]building!Y9599</f>
        <v>0</v>
      </c>
      <c r="F9268" s="748">
        <f t="shared" si="383"/>
        <v>0</v>
      </c>
      <c r="G9268" s="1205"/>
      <c r="H9268" s="1055"/>
      <c r="I9268" s="1055"/>
      <c r="J9268" s="1055"/>
      <c r="K9268" s="1205"/>
      <c r="L9268" s="1055"/>
      <c r="M9268" s="1205"/>
      <c r="N9268" s="1054"/>
      <c r="O9268" s="1207"/>
      <c r="Q9268" s="1207"/>
    </row>
    <row r="9269" spans="3:17" s="700" customFormat="1" ht="70.5" hidden="1" customHeight="1">
      <c r="C9269" s="701"/>
      <c r="D9269" s="811"/>
      <c r="E9269" s="1276">
        <f>[11]building!Y9600</f>
        <v>0</v>
      </c>
      <c r="F9269" s="748">
        <f t="shared" si="383"/>
        <v>0</v>
      </c>
      <c r="G9269" s="1205"/>
      <c r="H9269" s="1055"/>
      <c r="I9269" s="1055"/>
      <c r="J9269" s="1055"/>
      <c r="K9269" s="1205"/>
      <c r="L9269" s="1055"/>
      <c r="M9269" s="1205"/>
      <c r="N9269" s="1054"/>
      <c r="O9269" s="1207"/>
      <c r="Q9269" s="1207"/>
    </row>
    <row r="9270" spans="3:17" s="700" customFormat="1" ht="70.5" hidden="1" customHeight="1">
      <c r="C9270" s="701"/>
      <c r="D9270" s="811"/>
      <c r="E9270" s="1276">
        <f>[11]building!Y9601</f>
        <v>0</v>
      </c>
      <c r="F9270" s="748">
        <f t="shared" si="383"/>
        <v>0</v>
      </c>
      <c r="G9270" s="1205"/>
      <c r="H9270" s="1055"/>
      <c r="I9270" s="1055"/>
      <c r="J9270" s="1055"/>
      <c r="K9270" s="1205"/>
      <c r="L9270" s="1055"/>
      <c r="M9270" s="1205"/>
      <c r="N9270" s="1054"/>
      <c r="O9270" s="1207"/>
      <c r="Q9270" s="1207"/>
    </row>
    <row r="9271" spans="3:17" s="700" customFormat="1" ht="70.5" hidden="1" customHeight="1">
      <c r="C9271" s="701"/>
      <c r="D9271" s="811"/>
      <c r="E9271" s="1276">
        <f>[11]building!Y9602</f>
        <v>0</v>
      </c>
      <c r="F9271" s="748">
        <f t="shared" si="383"/>
        <v>0</v>
      </c>
      <c r="G9271" s="1205"/>
      <c r="H9271" s="1055"/>
      <c r="I9271" s="1055"/>
      <c r="J9271" s="1055"/>
      <c r="K9271" s="1205"/>
      <c r="L9271" s="1055"/>
      <c r="M9271" s="1205"/>
      <c r="N9271" s="1054"/>
      <c r="O9271" s="1207"/>
      <c r="Q9271" s="1207"/>
    </row>
    <row r="9272" spans="3:17" s="700" customFormat="1" ht="70.5" hidden="1" customHeight="1">
      <c r="C9272" s="701"/>
      <c r="D9272" s="811"/>
      <c r="E9272" s="1276">
        <f>[11]building!Y9603</f>
        <v>0</v>
      </c>
      <c r="F9272" s="748">
        <f t="shared" si="383"/>
        <v>0</v>
      </c>
      <c r="G9272" s="1205"/>
      <c r="H9272" s="1055"/>
      <c r="I9272" s="1055"/>
      <c r="J9272" s="1055"/>
      <c r="K9272" s="1205"/>
      <c r="L9272" s="1055"/>
      <c r="M9272" s="1205"/>
      <c r="N9272" s="1054"/>
      <c r="O9272" s="1207"/>
      <c r="Q9272" s="1207"/>
    </row>
    <row r="9273" spans="3:17" s="700" customFormat="1" ht="70.5" hidden="1" customHeight="1">
      <c r="C9273" s="701"/>
      <c r="D9273" s="811"/>
      <c r="E9273" s="1276">
        <f>[11]building!Y9604</f>
        <v>0</v>
      </c>
      <c r="F9273" s="748">
        <f t="shared" si="383"/>
        <v>0</v>
      </c>
      <c r="G9273" s="1205"/>
      <c r="H9273" s="1055"/>
      <c r="I9273" s="1055"/>
      <c r="J9273" s="1055"/>
      <c r="K9273" s="1205"/>
      <c r="L9273" s="1055"/>
      <c r="M9273" s="1205"/>
      <c r="N9273" s="1054"/>
      <c r="O9273" s="1207"/>
      <c r="Q9273" s="1207"/>
    </row>
    <row r="9274" spans="3:17" s="700" customFormat="1" ht="70.5" hidden="1" customHeight="1">
      <c r="C9274" s="701"/>
      <c r="D9274" s="811"/>
      <c r="E9274" s="1276">
        <f>[11]building!Y9605</f>
        <v>0</v>
      </c>
      <c r="F9274" s="748">
        <f t="shared" si="383"/>
        <v>0</v>
      </c>
      <c r="G9274" s="1205"/>
      <c r="H9274" s="1055"/>
      <c r="I9274" s="1055"/>
      <c r="J9274" s="1055"/>
      <c r="K9274" s="1205"/>
      <c r="L9274" s="1055"/>
      <c r="M9274" s="1205"/>
      <c r="N9274" s="1054"/>
      <c r="O9274" s="1207"/>
      <c r="Q9274" s="1207"/>
    </row>
    <row r="9275" spans="3:17" s="700" customFormat="1" ht="70.5" hidden="1" customHeight="1">
      <c r="C9275" s="701"/>
      <c r="D9275" s="811"/>
      <c r="E9275" s="1276">
        <f>[11]building!Y9606</f>
        <v>0</v>
      </c>
      <c r="F9275" s="748">
        <f t="shared" si="383"/>
        <v>0</v>
      </c>
      <c r="G9275" s="1205"/>
      <c r="H9275" s="1055"/>
      <c r="I9275" s="1055"/>
      <c r="J9275" s="1055"/>
      <c r="K9275" s="1205"/>
      <c r="L9275" s="1055"/>
      <c r="M9275" s="1205"/>
      <c r="N9275" s="1054"/>
      <c r="O9275" s="1207"/>
      <c r="Q9275" s="1207"/>
    </row>
    <row r="9276" spans="3:17" s="700" customFormat="1" ht="70.5" hidden="1" customHeight="1">
      <c r="C9276" s="701"/>
      <c r="D9276" s="811"/>
      <c r="E9276" s="1276">
        <f>[11]building!Y9607</f>
        <v>0</v>
      </c>
      <c r="F9276" s="748">
        <f t="shared" si="383"/>
        <v>0</v>
      </c>
      <c r="G9276" s="1205"/>
      <c r="H9276" s="1055"/>
      <c r="I9276" s="1055"/>
      <c r="J9276" s="1055"/>
      <c r="K9276" s="1205"/>
      <c r="L9276" s="1055"/>
      <c r="M9276" s="1205"/>
      <c r="N9276" s="1054"/>
      <c r="O9276" s="1207"/>
      <c r="Q9276" s="1207"/>
    </row>
    <row r="9277" spans="3:17" s="700" customFormat="1" ht="70.5" hidden="1" customHeight="1">
      <c r="C9277" s="701"/>
      <c r="D9277" s="811"/>
      <c r="E9277" s="1276">
        <f>[11]building!Y9608</f>
        <v>0</v>
      </c>
      <c r="F9277" s="748">
        <f t="shared" si="383"/>
        <v>0</v>
      </c>
      <c r="G9277" s="1205"/>
      <c r="H9277" s="1055"/>
      <c r="I9277" s="1055"/>
      <c r="J9277" s="1055"/>
      <c r="K9277" s="1205"/>
      <c r="L9277" s="1055"/>
      <c r="M9277" s="1205"/>
      <c r="N9277" s="1054"/>
      <c r="O9277" s="1207"/>
      <c r="Q9277" s="1207"/>
    </row>
    <row r="9278" spans="3:17" s="700" customFormat="1" ht="70.5" hidden="1" customHeight="1">
      <c r="C9278" s="701"/>
      <c r="D9278" s="811"/>
      <c r="E9278" s="1276">
        <f>[11]building!Y9609</f>
        <v>0</v>
      </c>
      <c r="F9278" s="748">
        <f t="shared" si="383"/>
        <v>0</v>
      </c>
      <c r="G9278" s="1205"/>
      <c r="H9278" s="1055"/>
      <c r="I9278" s="1055"/>
      <c r="J9278" s="1055"/>
      <c r="K9278" s="1205"/>
      <c r="L9278" s="1055"/>
      <c r="M9278" s="1205"/>
      <c r="N9278" s="1054"/>
      <c r="O9278" s="1207"/>
      <c r="Q9278" s="1207"/>
    </row>
    <row r="9279" spans="3:17" s="700" customFormat="1" ht="70.5" hidden="1" customHeight="1">
      <c r="C9279" s="701"/>
      <c r="D9279" s="811"/>
      <c r="E9279" s="1276">
        <f>[11]building!Y9610</f>
        <v>0</v>
      </c>
      <c r="F9279" s="748">
        <f t="shared" si="383"/>
        <v>0</v>
      </c>
      <c r="G9279" s="1205"/>
      <c r="H9279" s="1055"/>
      <c r="I9279" s="1055"/>
      <c r="J9279" s="1055"/>
      <c r="K9279" s="1205"/>
      <c r="L9279" s="1055"/>
      <c r="M9279" s="1205"/>
      <c r="N9279" s="1054"/>
      <c r="O9279" s="1207"/>
      <c r="Q9279" s="1207"/>
    </row>
    <row r="9280" spans="3:17" s="700" customFormat="1" ht="70.5" hidden="1" customHeight="1">
      <c r="C9280" s="701"/>
      <c r="D9280" s="811"/>
      <c r="E9280" s="1276">
        <f>[11]building!Y9611</f>
        <v>0</v>
      </c>
      <c r="F9280" s="748">
        <f t="shared" ref="F9280:F9343" si="384">E9280*C9280</f>
        <v>0</v>
      </c>
      <c r="G9280" s="1205"/>
      <c r="H9280" s="1055"/>
      <c r="I9280" s="1055"/>
      <c r="J9280" s="1055"/>
      <c r="K9280" s="1205"/>
      <c r="L9280" s="1055"/>
      <c r="M9280" s="1205"/>
      <c r="N9280" s="1054"/>
      <c r="O9280" s="1207"/>
      <c r="Q9280" s="1207"/>
    </row>
    <row r="9281" spans="3:17" s="700" customFormat="1" ht="70.5" hidden="1" customHeight="1">
      <c r="C9281" s="701"/>
      <c r="D9281" s="811"/>
      <c r="E9281" s="1276">
        <f>[11]building!Y9612</f>
        <v>0</v>
      </c>
      <c r="F9281" s="748">
        <f t="shared" si="384"/>
        <v>0</v>
      </c>
      <c r="G9281" s="1205"/>
      <c r="H9281" s="1055"/>
      <c r="I9281" s="1055"/>
      <c r="J9281" s="1055"/>
      <c r="K9281" s="1205"/>
      <c r="L9281" s="1055"/>
      <c r="M9281" s="1205"/>
      <c r="N9281" s="1054"/>
      <c r="O9281" s="1207"/>
      <c r="Q9281" s="1207"/>
    </row>
    <row r="9282" spans="3:17" s="700" customFormat="1" ht="70.5" hidden="1" customHeight="1">
      <c r="C9282" s="701"/>
      <c r="D9282" s="811"/>
      <c r="E9282" s="1276">
        <f>[11]building!Y9613</f>
        <v>0</v>
      </c>
      <c r="F9282" s="748">
        <f t="shared" si="384"/>
        <v>0</v>
      </c>
      <c r="G9282" s="1205"/>
      <c r="H9282" s="1055"/>
      <c r="I9282" s="1055"/>
      <c r="J9282" s="1055"/>
      <c r="K9282" s="1205"/>
      <c r="L9282" s="1055"/>
      <c r="M9282" s="1205"/>
      <c r="N9282" s="1054"/>
      <c r="O9282" s="1207"/>
      <c r="Q9282" s="1207"/>
    </row>
    <row r="9283" spans="3:17" s="700" customFormat="1" ht="70.5" hidden="1" customHeight="1">
      <c r="C9283" s="701"/>
      <c r="D9283" s="811"/>
      <c r="E9283" s="1276">
        <f>[11]building!Y9614</f>
        <v>0</v>
      </c>
      <c r="F9283" s="748">
        <f t="shared" si="384"/>
        <v>0</v>
      </c>
      <c r="G9283" s="1205"/>
      <c r="H9283" s="1055"/>
      <c r="I9283" s="1055"/>
      <c r="J9283" s="1055"/>
      <c r="K9283" s="1205"/>
      <c r="L9283" s="1055"/>
      <c r="M9283" s="1205"/>
      <c r="N9283" s="1054"/>
      <c r="O9283" s="1207"/>
      <c r="Q9283" s="1207"/>
    </row>
    <row r="9284" spans="3:17" s="700" customFormat="1" ht="70.5" hidden="1" customHeight="1">
      <c r="C9284" s="701"/>
      <c r="D9284" s="811"/>
      <c r="E9284" s="1276">
        <f>[11]building!Y9615</f>
        <v>0</v>
      </c>
      <c r="F9284" s="748">
        <f t="shared" si="384"/>
        <v>0</v>
      </c>
      <c r="G9284" s="1205"/>
      <c r="H9284" s="1055"/>
      <c r="I9284" s="1055"/>
      <c r="J9284" s="1055"/>
      <c r="K9284" s="1205"/>
      <c r="L9284" s="1055"/>
      <c r="M9284" s="1205"/>
      <c r="N9284" s="1054"/>
      <c r="O9284" s="1207"/>
      <c r="Q9284" s="1207"/>
    </row>
    <row r="9285" spans="3:17" s="700" customFormat="1" ht="70.5" hidden="1" customHeight="1">
      <c r="C9285" s="701"/>
      <c r="D9285" s="811"/>
      <c r="E9285" s="1276">
        <f>[11]building!Y9616</f>
        <v>0</v>
      </c>
      <c r="F9285" s="748">
        <f t="shared" si="384"/>
        <v>0</v>
      </c>
      <c r="G9285" s="1205"/>
      <c r="H9285" s="1055"/>
      <c r="I9285" s="1055"/>
      <c r="J9285" s="1055"/>
      <c r="K9285" s="1205"/>
      <c r="L9285" s="1055"/>
      <c r="M9285" s="1205"/>
      <c r="N9285" s="1054"/>
      <c r="O9285" s="1207"/>
      <c r="Q9285" s="1207"/>
    </row>
    <row r="9286" spans="3:17" s="700" customFormat="1" ht="70.5" hidden="1" customHeight="1">
      <c r="C9286" s="701"/>
      <c r="D9286" s="811"/>
      <c r="E9286" s="1276">
        <f>[11]building!Y9617</f>
        <v>0</v>
      </c>
      <c r="F9286" s="748">
        <f t="shared" si="384"/>
        <v>0</v>
      </c>
      <c r="G9286" s="1205"/>
      <c r="H9286" s="1055"/>
      <c r="I9286" s="1055"/>
      <c r="J9286" s="1055"/>
      <c r="K9286" s="1205"/>
      <c r="L9286" s="1055"/>
      <c r="M9286" s="1205"/>
      <c r="N9286" s="1054"/>
      <c r="O9286" s="1207"/>
      <c r="Q9286" s="1207"/>
    </row>
    <row r="9287" spans="3:17" s="700" customFormat="1" ht="70.5" hidden="1" customHeight="1">
      <c r="C9287" s="701"/>
      <c r="D9287" s="811"/>
      <c r="E9287" s="1276">
        <f>[11]building!Y9618</f>
        <v>0</v>
      </c>
      <c r="F9287" s="748">
        <f t="shared" si="384"/>
        <v>0</v>
      </c>
      <c r="G9287" s="1205"/>
      <c r="H9287" s="1055"/>
      <c r="I9287" s="1055"/>
      <c r="J9287" s="1055"/>
      <c r="K9287" s="1205"/>
      <c r="L9287" s="1055"/>
      <c r="M9287" s="1205"/>
      <c r="N9287" s="1054"/>
      <c r="O9287" s="1207"/>
      <c r="Q9287" s="1207"/>
    </row>
    <row r="9288" spans="3:17" s="700" customFormat="1" ht="70.5" hidden="1" customHeight="1">
      <c r="C9288" s="701"/>
      <c r="D9288" s="811"/>
      <c r="E9288" s="1276">
        <f>[11]building!Y9619</f>
        <v>0</v>
      </c>
      <c r="F9288" s="748">
        <f t="shared" si="384"/>
        <v>0</v>
      </c>
      <c r="G9288" s="1205"/>
      <c r="H9288" s="1055"/>
      <c r="I9288" s="1055"/>
      <c r="J9288" s="1055"/>
      <c r="K9288" s="1205"/>
      <c r="L9288" s="1055"/>
      <c r="M9288" s="1205"/>
      <c r="N9288" s="1054"/>
      <c r="O9288" s="1207"/>
      <c r="Q9288" s="1207"/>
    </row>
    <row r="9289" spans="3:17" s="700" customFormat="1" ht="70.5" hidden="1" customHeight="1">
      <c r="C9289" s="701"/>
      <c r="D9289" s="811"/>
      <c r="E9289" s="1276">
        <f>[11]building!Y9620</f>
        <v>0</v>
      </c>
      <c r="F9289" s="748">
        <f t="shared" si="384"/>
        <v>0</v>
      </c>
      <c r="G9289" s="1205"/>
      <c r="H9289" s="1055"/>
      <c r="I9289" s="1055"/>
      <c r="J9289" s="1055"/>
      <c r="K9289" s="1205"/>
      <c r="L9289" s="1055"/>
      <c r="M9289" s="1205"/>
      <c r="N9289" s="1054"/>
      <c r="O9289" s="1207"/>
      <c r="Q9289" s="1207"/>
    </row>
    <row r="9290" spans="3:17" s="700" customFormat="1" ht="70.5" hidden="1" customHeight="1">
      <c r="C9290" s="701"/>
      <c r="D9290" s="811"/>
      <c r="E9290" s="1276">
        <f>[11]building!Y9621</f>
        <v>0</v>
      </c>
      <c r="F9290" s="748">
        <f t="shared" si="384"/>
        <v>0</v>
      </c>
      <c r="G9290" s="1205"/>
      <c r="H9290" s="1055"/>
      <c r="I9290" s="1055"/>
      <c r="J9290" s="1055"/>
      <c r="K9290" s="1205"/>
      <c r="L9290" s="1055"/>
      <c r="M9290" s="1205"/>
      <c r="N9290" s="1054"/>
      <c r="O9290" s="1207"/>
      <c r="Q9290" s="1207"/>
    </row>
    <row r="9291" spans="3:17" s="700" customFormat="1" ht="70.5" hidden="1" customHeight="1">
      <c r="C9291" s="701"/>
      <c r="D9291" s="811"/>
      <c r="E9291" s="1276">
        <f>[11]building!Y9622</f>
        <v>0</v>
      </c>
      <c r="F9291" s="748">
        <f t="shared" si="384"/>
        <v>0</v>
      </c>
      <c r="G9291" s="1205"/>
      <c r="H9291" s="1055"/>
      <c r="I9291" s="1055"/>
      <c r="J9291" s="1055"/>
      <c r="K9291" s="1205"/>
      <c r="L9291" s="1055"/>
      <c r="M9291" s="1205"/>
      <c r="N9291" s="1054"/>
      <c r="O9291" s="1207"/>
      <c r="Q9291" s="1207"/>
    </row>
    <row r="9292" spans="3:17" s="700" customFormat="1" ht="70.5" hidden="1" customHeight="1">
      <c r="C9292" s="701"/>
      <c r="D9292" s="811"/>
      <c r="E9292" s="1276">
        <f>[11]building!Y9623</f>
        <v>0</v>
      </c>
      <c r="F9292" s="748">
        <f t="shared" si="384"/>
        <v>0</v>
      </c>
      <c r="G9292" s="1205"/>
      <c r="H9292" s="1055"/>
      <c r="I9292" s="1055"/>
      <c r="J9292" s="1055"/>
      <c r="K9292" s="1205"/>
      <c r="L9292" s="1055"/>
      <c r="M9292" s="1205"/>
      <c r="N9292" s="1054"/>
      <c r="O9292" s="1207"/>
      <c r="Q9292" s="1207"/>
    </row>
    <row r="9293" spans="3:17" s="700" customFormat="1" ht="70.5" hidden="1" customHeight="1">
      <c r="C9293" s="701"/>
      <c r="D9293" s="811"/>
      <c r="E9293" s="1276">
        <f>[11]building!Y9624</f>
        <v>0</v>
      </c>
      <c r="F9293" s="748">
        <f t="shared" si="384"/>
        <v>0</v>
      </c>
      <c r="G9293" s="1205"/>
      <c r="H9293" s="1055"/>
      <c r="I9293" s="1055"/>
      <c r="J9293" s="1055"/>
      <c r="K9293" s="1205"/>
      <c r="L9293" s="1055"/>
      <c r="M9293" s="1205"/>
      <c r="N9293" s="1054"/>
      <c r="O9293" s="1207"/>
      <c r="Q9293" s="1207"/>
    </row>
    <row r="9294" spans="3:17" s="700" customFormat="1" ht="70.5" hidden="1" customHeight="1">
      <c r="C9294" s="701"/>
      <c r="D9294" s="811"/>
      <c r="E9294" s="1276">
        <f>[11]building!Y9625</f>
        <v>0</v>
      </c>
      <c r="F9294" s="748">
        <f t="shared" si="384"/>
        <v>0</v>
      </c>
      <c r="G9294" s="1205"/>
      <c r="H9294" s="1055"/>
      <c r="I9294" s="1055"/>
      <c r="J9294" s="1055"/>
      <c r="K9294" s="1205"/>
      <c r="L9294" s="1055"/>
      <c r="M9294" s="1205"/>
      <c r="N9294" s="1054"/>
      <c r="O9294" s="1207"/>
      <c r="Q9294" s="1207"/>
    </row>
    <row r="9295" spans="3:17" s="700" customFormat="1" ht="70.5" hidden="1" customHeight="1">
      <c r="C9295" s="701"/>
      <c r="D9295" s="811"/>
      <c r="E9295" s="1276">
        <f>[11]building!Y9626</f>
        <v>0</v>
      </c>
      <c r="F9295" s="748">
        <f t="shared" si="384"/>
        <v>0</v>
      </c>
      <c r="G9295" s="1205"/>
      <c r="H9295" s="1055"/>
      <c r="I9295" s="1055"/>
      <c r="J9295" s="1055"/>
      <c r="K9295" s="1205"/>
      <c r="L9295" s="1055"/>
      <c r="M9295" s="1205"/>
      <c r="N9295" s="1054"/>
      <c r="O9295" s="1207"/>
      <c r="Q9295" s="1207"/>
    </row>
    <row r="9296" spans="3:17" s="700" customFormat="1" ht="70.5" hidden="1" customHeight="1">
      <c r="C9296" s="701"/>
      <c r="D9296" s="811"/>
      <c r="E9296" s="1276">
        <f>[11]building!Y9627</f>
        <v>0</v>
      </c>
      <c r="F9296" s="748">
        <f t="shared" si="384"/>
        <v>0</v>
      </c>
      <c r="G9296" s="1205"/>
      <c r="H9296" s="1055"/>
      <c r="I9296" s="1055"/>
      <c r="J9296" s="1055"/>
      <c r="K9296" s="1205"/>
      <c r="L9296" s="1055"/>
      <c r="M9296" s="1205"/>
      <c r="N9296" s="1054"/>
      <c r="O9296" s="1207"/>
      <c r="Q9296" s="1207"/>
    </row>
    <row r="9297" spans="3:17" s="700" customFormat="1" ht="70.5" hidden="1" customHeight="1">
      <c r="C9297" s="701"/>
      <c r="D9297" s="811"/>
      <c r="E9297" s="1276">
        <f>[11]building!Y9628</f>
        <v>0</v>
      </c>
      <c r="F9297" s="748">
        <f t="shared" si="384"/>
        <v>0</v>
      </c>
      <c r="G9297" s="1205"/>
      <c r="H9297" s="1055"/>
      <c r="I9297" s="1055"/>
      <c r="J9297" s="1055"/>
      <c r="K9297" s="1205"/>
      <c r="L9297" s="1055"/>
      <c r="M9297" s="1205"/>
      <c r="N9297" s="1054"/>
      <c r="O9297" s="1207"/>
      <c r="Q9297" s="1207"/>
    </row>
    <row r="9298" spans="3:17" s="700" customFormat="1" ht="70.5" hidden="1" customHeight="1">
      <c r="C9298" s="701"/>
      <c r="D9298" s="811"/>
      <c r="E9298" s="1276">
        <f>[11]building!Y9629</f>
        <v>0</v>
      </c>
      <c r="F9298" s="748">
        <f t="shared" si="384"/>
        <v>0</v>
      </c>
      <c r="G9298" s="1205"/>
      <c r="H9298" s="1055"/>
      <c r="I9298" s="1055"/>
      <c r="J9298" s="1055"/>
      <c r="K9298" s="1205"/>
      <c r="L9298" s="1055"/>
      <c r="M9298" s="1205"/>
      <c r="N9298" s="1054"/>
      <c r="O9298" s="1207"/>
      <c r="Q9298" s="1207"/>
    </row>
    <row r="9299" spans="3:17" s="700" customFormat="1" ht="70.5" hidden="1" customHeight="1">
      <c r="C9299" s="701"/>
      <c r="D9299" s="811"/>
      <c r="E9299" s="1276">
        <f>[11]building!Y9630</f>
        <v>0</v>
      </c>
      <c r="F9299" s="748">
        <f t="shared" si="384"/>
        <v>0</v>
      </c>
      <c r="G9299" s="1205"/>
      <c r="H9299" s="1055"/>
      <c r="I9299" s="1055"/>
      <c r="J9299" s="1055"/>
      <c r="K9299" s="1205"/>
      <c r="L9299" s="1055"/>
      <c r="M9299" s="1205"/>
      <c r="N9299" s="1054"/>
      <c r="O9299" s="1207"/>
      <c r="Q9299" s="1207"/>
    </row>
    <row r="9300" spans="3:17" s="700" customFormat="1" ht="70.5" hidden="1" customHeight="1">
      <c r="C9300" s="701"/>
      <c r="D9300" s="811"/>
      <c r="E9300" s="1276">
        <f>[11]building!Y9631</f>
        <v>0</v>
      </c>
      <c r="F9300" s="748">
        <f t="shared" si="384"/>
        <v>0</v>
      </c>
      <c r="G9300" s="1205"/>
      <c r="H9300" s="1055"/>
      <c r="I9300" s="1055"/>
      <c r="J9300" s="1055"/>
      <c r="K9300" s="1205"/>
      <c r="L9300" s="1055"/>
      <c r="M9300" s="1205"/>
      <c r="N9300" s="1054"/>
      <c r="O9300" s="1207"/>
      <c r="Q9300" s="1207"/>
    </row>
    <row r="9301" spans="3:17" s="700" customFormat="1" ht="70.5" hidden="1" customHeight="1">
      <c r="C9301" s="701"/>
      <c r="D9301" s="811"/>
      <c r="E9301" s="1276">
        <f>[11]building!Y9632</f>
        <v>0</v>
      </c>
      <c r="F9301" s="748">
        <f t="shared" si="384"/>
        <v>0</v>
      </c>
      <c r="G9301" s="1205"/>
      <c r="H9301" s="1055"/>
      <c r="I9301" s="1055"/>
      <c r="J9301" s="1055"/>
      <c r="K9301" s="1205"/>
      <c r="L9301" s="1055"/>
      <c r="M9301" s="1205"/>
      <c r="N9301" s="1054"/>
      <c r="O9301" s="1207"/>
      <c r="Q9301" s="1207"/>
    </row>
    <row r="9302" spans="3:17" s="700" customFormat="1" ht="70.5" hidden="1" customHeight="1">
      <c r="C9302" s="701"/>
      <c r="D9302" s="811"/>
      <c r="E9302" s="1276">
        <f>[11]building!Y9633</f>
        <v>0</v>
      </c>
      <c r="F9302" s="748">
        <f t="shared" si="384"/>
        <v>0</v>
      </c>
      <c r="G9302" s="1205"/>
      <c r="H9302" s="1055"/>
      <c r="I9302" s="1055"/>
      <c r="J9302" s="1055"/>
      <c r="K9302" s="1205"/>
      <c r="L9302" s="1055"/>
      <c r="M9302" s="1205"/>
      <c r="N9302" s="1054"/>
      <c r="O9302" s="1207"/>
      <c r="Q9302" s="1207"/>
    </row>
    <row r="9303" spans="3:17" s="700" customFormat="1" ht="70.5" hidden="1" customHeight="1">
      <c r="C9303" s="701"/>
      <c r="D9303" s="811"/>
      <c r="E9303" s="1276">
        <f>[11]building!Y9634</f>
        <v>0</v>
      </c>
      <c r="F9303" s="748">
        <f t="shared" si="384"/>
        <v>0</v>
      </c>
      <c r="G9303" s="1205"/>
      <c r="H9303" s="1055"/>
      <c r="I9303" s="1055"/>
      <c r="J9303" s="1055"/>
      <c r="K9303" s="1205"/>
      <c r="L9303" s="1055"/>
      <c r="M9303" s="1205"/>
      <c r="N9303" s="1054"/>
      <c r="O9303" s="1207"/>
      <c r="Q9303" s="1207"/>
    </row>
    <row r="9304" spans="3:17" s="700" customFormat="1" ht="70.5" hidden="1" customHeight="1">
      <c r="C9304" s="701"/>
      <c r="D9304" s="811"/>
      <c r="E9304" s="1276">
        <f>[11]building!Y9635</f>
        <v>0</v>
      </c>
      <c r="F9304" s="748">
        <f t="shared" si="384"/>
        <v>0</v>
      </c>
      <c r="G9304" s="1205"/>
      <c r="H9304" s="1055"/>
      <c r="I9304" s="1055"/>
      <c r="J9304" s="1055"/>
      <c r="K9304" s="1205"/>
      <c r="L9304" s="1055"/>
      <c r="M9304" s="1205"/>
      <c r="N9304" s="1054"/>
      <c r="O9304" s="1207"/>
      <c r="Q9304" s="1207"/>
    </row>
    <row r="9305" spans="3:17" s="700" customFormat="1" ht="70.5" hidden="1" customHeight="1">
      <c r="C9305" s="701"/>
      <c r="D9305" s="811"/>
      <c r="E9305" s="1276">
        <f>[11]building!Y9636</f>
        <v>0</v>
      </c>
      <c r="F9305" s="748">
        <f t="shared" si="384"/>
        <v>0</v>
      </c>
      <c r="G9305" s="1205"/>
      <c r="H9305" s="1055"/>
      <c r="I9305" s="1055"/>
      <c r="J9305" s="1055"/>
      <c r="K9305" s="1205"/>
      <c r="L9305" s="1055"/>
      <c r="M9305" s="1205"/>
      <c r="N9305" s="1054"/>
      <c r="O9305" s="1207"/>
      <c r="Q9305" s="1207"/>
    </row>
    <row r="9306" spans="3:17" s="700" customFormat="1" ht="70.5" hidden="1" customHeight="1">
      <c r="C9306" s="701"/>
      <c r="D9306" s="811"/>
      <c r="E9306" s="1276">
        <f>[11]building!Y9637</f>
        <v>0</v>
      </c>
      <c r="F9306" s="748">
        <f t="shared" si="384"/>
        <v>0</v>
      </c>
      <c r="G9306" s="1205"/>
      <c r="H9306" s="1055"/>
      <c r="I9306" s="1055"/>
      <c r="J9306" s="1055"/>
      <c r="K9306" s="1205"/>
      <c r="L9306" s="1055"/>
      <c r="M9306" s="1205"/>
      <c r="N9306" s="1054"/>
      <c r="O9306" s="1207"/>
      <c r="Q9306" s="1207"/>
    </row>
    <row r="9307" spans="3:17" s="700" customFormat="1" ht="70.5" hidden="1" customHeight="1">
      <c r="C9307" s="701"/>
      <c r="D9307" s="811"/>
      <c r="E9307" s="1276">
        <f>[11]building!Y9638</f>
        <v>0</v>
      </c>
      <c r="F9307" s="748">
        <f t="shared" si="384"/>
        <v>0</v>
      </c>
      <c r="G9307" s="1205"/>
      <c r="H9307" s="1055"/>
      <c r="I9307" s="1055"/>
      <c r="J9307" s="1055"/>
      <c r="K9307" s="1205"/>
      <c r="L9307" s="1055"/>
      <c r="M9307" s="1205"/>
      <c r="N9307" s="1054"/>
      <c r="O9307" s="1207"/>
      <c r="Q9307" s="1207"/>
    </row>
    <row r="9308" spans="3:17" s="700" customFormat="1" ht="70.5" hidden="1" customHeight="1">
      <c r="C9308" s="701"/>
      <c r="D9308" s="811"/>
      <c r="E9308" s="1276">
        <f>[11]building!Y9639</f>
        <v>0</v>
      </c>
      <c r="F9308" s="748">
        <f t="shared" si="384"/>
        <v>0</v>
      </c>
      <c r="G9308" s="1205"/>
      <c r="H9308" s="1055"/>
      <c r="I9308" s="1055"/>
      <c r="J9308" s="1055"/>
      <c r="K9308" s="1205"/>
      <c r="L9308" s="1055"/>
      <c r="M9308" s="1205"/>
      <c r="N9308" s="1054"/>
      <c r="O9308" s="1207"/>
      <c r="Q9308" s="1207"/>
    </row>
    <row r="9309" spans="3:17" s="700" customFormat="1" ht="70.5" hidden="1" customHeight="1">
      <c r="C9309" s="701"/>
      <c r="D9309" s="811"/>
      <c r="E9309" s="1276">
        <f>[11]building!Y9640</f>
        <v>0</v>
      </c>
      <c r="F9309" s="748">
        <f t="shared" si="384"/>
        <v>0</v>
      </c>
      <c r="G9309" s="1205"/>
      <c r="H9309" s="1055"/>
      <c r="I9309" s="1055"/>
      <c r="J9309" s="1055"/>
      <c r="K9309" s="1205"/>
      <c r="L9309" s="1055"/>
      <c r="M9309" s="1205"/>
      <c r="N9309" s="1054"/>
      <c r="O9309" s="1207"/>
      <c r="Q9309" s="1207"/>
    </row>
    <row r="9310" spans="3:17" s="700" customFormat="1" ht="70.5" hidden="1" customHeight="1">
      <c r="C9310" s="701"/>
      <c r="D9310" s="811"/>
      <c r="E9310" s="1276">
        <f>[11]building!Y9641</f>
        <v>0</v>
      </c>
      <c r="F9310" s="748">
        <f t="shared" si="384"/>
        <v>0</v>
      </c>
      <c r="G9310" s="1205"/>
      <c r="H9310" s="1055"/>
      <c r="I9310" s="1055"/>
      <c r="J9310" s="1055"/>
      <c r="K9310" s="1205"/>
      <c r="L9310" s="1055"/>
      <c r="M9310" s="1205"/>
      <c r="N9310" s="1054"/>
      <c r="O9310" s="1207"/>
      <c r="Q9310" s="1207"/>
    </row>
    <row r="9311" spans="3:17" s="700" customFormat="1" ht="70.5" hidden="1" customHeight="1">
      <c r="C9311" s="701"/>
      <c r="D9311" s="811"/>
      <c r="E9311" s="1276">
        <f>[11]building!Y9642</f>
        <v>0</v>
      </c>
      <c r="F9311" s="748">
        <f t="shared" si="384"/>
        <v>0</v>
      </c>
      <c r="G9311" s="1205"/>
      <c r="H9311" s="1055"/>
      <c r="I9311" s="1055"/>
      <c r="J9311" s="1055"/>
      <c r="K9311" s="1205"/>
      <c r="L9311" s="1055"/>
      <c r="M9311" s="1205"/>
      <c r="N9311" s="1054"/>
      <c r="O9311" s="1207"/>
      <c r="Q9311" s="1207"/>
    </row>
    <row r="9312" spans="3:17" s="700" customFormat="1" ht="70.5" hidden="1" customHeight="1">
      <c r="C9312" s="701"/>
      <c r="D9312" s="811"/>
      <c r="E9312" s="1276">
        <f>[11]building!Y9643</f>
        <v>0</v>
      </c>
      <c r="F9312" s="748">
        <f t="shared" si="384"/>
        <v>0</v>
      </c>
      <c r="G9312" s="1205"/>
      <c r="H9312" s="1055"/>
      <c r="I9312" s="1055"/>
      <c r="J9312" s="1055"/>
      <c r="K9312" s="1205"/>
      <c r="L9312" s="1055"/>
      <c r="M9312" s="1205"/>
      <c r="N9312" s="1054"/>
      <c r="O9312" s="1207"/>
      <c r="Q9312" s="1207"/>
    </row>
    <row r="9313" spans="3:17" s="700" customFormat="1" ht="70.5" hidden="1" customHeight="1">
      <c r="C9313" s="701"/>
      <c r="D9313" s="811"/>
      <c r="E9313" s="1276">
        <f>[11]building!Y9644</f>
        <v>0</v>
      </c>
      <c r="F9313" s="748">
        <f t="shared" si="384"/>
        <v>0</v>
      </c>
      <c r="G9313" s="1205"/>
      <c r="H9313" s="1055"/>
      <c r="I9313" s="1055"/>
      <c r="J9313" s="1055"/>
      <c r="K9313" s="1205"/>
      <c r="L9313" s="1055"/>
      <c r="M9313" s="1205"/>
      <c r="N9313" s="1054"/>
      <c r="O9313" s="1207"/>
      <c r="Q9313" s="1207"/>
    </row>
    <row r="9314" spans="3:17" s="700" customFormat="1" ht="70.5" hidden="1" customHeight="1">
      <c r="C9314" s="701"/>
      <c r="D9314" s="811"/>
      <c r="E9314" s="1276">
        <f>[11]building!Y9645</f>
        <v>0</v>
      </c>
      <c r="F9314" s="748">
        <f t="shared" si="384"/>
        <v>0</v>
      </c>
      <c r="G9314" s="1205"/>
      <c r="H9314" s="1055"/>
      <c r="I9314" s="1055"/>
      <c r="J9314" s="1055"/>
      <c r="K9314" s="1205"/>
      <c r="L9314" s="1055"/>
      <c r="M9314" s="1205"/>
      <c r="N9314" s="1054"/>
      <c r="O9314" s="1207"/>
      <c r="Q9314" s="1207"/>
    </row>
    <row r="9315" spans="3:17" s="700" customFormat="1" ht="70.5" hidden="1" customHeight="1">
      <c r="C9315" s="701"/>
      <c r="D9315" s="811"/>
      <c r="E9315" s="1276">
        <f>[11]building!Y9646</f>
        <v>0</v>
      </c>
      <c r="F9315" s="748">
        <f t="shared" si="384"/>
        <v>0</v>
      </c>
      <c r="G9315" s="1205"/>
      <c r="H9315" s="1055"/>
      <c r="I9315" s="1055"/>
      <c r="J9315" s="1055"/>
      <c r="K9315" s="1205"/>
      <c r="L9315" s="1055"/>
      <c r="M9315" s="1205"/>
      <c r="N9315" s="1054"/>
      <c r="O9315" s="1207"/>
      <c r="Q9315" s="1207"/>
    </row>
    <row r="9316" spans="3:17" s="700" customFormat="1" ht="70.5" hidden="1" customHeight="1">
      <c r="C9316" s="701"/>
      <c r="D9316" s="811"/>
      <c r="E9316" s="1276">
        <f>[11]building!Y9647</f>
        <v>0</v>
      </c>
      <c r="F9316" s="748">
        <f t="shared" si="384"/>
        <v>0</v>
      </c>
      <c r="G9316" s="1205"/>
      <c r="H9316" s="1055"/>
      <c r="I9316" s="1055"/>
      <c r="J9316" s="1055"/>
      <c r="K9316" s="1205"/>
      <c r="L9316" s="1055"/>
      <c r="M9316" s="1205"/>
      <c r="N9316" s="1054"/>
      <c r="O9316" s="1207"/>
      <c r="Q9316" s="1207"/>
    </row>
    <row r="9317" spans="3:17" s="700" customFormat="1" ht="70.5" hidden="1" customHeight="1">
      <c r="C9317" s="701"/>
      <c r="D9317" s="811"/>
      <c r="E9317" s="1276">
        <f>[11]building!Y9648</f>
        <v>0</v>
      </c>
      <c r="F9317" s="748">
        <f t="shared" si="384"/>
        <v>0</v>
      </c>
      <c r="G9317" s="1205"/>
      <c r="H9317" s="1055"/>
      <c r="I9317" s="1055"/>
      <c r="J9317" s="1055"/>
      <c r="K9317" s="1205"/>
      <c r="L9317" s="1055"/>
      <c r="M9317" s="1205"/>
      <c r="N9317" s="1054"/>
      <c r="O9317" s="1207"/>
      <c r="Q9317" s="1207"/>
    </row>
    <row r="9318" spans="3:17" s="700" customFormat="1" ht="70.5" hidden="1" customHeight="1">
      <c r="C9318" s="701"/>
      <c r="D9318" s="811"/>
      <c r="E9318" s="1276">
        <f>[11]building!Y9649</f>
        <v>0</v>
      </c>
      <c r="F9318" s="748">
        <f t="shared" si="384"/>
        <v>0</v>
      </c>
      <c r="G9318" s="1205"/>
      <c r="H9318" s="1055"/>
      <c r="I9318" s="1055"/>
      <c r="J9318" s="1055"/>
      <c r="K9318" s="1205"/>
      <c r="L9318" s="1055"/>
      <c r="M9318" s="1205"/>
      <c r="N9318" s="1054"/>
      <c r="O9318" s="1207"/>
      <c r="Q9318" s="1207"/>
    </row>
    <row r="9319" spans="3:17" s="700" customFormat="1" ht="70.5" hidden="1" customHeight="1">
      <c r="C9319" s="701"/>
      <c r="D9319" s="811"/>
      <c r="E9319" s="1276">
        <f>[11]building!Y9650</f>
        <v>0</v>
      </c>
      <c r="F9319" s="748">
        <f t="shared" si="384"/>
        <v>0</v>
      </c>
      <c r="G9319" s="1205"/>
      <c r="H9319" s="1055"/>
      <c r="I9319" s="1055"/>
      <c r="J9319" s="1055"/>
      <c r="K9319" s="1205"/>
      <c r="L9319" s="1055"/>
      <c r="M9319" s="1205"/>
      <c r="N9319" s="1054"/>
      <c r="O9319" s="1207"/>
      <c r="Q9319" s="1207"/>
    </row>
    <row r="9320" spans="3:17" s="700" customFormat="1" ht="70.5" hidden="1" customHeight="1">
      <c r="C9320" s="701"/>
      <c r="D9320" s="811"/>
      <c r="E9320" s="1276">
        <f>[11]building!Y9651</f>
        <v>0</v>
      </c>
      <c r="F9320" s="748">
        <f t="shared" si="384"/>
        <v>0</v>
      </c>
      <c r="G9320" s="1205"/>
      <c r="H9320" s="1055"/>
      <c r="I9320" s="1055"/>
      <c r="J9320" s="1055"/>
      <c r="K9320" s="1205"/>
      <c r="L9320" s="1055"/>
      <c r="M9320" s="1205"/>
      <c r="N9320" s="1054"/>
      <c r="O9320" s="1207"/>
      <c r="Q9320" s="1207"/>
    </row>
    <row r="9321" spans="3:17" s="700" customFormat="1" ht="70.5" hidden="1" customHeight="1">
      <c r="C9321" s="701"/>
      <c r="D9321" s="811"/>
      <c r="E9321" s="1276">
        <f>[11]building!Y9652</f>
        <v>0</v>
      </c>
      <c r="F9321" s="748">
        <f t="shared" si="384"/>
        <v>0</v>
      </c>
      <c r="G9321" s="1205"/>
      <c r="H9321" s="1055"/>
      <c r="I9321" s="1055"/>
      <c r="J9321" s="1055"/>
      <c r="K9321" s="1205"/>
      <c r="L9321" s="1055"/>
      <c r="M9321" s="1205"/>
      <c r="N9321" s="1054"/>
      <c r="O9321" s="1207"/>
      <c r="Q9321" s="1207"/>
    </row>
    <row r="9322" spans="3:17" s="700" customFormat="1" ht="70.5" hidden="1" customHeight="1">
      <c r="C9322" s="701"/>
      <c r="D9322" s="811"/>
      <c r="E9322" s="1276">
        <f>[11]building!Y9653</f>
        <v>0</v>
      </c>
      <c r="F9322" s="748">
        <f t="shared" si="384"/>
        <v>0</v>
      </c>
      <c r="G9322" s="1205"/>
      <c r="H9322" s="1055"/>
      <c r="I9322" s="1055"/>
      <c r="J9322" s="1055"/>
      <c r="K9322" s="1205"/>
      <c r="L9322" s="1055"/>
      <c r="M9322" s="1205"/>
      <c r="N9322" s="1054"/>
      <c r="O9322" s="1207"/>
      <c r="Q9322" s="1207"/>
    </row>
    <row r="9323" spans="3:17" s="700" customFormat="1" ht="70.5" hidden="1" customHeight="1">
      <c r="C9323" s="701"/>
      <c r="D9323" s="811"/>
      <c r="E9323" s="1276">
        <f>[11]building!Y9654</f>
        <v>0</v>
      </c>
      <c r="F9323" s="748">
        <f t="shared" si="384"/>
        <v>0</v>
      </c>
      <c r="G9323" s="1205"/>
      <c r="H9323" s="1055"/>
      <c r="I9323" s="1055"/>
      <c r="J9323" s="1055"/>
      <c r="K9323" s="1205"/>
      <c r="L9323" s="1055"/>
      <c r="M9323" s="1205"/>
      <c r="N9323" s="1054"/>
      <c r="O9323" s="1207"/>
      <c r="Q9323" s="1207"/>
    </row>
    <row r="9324" spans="3:17" s="700" customFormat="1" ht="70.5" hidden="1" customHeight="1">
      <c r="C9324" s="701"/>
      <c r="D9324" s="811"/>
      <c r="E9324" s="1276">
        <f>[11]building!Y9655</f>
        <v>0</v>
      </c>
      <c r="F9324" s="748">
        <f t="shared" si="384"/>
        <v>0</v>
      </c>
      <c r="G9324" s="1205"/>
      <c r="H9324" s="1055"/>
      <c r="I9324" s="1055"/>
      <c r="J9324" s="1055"/>
      <c r="K9324" s="1205"/>
      <c r="L9324" s="1055"/>
      <c r="M9324" s="1205"/>
      <c r="N9324" s="1054"/>
      <c r="O9324" s="1207"/>
      <c r="Q9324" s="1207"/>
    </row>
    <row r="9325" spans="3:17" s="700" customFormat="1" ht="70.5" hidden="1" customHeight="1">
      <c r="C9325" s="701"/>
      <c r="D9325" s="811"/>
      <c r="E9325" s="1276">
        <f>[11]building!Y9656</f>
        <v>0</v>
      </c>
      <c r="F9325" s="748">
        <f t="shared" si="384"/>
        <v>0</v>
      </c>
      <c r="G9325" s="1205"/>
      <c r="H9325" s="1055"/>
      <c r="I9325" s="1055"/>
      <c r="J9325" s="1055"/>
      <c r="K9325" s="1205"/>
      <c r="L9325" s="1055"/>
      <c r="M9325" s="1205"/>
      <c r="N9325" s="1054"/>
      <c r="O9325" s="1207"/>
      <c r="Q9325" s="1207"/>
    </row>
    <row r="9326" spans="3:17" s="700" customFormat="1" ht="70.5" hidden="1" customHeight="1">
      <c r="C9326" s="701"/>
      <c r="D9326" s="811"/>
      <c r="E9326" s="1276">
        <f>[11]building!Y9657</f>
        <v>0</v>
      </c>
      <c r="F9326" s="748">
        <f t="shared" si="384"/>
        <v>0</v>
      </c>
      <c r="G9326" s="1205"/>
      <c r="H9326" s="1055"/>
      <c r="I9326" s="1055"/>
      <c r="J9326" s="1055"/>
      <c r="K9326" s="1205"/>
      <c r="L9326" s="1055"/>
      <c r="M9326" s="1205"/>
      <c r="N9326" s="1054"/>
      <c r="O9326" s="1207"/>
      <c r="Q9326" s="1207"/>
    </row>
    <row r="9327" spans="3:17" s="700" customFormat="1" ht="70.5" hidden="1" customHeight="1">
      <c r="C9327" s="701"/>
      <c r="D9327" s="811"/>
      <c r="E9327" s="1276">
        <f>[11]building!Y9658</f>
        <v>0</v>
      </c>
      <c r="F9327" s="748">
        <f t="shared" si="384"/>
        <v>0</v>
      </c>
      <c r="G9327" s="1205"/>
      <c r="H9327" s="1055"/>
      <c r="I9327" s="1055"/>
      <c r="J9327" s="1055"/>
      <c r="K9327" s="1205"/>
      <c r="L9327" s="1055"/>
      <c r="M9327" s="1205"/>
      <c r="N9327" s="1054"/>
      <c r="O9327" s="1207"/>
      <c r="Q9327" s="1207"/>
    </row>
    <row r="9328" spans="3:17" s="700" customFormat="1" ht="70.5" hidden="1" customHeight="1">
      <c r="C9328" s="701"/>
      <c r="D9328" s="811"/>
      <c r="E9328" s="1276">
        <f>[11]building!Y9659</f>
        <v>0</v>
      </c>
      <c r="F9328" s="748">
        <f t="shared" si="384"/>
        <v>0</v>
      </c>
      <c r="G9328" s="1205"/>
      <c r="H9328" s="1055"/>
      <c r="I9328" s="1055"/>
      <c r="J9328" s="1055"/>
      <c r="K9328" s="1205"/>
      <c r="L9328" s="1055"/>
      <c r="M9328" s="1205"/>
      <c r="N9328" s="1054"/>
      <c r="O9328" s="1207"/>
      <c r="Q9328" s="1207"/>
    </row>
    <row r="9329" spans="3:17" s="700" customFormat="1" ht="70.5" hidden="1" customHeight="1">
      <c r="C9329" s="701"/>
      <c r="D9329" s="811"/>
      <c r="E9329" s="1276">
        <f>[11]building!Y9660</f>
        <v>0</v>
      </c>
      <c r="F9329" s="748">
        <f t="shared" si="384"/>
        <v>0</v>
      </c>
      <c r="G9329" s="1205"/>
      <c r="H9329" s="1055"/>
      <c r="I9329" s="1055"/>
      <c r="J9329" s="1055"/>
      <c r="K9329" s="1205"/>
      <c r="L9329" s="1055"/>
      <c r="M9329" s="1205"/>
      <c r="N9329" s="1054"/>
      <c r="O9329" s="1207"/>
      <c r="Q9329" s="1207"/>
    </row>
    <row r="9330" spans="3:17" s="700" customFormat="1" ht="70.5" hidden="1" customHeight="1">
      <c r="C9330" s="701"/>
      <c r="D9330" s="811"/>
      <c r="E9330" s="1276">
        <f>[11]building!Y9661</f>
        <v>0</v>
      </c>
      <c r="F9330" s="748">
        <f t="shared" si="384"/>
        <v>0</v>
      </c>
      <c r="G9330" s="1205"/>
      <c r="H9330" s="1055"/>
      <c r="I9330" s="1055"/>
      <c r="J9330" s="1055"/>
      <c r="K9330" s="1205"/>
      <c r="L9330" s="1055"/>
      <c r="M9330" s="1205"/>
      <c r="N9330" s="1054"/>
      <c r="O9330" s="1207"/>
      <c r="Q9330" s="1207"/>
    </row>
    <row r="9331" spans="3:17" s="700" customFormat="1" ht="70.5" hidden="1" customHeight="1">
      <c r="C9331" s="701"/>
      <c r="D9331" s="811"/>
      <c r="E9331" s="1276">
        <f>[11]building!Y9662</f>
        <v>0</v>
      </c>
      <c r="F9331" s="748">
        <f t="shared" si="384"/>
        <v>0</v>
      </c>
      <c r="G9331" s="1205"/>
      <c r="H9331" s="1055"/>
      <c r="I9331" s="1055"/>
      <c r="J9331" s="1055"/>
      <c r="K9331" s="1205"/>
      <c r="L9331" s="1055"/>
      <c r="M9331" s="1205"/>
      <c r="N9331" s="1054"/>
      <c r="O9331" s="1207"/>
      <c r="Q9331" s="1207"/>
    </row>
    <row r="9332" spans="3:17" s="700" customFormat="1" ht="70.5" hidden="1" customHeight="1">
      <c r="C9332" s="701"/>
      <c r="D9332" s="811"/>
      <c r="E9332" s="1276">
        <f>[11]building!Y9663</f>
        <v>0</v>
      </c>
      <c r="F9332" s="748">
        <f t="shared" si="384"/>
        <v>0</v>
      </c>
      <c r="G9332" s="1205"/>
      <c r="H9332" s="1055"/>
      <c r="I9332" s="1055"/>
      <c r="J9332" s="1055"/>
      <c r="K9332" s="1205"/>
      <c r="L9332" s="1055"/>
      <c r="M9332" s="1205"/>
      <c r="N9332" s="1054"/>
      <c r="O9332" s="1207"/>
      <c r="Q9332" s="1207"/>
    </row>
    <row r="9333" spans="3:17" s="700" customFormat="1" ht="70.5" hidden="1" customHeight="1">
      <c r="C9333" s="701"/>
      <c r="D9333" s="811"/>
      <c r="E9333" s="1276">
        <f>[11]building!Y9664</f>
        <v>0</v>
      </c>
      <c r="F9333" s="748">
        <f t="shared" si="384"/>
        <v>0</v>
      </c>
      <c r="G9333" s="1205"/>
      <c r="H9333" s="1055"/>
      <c r="I9333" s="1055"/>
      <c r="J9333" s="1055"/>
      <c r="K9333" s="1205"/>
      <c r="L9333" s="1055"/>
      <c r="M9333" s="1205"/>
      <c r="N9333" s="1054"/>
      <c r="O9333" s="1207"/>
      <c r="Q9333" s="1207"/>
    </row>
    <row r="9334" spans="3:17" s="700" customFormat="1" ht="70.5" hidden="1" customHeight="1">
      <c r="C9334" s="701"/>
      <c r="D9334" s="811"/>
      <c r="E9334" s="1276">
        <f>[11]building!Y9665</f>
        <v>0</v>
      </c>
      <c r="F9334" s="748">
        <f t="shared" si="384"/>
        <v>0</v>
      </c>
      <c r="G9334" s="1205"/>
      <c r="H9334" s="1055"/>
      <c r="I9334" s="1055"/>
      <c r="J9334" s="1055"/>
      <c r="K9334" s="1205"/>
      <c r="L9334" s="1055"/>
      <c r="M9334" s="1205"/>
      <c r="N9334" s="1054"/>
      <c r="O9334" s="1207"/>
      <c r="Q9334" s="1207"/>
    </row>
    <row r="9335" spans="3:17" s="700" customFormat="1" ht="70.5" hidden="1" customHeight="1">
      <c r="C9335" s="701"/>
      <c r="D9335" s="811"/>
      <c r="E9335" s="1276">
        <f>[11]building!Y9666</f>
        <v>0</v>
      </c>
      <c r="F9335" s="748">
        <f t="shared" si="384"/>
        <v>0</v>
      </c>
      <c r="G9335" s="1205"/>
      <c r="H9335" s="1055"/>
      <c r="I9335" s="1055"/>
      <c r="J9335" s="1055"/>
      <c r="K9335" s="1205"/>
      <c r="L9335" s="1055"/>
      <c r="M9335" s="1205"/>
      <c r="N9335" s="1054"/>
      <c r="O9335" s="1207"/>
      <c r="Q9335" s="1207"/>
    </row>
    <row r="9336" spans="3:17" s="700" customFormat="1" ht="70.5" hidden="1" customHeight="1">
      <c r="C9336" s="701"/>
      <c r="D9336" s="811"/>
      <c r="E9336" s="1276">
        <f>[11]building!Y9667</f>
        <v>0</v>
      </c>
      <c r="F9336" s="748">
        <f t="shared" si="384"/>
        <v>0</v>
      </c>
      <c r="G9336" s="1205"/>
      <c r="H9336" s="1055"/>
      <c r="I9336" s="1055"/>
      <c r="J9336" s="1055"/>
      <c r="K9336" s="1205"/>
      <c r="L9336" s="1055"/>
      <c r="M9336" s="1205"/>
      <c r="N9336" s="1054"/>
      <c r="O9336" s="1207"/>
      <c r="Q9336" s="1207"/>
    </row>
    <row r="9337" spans="3:17" s="700" customFormat="1" ht="70.5" hidden="1" customHeight="1">
      <c r="C9337" s="701"/>
      <c r="D9337" s="811"/>
      <c r="E9337" s="1276">
        <f>[11]building!Y9668</f>
        <v>0</v>
      </c>
      <c r="F9337" s="748">
        <f t="shared" si="384"/>
        <v>0</v>
      </c>
      <c r="G9337" s="1205"/>
      <c r="H9337" s="1055"/>
      <c r="I9337" s="1055"/>
      <c r="J9337" s="1055"/>
      <c r="K9337" s="1205"/>
      <c r="L9337" s="1055"/>
      <c r="M9337" s="1205"/>
      <c r="N9337" s="1054"/>
      <c r="O9337" s="1207"/>
      <c r="Q9337" s="1207"/>
    </row>
    <row r="9338" spans="3:17" s="700" customFormat="1" ht="70.5" hidden="1" customHeight="1">
      <c r="C9338" s="701"/>
      <c r="D9338" s="811"/>
      <c r="E9338" s="1276">
        <f>[11]building!Y9669</f>
        <v>0</v>
      </c>
      <c r="F9338" s="748">
        <f t="shared" si="384"/>
        <v>0</v>
      </c>
      <c r="G9338" s="1205"/>
      <c r="H9338" s="1055"/>
      <c r="I9338" s="1055"/>
      <c r="J9338" s="1055"/>
      <c r="K9338" s="1205"/>
      <c r="L9338" s="1055"/>
      <c r="M9338" s="1205"/>
      <c r="N9338" s="1054"/>
      <c r="O9338" s="1207"/>
      <c r="Q9338" s="1207"/>
    </row>
    <row r="9339" spans="3:17" s="700" customFormat="1" ht="70.5" hidden="1" customHeight="1">
      <c r="C9339" s="701"/>
      <c r="D9339" s="811"/>
      <c r="E9339" s="1276">
        <f>[11]building!Y9670</f>
        <v>0</v>
      </c>
      <c r="F9339" s="748">
        <f t="shared" si="384"/>
        <v>0</v>
      </c>
      <c r="G9339" s="1205"/>
      <c r="H9339" s="1055"/>
      <c r="I9339" s="1055"/>
      <c r="J9339" s="1055"/>
      <c r="K9339" s="1205"/>
      <c r="L9339" s="1055"/>
      <c r="M9339" s="1205"/>
      <c r="N9339" s="1054"/>
      <c r="O9339" s="1207"/>
      <c r="Q9339" s="1207"/>
    </row>
    <row r="9340" spans="3:17" s="700" customFormat="1" ht="70.5" hidden="1" customHeight="1">
      <c r="C9340" s="701"/>
      <c r="D9340" s="811"/>
      <c r="E9340" s="1276">
        <f>[11]building!Y9671</f>
        <v>0</v>
      </c>
      <c r="F9340" s="748">
        <f t="shared" si="384"/>
        <v>0</v>
      </c>
      <c r="G9340" s="1205"/>
      <c r="H9340" s="1055"/>
      <c r="I9340" s="1055"/>
      <c r="J9340" s="1055"/>
      <c r="K9340" s="1205"/>
      <c r="L9340" s="1055"/>
      <c r="M9340" s="1205"/>
      <c r="N9340" s="1054"/>
      <c r="O9340" s="1207"/>
      <c r="Q9340" s="1207"/>
    </row>
    <row r="9341" spans="3:17" s="700" customFormat="1" ht="70.5" hidden="1" customHeight="1">
      <c r="C9341" s="701"/>
      <c r="D9341" s="811"/>
      <c r="E9341" s="1276">
        <f>[11]building!Y9672</f>
        <v>0</v>
      </c>
      <c r="F9341" s="748">
        <f t="shared" si="384"/>
        <v>0</v>
      </c>
      <c r="G9341" s="1205"/>
      <c r="H9341" s="1055"/>
      <c r="I9341" s="1055"/>
      <c r="J9341" s="1055"/>
      <c r="K9341" s="1205"/>
      <c r="L9341" s="1055"/>
      <c r="M9341" s="1205"/>
      <c r="N9341" s="1054"/>
      <c r="O9341" s="1207"/>
      <c r="Q9341" s="1207"/>
    </row>
    <row r="9342" spans="3:17" s="700" customFormat="1" ht="70.5" hidden="1" customHeight="1">
      <c r="C9342" s="701"/>
      <c r="D9342" s="811"/>
      <c r="E9342" s="1276">
        <f>[11]building!Y9673</f>
        <v>0</v>
      </c>
      <c r="F9342" s="748">
        <f t="shared" si="384"/>
        <v>0</v>
      </c>
      <c r="G9342" s="1205"/>
      <c r="H9342" s="1055"/>
      <c r="I9342" s="1055"/>
      <c r="J9342" s="1055"/>
      <c r="K9342" s="1205"/>
      <c r="L9342" s="1055"/>
      <c r="M9342" s="1205"/>
      <c r="N9342" s="1054"/>
      <c r="O9342" s="1207"/>
      <c r="Q9342" s="1207"/>
    </row>
    <row r="9343" spans="3:17" s="700" customFormat="1" ht="70.5" hidden="1" customHeight="1">
      <c r="C9343" s="701"/>
      <c r="D9343" s="811"/>
      <c r="E9343" s="1276">
        <f>[11]building!Y9674</f>
        <v>0</v>
      </c>
      <c r="F9343" s="748">
        <f t="shared" si="384"/>
        <v>0</v>
      </c>
      <c r="G9343" s="1205"/>
      <c r="H9343" s="1055"/>
      <c r="I9343" s="1055"/>
      <c r="J9343" s="1055"/>
      <c r="K9343" s="1205"/>
      <c r="L9343" s="1055"/>
      <c r="M9343" s="1205"/>
      <c r="N9343" s="1054"/>
      <c r="O9343" s="1207"/>
      <c r="Q9343" s="1207"/>
    </row>
    <row r="9344" spans="3:17" s="700" customFormat="1" ht="70.5" hidden="1" customHeight="1">
      <c r="C9344" s="701"/>
      <c r="D9344" s="811"/>
      <c r="E9344" s="1276">
        <f>[11]building!Y9675</f>
        <v>0</v>
      </c>
      <c r="F9344" s="748">
        <f t="shared" ref="F9344:F9407" si="385">E9344*C9344</f>
        <v>0</v>
      </c>
      <c r="G9344" s="1205"/>
      <c r="H9344" s="1055"/>
      <c r="I9344" s="1055"/>
      <c r="J9344" s="1055"/>
      <c r="K9344" s="1205"/>
      <c r="L9344" s="1055"/>
      <c r="M9344" s="1205"/>
      <c r="N9344" s="1054"/>
      <c r="O9344" s="1207"/>
      <c r="Q9344" s="1207"/>
    </row>
    <row r="9345" spans="3:17" s="700" customFormat="1" ht="70.5" hidden="1" customHeight="1">
      <c r="C9345" s="701"/>
      <c r="D9345" s="811"/>
      <c r="E9345" s="1276">
        <f>[11]building!Y9676</f>
        <v>0</v>
      </c>
      <c r="F9345" s="748">
        <f t="shared" si="385"/>
        <v>0</v>
      </c>
      <c r="G9345" s="1205"/>
      <c r="H9345" s="1055"/>
      <c r="I9345" s="1055"/>
      <c r="J9345" s="1055"/>
      <c r="K9345" s="1205"/>
      <c r="L9345" s="1055"/>
      <c r="M9345" s="1205"/>
      <c r="N9345" s="1054"/>
      <c r="O9345" s="1207"/>
      <c r="Q9345" s="1207"/>
    </row>
    <row r="9346" spans="3:17" s="700" customFormat="1" ht="70.5" hidden="1" customHeight="1">
      <c r="C9346" s="701"/>
      <c r="D9346" s="811"/>
      <c r="E9346" s="1276">
        <f>[11]building!Y9677</f>
        <v>0</v>
      </c>
      <c r="F9346" s="748">
        <f t="shared" si="385"/>
        <v>0</v>
      </c>
      <c r="G9346" s="1205"/>
      <c r="H9346" s="1055"/>
      <c r="I9346" s="1055"/>
      <c r="J9346" s="1055"/>
      <c r="K9346" s="1205"/>
      <c r="L9346" s="1055"/>
      <c r="M9346" s="1205"/>
      <c r="N9346" s="1054"/>
      <c r="O9346" s="1207"/>
      <c r="Q9346" s="1207"/>
    </row>
    <row r="9347" spans="3:17" s="700" customFormat="1" ht="70.5" hidden="1" customHeight="1">
      <c r="C9347" s="701"/>
      <c r="D9347" s="811"/>
      <c r="E9347" s="1276">
        <f>[11]building!Y9678</f>
        <v>0</v>
      </c>
      <c r="F9347" s="748">
        <f t="shared" si="385"/>
        <v>0</v>
      </c>
      <c r="G9347" s="1205"/>
      <c r="H9347" s="1055"/>
      <c r="I9347" s="1055"/>
      <c r="J9347" s="1055"/>
      <c r="K9347" s="1205"/>
      <c r="L9347" s="1055"/>
      <c r="M9347" s="1205"/>
      <c r="N9347" s="1054"/>
      <c r="O9347" s="1207"/>
      <c r="Q9347" s="1207"/>
    </row>
    <row r="9348" spans="3:17" s="700" customFormat="1" ht="70.5" hidden="1" customHeight="1">
      <c r="C9348" s="701"/>
      <c r="D9348" s="811"/>
      <c r="E9348" s="1276">
        <f>[11]building!Y9679</f>
        <v>0</v>
      </c>
      <c r="F9348" s="748">
        <f t="shared" si="385"/>
        <v>0</v>
      </c>
      <c r="G9348" s="1205"/>
      <c r="H9348" s="1055"/>
      <c r="I9348" s="1055"/>
      <c r="J9348" s="1055"/>
      <c r="K9348" s="1205"/>
      <c r="L9348" s="1055"/>
      <c r="M9348" s="1205"/>
      <c r="N9348" s="1054"/>
      <c r="O9348" s="1207"/>
      <c r="Q9348" s="1207"/>
    </row>
    <row r="9349" spans="3:17" s="700" customFormat="1" ht="70.5" hidden="1" customHeight="1">
      <c r="C9349" s="701"/>
      <c r="D9349" s="811"/>
      <c r="E9349" s="1276">
        <f>[11]building!Y9680</f>
        <v>0</v>
      </c>
      <c r="F9349" s="748">
        <f t="shared" si="385"/>
        <v>0</v>
      </c>
      <c r="G9349" s="1205"/>
      <c r="H9349" s="1055"/>
      <c r="I9349" s="1055"/>
      <c r="J9349" s="1055"/>
      <c r="K9349" s="1205"/>
      <c r="L9349" s="1055"/>
      <c r="M9349" s="1205"/>
      <c r="N9349" s="1054"/>
      <c r="O9349" s="1207"/>
      <c r="Q9349" s="1207"/>
    </row>
    <row r="9350" spans="3:17" s="700" customFormat="1" ht="70.5" hidden="1" customHeight="1">
      <c r="C9350" s="701"/>
      <c r="D9350" s="811"/>
      <c r="E9350" s="1276">
        <f>[11]building!Y9681</f>
        <v>0</v>
      </c>
      <c r="F9350" s="748">
        <f t="shared" si="385"/>
        <v>0</v>
      </c>
      <c r="G9350" s="1205"/>
      <c r="H9350" s="1055"/>
      <c r="I9350" s="1055"/>
      <c r="J9350" s="1055"/>
      <c r="K9350" s="1205"/>
      <c r="L9350" s="1055"/>
      <c r="M9350" s="1205"/>
      <c r="N9350" s="1054"/>
      <c r="O9350" s="1207"/>
      <c r="Q9350" s="1207"/>
    </row>
    <row r="9351" spans="3:17" s="700" customFormat="1" ht="70.5" hidden="1" customHeight="1">
      <c r="C9351" s="701"/>
      <c r="D9351" s="811"/>
      <c r="E9351" s="1276">
        <f>[11]building!Y9682</f>
        <v>0</v>
      </c>
      <c r="F9351" s="748">
        <f t="shared" si="385"/>
        <v>0</v>
      </c>
      <c r="G9351" s="1205"/>
      <c r="H9351" s="1055"/>
      <c r="I9351" s="1055"/>
      <c r="J9351" s="1055"/>
      <c r="K9351" s="1205"/>
      <c r="L9351" s="1055"/>
      <c r="M9351" s="1205"/>
      <c r="N9351" s="1054"/>
      <c r="O9351" s="1207"/>
      <c r="Q9351" s="1207"/>
    </row>
    <row r="9352" spans="3:17" s="700" customFormat="1" ht="70.5" hidden="1" customHeight="1">
      <c r="C9352" s="701"/>
      <c r="D9352" s="811"/>
      <c r="E9352" s="1276">
        <f>[11]building!Y9683</f>
        <v>0</v>
      </c>
      <c r="F9352" s="748">
        <f t="shared" si="385"/>
        <v>0</v>
      </c>
      <c r="G9352" s="1205"/>
      <c r="H9352" s="1055"/>
      <c r="I9352" s="1055"/>
      <c r="J9352" s="1055"/>
      <c r="K9352" s="1205"/>
      <c r="L9352" s="1055"/>
      <c r="M9352" s="1205"/>
      <c r="N9352" s="1054"/>
      <c r="O9352" s="1207"/>
      <c r="Q9352" s="1207"/>
    </row>
    <row r="9353" spans="3:17" s="700" customFormat="1" ht="70.5" hidden="1" customHeight="1">
      <c r="C9353" s="701"/>
      <c r="D9353" s="811"/>
      <c r="E9353" s="1276">
        <f>[11]building!Y9684</f>
        <v>0</v>
      </c>
      <c r="F9353" s="748">
        <f t="shared" si="385"/>
        <v>0</v>
      </c>
      <c r="G9353" s="1205"/>
      <c r="H9353" s="1055"/>
      <c r="I9353" s="1055"/>
      <c r="J9353" s="1055"/>
      <c r="K9353" s="1205"/>
      <c r="L9353" s="1055"/>
      <c r="M9353" s="1205"/>
      <c r="N9353" s="1054"/>
      <c r="O9353" s="1207"/>
      <c r="Q9353" s="1207"/>
    </row>
    <row r="9354" spans="3:17" s="700" customFormat="1" ht="70.5" hidden="1" customHeight="1">
      <c r="C9354" s="701"/>
      <c r="D9354" s="811"/>
      <c r="E9354" s="1276">
        <f>[11]building!Y9685</f>
        <v>0</v>
      </c>
      <c r="F9354" s="748">
        <f t="shared" si="385"/>
        <v>0</v>
      </c>
      <c r="G9354" s="1205"/>
      <c r="H9354" s="1055"/>
      <c r="I9354" s="1055"/>
      <c r="J9354" s="1055"/>
      <c r="K9354" s="1205"/>
      <c r="L9354" s="1055"/>
      <c r="M9354" s="1205"/>
      <c r="N9354" s="1054"/>
      <c r="O9354" s="1207"/>
      <c r="Q9354" s="1207"/>
    </row>
    <row r="9355" spans="3:17" s="700" customFormat="1" ht="70.5" hidden="1" customHeight="1">
      <c r="C9355" s="701"/>
      <c r="D9355" s="811"/>
      <c r="E9355" s="1276">
        <f>[11]building!Y9686</f>
        <v>0</v>
      </c>
      <c r="F9355" s="748">
        <f t="shared" si="385"/>
        <v>0</v>
      </c>
      <c r="G9355" s="1205"/>
      <c r="H9355" s="1055"/>
      <c r="I9355" s="1055"/>
      <c r="J9355" s="1055"/>
      <c r="K9355" s="1205"/>
      <c r="L9355" s="1055"/>
      <c r="M9355" s="1205"/>
      <c r="N9355" s="1054"/>
      <c r="O9355" s="1207"/>
      <c r="Q9355" s="1207"/>
    </row>
    <row r="9356" spans="3:17" s="700" customFormat="1" ht="70.5" hidden="1" customHeight="1">
      <c r="C9356" s="701"/>
      <c r="D9356" s="811"/>
      <c r="E9356" s="1276">
        <f>[11]building!Y9687</f>
        <v>0</v>
      </c>
      <c r="F9356" s="748">
        <f t="shared" si="385"/>
        <v>0</v>
      </c>
      <c r="G9356" s="1205"/>
      <c r="H9356" s="1055"/>
      <c r="I9356" s="1055"/>
      <c r="J9356" s="1055"/>
      <c r="K9356" s="1205"/>
      <c r="L9356" s="1055"/>
      <c r="M9356" s="1205"/>
      <c r="N9356" s="1054"/>
      <c r="O9356" s="1207"/>
      <c r="Q9356" s="1207"/>
    </row>
    <row r="9357" spans="3:17" s="700" customFormat="1" ht="70.5" hidden="1" customHeight="1">
      <c r="C9357" s="701"/>
      <c r="D9357" s="811"/>
      <c r="E9357" s="1276">
        <f>[11]building!Y9688</f>
        <v>0</v>
      </c>
      <c r="F9357" s="748">
        <f t="shared" si="385"/>
        <v>0</v>
      </c>
      <c r="G9357" s="1205"/>
      <c r="H9357" s="1055"/>
      <c r="I9357" s="1055"/>
      <c r="J9357" s="1055"/>
      <c r="K9357" s="1205"/>
      <c r="L9357" s="1055"/>
      <c r="M9357" s="1205"/>
      <c r="N9357" s="1054"/>
      <c r="O9357" s="1207"/>
      <c r="Q9357" s="1207"/>
    </row>
    <row r="9358" spans="3:17" s="700" customFormat="1" ht="70.5" hidden="1" customHeight="1">
      <c r="C9358" s="701"/>
      <c r="D9358" s="811"/>
      <c r="E9358" s="1276">
        <f>[11]building!Y9689</f>
        <v>0</v>
      </c>
      <c r="F9358" s="748">
        <f t="shared" si="385"/>
        <v>0</v>
      </c>
      <c r="G9358" s="1205"/>
      <c r="H9358" s="1055"/>
      <c r="I9358" s="1055"/>
      <c r="J9358" s="1055"/>
      <c r="K9358" s="1205"/>
      <c r="L9358" s="1055"/>
      <c r="M9358" s="1205"/>
      <c r="N9358" s="1054"/>
      <c r="O9358" s="1207"/>
      <c r="Q9358" s="1207"/>
    </row>
    <row r="9359" spans="3:17" s="700" customFormat="1" ht="70.5" hidden="1" customHeight="1">
      <c r="C9359" s="701"/>
      <c r="D9359" s="811"/>
      <c r="E9359" s="1276">
        <f>[11]building!Y9690</f>
        <v>0</v>
      </c>
      <c r="F9359" s="748">
        <f t="shared" si="385"/>
        <v>0</v>
      </c>
      <c r="G9359" s="1205"/>
      <c r="H9359" s="1055"/>
      <c r="I9359" s="1055"/>
      <c r="J9359" s="1055"/>
      <c r="K9359" s="1205"/>
      <c r="L9359" s="1055"/>
      <c r="M9359" s="1205"/>
      <c r="N9359" s="1054"/>
      <c r="O9359" s="1207"/>
      <c r="Q9359" s="1207"/>
    </row>
    <row r="9360" spans="3:17" s="700" customFormat="1" ht="70.5" hidden="1" customHeight="1">
      <c r="C9360" s="701"/>
      <c r="D9360" s="811"/>
      <c r="E9360" s="1276">
        <f>[11]building!Y9691</f>
        <v>0</v>
      </c>
      <c r="F9360" s="748">
        <f t="shared" si="385"/>
        <v>0</v>
      </c>
      <c r="G9360" s="1205"/>
      <c r="H9360" s="1055"/>
      <c r="I9360" s="1055"/>
      <c r="J9360" s="1055"/>
      <c r="K9360" s="1205"/>
      <c r="L9360" s="1055"/>
      <c r="M9360" s="1205"/>
      <c r="N9360" s="1054"/>
      <c r="O9360" s="1207"/>
      <c r="Q9360" s="1207"/>
    </row>
    <row r="9361" spans="3:17" s="700" customFormat="1" ht="70.5" hidden="1" customHeight="1">
      <c r="C9361" s="701"/>
      <c r="D9361" s="811"/>
      <c r="E9361" s="1276">
        <f>[11]building!Y9692</f>
        <v>0</v>
      </c>
      <c r="F9361" s="748">
        <f t="shared" si="385"/>
        <v>0</v>
      </c>
      <c r="G9361" s="1205"/>
      <c r="H9361" s="1055"/>
      <c r="I9361" s="1055"/>
      <c r="J9361" s="1055"/>
      <c r="K9361" s="1205"/>
      <c r="L9361" s="1055"/>
      <c r="M9361" s="1205"/>
      <c r="N9361" s="1054"/>
      <c r="O9361" s="1207"/>
      <c r="Q9361" s="1207"/>
    </row>
    <row r="9362" spans="3:17" s="700" customFormat="1" ht="70.5" hidden="1" customHeight="1">
      <c r="C9362" s="701"/>
      <c r="D9362" s="811"/>
      <c r="E9362" s="1276">
        <f>[11]building!Y9693</f>
        <v>0</v>
      </c>
      <c r="F9362" s="748">
        <f t="shared" si="385"/>
        <v>0</v>
      </c>
      <c r="G9362" s="1205"/>
      <c r="H9362" s="1055"/>
      <c r="I9362" s="1055"/>
      <c r="J9362" s="1055"/>
      <c r="K9362" s="1205"/>
      <c r="L9362" s="1055"/>
      <c r="M9362" s="1205"/>
      <c r="N9362" s="1054"/>
      <c r="O9362" s="1207"/>
      <c r="Q9362" s="1207"/>
    </row>
    <row r="9363" spans="3:17" s="700" customFormat="1" ht="70.5" hidden="1" customHeight="1">
      <c r="C9363" s="701"/>
      <c r="D9363" s="811"/>
      <c r="E9363" s="1276">
        <f>[11]building!Y9694</f>
        <v>0</v>
      </c>
      <c r="F9363" s="748">
        <f t="shared" si="385"/>
        <v>0</v>
      </c>
      <c r="G9363" s="1205"/>
      <c r="H9363" s="1055"/>
      <c r="I9363" s="1055"/>
      <c r="J9363" s="1055"/>
      <c r="K9363" s="1205"/>
      <c r="L9363" s="1055"/>
      <c r="M9363" s="1205"/>
      <c r="N9363" s="1054"/>
      <c r="O9363" s="1207"/>
      <c r="Q9363" s="1207"/>
    </row>
    <row r="9364" spans="3:17" s="700" customFormat="1" ht="70.5" hidden="1" customHeight="1">
      <c r="C9364" s="701"/>
      <c r="D9364" s="811"/>
      <c r="E9364" s="1276">
        <f>[11]building!Y9695</f>
        <v>0</v>
      </c>
      <c r="F9364" s="748">
        <f t="shared" si="385"/>
        <v>0</v>
      </c>
      <c r="G9364" s="1205"/>
      <c r="H9364" s="1055"/>
      <c r="I9364" s="1055"/>
      <c r="J9364" s="1055"/>
      <c r="K9364" s="1205"/>
      <c r="L9364" s="1055"/>
      <c r="M9364" s="1205"/>
      <c r="N9364" s="1054"/>
      <c r="O9364" s="1207"/>
      <c r="Q9364" s="1207"/>
    </row>
    <row r="9365" spans="3:17" s="700" customFormat="1" ht="70.5" hidden="1" customHeight="1">
      <c r="C9365" s="701"/>
      <c r="D9365" s="811"/>
      <c r="E9365" s="1276">
        <f>[11]building!Y9696</f>
        <v>0</v>
      </c>
      <c r="F9365" s="748">
        <f t="shared" si="385"/>
        <v>0</v>
      </c>
      <c r="G9365" s="1205"/>
      <c r="H9365" s="1055"/>
      <c r="I9365" s="1055"/>
      <c r="J9365" s="1055"/>
      <c r="K9365" s="1205"/>
      <c r="L9365" s="1055"/>
      <c r="M9365" s="1205"/>
      <c r="N9365" s="1054"/>
      <c r="O9365" s="1207"/>
      <c r="Q9365" s="1207"/>
    </row>
    <row r="9366" spans="3:17" s="700" customFormat="1" ht="70.5" hidden="1" customHeight="1">
      <c r="C9366" s="701"/>
      <c r="D9366" s="811"/>
      <c r="E9366" s="1276">
        <f>[11]building!Y9697</f>
        <v>0</v>
      </c>
      <c r="F9366" s="748">
        <f t="shared" si="385"/>
        <v>0</v>
      </c>
      <c r="G9366" s="1205"/>
      <c r="H9366" s="1055"/>
      <c r="I9366" s="1055"/>
      <c r="J9366" s="1055"/>
      <c r="K9366" s="1205"/>
      <c r="L9366" s="1055"/>
      <c r="M9366" s="1205"/>
      <c r="N9366" s="1054"/>
      <c r="O9366" s="1207"/>
      <c r="Q9366" s="1207"/>
    </row>
    <row r="9367" spans="3:17" s="700" customFormat="1" ht="70.5" hidden="1" customHeight="1">
      <c r="C9367" s="701"/>
      <c r="D9367" s="811"/>
      <c r="E9367" s="1276">
        <f>[11]building!Y9698</f>
        <v>0</v>
      </c>
      <c r="F9367" s="748">
        <f t="shared" si="385"/>
        <v>0</v>
      </c>
      <c r="G9367" s="1205"/>
      <c r="H9367" s="1055"/>
      <c r="I9367" s="1055"/>
      <c r="J9367" s="1055"/>
      <c r="K9367" s="1205"/>
      <c r="L9367" s="1055"/>
      <c r="M9367" s="1205"/>
      <c r="N9367" s="1054"/>
      <c r="O9367" s="1207"/>
      <c r="Q9367" s="1207"/>
    </row>
    <row r="9368" spans="3:17" s="700" customFormat="1" ht="70.5" hidden="1" customHeight="1">
      <c r="C9368" s="701"/>
      <c r="D9368" s="811"/>
      <c r="E9368" s="1276">
        <f>[11]building!Y9699</f>
        <v>0</v>
      </c>
      <c r="F9368" s="748">
        <f t="shared" si="385"/>
        <v>0</v>
      </c>
      <c r="G9368" s="1205"/>
      <c r="H9368" s="1055"/>
      <c r="I9368" s="1055"/>
      <c r="J9368" s="1055"/>
      <c r="K9368" s="1205"/>
      <c r="L9368" s="1055"/>
      <c r="M9368" s="1205"/>
      <c r="N9368" s="1054"/>
      <c r="O9368" s="1207"/>
      <c r="Q9368" s="1207"/>
    </row>
    <row r="9369" spans="3:17" s="700" customFormat="1" ht="70.5" hidden="1" customHeight="1">
      <c r="C9369" s="701"/>
      <c r="D9369" s="811"/>
      <c r="E9369" s="1276">
        <f>[11]building!Y9700</f>
        <v>0</v>
      </c>
      <c r="F9369" s="748">
        <f t="shared" si="385"/>
        <v>0</v>
      </c>
      <c r="G9369" s="1205"/>
      <c r="H9369" s="1055"/>
      <c r="I9369" s="1055"/>
      <c r="J9369" s="1055"/>
      <c r="K9369" s="1205"/>
      <c r="L9369" s="1055"/>
      <c r="M9369" s="1205"/>
      <c r="N9369" s="1054"/>
      <c r="O9369" s="1207"/>
      <c r="Q9369" s="1207"/>
    </row>
    <row r="9370" spans="3:17" s="700" customFormat="1" ht="70.5" hidden="1" customHeight="1">
      <c r="C9370" s="701"/>
      <c r="D9370" s="811"/>
      <c r="E9370" s="1276">
        <f>[11]building!Y9701</f>
        <v>0</v>
      </c>
      <c r="F9370" s="748">
        <f t="shared" si="385"/>
        <v>0</v>
      </c>
      <c r="G9370" s="1205"/>
      <c r="H9370" s="1055"/>
      <c r="I9370" s="1055"/>
      <c r="J9370" s="1055"/>
      <c r="K9370" s="1205"/>
      <c r="L9370" s="1055"/>
      <c r="M9370" s="1205"/>
      <c r="N9370" s="1054"/>
      <c r="O9370" s="1207"/>
      <c r="Q9370" s="1207"/>
    </row>
    <row r="9371" spans="3:17" s="700" customFormat="1" ht="70.5" hidden="1" customHeight="1">
      <c r="C9371" s="701"/>
      <c r="D9371" s="811"/>
      <c r="E9371" s="1276">
        <f>[11]building!Y9702</f>
        <v>0</v>
      </c>
      <c r="F9371" s="748">
        <f t="shared" si="385"/>
        <v>0</v>
      </c>
      <c r="G9371" s="1205"/>
      <c r="H9371" s="1055"/>
      <c r="I9371" s="1055"/>
      <c r="J9371" s="1055"/>
      <c r="K9371" s="1205"/>
      <c r="L9371" s="1055"/>
      <c r="M9371" s="1205"/>
      <c r="N9371" s="1054"/>
      <c r="O9371" s="1207"/>
      <c r="Q9371" s="1207"/>
    </row>
    <row r="9372" spans="3:17" s="700" customFormat="1" ht="70.5" hidden="1" customHeight="1">
      <c r="C9372" s="701"/>
      <c r="D9372" s="811"/>
      <c r="E9372" s="1276">
        <f>[11]building!Y9703</f>
        <v>0</v>
      </c>
      <c r="F9372" s="748">
        <f t="shared" si="385"/>
        <v>0</v>
      </c>
      <c r="G9372" s="1205"/>
      <c r="H9372" s="1055"/>
      <c r="I9372" s="1055"/>
      <c r="J9372" s="1055"/>
      <c r="K9372" s="1205"/>
      <c r="L9372" s="1055"/>
      <c r="M9372" s="1205"/>
      <c r="N9372" s="1054"/>
      <c r="O9372" s="1207"/>
      <c r="Q9372" s="1207"/>
    </row>
    <row r="9373" spans="3:17" s="700" customFormat="1" ht="70.5" hidden="1" customHeight="1">
      <c r="C9373" s="701"/>
      <c r="D9373" s="811"/>
      <c r="E9373" s="1276">
        <f>[11]building!Y9704</f>
        <v>0</v>
      </c>
      <c r="F9373" s="748">
        <f t="shared" si="385"/>
        <v>0</v>
      </c>
      <c r="G9373" s="1205"/>
      <c r="H9373" s="1055"/>
      <c r="I9373" s="1055"/>
      <c r="J9373" s="1055"/>
      <c r="K9373" s="1205"/>
      <c r="L9373" s="1055"/>
      <c r="M9373" s="1205"/>
      <c r="N9373" s="1054"/>
      <c r="O9373" s="1207"/>
      <c r="Q9373" s="1207"/>
    </row>
    <row r="9374" spans="3:17" s="700" customFormat="1" ht="70.5" hidden="1" customHeight="1">
      <c r="C9374" s="701"/>
      <c r="D9374" s="811"/>
      <c r="E9374" s="1276">
        <f>[11]building!Y9705</f>
        <v>0</v>
      </c>
      <c r="F9374" s="748">
        <f t="shared" si="385"/>
        <v>0</v>
      </c>
      <c r="G9374" s="1205"/>
      <c r="H9374" s="1055"/>
      <c r="I9374" s="1055"/>
      <c r="J9374" s="1055"/>
      <c r="K9374" s="1205"/>
      <c r="L9374" s="1055"/>
      <c r="M9374" s="1205"/>
      <c r="N9374" s="1054"/>
      <c r="O9374" s="1207"/>
      <c r="Q9374" s="1207"/>
    </row>
    <row r="9375" spans="3:17" s="700" customFormat="1" ht="70.5" hidden="1" customHeight="1">
      <c r="C9375" s="701"/>
      <c r="D9375" s="811"/>
      <c r="E9375" s="1276">
        <f>[11]building!Y9706</f>
        <v>0</v>
      </c>
      <c r="F9375" s="748">
        <f t="shared" si="385"/>
        <v>0</v>
      </c>
      <c r="G9375" s="1205"/>
      <c r="H9375" s="1055"/>
      <c r="I9375" s="1055"/>
      <c r="J9375" s="1055"/>
      <c r="K9375" s="1205"/>
      <c r="L9375" s="1055"/>
      <c r="M9375" s="1205"/>
      <c r="N9375" s="1054"/>
      <c r="O9375" s="1207"/>
      <c r="Q9375" s="1207"/>
    </row>
    <row r="9376" spans="3:17" s="700" customFormat="1" ht="70.5" hidden="1" customHeight="1">
      <c r="C9376" s="701"/>
      <c r="D9376" s="811"/>
      <c r="E9376" s="1276">
        <f>[11]building!Y9707</f>
        <v>0</v>
      </c>
      <c r="F9376" s="748">
        <f t="shared" si="385"/>
        <v>0</v>
      </c>
      <c r="G9376" s="1205"/>
      <c r="H9376" s="1055"/>
      <c r="I9376" s="1055"/>
      <c r="J9376" s="1055"/>
      <c r="K9376" s="1205"/>
      <c r="L9376" s="1055"/>
      <c r="M9376" s="1205"/>
      <c r="N9376" s="1054"/>
      <c r="O9376" s="1207"/>
      <c r="Q9376" s="1207"/>
    </row>
    <row r="9377" spans="3:17" s="700" customFormat="1" ht="70.5" hidden="1" customHeight="1">
      <c r="C9377" s="701"/>
      <c r="D9377" s="811"/>
      <c r="E9377" s="1276">
        <f>[11]building!Y9708</f>
        <v>0</v>
      </c>
      <c r="F9377" s="748">
        <f t="shared" si="385"/>
        <v>0</v>
      </c>
      <c r="G9377" s="1205"/>
      <c r="H9377" s="1055"/>
      <c r="I9377" s="1055"/>
      <c r="J9377" s="1055"/>
      <c r="K9377" s="1205"/>
      <c r="L9377" s="1055"/>
      <c r="M9377" s="1205"/>
      <c r="N9377" s="1054"/>
      <c r="O9377" s="1207"/>
      <c r="Q9377" s="1207"/>
    </row>
    <row r="9378" spans="3:17" s="700" customFormat="1" ht="70.5" hidden="1" customHeight="1">
      <c r="C9378" s="701"/>
      <c r="D9378" s="811"/>
      <c r="E9378" s="1276">
        <f>[11]building!Y9709</f>
        <v>0</v>
      </c>
      <c r="F9378" s="748">
        <f t="shared" si="385"/>
        <v>0</v>
      </c>
      <c r="G9378" s="1205"/>
      <c r="H9378" s="1055"/>
      <c r="I9378" s="1055"/>
      <c r="J9378" s="1055"/>
      <c r="K9378" s="1205"/>
      <c r="L9378" s="1055"/>
      <c r="M9378" s="1205"/>
      <c r="N9378" s="1054"/>
      <c r="O9378" s="1207"/>
      <c r="Q9378" s="1207"/>
    </row>
    <row r="9379" spans="3:17" s="700" customFormat="1" ht="70.5" hidden="1" customHeight="1">
      <c r="C9379" s="701"/>
      <c r="D9379" s="811"/>
      <c r="E9379" s="1276">
        <f>[11]building!Y9710</f>
        <v>0</v>
      </c>
      <c r="F9379" s="748">
        <f t="shared" si="385"/>
        <v>0</v>
      </c>
      <c r="G9379" s="1205"/>
      <c r="H9379" s="1055"/>
      <c r="I9379" s="1055"/>
      <c r="J9379" s="1055"/>
      <c r="K9379" s="1205"/>
      <c r="L9379" s="1055"/>
      <c r="M9379" s="1205"/>
      <c r="N9379" s="1054"/>
      <c r="O9379" s="1207"/>
      <c r="Q9379" s="1207"/>
    </row>
    <row r="9380" spans="3:17" s="700" customFormat="1" ht="70.5" hidden="1" customHeight="1">
      <c r="C9380" s="701"/>
      <c r="D9380" s="811"/>
      <c r="E9380" s="1276">
        <f>[11]building!Y9711</f>
        <v>0</v>
      </c>
      <c r="F9380" s="748">
        <f t="shared" si="385"/>
        <v>0</v>
      </c>
      <c r="G9380" s="1205"/>
      <c r="H9380" s="1055"/>
      <c r="I9380" s="1055"/>
      <c r="J9380" s="1055"/>
      <c r="K9380" s="1205"/>
      <c r="L9380" s="1055"/>
      <c r="M9380" s="1205"/>
      <c r="N9380" s="1054"/>
      <c r="O9380" s="1207"/>
      <c r="Q9380" s="1207"/>
    </row>
    <row r="9381" spans="3:17" s="700" customFormat="1" ht="70.5" hidden="1" customHeight="1">
      <c r="C9381" s="701"/>
      <c r="D9381" s="811"/>
      <c r="E9381" s="1276">
        <f>[11]building!Y9712</f>
        <v>0</v>
      </c>
      <c r="F9381" s="748">
        <f t="shared" si="385"/>
        <v>0</v>
      </c>
      <c r="G9381" s="1205"/>
      <c r="H9381" s="1055"/>
      <c r="I9381" s="1055"/>
      <c r="J9381" s="1055"/>
      <c r="K9381" s="1205"/>
      <c r="L9381" s="1055"/>
      <c r="M9381" s="1205"/>
      <c r="N9381" s="1054"/>
      <c r="O9381" s="1207"/>
      <c r="Q9381" s="1207"/>
    </row>
    <row r="9382" spans="3:17" s="700" customFormat="1" ht="70.5" hidden="1" customHeight="1">
      <c r="C9382" s="701"/>
      <c r="D9382" s="811"/>
      <c r="E9382" s="1276">
        <f>[11]building!Y9713</f>
        <v>0</v>
      </c>
      <c r="F9382" s="748">
        <f t="shared" si="385"/>
        <v>0</v>
      </c>
      <c r="G9382" s="1205"/>
      <c r="H9382" s="1055"/>
      <c r="I9382" s="1055"/>
      <c r="J9382" s="1055"/>
      <c r="K9382" s="1205"/>
      <c r="L9382" s="1055"/>
      <c r="M9382" s="1205"/>
      <c r="N9382" s="1054"/>
      <c r="O9382" s="1207"/>
      <c r="Q9382" s="1207"/>
    </row>
    <row r="9383" spans="3:17" s="700" customFormat="1" ht="70.5" hidden="1" customHeight="1">
      <c r="C9383" s="701"/>
      <c r="D9383" s="811"/>
      <c r="E9383" s="1276">
        <f>[11]building!Y9714</f>
        <v>0</v>
      </c>
      <c r="F9383" s="748">
        <f t="shared" si="385"/>
        <v>0</v>
      </c>
      <c r="G9383" s="1205"/>
      <c r="H9383" s="1055"/>
      <c r="I9383" s="1055"/>
      <c r="J9383" s="1055"/>
      <c r="K9383" s="1205"/>
      <c r="L9383" s="1055"/>
      <c r="M9383" s="1205"/>
      <c r="N9383" s="1054"/>
      <c r="O9383" s="1207"/>
      <c r="Q9383" s="1207"/>
    </row>
    <row r="9384" spans="3:17" s="700" customFormat="1" ht="70.5" hidden="1" customHeight="1">
      <c r="C9384" s="701"/>
      <c r="D9384" s="811"/>
      <c r="E9384" s="1276">
        <f>[11]building!Y9715</f>
        <v>0</v>
      </c>
      <c r="F9384" s="748">
        <f t="shared" si="385"/>
        <v>0</v>
      </c>
      <c r="G9384" s="1205"/>
      <c r="H9384" s="1055"/>
      <c r="I9384" s="1055"/>
      <c r="J9384" s="1055"/>
      <c r="K9384" s="1205"/>
      <c r="L9384" s="1055"/>
      <c r="M9384" s="1205"/>
      <c r="N9384" s="1054"/>
      <c r="O9384" s="1207"/>
      <c r="Q9384" s="1207"/>
    </row>
    <row r="9385" spans="3:17" s="700" customFormat="1" ht="70.5" hidden="1" customHeight="1">
      <c r="C9385" s="701"/>
      <c r="D9385" s="811"/>
      <c r="E9385" s="1276">
        <f>[11]building!Y9716</f>
        <v>0</v>
      </c>
      <c r="F9385" s="748">
        <f t="shared" si="385"/>
        <v>0</v>
      </c>
      <c r="G9385" s="1205"/>
      <c r="H9385" s="1055"/>
      <c r="I9385" s="1055"/>
      <c r="J9385" s="1055"/>
      <c r="K9385" s="1205"/>
      <c r="L9385" s="1055"/>
      <c r="M9385" s="1205"/>
      <c r="N9385" s="1054"/>
      <c r="O9385" s="1207"/>
      <c r="Q9385" s="1207"/>
    </row>
    <row r="9386" spans="3:17" s="700" customFormat="1" ht="70.5" hidden="1" customHeight="1">
      <c r="C9386" s="701"/>
      <c r="D9386" s="811"/>
      <c r="E9386" s="1276">
        <f>[11]building!Y9717</f>
        <v>0</v>
      </c>
      <c r="F9386" s="748">
        <f t="shared" si="385"/>
        <v>0</v>
      </c>
      <c r="G9386" s="1205"/>
      <c r="H9386" s="1055"/>
      <c r="I9386" s="1055"/>
      <c r="J9386" s="1055"/>
      <c r="K9386" s="1205"/>
      <c r="L9386" s="1055"/>
      <c r="M9386" s="1205"/>
      <c r="N9386" s="1054"/>
      <c r="O9386" s="1207"/>
      <c r="Q9386" s="1207"/>
    </row>
    <row r="9387" spans="3:17" s="700" customFormat="1" ht="70.5" hidden="1" customHeight="1">
      <c r="C9387" s="701"/>
      <c r="D9387" s="811"/>
      <c r="E9387" s="1276">
        <f>[11]building!Y9718</f>
        <v>0</v>
      </c>
      <c r="F9387" s="748">
        <f t="shared" si="385"/>
        <v>0</v>
      </c>
      <c r="G9387" s="1205"/>
      <c r="H9387" s="1055"/>
      <c r="I9387" s="1055"/>
      <c r="J9387" s="1055"/>
      <c r="K9387" s="1205"/>
      <c r="L9387" s="1055"/>
      <c r="M9387" s="1205"/>
      <c r="N9387" s="1054"/>
      <c r="O9387" s="1207"/>
      <c r="Q9387" s="1207"/>
    </row>
    <row r="9388" spans="3:17" s="700" customFormat="1" ht="70.5" hidden="1" customHeight="1">
      <c r="C9388" s="701"/>
      <c r="D9388" s="811"/>
      <c r="E9388" s="1276">
        <f>[11]building!Y9719</f>
        <v>0</v>
      </c>
      <c r="F9388" s="748">
        <f t="shared" si="385"/>
        <v>0</v>
      </c>
      <c r="G9388" s="1205"/>
      <c r="H9388" s="1055"/>
      <c r="I9388" s="1055"/>
      <c r="J9388" s="1055"/>
      <c r="K9388" s="1205"/>
      <c r="L9388" s="1055"/>
      <c r="M9388" s="1205"/>
      <c r="N9388" s="1054"/>
      <c r="O9388" s="1207"/>
      <c r="Q9388" s="1207"/>
    </row>
    <row r="9389" spans="3:17" s="700" customFormat="1" ht="70.5" hidden="1" customHeight="1">
      <c r="C9389" s="701"/>
      <c r="D9389" s="811"/>
      <c r="E9389" s="1276">
        <f>[11]building!Y9720</f>
        <v>0</v>
      </c>
      <c r="F9389" s="748">
        <f t="shared" si="385"/>
        <v>0</v>
      </c>
      <c r="G9389" s="1205"/>
      <c r="H9389" s="1055"/>
      <c r="I9389" s="1055"/>
      <c r="J9389" s="1055"/>
      <c r="K9389" s="1205"/>
      <c r="L9389" s="1055"/>
      <c r="M9389" s="1205"/>
      <c r="N9389" s="1054"/>
      <c r="O9389" s="1207"/>
      <c r="Q9389" s="1207"/>
    </row>
    <row r="9390" spans="3:17" s="700" customFormat="1" ht="70.5" hidden="1" customHeight="1">
      <c r="C9390" s="701"/>
      <c r="D9390" s="811"/>
      <c r="E9390" s="1276">
        <f>[11]building!Y9721</f>
        <v>0</v>
      </c>
      <c r="F9390" s="748">
        <f t="shared" si="385"/>
        <v>0</v>
      </c>
      <c r="G9390" s="1205"/>
      <c r="H9390" s="1055"/>
      <c r="I9390" s="1055"/>
      <c r="J9390" s="1055"/>
      <c r="K9390" s="1205"/>
      <c r="L9390" s="1055"/>
      <c r="M9390" s="1205"/>
      <c r="N9390" s="1054"/>
      <c r="O9390" s="1207"/>
      <c r="Q9390" s="1207"/>
    </row>
    <row r="9391" spans="3:17" s="700" customFormat="1" ht="70.5" hidden="1" customHeight="1">
      <c r="C9391" s="701"/>
      <c r="D9391" s="811"/>
      <c r="E9391" s="1276">
        <f>[11]building!Y9722</f>
        <v>0</v>
      </c>
      <c r="F9391" s="748">
        <f t="shared" si="385"/>
        <v>0</v>
      </c>
      <c r="G9391" s="1205"/>
      <c r="H9391" s="1055"/>
      <c r="I9391" s="1055"/>
      <c r="J9391" s="1055"/>
      <c r="K9391" s="1205"/>
      <c r="L9391" s="1055"/>
      <c r="M9391" s="1205"/>
      <c r="N9391" s="1054"/>
      <c r="O9391" s="1207"/>
      <c r="Q9391" s="1207"/>
    </row>
    <row r="9392" spans="3:17" s="700" customFormat="1" ht="70.5" hidden="1" customHeight="1">
      <c r="C9392" s="701"/>
      <c r="D9392" s="811"/>
      <c r="E9392" s="1276">
        <f>[11]building!Y9723</f>
        <v>0</v>
      </c>
      <c r="F9392" s="748">
        <f t="shared" si="385"/>
        <v>0</v>
      </c>
      <c r="G9392" s="1205"/>
      <c r="H9392" s="1055"/>
      <c r="I9392" s="1055"/>
      <c r="J9392" s="1055"/>
      <c r="K9392" s="1205"/>
      <c r="L9392" s="1055"/>
      <c r="M9392" s="1205"/>
      <c r="N9392" s="1054"/>
      <c r="O9392" s="1207"/>
      <c r="Q9392" s="1207"/>
    </row>
    <row r="9393" spans="3:17" s="700" customFormat="1" ht="70.5" hidden="1" customHeight="1">
      <c r="C9393" s="701"/>
      <c r="D9393" s="811"/>
      <c r="E9393" s="1276">
        <f>[11]building!Y9724</f>
        <v>0</v>
      </c>
      <c r="F9393" s="748">
        <f t="shared" si="385"/>
        <v>0</v>
      </c>
      <c r="G9393" s="1205"/>
      <c r="H9393" s="1055"/>
      <c r="I9393" s="1055"/>
      <c r="J9393" s="1055"/>
      <c r="K9393" s="1205"/>
      <c r="L9393" s="1055"/>
      <c r="M9393" s="1205"/>
      <c r="N9393" s="1054"/>
      <c r="O9393" s="1207"/>
      <c r="Q9393" s="1207"/>
    </row>
    <row r="9394" spans="3:17" s="700" customFormat="1" ht="70.5" hidden="1" customHeight="1">
      <c r="C9394" s="701"/>
      <c r="D9394" s="811"/>
      <c r="E9394" s="1276">
        <f>[11]building!Y9725</f>
        <v>0</v>
      </c>
      <c r="F9394" s="748">
        <f t="shared" si="385"/>
        <v>0</v>
      </c>
      <c r="G9394" s="1205"/>
      <c r="H9394" s="1055"/>
      <c r="I9394" s="1055"/>
      <c r="J9394" s="1055"/>
      <c r="K9394" s="1205"/>
      <c r="L9394" s="1055"/>
      <c r="M9394" s="1205"/>
      <c r="N9394" s="1054"/>
      <c r="O9394" s="1207"/>
      <c r="Q9394" s="1207"/>
    </row>
    <row r="9395" spans="3:17" s="700" customFormat="1" ht="70.5" hidden="1" customHeight="1">
      <c r="C9395" s="701"/>
      <c r="D9395" s="811"/>
      <c r="E9395" s="1276">
        <f>[11]building!Y9726</f>
        <v>0</v>
      </c>
      <c r="F9395" s="748">
        <f t="shared" si="385"/>
        <v>0</v>
      </c>
      <c r="G9395" s="1205"/>
      <c r="H9395" s="1055"/>
      <c r="I9395" s="1055"/>
      <c r="J9395" s="1055"/>
      <c r="K9395" s="1205"/>
      <c r="L9395" s="1055"/>
      <c r="M9395" s="1205"/>
      <c r="N9395" s="1054"/>
      <c r="O9395" s="1207"/>
      <c r="Q9395" s="1207"/>
    </row>
    <row r="9396" spans="3:17" s="700" customFormat="1" ht="70.5" hidden="1" customHeight="1">
      <c r="C9396" s="701"/>
      <c r="D9396" s="811"/>
      <c r="E9396" s="1276">
        <f>[11]building!Y9727</f>
        <v>0</v>
      </c>
      <c r="F9396" s="748">
        <f t="shared" si="385"/>
        <v>0</v>
      </c>
      <c r="G9396" s="1205"/>
      <c r="H9396" s="1055"/>
      <c r="I9396" s="1055"/>
      <c r="J9396" s="1055"/>
      <c r="K9396" s="1205"/>
      <c r="L9396" s="1055"/>
      <c r="M9396" s="1205"/>
      <c r="N9396" s="1054"/>
      <c r="O9396" s="1207"/>
      <c r="Q9396" s="1207"/>
    </row>
    <row r="9397" spans="3:17" s="700" customFormat="1" ht="70.5" hidden="1" customHeight="1">
      <c r="C9397" s="701"/>
      <c r="D9397" s="811"/>
      <c r="E9397" s="1276">
        <f>[11]building!Y9728</f>
        <v>0</v>
      </c>
      <c r="F9397" s="748">
        <f t="shared" si="385"/>
        <v>0</v>
      </c>
      <c r="G9397" s="1205"/>
      <c r="H9397" s="1055"/>
      <c r="I9397" s="1055"/>
      <c r="J9397" s="1055"/>
      <c r="K9397" s="1205"/>
      <c r="L9397" s="1055"/>
      <c r="M9397" s="1205"/>
      <c r="N9397" s="1054"/>
      <c r="O9397" s="1207"/>
      <c r="Q9397" s="1207"/>
    </row>
    <row r="9398" spans="3:17" s="700" customFormat="1" ht="70.5" hidden="1" customHeight="1">
      <c r="C9398" s="701"/>
      <c r="D9398" s="811"/>
      <c r="E9398" s="1276">
        <f>[11]building!Y9729</f>
        <v>0</v>
      </c>
      <c r="F9398" s="748">
        <f t="shared" si="385"/>
        <v>0</v>
      </c>
      <c r="G9398" s="1205"/>
      <c r="H9398" s="1055"/>
      <c r="I9398" s="1055"/>
      <c r="J9398" s="1055"/>
      <c r="K9398" s="1205"/>
      <c r="L9398" s="1055"/>
      <c r="M9398" s="1205"/>
      <c r="N9398" s="1054"/>
      <c r="O9398" s="1207"/>
      <c r="Q9398" s="1207"/>
    </row>
    <row r="9399" spans="3:17" s="700" customFormat="1" ht="70.5" hidden="1" customHeight="1">
      <c r="C9399" s="701"/>
      <c r="D9399" s="811"/>
      <c r="E9399" s="1276">
        <f>[11]building!Y9730</f>
        <v>0</v>
      </c>
      <c r="F9399" s="748">
        <f t="shared" si="385"/>
        <v>0</v>
      </c>
      <c r="G9399" s="1205"/>
      <c r="H9399" s="1055"/>
      <c r="I9399" s="1055"/>
      <c r="J9399" s="1055"/>
      <c r="K9399" s="1205"/>
      <c r="L9399" s="1055"/>
      <c r="M9399" s="1205"/>
      <c r="N9399" s="1054"/>
      <c r="O9399" s="1207"/>
      <c r="Q9399" s="1207"/>
    </row>
    <row r="9400" spans="3:17" s="700" customFormat="1" ht="70.5" hidden="1" customHeight="1">
      <c r="C9400" s="701"/>
      <c r="D9400" s="811"/>
      <c r="E9400" s="1276">
        <f>[11]building!Y9731</f>
        <v>0</v>
      </c>
      <c r="F9400" s="748">
        <f t="shared" si="385"/>
        <v>0</v>
      </c>
      <c r="G9400" s="1205"/>
      <c r="H9400" s="1055"/>
      <c r="I9400" s="1055"/>
      <c r="J9400" s="1055"/>
      <c r="K9400" s="1205"/>
      <c r="L9400" s="1055"/>
      <c r="M9400" s="1205"/>
      <c r="N9400" s="1054"/>
      <c r="O9400" s="1207"/>
      <c r="Q9400" s="1207"/>
    </row>
    <row r="9401" spans="3:17" s="700" customFormat="1" ht="70.5" hidden="1" customHeight="1">
      <c r="C9401" s="701"/>
      <c r="D9401" s="811"/>
      <c r="E9401" s="1276">
        <f>[11]building!Y9732</f>
        <v>0</v>
      </c>
      <c r="F9401" s="748">
        <f t="shared" si="385"/>
        <v>0</v>
      </c>
      <c r="G9401" s="1205"/>
      <c r="H9401" s="1055"/>
      <c r="I9401" s="1055"/>
      <c r="J9401" s="1055"/>
      <c r="K9401" s="1205"/>
      <c r="L9401" s="1055"/>
      <c r="M9401" s="1205"/>
      <c r="N9401" s="1054"/>
      <c r="O9401" s="1207"/>
      <c r="Q9401" s="1207"/>
    </row>
    <row r="9402" spans="3:17" s="700" customFormat="1" ht="70.5" hidden="1" customHeight="1">
      <c r="C9402" s="701"/>
      <c r="D9402" s="811"/>
      <c r="E9402" s="1276">
        <f>[11]building!Y9733</f>
        <v>0</v>
      </c>
      <c r="F9402" s="748">
        <f t="shared" si="385"/>
        <v>0</v>
      </c>
      <c r="G9402" s="1205"/>
      <c r="H9402" s="1055"/>
      <c r="I9402" s="1055"/>
      <c r="J9402" s="1055"/>
      <c r="K9402" s="1205"/>
      <c r="L9402" s="1055"/>
      <c r="M9402" s="1205"/>
      <c r="N9402" s="1054"/>
      <c r="O9402" s="1207"/>
      <c r="Q9402" s="1207"/>
    </row>
    <row r="9403" spans="3:17" s="700" customFormat="1" ht="70.5" hidden="1" customHeight="1">
      <c r="C9403" s="701"/>
      <c r="D9403" s="811"/>
      <c r="E9403" s="1276">
        <f>[11]building!Y9734</f>
        <v>0</v>
      </c>
      <c r="F9403" s="748">
        <f t="shared" si="385"/>
        <v>0</v>
      </c>
      <c r="G9403" s="1205"/>
      <c r="H9403" s="1055"/>
      <c r="I9403" s="1055"/>
      <c r="J9403" s="1055"/>
      <c r="K9403" s="1205"/>
      <c r="L9403" s="1055"/>
      <c r="M9403" s="1205"/>
      <c r="N9403" s="1054"/>
      <c r="O9403" s="1207"/>
      <c r="Q9403" s="1207"/>
    </row>
    <row r="9404" spans="3:17" s="700" customFormat="1" ht="70.5" hidden="1" customHeight="1">
      <c r="C9404" s="701"/>
      <c r="D9404" s="811"/>
      <c r="E9404" s="1276">
        <f>[11]building!Y9735</f>
        <v>0</v>
      </c>
      <c r="F9404" s="748">
        <f t="shared" si="385"/>
        <v>0</v>
      </c>
      <c r="G9404" s="1205"/>
      <c r="H9404" s="1055"/>
      <c r="I9404" s="1055"/>
      <c r="J9404" s="1055"/>
      <c r="K9404" s="1205"/>
      <c r="L9404" s="1055"/>
      <c r="M9404" s="1205"/>
      <c r="N9404" s="1054"/>
      <c r="O9404" s="1207"/>
      <c r="Q9404" s="1207"/>
    </row>
    <row r="9405" spans="3:17" s="700" customFormat="1" ht="70.5" hidden="1" customHeight="1">
      <c r="C9405" s="701"/>
      <c r="D9405" s="811"/>
      <c r="E9405" s="1276">
        <f>[11]building!Y9736</f>
        <v>0</v>
      </c>
      <c r="F9405" s="748">
        <f t="shared" si="385"/>
        <v>0</v>
      </c>
      <c r="G9405" s="1205"/>
      <c r="H9405" s="1055"/>
      <c r="I9405" s="1055"/>
      <c r="J9405" s="1055"/>
      <c r="K9405" s="1205"/>
      <c r="L9405" s="1055"/>
      <c r="M9405" s="1205"/>
      <c r="N9405" s="1054"/>
      <c r="O9405" s="1207"/>
      <c r="Q9405" s="1207"/>
    </row>
    <row r="9406" spans="3:17" s="700" customFormat="1" ht="70.5" hidden="1" customHeight="1">
      <c r="C9406" s="701"/>
      <c r="D9406" s="811"/>
      <c r="E9406" s="1276">
        <f>[11]building!Y9737</f>
        <v>0</v>
      </c>
      <c r="F9406" s="748">
        <f t="shared" si="385"/>
        <v>0</v>
      </c>
      <c r="G9406" s="1205"/>
      <c r="H9406" s="1055"/>
      <c r="I9406" s="1055"/>
      <c r="J9406" s="1055"/>
      <c r="K9406" s="1205"/>
      <c r="L9406" s="1055"/>
      <c r="M9406" s="1205"/>
      <c r="N9406" s="1054"/>
      <c r="O9406" s="1207"/>
      <c r="Q9406" s="1207"/>
    </row>
    <row r="9407" spans="3:17" s="700" customFormat="1" ht="70.5" hidden="1" customHeight="1">
      <c r="C9407" s="701"/>
      <c r="D9407" s="811"/>
      <c r="E9407" s="1276">
        <f>[11]building!Y9738</f>
        <v>0</v>
      </c>
      <c r="F9407" s="748">
        <f t="shared" si="385"/>
        <v>0</v>
      </c>
      <c r="G9407" s="1205"/>
      <c r="H9407" s="1055"/>
      <c r="I9407" s="1055"/>
      <c r="J9407" s="1055"/>
      <c r="K9407" s="1205"/>
      <c r="L9407" s="1055"/>
      <c r="M9407" s="1205"/>
      <c r="N9407" s="1054"/>
      <c r="O9407" s="1207"/>
      <c r="Q9407" s="1207"/>
    </row>
    <row r="9408" spans="3:17" s="700" customFormat="1" ht="70.5" hidden="1" customHeight="1">
      <c r="C9408" s="701"/>
      <c r="D9408" s="811"/>
      <c r="E9408" s="1276">
        <f>[11]building!Y9739</f>
        <v>0</v>
      </c>
      <c r="F9408" s="748">
        <f t="shared" ref="F9408:F9471" si="386">E9408*C9408</f>
        <v>0</v>
      </c>
      <c r="G9408" s="1205"/>
      <c r="H9408" s="1055"/>
      <c r="I9408" s="1055"/>
      <c r="J9408" s="1055"/>
      <c r="K9408" s="1205"/>
      <c r="L9408" s="1055"/>
      <c r="M9408" s="1205"/>
      <c r="N9408" s="1054"/>
      <c r="O9408" s="1207"/>
      <c r="Q9408" s="1207"/>
    </row>
    <row r="9409" spans="3:17" s="700" customFormat="1" ht="70.5" hidden="1" customHeight="1">
      <c r="C9409" s="701"/>
      <c r="D9409" s="811"/>
      <c r="E9409" s="1276">
        <f>[11]building!Y9740</f>
        <v>0</v>
      </c>
      <c r="F9409" s="748">
        <f t="shared" si="386"/>
        <v>0</v>
      </c>
      <c r="G9409" s="1205"/>
      <c r="H9409" s="1055"/>
      <c r="I9409" s="1055"/>
      <c r="J9409" s="1055"/>
      <c r="K9409" s="1205"/>
      <c r="L9409" s="1055"/>
      <c r="M9409" s="1205"/>
      <c r="N9409" s="1054"/>
      <c r="O9409" s="1207"/>
      <c r="Q9409" s="1207"/>
    </row>
    <row r="9410" spans="3:17" s="700" customFormat="1" ht="70.5" hidden="1" customHeight="1">
      <c r="C9410" s="701"/>
      <c r="D9410" s="811"/>
      <c r="E9410" s="1276">
        <f>[11]building!Y9741</f>
        <v>0</v>
      </c>
      <c r="F9410" s="748">
        <f t="shared" si="386"/>
        <v>0</v>
      </c>
      <c r="G9410" s="1205"/>
      <c r="H9410" s="1055"/>
      <c r="I9410" s="1055"/>
      <c r="J9410" s="1055"/>
      <c r="K9410" s="1205"/>
      <c r="L9410" s="1055"/>
      <c r="M9410" s="1205"/>
      <c r="N9410" s="1054"/>
      <c r="O9410" s="1207"/>
      <c r="Q9410" s="1207"/>
    </row>
    <row r="9411" spans="3:17" s="700" customFormat="1" ht="70.5" hidden="1" customHeight="1">
      <c r="C9411" s="701"/>
      <c r="D9411" s="811"/>
      <c r="E9411" s="1276">
        <f>[11]building!Y9742</f>
        <v>0</v>
      </c>
      <c r="F9411" s="748">
        <f t="shared" si="386"/>
        <v>0</v>
      </c>
      <c r="G9411" s="1205"/>
      <c r="H9411" s="1055"/>
      <c r="I9411" s="1055"/>
      <c r="J9411" s="1055"/>
      <c r="K9411" s="1205"/>
      <c r="L9411" s="1055"/>
      <c r="M9411" s="1205"/>
      <c r="N9411" s="1054"/>
      <c r="O9411" s="1207"/>
      <c r="Q9411" s="1207"/>
    </row>
    <row r="9412" spans="3:17" s="700" customFormat="1" ht="70.5" hidden="1" customHeight="1">
      <c r="C9412" s="701"/>
      <c r="D9412" s="811"/>
      <c r="E9412" s="1276">
        <f>[11]building!Y9743</f>
        <v>0</v>
      </c>
      <c r="F9412" s="748">
        <f t="shared" si="386"/>
        <v>0</v>
      </c>
      <c r="G9412" s="1205"/>
      <c r="H9412" s="1055"/>
      <c r="I9412" s="1055"/>
      <c r="J9412" s="1055"/>
      <c r="K9412" s="1205"/>
      <c r="L9412" s="1055"/>
      <c r="M9412" s="1205"/>
      <c r="N9412" s="1054"/>
      <c r="O9412" s="1207"/>
      <c r="Q9412" s="1207"/>
    </row>
    <row r="9413" spans="3:17" s="700" customFormat="1" ht="70.5" hidden="1" customHeight="1">
      <c r="C9413" s="701"/>
      <c r="D9413" s="811"/>
      <c r="E9413" s="1276">
        <f>[11]building!Y9744</f>
        <v>0</v>
      </c>
      <c r="F9413" s="748">
        <f t="shared" si="386"/>
        <v>0</v>
      </c>
      <c r="G9413" s="1205"/>
      <c r="H9413" s="1055"/>
      <c r="I9413" s="1055"/>
      <c r="J9413" s="1055"/>
      <c r="K9413" s="1205"/>
      <c r="L9413" s="1055"/>
      <c r="M9413" s="1205"/>
      <c r="N9413" s="1054"/>
      <c r="O9413" s="1207"/>
      <c r="Q9413" s="1207"/>
    </row>
    <row r="9414" spans="3:17" s="700" customFormat="1" ht="70.5" hidden="1" customHeight="1">
      <c r="C9414" s="701"/>
      <c r="D9414" s="811"/>
      <c r="E9414" s="1276">
        <f>[11]building!Y9745</f>
        <v>0</v>
      </c>
      <c r="F9414" s="748">
        <f t="shared" si="386"/>
        <v>0</v>
      </c>
      <c r="G9414" s="1205"/>
      <c r="H9414" s="1055"/>
      <c r="I9414" s="1055"/>
      <c r="J9414" s="1055"/>
      <c r="K9414" s="1205"/>
      <c r="L9414" s="1055"/>
      <c r="M9414" s="1205"/>
      <c r="N9414" s="1054"/>
      <c r="O9414" s="1207"/>
      <c r="Q9414" s="1207"/>
    </row>
    <row r="9415" spans="3:17" s="700" customFormat="1" ht="70.5" hidden="1" customHeight="1">
      <c r="C9415" s="701"/>
      <c r="D9415" s="811"/>
      <c r="E9415" s="1276">
        <f>[11]building!Y9746</f>
        <v>0</v>
      </c>
      <c r="F9415" s="748">
        <f t="shared" si="386"/>
        <v>0</v>
      </c>
      <c r="G9415" s="1205"/>
      <c r="H9415" s="1055"/>
      <c r="I9415" s="1055"/>
      <c r="J9415" s="1055"/>
      <c r="K9415" s="1205"/>
      <c r="L9415" s="1055"/>
      <c r="M9415" s="1205"/>
      <c r="N9415" s="1054"/>
      <c r="O9415" s="1207"/>
      <c r="Q9415" s="1207"/>
    </row>
    <row r="9416" spans="3:17" s="700" customFormat="1" ht="70.5" hidden="1" customHeight="1">
      <c r="C9416" s="701"/>
      <c r="D9416" s="811"/>
      <c r="E9416" s="1276">
        <f>[11]building!Y9747</f>
        <v>0</v>
      </c>
      <c r="F9416" s="748">
        <f t="shared" si="386"/>
        <v>0</v>
      </c>
      <c r="G9416" s="1205"/>
      <c r="H9416" s="1055"/>
      <c r="I9416" s="1055"/>
      <c r="J9416" s="1055"/>
      <c r="K9416" s="1205"/>
      <c r="L9416" s="1055"/>
      <c r="M9416" s="1205"/>
      <c r="N9416" s="1054"/>
      <c r="O9416" s="1207"/>
      <c r="Q9416" s="1207"/>
    </row>
    <row r="9417" spans="3:17" s="700" customFormat="1" ht="70.5" hidden="1" customHeight="1">
      <c r="C9417" s="701"/>
      <c r="D9417" s="811"/>
      <c r="E9417" s="1276">
        <f>[11]building!Y9748</f>
        <v>0</v>
      </c>
      <c r="F9417" s="748">
        <f t="shared" si="386"/>
        <v>0</v>
      </c>
      <c r="G9417" s="1205"/>
      <c r="H9417" s="1055"/>
      <c r="I9417" s="1055"/>
      <c r="J9417" s="1055"/>
      <c r="K9417" s="1205"/>
      <c r="L9417" s="1055"/>
      <c r="M9417" s="1205"/>
      <c r="N9417" s="1054"/>
      <c r="O9417" s="1207"/>
      <c r="Q9417" s="1207"/>
    </row>
    <row r="9418" spans="3:17" s="700" customFormat="1" ht="70.5" hidden="1" customHeight="1">
      <c r="C9418" s="701"/>
      <c r="D9418" s="811"/>
      <c r="E9418" s="1276">
        <f>[11]building!Y9749</f>
        <v>0</v>
      </c>
      <c r="F9418" s="748">
        <f t="shared" si="386"/>
        <v>0</v>
      </c>
      <c r="G9418" s="1205"/>
      <c r="H9418" s="1055"/>
      <c r="I9418" s="1055"/>
      <c r="J9418" s="1055"/>
      <c r="K9418" s="1205"/>
      <c r="L9418" s="1055"/>
      <c r="M9418" s="1205"/>
      <c r="N9418" s="1054"/>
      <c r="O9418" s="1207"/>
      <c r="Q9418" s="1207"/>
    </row>
    <row r="9419" spans="3:17" s="700" customFormat="1" ht="70.5" hidden="1" customHeight="1">
      <c r="C9419" s="701"/>
      <c r="D9419" s="811"/>
      <c r="E9419" s="1276">
        <f>[11]building!Y9750</f>
        <v>0</v>
      </c>
      <c r="F9419" s="748">
        <f t="shared" si="386"/>
        <v>0</v>
      </c>
      <c r="G9419" s="1205"/>
      <c r="H9419" s="1055"/>
      <c r="I9419" s="1055"/>
      <c r="J9419" s="1055"/>
      <c r="K9419" s="1205"/>
      <c r="L9419" s="1055"/>
      <c r="M9419" s="1205"/>
      <c r="N9419" s="1054"/>
      <c r="O9419" s="1207"/>
      <c r="Q9419" s="1207"/>
    </row>
    <row r="9420" spans="3:17" s="700" customFormat="1" ht="70.5" hidden="1" customHeight="1">
      <c r="C9420" s="701"/>
      <c r="D9420" s="811"/>
      <c r="E9420" s="1276">
        <f>[11]building!Y9751</f>
        <v>0</v>
      </c>
      <c r="F9420" s="748">
        <f t="shared" si="386"/>
        <v>0</v>
      </c>
      <c r="G9420" s="1205"/>
      <c r="H9420" s="1055"/>
      <c r="I9420" s="1055"/>
      <c r="J9420" s="1055"/>
      <c r="K9420" s="1205"/>
      <c r="L9420" s="1055"/>
      <c r="M9420" s="1205"/>
      <c r="N9420" s="1054"/>
      <c r="O9420" s="1207"/>
      <c r="Q9420" s="1207"/>
    </row>
    <row r="9421" spans="3:17" s="700" customFormat="1" ht="70.5" hidden="1" customHeight="1">
      <c r="C9421" s="701"/>
      <c r="D9421" s="811"/>
      <c r="E9421" s="1276">
        <f>[11]building!Y9752</f>
        <v>0</v>
      </c>
      <c r="F9421" s="748">
        <f t="shared" si="386"/>
        <v>0</v>
      </c>
      <c r="G9421" s="1205"/>
      <c r="H9421" s="1055"/>
      <c r="I9421" s="1055"/>
      <c r="J9421" s="1055"/>
      <c r="K9421" s="1205"/>
      <c r="L9421" s="1055"/>
      <c r="M9421" s="1205"/>
      <c r="N9421" s="1054"/>
      <c r="O9421" s="1207"/>
      <c r="Q9421" s="1207"/>
    </row>
    <row r="9422" spans="3:17" s="700" customFormat="1" ht="70.5" hidden="1" customHeight="1">
      <c r="C9422" s="701"/>
      <c r="D9422" s="811"/>
      <c r="E9422" s="1276">
        <f>[11]building!Y9753</f>
        <v>0</v>
      </c>
      <c r="F9422" s="748">
        <f t="shared" si="386"/>
        <v>0</v>
      </c>
      <c r="G9422" s="1205"/>
      <c r="H9422" s="1055"/>
      <c r="I9422" s="1055"/>
      <c r="J9422" s="1055"/>
      <c r="K9422" s="1205"/>
      <c r="L9422" s="1055"/>
      <c r="M9422" s="1205"/>
      <c r="N9422" s="1054"/>
      <c r="O9422" s="1207"/>
      <c r="Q9422" s="1207"/>
    </row>
    <row r="9423" spans="3:17" s="700" customFormat="1" ht="70.5" hidden="1" customHeight="1">
      <c r="C9423" s="701"/>
      <c r="D9423" s="811"/>
      <c r="E9423" s="1276">
        <f>[11]building!Y9754</f>
        <v>0</v>
      </c>
      <c r="F9423" s="748">
        <f t="shared" si="386"/>
        <v>0</v>
      </c>
      <c r="G9423" s="1205"/>
      <c r="H9423" s="1055"/>
      <c r="I9423" s="1055"/>
      <c r="J9423" s="1055"/>
      <c r="K9423" s="1205"/>
      <c r="L9423" s="1055"/>
      <c r="M9423" s="1205"/>
      <c r="N9423" s="1054"/>
      <c r="O9423" s="1207"/>
      <c r="Q9423" s="1207"/>
    </row>
    <row r="9424" spans="3:17" s="700" customFormat="1" ht="70.5" hidden="1" customHeight="1">
      <c r="C9424" s="701"/>
      <c r="D9424" s="811"/>
      <c r="E9424" s="1276">
        <f>[11]building!Y9755</f>
        <v>0</v>
      </c>
      <c r="F9424" s="748">
        <f t="shared" si="386"/>
        <v>0</v>
      </c>
      <c r="G9424" s="1205"/>
      <c r="H9424" s="1055"/>
      <c r="I9424" s="1055"/>
      <c r="J9424" s="1055"/>
      <c r="K9424" s="1205"/>
      <c r="L9424" s="1055"/>
      <c r="M9424" s="1205"/>
      <c r="N9424" s="1054"/>
      <c r="O9424" s="1207"/>
      <c r="Q9424" s="1207"/>
    </row>
    <row r="9425" spans="3:17" s="700" customFormat="1" ht="70.5" hidden="1" customHeight="1">
      <c r="C9425" s="701"/>
      <c r="D9425" s="811"/>
      <c r="E9425" s="1276">
        <f>[11]building!Y9756</f>
        <v>0</v>
      </c>
      <c r="F9425" s="748">
        <f t="shared" si="386"/>
        <v>0</v>
      </c>
      <c r="G9425" s="1205"/>
      <c r="H9425" s="1055"/>
      <c r="I9425" s="1055"/>
      <c r="J9425" s="1055"/>
      <c r="K9425" s="1205"/>
      <c r="L9425" s="1055"/>
      <c r="M9425" s="1205"/>
      <c r="N9425" s="1054"/>
      <c r="O9425" s="1207"/>
      <c r="Q9425" s="1207"/>
    </row>
    <row r="9426" spans="3:17" s="700" customFormat="1" ht="70.5" hidden="1" customHeight="1">
      <c r="C9426" s="701"/>
      <c r="D9426" s="811"/>
      <c r="E9426" s="1276">
        <f>[11]building!Y9757</f>
        <v>0</v>
      </c>
      <c r="F9426" s="748">
        <f t="shared" si="386"/>
        <v>0</v>
      </c>
      <c r="G9426" s="1205"/>
      <c r="H9426" s="1055"/>
      <c r="I9426" s="1055"/>
      <c r="J9426" s="1055"/>
      <c r="K9426" s="1205"/>
      <c r="L9426" s="1055"/>
      <c r="M9426" s="1205"/>
      <c r="N9426" s="1054"/>
      <c r="O9426" s="1207"/>
      <c r="Q9426" s="1207"/>
    </row>
    <row r="9427" spans="3:17" s="700" customFormat="1" ht="70.5" hidden="1" customHeight="1">
      <c r="C9427" s="701"/>
      <c r="D9427" s="811"/>
      <c r="E9427" s="1276">
        <f>[11]building!Y9758</f>
        <v>0</v>
      </c>
      <c r="F9427" s="748">
        <f t="shared" si="386"/>
        <v>0</v>
      </c>
      <c r="G9427" s="1205"/>
      <c r="H9427" s="1055"/>
      <c r="I9427" s="1055"/>
      <c r="J9427" s="1055"/>
      <c r="K9427" s="1205"/>
      <c r="L9427" s="1055"/>
      <c r="M9427" s="1205"/>
      <c r="N9427" s="1054"/>
      <c r="O9427" s="1207"/>
      <c r="Q9427" s="1207"/>
    </row>
    <row r="9428" spans="3:17" s="700" customFormat="1" ht="70.5" hidden="1" customHeight="1">
      <c r="C9428" s="701"/>
      <c r="D9428" s="811"/>
      <c r="E9428" s="1276">
        <f>[11]building!Y9759</f>
        <v>0</v>
      </c>
      <c r="F9428" s="748">
        <f t="shared" si="386"/>
        <v>0</v>
      </c>
      <c r="G9428" s="1205"/>
      <c r="H9428" s="1055"/>
      <c r="I9428" s="1055"/>
      <c r="J9428" s="1055"/>
      <c r="K9428" s="1205"/>
      <c r="L9428" s="1055"/>
      <c r="M9428" s="1205"/>
      <c r="N9428" s="1054"/>
      <c r="O9428" s="1207"/>
      <c r="Q9428" s="1207"/>
    </row>
    <row r="9429" spans="3:17" s="700" customFormat="1" ht="70.5" hidden="1" customHeight="1">
      <c r="C9429" s="701"/>
      <c r="D9429" s="811"/>
      <c r="E9429" s="1276">
        <f>[11]building!Y9760</f>
        <v>0</v>
      </c>
      <c r="F9429" s="748">
        <f t="shared" si="386"/>
        <v>0</v>
      </c>
      <c r="G9429" s="1205"/>
      <c r="H9429" s="1055"/>
      <c r="I9429" s="1055"/>
      <c r="J9429" s="1055"/>
      <c r="K9429" s="1205"/>
      <c r="L9429" s="1055"/>
      <c r="M9429" s="1205"/>
      <c r="N9429" s="1054"/>
      <c r="O9429" s="1207"/>
      <c r="Q9429" s="1207"/>
    </row>
    <row r="9430" spans="3:17" s="700" customFormat="1" ht="70.5" hidden="1" customHeight="1">
      <c r="C9430" s="701"/>
      <c r="D9430" s="811"/>
      <c r="E9430" s="1276">
        <f>[11]building!Y9761</f>
        <v>0</v>
      </c>
      <c r="F9430" s="748">
        <f t="shared" si="386"/>
        <v>0</v>
      </c>
      <c r="G9430" s="1205"/>
      <c r="H9430" s="1055"/>
      <c r="I9430" s="1055"/>
      <c r="J9430" s="1055"/>
      <c r="K9430" s="1205"/>
      <c r="L9430" s="1055"/>
      <c r="M9430" s="1205"/>
      <c r="N9430" s="1054"/>
      <c r="O9430" s="1207"/>
      <c r="Q9430" s="1207"/>
    </row>
    <row r="9431" spans="3:17" s="700" customFormat="1" ht="70.5" hidden="1" customHeight="1">
      <c r="C9431" s="701"/>
      <c r="D9431" s="811"/>
      <c r="E9431" s="1276">
        <f>[11]building!Y9762</f>
        <v>0</v>
      </c>
      <c r="F9431" s="748">
        <f t="shared" si="386"/>
        <v>0</v>
      </c>
      <c r="G9431" s="1205"/>
      <c r="H9431" s="1055"/>
      <c r="I9431" s="1055"/>
      <c r="J9431" s="1055"/>
      <c r="K9431" s="1205"/>
      <c r="L9431" s="1055"/>
      <c r="M9431" s="1205"/>
      <c r="N9431" s="1054"/>
      <c r="O9431" s="1207"/>
      <c r="Q9431" s="1207"/>
    </row>
    <row r="9432" spans="3:17" s="700" customFormat="1" ht="70.5" hidden="1" customHeight="1">
      <c r="C9432" s="701"/>
      <c r="D9432" s="811"/>
      <c r="E9432" s="1276">
        <f>[11]building!Y9763</f>
        <v>0</v>
      </c>
      <c r="F9432" s="748">
        <f t="shared" si="386"/>
        <v>0</v>
      </c>
      <c r="G9432" s="1205"/>
      <c r="H9432" s="1055"/>
      <c r="I9432" s="1055"/>
      <c r="J9432" s="1055"/>
      <c r="K9432" s="1205"/>
      <c r="L9432" s="1055"/>
      <c r="M9432" s="1205"/>
      <c r="N9432" s="1054"/>
      <c r="O9432" s="1207"/>
      <c r="Q9432" s="1207"/>
    </row>
    <row r="9433" spans="3:17" s="700" customFormat="1" ht="70.5" hidden="1" customHeight="1">
      <c r="C9433" s="701"/>
      <c r="D9433" s="811"/>
      <c r="E9433" s="1276">
        <f>[11]building!Y9764</f>
        <v>0</v>
      </c>
      <c r="F9433" s="748">
        <f t="shared" si="386"/>
        <v>0</v>
      </c>
      <c r="G9433" s="1205"/>
      <c r="H9433" s="1055"/>
      <c r="I9433" s="1055"/>
      <c r="J9433" s="1055"/>
      <c r="K9433" s="1205"/>
      <c r="L9433" s="1055"/>
      <c r="M9433" s="1205"/>
      <c r="N9433" s="1054"/>
      <c r="O9433" s="1207"/>
      <c r="Q9433" s="1207"/>
    </row>
    <row r="9434" spans="3:17" s="700" customFormat="1" ht="70.5" hidden="1" customHeight="1">
      <c r="C9434" s="701"/>
      <c r="D9434" s="811"/>
      <c r="E9434" s="1276">
        <f>[11]building!Y9765</f>
        <v>0</v>
      </c>
      <c r="F9434" s="748">
        <f t="shared" si="386"/>
        <v>0</v>
      </c>
      <c r="G9434" s="1205"/>
      <c r="H9434" s="1055"/>
      <c r="I9434" s="1055"/>
      <c r="J9434" s="1055"/>
      <c r="K9434" s="1205"/>
      <c r="L9434" s="1055"/>
      <c r="M9434" s="1205"/>
      <c r="N9434" s="1054"/>
      <c r="O9434" s="1207"/>
      <c r="Q9434" s="1207"/>
    </row>
    <row r="9435" spans="3:17" s="700" customFormat="1" ht="70.5" hidden="1" customHeight="1">
      <c r="C9435" s="701"/>
      <c r="D9435" s="811"/>
      <c r="E9435" s="1276">
        <f>[11]building!Y9766</f>
        <v>0</v>
      </c>
      <c r="F9435" s="748">
        <f t="shared" si="386"/>
        <v>0</v>
      </c>
      <c r="G9435" s="1205"/>
      <c r="H9435" s="1055"/>
      <c r="I9435" s="1055"/>
      <c r="J9435" s="1055"/>
      <c r="K9435" s="1205"/>
      <c r="L9435" s="1055"/>
      <c r="M9435" s="1205"/>
      <c r="N9435" s="1054"/>
      <c r="O9435" s="1207"/>
      <c r="Q9435" s="1207"/>
    </row>
    <row r="9436" spans="3:17" s="700" customFormat="1" ht="70.5" hidden="1" customHeight="1">
      <c r="C9436" s="701"/>
      <c r="D9436" s="811"/>
      <c r="E9436" s="1276">
        <f>[11]building!Y9767</f>
        <v>0</v>
      </c>
      <c r="F9436" s="748">
        <f t="shared" si="386"/>
        <v>0</v>
      </c>
      <c r="G9436" s="1205"/>
      <c r="H9436" s="1055"/>
      <c r="I9436" s="1055"/>
      <c r="J9436" s="1055"/>
      <c r="K9436" s="1205"/>
      <c r="L9436" s="1055"/>
      <c r="M9436" s="1205"/>
      <c r="N9436" s="1054"/>
      <c r="O9436" s="1207"/>
      <c r="Q9436" s="1207"/>
    </row>
    <row r="9437" spans="3:17" s="700" customFormat="1" ht="70.5" hidden="1" customHeight="1">
      <c r="C9437" s="701"/>
      <c r="D9437" s="811"/>
      <c r="E9437" s="1276">
        <f>[11]building!Y9768</f>
        <v>0</v>
      </c>
      <c r="F9437" s="748">
        <f t="shared" si="386"/>
        <v>0</v>
      </c>
      <c r="G9437" s="1205"/>
      <c r="H9437" s="1055"/>
      <c r="I9437" s="1055"/>
      <c r="J9437" s="1055"/>
      <c r="K9437" s="1205"/>
      <c r="L9437" s="1055"/>
      <c r="M9437" s="1205"/>
      <c r="N9437" s="1054"/>
      <c r="O9437" s="1207"/>
      <c r="Q9437" s="1207"/>
    </row>
    <row r="9438" spans="3:17" s="700" customFormat="1" ht="70.5" hidden="1" customHeight="1">
      <c r="C9438" s="701"/>
      <c r="D9438" s="811"/>
      <c r="E9438" s="1276">
        <f>[11]building!Y9769</f>
        <v>0</v>
      </c>
      <c r="F9438" s="748">
        <f t="shared" si="386"/>
        <v>0</v>
      </c>
      <c r="G9438" s="1205"/>
      <c r="H9438" s="1055"/>
      <c r="I9438" s="1055"/>
      <c r="J9438" s="1055"/>
      <c r="K9438" s="1205"/>
      <c r="L9438" s="1055"/>
      <c r="M9438" s="1205"/>
      <c r="N9438" s="1054"/>
      <c r="O9438" s="1207"/>
      <c r="Q9438" s="1207"/>
    </row>
    <row r="9439" spans="3:17" s="700" customFormat="1" ht="70.5" hidden="1" customHeight="1">
      <c r="C9439" s="701"/>
      <c r="D9439" s="811"/>
      <c r="E9439" s="1276">
        <f>[11]building!Y9770</f>
        <v>0</v>
      </c>
      <c r="F9439" s="748">
        <f t="shared" si="386"/>
        <v>0</v>
      </c>
      <c r="G9439" s="1205"/>
      <c r="H9439" s="1055"/>
      <c r="I9439" s="1055"/>
      <c r="J9439" s="1055"/>
      <c r="K9439" s="1205"/>
      <c r="L9439" s="1055"/>
      <c r="M9439" s="1205"/>
      <c r="N9439" s="1054"/>
      <c r="O9439" s="1207"/>
      <c r="Q9439" s="1207"/>
    </row>
    <row r="9440" spans="3:17" s="700" customFormat="1" ht="70.5" hidden="1" customHeight="1">
      <c r="C9440" s="701"/>
      <c r="D9440" s="811"/>
      <c r="E9440" s="1276">
        <f>[11]building!Y9771</f>
        <v>0</v>
      </c>
      <c r="F9440" s="748">
        <f t="shared" si="386"/>
        <v>0</v>
      </c>
      <c r="G9440" s="1205"/>
      <c r="H9440" s="1055"/>
      <c r="I9440" s="1055"/>
      <c r="J9440" s="1055"/>
      <c r="K9440" s="1205"/>
      <c r="L9440" s="1055"/>
      <c r="M9440" s="1205"/>
      <c r="N9440" s="1054"/>
      <c r="O9440" s="1207"/>
      <c r="Q9440" s="1207"/>
    </row>
    <row r="9441" spans="3:17" s="700" customFormat="1" ht="70.5" hidden="1" customHeight="1">
      <c r="C9441" s="701"/>
      <c r="D9441" s="811"/>
      <c r="E9441" s="1276">
        <f>[11]building!Y9772</f>
        <v>0</v>
      </c>
      <c r="F9441" s="748">
        <f t="shared" si="386"/>
        <v>0</v>
      </c>
      <c r="G9441" s="1205"/>
      <c r="H9441" s="1055"/>
      <c r="I9441" s="1055"/>
      <c r="J9441" s="1055"/>
      <c r="K9441" s="1205"/>
      <c r="L9441" s="1055"/>
      <c r="M9441" s="1205"/>
      <c r="N9441" s="1054"/>
      <c r="O9441" s="1207"/>
      <c r="Q9441" s="1207"/>
    </row>
    <row r="9442" spans="3:17" s="700" customFormat="1" ht="70.5" hidden="1" customHeight="1">
      <c r="C9442" s="701"/>
      <c r="D9442" s="811"/>
      <c r="E9442" s="1276">
        <f>[11]building!Y9773</f>
        <v>0</v>
      </c>
      <c r="F9442" s="748">
        <f t="shared" si="386"/>
        <v>0</v>
      </c>
      <c r="G9442" s="1205"/>
      <c r="H9442" s="1055"/>
      <c r="I9442" s="1055"/>
      <c r="J9442" s="1055"/>
      <c r="K9442" s="1205"/>
      <c r="L9442" s="1055"/>
      <c r="M9442" s="1205"/>
      <c r="N9442" s="1054"/>
      <c r="O9442" s="1207"/>
      <c r="Q9442" s="1207"/>
    </row>
    <row r="9443" spans="3:17" s="700" customFormat="1" ht="70.5" hidden="1" customHeight="1">
      <c r="C9443" s="701"/>
      <c r="D9443" s="811"/>
      <c r="E9443" s="1276">
        <f>[11]building!Y9774</f>
        <v>0</v>
      </c>
      <c r="F9443" s="748">
        <f t="shared" si="386"/>
        <v>0</v>
      </c>
      <c r="G9443" s="1205"/>
      <c r="H9443" s="1055"/>
      <c r="I9443" s="1055"/>
      <c r="J9443" s="1055"/>
      <c r="K9443" s="1205"/>
      <c r="L9443" s="1055"/>
      <c r="M9443" s="1205"/>
      <c r="N9443" s="1054"/>
      <c r="O9443" s="1207"/>
      <c r="Q9443" s="1207"/>
    </row>
    <row r="9444" spans="3:17" s="700" customFormat="1" ht="70.5" hidden="1" customHeight="1">
      <c r="C9444" s="701"/>
      <c r="D9444" s="811"/>
      <c r="E9444" s="1276">
        <f>[11]building!Y9775</f>
        <v>0</v>
      </c>
      <c r="F9444" s="748">
        <f t="shared" si="386"/>
        <v>0</v>
      </c>
      <c r="G9444" s="1205"/>
      <c r="H9444" s="1055"/>
      <c r="I9444" s="1055"/>
      <c r="J9444" s="1055"/>
      <c r="K9444" s="1205"/>
      <c r="L9444" s="1055"/>
      <c r="M9444" s="1205"/>
      <c r="N9444" s="1054"/>
      <c r="O9444" s="1207"/>
      <c r="Q9444" s="1207"/>
    </row>
    <row r="9445" spans="3:17" s="700" customFormat="1" ht="70.5" hidden="1" customHeight="1">
      <c r="C9445" s="701"/>
      <c r="D9445" s="811"/>
      <c r="E9445" s="1276">
        <f>[11]building!Y9776</f>
        <v>0</v>
      </c>
      <c r="F9445" s="748">
        <f t="shared" si="386"/>
        <v>0</v>
      </c>
      <c r="G9445" s="1205"/>
      <c r="H9445" s="1055"/>
      <c r="I9445" s="1055"/>
      <c r="J9445" s="1055"/>
      <c r="K9445" s="1205"/>
      <c r="L9445" s="1055"/>
      <c r="M9445" s="1205"/>
      <c r="N9445" s="1054"/>
      <c r="O9445" s="1207"/>
      <c r="Q9445" s="1207"/>
    </row>
    <row r="9446" spans="3:17" s="700" customFormat="1" ht="70.5" hidden="1" customHeight="1">
      <c r="C9446" s="701"/>
      <c r="D9446" s="811"/>
      <c r="E9446" s="1276">
        <f>[11]building!Y9777</f>
        <v>0</v>
      </c>
      <c r="F9446" s="748">
        <f t="shared" si="386"/>
        <v>0</v>
      </c>
      <c r="G9446" s="1205"/>
      <c r="H9446" s="1055"/>
      <c r="I9446" s="1055"/>
      <c r="J9446" s="1055"/>
      <c r="K9446" s="1205"/>
      <c r="L9446" s="1055"/>
      <c r="M9446" s="1205"/>
      <c r="N9446" s="1054"/>
      <c r="O9446" s="1207"/>
      <c r="Q9446" s="1207"/>
    </row>
    <row r="9447" spans="3:17" s="700" customFormat="1" ht="70.5" hidden="1" customHeight="1">
      <c r="C9447" s="701"/>
      <c r="D9447" s="811"/>
      <c r="E9447" s="1276">
        <f>[11]building!Y9778</f>
        <v>0</v>
      </c>
      <c r="F9447" s="748">
        <f t="shared" si="386"/>
        <v>0</v>
      </c>
      <c r="G9447" s="1205"/>
      <c r="H9447" s="1055"/>
      <c r="I9447" s="1055"/>
      <c r="J9447" s="1055"/>
      <c r="K9447" s="1205"/>
      <c r="L9447" s="1055"/>
      <c r="M9447" s="1205"/>
      <c r="N9447" s="1054"/>
      <c r="O9447" s="1207"/>
      <c r="Q9447" s="1207"/>
    </row>
    <row r="9448" spans="3:17" s="700" customFormat="1" ht="70.5" hidden="1" customHeight="1">
      <c r="C9448" s="701"/>
      <c r="D9448" s="811"/>
      <c r="E9448" s="1276">
        <f>[11]building!Y9779</f>
        <v>0</v>
      </c>
      <c r="F9448" s="748">
        <f t="shared" si="386"/>
        <v>0</v>
      </c>
      <c r="G9448" s="1205"/>
      <c r="H9448" s="1055"/>
      <c r="I9448" s="1055"/>
      <c r="J9448" s="1055"/>
      <c r="K9448" s="1205"/>
      <c r="L9448" s="1055"/>
      <c r="M9448" s="1205"/>
      <c r="N9448" s="1054"/>
      <c r="O9448" s="1207"/>
      <c r="Q9448" s="1207"/>
    </row>
    <row r="9449" spans="3:17" s="700" customFormat="1" ht="70.5" hidden="1" customHeight="1">
      <c r="C9449" s="701"/>
      <c r="D9449" s="811"/>
      <c r="E9449" s="1276">
        <f>[11]building!Y9780</f>
        <v>0</v>
      </c>
      <c r="F9449" s="748">
        <f t="shared" si="386"/>
        <v>0</v>
      </c>
      <c r="G9449" s="1205"/>
      <c r="H9449" s="1055"/>
      <c r="I9449" s="1055"/>
      <c r="J9449" s="1055"/>
      <c r="K9449" s="1205"/>
      <c r="L9449" s="1055"/>
      <c r="M9449" s="1205"/>
      <c r="N9449" s="1054"/>
      <c r="O9449" s="1207"/>
      <c r="Q9449" s="1207"/>
    </row>
    <row r="9450" spans="3:17" s="700" customFormat="1" ht="70.5" hidden="1" customHeight="1">
      <c r="C9450" s="701"/>
      <c r="D9450" s="811"/>
      <c r="E9450" s="1276">
        <f>[11]building!Y9781</f>
        <v>0</v>
      </c>
      <c r="F9450" s="748">
        <f t="shared" si="386"/>
        <v>0</v>
      </c>
      <c r="G9450" s="1205"/>
      <c r="H9450" s="1055"/>
      <c r="I9450" s="1055"/>
      <c r="J9450" s="1055"/>
      <c r="K9450" s="1205"/>
      <c r="L9450" s="1055"/>
      <c r="M9450" s="1205"/>
      <c r="N9450" s="1054"/>
      <c r="O9450" s="1207"/>
      <c r="Q9450" s="1207"/>
    </row>
    <row r="9451" spans="3:17" s="700" customFormat="1" ht="70.5" hidden="1" customHeight="1">
      <c r="C9451" s="701"/>
      <c r="D9451" s="811"/>
      <c r="E9451" s="1276">
        <f>[11]building!Y9782</f>
        <v>0</v>
      </c>
      <c r="F9451" s="748">
        <f t="shared" si="386"/>
        <v>0</v>
      </c>
      <c r="G9451" s="1205"/>
      <c r="H9451" s="1055"/>
      <c r="I9451" s="1055"/>
      <c r="J9451" s="1055"/>
      <c r="K9451" s="1205"/>
      <c r="L9451" s="1055"/>
      <c r="M9451" s="1205"/>
      <c r="N9451" s="1054"/>
      <c r="O9451" s="1207"/>
      <c r="Q9451" s="1207"/>
    </row>
    <row r="9452" spans="3:17" s="700" customFormat="1" ht="70.5" hidden="1" customHeight="1">
      <c r="C9452" s="701"/>
      <c r="D9452" s="811"/>
      <c r="E9452" s="1276">
        <f>[11]building!Y9783</f>
        <v>0</v>
      </c>
      <c r="F9452" s="748">
        <f t="shared" si="386"/>
        <v>0</v>
      </c>
      <c r="G9452" s="1205"/>
      <c r="H9452" s="1055"/>
      <c r="I9452" s="1055"/>
      <c r="J9452" s="1055"/>
      <c r="K9452" s="1205"/>
      <c r="L9452" s="1055"/>
      <c r="M9452" s="1205"/>
      <c r="N9452" s="1054"/>
      <c r="O9452" s="1207"/>
      <c r="Q9452" s="1207"/>
    </row>
    <row r="9453" spans="3:17" s="700" customFormat="1" ht="70.5" hidden="1" customHeight="1">
      <c r="C9453" s="701"/>
      <c r="D9453" s="811"/>
      <c r="E9453" s="1276">
        <f>[11]building!Y9784</f>
        <v>0</v>
      </c>
      <c r="F9453" s="748">
        <f t="shared" si="386"/>
        <v>0</v>
      </c>
      <c r="G9453" s="1205"/>
      <c r="H9453" s="1055"/>
      <c r="I9453" s="1055"/>
      <c r="J9453" s="1055"/>
      <c r="K9453" s="1205"/>
      <c r="L9453" s="1055"/>
      <c r="M9453" s="1205"/>
      <c r="N9453" s="1054"/>
      <c r="O9453" s="1207"/>
      <c r="Q9453" s="1207"/>
    </row>
    <row r="9454" spans="3:17" s="700" customFormat="1" ht="70.5" hidden="1" customHeight="1">
      <c r="C9454" s="701"/>
      <c r="D9454" s="811"/>
      <c r="E9454" s="1276">
        <f>[11]building!Y9785</f>
        <v>0</v>
      </c>
      <c r="F9454" s="748">
        <f t="shared" si="386"/>
        <v>0</v>
      </c>
      <c r="G9454" s="1205"/>
      <c r="H9454" s="1055"/>
      <c r="I9454" s="1055"/>
      <c r="J9454" s="1055"/>
      <c r="K9454" s="1205"/>
      <c r="L9454" s="1055"/>
      <c r="M9454" s="1205"/>
      <c r="N9454" s="1054"/>
      <c r="O9454" s="1207"/>
      <c r="Q9454" s="1207"/>
    </row>
    <row r="9455" spans="3:17" s="700" customFormat="1" ht="70.5" hidden="1" customHeight="1">
      <c r="C9455" s="701"/>
      <c r="D9455" s="811"/>
      <c r="E9455" s="1276">
        <f>[11]building!Y9786</f>
        <v>0</v>
      </c>
      <c r="F9455" s="748">
        <f t="shared" si="386"/>
        <v>0</v>
      </c>
      <c r="G9455" s="1205"/>
      <c r="H9455" s="1055"/>
      <c r="I9455" s="1055"/>
      <c r="J9455" s="1055"/>
      <c r="K9455" s="1205"/>
      <c r="L9455" s="1055"/>
      <c r="M9455" s="1205"/>
      <c r="N9455" s="1054"/>
      <c r="O9455" s="1207"/>
      <c r="Q9455" s="1207"/>
    </row>
    <row r="9456" spans="3:17" s="700" customFormat="1" ht="70.5" hidden="1" customHeight="1">
      <c r="C9456" s="701"/>
      <c r="D9456" s="811"/>
      <c r="E9456" s="1276">
        <f>[11]building!Y9787</f>
        <v>0</v>
      </c>
      <c r="F9456" s="748">
        <f t="shared" si="386"/>
        <v>0</v>
      </c>
      <c r="G9456" s="1205"/>
      <c r="H9456" s="1055"/>
      <c r="I9456" s="1055"/>
      <c r="J9456" s="1055"/>
      <c r="K9456" s="1205"/>
      <c r="L9456" s="1055"/>
      <c r="M9456" s="1205"/>
      <c r="N9456" s="1054"/>
      <c r="O9456" s="1207"/>
      <c r="Q9456" s="1207"/>
    </row>
    <row r="9457" spans="3:17" s="700" customFormat="1" ht="70.5" hidden="1" customHeight="1">
      <c r="C9457" s="701"/>
      <c r="D9457" s="811"/>
      <c r="E9457" s="1276">
        <f>[11]building!Y9788</f>
        <v>0</v>
      </c>
      <c r="F9457" s="748">
        <f t="shared" si="386"/>
        <v>0</v>
      </c>
      <c r="G9457" s="1205"/>
      <c r="H9457" s="1055"/>
      <c r="I9457" s="1055"/>
      <c r="J9457" s="1055"/>
      <c r="K9457" s="1205"/>
      <c r="L9457" s="1055"/>
      <c r="M9457" s="1205"/>
      <c r="N9457" s="1054"/>
      <c r="O9457" s="1207"/>
      <c r="Q9457" s="1207"/>
    </row>
    <row r="9458" spans="3:17" s="700" customFormat="1" ht="70.5" hidden="1" customHeight="1">
      <c r="C9458" s="701"/>
      <c r="D9458" s="811"/>
      <c r="E9458" s="1276">
        <f>[11]building!Y9789</f>
        <v>0</v>
      </c>
      <c r="F9458" s="748">
        <f t="shared" si="386"/>
        <v>0</v>
      </c>
      <c r="G9458" s="1205"/>
      <c r="H9458" s="1055"/>
      <c r="I9458" s="1055"/>
      <c r="J9458" s="1055"/>
      <c r="K9458" s="1205"/>
      <c r="L9458" s="1055"/>
      <c r="M9458" s="1205"/>
      <c r="N9458" s="1054"/>
      <c r="O9458" s="1207"/>
      <c r="Q9458" s="1207"/>
    </row>
    <row r="9459" spans="3:17" s="700" customFormat="1" ht="70.5" hidden="1" customHeight="1">
      <c r="C9459" s="701"/>
      <c r="D9459" s="811"/>
      <c r="E9459" s="1276">
        <f>[11]building!Y9790</f>
        <v>0</v>
      </c>
      <c r="F9459" s="748">
        <f t="shared" si="386"/>
        <v>0</v>
      </c>
      <c r="G9459" s="1205"/>
      <c r="H9459" s="1055"/>
      <c r="I9459" s="1055"/>
      <c r="J9459" s="1055"/>
      <c r="K9459" s="1205"/>
      <c r="L9459" s="1055"/>
      <c r="M9459" s="1205"/>
      <c r="N9459" s="1054"/>
      <c r="O9459" s="1207"/>
      <c r="Q9459" s="1207"/>
    </row>
    <row r="9460" spans="3:17" s="700" customFormat="1" ht="70.5" hidden="1" customHeight="1">
      <c r="C9460" s="701"/>
      <c r="D9460" s="811"/>
      <c r="E9460" s="1276">
        <f>[11]building!Y9791</f>
        <v>0</v>
      </c>
      <c r="F9460" s="748">
        <f t="shared" si="386"/>
        <v>0</v>
      </c>
      <c r="G9460" s="1205"/>
      <c r="H9460" s="1055"/>
      <c r="I9460" s="1055"/>
      <c r="J9460" s="1055"/>
      <c r="K9460" s="1205"/>
      <c r="L9460" s="1055"/>
      <c r="M9460" s="1205"/>
      <c r="N9460" s="1054"/>
      <c r="O9460" s="1207"/>
      <c r="Q9460" s="1207"/>
    </row>
    <row r="9461" spans="3:17" s="700" customFormat="1" ht="70.5" hidden="1" customHeight="1">
      <c r="C9461" s="701"/>
      <c r="D9461" s="811"/>
      <c r="E9461" s="1276">
        <f>[11]building!Y9792</f>
        <v>0</v>
      </c>
      <c r="F9461" s="748">
        <f t="shared" si="386"/>
        <v>0</v>
      </c>
      <c r="G9461" s="1205"/>
      <c r="H9461" s="1055"/>
      <c r="I9461" s="1055"/>
      <c r="J9461" s="1055"/>
      <c r="K9461" s="1205"/>
      <c r="L9461" s="1055"/>
      <c r="M9461" s="1205"/>
      <c r="N9461" s="1054"/>
      <c r="O9461" s="1207"/>
      <c r="Q9461" s="1207"/>
    </row>
    <row r="9462" spans="3:17" s="700" customFormat="1" ht="70.5" hidden="1" customHeight="1">
      <c r="C9462" s="701"/>
      <c r="D9462" s="811"/>
      <c r="E9462" s="1276">
        <f>[11]building!Y9793</f>
        <v>0</v>
      </c>
      <c r="F9462" s="748">
        <f t="shared" si="386"/>
        <v>0</v>
      </c>
      <c r="G9462" s="1205"/>
      <c r="H9462" s="1055"/>
      <c r="I9462" s="1055"/>
      <c r="J9462" s="1055"/>
      <c r="K9462" s="1205"/>
      <c r="L9462" s="1055"/>
      <c r="M9462" s="1205"/>
      <c r="N9462" s="1054"/>
      <c r="O9462" s="1207"/>
      <c r="Q9462" s="1207"/>
    </row>
    <row r="9463" spans="3:17" s="700" customFormat="1" ht="70.5" hidden="1" customHeight="1">
      <c r="C9463" s="701"/>
      <c r="D9463" s="811"/>
      <c r="E9463" s="1276">
        <f>[11]building!Y9794</f>
        <v>0</v>
      </c>
      <c r="F9463" s="748">
        <f t="shared" si="386"/>
        <v>0</v>
      </c>
      <c r="G9463" s="1205"/>
      <c r="H9463" s="1055"/>
      <c r="I9463" s="1055"/>
      <c r="J9463" s="1055"/>
      <c r="K9463" s="1205"/>
      <c r="L9463" s="1055"/>
      <c r="M9463" s="1205"/>
      <c r="N9463" s="1054"/>
      <c r="O9463" s="1207"/>
      <c r="Q9463" s="1207"/>
    </row>
    <row r="9464" spans="3:17" s="700" customFormat="1" ht="70.5" hidden="1" customHeight="1">
      <c r="C9464" s="701"/>
      <c r="D9464" s="811"/>
      <c r="E9464" s="1276">
        <f>[11]building!Y9795</f>
        <v>0</v>
      </c>
      <c r="F9464" s="748">
        <f t="shared" si="386"/>
        <v>0</v>
      </c>
      <c r="G9464" s="1205"/>
      <c r="H9464" s="1055"/>
      <c r="I9464" s="1055"/>
      <c r="J9464" s="1055"/>
      <c r="K9464" s="1205"/>
      <c r="L9464" s="1055"/>
      <c r="M9464" s="1205"/>
      <c r="N9464" s="1054"/>
      <c r="O9464" s="1207"/>
      <c r="Q9464" s="1207"/>
    </row>
    <row r="9465" spans="3:17" s="700" customFormat="1" ht="70.5" hidden="1" customHeight="1">
      <c r="C9465" s="701"/>
      <c r="D9465" s="811"/>
      <c r="E9465" s="1276">
        <f>[11]building!Y9796</f>
        <v>0</v>
      </c>
      <c r="F9465" s="748">
        <f t="shared" si="386"/>
        <v>0</v>
      </c>
      <c r="G9465" s="1205"/>
      <c r="H9465" s="1055"/>
      <c r="I9465" s="1055"/>
      <c r="J9465" s="1055"/>
      <c r="K9465" s="1205"/>
      <c r="L9465" s="1055"/>
      <c r="M9465" s="1205"/>
      <c r="N9465" s="1054"/>
      <c r="O9465" s="1207"/>
      <c r="Q9465" s="1207"/>
    </row>
    <row r="9466" spans="3:17" s="700" customFormat="1" ht="70.5" hidden="1" customHeight="1">
      <c r="C9466" s="701"/>
      <c r="D9466" s="811"/>
      <c r="E9466" s="1276">
        <f>[11]building!Y9797</f>
        <v>0</v>
      </c>
      <c r="F9466" s="748">
        <f t="shared" si="386"/>
        <v>0</v>
      </c>
      <c r="G9466" s="1205"/>
      <c r="H9466" s="1055"/>
      <c r="I9466" s="1055"/>
      <c r="J9466" s="1055"/>
      <c r="K9466" s="1205"/>
      <c r="L9466" s="1055"/>
      <c r="M9466" s="1205"/>
      <c r="N9466" s="1054"/>
      <c r="O9466" s="1207"/>
      <c r="Q9466" s="1207"/>
    </row>
    <row r="9467" spans="3:17" s="700" customFormat="1" ht="70.5" hidden="1" customHeight="1">
      <c r="C9467" s="701"/>
      <c r="D9467" s="811"/>
      <c r="E9467" s="1276">
        <f>[11]building!Y9798</f>
        <v>0</v>
      </c>
      <c r="F9467" s="748">
        <f t="shared" si="386"/>
        <v>0</v>
      </c>
      <c r="G9467" s="1205"/>
      <c r="H9467" s="1055"/>
      <c r="I9467" s="1055"/>
      <c r="J9467" s="1055"/>
      <c r="K9467" s="1205"/>
      <c r="L9467" s="1055"/>
      <c r="M9467" s="1205"/>
      <c r="N9467" s="1054"/>
      <c r="O9467" s="1207"/>
      <c r="Q9467" s="1207"/>
    </row>
    <row r="9468" spans="3:17" s="700" customFormat="1" ht="70.5" hidden="1" customHeight="1">
      <c r="C9468" s="701"/>
      <c r="D9468" s="811"/>
      <c r="E9468" s="1276">
        <f>[11]building!Y9799</f>
        <v>0</v>
      </c>
      <c r="F9468" s="748">
        <f t="shared" si="386"/>
        <v>0</v>
      </c>
      <c r="G9468" s="1205"/>
      <c r="H9468" s="1055"/>
      <c r="I9468" s="1055"/>
      <c r="J9468" s="1055"/>
      <c r="K9468" s="1205"/>
      <c r="L9468" s="1055"/>
      <c r="M9468" s="1205"/>
      <c r="N9468" s="1054"/>
      <c r="O9468" s="1207"/>
      <c r="Q9468" s="1207"/>
    </row>
    <row r="9469" spans="3:17" s="700" customFormat="1" ht="70.5" hidden="1" customHeight="1">
      <c r="C9469" s="701"/>
      <c r="D9469" s="811"/>
      <c r="E9469" s="1276">
        <f>[11]building!Y9800</f>
        <v>0</v>
      </c>
      <c r="F9469" s="748">
        <f t="shared" si="386"/>
        <v>0</v>
      </c>
      <c r="G9469" s="1205"/>
      <c r="H9469" s="1055"/>
      <c r="I9469" s="1055"/>
      <c r="J9469" s="1055"/>
      <c r="K9469" s="1205"/>
      <c r="L9469" s="1055"/>
      <c r="M9469" s="1205"/>
      <c r="N9469" s="1054"/>
      <c r="O9469" s="1207"/>
      <c r="Q9469" s="1207"/>
    </row>
    <row r="9470" spans="3:17" s="700" customFormat="1" ht="70.5" hidden="1" customHeight="1">
      <c r="C9470" s="701"/>
      <c r="D9470" s="811"/>
      <c r="E9470" s="1276">
        <f>[11]building!Y9801</f>
        <v>0</v>
      </c>
      <c r="F9470" s="748">
        <f t="shared" si="386"/>
        <v>0</v>
      </c>
      <c r="G9470" s="1205"/>
      <c r="H9470" s="1055"/>
      <c r="I9470" s="1055"/>
      <c r="J9470" s="1055"/>
      <c r="K9470" s="1205"/>
      <c r="L9470" s="1055"/>
      <c r="M9470" s="1205"/>
      <c r="N9470" s="1054"/>
      <c r="O9470" s="1207"/>
      <c r="Q9470" s="1207"/>
    </row>
    <row r="9471" spans="3:17" s="700" customFormat="1" ht="70.5" hidden="1" customHeight="1">
      <c r="C9471" s="701"/>
      <c r="D9471" s="811"/>
      <c r="E9471" s="1276">
        <f>[11]building!Y9802</f>
        <v>0</v>
      </c>
      <c r="F9471" s="748">
        <f t="shared" si="386"/>
        <v>0</v>
      </c>
      <c r="G9471" s="1205"/>
      <c r="H9471" s="1055"/>
      <c r="I9471" s="1055"/>
      <c r="J9471" s="1055"/>
      <c r="K9471" s="1205"/>
      <c r="L9471" s="1055"/>
      <c r="M9471" s="1205"/>
      <c r="N9471" s="1054"/>
      <c r="O9471" s="1207"/>
      <c r="Q9471" s="1207"/>
    </row>
    <row r="9472" spans="3:17" s="700" customFormat="1" ht="70.5" hidden="1" customHeight="1">
      <c r="C9472" s="701"/>
      <c r="D9472" s="811"/>
      <c r="E9472" s="1276">
        <f>[11]building!Y9803</f>
        <v>0</v>
      </c>
      <c r="F9472" s="748">
        <f t="shared" ref="F9472:F9535" si="387">E9472*C9472</f>
        <v>0</v>
      </c>
      <c r="G9472" s="1205"/>
      <c r="H9472" s="1055"/>
      <c r="I9472" s="1055"/>
      <c r="J9472" s="1055"/>
      <c r="K9472" s="1205"/>
      <c r="L9472" s="1055"/>
      <c r="M9472" s="1205"/>
      <c r="N9472" s="1054"/>
      <c r="O9472" s="1207"/>
      <c r="Q9472" s="1207"/>
    </row>
    <row r="9473" spans="3:17" s="700" customFormat="1" ht="70.5" hidden="1" customHeight="1">
      <c r="C9473" s="701"/>
      <c r="D9473" s="811"/>
      <c r="E9473" s="1276">
        <f>[11]building!Y9804</f>
        <v>0</v>
      </c>
      <c r="F9473" s="748">
        <f t="shared" si="387"/>
        <v>0</v>
      </c>
      <c r="G9473" s="1205"/>
      <c r="H9473" s="1055"/>
      <c r="I9473" s="1055"/>
      <c r="J9473" s="1055"/>
      <c r="K9473" s="1205"/>
      <c r="L9473" s="1055"/>
      <c r="M9473" s="1205"/>
      <c r="N9473" s="1054"/>
      <c r="O9473" s="1207"/>
      <c r="Q9473" s="1207"/>
    </row>
    <row r="9474" spans="3:17" s="700" customFormat="1" ht="70.5" hidden="1" customHeight="1">
      <c r="C9474" s="701"/>
      <c r="D9474" s="811"/>
      <c r="E9474" s="1276">
        <f>[11]building!Y9805</f>
        <v>0</v>
      </c>
      <c r="F9474" s="748">
        <f t="shared" si="387"/>
        <v>0</v>
      </c>
      <c r="G9474" s="1205"/>
      <c r="H9474" s="1055"/>
      <c r="I9474" s="1055"/>
      <c r="J9474" s="1055"/>
      <c r="K9474" s="1205"/>
      <c r="L9474" s="1055"/>
      <c r="M9474" s="1205"/>
      <c r="N9474" s="1054"/>
      <c r="O9474" s="1207"/>
      <c r="Q9474" s="1207"/>
    </row>
    <row r="9475" spans="3:17" s="700" customFormat="1" ht="70.5" hidden="1" customHeight="1">
      <c r="C9475" s="701"/>
      <c r="D9475" s="811"/>
      <c r="E9475" s="1276">
        <f>[11]building!Y9806</f>
        <v>0</v>
      </c>
      <c r="F9475" s="748">
        <f t="shared" si="387"/>
        <v>0</v>
      </c>
      <c r="G9475" s="1205"/>
      <c r="H9475" s="1055"/>
      <c r="I9475" s="1055"/>
      <c r="J9475" s="1055"/>
      <c r="K9475" s="1205"/>
      <c r="L9475" s="1055"/>
      <c r="M9475" s="1205"/>
      <c r="N9475" s="1054"/>
      <c r="O9475" s="1207"/>
      <c r="Q9475" s="1207"/>
    </row>
    <row r="9476" spans="3:17" s="700" customFormat="1" ht="70.5" hidden="1" customHeight="1">
      <c r="C9476" s="701"/>
      <c r="D9476" s="811"/>
      <c r="E9476" s="1276">
        <f>[11]building!Y9807</f>
        <v>0</v>
      </c>
      <c r="F9476" s="748">
        <f t="shared" si="387"/>
        <v>0</v>
      </c>
      <c r="G9476" s="1205"/>
      <c r="H9476" s="1055"/>
      <c r="I9476" s="1055"/>
      <c r="J9476" s="1055"/>
      <c r="K9476" s="1205"/>
      <c r="L9476" s="1055"/>
      <c r="M9476" s="1205"/>
      <c r="N9476" s="1054"/>
      <c r="O9476" s="1207"/>
      <c r="Q9476" s="1207"/>
    </row>
    <row r="9477" spans="3:17" s="700" customFormat="1" ht="70.5" hidden="1" customHeight="1">
      <c r="C9477" s="701"/>
      <c r="D9477" s="811"/>
      <c r="E9477" s="1276">
        <f>[11]building!Y9808</f>
        <v>0</v>
      </c>
      <c r="F9477" s="748">
        <f t="shared" si="387"/>
        <v>0</v>
      </c>
      <c r="G9477" s="1205"/>
      <c r="H9477" s="1055"/>
      <c r="I9477" s="1055"/>
      <c r="J9477" s="1055"/>
      <c r="K9477" s="1205"/>
      <c r="L9477" s="1055"/>
      <c r="M9477" s="1205"/>
      <c r="N9477" s="1054"/>
      <c r="O9477" s="1207"/>
      <c r="Q9477" s="1207"/>
    </row>
    <row r="9478" spans="3:17" s="700" customFormat="1" ht="70.5" hidden="1" customHeight="1">
      <c r="C9478" s="701"/>
      <c r="D9478" s="811"/>
      <c r="E9478" s="1276">
        <f>[11]building!Y9809</f>
        <v>0</v>
      </c>
      <c r="F9478" s="748">
        <f t="shared" si="387"/>
        <v>0</v>
      </c>
      <c r="G9478" s="1205"/>
      <c r="H9478" s="1055"/>
      <c r="I9478" s="1055"/>
      <c r="J9478" s="1055"/>
      <c r="K9478" s="1205"/>
      <c r="L9478" s="1055"/>
      <c r="M9478" s="1205"/>
      <c r="N9478" s="1054"/>
      <c r="O9478" s="1207"/>
      <c r="Q9478" s="1207"/>
    </row>
    <row r="9479" spans="3:17" s="700" customFormat="1" ht="70.5" hidden="1" customHeight="1">
      <c r="C9479" s="701"/>
      <c r="D9479" s="811"/>
      <c r="E9479" s="1276">
        <f>[11]building!Y9810</f>
        <v>0</v>
      </c>
      <c r="F9479" s="748">
        <f t="shared" si="387"/>
        <v>0</v>
      </c>
      <c r="G9479" s="1205"/>
      <c r="H9479" s="1055"/>
      <c r="I9479" s="1055"/>
      <c r="J9479" s="1055"/>
      <c r="K9479" s="1205"/>
      <c r="L9479" s="1055"/>
      <c r="M9479" s="1205"/>
      <c r="N9479" s="1054"/>
      <c r="O9479" s="1207"/>
      <c r="Q9479" s="1207"/>
    </row>
    <row r="9480" spans="3:17" s="700" customFormat="1" ht="70.5" hidden="1" customHeight="1">
      <c r="C9480" s="701"/>
      <c r="D9480" s="811"/>
      <c r="E9480" s="1276">
        <f>[11]building!Y9811</f>
        <v>0</v>
      </c>
      <c r="F9480" s="748">
        <f t="shared" si="387"/>
        <v>0</v>
      </c>
      <c r="G9480" s="1205"/>
      <c r="H9480" s="1055"/>
      <c r="I9480" s="1055"/>
      <c r="J9480" s="1055"/>
      <c r="K9480" s="1205"/>
      <c r="L9480" s="1055"/>
      <c r="M9480" s="1205"/>
      <c r="N9480" s="1054"/>
      <c r="O9480" s="1207"/>
      <c r="Q9480" s="1207"/>
    </row>
    <row r="9481" spans="3:17" s="700" customFormat="1" ht="70.5" hidden="1" customHeight="1">
      <c r="C9481" s="701"/>
      <c r="D9481" s="811"/>
      <c r="E9481" s="1276">
        <f>[11]building!Y9812</f>
        <v>0</v>
      </c>
      <c r="F9481" s="748">
        <f t="shared" si="387"/>
        <v>0</v>
      </c>
      <c r="G9481" s="1205"/>
      <c r="H9481" s="1055"/>
      <c r="I9481" s="1055"/>
      <c r="J9481" s="1055"/>
      <c r="K9481" s="1205"/>
      <c r="L9481" s="1055"/>
      <c r="M9481" s="1205"/>
      <c r="N9481" s="1054"/>
      <c r="O9481" s="1207"/>
      <c r="Q9481" s="1207"/>
    </row>
    <row r="9482" spans="3:17" s="700" customFormat="1" ht="70.5" hidden="1" customHeight="1">
      <c r="C9482" s="701"/>
      <c r="D9482" s="811"/>
      <c r="E9482" s="1276">
        <f>[11]building!Y9813</f>
        <v>0</v>
      </c>
      <c r="F9482" s="748">
        <f t="shared" si="387"/>
        <v>0</v>
      </c>
      <c r="G9482" s="1205"/>
      <c r="H9482" s="1055"/>
      <c r="I9482" s="1055"/>
      <c r="J9482" s="1055"/>
      <c r="K9482" s="1205"/>
      <c r="L9482" s="1055"/>
      <c r="M9482" s="1205"/>
      <c r="N9482" s="1054"/>
      <c r="O9482" s="1207"/>
      <c r="Q9482" s="1207"/>
    </row>
    <row r="9483" spans="3:17" s="700" customFormat="1" ht="70.5" hidden="1" customHeight="1">
      <c r="C9483" s="701"/>
      <c r="D9483" s="811"/>
      <c r="E9483" s="1276">
        <f>[11]building!Y9814</f>
        <v>0</v>
      </c>
      <c r="F9483" s="748">
        <f t="shared" si="387"/>
        <v>0</v>
      </c>
      <c r="G9483" s="1205"/>
      <c r="H9483" s="1055"/>
      <c r="I9483" s="1055"/>
      <c r="J9483" s="1055"/>
      <c r="K9483" s="1205"/>
      <c r="L9483" s="1055"/>
      <c r="M9483" s="1205"/>
      <c r="N9483" s="1054"/>
      <c r="O9483" s="1207"/>
      <c r="Q9483" s="1207"/>
    </row>
    <row r="9484" spans="3:17" s="700" customFormat="1" ht="70.5" hidden="1" customHeight="1">
      <c r="C9484" s="701"/>
      <c r="D9484" s="811"/>
      <c r="E9484" s="1276">
        <f>[11]building!Y9815</f>
        <v>0</v>
      </c>
      <c r="F9484" s="748">
        <f t="shared" si="387"/>
        <v>0</v>
      </c>
      <c r="G9484" s="1205"/>
      <c r="H9484" s="1055"/>
      <c r="I9484" s="1055"/>
      <c r="J9484" s="1055"/>
      <c r="K9484" s="1205"/>
      <c r="L9484" s="1055"/>
      <c r="M9484" s="1205"/>
      <c r="N9484" s="1054"/>
      <c r="O9484" s="1207"/>
      <c r="Q9484" s="1207"/>
    </row>
    <row r="9485" spans="3:17" s="700" customFormat="1" ht="70.5" hidden="1" customHeight="1">
      <c r="C9485" s="701"/>
      <c r="D9485" s="811"/>
      <c r="E9485" s="1276">
        <f>[11]building!Y9816</f>
        <v>0</v>
      </c>
      <c r="F9485" s="748">
        <f t="shared" si="387"/>
        <v>0</v>
      </c>
      <c r="G9485" s="1205"/>
      <c r="H9485" s="1055"/>
      <c r="I9485" s="1055"/>
      <c r="J9485" s="1055"/>
      <c r="K9485" s="1205"/>
      <c r="L9485" s="1055"/>
      <c r="M9485" s="1205"/>
      <c r="N9485" s="1054"/>
      <c r="O9485" s="1207"/>
      <c r="Q9485" s="1207"/>
    </row>
    <row r="9486" spans="3:17" s="700" customFormat="1" ht="70.5" hidden="1" customHeight="1">
      <c r="C9486" s="701"/>
      <c r="D9486" s="811"/>
      <c r="E9486" s="1276">
        <f>[11]building!Y9817</f>
        <v>0</v>
      </c>
      <c r="F9486" s="748">
        <f t="shared" si="387"/>
        <v>0</v>
      </c>
      <c r="G9486" s="1205"/>
      <c r="H9486" s="1055"/>
      <c r="I9486" s="1055"/>
      <c r="J9486" s="1055"/>
      <c r="K9486" s="1205"/>
      <c r="L9486" s="1055"/>
      <c r="M9486" s="1205"/>
      <c r="N9486" s="1054"/>
      <c r="O9486" s="1207"/>
      <c r="Q9486" s="1207"/>
    </row>
    <row r="9487" spans="3:17" s="700" customFormat="1" ht="70.5" hidden="1" customHeight="1">
      <c r="C9487" s="701"/>
      <c r="D9487" s="811"/>
      <c r="E9487" s="1276">
        <f>[11]building!Y9818</f>
        <v>0</v>
      </c>
      <c r="F9487" s="748">
        <f t="shared" si="387"/>
        <v>0</v>
      </c>
      <c r="G9487" s="1205"/>
      <c r="H9487" s="1055"/>
      <c r="I9487" s="1055"/>
      <c r="J9487" s="1055"/>
      <c r="K9487" s="1205"/>
      <c r="L9487" s="1055"/>
      <c r="M9487" s="1205"/>
      <c r="N9487" s="1054"/>
      <c r="O9487" s="1207"/>
      <c r="Q9487" s="1207"/>
    </row>
    <row r="9488" spans="3:17" s="700" customFormat="1" ht="70.5" hidden="1" customHeight="1">
      <c r="C9488" s="701"/>
      <c r="D9488" s="811"/>
      <c r="E9488" s="1276">
        <f>[11]building!Y9819</f>
        <v>0</v>
      </c>
      <c r="F9488" s="748">
        <f t="shared" si="387"/>
        <v>0</v>
      </c>
      <c r="G9488" s="1205"/>
      <c r="H9488" s="1055"/>
      <c r="I9488" s="1055"/>
      <c r="J9488" s="1055"/>
      <c r="K9488" s="1205"/>
      <c r="L9488" s="1055"/>
      <c r="M9488" s="1205"/>
      <c r="N9488" s="1054"/>
      <c r="O9488" s="1207"/>
      <c r="Q9488" s="1207"/>
    </row>
    <row r="9489" spans="3:17" s="700" customFormat="1" ht="70.5" hidden="1" customHeight="1">
      <c r="C9489" s="701"/>
      <c r="D9489" s="811"/>
      <c r="E9489" s="1276">
        <f>[11]building!Y9820</f>
        <v>0</v>
      </c>
      <c r="F9489" s="748">
        <f t="shared" si="387"/>
        <v>0</v>
      </c>
      <c r="G9489" s="1205"/>
      <c r="H9489" s="1055"/>
      <c r="I9489" s="1055"/>
      <c r="J9489" s="1055"/>
      <c r="K9489" s="1205"/>
      <c r="L9489" s="1055"/>
      <c r="M9489" s="1205"/>
      <c r="N9489" s="1054"/>
      <c r="O9489" s="1207"/>
      <c r="Q9489" s="1207"/>
    </row>
    <row r="9490" spans="3:17" s="700" customFormat="1" ht="70.5" hidden="1" customHeight="1">
      <c r="C9490" s="701"/>
      <c r="D9490" s="811"/>
      <c r="E9490" s="1276">
        <f>[11]building!Y9821</f>
        <v>0</v>
      </c>
      <c r="F9490" s="748">
        <f t="shared" si="387"/>
        <v>0</v>
      </c>
      <c r="G9490" s="1205"/>
      <c r="H9490" s="1055"/>
      <c r="I9490" s="1055"/>
      <c r="J9490" s="1055"/>
      <c r="K9490" s="1205"/>
      <c r="L9490" s="1055"/>
      <c r="M9490" s="1205"/>
      <c r="N9490" s="1054"/>
      <c r="O9490" s="1207"/>
      <c r="Q9490" s="1207"/>
    </row>
    <row r="9491" spans="3:17" s="700" customFormat="1" ht="70.5" hidden="1" customHeight="1">
      <c r="C9491" s="701"/>
      <c r="D9491" s="811"/>
      <c r="E9491" s="1276">
        <f>[11]building!Y9822</f>
        <v>0</v>
      </c>
      <c r="F9491" s="748">
        <f t="shared" si="387"/>
        <v>0</v>
      </c>
      <c r="G9491" s="1205"/>
      <c r="H9491" s="1055"/>
      <c r="I9491" s="1055"/>
      <c r="J9491" s="1055"/>
      <c r="K9491" s="1205"/>
      <c r="L9491" s="1055"/>
      <c r="M9491" s="1205"/>
      <c r="N9491" s="1054"/>
      <c r="O9491" s="1207"/>
      <c r="Q9491" s="1207"/>
    </row>
    <row r="9492" spans="3:17" s="700" customFormat="1" ht="70.5" hidden="1" customHeight="1">
      <c r="C9492" s="701"/>
      <c r="D9492" s="811"/>
      <c r="E9492" s="1276">
        <f>[11]building!Y9823</f>
        <v>0</v>
      </c>
      <c r="F9492" s="748">
        <f t="shared" si="387"/>
        <v>0</v>
      </c>
      <c r="G9492" s="1205"/>
      <c r="H9492" s="1055"/>
      <c r="I9492" s="1055"/>
      <c r="J9492" s="1055"/>
      <c r="K9492" s="1205"/>
      <c r="L9492" s="1055"/>
      <c r="M9492" s="1205"/>
      <c r="N9492" s="1054"/>
      <c r="O9492" s="1207"/>
      <c r="Q9492" s="1207"/>
    </row>
    <row r="9493" spans="3:17" s="700" customFormat="1" ht="70.5" hidden="1" customHeight="1">
      <c r="C9493" s="701"/>
      <c r="D9493" s="811"/>
      <c r="E9493" s="1276">
        <f>[11]building!Y9824</f>
        <v>0</v>
      </c>
      <c r="F9493" s="748">
        <f t="shared" si="387"/>
        <v>0</v>
      </c>
      <c r="G9493" s="1205"/>
      <c r="H9493" s="1055"/>
      <c r="I9493" s="1055"/>
      <c r="J9493" s="1055"/>
      <c r="K9493" s="1205"/>
      <c r="L9493" s="1055"/>
      <c r="M9493" s="1205"/>
      <c r="N9493" s="1054"/>
      <c r="O9493" s="1207"/>
      <c r="Q9493" s="1207"/>
    </row>
    <row r="9494" spans="3:17" s="700" customFormat="1" ht="70.5" hidden="1" customHeight="1">
      <c r="C9494" s="701"/>
      <c r="D9494" s="811"/>
      <c r="E9494" s="1276">
        <f>[11]building!Y9825</f>
        <v>0</v>
      </c>
      <c r="F9494" s="748">
        <f t="shared" si="387"/>
        <v>0</v>
      </c>
      <c r="G9494" s="1205"/>
      <c r="H9494" s="1055"/>
      <c r="I9494" s="1055"/>
      <c r="J9494" s="1055"/>
      <c r="K9494" s="1205"/>
      <c r="L9494" s="1055"/>
      <c r="M9494" s="1205"/>
      <c r="N9494" s="1054"/>
      <c r="O9494" s="1207"/>
      <c r="Q9494" s="1207"/>
    </row>
    <row r="9495" spans="3:17" s="700" customFormat="1" ht="70.5" hidden="1" customHeight="1">
      <c r="C9495" s="701"/>
      <c r="D9495" s="811"/>
      <c r="E9495" s="1276">
        <f>[11]building!Y9826</f>
        <v>0</v>
      </c>
      <c r="F9495" s="748">
        <f t="shared" si="387"/>
        <v>0</v>
      </c>
      <c r="G9495" s="1205"/>
      <c r="H9495" s="1055"/>
      <c r="I9495" s="1055"/>
      <c r="J9495" s="1055"/>
      <c r="K9495" s="1205"/>
      <c r="L9495" s="1055"/>
      <c r="M9495" s="1205"/>
      <c r="N9495" s="1054"/>
      <c r="O9495" s="1207"/>
      <c r="Q9495" s="1207"/>
    </row>
    <row r="9496" spans="3:17" s="700" customFormat="1" ht="70.5" hidden="1" customHeight="1">
      <c r="C9496" s="701"/>
      <c r="D9496" s="811"/>
      <c r="E9496" s="1276">
        <f>[11]building!Y9827</f>
        <v>0</v>
      </c>
      <c r="F9496" s="748">
        <f t="shared" si="387"/>
        <v>0</v>
      </c>
      <c r="G9496" s="1205"/>
      <c r="H9496" s="1055"/>
      <c r="I9496" s="1055"/>
      <c r="J9496" s="1055"/>
      <c r="K9496" s="1205"/>
      <c r="L9496" s="1055"/>
      <c r="M9496" s="1205"/>
      <c r="N9496" s="1054"/>
      <c r="O9496" s="1207"/>
      <c r="Q9496" s="1207"/>
    </row>
    <row r="9497" spans="3:17" s="700" customFormat="1" ht="70.5" hidden="1" customHeight="1">
      <c r="C9497" s="701"/>
      <c r="D9497" s="811"/>
      <c r="E9497" s="1276">
        <f>[11]building!Y9828</f>
        <v>0</v>
      </c>
      <c r="F9497" s="748">
        <f t="shared" si="387"/>
        <v>0</v>
      </c>
      <c r="G9497" s="1205"/>
      <c r="H9497" s="1055"/>
      <c r="I9497" s="1055"/>
      <c r="J9497" s="1055"/>
      <c r="K9497" s="1205"/>
      <c r="L9497" s="1055"/>
      <c r="M9497" s="1205"/>
      <c r="N9497" s="1054"/>
      <c r="O9497" s="1207"/>
      <c r="Q9497" s="1207"/>
    </row>
    <row r="9498" spans="3:17" s="700" customFormat="1" ht="70.5" hidden="1" customHeight="1">
      <c r="C9498" s="701"/>
      <c r="D9498" s="811"/>
      <c r="E9498" s="1276">
        <f>[11]building!Y9829</f>
        <v>0</v>
      </c>
      <c r="F9498" s="748">
        <f t="shared" si="387"/>
        <v>0</v>
      </c>
      <c r="G9498" s="1205"/>
      <c r="H9498" s="1055"/>
      <c r="I9498" s="1055"/>
      <c r="J9498" s="1055"/>
      <c r="K9498" s="1205"/>
      <c r="L9498" s="1055"/>
      <c r="M9498" s="1205"/>
      <c r="N9498" s="1054"/>
      <c r="O9498" s="1207"/>
      <c r="Q9498" s="1207"/>
    </row>
    <row r="9499" spans="3:17" s="700" customFormat="1" ht="70.5" hidden="1" customHeight="1">
      <c r="C9499" s="701"/>
      <c r="D9499" s="811"/>
      <c r="E9499" s="1276">
        <f>[11]building!Y9830</f>
        <v>0</v>
      </c>
      <c r="F9499" s="748">
        <f t="shared" si="387"/>
        <v>0</v>
      </c>
      <c r="G9499" s="1205"/>
      <c r="H9499" s="1055"/>
      <c r="I9499" s="1055"/>
      <c r="J9499" s="1055"/>
      <c r="K9499" s="1205"/>
      <c r="L9499" s="1055"/>
      <c r="M9499" s="1205"/>
      <c r="N9499" s="1054"/>
      <c r="O9499" s="1207"/>
      <c r="Q9499" s="1207"/>
    </row>
    <row r="9500" spans="3:17" s="700" customFormat="1" ht="70.5" hidden="1" customHeight="1">
      <c r="C9500" s="701"/>
      <c r="D9500" s="811"/>
      <c r="E9500" s="1276">
        <f>[11]building!Y9831</f>
        <v>0</v>
      </c>
      <c r="F9500" s="748">
        <f t="shared" si="387"/>
        <v>0</v>
      </c>
      <c r="G9500" s="1205"/>
      <c r="H9500" s="1055"/>
      <c r="I9500" s="1055"/>
      <c r="J9500" s="1055"/>
      <c r="K9500" s="1205"/>
      <c r="L9500" s="1055"/>
      <c r="M9500" s="1205"/>
      <c r="N9500" s="1054"/>
      <c r="O9500" s="1207"/>
      <c r="Q9500" s="1207"/>
    </row>
    <row r="9501" spans="3:17" s="700" customFormat="1" ht="70.5" hidden="1" customHeight="1">
      <c r="C9501" s="701"/>
      <c r="D9501" s="811"/>
      <c r="E9501" s="1276">
        <f>[11]building!Y9832</f>
        <v>0</v>
      </c>
      <c r="F9501" s="748">
        <f t="shared" si="387"/>
        <v>0</v>
      </c>
      <c r="G9501" s="1205"/>
      <c r="H9501" s="1055"/>
      <c r="I9501" s="1055"/>
      <c r="J9501" s="1055"/>
      <c r="K9501" s="1205"/>
      <c r="L9501" s="1055"/>
      <c r="M9501" s="1205"/>
      <c r="N9501" s="1054"/>
      <c r="O9501" s="1207"/>
      <c r="Q9501" s="1207"/>
    </row>
    <row r="9502" spans="3:17" s="700" customFormat="1" ht="70.5" hidden="1" customHeight="1">
      <c r="C9502" s="701"/>
      <c r="D9502" s="811"/>
      <c r="E9502" s="1276">
        <f>[11]building!Y9833</f>
        <v>0</v>
      </c>
      <c r="F9502" s="748">
        <f t="shared" si="387"/>
        <v>0</v>
      </c>
      <c r="G9502" s="1205"/>
      <c r="H9502" s="1055"/>
      <c r="I9502" s="1055"/>
      <c r="J9502" s="1055"/>
      <c r="K9502" s="1205"/>
      <c r="L9502" s="1055"/>
      <c r="M9502" s="1205"/>
      <c r="N9502" s="1054"/>
      <c r="O9502" s="1207"/>
      <c r="Q9502" s="1207"/>
    </row>
    <row r="9503" spans="3:17" s="700" customFormat="1" ht="70.5" hidden="1" customHeight="1">
      <c r="C9503" s="701"/>
      <c r="D9503" s="811"/>
      <c r="E9503" s="1276">
        <f>[11]building!Y9834</f>
        <v>0</v>
      </c>
      <c r="F9503" s="748">
        <f t="shared" si="387"/>
        <v>0</v>
      </c>
      <c r="G9503" s="1205"/>
      <c r="H9503" s="1055"/>
      <c r="I9503" s="1055"/>
      <c r="J9503" s="1055"/>
      <c r="K9503" s="1205"/>
      <c r="L9503" s="1055"/>
      <c r="M9503" s="1205"/>
      <c r="N9503" s="1054"/>
      <c r="O9503" s="1207"/>
      <c r="Q9503" s="1207"/>
    </row>
    <row r="9504" spans="3:17" s="700" customFormat="1" ht="70.5" hidden="1" customHeight="1">
      <c r="C9504" s="701"/>
      <c r="D9504" s="811"/>
      <c r="E9504" s="1276">
        <f>[11]building!Y9835</f>
        <v>0</v>
      </c>
      <c r="F9504" s="748">
        <f t="shared" si="387"/>
        <v>0</v>
      </c>
      <c r="G9504" s="1205"/>
      <c r="H9504" s="1055"/>
      <c r="I9504" s="1055"/>
      <c r="J9504" s="1055"/>
      <c r="K9504" s="1205"/>
      <c r="L9504" s="1055"/>
      <c r="M9504" s="1205"/>
      <c r="N9504" s="1054"/>
      <c r="O9504" s="1207"/>
      <c r="Q9504" s="1207"/>
    </row>
    <row r="9505" spans="3:17" s="700" customFormat="1" ht="70.5" hidden="1" customHeight="1">
      <c r="C9505" s="701"/>
      <c r="D9505" s="811"/>
      <c r="E9505" s="1276">
        <f>[11]building!Y9836</f>
        <v>0</v>
      </c>
      <c r="F9505" s="748">
        <f t="shared" si="387"/>
        <v>0</v>
      </c>
      <c r="G9505" s="1205"/>
      <c r="H9505" s="1055"/>
      <c r="I9505" s="1055"/>
      <c r="J9505" s="1055"/>
      <c r="K9505" s="1205"/>
      <c r="L9505" s="1055"/>
      <c r="M9505" s="1205"/>
      <c r="N9505" s="1054"/>
      <c r="O9505" s="1207"/>
      <c r="Q9505" s="1207"/>
    </row>
    <row r="9506" spans="3:17" s="700" customFormat="1" ht="70.5" hidden="1" customHeight="1">
      <c r="C9506" s="701"/>
      <c r="D9506" s="811"/>
      <c r="E9506" s="1276">
        <f>[11]building!Y9837</f>
        <v>0</v>
      </c>
      <c r="F9506" s="748">
        <f t="shared" si="387"/>
        <v>0</v>
      </c>
      <c r="G9506" s="1205"/>
      <c r="H9506" s="1055"/>
      <c r="I9506" s="1055"/>
      <c r="J9506" s="1055"/>
      <c r="K9506" s="1205"/>
      <c r="L9506" s="1055"/>
      <c r="M9506" s="1205"/>
      <c r="N9506" s="1054"/>
      <c r="O9506" s="1207"/>
      <c r="Q9506" s="1207"/>
    </row>
    <row r="9507" spans="3:17" s="700" customFormat="1" ht="70.5" hidden="1" customHeight="1">
      <c r="C9507" s="701"/>
      <c r="D9507" s="811"/>
      <c r="E9507" s="1276">
        <f>[11]building!Y9838</f>
        <v>0</v>
      </c>
      <c r="F9507" s="748">
        <f t="shared" si="387"/>
        <v>0</v>
      </c>
      <c r="G9507" s="1205"/>
      <c r="H9507" s="1055"/>
      <c r="I9507" s="1055"/>
      <c r="J9507" s="1055"/>
      <c r="K9507" s="1205"/>
      <c r="L9507" s="1055"/>
      <c r="M9507" s="1205"/>
      <c r="N9507" s="1054"/>
      <c r="O9507" s="1207"/>
      <c r="Q9507" s="1207"/>
    </row>
    <row r="9508" spans="3:17" s="700" customFormat="1" ht="70.5" hidden="1" customHeight="1">
      <c r="C9508" s="701"/>
      <c r="D9508" s="811"/>
      <c r="E9508" s="1276">
        <f>[11]building!Y9839</f>
        <v>0</v>
      </c>
      <c r="F9508" s="748">
        <f t="shared" si="387"/>
        <v>0</v>
      </c>
      <c r="G9508" s="1205"/>
      <c r="H9508" s="1055"/>
      <c r="I9508" s="1055"/>
      <c r="J9508" s="1055"/>
      <c r="K9508" s="1205"/>
      <c r="L9508" s="1055"/>
      <c r="M9508" s="1205"/>
      <c r="N9508" s="1054"/>
      <c r="O9508" s="1207"/>
      <c r="Q9508" s="1207"/>
    </row>
    <row r="9509" spans="3:17" s="700" customFormat="1" ht="70.5" hidden="1" customHeight="1">
      <c r="C9509" s="701"/>
      <c r="D9509" s="811"/>
      <c r="E9509" s="1276">
        <f>[11]building!Y9840</f>
        <v>0</v>
      </c>
      <c r="F9509" s="748">
        <f t="shared" si="387"/>
        <v>0</v>
      </c>
      <c r="G9509" s="1205"/>
      <c r="H9509" s="1055"/>
      <c r="I9509" s="1055"/>
      <c r="J9509" s="1055"/>
      <c r="K9509" s="1205"/>
      <c r="L9509" s="1055"/>
      <c r="M9509" s="1205"/>
      <c r="N9509" s="1054"/>
      <c r="O9509" s="1207"/>
      <c r="Q9509" s="1207"/>
    </row>
    <row r="9510" spans="3:17" s="700" customFormat="1" ht="70.5" hidden="1" customHeight="1">
      <c r="C9510" s="701"/>
      <c r="D9510" s="811"/>
      <c r="E9510" s="1276">
        <f>[11]building!Y9841</f>
        <v>0</v>
      </c>
      <c r="F9510" s="748">
        <f t="shared" si="387"/>
        <v>0</v>
      </c>
      <c r="G9510" s="1205"/>
      <c r="H9510" s="1055"/>
      <c r="I9510" s="1055"/>
      <c r="J9510" s="1055"/>
      <c r="K9510" s="1205"/>
      <c r="L9510" s="1055"/>
      <c r="M9510" s="1205"/>
      <c r="N9510" s="1054"/>
      <c r="O9510" s="1207"/>
      <c r="Q9510" s="1207"/>
    </row>
    <row r="9511" spans="3:17" s="700" customFormat="1" ht="70.5" hidden="1" customHeight="1">
      <c r="C9511" s="701"/>
      <c r="D9511" s="811"/>
      <c r="E9511" s="1276">
        <f>[11]building!Y9842</f>
        <v>0</v>
      </c>
      <c r="F9511" s="748">
        <f t="shared" si="387"/>
        <v>0</v>
      </c>
      <c r="G9511" s="1205"/>
      <c r="H9511" s="1055"/>
      <c r="I9511" s="1055"/>
      <c r="J9511" s="1055"/>
      <c r="K9511" s="1205"/>
      <c r="L9511" s="1055"/>
      <c r="M9511" s="1205"/>
      <c r="N9511" s="1054"/>
      <c r="O9511" s="1207"/>
      <c r="Q9511" s="1207"/>
    </row>
    <row r="9512" spans="3:17" s="700" customFormat="1" ht="70.5" hidden="1" customHeight="1">
      <c r="C9512" s="701"/>
      <c r="D9512" s="811"/>
      <c r="E9512" s="1276">
        <f>[11]building!Y9843</f>
        <v>0</v>
      </c>
      <c r="F9512" s="748">
        <f t="shared" si="387"/>
        <v>0</v>
      </c>
      <c r="G9512" s="1205"/>
      <c r="H9512" s="1055"/>
      <c r="I9512" s="1055"/>
      <c r="J9512" s="1055"/>
      <c r="K9512" s="1205"/>
      <c r="L9512" s="1055"/>
      <c r="M9512" s="1205"/>
      <c r="N9512" s="1054"/>
      <c r="O9512" s="1207"/>
      <c r="Q9512" s="1207"/>
    </row>
    <row r="9513" spans="3:17" s="700" customFormat="1" ht="70.5" hidden="1" customHeight="1">
      <c r="C9513" s="701"/>
      <c r="D9513" s="811"/>
      <c r="E9513" s="1276">
        <f>[11]building!Y9844</f>
        <v>0</v>
      </c>
      <c r="F9513" s="748">
        <f t="shared" si="387"/>
        <v>0</v>
      </c>
      <c r="G9513" s="1205"/>
      <c r="H9513" s="1055"/>
      <c r="I9513" s="1055"/>
      <c r="J9513" s="1055"/>
      <c r="K9513" s="1205"/>
      <c r="L9513" s="1055"/>
      <c r="M9513" s="1205"/>
      <c r="N9513" s="1054"/>
      <c r="O9513" s="1207"/>
      <c r="Q9513" s="1207"/>
    </row>
    <row r="9514" spans="3:17" s="700" customFormat="1" ht="70.5" hidden="1" customHeight="1">
      <c r="C9514" s="701"/>
      <c r="D9514" s="811"/>
      <c r="E9514" s="1276">
        <f>[11]building!Y9845</f>
        <v>0</v>
      </c>
      <c r="F9514" s="748">
        <f t="shared" si="387"/>
        <v>0</v>
      </c>
      <c r="G9514" s="1205"/>
      <c r="H9514" s="1055"/>
      <c r="I9514" s="1055"/>
      <c r="J9514" s="1055"/>
      <c r="K9514" s="1205"/>
      <c r="L9514" s="1055"/>
      <c r="M9514" s="1205"/>
      <c r="N9514" s="1054"/>
      <c r="O9514" s="1207"/>
      <c r="Q9514" s="1207"/>
    </row>
    <row r="9515" spans="3:17" s="700" customFormat="1" ht="70.5" hidden="1" customHeight="1">
      <c r="C9515" s="701"/>
      <c r="D9515" s="811"/>
      <c r="E9515" s="1276">
        <f>[11]building!Y9846</f>
        <v>0</v>
      </c>
      <c r="F9515" s="748">
        <f t="shared" si="387"/>
        <v>0</v>
      </c>
      <c r="G9515" s="1205"/>
      <c r="H9515" s="1055"/>
      <c r="I9515" s="1055"/>
      <c r="J9515" s="1055"/>
      <c r="K9515" s="1205"/>
      <c r="L9515" s="1055"/>
      <c r="M9515" s="1205"/>
      <c r="N9515" s="1054"/>
      <c r="O9515" s="1207"/>
      <c r="Q9515" s="1207"/>
    </row>
    <row r="9516" spans="3:17" s="700" customFormat="1" ht="70.5" hidden="1" customHeight="1">
      <c r="C9516" s="701"/>
      <c r="D9516" s="811"/>
      <c r="E9516" s="1276">
        <f>[11]building!Y9847</f>
        <v>0</v>
      </c>
      <c r="F9516" s="748">
        <f t="shared" si="387"/>
        <v>0</v>
      </c>
      <c r="G9516" s="1205"/>
      <c r="H9516" s="1055"/>
      <c r="I9516" s="1055"/>
      <c r="J9516" s="1055"/>
      <c r="K9516" s="1205"/>
      <c r="L9516" s="1055"/>
      <c r="M9516" s="1205"/>
      <c r="N9516" s="1054"/>
      <c r="O9516" s="1207"/>
      <c r="Q9516" s="1207"/>
    </row>
    <row r="9517" spans="3:17" s="700" customFormat="1" ht="70.5" hidden="1" customHeight="1">
      <c r="C9517" s="701"/>
      <c r="D9517" s="811"/>
      <c r="E9517" s="1276">
        <f>[11]building!Y9848</f>
        <v>0</v>
      </c>
      <c r="F9517" s="748">
        <f t="shared" si="387"/>
        <v>0</v>
      </c>
      <c r="G9517" s="1205"/>
      <c r="H9517" s="1055"/>
      <c r="I9517" s="1055"/>
      <c r="J9517" s="1055"/>
      <c r="K9517" s="1205"/>
      <c r="L9517" s="1055"/>
      <c r="M9517" s="1205"/>
      <c r="N9517" s="1054"/>
      <c r="O9517" s="1207"/>
      <c r="Q9517" s="1207"/>
    </row>
    <row r="9518" spans="3:17" s="700" customFormat="1" ht="70.5" hidden="1" customHeight="1">
      <c r="C9518" s="701"/>
      <c r="D9518" s="811"/>
      <c r="E9518" s="1276">
        <f>[11]building!Y9849</f>
        <v>0</v>
      </c>
      <c r="F9518" s="748">
        <f t="shared" si="387"/>
        <v>0</v>
      </c>
      <c r="G9518" s="1205"/>
      <c r="H9518" s="1055"/>
      <c r="I9518" s="1055"/>
      <c r="J9518" s="1055"/>
      <c r="K9518" s="1205"/>
      <c r="L9518" s="1055"/>
      <c r="M9518" s="1205"/>
      <c r="N9518" s="1054"/>
      <c r="O9518" s="1207"/>
      <c r="Q9518" s="1207"/>
    </row>
    <row r="9519" spans="3:17" s="700" customFormat="1" ht="70.5" hidden="1" customHeight="1">
      <c r="C9519" s="701"/>
      <c r="D9519" s="811"/>
      <c r="E9519" s="1276">
        <f>[11]building!Y9850</f>
        <v>0</v>
      </c>
      <c r="F9519" s="748">
        <f t="shared" si="387"/>
        <v>0</v>
      </c>
      <c r="G9519" s="1205"/>
      <c r="H9519" s="1055"/>
      <c r="I9519" s="1055"/>
      <c r="J9519" s="1055"/>
      <c r="K9519" s="1205"/>
      <c r="L9519" s="1055"/>
      <c r="M9519" s="1205"/>
      <c r="N9519" s="1054"/>
      <c r="O9519" s="1207"/>
      <c r="Q9519" s="1207"/>
    </row>
    <row r="9520" spans="3:17" s="700" customFormat="1" ht="70.5" hidden="1" customHeight="1">
      <c r="C9520" s="701"/>
      <c r="D9520" s="811"/>
      <c r="E9520" s="1276">
        <f>[11]building!Y9851</f>
        <v>0</v>
      </c>
      <c r="F9520" s="748">
        <f t="shared" si="387"/>
        <v>0</v>
      </c>
      <c r="G9520" s="1205"/>
      <c r="H9520" s="1055"/>
      <c r="I9520" s="1055"/>
      <c r="J9520" s="1055"/>
      <c r="K9520" s="1205"/>
      <c r="L9520" s="1055"/>
      <c r="M9520" s="1205"/>
      <c r="N9520" s="1054"/>
      <c r="O9520" s="1207"/>
      <c r="Q9520" s="1207"/>
    </row>
    <row r="9521" spans="3:17" s="700" customFormat="1" ht="70.5" hidden="1" customHeight="1">
      <c r="C9521" s="701"/>
      <c r="D9521" s="811"/>
      <c r="E9521" s="1276">
        <f>[11]building!Y9852</f>
        <v>0</v>
      </c>
      <c r="F9521" s="748">
        <f t="shared" si="387"/>
        <v>0</v>
      </c>
      <c r="G9521" s="1205"/>
      <c r="H9521" s="1055"/>
      <c r="I9521" s="1055"/>
      <c r="J9521" s="1055"/>
      <c r="K9521" s="1205"/>
      <c r="L9521" s="1055"/>
      <c r="M9521" s="1205"/>
      <c r="N9521" s="1054"/>
      <c r="O9521" s="1207"/>
      <c r="Q9521" s="1207"/>
    </row>
    <row r="9522" spans="3:17" s="700" customFormat="1" ht="70.5" hidden="1" customHeight="1">
      <c r="C9522" s="701"/>
      <c r="D9522" s="811"/>
      <c r="E9522" s="1276">
        <f>[11]building!Y9853</f>
        <v>0</v>
      </c>
      <c r="F9522" s="748">
        <f t="shared" si="387"/>
        <v>0</v>
      </c>
      <c r="G9522" s="1205"/>
      <c r="H9522" s="1055"/>
      <c r="I9522" s="1055"/>
      <c r="J9522" s="1055"/>
      <c r="K9522" s="1205"/>
      <c r="L9522" s="1055"/>
      <c r="M9522" s="1205"/>
      <c r="N9522" s="1054"/>
      <c r="O9522" s="1207"/>
      <c r="Q9522" s="1207"/>
    </row>
    <row r="9523" spans="3:17" s="700" customFormat="1" ht="70.5" hidden="1" customHeight="1">
      <c r="C9523" s="701"/>
      <c r="D9523" s="811"/>
      <c r="E9523" s="1276">
        <f>[11]building!Y9854</f>
        <v>0</v>
      </c>
      <c r="F9523" s="748">
        <f t="shared" si="387"/>
        <v>0</v>
      </c>
      <c r="G9523" s="1205"/>
      <c r="H9523" s="1055"/>
      <c r="I9523" s="1055"/>
      <c r="J9523" s="1055"/>
      <c r="K9523" s="1205"/>
      <c r="L9523" s="1055"/>
      <c r="M9523" s="1205"/>
      <c r="N9523" s="1054"/>
      <c r="O9523" s="1207"/>
      <c r="Q9523" s="1207"/>
    </row>
    <row r="9524" spans="3:17" s="700" customFormat="1" ht="70.5" hidden="1" customHeight="1">
      <c r="C9524" s="701"/>
      <c r="D9524" s="811"/>
      <c r="E9524" s="1276">
        <f>[11]building!Y9855</f>
        <v>0</v>
      </c>
      <c r="F9524" s="748">
        <f t="shared" si="387"/>
        <v>0</v>
      </c>
      <c r="G9524" s="1205"/>
      <c r="H9524" s="1055"/>
      <c r="I9524" s="1055"/>
      <c r="J9524" s="1055"/>
      <c r="K9524" s="1205"/>
      <c r="L9524" s="1055"/>
      <c r="M9524" s="1205"/>
      <c r="N9524" s="1054"/>
      <c r="O9524" s="1207"/>
      <c r="Q9524" s="1207"/>
    </row>
    <row r="9525" spans="3:17" s="700" customFormat="1" ht="70.5" hidden="1" customHeight="1">
      <c r="C9525" s="701"/>
      <c r="D9525" s="811"/>
      <c r="E9525" s="1276">
        <f>[11]building!Y9856</f>
        <v>0</v>
      </c>
      <c r="F9525" s="748">
        <f t="shared" si="387"/>
        <v>0</v>
      </c>
      <c r="G9525" s="1205"/>
      <c r="H9525" s="1055"/>
      <c r="I9525" s="1055"/>
      <c r="J9525" s="1055"/>
      <c r="K9525" s="1205"/>
      <c r="L9525" s="1055"/>
      <c r="M9525" s="1205"/>
      <c r="N9525" s="1054"/>
      <c r="O9525" s="1207"/>
      <c r="Q9525" s="1207"/>
    </row>
    <row r="9526" spans="3:17" s="700" customFormat="1" ht="70.5" hidden="1" customHeight="1">
      <c r="C9526" s="701"/>
      <c r="D9526" s="811"/>
      <c r="E9526" s="1276">
        <f>[11]building!Y9857</f>
        <v>0</v>
      </c>
      <c r="F9526" s="748">
        <f t="shared" si="387"/>
        <v>0</v>
      </c>
      <c r="G9526" s="1205"/>
      <c r="H9526" s="1055"/>
      <c r="I9526" s="1055"/>
      <c r="J9526" s="1055"/>
      <c r="K9526" s="1205"/>
      <c r="L9526" s="1055"/>
      <c r="M9526" s="1205"/>
      <c r="N9526" s="1054"/>
      <c r="O9526" s="1207"/>
      <c r="Q9526" s="1207"/>
    </row>
    <row r="9527" spans="3:17" s="700" customFormat="1" ht="70.5" hidden="1" customHeight="1">
      <c r="C9527" s="701"/>
      <c r="D9527" s="811"/>
      <c r="E9527" s="1276">
        <f>[11]building!Y9858</f>
        <v>0</v>
      </c>
      <c r="F9527" s="748">
        <f t="shared" si="387"/>
        <v>0</v>
      </c>
      <c r="G9527" s="1205"/>
      <c r="H9527" s="1055"/>
      <c r="I9527" s="1055"/>
      <c r="J9527" s="1055"/>
      <c r="K9527" s="1205"/>
      <c r="L9527" s="1055"/>
      <c r="M9527" s="1205"/>
      <c r="N9527" s="1054"/>
      <c r="O9527" s="1207"/>
      <c r="Q9527" s="1207"/>
    </row>
    <row r="9528" spans="3:17" s="700" customFormat="1" ht="70.5" hidden="1" customHeight="1">
      <c r="C9528" s="701"/>
      <c r="D9528" s="811"/>
      <c r="E9528" s="1276">
        <f>[11]building!Y9859</f>
        <v>0</v>
      </c>
      <c r="F9528" s="748">
        <f t="shared" si="387"/>
        <v>0</v>
      </c>
      <c r="G9528" s="1205"/>
      <c r="H9528" s="1055"/>
      <c r="I9528" s="1055"/>
      <c r="J9528" s="1055"/>
      <c r="K9528" s="1205"/>
      <c r="L9528" s="1055"/>
      <c r="M9528" s="1205"/>
      <c r="N9528" s="1054"/>
      <c r="O9528" s="1207"/>
      <c r="Q9528" s="1207"/>
    </row>
    <row r="9529" spans="3:17" s="700" customFormat="1" ht="70.5" hidden="1" customHeight="1">
      <c r="C9529" s="701"/>
      <c r="D9529" s="811"/>
      <c r="E9529" s="1276">
        <f>[11]building!Y9860</f>
        <v>0</v>
      </c>
      <c r="F9529" s="748">
        <f t="shared" si="387"/>
        <v>0</v>
      </c>
      <c r="G9529" s="1205"/>
      <c r="H9529" s="1055"/>
      <c r="I9529" s="1055"/>
      <c r="J9529" s="1055"/>
      <c r="K9529" s="1205"/>
      <c r="L9529" s="1055"/>
      <c r="M9529" s="1205"/>
      <c r="N9529" s="1054"/>
      <c r="O9529" s="1207"/>
      <c r="Q9529" s="1207"/>
    </row>
    <row r="9530" spans="3:17" s="700" customFormat="1" ht="70.5" hidden="1" customHeight="1">
      <c r="C9530" s="701"/>
      <c r="D9530" s="811"/>
      <c r="E9530" s="1276">
        <f>[11]building!Y9861</f>
        <v>0</v>
      </c>
      <c r="F9530" s="748">
        <f t="shared" si="387"/>
        <v>0</v>
      </c>
      <c r="G9530" s="1205"/>
      <c r="H9530" s="1055"/>
      <c r="I9530" s="1055"/>
      <c r="J9530" s="1055"/>
      <c r="K9530" s="1205"/>
      <c r="L9530" s="1055"/>
      <c r="M9530" s="1205"/>
      <c r="N9530" s="1054"/>
      <c r="O9530" s="1207"/>
      <c r="Q9530" s="1207"/>
    </row>
    <row r="9531" spans="3:17" s="700" customFormat="1" ht="70.5" hidden="1" customHeight="1">
      <c r="C9531" s="701"/>
      <c r="D9531" s="811"/>
      <c r="E9531" s="1276">
        <f>[11]building!Y9862</f>
        <v>0</v>
      </c>
      <c r="F9531" s="748">
        <f t="shared" si="387"/>
        <v>0</v>
      </c>
      <c r="G9531" s="1205"/>
      <c r="H9531" s="1055"/>
      <c r="I9531" s="1055"/>
      <c r="J9531" s="1055"/>
      <c r="K9531" s="1205"/>
      <c r="L9531" s="1055"/>
      <c r="M9531" s="1205"/>
      <c r="N9531" s="1054"/>
      <c r="O9531" s="1207"/>
      <c r="Q9531" s="1207"/>
    </row>
    <row r="9532" spans="3:17" s="700" customFormat="1" ht="70.5" hidden="1" customHeight="1">
      <c r="C9532" s="701"/>
      <c r="D9532" s="811"/>
      <c r="E9532" s="1276">
        <f>[11]building!Y9863</f>
        <v>0</v>
      </c>
      <c r="F9532" s="748">
        <f t="shared" si="387"/>
        <v>0</v>
      </c>
      <c r="G9532" s="1205"/>
      <c r="H9532" s="1055"/>
      <c r="I9532" s="1055"/>
      <c r="J9532" s="1055"/>
      <c r="K9532" s="1205"/>
      <c r="L9532" s="1055"/>
      <c r="M9532" s="1205"/>
      <c r="N9532" s="1054"/>
      <c r="O9532" s="1207"/>
      <c r="Q9532" s="1207"/>
    </row>
    <row r="9533" spans="3:17" s="700" customFormat="1" ht="70.5" hidden="1" customHeight="1">
      <c r="C9533" s="701"/>
      <c r="D9533" s="811"/>
      <c r="E9533" s="1276">
        <f>[11]building!Y9864</f>
        <v>0</v>
      </c>
      <c r="F9533" s="748">
        <f t="shared" si="387"/>
        <v>0</v>
      </c>
      <c r="G9533" s="1205"/>
      <c r="H9533" s="1055"/>
      <c r="I9533" s="1055"/>
      <c r="J9533" s="1055"/>
      <c r="K9533" s="1205"/>
      <c r="L9533" s="1055"/>
      <c r="M9533" s="1205"/>
      <c r="N9533" s="1054"/>
      <c r="O9533" s="1207"/>
      <c r="Q9533" s="1207"/>
    </row>
    <row r="9534" spans="3:17" s="700" customFormat="1" ht="70.5" hidden="1" customHeight="1">
      <c r="C9534" s="701"/>
      <c r="D9534" s="811"/>
      <c r="E9534" s="1276">
        <f>[11]building!Y9865</f>
        <v>0</v>
      </c>
      <c r="F9534" s="748">
        <f t="shared" si="387"/>
        <v>0</v>
      </c>
      <c r="G9534" s="1205"/>
      <c r="H9534" s="1055"/>
      <c r="I9534" s="1055"/>
      <c r="J9534" s="1055"/>
      <c r="K9534" s="1205"/>
      <c r="L9534" s="1055"/>
      <c r="M9534" s="1205"/>
      <c r="N9534" s="1054"/>
      <c r="O9534" s="1207"/>
      <c r="Q9534" s="1207"/>
    </row>
    <row r="9535" spans="3:17" s="700" customFormat="1" ht="70.5" hidden="1" customHeight="1">
      <c r="C9535" s="701"/>
      <c r="D9535" s="811"/>
      <c r="E9535" s="1276">
        <f>[11]building!Y9866</f>
        <v>0</v>
      </c>
      <c r="F9535" s="748">
        <f t="shared" si="387"/>
        <v>0</v>
      </c>
      <c r="G9535" s="1205"/>
      <c r="H9535" s="1055"/>
      <c r="I9535" s="1055"/>
      <c r="J9535" s="1055"/>
      <c r="K9535" s="1205"/>
      <c r="L9535" s="1055"/>
      <c r="M9535" s="1205"/>
      <c r="N9535" s="1054"/>
      <c r="O9535" s="1207"/>
      <c r="Q9535" s="1207"/>
    </row>
    <row r="9536" spans="3:17" s="700" customFormat="1" ht="70.5" hidden="1" customHeight="1">
      <c r="C9536" s="701"/>
      <c r="D9536" s="811"/>
      <c r="E9536" s="1276">
        <f>[11]building!Y9867</f>
        <v>0</v>
      </c>
      <c r="F9536" s="748">
        <f t="shared" ref="F9536:F9599" si="388">E9536*C9536</f>
        <v>0</v>
      </c>
      <c r="G9536" s="1205"/>
      <c r="H9536" s="1055"/>
      <c r="I9536" s="1055"/>
      <c r="J9536" s="1055"/>
      <c r="K9536" s="1205"/>
      <c r="L9536" s="1055"/>
      <c r="M9536" s="1205"/>
      <c r="N9536" s="1054"/>
      <c r="O9536" s="1207"/>
      <c r="Q9536" s="1207"/>
    </row>
    <row r="9537" spans="3:17" s="700" customFormat="1" ht="70.5" hidden="1" customHeight="1">
      <c r="C9537" s="701"/>
      <c r="D9537" s="811"/>
      <c r="E9537" s="1276">
        <f>[11]building!Y9868</f>
        <v>0</v>
      </c>
      <c r="F9537" s="748">
        <f t="shared" si="388"/>
        <v>0</v>
      </c>
      <c r="G9537" s="1205"/>
      <c r="H9537" s="1055"/>
      <c r="I9537" s="1055"/>
      <c r="J9537" s="1055"/>
      <c r="K9537" s="1205"/>
      <c r="L9537" s="1055"/>
      <c r="M9537" s="1205"/>
      <c r="N9537" s="1054"/>
      <c r="O9537" s="1207"/>
      <c r="Q9537" s="1207"/>
    </row>
    <row r="9538" spans="3:17" s="700" customFormat="1" ht="70.5" hidden="1" customHeight="1">
      <c r="C9538" s="701"/>
      <c r="D9538" s="811"/>
      <c r="E9538" s="1276">
        <f>[11]building!Y9869</f>
        <v>0</v>
      </c>
      <c r="F9538" s="748">
        <f t="shared" si="388"/>
        <v>0</v>
      </c>
      <c r="G9538" s="1205"/>
      <c r="H9538" s="1055"/>
      <c r="I9538" s="1055"/>
      <c r="J9538" s="1055"/>
      <c r="K9538" s="1205"/>
      <c r="L9538" s="1055"/>
      <c r="M9538" s="1205"/>
      <c r="N9538" s="1054"/>
      <c r="O9538" s="1207"/>
      <c r="Q9538" s="1207"/>
    </row>
    <row r="9539" spans="3:17" s="700" customFormat="1" ht="70.5" hidden="1" customHeight="1">
      <c r="C9539" s="701"/>
      <c r="D9539" s="811"/>
      <c r="E9539" s="1276">
        <f>[11]building!Y9870</f>
        <v>0</v>
      </c>
      <c r="F9539" s="748">
        <f t="shared" si="388"/>
        <v>0</v>
      </c>
      <c r="G9539" s="1205"/>
      <c r="H9539" s="1055"/>
      <c r="I9539" s="1055"/>
      <c r="J9539" s="1055"/>
      <c r="K9539" s="1205"/>
      <c r="L9539" s="1055"/>
      <c r="M9539" s="1205"/>
      <c r="N9539" s="1054"/>
      <c r="O9539" s="1207"/>
      <c r="Q9539" s="1207"/>
    </row>
    <row r="9540" spans="3:17" s="700" customFormat="1" ht="70.5" hidden="1" customHeight="1">
      <c r="C9540" s="701"/>
      <c r="D9540" s="811"/>
      <c r="E9540" s="1276">
        <f>[11]building!Y9871</f>
        <v>0</v>
      </c>
      <c r="F9540" s="748">
        <f t="shared" si="388"/>
        <v>0</v>
      </c>
      <c r="G9540" s="1205"/>
      <c r="H9540" s="1055"/>
      <c r="I9540" s="1055"/>
      <c r="J9540" s="1055"/>
      <c r="K9540" s="1205"/>
      <c r="L9540" s="1055"/>
      <c r="M9540" s="1205"/>
      <c r="N9540" s="1054"/>
      <c r="O9540" s="1207"/>
      <c r="Q9540" s="1207"/>
    </row>
    <row r="9541" spans="3:17" s="700" customFormat="1" ht="70.5" hidden="1" customHeight="1">
      <c r="C9541" s="701"/>
      <c r="D9541" s="811"/>
      <c r="E9541" s="1276">
        <f>[11]building!Y9872</f>
        <v>0</v>
      </c>
      <c r="F9541" s="748">
        <f t="shared" si="388"/>
        <v>0</v>
      </c>
      <c r="G9541" s="1205"/>
      <c r="H9541" s="1055"/>
      <c r="I9541" s="1055"/>
      <c r="J9541" s="1055"/>
      <c r="K9541" s="1205"/>
      <c r="L9541" s="1055"/>
      <c r="M9541" s="1205"/>
      <c r="N9541" s="1054"/>
      <c r="O9541" s="1207"/>
      <c r="Q9541" s="1207"/>
    </row>
    <row r="9542" spans="3:17" s="700" customFormat="1" ht="70.5" hidden="1" customHeight="1">
      <c r="C9542" s="701"/>
      <c r="D9542" s="811"/>
      <c r="E9542" s="1276">
        <f>[11]building!Y9873</f>
        <v>0</v>
      </c>
      <c r="F9542" s="748">
        <f t="shared" si="388"/>
        <v>0</v>
      </c>
      <c r="G9542" s="1205"/>
      <c r="H9542" s="1055"/>
      <c r="I9542" s="1055"/>
      <c r="J9542" s="1055"/>
      <c r="K9542" s="1205"/>
      <c r="L9542" s="1055"/>
      <c r="M9542" s="1205"/>
      <c r="N9542" s="1054"/>
      <c r="O9542" s="1207"/>
      <c r="Q9542" s="1207"/>
    </row>
    <row r="9543" spans="3:17" s="700" customFormat="1" ht="70.5" hidden="1" customHeight="1">
      <c r="C9543" s="701"/>
      <c r="D9543" s="811"/>
      <c r="E9543" s="1276">
        <f>[11]building!Y9874</f>
        <v>0</v>
      </c>
      <c r="F9543" s="748">
        <f t="shared" si="388"/>
        <v>0</v>
      </c>
      <c r="G9543" s="1205"/>
      <c r="H9543" s="1055"/>
      <c r="I9543" s="1055"/>
      <c r="J9543" s="1055"/>
      <c r="K9543" s="1205"/>
      <c r="L9543" s="1055"/>
      <c r="M9543" s="1205"/>
      <c r="N9543" s="1054"/>
      <c r="O9543" s="1207"/>
      <c r="Q9543" s="1207"/>
    </row>
    <row r="9544" spans="3:17" s="700" customFormat="1" ht="70.5" hidden="1" customHeight="1">
      <c r="C9544" s="701"/>
      <c r="D9544" s="811"/>
      <c r="E9544" s="1276">
        <f>[11]building!Y9875</f>
        <v>0</v>
      </c>
      <c r="F9544" s="748">
        <f t="shared" si="388"/>
        <v>0</v>
      </c>
      <c r="G9544" s="1205"/>
      <c r="H9544" s="1055"/>
      <c r="I9544" s="1055"/>
      <c r="J9544" s="1055"/>
      <c r="K9544" s="1205"/>
      <c r="L9544" s="1055"/>
      <c r="M9544" s="1205"/>
      <c r="N9544" s="1054"/>
      <c r="O9544" s="1207"/>
      <c r="Q9544" s="1207"/>
    </row>
    <row r="9545" spans="3:17" s="700" customFormat="1" ht="70.5" hidden="1" customHeight="1">
      <c r="C9545" s="701"/>
      <c r="D9545" s="811"/>
      <c r="E9545" s="1276">
        <f>[11]building!Y9876</f>
        <v>0</v>
      </c>
      <c r="F9545" s="748">
        <f t="shared" si="388"/>
        <v>0</v>
      </c>
      <c r="G9545" s="1205"/>
      <c r="H9545" s="1055"/>
      <c r="I9545" s="1055"/>
      <c r="J9545" s="1055"/>
      <c r="K9545" s="1205"/>
      <c r="L9545" s="1055"/>
      <c r="M9545" s="1205"/>
      <c r="N9545" s="1054"/>
      <c r="O9545" s="1207"/>
      <c r="Q9545" s="1207"/>
    </row>
    <row r="9546" spans="3:17" s="700" customFormat="1" ht="70.5" hidden="1" customHeight="1">
      <c r="C9546" s="701"/>
      <c r="D9546" s="811"/>
      <c r="E9546" s="1276">
        <f>[11]building!Y9877</f>
        <v>0</v>
      </c>
      <c r="F9546" s="748">
        <f t="shared" si="388"/>
        <v>0</v>
      </c>
      <c r="G9546" s="1205"/>
      <c r="H9546" s="1055"/>
      <c r="I9546" s="1055"/>
      <c r="J9546" s="1055"/>
      <c r="K9546" s="1205"/>
      <c r="L9546" s="1055"/>
      <c r="M9546" s="1205"/>
      <c r="N9546" s="1054"/>
      <c r="O9546" s="1207"/>
      <c r="Q9546" s="1207"/>
    </row>
    <row r="9547" spans="3:17" s="700" customFormat="1" ht="70.5" hidden="1" customHeight="1">
      <c r="C9547" s="701"/>
      <c r="D9547" s="811"/>
      <c r="E9547" s="1276">
        <f>[11]building!Y9878</f>
        <v>0</v>
      </c>
      <c r="F9547" s="748">
        <f t="shared" si="388"/>
        <v>0</v>
      </c>
      <c r="G9547" s="1205"/>
      <c r="H9547" s="1055"/>
      <c r="I9547" s="1055"/>
      <c r="J9547" s="1055"/>
      <c r="K9547" s="1205"/>
      <c r="L9547" s="1055"/>
      <c r="M9547" s="1205"/>
      <c r="N9547" s="1054"/>
      <c r="O9547" s="1207"/>
      <c r="Q9547" s="1207"/>
    </row>
    <row r="9548" spans="3:17" s="700" customFormat="1" ht="70.5" hidden="1" customHeight="1">
      <c r="C9548" s="701"/>
      <c r="D9548" s="811"/>
      <c r="E9548" s="1276">
        <f>[11]building!Y9879</f>
        <v>0</v>
      </c>
      <c r="F9548" s="748">
        <f t="shared" si="388"/>
        <v>0</v>
      </c>
      <c r="G9548" s="1205"/>
      <c r="H9548" s="1055"/>
      <c r="I9548" s="1055"/>
      <c r="J9548" s="1055"/>
      <c r="K9548" s="1205"/>
      <c r="L9548" s="1055"/>
      <c r="M9548" s="1205"/>
      <c r="N9548" s="1054"/>
      <c r="O9548" s="1207"/>
      <c r="Q9548" s="1207"/>
    </row>
    <row r="9549" spans="3:17" s="700" customFormat="1" ht="70.5" hidden="1" customHeight="1">
      <c r="C9549" s="701"/>
      <c r="D9549" s="811"/>
      <c r="E9549" s="1276">
        <f>[11]building!Y9880</f>
        <v>0</v>
      </c>
      <c r="F9549" s="748">
        <f t="shared" si="388"/>
        <v>0</v>
      </c>
      <c r="G9549" s="1205"/>
      <c r="H9549" s="1055"/>
      <c r="I9549" s="1055"/>
      <c r="J9549" s="1055"/>
      <c r="K9549" s="1205"/>
      <c r="L9549" s="1055"/>
      <c r="M9549" s="1205"/>
      <c r="N9549" s="1054"/>
      <c r="O9549" s="1207"/>
      <c r="Q9549" s="1207"/>
    </row>
    <row r="9550" spans="3:17" s="700" customFormat="1" ht="70.5" hidden="1" customHeight="1">
      <c r="C9550" s="701"/>
      <c r="D9550" s="811"/>
      <c r="E9550" s="1276">
        <f>[11]building!Y9881</f>
        <v>0</v>
      </c>
      <c r="F9550" s="748">
        <f t="shared" si="388"/>
        <v>0</v>
      </c>
      <c r="G9550" s="1205"/>
      <c r="H9550" s="1055"/>
      <c r="I9550" s="1055"/>
      <c r="J9550" s="1055"/>
      <c r="K9550" s="1205"/>
      <c r="L9550" s="1055"/>
      <c r="M9550" s="1205"/>
      <c r="N9550" s="1054"/>
      <c r="O9550" s="1207"/>
      <c r="Q9550" s="1207"/>
    </row>
    <row r="9551" spans="3:17" s="700" customFormat="1" ht="70.5" hidden="1" customHeight="1">
      <c r="C9551" s="701"/>
      <c r="D9551" s="811"/>
      <c r="E9551" s="1276">
        <f>[11]building!Y9882</f>
        <v>0</v>
      </c>
      <c r="F9551" s="748">
        <f t="shared" si="388"/>
        <v>0</v>
      </c>
      <c r="G9551" s="1205"/>
      <c r="H9551" s="1055"/>
      <c r="I9551" s="1055"/>
      <c r="J9551" s="1055"/>
      <c r="K9551" s="1205"/>
      <c r="L9551" s="1055"/>
      <c r="M9551" s="1205"/>
      <c r="N9551" s="1054"/>
      <c r="O9551" s="1207"/>
      <c r="Q9551" s="1207"/>
    </row>
    <row r="9552" spans="3:17" s="700" customFormat="1" ht="70.5" hidden="1" customHeight="1">
      <c r="C9552" s="701"/>
      <c r="D9552" s="811"/>
      <c r="E9552" s="1276">
        <f>[11]building!Y9883</f>
        <v>0</v>
      </c>
      <c r="F9552" s="748">
        <f t="shared" si="388"/>
        <v>0</v>
      </c>
      <c r="G9552" s="1205"/>
      <c r="H9552" s="1055"/>
      <c r="I9552" s="1055"/>
      <c r="J9552" s="1055"/>
      <c r="K9552" s="1205"/>
      <c r="L9552" s="1055"/>
      <c r="M9552" s="1205"/>
      <c r="N9552" s="1054"/>
      <c r="O9552" s="1207"/>
      <c r="Q9552" s="1207"/>
    </row>
    <row r="9553" spans="3:17" s="700" customFormat="1" ht="70.5" hidden="1" customHeight="1">
      <c r="C9553" s="701"/>
      <c r="D9553" s="811"/>
      <c r="E9553" s="1276">
        <f>[11]building!Y9884</f>
        <v>0</v>
      </c>
      <c r="F9553" s="748">
        <f t="shared" si="388"/>
        <v>0</v>
      </c>
      <c r="G9553" s="1205"/>
      <c r="H9553" s="1055"/>
      <c r="I9553" s="1055"/>
      <c r="J9553" s="1055"/>
      <c r="K9553" s="1205"/>
      <c r="L9553" s="1055"/>
      <c r="M9553" s="1205"/>
      <c r="N9553" s="1054"/>
      <c r="O9553" s="1207"/>
      <c r="Q9553" s="1207"/>
    </row>
    <row r="9554" spans="3:17" s="700" customFormat="1" ht="70.5" hidden="1" customHeight="1">
      <c r="C9554" s="701"/>
      <c r="D9554" s="811"/>
      <c r="E9554" s="1276">
        <f>[11]building!Y9885</f>
        <v>0</v>
      </c>
      <c r="F9554" s="748">
        <f t="shared" si="388"/>
        <v>0</v>
      </c>
      <c r="G9554" s="1205"/>
      <c r="H9554" s="1055"/>
      <c r="I9554" s="1055"/>
      <c r="J9554" s="1055"/>
      <c r="K9554" s="1205"/>
      <c r="L9554" s="1055"/>
      <c r="M9554" s="1205"/>
      <c r="N9554" s="1054"/>
      <c r="O9554" s="1207"/>
      <c r="Q9554" s="1207"/>
    </row>
    <row r="9555" spans="3:17" s="700" customFormat="1" ht="70.5" hidden="1" customHeight="1">
      <c r="C9555" s="701"/>
      <c r="D9555" s="811"/>
      <c r="E9555" s="1276">
        <f>[11]building!Y9886</f>
        <v>0</v>
      </c>
      <c r="F9555" s="748">
        <f t="shared" si="388"/>
        <v>0</v>
      </c>
      <c r="G9555" s="1205"/>
      <c r="H9555" s="1055"/>
      <c r="I9555" s="1055"/>
      <c r="J9555" s="1055"/>
      <c r="K9555" s="1205"/>
      <c r="L9555" s="1055"/>
      <c r="M9555" s="1205"/>
      <c r="N9555" s="1054"/>
      <c r="O9555" s="1207"/>
      <c r="Q9555" s="1207"/>
    </row>
    <row r="9556" spans="3:17" s="700" customFormat="1" ht="70.5" hidden="1" customHeight="1">
      <c r="C9556" s="701"/>
      <c r="D9556" s="811"/>
      <c r="E9556" s="1276">
        <f>[11]building!Y9887</f>
        <v>0</v>
      </c>
      <c r="F9556" s="748">
        <f t="shared" si="388"/>
        <v>0</v>
      </c>
      <c r="G9556" s="1205"/>
      <c r="H9556" s="1055"/>
      <c r="I9556" s="1055"/>
      <c r="J9556" s="1055"/>
      <c r="K9556" s="1205"/>
      <c r="L9556" s="1055"/>
      <c r="M9556" s="1205"/>
      <c r="N9556" s="1054"/>
      <c r="O9556" s="1207"/>
      <c r="Q9556" s="1207"/>
    </row>
    <row r="9557" spans="3:17" s="700" customFormat="1" ht="70.5" hidden="1" customHeight="1">
      <c r="C9557" s="701"/>
      <c r="D9557" s="811"/>
      <c r="E9557" s="1276">
        <f>[11]building!Y9888</f>
        <v>0</v>
      </c>
      <c r="F9557" s="748">
        <f t="shared" si="388"/>
        <v>0</v>
      </c>
      <c r="G9557" s="1205"/>
      <c r="H9557" s="1055"/>
      <c r="I9557" s="1055"/>
      <c r="J9557" s="1055"/>
      <c r="K9557" s="1205"/>
      <c r="L9557" s="1055"/>
      <c r="M9557" s="1205"/>
      <c r="N9557" s="1054"/>
      <c r="O9557" s="1207"/>
      <c r="Q9557" s="1207"/>
    </row>
    <row r="9558" spans="3:17" s="700" customFormat="1" ht="70.5" hidden="1" customHeight="1">
      <c r="C9558" s="701"/>
      <c r="D9558" s="811"/>
      <c r="E9558" s="1276">
        <f>[11]building!Y9889</f>
        <v>0</v>
      </c>
      <c r="F9558" s="748">
        <f t="shared" si="388"/>
        <v>0</v>
      </c>
      <c r="G9558" s="1205"/>
      <c r="H9558" s="1055"/>
      <c r="I9558" s="1055"/>
      <c r="J9558" s="1055"/>
      <c r="K9558" s="1205"/>
      <c r="L9558" s="1055"/>
      <c r="M9558" s="1205"/>
      <c r="N9558" s="1054"/>
      <c r="O9558" s="1207"/>
      <c r="Q9558" s="1207"/>
    </row>
    <row r="9559" spans="3:17" s="700" customFormat="1" ht="70.5" hidden="1" customHeight="1">
      <c r="C9559" s="701"/>
      <c r="D9559" s="811"/>
      <c r="E9559" s="1276">
        <f>[11]building!Y9890</f>
        <v>0</v>
      </c>
      <c r="F9559" s="748">
        <f t="shared" si="388"/>
        <v>0</v>
      </c>
      <c r="G9559" s="1205"/>
      <c r="H9559" s="1055"/>
      <c r="I9559" s="1055"/>
      <c r="J9559" s="1055"/>
      <c r="K9559" s="1205"/>
      <c r="L9559" s="1055"/>
      <c r="M9559" s="1205"/>
      <c r="N9559" s="1054"/>
      <c r="O9559" s="1207"/>
      <c r="Q9559" s="1207"/>
    </row>
    <row r="9560" spans="3:17" s="700" customFormat="1" ht="70.5" hidden="1" customHeight="1">
      <c r="C9560" s="701"/>
      <c r="D9560" s="811"/>
      <c r="E9560" s="1276">
        <f>[11]building!Y9891</f>
        <v>0</v>
      </c>
      <c r="F9560" s="748">
        <f t="shared" si="388"/>
        <v>0</v>
      </c>
      <c r="G9560" s="1205"/>
      <c r="H9560" s="1055"/>
      <c r="I9560" s="1055"/>
      <c r="J9560" s="1055"/>
      <c r="K9560" s="1205"/>
      <c r="L9560" s="1055"/>
      <c r="M9560" s="1205"/>
      <c r="N9560" s="1054"/>
      <c r="O9560" s="1207"/>
      <c r="Q9560" s="1207"/>
    </row>
    <row r="9561" spans="3:17" s="700" customFormat="1" ht="70.5" hidden="1" customHeight="1">
      <c r="C9561" s="701"/>
      <c r="D9561" s="811"/>
      <c r="E9561" s="1276">
        <f>[11]building!Y9892</f>
        <v>0</v>
      </c>
      <c r="F9561" s="748">
        <f t="shared" si="388"/>
        <v>0</v>
      </c>
      <c r="G9561" s="1205"/>
      <c r="H9561" s="1055"/>
      <c r="I9561" s="1055"/>
      <c r="J9561" s="1055"/>
      <c r="K9561" s="1205"/>
      <c r="L9561" s="1055"/>
      <c r="M9561" s="1205"/>
      <c r="N9561" s="1054"/>
      <c r="O9561" s="1207"/>
      <c r="Q9561" s="1207"/>
    </row>
    <row r="9562" spans="3:17" s="700" customFormat="1" ht="70.5" hidden="1" customHeight="1">
      <c r="C9562" s="701"/>
      <c r="D9562" s="811"/>
      <c r="E9562" s="1276">
        <f>[11]building!Y9893</f>
        <v>0</v>
      </c>
      <c r="F9562" s="748">
        <f t="shared" si="388"/>
        <v>0</v>
      </c>
      <c r="G9562" s="1205"/>
      <c r="H9562" s="1055"/>
      <c r="I9562" s="1055"/>
      <c r="J9562" s="1055"/>
      <c r="K9562" s="1205"/>
      <c r="L9562" s="1055"/>
      <c r="M9562" s="1205"/>
      <c r="N9562" s="1054"/>
      <c r="O9562" s="1207"/>
      <c r="Q9562" s="1207"/>
    </row>
    <row r="9563" spans="3:17" s="700" customFormat="1" ht="70.5" hidden="1" customHeight="1">
      <c r="C9563" s="701"/>
      <c r="D9563" s="811"/>
      <c r="E9563" s="1276">
        <f>[11]building!Y9894</f>
        <v>0</v>
      </c>
      <c r="F9563" s="748">
        <f t="shared" si="388"/>
        <v>0</v>
      </c>
      <c r="G9563" s="1205"/>
      <c r="H9563" s="1055"/>
      <c r="I9563" s="1055"/>
      <c r="J9563" s="1055"/>
      <c r="K9563" s="1205"/>
      <c r="L9563" s="1055"/>
      <c r="M9563" s="1205"/>
      <c r="N9563" s="1054"/>
      <c r="O9563" s="1207"/>
      <c r="Q9563" s="1207"/>
    </row>
    <row r="9564" spans="3:17" s="700" customFormat="1" ht="70.5" hidden="1" customHeight="1">
      <c r="C9564" s="701"/>
      <c r="D9564" s="811"/>
      <c r="E9564" s="1276">
        <f>[11]building!Y9895</f>
        <v>0</v>
      </c>
      <c r="F9564" s="748">
        <f t="shared" si="388"/>
        <v>0</v>
      </c>
      <c r="G9564" s="1205"/>
      <c r="H9564" s="1055"/>
      <c r="I9564" s="1055"/>
      <c r="J9564" s="1055"/>
      <c r="K9564" s="1205"/>
      <c r="L9564" s="1055"/>
      <c r="M9564" s="1205"/>
      <c r="N9564" s="1054"/>
      <c r="O9564" s="1207"/>
      <c r="Q9564" s="1207"/>
    </row>
    <row r="9565" spans="3:17" s="700" customFormat="1" ht="70.5" hidden="1" customHeight="1">
      <c r="C9565" s="701"/>
      <c r="D9565" s="811"/>
      <c r="E9565" s="1276">
        <f>[11]building!Y9896</f>
        <v>0</v>
      </c>
      <c r="F9565" s="748">
        <f t="shared" si="388"/>
        <v>0</v>
      </c>
      <c r="G9565" s="1205"/>
      <c r="H9565" s="1055"/>
      <c r="I9565" s="1055"/>
      <c r="J9565" s="1055"/>
      <c r="K9565" s="1205"/>
      <c r="L9565" s="1055"/>
      <c r="M9565" s="1205"/>
      <c r="N9565" s="1054"/>
      <c r="O9565" s="1207"/>
      <c r="Q9565" s="1207"/>
    </row>
    <row r="9566" spans="3:17" s="700" customFormat="1" ht="70.5" hidden="1" customHeight="1">
      <c r="C9566" s="701"/>
      <c r="D9566" s="811"/>
      <c r="E9566" s="1276">
        <f>[11]building!Y9897</f>
        <v>0</v>
      </c>
      <c r="F9566" s="748">
        <f t="shared" si="388"/>
        <v>0</v>
      </c>
      <c r="G9566" s="1205"/>
      <c r="H9566" s="1055"/>
      <c r="I9566" s="1055"/>
      <c r="J9566" s="1055"/>
      <c r="K9566" s="1205"/>
      <c r="L9566" s="1055"/>
      <c r="M9566" s="1205"/>
      <c r="N9566" s="1054"/>
      <c r="O9566" s="1207"/>
      <c r="Q9566" s="1207"/>
    </row>
    <row r="9567" spans="3:17" s="700" customFormat="1" ht="70.5" hidden="1" customHeight="1">
      <c r="C9567" s="701"/>
      <c r="D9567" s="811"/>
      <c r="E9567" s="1276">
        <f>[11]building!Y9898</f>
        <v>0</v>
      </c>
      <c r="F9567" s="748">
        <f t="shared" si="388"/>
        <v>0</v>
      </c>
      <c r="G9567" s="1205"/>
      <c r="H9567" s="1055"/>
      <c r="I9567" s="1055"/>
      <c r="J9567" s="1055"/>
      <c r="K9567" s="1205"/>
      <c r="L9567" s="1055"/>
      <c r="M9567" s="1205"/>
      <c r="N9567" s="1054"/>
      <c r="O9567" s="1207"/>
      <c r="Q9567" s="1207"/>
    </row>
    <row r="9568" spans="3:17" s="700" customFormat="1" ht="70.5" hidden="1" customHeight="1">
      <c r="C9568" s="701"/>
      <c r="D9568" s="811"/>
      <c r="E9568" s="1276">
        <f>[11]building!Y9899</f>
        <v>0</v>
      </c>
      <c r="F9568" s="748">
        <f t="shared" si="388"/>
        <v>0</v>
      </c>
      <c r="G9568" s="1205"/>
      <c r="H9568" s="1055"/>
      <c r="I9568" s="1055"/>
      <c r="J9568" s="1055"/>
      <c r="K9568" s="1205"/>
      <c r="L9568" s="1055"/>
      <c r="M9568" s="1205"/>
      <c r="N9568" s="1054"/>
      <c r="O9568" s="1207"/>
      <c r="Q9568" s="1207"/>
    </row>
    <row r="9569" spans="3:17" s="700" customFormat="1" ht="70.5" hidden="1" customHeight="1">
      <c r="C9569" s="701"/>
      <c r="D9569" s="811"/>
      <c r="E9569" s="1276">
        <f>[11]building!Y9900</f>
        <v>0</v>
      </c>
      <c r="F9569" s="748">
        <f t="shared" si="388"/>
        <v>0</v>
      </c>
      <c r="G9569" s="1205"/>
      <c r="H9569" s="1055"/>
      <c r="I9569" s="1055"/>
      <c r="J9569" s="1055"/>
      <c r="K9569" s="1205"/>
      <c r="L9569" s="1055"/>
      <c r="M9569" s="1205"/>
      <c r="N9569" s="1054"/>
      <c r="O9569" s="1207"/>
      <c r="Q9569" s="1207"/>
    </row>
    <row r="9570" spans="3:17" s="700" customFormat="1" ht="70.5" hidden="1" customHeight="1">
      <c r="C9570" s="701"/>
      <c r="D9570" s="811"/>
      <c r="E9570" s="1276">
        <f>[11]building!Y9901</f>
        <v>0</v>
      </c>
      <c r="F9570" s="748">
        <f t="shared" si="388"/>
        <v>0</v>
      </c>
      <c r="G9570" s="1205"/>
      <c r="H9570" s="1055"/>
      <c r="I9570" s="1055"/>
      <c r="J9570" s="1055"/>
      <c r="K9570" s="1205"/>
      <c r="L9570" s="1055"/>
      <c r="M9570" s="1205"/>
      <c r="N9570" s="1054"/>
      <c r="O9570" s="1207"/>
      <c r="Q9570" s="1207"/>
    </row>
    <row r="9571" spans="3:17" s="700" customFormat="1" ht="70.5" hidden="1" customHeight="1">
      <c r="C9571" s="701"/>
      <c r="D9571" s="811"/>
      <c r="E9571" s="1276">
        <f>[11]building!Y9902</f>
        <v>0</v>
      </c>
      <c r="F9571" s="748">
        <f t="shared" si="388"/>
        <v>0</v>
      </c>
      <c r="G9571" s="1205"/>
      <c r="H9571" s="1055"/>
      <c r="I9571" s="1055"/>
      <c r="J9571" s="1055"/>
      <c r="K9571" s="1205"/>
      <c r="L9571" s="1055"/>
      <c r="M9571" s="1205"/>
      <c r="N9571" s="1054"/>
      <c r="O9571" s="1207"/>
      <c r="Q9571" s="1207"/>
    </row>
    <row r="9572" spans="3:17" s="700" customFormat="1" ht="70.5" hidden="1" customHeight="1">
      <c r="C9572" s="701"/>
      <c r="D9572" s="811"/>
      <c r="E9572" s="1276">
        <f>[11]building!Y9903</f>
        <v>0</v>
      </c>
      <c r="F9572" s="748">
        <f t="shared" si="388"/>
        <v>0</v>
      </c>
      <c r="G9572" s="1205"/>
      <c r="H9572" s="1055"/>
      <c r="I9572" s="1055"/>
      <c r="J9572" s="1055"/>
      <c r="K9572" s="1205"/>
      <c r="L9572" s="1055"/>
      <c r="M9572" s="1205"/>
      <c r="N9572" s="1054"/>
      <c r="O9572" s="1207"/>
      <c r="Q9572" s="1207"/>
    </row>
    <row r="9573" spans="3:17" s="700" customFormat="1" ht="70.5" hidden="1" customHeight="1">
      <c r="C9573" s="701"/>
      <c r="D9573" s="811"/>
      <c r="E9573" s="1276">
        <f>[11]building!Y9904</f>
        <v>0</v>
      </c>
      <c r="F9573" s="748">
        <f t="shared" si="388"/>
        <v>0</v>
      </c>
      <c r="G9573" s="1205"/>
      <c r="H9573" s="1055"/>
      <c r="I9573" s="1055"/>
      <c r="J9573" s="1055"/>
      <c r="K9573" s="1205"/>
      <c r="L9573" s="1055"/>
      <c r="M9573" s="1205"/>
      <c r="N9573" s="1054"/>
      <c r="O9573" s="1207"/>
      <c r="Q9573" s="1207"/>
    </row>
    <row r="9574" spans="3:17" s="700" customFormat="1" ht="70.5" hidden="1" customHeight="1">
      <c r="C9574" s="701"/>
      <c r="D9574" s="811"/>
      <c r="E9574" s="1276">
        <f>[11]building!Y9905</f>
        <v>0</v>
      </c>
      <c r="F9574" s="748">
        <f t="shared" si="388"/>
        <v>0</v>
      </c>
      <c r="G9574" s="1205"/>
      <c r="H9574" s="1055"/>
      <c r="I9574" s="1055"/>
      <c r="J9574" s="1055"/>
      <c r="K9574" s="1205"/>
      <c r="L9574" s="1055"/>
      <c r="M9574" s="1205"/>
      <c r="N9574" s="1054"/>
      <c r="O9574" s="1207"/>
      <c r="Q9574" s="1207"/>
    </row>
    <row r="9575" spans="3:17" s="700" customFormat="1" ht="70.5" hidden="1" customHeight="1">
      <c r="C9575" s="701"/>
      <c r="D9575" s="811"/>
      <c r="E9575" s="1276">
        <f>[11]building!Y9906</f>
        <v>0</v>
      </c>
      <c r="F9575" s="748">
        <f t="shared" si="388"/>
        <v>0</v>
      </c>
      <c r="G9575" s="1205"/>
      <c r="H9575" s="1055"/>
      <c r="I9575" s="1055"/>
      <c r="J9575" s="1055"/>
      <c r="K9575" s="1205"/>
      <c r="L9575" s="1055"/>
      <c r="M9575" s="1205"/>
      <c r="N9575" s="1054"/>
      <c r="O9575" s="1207"/>
      <c r="Q9575" s="1207"/>
    </row>
    <row r="9576" spans="3:17" s="700" customFormat="1" ht="70.5" hidden="1" customHeight="1">
      <c r="C9576" s="701"/>
      <c r="D9576" s="811"/>
      <c r="E9576" s="1276">
        <f>[11]building!Y9907</f>
        <v>0</v>
      </c>
      <c r="F9576" s="748">
        <f t="shared" si="388"/>
        <v>0</v>
      </c>
      <c r="G9576" s="1205"/>
      <c r="H9576" s="1055"/>
      <c r="I9576" s="1055"/>
      <c r="J9576" s="1055"/>
      <c r="K9576" s="1205"/>
      <c r="L9576" s="1055"/>
      <c r="M9576" s="1205"/>
      <c r="N9576" s="1054"/>
      <c r="O9576" s="1207"/>
      <c r="Q9576" s="1207"/>
    </row>
    <row r="9577" spans="3:17" s="700" customFormat="1" ht="70.5" hidden="1" customHeight="1">
      <c r="C9577" s="701"/>
      <c r="D9577" s="811"/>
      <c r="E9577" s="1276">
        <f>[11]building!Y9908</f>
        <v>0</v>
      </c>
      <c r="F9577" s="748">
        <f t="shared" si="388"/>
        <v>0</v>
      </c>
      <c r="G9577" s="1205"/>
      <c r="H9577" s="1055"/>
      <c r="I9577" s="1055"/>
      <c r="J9577" s="1055"/>
      <c r="K9577" s="1205"/>
      <c r="L9577" s="1055"/>
      <c r="M9577" s="1205"/>
      <c r="N9577" s="1054"/>
      <c r="O9577" s="1207"/>
      <c r="Q9577" s="1207"/>
    </row>
    <row r="9578" spans="3:17" s="700" customFormat="1" ht="70.5" hidden="1" customHeight="1">
      <c r="C9578" s="701"/>
      <c r="D9578" s="811"/>
      <c r="E9578" s="1276">
        <f>[11]building!Y9909</f>
        <v>0</v>
      </c>
      <c r="F9578" s="748">
        <f t="shared" si="388"/>
        <v>0</v>
      </c>
      <c r="G9578" s="1205"/>
      <c r="H9578" s="1055"/>
      <c r="I9578" s="1055"/>
      <c r="J9578" s="1055"/>
      <c r="K9578" s="1205"/>
      <c r="L9578" s="1055"/>
      <c r="M9578" s="1205"/>
      <c r="N9578" s="1054"/>
      <c r="O9578" s="1207"/>
      <c r="Q9578" s="1207"/>
    </row>
    <row r="9579" spans="3:17" s="700" customFormat="1" ht="70.5" hidden="1" customHeight="1">
      <c r="C9579" s="701"/>
      <c r="D9579" s="811"/>
      <c r="E9579" s="1276">
        <f>[11]building!Y9910</f>
        <v>0</v>
      </c>
      <c r="F9579" s="748">
        <f t="shared" si="388"/>
        <v>0</v>
      </c>
      <c r="G9579" s="1205"/>
      <c r="H9579" s="1055"/>
      <c r="I9579" s="1055"/>
      <c r="J9579" s="1055"/>
      <c r="K9579" s="1205"/>
      <c r="L9579" s="1055"/>
      <c r="M9579" s="1205"/>
      <c r="N9579" s="1054"/>
      <c r="O9579" s="1207"/>
      <c r="Q9579" s="1207"/>
    </row>
    <row r="9580" spans="3:17" s="700" customFormat="1" ht="70.5" hidden="1" customHeight="1">
      <c r="C9580" s="701"/>
      <c r="D9580" s="811"/>
      <c r="E9580" s="1276">
        <f>[11]building!Y9911</f>
        <v>0</v>
      </c>
      <c r="F9580" s="748">
        <f t="shared" si="388"/>
        <v>0</v>
      </c>
      <c r="G9580" s="1205"/>
      <c r="H9580" s="1055"/>
      <c r="I9580" s="1055"/>
      <c r="J9580" s="1055"/>
      <c r="K9580" s="1205"/>
      <c r="L9580" s="1055"/>
      <c r="M9580" s="1205"/>
      <c r="N9580" s="1054"/>
      <c r="O9580" s="1207"/>
      <c r="Q9580" s="1207"/>
    </row>
    <row r="9581" spans="3:17" s="700" customFormat="1" ht="70.5" hidden="1" customHeight="1">
      <c r="C9581" s="701"/>
      <c r="D9581" s="811"/>
      <c r="E9581" s="1276">
        <f>[11]building!Y9912</f>
        <v>0</v>
      </c>
      <c r="F9581" s="748">
        <f t="shared" si="388"/>
        <v>0</v>
      </c>
      <c r="G9581" s="1205"/>
      <c r="H9581" s="1055"/>
      <c r="I9581" s="1055"/>
      <c r="J9581" s="1055"/>
      <c r="K9581" s="1205"/>
      <c r="L9581" s="1055"/>
      <c r="M9581" s="1205"/>
      <c r="N9581" s="1054"/>
      <c r="O9581" s="1207"/>
      <c r="Q9581" s="1207"/>
    </row>
    <row r="9582" spans="3:17" s="700" customFormat="1" ht="70.5" hidden="1" customHeight="1">
      <c r="C9582" s="701"/>
      <c r="D9582" s="811"/>
      <c r="E9582" s="1276">
        <f>[11]building!Y9913</f>
        <v>0</v>
      </c>
      <c r="F9582" s="748">
        <f t="shared" si="388"/>
        <v>0</v>
      </c>
      <c r="G9582" s="1205"/>
      <c r="H9582" s="1055"/>
      <c r="I9582" s="1055"/>
      <c r="J9582" s="1055"/>
      <c r="K9582" s="1205"/>
      <c r="L9582" s="1055"/>
      <c r="M9582" s="1205"/>
      <c r="N9582" s="1054"/>
      <c r="O9582" s="1207"/>
      <c r="Q9582" s="1207"/>
    </row>
    <row r="9583" spans="3:17" s="700" customFormat="1" ht="70.5" hidden="1" customHeight="1">
      <c r="C9583" s="701"/>
      <c r="D9583" s="811"/>
      <c r="E9583" s="1276">
        <f>[11]building!Y9914</f>
        <v>0</v>
      </c>
      <c r="F9583" s="748">
        <f t="shared" si="388"/>
        <v>0</v>
      </c>
      <c r="G9583" s="1205"/>
      <c r="H9583" s="1055"/>
      <c r="I9583" s="1055"/>
      <c r="J9583" s="1055"/>
      <c r="K9583" s="1205"/>
      <c r="L9583" s="1055"/>
      <c r="M9583" s="1205"/>
      <c r="N9583" s="1054"/>
      <c r="O9583" s="1207"/>
      <c r="Q9583" s="1207"/>
    </row>
    <row r="9584" spans="3:17" s="700" customFormat="1" ht="70.5" hidden="1" customHeight="1">
      <c r="C9584" s="701"/>
      <c r="D9584" s="811"/>
      <c r="E9584" s="1276">
        <f>[11]building!Y9915</f>
        <v>0</v>
      </c>
      <c r="F9584" s="748">
        <f t="shared" si="388"/>
        <v>0</v>
      </c>
      <c r="G9584" s="1205"/>
      <c r="H9584" s="1055"/>
      <c r="I9584" s="1055"/>
      <c r="J9584" s="1055"/>
      <c r="K9584" s="1205"/>
      <c r="L9584" s="1055"/>
      <c r="M9584" s="1205"/>
      <c r="N9584" s="1054"/>
      <c r="O9584" s="1207"/>
      <c r="Q9584" s="1207"/>
    </row>
    <row r="9585" spans="3:17" s="700" customFormat="1" ht="70.5" hidden="1" customHeight="1">
      <c r="C9585" s="701"/>
      <c r="D9585" s="811"/>
      <c r="E9585" s="1276">
        <f>[11]building!Y9916</f>
        <v>0</v>
      </c>
      <c r="F9585" s="748">
        <f t="shared" si="388"/>
        <v>0</v>
      </c>
      <c r="G9585" s="1205"/>
      <c r="H9585" s="1055"/>
      <c r="I9585" s="1055"/>
      <c r="J9585" s="1055"/>
      <c r="K9585" s="1205"/>
      <c r="L9585" s="1055"/>
      <c r="M9585" s="1205"/>
      <c r="N9585" s="1054"/>
      <c r="O9585" s="1207"/>
      <c r="Q9585" s="1207"/>
    </row>
    <row r="9586" spans="3:17" s="700" customFormat="1" ht="70.5" hidden="1" customHeight="1">
      <c r="C9586" s="701"/>
      <c r="D9586" s="811"/>
      <c r="E9586" s="1276">
        <f>[11]building!Y9917</f>
        <v>0</v>
      </c>
      <c r="F9586" s="748">
        <f t="shared" si="388"/>
        <v>0</v>
      </c>
      <c r="G9586" s="1205"/>
      <c r="H9586" s="1055"/>
      <c r="I9586" s="1055"/>
      <c r="J9586" s="1055"/>
      <c r="K9586" s="1205"/>
      <c r="L9586" s="1055"/>
      <c r="M9586" s="1205"/>
      <c r="N9586" s="1054"/>
      <c r="O9586" s="1207"/>
      <c r="Q9586" s="1207"/>
    </row>
    <row r="9587" spans="3:17" s="700" customFormat="1" ht="70.5" hidden="1" customHeight="1">
      <c r="C9587" s="701"/>
      <c r="D9587" s="811"/>
      <c r="E9587" s="1276">
        <f>[11]building!Y9918</f>
        <v>0</v>
      </c>
      <c r="F9587" s="748">
        <f t="shared" si="388"/>
        <v>0</v>
      </c>
      <c r="G9587" s="1205"/>
      <c r="H9587" s="1055"/>
      <c r="I9587" s="1055"/>
      <c r="J9587" s="1055"/>
      <c r="K9587" s="1205"/>
      <c r="L9587" s="1055"/>
      <c r="M9587" s="1205"/>
      <c r="N9587" s="1054"/>
      <c r="O9587" s="1207"/>
      <c r="Q9587" s="1207"/>
    </row>
    <row r="9588" spans="3:17" s="700" customFormat="1" ht="70.5" hidden="1" customHeight="1">
      <c r="C9588" s="701"/>
      <c r="D9588" s="811"/>
      <c r="E9588" s="1276">
        <f>[11]building!Y9919</f>
        <v>0</v>
      </c>
      <c r="F9588" s="748">
        <f t="shared" si="388"/>
        <v>0</v>
      </c>
      <c r="G9588" s="1205"/>
      <c r="H9588" s="1055"/>
      <c r="I9588" s="1055"/>
      <c r="J9588" s="1055"/>
      <c r="K9588" s="1205"/>
      <c r="L9588" s="1055"/>
      <c r="M9588" s="1205"/>
      <c r="N9588" s="1054"/>
      <c r="O9588" s="1207"/>
      <c r="Q9588" s="1207"/>
    </row>
    <row r="9589" spans="3:17" s="700" customFormat="1" ht="70.5" hidden="1" customHeight="1">
      <c r="C9589" s="701"/>
      <c r="D9589" s="811"/>
      <c r="E9589" s="1276">
        <f>[11]building!Y9920</f>
        <v>0</v>
      </c>
      <c r="F9589" s="748">
        <f t="shared" si="388"/>
        <v>0</v>
      </c>
      <c r="G9589" s="1205"/>
      <c r="H9589" s="1055"/>
      <c r="I9589" s="1055"/>
      <c r="J9589" s="1055"/>
      <c r="K9589" s="1205"/>
      <c r="L9589" s="1055"/>
      <c r="M9589" s="1205"/>
      <c r="N9589" s="1054"/>
      <c r="O9589" s="1207"/>
      <c r="Q9589" s="1207"/>
    </row>
    <row r="9590" spans="3:17" s="700" customFormat="1" ht="70.5" hidden="1" customHeight="1">
      <c r="C9590" s="701"/>
      <c r="D9590" s="811"/>
      <c r="E9590" s="1276">
        <f>[11]building!Y9921</f>
        <v>0</v>
      </c>
      <c r="F9590" s="748">
        <f t="shared" si="388"/>
        <v>0</v>
      </c>
      <c r="G9590" s="1205"/>
      <c r="H9590" s="1055"/>
      <c r="I9590" s="1055"/>
      <c r="J9590" s="1055"/>
      <c r="K9590" s="1205"/>
      <c r="L9590" s="1055"/>
      <c r="M9590" s="1205"/>
      <c r="N9590" s="1054"/>
      <c r="O9590" s="1207"/>
      <c r="Q9590" s="1207"/>
    </row>
    <row r="9591" spans="3:17" s="700" customFormat="1" ht="70.5" hidden="1" customHeight="1">
      <c r="C9591" s="701"/>
      <c r="D9591" s="811"/>
      <c r="E9591" s="1276">
        <f>[11]building!Y9922</f>
        <v>0</v>
      </c>
      <c r="F9591" s="748">
        <f t="shared" si="388"/>
        <v>0</v>
      </c>
      <c r="G9591" s="1205"/>
      <c r="H9591" s="1055"/>
      <c r="I9591" s="1055"/>
      <c r="J9591" s="1055"/>
      <c r="K9591" s="1205"/>
      <c r="L9591" s="1055"/>
      <c r="M9591" s="1205"/>
      <c r="N9591" s="1054"/>
      <c r="O9591" s="1207"/>
      <c r="Q9591" s="1207"/>
    </row>
    <row r="9592" spans="3:17" s="700" customFormat="1" ht="70.5" hidden="1" customHeight="1">
      <c r="C9592" s="701"/>
      <c r="D9592" s="811"/>
      <c r="E9592" s="1276">
        <f>[11]building!Y9923</f>
        <v>0</v>
      </c>
      <c r="F9592" s="748">
        <f t="shared" si="388"/>
        <v>0</v>
      </c>
      <c r="G9592" s="1205"/>
      <c r="H9592" s="1055"/>
      <c r="I9592" s="1055"/>
      <c r="J9592" s="1055"/>
      <c r="K9592" s="1205"/>
      <c r="L9592" s="1055"/>
      <c r="M9592" s="1205"/>
      <c r="N9592" s="1054"/>
      <c r="O9592" s="1207"/>
      <c r="Q9592" s="1207"/>
    </row>
    <row r="9593" spans="3:17" s="700" customFormat="1" ht="70.5" hidden="1" customHeight="1">
      <c r="C9593" s="701"/>
      <c r="D9593" s="811"/>
      <c r="E9593" s="1276">
        <f>[11]building!Y9924</f>
        <v>0</v>
      </c>
      <c r="F9593" s="748">
        <f t="shared" si="388"/>
        <v>0</v>
      </c>
      <c r="G9593" s="1205"/>
      <c r="H9593" s="1055"/>
      <c r="I9593" s="1055"/>
      <c r="J9593" s="1055"/>
      <c r="K9593" s="1205"/>
      <c r="L9593" s="1055"/>
      <c r="M9593" s="1205"/>
      <c r="N9593" s="1054"/>
      <c r="O9593" s="1207"/>
      <c r="Q9593" s="1207"/>
    </row>
    <row r="9594" spans="3:17" s="700" customFormat="1" ht="70.5" hidden="1" customHeight="1">
      <c r="C9594" s="701"/>
      <c r="D9594" s="811"/>
      <c r="E9594" s="1276">
        <f>[11]building!Y9925</f>
        <v>0</v>
      </c>
      <c r="F9594" s="748">
        <f t="shared" si="388"/>
        <v>0</v>
      </c>
      <c r="G9594" s="1205"/>
      <c r="H9594" s="1055"/>
      <c r="I9594" s="1055"/>
      <c r="J9594" s="1055"/>
      <c r="K9594" s="1205"/>
      <c r="L9594" s="1055"/>
      <c r="M9594" s="1205"/>
      <c r="N9594" s="1054"/>
      <c r="O9594" s="1207"/>
      <c r="Q9594" s="1207"/>
    </row>
    <row r="9595" spans="3:17" s="700" customFormat="1" ht="70.5" hidden="1" customHeight="1">
      <c r="C9595" s="701"/>
      <c r="D9595" s="811"/>
      <c r="E9595" s="1276">
        <f>[11]building!Y9926</f>
        <v>0</v>
      </c>
      <c r="F9595" s="748">
        <f t="shared" si="388"/>
        <v>0</v>
      </c>
      <c r="G9595" s="1205"/>
      <c r="H9595" s="1055"/>
      <c r="I9595" s="1055"/>
      <c r="J9595" s="1055"/>
      <c r="K9595" s="1205"/>
      <c r="L9595" s="1055"/>
      <c r="M9595" s="1205"/>
      <c r="N9595" s="1054"/>
      <c r="O9595" s="1207"/>
      <c r="Q9595" s="1207"/>
    </row>
    <row r="9596" spans="3:17" s="700" customFormat="1" ht="70.5" hidden="1" customHeight="1">
      <c r="C9596" s="701"/>
      <c r="D9596" s="811"/>
      <c r="E9596" s="1276">
        <f>[11]building!Y9927</f>
        <v>0</v>
      </c>
      <c r="F9596" s="748">
        <f t="shared" si="388"/>
        <v>0</v>
      </c>
      <c r="G9596" s="1205"/>
      <c r="H9596" s="1055"/>
      <c r="I9596" s="1055"/>
      <c r="J9596" s="1055"/>
      <c r="K9596" s="1205"/>
      <c r="L9596" s="1055"/>
      <c r="M9596" s="1205"/>
      <c r="N9596" s="1054"/>
      <c r="O9596" s="1207"/>
      <c r="Q9596" s="1207"/>
    </row>
    <row r="9597" spans="3:17" s="700" customFormat="1" ht="70.5" hidden="1" customHeight="1">
      <c r="C9597" s="701"/>
      <c r="D9597" s="811"/>
      <c r="E9597" s="1276">
        <f>[11]building!Y9928</f>
        <v>0</v>
      </c>
      <c r="F9597" s="748">
        <f t="shared" si="388"/>
        <v>0</v>
      </c>
      <c r="G9597" s="1205"/>
      <c r="H9597" s="1055"/>
      <c r="I9597" s="1055"/>
      <c r="J9597" s="1055"/>
      <c r="K9597" s="1205"/>
      <c r="L9597" s="1055"/>
      <c r="M9597" s="1205"/>
      <c r="N9597" s="1054"/>
      <c r="O9597" s="1207"/>
      <c r="Q9597" s="1207"/>
    </row>
    <row r="9598" spans="3:17" s="700" customFormat="1" ht="70.5" hidden="1" customHeight="1">
      <c r="C9598" s="701"/>
      <c r="D9598" s="811"/>
      <c r="E9598" s="1276">
        <f>[11]building!Y9929</f>
        <v>0</v>
      </c>
      <c r="F9598" s="748">
        <f t="shared" si="388"/>
        <v>0</v>
      </c>
      <c r="G9598" s="1205"/>
      <c r="H9598" s="1055"/>
      <c r="I9598" s="1055"/>
      <c r="J9598" s="1055"/>
      <c r="K9598" s="1205"/>
      <c r="L9598" s="1055"/>
      <c r="M9598" s="1205"/>
      <c r="N9598" s="1054"/>
      <c r="O9598" s="1207"/>
      <c r="Q9598" s="1207"/>
    </row>
    <row r="9599" spans="3:17" s="700" customFormat="1" ht="70.5" hidden="1" customHeight="1">
      <c r="C9599" s="701"/>
      <c r="D9599" s="811"/>
      <c r="E9599" s="1276">
        <f>[11]building!Y9930</f>
        <v>0</v>
      </c>
      <c r="F9599" s="748">
        <f t="shared" si="388"/>
        <v>0</v>
      </c>
      <c r="G9599" s="1205"/>
      <c r="H9599" s="1055"/>
      <c r="I9599" s="1055"/>
      <c r="J9599" s="1055"/>
      <c r="K9599" s="1205"/>
      <c r="L9599" s="1055"/>
      <c r="M9599" s="1205"/>
      <c r="N9599" s="1054"/>
      <c r="O9599" s="1207"/>
      <c r="Q9599" s="1207"/>
    </row>
    <row r="9600" spans="3:17" s="700" customFormat="1" ht="70.5" hidden="1" customHeight="1">
      <c r="C9600" s="701"/>
      <c r="D9600" s="811"/>
      <c r="E9600" s="1276">
        <f>[11]building!Y9931</f>
        <v>0</v>
      </c>
      <c r="F9600" s="748">
        <f t="shared" ref="F9600:F9663" si="389">E9600*C9600</f>
        <v>0</v>
      </c>
      <c r="G9600" s="1205"/>
      <c r="H9600" s="1055"/>
      <c r="I9600" s="1055"/>
      <c r="J9600" s="1055"/>
      <c r="K9600" s="1205"/>
      <c r="L9600" s="1055"/>
      <c r="M9600" s="1205"/>
      <c r="N9600" s="1054"/>
      <c r="O9600" s="1207"/>
      <c r="Q9600" s="1207"/>
    </row>
    <row r="9601" spans="3:17" s="700" customFormat="1" ht="70.5" hidden="1" customHeight="1">
      <c r="C9601" s="701"/>
      <c r="D9601" s="811"/>
      <c r="E9601" s="1276">
        <f>[11]building!Y9932</f>
        <v>0</v>
      </c>
      <c r="F9601" s="748">
        <f t="shared" si="389"/>
        <v>0</v>
      </c>
      <c r="G9601" s="1205"/>
      <c r="H9601" s="1055"/>
      <c r="I9601" s="1055"/>
      <c r="J9601" s="1055"/>
      <c r="K9601" s="1205"/>
      <c r="L9601" s="1055"/>
      <c r="M9601" s="1205"/>
      <c r="N9601" s="1054"/>
      <c r="O9601" s="1207"/>
      <c r="Q9601" s="1207"/>
    </row>
    <row r="9602" spans="3:17" s="700" customFormat="1" ht="70.5" hidden="1" customHeight="1">
      <c r="C9602" s="701"/>
      <c r="D9602" s="811"/>
      <c r="E9602" s="1276">
        <f>[11]building!Y9933</f>
        <v>0</v>
      </c>
      <c r="F9602" s="748">
        <f t="shared" si="389"/>
        <v>0</v>
      </c>
      <c r="G9602" s="1205"/>
      <c r="H9602" s="1055"/>
      <c r="I9602" s="1055"/>
      <c r="J9602" s="1055"/>
      <c r="K9602" s="1205"/>
      <c r="L9602" s="1055"/>
      <c r="M9602" s="1205"/>
      <c r="N9602" s="1054"/>
      <c r="O9602" s="1207"/>
      <c r="Q9602" s="1207"/>
    </row>
    <row r="9603" spans="3:17" s="700" customFormat="1" ht="70.5" hidden="1" customHeight="1">
      <c r="C9603" s="701"/>
      <c r="D9603" s="811"/>
      <c r="E9603" s="1276">
        <f>[11]building!Y9934</f>
        <v>0</v>
      </c>
      <c r="F9603" s="748">
        <f t="shared" si="389"/>
        <v>0</v>
      </c>
      <c r="G9603" s="1205"/>
      <c r="H9603" s="1055"/>
      <c r="I9603" s="1055"/>
      <c r="J9603" s="1055"/>
      <c r="K9603" s="1205"/>
      <c r="L9603" s="1055"/>
      <c r="M9603" s="1205"/>
      <c r="N9603" s="1054"/>
      <c r="O9603" s="1207"/>
      <c r="Q9603" s="1207"/>
    </row>
    <row r="9604" spans="3:17" s="700" customFormat="1" ht="70.5" hidden="1" customHeight="1">
      <c r="C9604" s="701"/>
      <c r="D9604" s="811"/>
      <c r="E9604" s="1276">
        <f>[11]building!Y9935</f>
        <v>0</v>
      </c>
      <c r="F9604" s="748">
        <f t="shared" si="389"/>
        <v>0</v>
      </c>
      <c r="G9604" s="1205"/>
      <c r="H9604" s="1055"/>
      <c r="I9604" s="1055"/>
      <c r="J9604" s="1055"/>
      <c r="K9604" s="1205"/>
      <c r="L9604" s="1055"/>
      <c r="M9604" s="1205"/>
      <c r="N9604" s="1054"/>
      <c r="O9604" s="1207"/>
      <c r="Q9604" s="1207"/>
    </row>
    <row r="9605" spans="3:17" s="700" customFormat="1" ht="70.5" hidden="1" customHeight="1">
      <c r="C9605" s="701"/>
      <c r="D9605" s="811"/>
      <c r="E9605" s="1276">
        <f>[11]building!Y9936</f>
        <v>0</v>
      </c>
      <c r="F9605" s="748">
        <f t="shared" si="389"/>
        <v>0</v>
      </c>
      <c r="G9605" s="1205"/>
      <c r="H9605" s="1055"/>
      <c r="I9605" s="1055"/>
      <c r="J9605" s="1055"/>
      <c r="K9605" s="1205"/>
      <c r="L9605" s="1055"/>
      <c r="M9605" s="1205"/>
      <c r="N9605" s="1054"/>
      <c r="O9605" s="1207"/>
      <c r="Q9605" s="1207"/>
    </row>
    <row r="9606" spans="3:17" s="700" customFormat="1" ht="70.5" hidden="1" customHeight="1">
      <c r="C9606" s="701"/>
      <c r="D9606" s="811"/>
      <c r="E9606" s="1276">
        <f>[11]building!Y9937</f>
        <v>0</v>
      </c>
      <c r="F9606" s="748">
        <f t="shared" si="389"/>
        <v>0</v>
      </c>
      <c r="G9606" s="1205"/>
      <c r="H9606" s="1055"/>
      <c r="I9606" s="1055"/>
      <c r="J9606" s="1055"/>
      <c r="K9606" s="1205"/>
      <c r="L9606" s="1055"/>
      <c r="M9606" s="1205"/>
      <c r="N9606" s="1054"/>
      <c r="O9606" s="1207"/>
      <c r="Q9606" s="1207"/>
    </row>
    <row r="9607" spans="3:17" s="700" customFormat="1" ht="70.5" hidden="1" customHeight="1">
      <c r="C9607" s="701"/>
      <c r="D9607" s="811"/>
      <c r="E9607" s="1276">
        <f>[11]building!Y9938</f>
        <v>0</v>
      </c>
      <c r="F9607" s="748">
        <f t="shared" si="389"/>
        <v>0</v>
      </c>
      <c r="G9607" s="1205"/>
      <c r="H9607" s="1055"/>
      <c r="I9607" s="1055"/>
      <c r="J9607" s="1055"/>
      <c r="K9607" s="1205"/>
      <c r="L9607" s="1055"/>
      <c r="M9607" s="1205"/>
      <c r="N9607" s="1054"/>
      <c r="O9607" s="1207"/>
      <c r="Q9607" s="1207"/>
    </row>
    <row r="9608" spans="3:17" s="700" customFormat="1" ht="70.5" hidden="1" customHeight="1">
      <c r="C9608" s="701"/>
      <c r="D9608" s="811"/>
      <c r="E9608" s="1276">
        <f>[11]building!Y9939</f>
        <v>0</v>
      </c>
      <c r="F9608" s="748">
        <f t="shared" si="389"/>
        <v>0</v>
      </c>
      <c r="G9608" s="1205"/>
      <c r="H9608" s="1055"/>
      <c r="I9608" s="1055"/>
      <c r="J9608" s="1055"/>
      <c r="K9608" s="1205"/>
      <c r="L9608" s="1055"/>
      <c r="M9608" s="1205"/>
      <c r="N9608" s="1054"/>
      <c r="O9608" s="1207"/>
      <c r="Q9608" s="1207"/>
    </row>
    <row r="9609" spans="3:17" s="700" customFormat="1" ht="70.5" hidden="1" customHeight="1">
      <c r="C9609" s="701"/>
      <c r="D9609" s="811"/>
      <c r="E9609" s="1276">
        <f>[11]building!Y9940</f>
        <v>0</v>
      </c>
      <c r="F9609" s="748">
        <f t="shared" si="389"/>
        <v>0</v>
      </c>
      <c r="G9609" s="1205"/>
      <c r="H9609" s="1055"/>
      <c r="I9609" s="1055"/>
      <c r="J9609" s="1055"/>
      <c r="K9609" s="1205"/>
      <c r="L9609" s="1055"/>
      <c r="M9609" s="1205"/>
      <c r="N9609" s="1054"/>
      <c r="O9609" s="1207"/>
      <c r="Q9609" s="1207"/>
    </row>
    <row r="9610" spans="3:17" s="700" customFormat="1" ht="70.5" hidden="1" customHeight="1">
      <c r="C9610" s="701"/>
      <c r="D9610" s="811"/>
      <c r="E9610" s="1276">
        <f>[11]building!Y9941</f>
        <v>0</v>
      </c>
      <c r="F9610" s="748">
        <f t="shared" si="389"/>
        <v>0</v>
      </c>
      <c r="G9610" s="1205"/>
      <c r="H9610" s="1055"/>
      <c r="I9610" s="1055"/>
      <c r="J9610" s="1055"/>
      <c r="K9610" s="1205"/>
      <c r="L9610" s="1055"/>
      <c r="M9610" s="1205"/>
      <c r="N9610" s="1054"/>
      <c r="O9610" s="1207"/>
      <c r="Q9610" s="1207"/>
    </row>
    <row r="9611" spans="3:17" s="700" customFormat="1" ht="70.5" hidden="1" customHeight="1">
      <c r="C9611" s="701"/>
      <c r="D9611" s="811"/>
      <c r="E9611" s="1276">
        <f>[11]building!Y9942</f>
        <v>0</v>
      </c>
      <c r="F9611" s="748">
        <f t="shared" si="389"/>
        <v>0</v>
      </c>
      <c r="G9611" s="1205"/>
      <c r="H9611" s="1055"/>
      <c r="I9611" s="1055"/>
      <c r="J9611" s="1055"/>
      <c r="K9611" s="1205"/>
      <c r="L9611" s="1055"/>
      <c r="M9611" s="1205"/>
      <c r="N9611" s="1054"/>
      <c r="O9611" s="1207"/>
      <c r="Q9611" s="1207"/>
    </row>
    <row r="9612" spans="3:17" s="700" customFormat="1" ht="70.5" hidden="1" customHeight="1">
      <c r="C9612" s="701"/>
      <c r="D9612" s="811"/>
      <c r="E9612" s="1276">
        <f>[11]building!Y9943</f>
        <v>0</v>
      </c>
      <c r="F9612" s="748">
        <f t="shared" si="389"/>
        <v>0</v>
      </c>
      <c r="G9612" s="1205"/>
      <c r="H9612" s="1055"/>
      <c r="I9612" s="1055"/>
      <c r="J9612" s="1055"/>
      <c r="K9612" s="1205"/>
      <c r="L9612" s="1055"/>
      <c r="M9612" s="1205"/>
      <c r="N9612" s="1054"/>
      <c r="O9612" s="1207"/>
      <c r="Q9612" s="1207"/>
    </row>
    <row r="9613" spans="3:17" s="700" customFormat="1" ht="70.5" hidden="1" customHeight="1">
      <c r="C9613" s="701"/>
      <c r="D9613" s="811"/>
      <c r="E9613" s="1276">
        <f>[11]building!Y9944</f>
        <v>0</v>
      </c>
      <c r="F9613" s="748">
        <f t="shared" si="389"/>
        <v>0</v>
      </c>
      <c r="G9613" s="1205"/>
      <c r="H9613" s="1055"/>
      <c r="I9613" s="1055"/>
      <c r="J9613" s="1055"/>
      <c r="K9613" s="1205"/>
      <c r="L9613" s="1055"/>
      <c r="M9613" s="1205"/>
      <c r="N9613" s="1054"/>
      <c r="O9613" s="1207"/>
      <c r="Q9613" s="1207"/>
    </row>
    <row r="9614" spans="3:17" s="700" customFormat="1" ht="70.5" hidden="1" customHeight="1">
      <c r="C9614" s="701"/>
      <c r="D9614" s="811"/>
      <c r="E9614" s="1276">
        <f>[11]building!Y9945</f>
        <v>0</v>
      </c>
      <c r="F9614" s="748">
        <f t="shared" si="389"/>
        <v>0</v>
      </c>
      <c r="G9614" s="1205"/>
      <c r="H9614" s="1055"/>
      <c r="I9614" s="1055"/>
      <c r="J9614" s="1055"/>
      <c r="K9614" s="1205"/>
      <c r="L9614" s="1055"/>
      <c r="M9614" s="1205"/>
      <c r="N9614" s="1054"/>
      <c r="O9614" s="1207"/>
      <c r="Q9614" s="1207"/>
    </row>
    <row r="9615" spans="3:17" s="700" customFormat="1" ht="70.5" hidden="1" customHeight="1">
      <c r="C9615" s="701"/>
      <c r="D9615" s="811"/>
      <c r="E9615" s="1276">
        <f>[11]building!Y9946</f>
        <v>0</v>
      </c>
      <c r="F9615" s="748">
        <f t="shared" si="389"/>
        <v>0</v>
      </c>
      <c r="G9615" s="1205"/>
      <c r="H9615" s="1055"/>
      <c r="I9615" s="1055"/>
      <c r="J9615" s="1055"/>
      <c r="K9615" s="1205"/>
      <c r="L9615" s="1055"/>
      <c r="M9615" s="1205"/>
      <c r="N9615" s="1054"/>
      <c r="O9615" s="1207"/>
      <c r="Q9615" s="1207"/>
    </row>
    <row r="9616" spans="3:17" s="700" customFormat="1" ht="70.5" hidden="1" customHeight="1">
      <c r="C9616" s="701"/>
      <c r="D9616" s="811"/>
      <c r="E9616" s="1276">
        <f>[11]building!Y9947</f>
        <v>0</v>
      </c>
      <c r="F9616" s="748">
        <f t="shared" si="389"/>
        <v>0</v>
      </c>
      <c r="G9616" s="1205"/>
      <c r="H9616" s="1055"/>
      <c r="I9616" s="1055"/>
      <c r="J9616" s="1055"/>
      <c r="K9616" s="1205"/>
      <c r="L9616" s="1055"/>
      <c r="M9616" s="1205"/>
      <c r="N9616" s="1054"/>
      <c r="O9616" s="1207"/>
      <c r="Q9616" s="1207"/>
    </row>
    <row r="9617" spans="3:17" s="700" customFormat="1" ht="70.5" hidden="1" customHeight="1">
      <c r="C9617" s="701"/>
      <c r="D9617" s="811"/>
      <c r="E9617" s="1276">
        <f>[11]building!Y9948</f>
        <v>0</v>
      </c>
      <c r="F9617" s="748">
        <f t="shared" si="389"/>
        <v>0</v>
      </c>
      <c r="G9617" s="1205"/>
      <c r="H9617" s="1055"/>
      <c r="I9617" s="1055"/>
      <c r="J9617" s="1055"/>
      <c r="K9617" s="1205"/>
      <c r="L9617" s="1055"/>
      <c r="M9617" s="1205"/>
      <c r="N9617" s="1054"/>
      <c r="O9617" s="1207"/>
      <c r="Q9617" s="1207"/>
    </row>
    <row r="9618" spans="3:17" s="700" customFormat="1" ht="70.5" hidden="1" customHeight="1">
      <c r="C9618" s="701"/>
      <c r="D9618" s="811"/>
      <c r="E9618" s="1276">
        <f>[11]building!Y9949</f>
        <v>0</v>
      </c>
      <c r="F9618" s="748">
        <f t="shared" si="389"/>
        <v>0</v>
      </c>
      <c r="G9618" s="1205"/>
      <c r="H9618" s="1055"/>
      <c r="I9618" s="1055"/>
      <c r="J9618" s="1055"/>
      <c r="K9618" s="1205"/>
      <c r="L9618" s="1055"/>
      <c r="M9618" s="1205"/>
      <c r="N9618" s="1054"/>
      <c r="O9618" s="1207"/>
      <c r="Q9618" s="1207"/>
    </row>
    <row r="9619" spans="3:17" s="700" customFormat="1" ht="70.5" hidden="1" customHeight="1">
      <c r="C9619" s="701"/>
      <c r="D9619" s="811"/>
      <c r="E9619" s="1276">
        <f>[11]building!Y9950</f>
        <v>0</v>
      </c>
      <c r="F9619" s="748">
        <f t="shared" si="389"/>
        <v>0</v>
      </c>
      <c r="G9619" s="1205"/>
      <c r="H9619" s="1055"/>
      <c r="I9619" s="1055"/>
      <c r="J9619" s="1055"/>
      <c r="K9619" s="1205"/>
      <c r="L9619" s="1055"/>
      <c r="M9619" s="1205"/>
      <c r="N9619" s="1054"/>
      <c r="O9619" s="1207"/>
      <c r="Q9619" s="1207"/>
    </row>
    <row r="9620" spans="3:17" s="700" customFormat="1" ht="70.5" hidden="1" customHeight="1">
      <c r="C9620" s="701"/>
      <c r="D9620" s="811"/>
      <c r="E9620" s="1276">
        <f>[11]building!Y9951</f>
        <v>0</v>
      </c>
      <c r="F9620" s="748">
        <f t="shared" si="389"/>
        <v>0</v>
      </c>
      <c r="G9620" s="1205"/>
      <c r="H9620" s="1055"/>
      <c r="I9620" s="1055"/>
      <c r="J9620" s="1055"/>
      <c r="K9620" s="1205"/>
      <c r="L9620" s="1055"/>
      <c r="M9620" s="1205"/>
      <c r="N9620" s="1054"/>
      <c r="O9620" s="1207"/>
      <c r="Q9620" s="1207"/>
    </row>
    <row r="9621" spans="3:17" s="700" customFormat="1" ht="70.5" hidden="1" customHeight="1">
      <c r="C9621" s="701"/>
      <c r="D9621" s="811"/>
      <c r="E9621" s="1276">
        <f>[11]building!Y9952</f>
        <v>0</v>
      </c>
      <c r="F9621" s="748">
        <f t="shared" si="389"/>
        <v>0</v>
      </c>
      <c r="G9621" s="1205"/>
      <c r="H9621" s="1055"/>
      <c r="I9621" s="1055"/>
      <c r="J9621" s="1055"/>
      <c r="K9621" s="1205"/>
      <c r="L9621" s="1055"/>
      <c r="M9621" s="1205"/>
      <c r="N9621" s="1054"/>
      <c r="O9621" s="1207"/>
      <c r="Q9621" s="1207"/>
    </row>
    <row r="9622" spans="3:17" s="700" customFormat="1" ht="70.5" hidden="1" customHeight="1">
      <c r="C9622" s="701"/>
      <c r="D9622" s="811"/>
      <c r="E9622" s="1276">
        <f>[11]building!Y9953</f>
        <v>0</v>
      </c>
      <c r="F9622" s="748">
        <f t="shared" si="389"/>
        <v>0</v>
      </c>
      <c r="G9622" s="1205"/>
      <c r="H9622" s="1055"/>
      <c r="I9622" s="1055"/>
      <c r="J9622" s="1055"/>
      <c r="K9622" s="1205"/>
      <c r="L9622" s="1055"/>
      <c r="M9622" s="1205"/>
      <c r="N9622" s="1054"/>
      <c r="O9622" s="1207"/>
      <c r="Q9622" s="1207"/>
    </row>
    <row r="9623" spans="3:17" s="700" customFormat="1" ht="70.5" hidden="1" customHeight="1">
      <c r="C9623" s="701"/>
      <c r="D9623" s="811"/>
      <c r="E9623" s="1276">
        <f>[11]building!Y9954</f>
        <v>0</v>
      </c>
      <c r="F9623" s="748">
        <f t="shared" si="389"/>
        <v>0</v>
      </c>
      <c r="G9623" s="1205"/>
      <c r="H9623" s="1055"/>
      <c r="I9623" s="1055"/>
      <c r="J9623" s="1055"/>
      <c r="K9623" s="1205"/>
      <c r="L9623" s="1055"/>
      <c r="M9623" s="1205"/>
      <c r="N9623" s="1054"/>
      <c r="O9623" s="1207"/>
      <c r="Q9623" s="1207"/>
    </row>
    <row r="9624" spans="3:17" s="700" customFormat="1" ht="70.5" hidden="1" customHeight="1">
      <c r="C9624" s="701"/>
      <c r="D9624" s="811"/>
      <c r="E9624" s="1276">
        <f>[11]building!Y9955</f>
        <v>0</v>
      </c>
      <c r="F9624" s="748">
        <f t="shared" si="389"/>
        <v>0</v>
      </c>
      <c r="G9624" s="1205"/>
      <c r="H9624" s="1055"/>
      <c r="I9624" s="1055"/>
      <c r="J9624" s="1055"/>
      <c r="K9624" s="1205"/>
      <c r="L9624" s="1055"/>
      <c r="M9624" s="1205"/>
      <c r="N9624" s="1054"/>
      <c r="O9624" s="1207"/>
      <c r="Q9624" s="1207"/>
    </row>
    <row r="9625" spans="3:17" s="700" customFormat="1" ht="70.5" hidden="1" customHeight="1">
      <c r="C9625" s="701"/>
      <c r="D9625" s="811"/>
      <c r="E9625" s="1276">
        <f>[11]building!Y9956</f>
        <v>0</v>
      </c>
      <c r="F9625" s="748">
        <f t="shared" si="389"/>
        <v>0</v>
      </c>
      <c r="G9625" s="1205"/>
      <c r="H9625" s="1055"/>
      <c r="I9625" s="1055"/>
      <c r="J9625" s="1055"/>
      <c r="K9625" s="1205"/>
      <c r="L9625" s="1055"/>
      <c r="M9625" s="1205"/>
      <c r="N9625" s="1054"/>
      <c r="O9625" s="1207"/>
      <c r="Q9625" s="1207"/>
    </row>
    <row r="9626" spans="3:17" s="700" customFormat="1" ht="70.5" hidden="1" customHeight="1">
      <c r="C9626" s="701"/>
      <c r="D9626" s="811"/>
      <c r="E9626" s="1276">
        <f>[11]building!Y9957</f>
        <v>0</v>
      </c>
      <c r="F9626" s="748">
        <f t="shared" si="389"/>
        <v>0</v>
      </c>
      <c r="G9626" s="1205"/>
      <c r="H9626" s="1055"/>
      <c r="I9626" s="1055"/>
      <c r="J9626" s="1055"/>
      <c r="K9626" s="1205"/>
      <c r="L9626" s="1055"/>
      <c r="M9626" s="1205"/>
      <c r="N9626" s="1054"/>
      <c r="O9626" s="1207"/>
      <c r="Q9626" s="1207"/>
    </row>
    <row r="9627" spans="3:17" s="700" customFormat="1" ht="70.5" hidden="1" customHeight="1">
      <c r="C9627" s="701"/>
      <c r="D9627" s="811"/>
      <c r="E9627" s="1276">
        <f>[11]building!Y9958</f>
        <v>0</v>
      </c>
      <c r="F9627" s="748">
        <f t="shared" si="389"/>
        <v>0</v>
      </c>
      <c r="G9627" s="1205"/>
      <c r="H9627" s="1055"/>
      <c r="I9627" s="1055"/>
      <c r="J9627" s="1055"/>
      <c r="K9627" s="1205"/>
      <c r="L9627" s="1055"/>
      <c r="M9627" s="1205"/>
      <c r="N9627" s="1054"/>
      <c r="O9627" s="1207"/>
      <c r="Q9627" s="1207"/>
    </row>
    <row r="9628" spans="3:17" s="700" customFormat="1" ht="70.5" hidden="1" customHeight="1">
      <c r="C9628" s="701"/>
      <c r="D9628" s="811"/>
      <c r="E9628" s="1276">
        <f>[11]building!Y9959</f>
        <v>0</v>
      </c>
      <c r="F9628" s="748">
        <f t="shared" si="389"/>
        <v>0</v>
      </c>
      <c r="G9628" s="1205"/>
      <c r="H9628" s="1055"/>
      <c r="I9628" s="1055"/>
      <c r="J9628" s="1055"/>
      <c r="K9628" s="1205"/>
      <c r="L9628" s="1055"/>
      <c r="M9628" s="1205"/>
      <c r="N9628" s="1054"/>
      <c r="O9628" s="1207"/>
      <c r="Q9628" s="1207"/>
    </row>
    <row r="9629" spans="3:17" s="700" customFormat="1" ht="70.5" hidden="1" customHeight="1">
      <c r="C9629" s="701"/>
      <c r="D9629" s="811"/>
      <c r="E9629" s="1276">
        <f>[11]building!Y9960</f>
        <v>0</v>
      </c>
      <c r="F9629" s="748">
        <f t="shared" si="389"/>
        <v>0</v>
      </c>
      <c r="G9629" s="1205"/>
      <c r="H9629" s="1055"/>
      <c r="I9629" s="1055"/>
      <c r="J9629" s="1055"/>
      <c r="K9629" s="1205"/>
      <c r="L9629" s="1055"/>
      <c r="M9629" s="1205"/>
      <c r="N9629" s="1054"/>
      <c r="O9629" s="1207"/>
      <c r="Q9629" s="1207"/>
    </row>
    <row r="9630" spans="3:17" s="700" customFormat="1" ht="70.5" hidden="1" customHeight="1">
      <c r="C9630" s="701"/>
      <c r="D9630" s="811"/>
      <c r="E9630" s="1276">
        <f>[11]building!Y9961</f>
        <v>0</v>
      </c>
      <c r="F9630" s="748">
        <f t="shared" si="389"/>
        <v>0</v>
      </c>
      <c r="G9630" s="1205"/>
      <c r="H9630" s="1055"/>
      <c r="I9630" s="1055"/>
      <c r="J9630" s="1055"/>
      <c r="K9630" s="1205"/>
      <c r="L9630" s="1055"/>
      <c r="M9630" s="1205"/>
      <c r="N9630" s="1054"/>
      <c r="O9630" s="1207"/>
      <c r="Q9630" s="1207"/>
    </row>
    <row r="9631" spans="3:17" s="700" customFormat="1" ht="70.5" hidden="1" customHeight="1">
      <c r="C9631" s="701"/>
      <c r="D9631" s="811"/>
      <c r="E9631" s="1276">
        <f>[11]building!Y9962</f>
        <v>0</v>
      </c>
      <c r="F9631" s="748">
        <f t="shared" si="389"/>
        <v>0</v>
      </c>
      <c r="G9631" s="1205"/>
      <c r="H9631" s="1055"/>
      <c r="I9631" s="1055"/>
      <c r="J9631" s="1055"/>
      <c r="K9631" s="1205"/>
      <c r="L9631" s="1055"/>
      <c r="M9631" s="1205"/>
      <c r="N9631" s="1054"/>
      <c r="O9631" s="1207"/>
      <c r="Q9631" s="1207"/>
    </row>
    <row r="9632" spans="3:17" s="700" customFormat="1" ht="70.5" hidden="1" customHeight="1">
      <c r="C9632" s="701"/>
      <c r="D9632" s="811"/>
      <c r="E9632" s="1276">
        <f>[11]building!Y9963</f>
        <v>0</v>
      </c>
      <c r="F9632" s="748">
        <f t="shared" si="389"/>
        <v>0</v>
      </c>
      <c r="G9632" s="1205"/>
      <c r="H9632" s="1055"/>
      <c r="I9632" s="1055"/>
      <c r="J9632" s="1055"/>
      <c r="K9632" s="1205"/>
      <c r="L9632" s="1055"/>
      <c r="M9632" s="1205"/>
      <c r="N9632" s="1054"/>
      <c r="O9632" s="1207"/>
      <c r="Q9632" s="1207"/>
    </row>
    <row r="9633" spans="3:17" s="700" customFormat="1" ht="70.5" hidden="1" customHeight="1">
      <c r="C9633" s="701"/>
      <c r="D9633" s="811"/>
      <c r="E9633" s="1276">
        <f>[11]building!Y9964</f>
        <v>0</v>
      </c>
      <c r="F9633" s="748">
        <f t="shared" si="389"/>
        <v>0</v>
      </c>
      <c r="G9633" s="1205"/>
      <c r="H9633" s="1055"/>
      <c r="I9633" s="1055"/>
      <c r="J9633" s="1055"/>
      <c r="K9633" s="1205"/>
      <c r="L9633" s="1055"/>
      <c r="M9633" s="1205"/>
      <c r="N9633" s="1054"/>
      <c r="O9633" s="1207"/>
      <c r="Q9633" s="1207"/>
    </row>
    <row r="9634" spans="3:17" s="700" customFormat="1" ht="70.5" hidden="1" customHeight="1">
      <c r="C9634" s="701"/>
      <c r="D9634" s="811"/>
      <c r="E9634" s="1276">
        <f>[11]building!Y9965</f>
        <v>0</v>
      </c>
      <c r="F9634" s="748">
        <f t="shared" si="389"/>
        <v>0</v>
      </c>
      <c r="G9634" s="1205"/>
      <c r="H9634" s="1055"/>
      <c r="I9634" s="1055"/>
      <c r="J9634" s="1055"/>
      <c r="K9634" s="1205"/>
      <c r="L9634" s="1055"/>
      <c r="M9634" s="1205"/>
      <c r="N9634" s="1054"/>
      <c r="O9634" s="1207"/>
      <c r="Q9634" s="1207"/>
    </row>
    <row r="9635" spans="3:17" s="700" customFormat="1" ht="70.5" hidden="1" customHeight="1">
      <c r="C9635" s="701"/>
      <c r="D9635" s="811"/>
      <c r="E9635" s="1276">
        <f>[11]building!Y9966</f>
        <v>0</v>
      </c>
      <c r="F9635" s="748">
        <f t="shared" si="389"/>
        <v>0</v>
      </c>
      <c r="G9635" s="1205"/>
      <c r="H9635" s="1055"/>
      <c r="I9635" s="1055"/>
      <c r="J9635" s="1055"/>
      <c r="K9635" s="1205"/>
      <c r="L9635" s="1055"/>
      <c r="M9635" s="1205"/>
      <c r="N9635" s="1054"/>
      <c r="O9635" s="1207"/>
      <c r="Q9635" s="1207"/>
    </row>
    <row r="9636" spans="3:17" s="700" customFormat="1" ht="70.5" hidden="1" customHeight="1">
      <c r="C9636" s="701"/>
      <c r="D9636" s="811"/>
      <c r="E9636" s="1276">
        <f>[11]building!Y9967</f>
        <v>0</v>
      </c>
      <c r="F9636" s="748">
        <f t="shared" si="389"/>
        <v>0</v>
      </c>
      <c r="G9636" s="1205"/>
      <c r="H9636" s="1055"/>
      <c r="I9636" s="1055"/>
      <c r="J9636" s="1055"/>
      <c r="K9636" s="1205"/>
      <c r="L9636" s="1055"/>
      <c r="M9636" s="1205"/>
      <c r="N9636" s="1054"/>
      <c r="O9636" s="1207"/>
      <c r="Q9636" s="1207"/>
    </row>
    <row r="9637" spans="3:17" s="700" customFormat="1" ht="70.5" hidden="1" customHeight="1">
      <c r="C9637" s="701"/>
      <c r="D9637" s="811"/>
      <c r="E9637" s="1276">
        <f>[11]building!Y9968</f>
        <v>0</v>
      </c>
      <c r="F9637" s="748">
        <f t="shared" si="389"/>
        <v>0</v>
      </c>
      <c r="G9637" s="1205"/>
      <c r="H9637" s="1055"/>
      <c r="I9637" s="1055"/>
      <c r="J9637" s="1055"/>
      <c r="K9637" s="1205"/>
      <c r="L9637" s="1055"/>
      <c r="M9637" s="1205"/>
      <c r="N9637" s="1054"/>
      <c r="O9637" s="1207"/>
      <c r="Q9637" s="1207"/>
    </row>
    <row r="9638" spans="3:17" s="700" customFormat="1" ht="70.5" hidden="1" customHeight="1">
      <c r="C9638" s="701"/>
      <c r="D9638" s="811"/>
      <c r="E9638" s="1276">
        <f>[11]building!Y9969</f>
        <v>0</v>
      </c>
      <c r="F9638" s="748">
        <f t="shared" si="389"/>
        <v>0</v>
      </c>
      <c r="G9638" s="1205"/>
      <c r="H9638" s="1055"/>
      <c r="I9638" s="1055"/>
      <c r="J9638" s="1055"/>
      <c r="K9638" s="1205"/>
      <c r="L9638" s="1055"/>
      <c r="M9638" s="1205"/>
      <c r="N9638" s="1054"/>
      <c r="O9638" s="1207"/>
      <c r="Q9638" s="1207"/>
    </row>
    <row r="9639" spans="3:17" s="700" customFormat="1" ht="70.5" hidden="1" customHeight="1">
      <c r="C9639" s="701"/>
      <c r="D9639" s="811"/>
      <c r="E9639" s="1276">
        <f>[11]building!Y9970</f>
        <v>0</v>
      </c>
      <c r="F9639" s="748">
        <f t="shared" si="389"/>
        <v>0</v>
      </c>
      <c r="G9639" s="1205"/>
      <c r="H9639" s="1055"/>
      <c r="I9639" s="1055"/>
      <c r="J9639" s="1055"/>
      <c r="K9639" s="1205"/>
      <c r="L9639" s="1055"/>
      <c r="M9639" s="1205"/>
      <c r="N9639" s="1054"/>
      <c r="O9639" s="1207"/>
      <c r="Q9639" s="1207"/>
    </row>
    <row r="9640" spans="3:17" s="700" customFormat="1" ht="70.5" hidden="1" customHeight="1">
      <c r="C9640" s="701"/>
      <c r="D9640" s="811"/>
      <c r="E9640" s="1276">
        <f>[11]building!Y9971</f>
        <v>0</v>
      </c>
      <c r="F9640" s="748">
        <f t="shared" si="389"/>
        <v>0</v>
      </c>
      <c r="G9640" s="1205"/>
      <c r="H9640" s="1055"/>
      <c r="I9640" s="1055"/>
      <c r="J9640" s="1055"/>
      <c r="K9640" s="1205"/>
      <c r="L9640" s="1055"/>
      <c r="M9640" s="1205"/>
      <c r="N9640" s="1054"/>
      <c r="O9640" s="1207"/>
      <c r="Q9640" s="1207"/>
    </row>
    <row r="9641" spans="3:17" s="700" customFormat="1" ht="70.5" hidden="1" customHeight="1">
      <c r="C9641" s="701"/>
      <c r="D9641" s="811"/>
      <c r="E9641" s="1276">
        <f>[11]building!Y9972</f>
        <v>0</v>
      </c>
      <c r="F9641" s="748">
        <f t="shared" si="389"/>
        <v>0</v>
      </c>
      <c r="G9641" s="1205"/>
      <c r="H9641" s="1055"/>
      <c r="I9641" s="1055"/>
      <c r="J9641" s="1055"/>
      <c r="K9641" s="1205"/>
      <c r="L9641" s="1055"/>
      <c r="M9641" s="1205"/>
      <c r="N9641" s="1054"/>
      <c r="O9641" s="1207"/>
      <c r="Q9641" s="1207"/>
    </row>
    <row r="9642" spans="3:17" s="700" customFormat="1" ht="70.5" hidden="1" customHeight="1">
      <c r="C9642" s="701"/>
      <c r="D9642" s="811"/>
      <c r="E9642" s="1276">
        <f>[11]building!Y9973</f>
        <v>0</v>
      </c>
      <c r="F9642" s="748">
        <f t="shared" si="389"/>
        <v>0</v>
      </c>
      <c r="G9642" s="1205"/>
      <c r="H9642" s="1055"/>
      <c r="I9642" s="1055"/>
      <c r="J9642" s="1055"/>
      <c r="K9642" s="1205"/>
      <c r="L9642" s="1055"/>
      <c r="M9642" s="1205"/>
      <c r="N9642" s="1054"/>
      <c r="O9642" s="1207"/>
      <c r="Q9642" s="1207"/>
    </row>
    <row r="9643" spans="3:17" s="700" customFormat="1" ht="70.5" hidden="1" customHeight="1">
      <c r="C9643" s="701"/>
      <c r="D9643" s="811"/>
      <c r="E9643" s="1276">
        <f>[11]building!Y9974</f>
        <v>0</v>
      </c>
      <c r="F9643" s="748">
        <f t="shared" si="389"/>
        <v>0</v>
      </c>
      <c r="G9643" s="1205"/>
      <c r="H9643" s="1055"/>
      <c r="I9643" s="1055"/>
      <c r="J9643" s="1055"/>
      <c r="K9643" s="1205"/>
      <c r="L9643" s="1055"/>
      <c r="M9643" s="1205"/>
      <c r="N9643" s="1054"/>
      <c r="O9643" s="1207"/>
      <c r="Q9643" s="1207"/>
    </row>
    <row r="9644" spans="3:17" s="700" customFormat="1" ht="70.5" hidden="1" customHeight="1">
      <c r="C9644" s="701"/>
      <c r="D9644" s="811"/>
      <c r="E9644" s="1276">
        <f>[11]building!Y9975</f>
        <v>0</v>
      </c>
      <c r="F9644" s="748">
        <f t="shared" si="389"/>
        <v>0</v>
      </c>
      <c r="G9644" s="1205"/>
      <c r="H9644" s="1055"/>
      <c r="I9644" s="1055"/>
      <c r="J9644" s="1055"/>
      <c r="K9644" s="1205"/>
      <c r="L9644" s="1055"/>
      <c r="M9644" s="1205"/>
      <c r="N9644" s="1054"/>
      <c r="O9644" s="1207"/>
      <c r="Q9644" s="1207"/>
    </row>
    <row r="9645" spans="3:17" s="700" customFormat="1" ht="70.5" hidden="1" customHeight="1">
      <c r="C9645" s="701"/>
      <c r="D9645" s="811"/>
      <c r="E9645" s="1276">
        <f>[11]building!Y9976</f>
        <v>0</v>
      </c>
      <c r="F9645" s="748">
        <f t="shared" si="389"/>
        <v>0</v>
      </c>
      <c r="G9645" s="1205"/>
      <c r="H9645" s="1055"/>
      <c r="I9645" s="1055"/>
      <c r="J9645" s="1055"/>
      <c r="K9645" s="1205"/>
      <c r="L9645" s="1055"/>
      <c r="M9645" s="1205"/>
      <c r="N9645" s="1054"/>
      <c r="O9645" s="1207"/>
      <c r="Q9645" s="1207"/>
    </row>
    <row r="9646" spans="3:17" s="700" customFormat="1" ht="70.5" hidden="1" customHeight="1">
      <c r="C9646" s="701"/>
      <c r="D9646" s="811"/>
      <c r="E9646" s="1276">
        <f>[11]building!Y9977</f>
        <v>0</v>
      </c>
      <c r="F9646" s="748">
        <f t="shared" si="389"/>
        <v>0</v>
      </c>
      <c r="G9646" s="1205"/>
      <c r="H9646" s="1055"/>
      <c r="I9646" s="1055"/>
      <c r="J9646" s="1055"/>
      <c r="K9646" s="1205"/>
      <c r="L9646" s="1055"/>
      <c r="M9646" s="1205"/>
      <c r="N9646" s="1054"/>
      <c r="O9646" s="1207"/>
      <c r="Q9646" s="1207"/>
    </row>
    <row r="9647" spans="3:17" s="700" customFormat="1" ht="70.5" hidden="1" customHeight="1">
      <c r="C9647" s="701"/>
      <c r="D9647" s="811"/>
      <c r="E9647" s="1276">
        <f>[11]building!Y9978</f>
        <v>0</v>
      </c>
      <c r="F9647" s="748">
        <f t="shared" si="389"/>
        <v>0</v>
      </c>
      <c r="G9647" s="1205"/>
      <c r="H9647" s="1055"/>
      <c r="I9647" s="1055"/>
      <c r="J9647" s="1055"/>
      <c r="K9647" s="1205"/>
      <c r="L9647" s="1055"/>
      <c r="M9647" s="1205"/>
      <c r="N9647" s="1054"/>
      <c r="O9647" s="1207"/>
      <c r="Q9647" s="1207"/>
    </row>
    <row r="9648" spans="3:17" s="700" customFormat="1" ht="70.5" hidden="1" customHeight="1">
      <c r="C9648" s="701"/>
      <c r="D9648" s="811"/>
      <c r="E9648" s="1276">
        <f>[11]building!Y9979</f>
        <v>0</v>
      </c>
      <c r="F9648" s="748">
        <f t="shared" si="389"/>
        <v>0</v>
      </c>
      <c r="G9648" s="1205"/>
      <c r="H9648" s="1055"/>
      <c r="I9648" s="1055"/>
      <c r="J9648" s="1055"/>
      <c r="K9648" s="1205"/>
      <c r="L9648" s="1055"/>
      <c r="M9648" s="1205"/>
      <c r="N9648" s="1054"/>
      <c r="O9648" s="1207"/>
      <c r="Q9648" s="1207"/>
    </row>
    <row r="9649" spans="3:17" s="700" customFormat="1" ht="70.5" hidden="1" customHeight="1">
      <c r="C9649" s="701"/>
      <c r="D9649" s="811"/>
      <c r="E9649" s="1276">
        <f>[11]building!Y9980</f>
        <v>0</v>
      </c>
      <c r="F9649" s="748">
        <f t="shared" si="389"/>
        <v>0</v>
      </c>
      <c r="G9649" s="1205"/>
      <c r="H9649" s="1055"/>
      <c r="I9649" s="1055"/>
      <c r="J9649" s="1055"/>
      <c r="K9649" s="1205"/>
      <c r="L9649" s="1055"/>
      <c r="M9649" s="1205"/>
      <c r="N9649" s="1054"/>
      <c r="O9649" s="1207"/>
      <c r="Q9649" s="1207"/>
    </row>
    <row r="9650" spans="3:17" s="700" customFormat="1" ht="70.5" hidden="1" customHeight="1">
      <c r="C9650" s="701"/>
      <c r="D9650" s="811"/>
      <c r="E9650" s="1276">
        <f>[11]building!Y9981</f>
        <v>0</v>
      </c>
      <c r="F9650" s="748">
        <f t="shared" si="389"/>
        <v>0</v>
      </c>
      <c r="G9650" s="1205"/>
      <c r="H9650" s="1055"/>
      <c r="I9650" s="1055"/>
      <c r="J9650" s="1055"/>
      <c r="K9650" s="1205"/>
      <c r="L9650" s="1055"/>
      <c r="M9650" s="1205"/>
      <c r="N9650" s="1054"/>
      <c r="O9650" s="1207"/>
      <c r="Q9650" s="1207"/>
    </row>
    <row r="9651" spans="3:17" s="700" customFormat="1" ht="70.5" hidden="1" customHeight="1">
      <c r="C9651" s="701"/>
      <c r="D9651" s="811"/>
      <c r="E9651" s="1276">
        <f>[11]building!Y9982</f>
        <v>0</v>
      </c>
      <c r="F9651" s="748">
        <f t="shared" si="389"/>
        <v>0</v>
      </c>
      <c r="G9651" s="1205"/>
      <c r="H9651" s="1055"/>
      <c r="I9651" s="1055"/>
      <c r="J9651" s="1055"/>
      <c r="K9651" s="1205"/>
      <c r="L9651" s="1055"/>
      <c r="M9651" s="1205"/>
      <c r="N9651" s="1054"/>
      <c r="O9651" s="1207"/>
      <c r="Q9651" s="1207"/>
    </row>
    <row r="9652" spans="3:17" s="700" customFormat="1" ht="70.5" hidden="1" customHeight="1">
      <c r="C9652" s="701"/>
      <c r="D9652" s="811"/>
      <c r="E9652" s="1276">
        <f>[11]building!Y9983</f>
        <v>0</v>
      </c>
      <c r="F9652" s="748">
        <f t="shared" si="389"/>
        <v>0</v>
      </c>
      <c r="G9652" s="1205"/>
      <c r="H9652" s="1055"/>
      <c r="I9652" s="1055"/>
      <c r="J9652" s="1055"/>
      <c r="K9652" s="1205"/>
      <c r="L9652" s="1055"/>
      <c r="M9652" s="1205"/>
      <c r="N9652" s="1054"/>
      <c r="O9652" s="1207"/>
      <c r="Q9652" s="1207"/>
    </row>
    <row r="9653" spans="3:17" s="700" customFormat="1" ht="70.5" hidden="1" customHeight="1">
      <c r="C9653" s="701"/>
      <c r="D9653" s="811"/>
      <c r="E9653" s="1276">
        <f>[11]building!Y9984</f>
        <v>0</v>
      </c>
      <c r="F9653" s="748">
        <f t="shared" si="389"/>
        <v>0</v>
      </c>
      <c r="G9653" s="1205"/>
      <c r="H9653" s="1055"/>
      <c r="I9653" s="1055"/>
      <c r="J9653" s="1055"/>
      <c r="K9653" s="1205"/>
      <c r="L9653" s="1055"/>
      <c r="M9653" s="1205"/>
      <c r="N9653" s="1054"/>
      <c r="O9653" s="1207"/>
      <c r="Q9653" s="1207"/>
    </row>
    <row r="9654" spans="3:17" s="700" customFormat="1" ht="70.5" hidden="1" customHeight="1">
      <c r="C9654" s="701"/>
      <c r="D9654" s="811"/>
      <c r="E9654" s="1276">
        <f>[11]building!Y9985</f>
        <v>0</v>
      </c>
      <c r="F9654" s="748">
        <f t="shared" si="389"/>
        <v>0</v>
      </c>
      <c r="G9654" s="1205"/>
      <c r="H9654" s="1055"/>
      <c r="I9654" s="1055"/>
      <c r="J9654" s="1055"/>
      <c r="K9654" s="1205"/>
      <c r="L9654" s="1055"/>
      <c r="M9654" s="1205"/>
      <c r="N9654" s="1054"/>
      <c r="O9654" s="1207"/>
      <c r="Q9654" s="1207"/>
    </row>
    <row r="9655" spans="3:17" s="700" customFormat="1" ht="70.5" hidden="1" customHeight="1">
      <c r="C9655" s="701"/>
      <c r="D9655" s="811"/>
      <c r="E9655" s="1276">
        <f>[11]building!Y9986</f>
        <v>0</v>
      </c>
      <c r="F9655" s="748">
        <f t="shared" si="389"/>
        <v>0</v>
      </c>
      <c r="G9655" s="1205"/>
      <c r="H9655" s="1055"/>
      <c r="I9655" s="1055"/>
      <c r="J9655" s="1055"/>
      <c r="K9655" s="1205"/>
      <c r="L9655" s="1055"/>
      <c r="M9655" s="1205"/>
      <c r="N9655" s="1054"/>
      <c r="O9655" s="1207"/>
      <c r="Q9655" s="1207"/>
    </row>
    <row r="9656" spans="3:17" s="700" customFormat="1" ht="70.5" hidden="1" customHeight="1">
      <c r="C9656" s="701"/>
      <c r="D9656" s="811"/>
      <c r="E9656" s="1276">
        <f>[11]building!Y9987</f>
        <v>0</v>
      </c>
      <c r="F9656" s="748">
        <f t="shared" si="389"/>
        <v>0</v>
      </c>
      <c r="G9656" s="1205"/>
      <c r="H9656" s="1055"/>
      <c r="I9656" s="1055"/>
      <c r="J9656" s="1055"/>
      <c r="K9656" s="1205"/>
      <c r="L9656" s="1055"/>
      <c r="M9656" s="1205"/>
      <c r="N9656" s="1054"/>
      <c r="O9656" s="1207"/>
      <c r="Q9656" s="1207"/>
    </row>
    <row r="9657" spans="3:17" s="700" customFormat="1" ht="70.5" hidden="1" customHeight="1">
      <c r="C9657" s="701"/>
      <c r="D9657" s="811"/>
      <c r="E9657" s="1276">
        <f>[11]building!Y9988</f>
        <v>0</v>
      </c>
      <c r="F9657" s="748">
        <f t="shared" si="389"/>
        <v>0</v>
      </c>
      <c r="G9657" s="1205"/>
      <c r="H9657" s="1055"/>
      <c r="I9657" s="1055"/>
      <c r="J9657" s="1055"/>
      <c r="K9657" s="1205"/>
      <c r="L9657" s="1055"/>
      <c r="M9657" s="1205"/>
      <c r="N9657" s="1054"/>
      <c r="O9657" s="1207"/>
      <c r="Q9657" s="1207"/>
    </row>
    <row r="9658" spans="3:17" s="700" customFormat="1" ht="70.5" hidden="1" customHeight="1">
      <c r="C9658" s="701"/>
      <c r="D9658" s="811"/>
      <c r="E9658" s="1276">
        <f>[11]building!Y9989</f>
        <v>0</v>
      </c>
      <c r="F9658" s="748">
        <f t="shared" si="389"/>
        <v>0</v>
      </c>
      <c r="G9658" s="1205"/>
      <c r="H9658" s="1055"/>
      <c r="I9658" s="1055"/>
      <c r="J9658" s="1055"/>
      <c r="K9658" s="1205"/>
      <c r="L9658" s="1055"/>
      <c r="M9658" s="1205"/>
      <c r="N9658" s="1054"/>
      <c r="O9658" s="1207"/>
      <c r="Q9658" s="1207"/>
    </row>
    <row r="9659" spans="3:17" s="700" customFormat="1" ht="70.5" hidden="1" customHeight="1">
      <c r="C9659" s="701"/>
      <c r="D9659" s="811"/>
      <c r="E9659" s="1276">
        <f>[11]building!Y9990</f>
        <v>0</v>
      </c>
      <c r="F9659" s="748">
        <f t="shared" si="389"/>
        <v>0</v>
      </c>
      <c r="G9659" s="1205"/>
      <c r="H9659" s="1055"/>
      <c r="I9659" s="1055"/>
      <c r="J9659" s="1055"/>
      <c r="K9659" s="1205"/>
      <c r="L9659" s="1055"/>
      <c r="M9659" s="1205"/>
      <c r="N9659" s="1054"/>
      <c r="O9659" s="1207"/>
      <c r="Q9659" s="1207"/>
    </row>
    <row r="9660" spans="3:17" s="700" customFormat="1" ht="70.5" hidden="1" customHeight="1">
      <c r="C9660" s="701"/>
      <c r="D9660" s="811"/>
      <c r="E9660" s="1276">
        <f>[11]building!Y9991</f>
        <v>0</v>
      </c>
      <c r="F9660" s="748">
        <f t="shared" si="389"/>
        <v>0</v>
      </c>
      <c r="G9660" s="1205"/>
      <c r="H9660" s="1055"/>
      <c r="I9660" s="1055"/>
      <c r="J9660" s="1055"/>
      <c r="K9660" s="1205"/>
      <c r="L9660" s="1055"/>
      <c r="M9660" s="1205"/>
      <c r="N9660" s="1054"/>
      <c r="O9660" s="1207"/>
      <c r="Q9660" s="1207"/>
    </row>
    <row r="9661" spans="3:17" s="700" customFormat="1" ht="70.5" hidden="1" customHeight="1">
      <c r="C9661" s="701"/>
      <c r="D9661" s="811"/>
      <c r="E9661" s="1276">
        <f>[11]building!Y9992</f>
        <v>0</v>
      </c>
      <c r="F9661" s="748">
        <f t="shared" si="389"/>
        <v>0</v>
      </c>
      <c r="G9661" s="1205"/>
      <c r="H9661" s="1055"/>
      <c r="I9661" s="1055"/>
      <c r="J9661" s="1055"/>
      <c r="K9661" s="1205"/>
      <c r="L9661" s="1055"/>
      <c r="M9661" s="1205"/>
      <c r="N9661" s="1054"/>
      <c r="O9661" s="1207"/>
      <c r="Q9661" s="1207"/>
    </row>
    <row r="9662" spans="3:17" s="700" customFormat="1" ht="70.5" hidden="1" customHeight="1">
      <c r="C9662" s="701"/>
      <c r="D9662" s="811"/>
      <c r="E9662" s="1276">
        <f>[11]building!Y9993</f>
        <v>0</v>
      </c>
      <c r="F9662" s="748">
        <f t="shared" si="389"/>
        <v>0</v>
      </c>
      <c r="G9662" s="1205"/>
      <c r="H9662" s="1055"/>
      <c r="I9662" s="1055"/>
      <c r="J9662" s="1055"/>
      <c r="K9662" s="1205"/>
      <c r="L9662" s="1055"/>
      <c r="M9662" s="1205"/>
      <c r="N9662" s="1054"/>
      <c r="O9662" s="1207"/>
      <c r="Q9662" s="1207"/>
    </row>
    <row r="9663" spans="3:17" s="700" customFormat="1" ht="70.5" hidden="1" customHeight="1">
      <c r="C9663" s="701"/>
      <c r="D9663" s="811"/>
      <c r="E9663" s="1276">
        <f>[11]building!Y9994</f>
        <v>0</v>
      </c>
      <c r="F9663" s="748">
        <f t="shared" si="389"/>
        <v>0</v>
      </c>
      <c r="G9663" s="1205"/>
      <c r="H9663" s="1055"/>
      <c r="I9663" s="1055"/>
      <c r="J9663" s="1055"/>
      <c r="K9663" s="1205"/>
      <c r="L9663" s="1055"/>
      <c r="M9663" s="1205"/>
      <c r="N9663" s="1054"/>
      <c r="O9663" s="1207"/>
      <c r="Q9663" s="1207"/>
    </row>
    <row r="9664" spans="3:17" s="700" customFormat="1" ht="70.5" hidden="1" customHeight="1">
      <c r="C9664" s="701"/>
      <c r="D9664" s="811"/>
      <c r="E9664" s="1276">
        <f>[11]building!Y9995</f>
        <v>0</v>
      </c>
      <c r="F9664" s="748">
        <f t="shared" ref="F9664:F9727" si="390">E9664*C9664</f>
        <v>0</v>
      </c>
      <c r="G9664" s="1205"/>
      <c r="H9664" s="1055"/>
      <c r="I9664" s="1055"/>
      <c r="J9664" s="1055"/>
      <c r="K9664" s="1205"/>
      <c r="L9664" s="1055"/>
      <c r="M9664" s="1205"/>
      <c r="N9664" s="1054"/>
      <c r="O9664" s="1207"/>
      <c r="Q9664" s="1207"/>
    </row>
    <row r="9665" spans="3:17" s="700" customFormat="1" ht="70.5" hidden="1" customHeight="1">
      <c r="C9665" s="701"/>
      <c r="D9665" s="811"/>
      <c r="E9665" s="1276">
        <f>[11]building!Y9996</f>
        <v>0</v>
      </c>
      <c r="F9665" s="748">
        <f t="shared" si="390"/>
        <v>0</v>
      </c>
      <c r="G9665" s="1205"/>
      <c r="H9665" s="1055"/>
      <c r="I9665" s="1055"/>
      <c r="J9665" s="1055"/>
      <c r="K9665" s="1205"/>
      <c r="L9665" s="1055"/>
      <c r="M9665" s="1205"/>
      <c r="N9665" s="1054"/>
      <c r="O9665" s="1207"/>
      <c r="Q9665" s="1207"/>
    </row>
    <row r="9666" spans="3:17" s="700" customFormat="1" ht="70.5" hidden="1" customHeight="1">
      <c r="C9666" s="701"/>
      <c r="D9666" s="811"/>
      <c r="E9666" s="1276">
        <f>[11]building!Y9997</f>
        <v>0</v>
      </c>
      <c r="F9666" s="748">
        <f t="shared" si="390"/>
        <v>0</v>
      </c>
      <c r="G9666" s="1205"/>
      <c r="H9666" s="1055"/>
      <c r="I9666" s="1055"/>
      <c r="J9666" s="1055"/>
      <c r="K9666" s="1205"/>
      <c r="L9666" s="1055"/>
      <c r="M9666" s="1205"/>
      <c r="N9666" s="1054"/>
      <c r="O9666" s="1207"/>
      <c r="Q9666" s="1207"/>
    </row>
    <row r="9667" spans="3:17" s="700" customFormat="1" ht="70.5" hidden="1" customHeight="1">
      <c r="C9667" s="701"/>
      <c r="D9667" s="811"/>
      <c r="E9667" s="1276">
        <f>[11]building!Y9998</f>
        <v>0</v>
      </c>
      <c r="F9667" s="748">
        <f t="shared" si="390"/>
        <v>0</v>
      </c>
      <c r="G9667" s="1205"/>
      <c r="H9667" s="1055"/>
      <c r="I9667" s="1055"/>
      <c r="J9667" s="1055"/>
      <c r="K9667" s="1205"/>
      <c r="L9667" s="1055"/>
      <c r="M9667" s="1205"/>
      <c r="N9667" s="1054"/>
      <c r="O9667" s="1207"/>
      <c r="Q9667" s="1207"/>
    </row>
    <row r="9668" spans="3:17" s="700" customFormat="1" ht="70.5" hidden="1" customHeight="1">
      <c r="C9668" s="701"/>
      <c r="D9668" s="811"/>
      <c r="E9668" s="1276">
        <f>[11]building!Y9999</f>
        <v>0</v>
      </c>
      <c r="F9668" s="748">
        <f t="shared" si="390"/>
        <v>0</v>
      </c>
      <c r="G9668" s="1205"/>
      <c r="H9668" s="1055"/>
      <c r="I9668" s="1055"/>
      <c r="J9668" s="1055"/>
      <c r="K9668" s="1205"/>
      <c r="L9668" s="1055"/>
      <c r="M9668" s="1205"/>
      <c r="N9668" s="1054"/>
      <c r="O9668" s="1207"/>
      <c r="Q9668" s="1207"/>
    </row>
    <row r="9669" spans="3:17" s="700" customFormat="1" ht="70.5" hidden="1" customHeight="1">
      <c r="C9669" s="701"/>
      <c r="D9669" s="811"/>
      <c r="E9669" s="1276">
        <f>[11]building!Y10000</f>
        <v>0</v>
      </c>
      <c r="F9669" s="748">
        <f t="shared" si="390"/>
        <v>0</v>
      </c>
      <c r="G9669" s="1205"/>
      <c r="H9669" s="1055"/>
      <c r="I9669" s="1055"/>
      <c r="J9669" s="1055"/>
      <c r="K9669" s="1205"/>
      <c r="L9669" s="1055"/>
      <c r="M9669" s="1205"/>
      <c r="N9669" s="1054"/>
      <c r="O9669" s="1207"/>
      <c r="Q9669" s="1207"/>
    </row>
    <row r="9670" spans="3:17" s="700" customFormat="1" ht="70.5" hidden="1" customHeight="1">
      <c r="C9670" s="701"/>
      <c r="D9670" s="811"/>
      <c r="E9670" s="1276">
        <f>[11]building!Y10001</f>
        <v>0</v>
      </c>
      <c r="F9670" s="748">
        <f t="shared" si="390"/>
        <v>0</v>
      </c>
      <c r="G9670" s="1205"/>
      <c r="H9670" s="1055"/>
      <c r="I9670" s="1055"/>
      <c r="J9670" s="1055"/>
      <c r="K9670" s="1205"/>
      <c r="L9670" s="1055"/>
      <c r="M9670" s="1205"/>
      <c r="N9670" s="1054"/>
      <c r="O9670" s="1207"/>
      <c r="Q9670" s="1207"/>
    </row>
    <row r="9671" spans="3:17" s="700" customFormat="1" ht="70.5" hidden="1" customHeight="1">
      <c r="C9671" s="701"/>
      <c r="D9671" s="811"/>
      <c r="E9671" s="1276">
        <f>[11]building!Y10002</f>
        <v>0</v>
      </c>
      <c r="F9671" s="748">
        <f t="shared" si="390"/>
        <v>0</v>
      </c>
      <c r="G9671" s="1205"/>
      <c r="H9671" s="1055"/>
      <c r="I9671" s="1055"/>
      <c r="J9671" s="1055"/>
      <c r="K9671" s="1205"/>
      <c r="L9671" s="1055"/>
      <c r="M9671" s="1205"/>
      <c r="N9671" s="1054"/>
      <c r="O9671" s="1207"/>
      <c r="Q9671" s="1207"/>
    </row>
    <row r="9672" spans="3:17" s="700" customFormat="1" ht="70.5" hidden="1" customHeight="1">
      <c r="C9672" s="701"/>
      <c r="D9672" s="811"/>
      <c r="E9672" s="1276">
        <f>[11]building!Y10003</f>
        <v>0</v>
      </c>
      <c r="F9672" s="748">
        <f t="shared" si="390"/>
        <v>0</v>
      </c>
      <c r="G9672" s="1205"/>
      <c r="H9672" s="1055"/>
      <c r="I9672" s="1055"/>
      <c r="J9672" s="1055"/>
      <c r="K9672" s="1205"/>
      <c r="L9672" s="1055"/>
      <c r="M9672" s="1205"/>
      <c r="N9672" s="1054"/>
      <c r="O9672" s="1207"/>
      <c r="Q9672" s="1207"/>
    </row>
    <row r="9673" spans="3:17" s="700" customFormat="1" ht="70.5" hidden="1" customHeight="1">
      <c r="C9673" s="701"/>
      <c r="D9673" s="811"/>
      <c r="E9673" s="1276">
        <f>[11]building!Y10004</f>
        <v>0</v>
      </c>
      <c r="F9673" s="748">
        <f t="shared" si="390"/>
        <v>0</v>
      </c>
      <c r="G9673" s="1205"/>
      <c r="H9673" s="1055"/>
      <c r="I9673" s="1055"/>
      <c r="J9673" s="1055"/>
      <c r="K9673" s="1205"/>
      <c r="L9673" s="1055"/>
      <c r="M9673" s="1205"/>
      <c r="N9673" s="1054"/>
      <c r="O9673" s="1207"/>
      <c r="Q9673" s="1207"/>
    </row>
    <row r="9674" spans="3:17" s="700" customFormat="1" ht="70.5" hidden="1" customHeight="1">
      <c r="C9674" s="701"/>
      <c r="D9674" s="811"/>
      <c r="E9674" s="1276">
        <f>[11]building!Y10005</f>
        <v>0</v>
      </c>
      <c r="F9674" s="748">
        <f t="shared" si="390"/>
        <v>0</v>
      </c>
      <c r="G9674" s="1205"/>
      <c r="H9674" s="1055"/>
      <c r="I9674" s="1055"/>
      <c r="J9674" s="1055"/>
      <c r="K9674" s="1205"/>
      <c r="L9674" s="1055"/>
      <c r="M9674" s="1205"/>
      <c r="N9674" s="1054"/>
      <c r="O9674" s="1207"/>
      <c r="Q9674" s="1207"/>
    </row>
    <row r="9675" spans="3:17" s="700" customFormat="1" ht="70.5" hidden="1" customHeight="1">
      <c r="C9675" s="701"/>
      <c r="D9675" s="811"/>
      <c r="E9675" s="1276">
        <f>[11]building!Y10006</f>
        <v>0</v>
      </c>
      <c r="F9675" s="748">
        <f t="shared" si="390"/>
        <v>0</v>
      </c>
      <c r="G9675" s="1205"/>
      <c r="H9675" s="1055"/>
      <c r="I9675" s="1055"/>
      <c r="J9675" s="1055"/>
      <c r="K9675" s="1205"/>
      <c r="L9675" s="1055"/>
      <c r="M9675" s="1205"/>
      <c r="N9675" s="1054"/>
      <c r="O9675" s="1207"/>
      <c r="Q9675" s="1207"/>
    </row>
    <row r="9676" spans="3:17" s="700" customFormat="1" ht="70.5" hidden="1" customHeight="1">
      <c r="C9676" s="701"/>
      <c r="D9676" s="811"/>
      <c r="E9676" s="1276">
        <f>[11]building!Y10007</f>
        <v>0</v>
      </c>
      <c r="F9676" s="748">
        <f t="shared" si="390"/>
        <v>0</v>
      </c>
      <c r="G9676" s="1205"/>
      <c r="H9676" s="1055"/>
      <c r="I9676" s="1055"/>
      <c r="J9676" s="1055"/>
      <c r="K9676" s="1205"/>
      <c r="L9676" s="1055"/>
      <c r="M9676" s="1205"/>
      <c r="N9676" s="1054"/>
      <c r="O9676" s="1207"/>
      <c r="Q9676" s="1207"/>
    </row>
    <row r="9677" spans="3:17" s="700" customFormat="1" ht="70.5" hidden="1" customHeight="1">
      <c r="C9677" s="701"/>
      <c r="D9677" s="811"/>
      <c r="E9677" s="1276">
        <f>[11]building!Y10008</f>
        <v>0</v>
      </c>
      <c r="F9677" s="748">
        <f t="shared" si="390"/>
        <v>0</v>
      </c>
      <c r="G9677" s="1205"/>
      <c r="H9677" s="1055"/>
      <c r="I9677" s="1055"/>
      <c r="J9677" s="1055"/>
      <c r="K9677" s="1205"/>
      <c r="L9677" s="1055"/>
      <c r="M9677" s="1205"/>
      <c r="N9677" s="1054"/>
      <c r="O9677" s="1207"/>
      <c r="Q9677" s="1207"/>
    </row>
    <row r="9678" spans="3:17" s="700" customFormat="1" ht="70.5" hidden="1" customHeight="1">
      <c r="C9678" s="701"/>
      <c r="D9678" s="811"/>
      <c r="E9678" s="1276">
        <f>[11]building!Y10009</f>
        <v>0</v>
      </c>
      <c r="F9678" s="748">
        <f t="shared" si="390"/>
        <v>0</v>
      </c>
      <c r="G9678" s="1205"/>
      <c r="H9678" s="1055"/>
      <c r="I9678" s="1055"/>
      <c r="J9678" s="1055"/>
      <c r="K9678" s="1205"/>
      <c r="L9678" s="1055"/>
      <c r="M9678" s="1205"/>
      <c r="N9678" s="1054"/>
      <c r="O9678" s="1207"/>
      <c r="Q9678" s="1207"/>
    </row>
    <row r="9679" spans="3:17" s="700" customFormat="1" ht="70.5" hidden="1" customHeight="1">
      <c r="C9679" s="701"/>
      <c r="D9679" s="811"/>
      <c r="E9679" s="1276">
        <f>[11]building!Y10010</f>
        <v>0</v>
      </c>
      <c r="F9679" s="748">
        <f t="shared" si="390"/>
        <v>0</v>
      </c>
      <c r="G9679" s="1205"/>
      <c r="H9679" s="1055"/>
      <c r="I9679" s="1055"/>
      <c r="J9679" s="1055"/>
      <c r="K9679" s="1205"/>
      <c r="L9679" s="1055"/>
      <c r="M9679" s="1205"/>
      <c r="N9679" s="1054"/>
      <c r="O9679" s="1207"/>
      <c r="Q9679" s="1207"/>
    </row>
    <row r="9680" spans="3:17" s="700" customFormat="1" ht="70.5" hidden="1" customHeight="1">
      <c r="C9680" s="701"/>
      <c r="D9680" s="811"/>
      <c r="E9680" s="1276">
        <f>[11]building!Y10011</f>
        <v>0</v>
      </c>
      <c r="F9680" s="748">
        <f t="shared" si="390"/>
        <v>0</v>
      </c>
      <c r="G9680" s="1205"/>
      <c r="H9680" s="1055"/>
      <c r="I9680" s="1055"/>
      <c r="J9680" s="1055"/>
      <c r="K9680" s="1205"/>
      <c r="L9680" s="1055"/>
      <c r="M9680" s="1205"/>
      <c r="N9680" s="1054"/>
      <c r="O9680" s="1207"/>
      <c r="Q9680" s="1207"/>
    </row>
    <row r="9681" spans="3:17" s="700" customFormat="1" ht="70.5" hidden="1" customHeight="1">
      <c r="C9681" s="701"/>
      <c r="D9681" s="811"/>
      <c r="E9681" s="1276">
        <f>[11]building!Y10012</f>
        <v>0</v>
      </c>
      <c r="F9681" s="748">
        <f t="shared" si="390"/>
        <v>0</v>
      </c>
      <c r="G9681" s="1205"/>
      <c r="H9681" s="1055"/>
      <c r="I9681" s="1055"/>
      <c r="J9681" s="1055"/>
      <c r="K9681" s="1205"/>
      <c r="L9681" s="1055"/>
      <c r="M9681" s="1205"/>
      <c r="N9681" s="1054"/>
      <c r="O9681" s="1207"/>
      <c r="Q9681" s="1207"/>
    </row>
    <row r="9682" spans="3:17" s="700" customFormat="1" ht="70.5" hidden="1" customHeight="1">
      <c r="C9682" s="701"/>
      <c r="D9682" s="811"/>
      <c r="E9682" s="1276">
        <f>[11]building!Y10013</f>
        <v>0</v>
      </c>
      <c r="F9682" s="748">
        <f t="shared" si="390"/>
        <v>0</v>
      </c>
      <c r="G9682" s="1205"/>
      <c r="H9682" s="1055"/>
      <c r="I9682" s="1055"/>
      <c r="J9682" s="1055"/>
      <c r="K9682" s="1205"/>
      <c r="L9682" s="1055"/>
      <c r="M9682" s="1205"/>
      <c r="N9682" s="1054"/>
      <c r="O9682" s="1207"/>
      <c r="Q9682" s="1207"/>
    </row>
    <row r="9683" spans="3:17" s="700" customFormat="1" ht="70.5" hidden="1" customHeight="1">
      <c r="C9683" s="701"/>
      <c r="D9683" s="811"/>
      <c r="E9683" s="1276">
        <f>[11]building!Y10014</f>
        <v>0</v>
      </c>
      <c r="F9683" s="748">
        <f t="shared" si="390"/>
        <v>0</v>
      </c>
      <c r="G9683" s="1205"/>
      <c r="H9683" s="1055"/>
      <c r="I9683" s="1055"/>
      <c r="J9683" s="1055"/>
      <c r="K9683" s="1205"/>
      <c r="L9683" s="1055"/>
      <c r="M9683" s="1205"/>
      <c r="N9683" s="1054"/>
      <c r="O9683" s="1207"/>
      <c r="Q9683" s="1207"/>
    </row>
    <row r="9684" spans="3:17" s="700" customFormat="1" ht="70.5" hidden="1" customHeight="1">
      <c r="C9684" s="701"/>
      <c r="D9684" s="811"/>
      <c r="E9684" s="1276">
        <f>[11]building!Y10015</f>
        <v>0</v>
      </c>
      <c r="F9684" s="748">
        <f t="shared" si="390"/>
        <v>0</v>
      </c>
      <c r="G9684" s="1205"/>
      <c r="H9684" s="1055"/>
      <c r="I9684" s="1055"/>
      <c r="J9684" s="1055"/>
      <c r="K9684" s="1205"/>
      <c r="L9684" s="1055"/>
      <c r="M9684" s="1205"/>
      <c r="N9684" s="1054"/>
      <c r="O9684" s="1207"/>
      <c r="Q9684" s="1207"/>
    </row>
    <row r="9685" spans="3:17" s="700" customFormat="1" ht="70.5" hidden="1" customHeight="1">
      <c r="C9685" s="701"/>
      <c r="D9685" s="811"/>
      <c r="E9685" s="1276">
        <f>[11]building!Y10016</f>
        <v>0</v>
      </c>
      <c r="F9685" s="748">
        <f t="shared" si="390"/>
        <v>0</v>
      </c>
      <c r="G9685" s="1205"/>
      <c r="H9685" s="1055"/>
      <c r="I9685" s="1055"/>
      <c r="J9685" s="1055"/>
      <c r="K9685" s="1205"/>
      <c r="L9685" s="1055"/>
      <c r="M9685" s="1205"/>
      <c r="N9685" s="1054"/>
      <c r="O9685" s="1207"/>
      <c r="Q9685" s="1207"/>
    </row>
    <row r="9686" spans="3:17" s="700" customFormat="1" ht="70.5" hidden="1" customHeight="1">
      <c r="C9686" s="701"/>
      <c r="D9686" s="811"/>
      <c r="E9686" s="1276">
        <f>[11]building!Y10017</f>
        <v>0</v>
      </c>
      <c r="F9686" s="748">
        <f t="shared" si="390"/>
        <v>0</v>
      </c>
      <c r="G9686" s="1205"/>
      <c r="H9686" s="1055"/>
      <c r="I9686" s="1055"/>
      <c r="J9686" s="1055"/>
      <c r="K9686" s="1205"/>
      <c r="L9686" s="1055"/>
      <c r="M9686" s="1205"/>
      <c r="N9686" s="1054"/>
      <c r="O9686" s="1207"/>
      <c r="Q9686" s="1207"/>
    </row>
    <row r="9687" spans="3:17" s="700" customFormat="1" ht="70.5" hidden="1" customHeight="1">
      <c r="C9687" s="701"/>
      <c r="D9687" s="811"/>
      <c r="E9687" s="1276">
        <f>[11]building!Y10018</f>
        <v>0</v>
      </c>
      <c r="F9687" s="748">
        <f t="shared" si="390"/>
        <v>0</v>
      </c>
      <c r="G9687" s="1205"/>
      <c r="H9687" s="1055"/>
      <c r="I9687" s="1055"/>
      <c r="J9687" s="1055"/>
      <c r="K9687" s="1205"/>
      <c r="L9687" s="1055"/>
      <c r="M9687" s="1205"/>
      <c r="N9687" s="1054"/>
      <c r="O9687" s="1207"/>
      <c r="Q9687" s="1207"/>
    </row>
    <row r="9688" spans="3:17" s="700" customFormat="1" ht="70.5" hidden="1" customHeight="1">
      <c r="C9688" s="701"/>
      <c r="D9688" s="811"/>
      <c r="E9688" s="1276">
        <f>[11]building!Y10019</f>
        <v>0</v>
      </c>
      <c r="F9688" s="748">
        <f t="shared" si="390"/>
        <v>0</v>
      </c>
      <c r="G9688" s="1205"/>
      <c r="H9688" s="1055"/>
      <c r="I9688" s="1055"/>
      <c r="J9688" s="1055"/>
      <c r="K9688" s="1205"/>
      <c r="L9688" s="1055"/>
      <c r="M9688" s="1205"/>
      <c r="N9688" s="1054"/>
      <c r="O9688" s="1207"/>
      <c r="Q9688" s="1207"/>
    </row>
    <row r="9689" spans="3:17" s="700" customFormat="1" ht="70.5" hidden="1" customHeight="1">
      <c r="C9689" s="701"/>
      <c r="D9689" s="811"/>
      <c r="E9689" s="1276">
        <f>[11]building!Y10020</f>
        <v>0</v>
      </c>
      <c r="F9689" s="748">
        <f t="shared" si="390"/>
        <v>0</v>
      </c>
      <c r="G9689" s="1205"/>
      <c r="H9689" s="1055"/>
      <c r="I9689" s="1055"/>
      <c r="J9689" s="1055"/>
      <c r="K9689" s="1205"/>
      <c r="L9689" s="1055"/>
      <c r="M9689" s="1205"/>
      <c r="N9689" s="1054"/>
      <c r="O9689" s="1207"/>
      <c r="Q9689" s="1207"/>
    </row>
    <row r="9690" spans="3:17" s="700" customFormat="1" ht="70.5" hidden="1" customHeight="1">
      <c r="C9690" s="701"/>
      <c r="D9690" s="811"/>
      <c r="E9690" s="1276">
        <f>[11]building!Y10021</f>
        <v>0</v>
      </c>
      <c r="F9690" s="748">
        <f t="shared" si="390"/>
        <v>0</v>
      </c>
      <c r="G9690" s="1205"/>
      <c r="H9690" s="1055"/>
      <c r="I9690" s="1055"/>
      <c r="J9690" s="1055"/>
      <c r="K9690" s="1205"/>
      <c r="L9690" s="1055"/>
      <c r="M9690" s="1205"/>
      <c r="N9690" s="1054"/>
      <c r="O9690" s="1207"/>
      <c r="Q9690" s="1207"/>
    </row>
    <row r="9691" spans="3:17" s="700" customFormat="1" ht="70.5" hidden="1" customHeight="1">
      <c r="C9691" s="701"/>
      <c r="D9691" s="811"/>
      <c r="E9691" s="1276">
        <f>[11]building!Y10022</f>
        <v>0</v>
      </c>
      <c r="F9691" s="748">
        <f t="shared" si="390"/>
        <v>0</v>
      </c>
      <c r="G9691" s="1205"/>
      <c r="H9691" s="1055"/>
      <c r="I9691" s="1055"/>
      <c r="J9691" s="1055"/>
      <c r="K9691" s="1205"/>
      <c r="L9691" s="1055"/>
      <c r="M9691" s="1205"/>
      <c r="N9691" s="1054"/>
      <c r="O9691" s="1207"/>
      <c r="Q9691" s="1207"/>
    </row>
    <row r="9692" spans="3:17" s="700" customFormat="1" ht="70.5" hidden="1" customHeight="1">
      <c r="C9692" s="701"/>
      <c r="D9692" s="811"/>
      <c r="E9692" s="1276">
        <f>[11]building!Y10023</f>
        <v>0</v>
      </c>
      <c r="F9692" s="748">
        <f t="shared" si="390"/>
        <v>0</v>
      </c>
      <c r="G9692" s="1205"/>
      <c r="H9692" s="1055"/>
      <c r="I9692" s="1055"/>
      <c r="J9692" s="1055"/>
      <c r="K9692" s="1205"/>
      <c r="L9692" s="1055"/>
      <c r="M9692" s="1205"/>
      <c r="N9692" s="1054"/>
      <c r="O9692" s="1207"/>
      <c r="Q9692" s="1207"/>
    </row>
    <row r="9693" spans="3:17" s="700" customFormat="1" ht="70.5" hidden="1" customHeight="1">
      <c r="C9693" s="701"/>
      <c r="D9693" s="811"/>
      <c r="E9693" s="1276">
        <f>[11]building!Y10024</f>
        <v>0</v>
      </c>
      <c r="F9693" s="748">
        <f t="shared" si="390"/>
        <v>0</v>
      </c>
      <c r="G9693" s="1205"/>
      <c r="H9693" s="1055"/>
      <c r="I9693" s="1055"/>
      <c r="J9693" s="1055"/>
      <c r="K9693" s="1205"/>
      <c r="L9693" s="1055"/>
      <c r="M9693" s="1205"/>
      <c r="N9693" s="1054"/>
      <c r="O9693" s="1207"/>
      <c r="Q9693" s="1207"/>
    </row>
    <row r="9694" spans="3:17" s="700" customFormat="1" ht="70.5" hidden="1" customHeight="1">
      <c r="C9694" s="701"/>
      <c r="D9694" s="811"/>
      <c r="E9694" s="1276">
        <f>[11]building!Y10025</f>
        <v>0</v>
      </c>
      <c r="F9694" s="748">
        <f t="shared" si="390"/>
        <v>0</v>
      </c>
      <c r="G9694" s="1205"/>
      <c r="H9694" s="1055"/>
      <c r="I9694" s="1055"/>
      <c r="J9694" s="1055"/>
      <c r="K9694" s="1205"/>
      <c r="L9694" s="1055"/>
      <c r="M9694" s="1205"/>
      <c r="N9694" s="1054"/>
      <c r="O9694" s="1207"/>
      <c r="Q9694" s="1207"/>
    </row>
    <row r="9695" spans="3:17" s="700" customFormat="1" ht="70.5" hidden="1" customHeight="1">
      <c r="C9695" s="701"/>
      <c r="D9695" s="811"/>
      <c r="E9695" s="1276">
        <f>[11]building!Y10026</f>
        <v>0</v>
      </c>
      <c r="F9695" s="748">
        <f t="shared" si="390"/>
        <v>0</v>
      </c>
      <c r="G9695" s="1205"/>
      <c r="H9695" s="1055"/>
      <c r="I9695" s="1055"/>
      <c r="J9695" s="1055"/>
      <c r="K9695" s="1205"/>
      <c r="L9695" s="1055"/>
      <c r="M9695" s="1205"/>
      <c r="N9695" s="1054"/>
      <c r="O9695" s="1207"/>
      <c r="Q9695" s="1207"/>
    </row>
    <row r="9696" spans="3:17" s="700" customFormat="1" ht="70.5" hidden="1" customHeight="1">
      <c r="C9696" s="701"/>
      <c r="D9696" s="811"/>
      <c r="E9696" s="1276">
        <f>[11]building!Y10027</f>
        <v>0</v>
      </c>
      <c r="F9696" s="748">
        <f t="shared" si="390"/>
        <v>0</v>
      </c>
      <c r="G9696" s="1205"/>
      <c r="H9696" s="1055"/>
      <c r="I9696" s="1055"/>
      <c r="J9696" s="1055"/>
      <c r="K9696" s="1205"/>
      <c r="L9696" s="1055"/>
      <c r="M9696" s="1205"/>
      <c r="N9696" s="1054"/>
      <c r="O9696" s="1207"/>
      <c r="Q9696" s="1207"/>
    </row>
    <row r="9697" spans="3:17" s="700" customFormat="1" ht="70.5" hidden="1" customHeight="1">
      <c r="C9697" s="701"/>
      <c r="D9697" s="811"/>
      <c r="E9697" s="1276">
        <f>[11]building!Y10028</f>
        <v>0</v>
      </c>
      <c r="F9697" s="748">
        <f t="shared" si="390"/>
        <v>0</v>
      </c>
      <c r="G9697" s="1205"/>
      <c r="H9697" s="1055"/>
      <c r="I9697" s="1055"/>
      <c r="J9697" s="1055"/>
      <c r="K9697" s="1205"/>
      <c r="L9697" s="1055"/>
      <c r="M9697" s="1205"/>
      <c r="N9697" s="1054"/>
      <c r="O9697" s="1207"/>
      <c r="Q9697" s="1207"/>
    </row>
    <row r="9698" spans="3:17" s="700" customFormat="1" ht="70.5" hidden="1" customHeight="1">
      <c r="C9698" s="701"/>
      <c r="D9698" s="811"/>
      <c r="E9698" s="1276">
        <f>[11]building!Y10029</f>
        <v>0</v>
      </c>
      <c r="F9698" s="748">
        <f t="shared" si="390"/>
        <v>0</v>
      </c>
      <c r="G9698" s="1205"/>
      <c r="H9698" s="1055"/>
      <c r="I9698" s="1055"/>
      <c r="J9698" s="1055"/>
      <c r="K9698" s="1205"/>
      <c r="L9698" s="1055"/>
      <c r="M9698" s="1205"/>
      <c r="N9698" s="1054"/>
      <c r="O9698" s="1207"/>
      <c r="Q9698" s="1207"/>
    </row>
    <row r="9699" spans="3:17" s="700" customFormat="1" ht="70.5" hidden="1" customHeight="1">
      <c r="C9699" s="701"/>
      <c r="D9699" s="811"/>
      <c r="E9699" s="1276">
        <f>[11]building!Y10030</f>
        <v>0</v>
      </c>
      <c r="F9699" s="748">
        <f t="shared" si="390"/>
        <v>0</v>
      </c>
      <c r="G9699" s="1205"/>
      <c r="H9699" s="1055"/>
      <c r="I9699" s="1055"/>
      <c r="J9699" s="1055"/>
      <c r="K9699" s="1205"/>
      <c r="L9699" s="1055"/>
      <c r="M9699" s="1205"/>
      <c r="N9699" s="1054"/>
      <c r="O9699" s="1207"/>
      <c r="Q9699" s="1207"/>
    </row>
    <row r="9700" spans="3:17" s="700" customFormat="1" ht="70.5" hidden="1" customHeight="1">
      <c r="C9700" s="701"/>
      <c r="D9700" s="811"/>
      <c r="E9700" s="1276">
        <f>[11]building!Y10031</f>
        <v>0</v>
      </c>
      <c r="F9700" s="748">
        <f t="shared" si="390"/>
        <v>0</v>
      </c>
      <c r="G9700" s="1205"/>
      <c r="H9700" s="1055"/>
      <c r="I9700" s="1055"/>
      <c r="J9700" s="1055"/>
      <c r="K9700" s="1205"/>
      <c r="L9700" s="1055"/>
      <c r="M9700" s="1205"/>
      <c r="N9700" s="1054"/>
      <c r="O9700" s="1207"/>
      <c r="Q9700" s="1207"/>
    </row>
    <row r="9701" spans="3:17" s="700" customFormat="1" ht="70.5" hidden="1" customHeight="1">
      <c r="C9701" s="701"/>
      <c r="D9701" s="811"/>
      <c r="E9701" s="1276">
        <f>[11]building!Y10032</f>
        <v>0</v>
      </c>
      <c r="F9701" s="748">
        <f t="shared" si="390"/>
        <v>0</v>
      </c>
      <c r="G9701" s="1205"/>
      <c r="H9701" s="1055"/>
      <c r="I9701" s="1055"/>
      <c r="J9701" s="1055"/>
      <c r="K9701" s="1205"/>
      <c r="L9701" s="1055"/>
      <c r="M9701" s="1205"/>
      <c r="N9701" s="1054"/>
      <c r="O9701" s="1207"/>
      <c r="Q9701" s="1207"/>
    </row>
    <row r="9702" spans="3:17" s="700" customFormat="1" ht="70.5" hidden="1" customHeight="1">
      <c r="C9702" s="701"/>
      <c r="D9702" s="811"/>
      <c r="E9702" s="1276">
        <f>[11]building!Y10033</f>
        <v>0</v>
      </c>
      <c r="F9702" s="748">
        <f t="shared" si="390"/>
        <v>0</v>
      </c>
      <c r="G9702" s="1205"/>
      <c r="H9702" s="1055"/>
      <c r="I9702" s="1055"/>
      <c r="J9702" s="1055"/>
      <c r="K9702" s="1205"/>
      <c r="L9702" s="1055"/>
      <c r="M9702" s="1205"/>
      <c r="N9702" s="1054"/>
      <c r="O9702" s="1207"/>
      <c r="Q9702" s="1207"/>
    </row>
    <row r="9703" spans="3:17" s="700" customFormat="1" ht="70.5" hidden="1" customHeight="1">
      <c r="C9703" s="701"/>
      <c r="D9703" s="811"/>
      <c r="E9703" s="1276">
        <f>[11]building!Y10034</f>
        <v>0</v>
      </c>
      <c r="F9703" s="748">
        <f t="shared" si="390"/>
        <v>0</v>
      </c>
      <c r="G9703" s="1205"/>
      <c r="H9703" s="1055"/>
      <c r="I9703" s="1055"/>
      <c r="J9703" s="1055"/>
      <c r="K9703" s="1205"/>
      <c r="L9703" s="1055"/>
      <c r="M9703" s="1205"/>
      <c r="N9703" s="1054"/>
      <c r="O9703" s="1207"/>
      <c r="Q9703" s="1207"/>
    </row>
    <row r="9704" spans="3:17" s="700" customFormat="1" ht="70.5" hidden="1" customHeight="1">
      <c r="C9704" s="701"/>
      <c r="D9704" s="811"/>
      <c r="E9704" s="1276">
        <f>[11]building!Y10035</f>
        <v>0</v>
      </c>
      <c r="F9704" s="748">
        <f t="shared" si="390"/>
        <v>0</v>
      </c>
      <c r="G9704" s="1205"/>
      <c r="H9704" s="1055"/>
      <c r="I9704" s="1055"/>
      <c r="J9704" s="1055"/>
      <c r="K9704" s="1205"/>
      <c r="L9704" s="1055"/>
      <c r="M9704" s="1205"/>
      <c r="N9704" s="1054"/>
      <c r="O9704" s="1207"/>
      <c r="Q9704" s="1207"/>
    </row>
    <row r="9705" spans="3:17" s="700" customFormat="1" ht="70.5" hidden="1" customHeight="1">
      <c r="C9705" s="701"/>
      <c r="D9705" s="811"/>
      <c r="E9705" s="1276">
        <f>[11]building!Y10036</f>
        <v>0</v>
      </c>
      <c r="F9705" s="748">
        <f t="shared" si="390"/>
        <v>0</v>
      </c>
      <c r="G9705" s="1205"/>
      <c r="H9705" s="1055"/>
      <c r="I9705" s="1055"/>
      <c r="J9705" s="1055"/>
      <c r="K9705" s="1205"/>
      <c r="L9705" s="1055"/>
      <c r="M9705" s="1205"/>
      <c r="N9705" s="1054"/>
      <c r="O9705" s="1207"/>
      <c r="Q9705" s="1207"/>
    </row>
    <row r="9706" spans="3:17" s="700" customFormat="1" ht="70.5" hidden="1" customHeight="1">
      <c r="C9706" s="701"/>
      <c r="D9706" s="811"/>
      <c r="E9706" s="1276">
        <f>[11]building!Y10037</f>
        <v>0</v>
      </c>
      <c r="F9706" s="748">
        <f t="shared" si="390"/>
        <v>0</v>
      </c>
      <c r="G9706" s="1205"/>
      <c r="H9706" s="1055"/>
      <c r="I9706" s="1055"/>
      <c r="J9706" s="1055"/>
      <c r="K9706" s="1205"/>
      <c r="L9706" s="1055"/>
      <c r="M9706" s="1205"/>
      <c r="N9706" s="1054"/>
      <c r="O9706" s="1207"/>
      <c r="Q9706" s="1207"/>
    </row>
    <row r="9707" spans="3:17" s="700" customFormat="1" ht="70.5" hidden="1" customHeight="1">
      <c r="C9707" s="701"/>
      <c r="D9707" s="811"/>
      <c r="E9707" s="1276">
        <f>[11]building!Y10038</f>
        <v>0</v>
      </c>
      <c r="F9707" s="748">
        <f t="shared" si="390"/>
        <v>0</v>
      </c>
      <c r="G9707" s="1205"/>
      <c r="H9707" s="1055"/>
      <c r="I9707" s="1055"/>
      <c r="J9707" s="1055"/>
      <c r="K9707" s="1205"/>
      <c r="L9707" s="1055"/>
      <c r="M9707" s="1205"/>
      <c r="N9707" s="1054"/>
      <c r="O9707" s="1207"/>
      <c r="Q9707" s="1207"/>
    </row>
    <row r="9708" spans="3:17" s="700" customFormat="1" ht="70.5" hidden="1" customHeight="1">
      <c r="C9708" s="701"/>
      <c r="D9708" s="811"/>
      <c r="E9708" s="1276">
        <f>[11]building!Y10039</f>
        <v>0</v>
      </c>
      <c r="F9708" s="748">
        <f t="shared" si="390"/>
        <v>0</v>
      </c>
      <c r="G9708" s="1205"/>
      <c r="H9708" s="1055"/>
      <c r="I9708" s="1055"/>
      <c r="J9708" s="1055"/>
      <c r="K9708" s="1205"/>
      <c r="L9708" s="1055"/>
      <c r="M9708" s="1205"/>
      <c r="N9708" s="1054"/>
      <c r="O9708" s="1207"/>
      <c r="Q9708" s="1207"/>
    </row>
    <row r="9709" spans="3:17" s="700" customFormat="1" ht="70.5" hidden="1" customHeight="1">
      <c r="C9709" s="701"/>
      <c r="D9709" s="811"/>
      <c r="E9709" s="1276">
        <f>[11]building!Y10040</f>
        <v>0</v>
      </c>
      <c r="F9709" s="748">
        <f t="shared" si="390"/>
        <v>0</v>
      </c>
      <c r="G9709" s="1205"/>
      <c r="H9709" s="1055"/>
      <c r="I9709" s="1055"/>
      <c r="J9709" s="1055"/>
      <c r="K9709" s="1205"/>
      <c r="L9709" s="1055"/>
      <c r="M9709" s="1205"/>
      <c r="N9709" s="1054"/>
      <c r="O9709" s="1207"/>
      <c r="Q9709" s="1207"/>
    </row>
    <row r="9710" spans="3:17" s="700" customFormat="1" ht="70.5" hidden="1" customHeight="1">
      <c r="C9710" s="701"/>
      <c r="D9710" s="811"/>
      <c r="E9710" s="1276">
        <f>[11]building!Y10041</f>
        <v>0</v>
      </c>
      <c r="F9710" s="748">
        <f t="shared" si="390"/>
        <v>0</v>
      </c>
      <c r="G9710" s="1205"/>
      <c r="H9710" s="1055"/>
      <c r="I9710" s="1055"/>
      <c r="J9710" s="1055"/>
      <c r="K9710" s="1205"/>
      <c r="L9710" s="1055"/>
      <c r="M9710" s="1205"/>
      <c r="N9710" s="1054"/>
      <c r="O9710" s="1207"/>
      <c r="Q9710" s="1207"/>
    </row>
    <row r="9711" spans="3:17" s="700" customFormat="1" ht="70.5" hidden="1" customHeight="1">
      <c r="C9711" s="701"/>
      <c r="D9711" s="811"/>
      <c r="E9711" s="1276">
        <f>[11]building!Y10042</f>
        <v>0</v>
      </c>
      <c r="F9711" s="748">
        <f t="shared" si="390"/>
        <v>0</v>
      </c>
      <c r="G9711" s="1205"/>
      <c r="H9711" s="1055"/>
      <c r="I9711" s="1055"/>
      <c r="J9711" s="1055"/>
      <c r="K9711" s="1205"/>
      <c r="L9711" s="1055"/>
      <c r="M9711" s="1205"/>
      <c r="N9711" s="1054"/>
      <c r="O9711" s="1207"/>
      <c r="Q9711" s="1207"/>
    </row>
    <row r="9712" spans="3:17" s="700" customFormat="1" ht="70.5" hidden="1" customHeight="1">
      <c r="C9712" s="701"/>
      <c r="D9712" s="811"/>
      <c r="E9712" s="1276">
        <f>[11]building!Y10043</f>
        <v>0</v>
      </c>
      <c r="F9712" s="748">
        <f t="shared" si="390"/>
        <v>0</v>
      </c>
      <c r="G9712" s="1205"/>
      <c r="H9712" s="1055"/>
      <c r="I9712" s="1055"/>
      <c r="J9712" s="1055"/>
      <c r="K9712" s="1205"/>
      <c r="L9712" s="1055"/>
      <c r="M9712" s="1205"/>
      <c r="N9712" s="1054"/>
      <c r="O9712" s="1207"/>
      <c r="Q9712" s="1207"/>
    </row>
    <row r="9713" spans="3:17" s="700" customFormat="1" ht="70.5" hidden="1" customHeight="1">
      <c r="C9713" s="701"/>
      <c r="D9713" s="811"/>
      <c r="E9713" s="1276">
        <f>[11]building!Y10044</f>
        <v>0</v>
      </c>
      <c r="F9713" s="748">
        <f t="shared" si="390"/>
        <v>0</v>
      </c>
      <c r="G9713" s="1205"/>
      <c r="H9713" s="1055"/>
      <c r="I9713" s="1055"/>
      <c r="J9713" s="1055"/>
      <c r="K9713" s="1205"/>
      <c r="L9713" s="1055"/>
      <c r="M9713" s="1205"/>
      <c r="N9713" s="1054"/>
      <c r="O9713" s="1207"/>
      <c r="Q9713" s="1207"/>
    </row>
    <row r="9714" spans="3:17" s="700" customFormat="1" ht="70.5" hidden="1" customHeight="1">
      <c r="C9714" s="701"/>
      <c r="D9714" s="811"/>
      <c r="E9714" s="1276">
        <f>[11]building!Y10045</f>
        <v>0</v>
      </c>
      <c r="F9714" s="748">
        <f t="shared" si="390"/>
        <v>0</v>
      </c>
      <c r="G9714" s="1205"/>
      <c r="H9714" s="1055"/>
      <c r="I9714" s="1055"/>
      <c r="J9714" s="1055"/>
      <c r="K9714" s="1205"/>
      <c r="L9714" s="1055"/>
      <c r="M9714" s="1205"/>
      <c r="N9714" s="1054"/>
      <c r="O9714" s="1207"/>
      <c r="Q9714" s="1207"/>
    </row>
    <row r="9715" spans="3:17" s="700" customFormat="1" ht="70.5" hidden="1" customHeight="1">
      <c r="C9715" s="701"/>
      <c r="D9715" s="811"/>
      <c r="E9715" s="1276">
        <f>[11]building!Y10046</f>
        <v>0</v>
      </c>
      <c r="F9715" s="748">
        <f t="shared" si="390"/>
        <v>0</v>
      </c>
      <c r="G9715" s="1205"/>
      <c r="H9715" s="1055"/>
      <c r="I9715" s="1055"/>
      <c r="J9715" s="1055"/>
      <c r="K9715" s="1205"/>
      <c r="L9715" s="1055"/>
      <c r="M9715" s="1205"/>
      <c r="N9715" s="1054"/>
      <c r="O9715" s="1207"/>
      <c r="Q9715" s="1207"/>
    </row>
    <row r="9716" spans="3:17" s="700" customFormat="1" ht="70.5" hidden="1" customHeight="1">
      <c r="C9716" s="701"/>
      <c r="D9716" s="811"/>
      <c r="E9716" s="1276">
        <f>[11]building!Y10047</f>
        <v>0</v>
      </c>
      <c r="F9716" s="748">
        <f t="shared" si="390"/>
        <v>0</v>
      </c>
      <c r="G9716" s="1205"/>
      <c r="H9716" s="1055"/>
      <c r="I9716" s="1055"/>
      <c r="J9716" s="1055"/>
      <c r="K9716" s="1205"/>
      <c r="L9716" s="1055"/>
      <c r="M9716" s="1205"/>
      <c r="N9716" s="1054"/>
      <c r="O9716" s="1207"/>
      <c r="Q9716" s="1207"/>
    </row>
    <row r="9717" spans="3:17" s="700" customFormat="1" ht="70.5" hidden="1" customHeight="1">
      <c r="C9717" s="701"/>
      <c r="D9717" s="811"/>
      <c r="E9717" s="1276">
        <f>[11]building!Y10048</f>
        <v>0</v>
      </c>
      <c r="F9717" s="748">
        <f t="shared" si="390"/>
        <v>0</v>
      </c>
      <c r="G9717" s="1205"/>
      <c r="H9717" s="1055"/>
      <c r="I9717" s="1055"/>
      <c r="J9717" s="1055"/>
      <c r="K9717" s="1205"/>
      <c r="L9717" s="1055"/>
      <c r="M9717" s="1205"/>
      <c r="N9717" s="1054"/>
      <c r="O9717" s="1207"/>
      <c r="Q9717" s="1207"/>
    </row>
    <row r="9718" spans="3:17" s="700" customFormat="1" ht="70.5" hidden="1" customHeight="1">
      <c r="C9718" s="701"/>
      <c r="D9718" s="811"/>
      <c r="E9718" s="1276">
        <f>[11]building!Y10049</f>
        <v>0</v>
      </c>
      <c r="F9718" s="748">
        <f t="shared" si="390"/>
        <v>0</v>
      </c>
      <c r="G9718" s="1205"/>
      <c r="H9718" s="1055"/>
      <c r="I9718" s="1055"/>
      <c r="J9718" s="1055"/>
      <c r="K9718" s="1205"/>
      <c r="L9718" s="1055"/>
      <c r="M9718" s="1205"/>
      <c r="N9718" s="1054"/>
      <c r="O9718" s="1207"/>
      <c r="Q9718" s="1207"/>
    </row>
    <row r="9719" spans="3:17" s="700" customFormat="1" ht="70.5" hidden="1" customHeight="1">
      <c r="C9719" s="701"/>
      <c r="D9719" s="811"/>
      <c r="E9719" s="1276">
        <f>[11]building!Y10050</f>
        <v>0</v>
      </c>
      <c r="F9719" s="748">
        <f t="shared" si="390"/>
        <v>0</v>
      </c>
      <c r="G9719" s="1205"/>
      <c r="H9719" s="1055"/>
      <c r="I9719" s="1055"/>
      <c r="J9719" s="1055"/>
      <c r="K9719" s="1205"/>
      <c r="L9719" s="1055"/>
      <c r="M9719" s="1205"/>
      <c r="N9719" s="1054"/>
      <c r="O9719" s="1207"/>
      <c r="Q9719" s="1207"/>
    </row>
    <row r="9720" spans="3:17" s="700" customFormat="1" ht="70.5" hidden="1" customHeight="1">
      <c r="C9720" s="701"/>
      <c r="D9720" s="811"/>
      <c r="E9720" s="1276">
        <f>[11]building!Y10051</f>
        <v>0</v>
      </c>
      <c r="F9720" s="748">
        <f t="shared" si="390"/>
        <v>0</v>
      </c>
      <c r="G9720" s="1205"/>
      <c r="H9720" s="1055"/>
      <c r="I9720" s="1055"/>
      <c r="J9720" s="1055"/>
      <c r="K9720" s="1205"/>
      <c r="L9720" s="1055"/>
      <c r="M9720" s="1205"/>
      <c r="N9720" s="1054"/>
      <c r="O9720" s="1207"/>
      <c r="Q9720" s="1207"/>
    </row>
    <row r="9721" spans="3:17" s="700" customFormat="1" ht="70.5" hidden="1" customHeight="1">
      <c r="C9721" s="701"/>
      <c r="D9721" s="811"/>
      <c r="E9721" s="1276">
        <f>[11]building!Y10052</f>
        <v>0</v>
      </c>
      <c r="F9721" s="748">
        <f t="shared" si="390"/>
        <v>0</v>
      </c>
      <c r="G9721" s="1205"/>
      <c r="H9721" s="1055"/>
      <c r="I9721" s="1055"/>
      <c r="J9721" s="1055"/>
      <c r="K9721" s="1205"/>
      <c r="L9721" s="1055"/>
      <c r="M9721" s="1205"/>
      <c r="N9721" s="1054"/>
      <c r="O9721" s="1207"/>
      <c r="Q9721" s="1207"/>
    </row>
    <row r="9722" spans="3:17" s="700" customFormat="1" ht="70.5" hidden="1" customHeight="1">
      <c r="C9722" s="701"/>
      <c r="D9722" s="811"/>
      <c r="E9722" s="1276">
        <f>[11]building!Y10053</f>
        <v>0</v>
      </c>
      <c r="F9722" s="748">
        <f t="shared" si="390"/>
        <v>0</v>
      </c>
      <c r="G9722" s="1205"/>
      <c r="H9722" s="1055"/>
      <c r="I9722" s="1055"/>
      <c r="J9722" s="1055"/>
      <c r="K9722" s="1205"/>
      <c r="L9722" s="1055"/>
      <c r="M9722" s="1205"/>
      <c r="N9722" s="1054"/>
      <c r="O9722" s="1207"/>
      <c r="Q9722" s="1207"/>
    </row>
    <row r="9723" spans="3:17" s="700" customFormat="1" ht="70.5" hidden="1" customHeight="1">
      <c r="C9723" s="701"/>
      <c r="D9723" s="811"/>
      <c r="E9723" s="1276">
        <f>[11]building!Y10054</f>
        <v>0</v>
      </c>
      <c r="F9723" s="748">
        <f t="shared" si="390"/>
        <v>0</v>
      </c>
      <c r="G9723" s="1205"/>
      <c r="H9723" s="1055"/>
      <c r="I9723" s="1055"/>
      <c r="J9723" s="1055"/>
      <c r="K9723" s="1205"/>
      <c r="L9723" s="1055"/>
      <c r="M9723" s="1205"/>
      <c r="N9723" s="1054"/>
      <c r="O9723" s="1207"/>
      <c r="Q9723" s="1207"/>
    </row>
    <row r="9724" spans="3:17" s="700" customFormat="1" ht="70.5" hidden="1" customHeight="1">
      <c r="C9724" s="701"/>
      <c r="D9724" s="811"/>
      <c r="E9724" s="1276">
        <f>[11]building!Y10055</f>
        <v>0</v>
      </c>
      <c r="F9724" s="748">
        <f t="shared" si="390"/>
        <v>0</v>
      </c>
      <c r="G9724" s="1205"/>
      <c r="H9724" s="1055"/>
      <c r="I9724" s="1055"/>
      <c r="J9724" s="1055"/>
      <c r="K9724" s="1205"/>
      <c r="L9724" s="1055"/>
      <c r="M9724" s="1205"/>
      <c r="N9724" s="1054"/>
      <c r="O9724" s="1207"/>
      <c r="Q9724" s="1207"/>
    </row>
    <row r="9725" spans="3:17" s="700" customFormat="1" ht="70.5" hidden="1" customHeight="1">
      <c r="C9725" s="701"/>
      <c r="D9725" s="811"/>
      <c r="E9725" s="1276">
        <f>[11]building!Y10056</f>
        <v>0</v>
      </c>
      <c r="F9725" s="748">
        <f t="shared" si="390"/>
        <v>0</v>
      </c>
      <c r="G9725" s="1205"/>
      <c r="H9725" s="1055"/>
      <c r="I9725" s="1055"/>
      <c r="J9725" s="1055"/>
      <c r="K9725" s="1205"/>
      <c r="L9725" s="1055"/>
      <c r="M9725" s="1205"/>
      <c r="N9725" s="1054"/>
      <c r="O9725" s="1207"/>
      <c r="Q9725" s="1207"/>
    </row>
    <row r="9726" spans="3:17" s="700" customFormat="1" ht="70.5" hidden="1" customHeight="1">
      <c r="C9726" s="701"/>
      <c r="D9726" s="811"/>
      <c r="E9726" s="1276">
        <f>[11]building!Y10057</f>
        <v>0</v>
      </c>
      <c r="F9726" s="748">
        <f t="shared" si="390"/>
        <v>0</v>
      </c>
      <c r="G9726" s="1205"/>
      <c r="H9726" s="1055"/>
      <c r="I9726" s="1055"/>
      <c r="J9726" s="1055"/>
      <c r="K9726" s="1205"/>
      <c r="L9726" s="1055"/>
      <c r="M9726" s="1205"/>
      <c r="N9726" s="1054"/>
      <c r="O9726" s="1207"/>
      <c r="Q9726" s="1207"/>
    </row>
    <row r="9727" spans="3:17" s="700" customFormat="1" ht="70.5" hidden="1" customHeight="1">
      <c r="C9727" s="701"/>
      <c r="D9727" s="811"/>
      <c r="E9727" s="1276">
        <f>[11]building!Y10058</f>
        <v>0</v>
      </c>
      <c r="F9727" s="748">
        <f t="shared" si="390"/>
        <v>0</v>
      </c>
      <c r="G9727" s="1205"/>
      <c r="H9727" s="1055"/>
      <c r="I9727" s="1055"/>
      <c r="J9727" s="1055"/>
      <c r="K9727" s="1205"/>
      <c r="L9727" s="1055"/>
      <c r="M9727" s="1205"/>
      <c r="N9727" s="1054"/>
      <c r="O9727" s="1207"/>
      <c r="Q9727" s="1207"/>
    </row>
    <row r="9728" spans="3:17" s="700" customFormat="1" ht="70.5" hidden="1" customHeight="1">
      <c r="C9728" s="701"/>
      <c r="D9728" s="811"/>
      <c r="E9728" s="1276">
        <f>[11]building!Y10059</f>
        <v>0</v>
      </c>
      <c r="F9728" s="748">
        <f t="shared" ref="F9728:F9791" si="391">E9728*C9728</f>
        <v>0</v>
      </c>
      <c r="G9728" s="1205"/>
      <c r="H9728" s="1055"/>
      <c r="I9728" s="1055"/>
      <c r="J9728" s="1055"/>
      <c r="K9728" s="1205"/>
      <c r="L9728" s="1055"/>
      <c r="M9728" s="1205"/>
      <c r="N9728" s="1054"/>
      <c r="O9728" s="1207"/>
      <c r="Q9728" s="1207"/>
    </row>
    <row r="9729" spans="3:17" s="700" customFormat="1" ht="70.5" hidden="1" customHeight="1">
      <c r="C9729" s="701"/>
      <c r="D9729" s="811"/>
      <c r="E9729" s="1276">
        <f>[11]building!Y10060</f>
        <v>0</v>
      </c>
      <c r="F9729" s="748">
        <f t="shared" si="391"/>
        <v>0</v>
      </c>
      <c r="G9729" s="1205"/>
      <c r="H9729" s="1055"/>
      <c r="I9729" s="1055"/>
      <c r="J9729" s="1055"/>
      <c r="K9729" s="1205"/>
      <c r="L9729" s="1055"/>
      <c r="M9729" s="1205"/>
      <c r="N9729" s="1054"/>
      <c r="O9729" s="1207"/>
      <c r="Q9729" s="1207"/>
    </row>
    <row r="9730" spans="3:17" s="700" customFormat="1" ht="70.5" hidden="1" customHeight="1">
      <c r="C9730" s="701"/>
      <c r="D9730" s="811"/>
      <c r="E9730" s="1276">
        <f>[11]building!Y10061</f>
        <v>0</v>
      </c>
      <c r="F9730" s="748">
        <f t="shared" si="391"/>
        <v>0</v>
      </c>
      <c r="G9730" s="1205"/>
      <c r="H9730" s="1055"/>
      <c r="I9730" s="1055"/>
      <c r="J9730" s="1055"/>
      <c r="K9730" s="1205"/>
      <c r="L9730" s="1055"/>
      <c r="M9730" s="1205"/>
      <c r="N9730" s="1054"/>
      <c r="O9730" s="1207"/>
      <c r="Q9730" s="1207"/>
    </row>
    <row r="9731" spans="3:17" s="700" customFormat="1" ht="70.5" hidden="1" customHeight="1">
      <c r="C9731" s="701"/>
      <c r="D9731" s="811"/>
      <c r="E9731" s="1276">
        <f>[11]building!Y10062</f>
        <v>0</v>
      </c>
      <c r="F9731" s="748">
        <f t="shared" si="391"/>
        <v>0</v>
      </c>
      <c r="G9731" s="1205"/>
      <c r="H9731" s="1055"/>
      <c r="I9731" s="1055"/>
      <c r="J9731" s="1055"/>
      <c r="K9731" s="1205"/>
      <c r="L9731" s="1055"/>
      <c r="M9731" s="1205"/>
      <c r="N9731" s="1054"/>
      <c r="O9731" s="1207"/>
      <c r="Q9731" s="1207"/>
    </row>
    <row r="9732" spans="3:17" s="700" customFormat="1" ht="70.5" hidden="1" customHeight="1">
      <c r="C9732" s="701"/>
      <c r="D9732" s="811"/>
      <c r="E9732" s="1276">
        <f>[11]building!Y10063</f>
        <v>0</v>
      </c>
      <c r="F9732" s="748">
        <f t="shared" si="391"/>
        <v>0</v>
      </c>
      <c r="G9732" s="1205"/>
      <c r="H9732" s="1055"/>
      <c r="I9732" s="1055"/>
      <c r="J9732" s="1055"/>
      <c r="K9732" s="1205"/>
      <c r="L9732" s="1055"/>
      <c r="M9732" s="1205"/>
      <c r="N9732" s="1054"/>
      <c r="O9732" s="1207"/>
      <c r="Q9732" s="1207"/>
    </row>
    <row r="9733" spans="3:17" s="700" customFormat="1" ht="70.5" hidden="1" customHeight="1">
      <c r="C9733" s="701"/>
      <c r="D9733" s="811"/>
      <c r="E9733" s="1276">
        <f>[11]building!Y10064</f>
        <v>0</v>
      </c>
      <c r="F9733" s="748">
        <f t="shared" si="391"/>
        <v>0</v>
      </c>
      <c r="G9733" s="1205"/>
      <c r="H9733" s="1055"/>
      <c r="I9733" s="1055"/>
      <c r="J9733" s="1055"/>
      <c r="K9733" s="1205"/>
      <c r="L9733" s="1055"/>
      <c r="M9733" s="1205"/>
      <c r="N9733" s="1054"/>
      <c r="O9733" s="1207"/>
      <c r="Q9733" s="1207"/>
    </row>
    <row r="9734" spans="3:17" s="700" customFormat="1" ht="70.5" hidden="1" customHeight="1">
      <c r="C9734" s="701"/>
      <c r="D9734" s="811"/>
      <c r="E9734" s="1276">
        <f>[11]building!Y10065</f>
        <v>0</v>
      </c>
      <c r="F9734" s="748">
        <f t="shared" si="391"/>
        <v>0</v>
      </c>
      <c r="G9734" s="1205"/>
      <c r="H9734" s="1055"/>
      <c r="I9734" s="1055"/>
      <c r="J9734" s="1055"/>
      <c r="K9734" s="1205"/>
      <c r="L9734" s="1055"/>
      <c r="M9734" s="1205"/>
      <c r="N9734" s="1054"/>
      <c r="O9734" s="1207"/>
      <c r="Q9734" s="1207"/>
    </row>
    <row r="9735" spans="3:17" s="700" customFormat="1" ht="70.5" hidden="1" customHeight="1">
      <c r="C9735" s="701"/>
      <c r="D9735" s="811"/>
      <c r="E9735" s="1276">
        <f>[11]building!Y10066</f>
        <v>0</v>
      </c>
      <c r="F9735" s="748">
        <f t="shared" si="391"/>
        <v>0</v>
      </c>
      <c r="G9735" s="1205"/>
      <c r="H9735" s="1055"/>
      <c r="I9735" s="1055"/>
      <c r="J9735" s="1055"/>
      <c r="K9735" s="1205"/>
      <c r="L9735" s="1055"/>
      <c r="M9735" s="1205"/>
      <c r="N9735" s="1054"/>
      <c r="O9735" s="1207"/>
      <c r="Q9735" s="1207"/>
    </row>
    <row r="9736" spans="3:17" s="700" customFormat="1" ht="70.5" hidden="1" customHeight="1">
      <c r="C9736" s="701"/>
      <c r="D9736" s="811"/>
      <c r="E9736" s="1276">
        <f>[11]building!Y10067</f>
        <v>0</v>
      </c>
      <c r="F9736" s="748">
        <f t="shared" si="391"/>
        <v>0</v>
      </c>
      <c r="G9736" s="1205"/>
      <c r="H9736" s="1055"/>
      <c r="I9736" s="1055"/>
      <c r="J9736" s="1055"/>
      <c r="K9736" s="1205"/>
      <c r="L9736" s="1055"/>
      <c r="M9736" s="1205"/>
      <c r="N9736" s="1054"/>
      <c r="O9736" s="1207"/>
      <c r="Q9736" s="1207"/>
    </row>
    <row r="9737" spans="3:17" s="700" customFormat="1" ht="70.5" hidden="1" customHeight="1">
      <c r="C9737" s="701"/>
      <c r="D9737" s="811"/>
      <c r="E9737" s="1276">
        <f>[11]building!Y10068</f>
        <v>0</v>
      </c>
      <c r="F9737" s="748">
        <f t="shared" si="391"/>
        <v>0</v>
      </c>
      <c r="G9737" s="1205"/>
      <c r="H9737" s="1055"/>
      <c r="I9737" s="1055"/>
      <c r="J9737" s="1055"/>
      <c r="K9737" s="1205"/>
      <c r="L9737" s="1055"/>
      <c r="M9737" s="1205"/>
      <c r="N9737" s="1054"/>
      <c r="O9737" s="1207"/>
      <c r="Q9737" s="1207"/>
    </row>
    <row r="9738" spans="3:17" s="700" customFormat="1" ht="70.5" hidden="1" customHeight="1">
      <c r="C9738" s="701"/>
      <c r="D9738" s="811"/>
      <c r="E9738" s="1276">
        <f>[11]building!Y10069</f>
        <v>0</v>
      </c>
      <c r="F9738" s="748">
        <f t="shared" si="391"/>
        <v>0</v>
      </c>
      <c r="G9738" s="1205"/>
      <c r="H9738" s="1055"/>
      <c r="I9738" s="1055"/>
      <c r="J9738" s="1055"/>
      <c r="K9738" s="1205"/>
      <c r="L9738" s="1055"/>
      <c r="M9738" s="1205"/>
      <c r="N9738" s="1054"/>
      <c r="O9738" s="1207"/>
      <c r="Q9738" s="1207"/>
    </row>
    <row r="9739" spans="3:17" s="700" customFormat="1" ht="70.5" hidden="1" customHeight="1">
      <c r="C9739" s="701"/>
      <c r="D9739" s="811"/>
      <c r="E9739" s="1276">
        <f>[11]building!Y10070</f>
        <v>0</v>
      </c>
      <c r="F9739" s="748">
        <f t="shared" si="391"/>
        <v>0</v>
      </c>
      <c r="G9739" s="1205"/>
      <c r="H9739" s="1055"/>
      <c r="I9739" s="1055"/>
      <c r="J9739" s="1055"/>
      <c r="K9739" s="1205"/>
      <c r="L9739" s="1055"/>
      <c r="M9739" s="1205"/>
      <c r="N9739" s="1054"/>
      <c r="O9739" s="1207"/>
      <c r="Q9739" s="1207"/>
    </row>
    <row r="9740" spans="3:17" s="700" customFormat="1" ht="70.5" hidden="1" customHeight="1">
      <c r="C9740" s="701"/>
      <c r="D9740" s="811"/>
      <c r="E9740" s="1276">
        <f>[11]building!Y10071</f>
        <v>0</v>
      </c>
      <c r="F9740" s="748">
        <f t="shared" si="391"/>
        <v>0</v>
      </c>
      <c r="G9740" s="1205"/>
      <c r="H9740" s="1055"/>
      <c r="I9740" s="1055"/>
      <c r="J9740" s="1055"/>
      <c r="K9740" s="1205"/>
      <c r="L9740" s="1055"/>
      <c r="M9740" s="1205"/>
      <c r="N9740" s="1054"/>
      <c r="O9740" s="1207"/>
      <c r="Q9740" s="1207"/>
    </row>
    <row r="9741" spans="3:17" s="700" customFormat="1" ht="70.5" hidden="1" customHeight="1">
      <c r="C9741" s="701"/>
      <c r="D9741" s="811"/>
      <c r="E9741" s="1276">
        <f>[11]building!Y10072</f>
        <v>0</v>
      </c>
      <c r="F9741" s="748">
        <f t="shared" si="391"/>
        <v>0</v>
      </c>
      <c r="G9741" s="1205"/>
      <c r="H9741" s="1055"/>
      <c r="I9741" s="1055"/>
      <c r="J9741" s="1055"/>
      <c r="K9741" s="1205"/>
      <c r="L9741" s="1055"/>
      <c r="M9741" s="1205"/>
      <c r="N9741" s="1054"/>
      <c r="O9741" s="1207"/>
      <c r="Q9741" s="1207"/>
    </row>
    <row r="9742" spans="3:17" s="700" customFormat="1" ht="70.5" hidden="1" customHeight="1">
      <c r="C9742" s="701"/>
      <c r="D9742" s="811"/>
      <c r="E9742" s="1276">
        <f>[11]building!Y10073</f>
        <v>0</v>
      </c>
      <c r="F9742" s="748">
        <f t="shared" si="391"/>
        <v>0</v>
      </c>
      <c r="G9742" s="1205"/>
      <c r="H9742" s="1055"/>
      <c r="I9742" s="1055"/>
      <c r="J9742" s="1055"/>
      <c r="K9742" s="1205"/>
      <c r="L9742" s="1055"/>
      <c r="M9742" s="1205"/>
      <c r="N9742" s="1054"/>
      <c r="O9742" s="1207"/>
      <c r="Q9742" s="1207"/>
    </row>
    <row r="9743" spans="3:17" s="700" customFormat="1" ht="70.5" hidden="1" customHeight="1">
      <c r="C9743" s="701"/>
      <c r="D9743" s="811"/>
      <c r="E9743" s="1276">
        <f>[11]building!Y10074</f>
        <v>0</v>
      </c>
      <c r="F9743" s="748">
        <f t="shared" si="391"/>
        <v>0</v>
      </c>
      <c r="G9743" s="1205"/>
      <c r="H9743" s="1055"/>
      <c r="I9743" s="1055"/>
      <c r="J9743" s="1055"/>
      <c r="K9743" s="1205"/>
      <c r="L9743" s="1055"/>
      <c r="M9743" s="1205"/>
      <c r="N9743" s="1054"/>
      <c r="O9743" s="1207"/>
      <c r="Q9743" s="1207"/>
    </row>
    <row r="9744" spans="3:17" s="700" customFormat="1" ht="70.5" hidden="1" customHeight="1">
      <c r="C9744" s="701"/>
      <c r="D9744" s="811"/>
      <c r="E9744" s="1276">
        <f>[11]building!Y10075</f>
        <v>0</v>
      </c>
      <c r="F9744" s="748">
        <f t="shared" si="391"/>
        <v>0</v>
      </c>
      <c r="G9744" s="1205"/>
      <c r="H9744" s="1055"/>
      <c r="I9744" s="1055"/>
      <c r="J9744" s="1055"/>
      <c r="K9744" s="1205"/>
      <c r="L9744" s="1055"/>
      <c r="M9744" s="1205"/>
      <c r="N9744" s="1054"/>
      <c r="O9744" s="1207"/>
      <c r="Q9744" s="1207"/>
    </row>
    <row r="9745" spans="3:17" s="700" customFormat="1" ht="70.5" hidden="1" customHeight="1">
      <c r="C9745" s="701"/>
      <c r="D9745" s="811"/>
      <c r="E9745" s="1276">
        <f>[11]building!Y10076</f>
        <v>0</v>
      </c>
      <c r="F9745" s="748">
        <f t="shared" si="391"/>
        <v>0</v>
      </c>
      <c r="G9745" s="1205"/>
      <c r="H9745" s="1055"/>
      <c r="I9745" s="1055"/>
      <c r="J9745" s="1055"/>
      <c r="K9745" s="1205"/>
      <c r="L9745" s="1055"/>
      <c r="M9745" s="1205"/>
      <c r="N9745" s="1054"/>
      <c r="O9745" s="1207"/>
      <c r="Q9745" s="1207"/>
    </row>
    <row r="9746" spans="3:17" s="700" customFormat="1" ht="70.5" hidden="1" customHeight="1">
      <c r="C9746" s="701"/>
      <c r="D9746" s="811"/>
      <c r="E9746" s="1276">
        <f>[11]building!Y10077</f>
        <v>0</v>
      </c>
      <c r="F9746" s="748">
        <f t="shared" si="391"/>
        <v>0</v>
      </c>
      <c r="G9746" s="1205"/>
      <c r="H9746" s="1055"/>
      <c r="I9746" s="1055"/>
      <c r="J9746" s="1055"/>
      <c r="K9746" s="1205"/>
      <c r="L9746" s="1055"/>
      <c r="M9746" s="1205"/>
      <c r="N9746" s="1054"/>
      <c r="O9746" s="1207"/>
      <c r="Q9746" s="1207"/>
    </row>
    <row r="9747" spans="3:17" s="700" customFormat="1" ht="70.5" hidden="1" customHeight="1">
      <c r="C9747" s="701"/>
      <c r="D9747" s="811"/>
      <c r="E9747" s="1276">
        <f>[11]building!Y10078</f>
        <v>0</v>
      </c>
      <c r="F9747" s="748">
        <f t="shared" si="391"/>
        <v>0</v>
      </c>
      <c r="G9747" s="1205"/>
      <c r="H9747" s="1055"/>
      <c r="I9747" s="1055"/>
      <c r="J9747" s="1055"/>
      <c r="K9747" s="1205"/>
      <c r="L9747" s="1055"/>
      <c r="M9747" s="1205"/>
      <c r="N9747" s="1054"/>
      <c r="O9747" s="1207"/>
      <c r="Q9747" s="1207"/>
    </row>
    <row r="9748" spans="3:17" s="700" customFormat="1" ht="70.5" hidden="1" customHeight="1">
      <c r="C9748" s="701"/>
      <c r="D9748" s="811"/>
      <c r="E9748" s="1276">
        <f>[11]building!Y10079</f>
        <v>0</v>
      </c>
      <c r="F9748" s="748">
        <f t="shared" si="391"/>
        <v>0</v>
      </c>
      <c r="G9748" s="1205"/>
      <c r="H9748" s="1055"/>
      <c r="I9748" s="1055"/>
      <c r="J9748" s="1055"/>
      <c r="K9748" s="1205"/>
      <c r="L9748" s="1055"/>
      <c r="M9748" s="1205"/>
      <c r="N9748" s="1054"/>
      <c r="O9748" s="1207"/>
      <c r="Q9748" s="1207"/>
    </row>
    <row r="9749" spans="3:17" s="700" customFormat="1" ht="70.5" hidden="1" customHeight="1">
      <c r="C9749" s="701"/>
      <c r="D9749" s="811"/>
      <c r="E9749" s="1276">
        <f>[11]building!Y10080</f>
        <v>0</v>
      </c>
      <c r="F9749" s="748">
        <f t="shared" si="391"/>
        <v>0</v>
      </c>
      <c r="G9749" s="1205"/>
      <c r="H9749" s="1055"/>
      <c r="I9749" s="1055"/>
      <c r="J9749" s="1055"/>
      <c r="K9749" s="1205"/>
      <c r="L9749" s="1055"/>
      <c r="M9749" s="1205"/>
      <c r="N9749" s="1054"/>
      <c r="O9749" s="1207"/>
      <c r="Q9749" s="1207"/>
    </row>
    <row r="9750" spans="3:17" s="700" customFormat="1" ht="70.5" hidden="1" customHeight="1">
      <c r="C9750" s="701"/>
      <c r="D9750" s="811"/>
      <c r="E9750" s="1276">
        <f>[11]building!Y10081</f>
        <v>0</v>
      </c>
      <c r="F9750" s="748">
        <f t="shared" si="391"/>
        <v>0</v>
      </c>
      <c r="G9750" s="1205"/>
      <c r="H9750" s="1055"/>
      <c r="I9750" s="1055"/>
      <c r="J9750" s="1055"/>
      <c r="K9750" s="1205"/>
      <c r="L9750" s="1055"/>
      <c r="M9750" s="1205"/>
      <c r="N9750" s="1054"/>
      <c r="O9750" s="1207"/>
      <c r="Q9750" s="1207"/>
    </row>
    <row r="9751" spans="3:17" s="700" customFormat="1" ht="70.5" hidden="1" customHeight="1">
      <c r="C9751" s="701"/>
      <c r="D9751" s="811"/>
      <c r="E9751" s="1276">
        <f>[11]building!Y10082</f>
        <v>0</v>
      </c>
      <c r="F9751" s="748">
        <f t="shared" si="391"/>
        <v>0</v>
      </c>
      <c r="G9751" s="1205"/>
      <c r="H9751" s="1055"/>
      <c r="I9751" s="1055"/>
      <c r="J9751" s="1055"/>
      <c r="K9751" s="1205"/>
      <c r="L9751" s="1055"/>
      <c r="M9751" s="1205"/>
      <c r="N9751" s="1054"/>
      <c r="O9751" s="1207"/>
      <c r="Q9751" s="1207"/>
    </row>
    <row r="9752" spans="3:17" s="700" customFormat="1" ht="70.5" hidden="1" customHeight="1">
      <c r="C9752" s="701"/>
      <c r="D9752" s="811"/>
      <c r="E9752" s="1276">
        <f>[11]building!Y10083</f>
        <v>0</v>
      </c>
      <c r="F9752" s="748">
        <f t="shared" si="391"/>
        <v>0</v>
      </c>
      <c r="G9752" s="1205"/>
      <c r="H9752" s="1055"/>
      <c r="I9752" s="1055"/>
      <c r="J9752" s="1055"/>
      <c r="K9752" s="1205"/>
      <c r="L9752" s="1055"/>
      <c r="M9752" s="1205"/>
      <c r="N9752" s="1054"/>
      <c r="O9752" s="1207"/>
      <c r="Q9752" s="1207"/>
    </row>
    <row r="9753" spans="3:17" s="700" customFormat="1" ht="70.5" hidden="1" customHeight="1">
      <c r="C9753" s="701"/>
      <c r="D9753" s="811"/>
      <c r="E9753" s="1276">
        <f>[11]building!Y10084</f>
        <v>0</v>
      </c>
      <c r="F9753" s="748">
        <f t="shared" si="391"/>
        <v>0</v>
      </c>
      <c r="G9753" s="1205"/>
      <c r="H9753" s="1055"/>
      <c r="I9753" s="1055"/>
      <c r="J9753" s="1055"/>
      <c r="K9753" s="1205"/>
      <c r="L9753" s="1055"/>
      <c r="M9753" s="1205"/>
      <c r="N9753" s="1054"/>
      <c r="O9753" s="1207"/>
      <c r="Q9753" s="1207"/>
    </row>
    <row r="9754" spans="3:17" s="700" customFormat="1" ht="70.5" hidden="1" customHeight="1">
      <c r="C9754" s="701"/>
      <c r="D9754" s="811"/>
      <c r="E9754" s="1276">
        <f>[11]building!Y10085</f>
        <v>0</v>
      </c>
      <c r="F9754" s="748">
        <f t="shared" si="391"/>
        <v>0</v>
      </c>
      <c r="G9754" s="1205"/>
      <c r="H9754" s="1055"/>
      <c r="I9754" s="1055"/>
      <c r="J9754" s="1055"/>
      <c r="K9754" s="1205"/>
      <c r="L9754" s="1055"/>
      <c r="M9754" s="1205"/>
      <c r="N9754" s="1054"/>
      <c r="O9754" s="1207"/>
      <c r="Q9754" s="1207"/>
    </row>
    <row r="9755" spans="3:17" s="700" customFormat="1" ht="70.5" hidden="1" customHeight="1">
      <c r="C9755" s="701"/>
      <c r="D9755" s="811"/>
      <c r="E9755" s="1276">
        <f>[11]building!Y10086</f>
        <v>0</v>
      </c>
      <c r="F9755" s="748">
        <f t="shared" si="391"/>
        <v>0</v>
      </c>
      <c r="G9755" s="1205"/>
      <c r="H9755" s="1055"/>
      <c r="I9755" s="1055"/>
      <c r="J9755" s="1055"/>
      <c r="K9755" s="1205"/>
      <c r="L9755" s="1055"/>
      <c r="M9755" s="1205"/>
      <c r="N9755" s="1054"/>
      <c r="O9755" s="1207"/>
      <c r="Q9755" s="1207"/>
    </row>
    <row r="9756" spans="3:17" s="700" customFormat="1" ht="70.5" hidden="1" customHeight="1">
      <c r="C9756" s="701"/>
      <c r="D9756" s="811"/>
      <c r="E9756" s="1276">
        <f>[11]building!Y10087</f>
        <v>0</v>
      </c>
      <c r="F9756" s="748">
        <f t="shared" si="391"/>
        <v>0</v>
      </c>
      <c r="G9756" s="1205"/>
      <c r="H9756" s="1055"/>
      <c r="I9756" s="1055"/>
      <c r="J9756" s="1055"/>
      <c r="K9756" s="1205"/>
      <c r="L9756" s="1055"/>
      <c r="M9756" s="1205"/>
      <c r="N9756" s="1054"/>
      <c r="O9756" s="1207"/>
      <c r="Q9756" s="1207"/>
    </row>
    <row r="9757" spans="3:17" s="700" customFormat="1" ht="70.5" hidden="1" customHeight="1">
      <c r="C9757" s="701"/>
      <c r="D9757" s="811"/>
      <c r="E9757" s="1276">
        <f>[11]building!Y10088</f>
        <v>0</v>
      </c>
      <c r="F9757" s="748">
        <f t="shared" si="391"/>
        <v>0</v>
      </c>
      <c r="G9757" s="1205"/>
      <c r="H9757" s="1055"/>
      <c r="I9757" s="1055"/>
      <c r="J9757" s="1055"/>
      <c r="K9757" s="1205"/>
      <c r="L9757" s="1055"/>
      <c r="M9757" s="1205"/>
      <c r="N9757" s="1054"/>
      <c r="O9757" s="1207"/>
      <c r="Q9757" s="1207"/>
    </row>
    <row r="9758" spans="3:17" s="700" customFormat="1" ht="70.5" hidden="1" customHeight="1">
      <c r="C9758" s="701"/>
      <c r="D9758" s="811"/>
      <c r="E9758" s="1276">
        <f>[11]building!Y10089</f>
        <v>0</v>
      </c>
      <c r="F9758" s="748">
        <f t="shared" si="391"/>
        <v>0</v>
      </c>
      <c r="G9758" s="1205"/>
      <c r="H9758" s="1055"/>
      <c r="I9758" s="1055"/>
      <c r="J9758" s="1055"/>
      <c r="K9758" s="1205"/>
      <c r="L9758" s="1055"/>
      <c r="M9758" s="1205"/>
      <c r="N9758" s="1054"/>
      <c r="O9758" s="1207"/>
      <c r="Q9758" s="1207"/>
    </row>
    <row r="9759" spans="3:17" s="700" customFormat="1" ht="70.5" hidden="1" customHeight="1">
      <c r="C9759" s="701"/>
      <c r="D9759" s="811"/>
      <c r="E9759" s="1276">
        <f>[11]building!Y10090</f>
        <v>0</v>
      </c>
      <c r="F9759" s="748">
        <f t="shared" si="391"/>
        <v>0</v>
      </c>
      <c r="G9759" s="1205"/>
      <c r="H9759" s="1055"/>
      <c r="I9759" s="1055"/>
      <c r="J9759" s="1055"/>
      <c r="K9759" s="1205"/>
      <c r="L9759" s="1055"/>
      <c r="M9759" s="1205"/>
      <c r="N9759" s="1054"/>
      <c r="O9759" s="1207"/>
      <c r="Q9759" s="1207"/>
    </row>
    <row r="9760" spans="3:17" s="700" customFormat="1" ht="70.5" hidden="1" customHeight="1">
      <c r="C9760" s="701"/>
      <c r="D9760" s="811"/>
      <c r="E9760" s="1276">
        <f>[11]building!Y10091</f>
        <v>0</v>
      </c>
      <c r="F9760" s="748">
        <f t="shared" si="391"/>
        <v>0</v>
      </c>
      <c r="G9760" s="1205"/>
      <c r="H9760" s="1055"/>
      <c r="I9760" s="1055"/>
      <c r="J9760" s="1055"/>
      <c r="K9760" s="1205"/>
      <c r="L9760" s="1055"/>
      <c r="M9760" s="1205"/>
      <c r="N9760" s="1054"/>
      <c r="O9760" s="1207"/>
      <c r="Q9760" s="1207"/>
    </row>
    <row r="9761" spans="3:17" s="700" customFormat="1" ht="70.5" hidden="1" customHeight="1">
      <c r="C9761" s="701"/>
      <c r="D9761" s="811"/>
      <c r="E9761" s="1276">
        <f>[11]building!Y10092</f>
        <v>0</v>
      </c>
      <c r="F9761" s="748">
        <f t="shared" si="391"/>
        <v>0</v>
      </c>
      <c r="G9761" s="1205"/>
      <c r="H9761" s="1055"/>
      <c r="I9761" s="1055"/>
      <c r="J9761" s="1055"/>
      <c r="K9761" s="1205"/>
      <c r="L9761" s="1055"/>
      <c r="M9761" s="1205"/>
      <c r="N9761" s="1054"/>
      <c r="O9761" s="1207"/>
      <c r="Q9761" s="1207"/>
    </row>
    <row r="9762" spans="3:17" s="700" customFormat="1" ht="70.5" hidden="1" customHeight="1">
      <c r="C9762" s="701"/>
      <c r="D9762" s="811"/>
      <c r="E9762" s="1276">
        <f>[11]building!Y10093</f>
        <v>0</v>
      </c>
      <c r="F9762" s="748">
        <f t="shared" si="391"/>
        <v>0</v>
      </c>
      <c r="G9762" s="1205"/>
      <c r="H9762" s="1055"/>
      <c r="I9762" s="1055"/>
      <c r="J9762" s="1055"/>
      <c r="K9762" s="1205"/>
      <c r="L9762" s="1055"/>
      <c r="M9762" s="1205"/>
      <c r="N9762" s="1054"/>
      <c r="O9762" s="1207"/>
      <c r="Q9762" s="1207"/>
    </row>
    <row r="9763" spans="3:17" s="700" customFormat="1" ht="70.5" hidden="1" customHeight="1">
      <c r="C9763" s="701"/>
      <c r="D9763" s="811"/>
      <c r="E9763" s="1276">
        <f>[11]building!Y10094</f>
        <v>0</v>
      </c>
      <c r="F9763" s="748">
        <f t="shared" si="391"/>
        <v>0</v>
      </c>
      <c r="G9763" s="1205"/>
      <c r="H9763" s="1055"/>
      <c r="I9763" s="1055"/>
      <c r="J9763" s="1055"/>
      <c r="K9763" s="1205"/>
      <c r="L9763" s="1055"/>
      <c r="M9763" s="1205"/>
      <c r="N9763" s="1054"/>
      <c r="O9763" s="1207"/>
      <c r="Q9763" s="1207"/>
    </row>
    <row r="9764" spans="3:17" s="700" customFormat="1" ht="70.5" hidden="1" customHeight="1">
      <c r="C9764" s="701"/>
      <c r="D9764" s="811"/>
      <c r="E9764" s="1276">
        <f>[11]building!Y10095</f>
        <v>0</v>
      </c>
      <c r="F9764" s="748">
        <f t="shared" si="391"/>
        <v>0</v>
      </c>
      <c r="G9764" s="1205"/>
      <c r="H9764" s="1055"/>
      <c r="I9764" s="1055"/>
      <c r="J9764" s="1055"/>
      <c r="K9764" s="1205"/>
      <c r="L9764" s="1055"/>
      <c r="M9764" s="1205"/>
      <c r="N9764" s="1054"/>
      <c r="O9764" s="1207"/>
      <c r="Q9764" s="1207"/>
    </row>
    <row r="9765" spans="3:17" s="700" customFormat="1" ht="70.5" hidden="1" customHeight="1">
      <c r="C9765" s="701"/>
      <c r="D9765" s="811"/>
      <c r="E9765" s="1276">
        <f>[11]building!Y10096</f>
        <v>0</v>
      </c>
      <c r="F9765" s="748">
        <f t="shared" si="391"/>
        <v>0</v>
      </c>
      <c r="G9765" s="1205"/>
      <c r="H9765" s="1055"/>
      <c r="I9765" s="1055"/>
      <c r="J9765" s="1055"/>
      <c r="K9765" s="1205"/>
      <c r="L9765" s="1055"/>
      <c r="M9765" s="1205"/>
      <c r="N9765" s="1054"/>
      <c r="O9765" s="1207"/>
      <c r="Q9765" s="1207"/>
    </row>
    <row r="9766" spans="3:17" s="700" customFormat="1" ht="70.5" hidden="1" customHeight="1">
      <c r="C9766" s="701"/>
      <c r="D9766" s="811"/>
      <c r="E9766" s="1276">
        <f>[11]building!Y10097</f>
        <v>0</v>
      </c>
      <c r="F9766" s="748">
        <f t="shared" si="391"/>
        <v>0</v>
      </c>
      <c r="G9766" s="1205"/>
      <c r="H9766" s="1055"/>
      <c r="I9766" s="1055"/>
      <c r="J9766" s="1055"/>
      <c r="K9766" s="1205"/>
      <c r="L9766" s="1055"/>
      <c r="M9766" s="1205"/>
      <c r="N9766" s="1054"/>
      <c r="O9766" s="1207"/>
      <c r="Q9766" s="1207"/>
    </row>
    <row r="9767" spans="3:17" s="700" customFormat="1" ht="70.5" hidden="1" customHeight="1">
      <c r="C9767" s="701"/>
      <c r="D9767" s="811"/>
      <c r="E9767" s="1276">
        <f>[11]building!Y10098</f>
        <v>0</v>
      </c>
      <c r="F9767" s="748">
        <f t="shared" si="391"/>
        <v>0</v>
      </c>
      <c r="G9767" s="1205"/>
      <c r="H9767" s="1055"/>
      <c r="I9767" s="1055"/>
      <c r="J9767" s="1055"/>
      <c r="K9767" s="1205"/>
      <c r="L9767" s="1055"/>
      <c r="M9767" s="1205"/>
      <c r="N9767" s="1054"/>
      <c r="O9767" s="1207"/>
      <c r="Q9767" s="1207"/>
    </row>
    <row r="9768" spans="3:17" s="700" customFormat="1" ht="70.5" hidden="1" customHeight="1">
      <c r="C9768" s="701"/>
      <c r="D9768" s="811"/>
      <c r="E9768" s="1276">
        <f>[11]building!Y10099</f>
        <v>0</v>
      </c>
      <c r="F9768" s="748">
        <f t="shared" si="391"/>
        <v>0</v>
      </c>
      <c r="G9768" s="1205"/>
      <c r="H9768" s="1055"/>
      <c r="I9768" s="1055"/>
      <c r="J9768" s="1055"/>
      <c r="K9768" s="1205"/>
      <c r="L9768" s="1055"/>
      <c r="M9768" s="1205"/>
      <c r="N9768" s="1054"/>
      <c r="O9768" s="1207"/>
      <c r="Q9768" s="1207"/>
    </row>
    <row r="9769" spans="3:17" s="700" customFormat="1" ht="70.5" hidden="1" customHeight="1">
      <c r="C9769" s="701"/>
      <c r="D9769" s="811"/>
      <c r="E9769" s="1276">
        <f>[11]building!Y10100</f>
        <v>0</v>
      </c>
      <c r="F9769" s="748">
        <f t="shared" si="391"/>
        <v>0</v>
      </c>
      <c r="G9769" s="1205"/>
      <c r="H9769" s="1055"/>
      <c r="I9769" s="1055"/>
      <c r="J9769" s="1055"/>
      <c r="K9769" s="1205"/>
      <c r="L9769" s="1055"/>
      <c r="M9769" s="1205"/>
      <c r="N9769" s="1054"/>
      <c r="O9769" s="1207"/>
      <c r="Q9769" s="1207"/>
    </row>
    <row r="9770" spans="3:17" s="700" customFormat="1" ht="70.5" hidden="1" customHeight="1">
      <c r="C9770" s="701"/>
      <c r="D9770" s="811"/>
      <c r="E9770" s="1276">
        <f>[11]building!Y10101</f>
        <v>0</v>
      </c>
      <c r="F9770" s="748">
        <f t="shared" si="391"/>
        <v>0</v>
      </c>
      <c r="G9770" s="1205"/>
      <c r="H9770" s="1055"/>
      <c r="I9770" s="1055"/>
      <c r="J9770" s="1055"/>
      <c r="K9770" s="1205"/>
      <c r="L9770" s="1055"/>
      <c r="M9770" s="1205"/>
      <c r="N9770" s="1054"/>
      <c r="O9770" s="1207"/>
      <c r="Q9770" s="1207"/>
    </row>
    <row r="9771" spans="3:17" s="700" customFormat="1" ht="70.5" hidden="1" customHeight="1">
      <c r="C9771" s="701"/>
      <c r="D9771" s="811"/>
      <c r="E9771" s="1276">
        <f>[11]building!Y10102</f>
        <v>0</v>
      </c>
      <c r="F9771" s="748">
        <f t="shared" si="391"/>
        <v>0</v>
      </c>
      <c r="G9771" s="1205"/>
      <c r="H9771" s="1055"/>
      <c r="I9771" s="1055"/>
      <c r="J9771" s="1055"/>
      <c r="K9771" s="1205"/>
      <c r="L9771" s="1055"/>
      <c r="M9771" s="1205"/>
      <c r="N9771" s="1054"/>
      <c r="O9771" s="1207"/>
      <c r="Q9771" s="1207"/>
    </row>
    <row r="9772" spans="3:17" s="700" customFormat="1" ht="70.5" hidden="1" customHeight="1">
      <c r="C9772" s="701"/>
      <c r="D9772" s="811"/>
      <c r="E9772" s="1276">
        <f>[11]building!Y10103</f>
        <v>0</v>
      </c>
      <c r="F9772" s="748">
        <f t="shared" si="391"/>
        <v>0</v>
      </c>
      <c r="G9772" s="1205"/>
      <c r="H9772" s="1055"/>
      <c r="I9772" s="1055"/>
      <c r="J9772" s="1055"/>
      <c r="K9772" s="1205"/>
      <c r="L9772" s="1055"/>
      <c r="M9772" s="1205"/>
      <c r="N9772" s="1054"/>
      <c r="O9772" s="1207"/>
      <c r="Q9772" s="1207"/>
    </row>
    <row r="9773" spans="3:17" s="700" customFormat="1" ht="70.5" hidden="1" customHeight="1">
      <c r="C9773" s="701"/>
      <c r="D9773" s="811"/>
      <c r="E9773" s="1276">
        <f>[11]building!Y10104</f>
        <v>0</v>
      </c>
      <c r="F9773" s="748">
        <f t="shared" si="391"/>
        <v>0</v>
      </c>
      <c r="G9773" s="1205"/>
      <c r="H9773" s="1055"/>
      <c r="I9773" s="1055"/>
      <c r="J9773" s="1055"/>
      <c r="K9773" s="1205"/>
      <c r="L9773" s="1055"/>
      <c r="M9773" s="1205"/>
      <c r="N9773" s="1054"/>
      <c r="O9773" s="1207"/>
      <c r="Q9773" s="1207"/>
    </row>
    <row r="9774" spans="3:17" s="700" customFormat="1" ht="70.5" hidden="1" customHeight="1">
      <c r="C9774" s="701"/>
      <c r="D9774" s="811"/>
      <c r="E9774" s="1276">
        <f>[11]building!Y10105</f>
        <v>0</v>
      </c>
      <c r="F9774" s="748">
        <f t="shared" si="391"/>
        <v>0</v>
      </c>
      <c r="G9774" s="1205"/>
      <c r="H9774" s="1055"/>
      <c r="I9774" s="1055"/>
      <c r="J9774" s="1055"/>
      <c r="K9774" s="1205"/>
      <c r="L9774" s="1055"/>
      <c r="M9774" s="1205"/>
      <c r="N9774" s="1054"/>
      <c r="O9774" s="1207"/>
      <c r="Q9774" s="1207"/>
    </row>
    <row r="9775" spans="3:17" s="700" customFormat="1" ht="70.5" hidden="1" customHeight="1">
      <c r="C9775" s="701"/>
      <c r="D9775" s="811"/>
      <c r="E9775" s="1276">
        <f>[11]building!Y10106</f>
        <v>0</v>
      </c>
      <c r="F9775" s="748">
        <f t="shared" si="391"/>
        <v>0</v>
      </c>
      <c r="G9775" s="1205"/>
      <c r="H9775" s="1055"/>
      <c r="I9775" s="1055"/>
      <c r="J9775" s="1055"/>
      <c r="K9775" s="1205"/>
      <c r="L9775" s="1055"/>
      <c r="M9775" s="1205"/>
      <c r="N9775" s="1054"/>
      <c r="O9775" s="1207"/>
      <c r="Q9775" s="1207"/>
    </row>
    <row r="9776" spans="3:17" s="700" customFormat="1" ht="70.5" hidden="1" customHeight="1">
      <c r="C9776" s="701"/>
      <c r="D9776" s="811"/>
      <c r="E9776" s="1276">
        <f>[11]building!Y10107</f>
        <v>0</v>
      </c>
      <c r="F9776" s="748">
        <f t="shared" si="391"/>
        <v>0</v>
      </c>
      <c r="G9776" s="1205"/>
      <c r="H9776" s="1055"/>
      <c r="I9776" s="1055"/>
      <c r="J9776" s="1055"/>
      <c r="K9776" s="1205"/>
      <c r="L9776" s="1055"/>
      <c r="M9776" s="1205"/>
      <c r="N9776" s="1054"/>
      <c r="O9776" s="1207"/>
      <c r="Q9776" s="1207"/>
    </row>
    <row r="9777" spans="3:17" s="700" customFormat="1" ht="70.5" hidden="1" customHeight="1">
      <c r="C9777" s="701"/>
      <c r="D9777" s="811"/>
      <c r="E9777" s="1276">
        <f>[11]building!Y10108</f>
        <v>0</v>
      </c>
      <c r="F9777" s="748">
        <f t="shared" si="391"/>
        <v>0</v>
      </c>
      <c r="G9777" s="1205"/>
      <c r="H9777" s="1055"/>
      <c r="I9777" s="1055"/>
      <c r="J9777" s="1055"/>
      <c r="K9777" s="1205"/>
      <c r="L9777" s="1055"/>
      <c r="M9777" s="1205"/>
      <c r="N9777" s="1054"/>
      <c r="O9777" s="1207"/>
      <c r="Q9777" s="1207"/>
    </row>
    <row r="9778" spans="3:17" s="700" customFormat="1" ht="70.5" hidden="1" customHeight="1">
      <c r="C9778" s="701"/>
      <c r="D9778" s="811"/>
      <c r="E9778" s="1276">
        <f>[11]building!Y10109</f>
        <v>0</v>
      </c>
      <c r="F9778" s="748">
        <f t="shared" si="391"/>
        <v>0</v>
      </c>
      <c r="G9778" s="1205"/>
      <c r="H9778" s="1055"/>
      <c r="I9778" s="1055"/>
      <c r="J9778" s="1055"/>
      <c r="K9778" s="1205"/>
      <c r="L9778" s="1055"/>
      <c r="M9778" s="1205"/>
      <c r="N9778" s="1054"/>
      <c r="O9778" s="1207"/>
      <c r="Q9778" s="1207"/>
    </row>
    <row r="9779" spans="3:17" s="700" customFormat="1" ht="70.5" hidden="1" customHeight="1">
      <c r="C9779" s="701"/>
      <c r="D9779" s="811"/>
      <c r="E9779" s="1276">
        <f>[11]building!Y10110</f>
        <v>0</v>
      </c>
      <c r="F9779" s="748">
        <f t="shared" si="391"/>
        <v>0</v>
      </c>
      <c r="G9779" s="1205"/>
      <c r="H9779" s="1055"/>
      <c r="I9779" s="1055"/>
      <c r="J9779" s="1055"/>
      <c r="K9779" s="1205"/>
      <c r="L9779" s="1055"/>
      <c r="M9779" s="1205"/>
      <c r="N9779" s="1054"/>
      <c r="O9779" s="1207"/>
      <c r="Q9779" s="1207"/>
    </row>
    <row r="9780" spans="3:17" s="700" customFormat="1" ht="70.5" hidden="1" customHeight="1">
      <c r="C9780" s="701"/>
      <c r="D9780" s="811"/>
      <c r="E9780" s="1276">
        <f>[11]building!Y10111</f>
        <v>0</v>
      </c>
      <c r="F9780" s="748">
        <f t="shared" si="391"/>
        <v>0</v>
      </c>
      <c r="G9780" s="1205"/>
      <c r="H9780" s="1055"/>
      <c r="I9780" s="1055"/>
      <c r="J9780" s="1055"/>
      <c r="K9780" s="1205"/>
      <c r="L9780" s="1055"/>
      <c r="M9780" s="1205"/>
      <c r="N9780" s="1054"/>
      <c r="O9780" s="1207"/>
      <c r="Q9780" s="1207"/>
    </row>
    <row r="9781" spans="3:17" s="700" customFormat="1" ht="70.5" hidden="1" customHeight="1">
      <c r="C9781" s="701"/>
      <c r="D9781" s="811"/>
      <c r="E9781" s="1276">
        <f>[11]building!Y10112</f>
        <v>0</v>
      </c>
      <c r="F9781" s="748">
        <f t="shared" si="391"/>
        <v>0</v>
      </c>
      <c r="G9781" s="1205"/>
      <c r="H9781" s="1055"/>
      <c r="I9781" s="1055"/>
      <c r="J9781" s="1055"/>
      <c r="K9781" s="1205"/>
      <c r="L9781" s="1055"/>
      <c r="M9781" s="1205"/>
      <c r="N9781" s="1054"/>
      <c r="O9781" s="1207"/>
      <c r="Q9781" s="1207"/>
    </row>
    <row r="9782" spans="3:17" s="700" customFormat="1" ht="70.5" hidden="1" customHeight="1">
      <c r="C9782" s="701"/>
      <c r="D9782" s="811"/>
      <c r="E9782" s="1276">
        <f>[11]building!Y10113</f>
        <v>0</v>
      </c>
      <c r="F9782" s="748">
        <f t="shared" si="391"/>
        <v>0</v>
      </c>
      <c r="G9782" s="1205"/>
      <c r="H9782" s="1055"/>
      <c r="I9782" s="1055"/>
      <c r="J9782" s="1055"/>
      <c r="K9782" s="1205"/>
      <c r="L9782" s="1055"/>
      <c r="M9782" s="1205"/>
      <c r="N9782" s="1054"/>
      <c r="O9782" s="1207"/>
      <c r="Q9782" s="1207"/>
    </row>
    <row r="9783" spans="3:17" s="700" customFormat="1" ht="70.5" hidden="1" customHeight="1">
      <c r="C9783" s="701"/>
      <c r="D9783" s="811"/>
      <c r="E9783" s="1276">
        <f>[11]building!Y10114</f>
        <v>0</v>
      </c>
      <c r="F9783" s="748">
        <f t="shared" si="391"/>
        <v>0</v>
      </c>
      <c r="G9783" s="1205"/>
      <c r="H9783" s="1055"/>
      <c r="I9783" s="1055"/>
      <c r="J9783" s="1055"/>
      <c r="K9783" s="1205"/>
      <c r="L9783" s="1055"/>
      <c r="M9783" s="1205"/>
      <c r="N9783" s="1054"/>
      <c r="O9783" s="1207"/>
      <c r="Q9783" s="1207"/>
    </row>
    <row r="9784" spans="3:17" s="700" customFormat="1" ht="70.5" hidden="1" customHeight="1">
      <c r="C9784" s="701"/>
      <c r="D9784" s="811"/>
      <c r="E9784" s="1276">
        <f>[11]building!Y10115</f>
        <v>0</v>
      </c>
      <c r="F9784" s="748">
        <f t="shared" si="391"/>
        <v>0</v>
      </c>
      <c r="G9784" s="1205"/>
      <c r="H9784" s="1055"/>
      <c r="I9784" s="1055"/>
      <c r="J9784" s="1055"/>
      <c r="K9784" s="1205"/>
      <c r="L9784" s="1055"/>
      <c r="M9784" s="1205"/>
      <c r="N9784" s="1054"/>
      <c r="O9784" s="1207"/>
      <c r="Q9784" s="1207"/>
    </row>
    <row r="9785" spans="3:17" s="700" customFormat="1" ht="70.5" hidden="1" customHeight="1">
      <c r="C9785" s="701"/>
      <c r="D9785" s="811"/>
      <c r="E9785" s="1276">
        <f>[11]building!Y10116</f>
        <v>0</v>
      </c>
      <c r="F9785" s="748">
        <f t="shared" si="391"/>
        <v>0</v>
      </c>
      <c r="G9785" s="1205"/>
      <c r="H9785" s="1055"/>
      <c r="I9785" s="1055"/>
      <c r="J9785" s="1055"/>
      <c r="K9785" s="1205"/>
      <c r="L9785" s="1055"/>
      <c r="M9785" s="1205"/>
      <c r="N9785" s="1054"/>
      <c r="O9785" s="1207"/>
      <c r="Q9785" s="1207"/>
    </row>
    <row r="9786" spans="3:17" s="700" customFormat="1" ht="70.5" hidden="1" customHeight="1">
      <c r="C9786" s="701"/>
      <c r="D9786" s="811"/>
      <c r="E9786" s="1276">
        <f>[11]building!Y10117</f>
        <v>0</v>
      </c>
      <c r="F9786" s="748">
        <f t="shared" si="391"/>
        <v>0</v>
      </c>
      <c r="G9786" s="1205"/>
      <c r="H9786" s="1055"/>
      <c r="I9786" s="1055"/>
      <c r="J9786" s="1055"/>
      <c r="K9786" s="1205"/>
      <c r="L9786" s="1055"/>
      <c r="M9786" s="1205"/>
      <c r="N9786" s="1054"/>
      <c r="O9786" s="1207"/>
      <c r="Q9786" s="1207"/>
    </row>
    <row r="9787" spans="3:17" s="700" customFormat="1" ht="70.5" hidden="1" customHeight="1">
      <c r="C9787" s="701"/>
      <c r="D9787" s="811"/>
      <c r="E9787" s="1276">
        <f>[11]building!Y10118</f>
        <v>0</v>
      </c>
      <c r="F9787" s="748">
        <f t="shared" si="391"/>
        <v>0</v>
      </c>
      <c r="G9787" s="1205"/>
      <c r="H9787" s="1055"/>
      <c r="I9787" s="1055"/>
      <c r="J9787" s="1055"/>
      <c r="K9787" s="1205"/>
      <c r="L9787" s="1055"/>
      <c r="M9787" s="1205"/>
      <c r="N9787" s="1054"/>
      <c r="O9787" s="1207"/>
      <c r="Q9787" s="1207"/>
    </row>
    <row r="9788" spans="3:17" s="700" customFormat="1" ht="70.5" hidden="1" customHeight="1">
      <c r="C9788" s="701"/>
      <c r="D9788" s="811"/>
      <c r="E9788" s="1276">
        <f>[11]building!Y10119</f>
        <v>0</v>
      </c>
      <c r="F9788" s="748">
        <f t="shared" si="391"/>
        <v>0</v>
      </c>
      <c r="G9788" s="1205"/>
      <c r="H9788" s="1055"/>
      <c r="I9788" s="1055"/>
      <c r="J9788" s="1055"/>
      <c r="K9788" s="1205"/>
      <c r="L9788" s="1055"/>
      <c r="M9788" s="1205"/>
      <c r="N9788" s="1054"/>
      <c r="O9788" s="1207"/>
      <c r="Q9788" s="1207"/>
    </row>
    <row r="9789" spans="3:17" s="700" customFormat="1" ht="70.5" hidden="1" customHeight="1">
      <c r="C9789" s="701"/>
      <c r="D9789" s="811"/>
      <c r="E9789" s="1276">
        <f>[11]building!Y10120</f>
        <v>0</v>
      </c>
      <c r="F9789" s="748">
        <f t="shared" si="391"/>
        <v>0</v>
      </c>
      <c r="G9789" s="1205"/>
      <c r="H9789" s="1055"/>
      <c r="I9789" s="1055"/>
      <c r="J9789" s="1055"/>
      <c r="K9789" s="1205"/>
      <c r="L9789" s="1055"/>
      <c r="M9789" s="1205"/>
      <c r="N9789" s="1054"/>
      <c r="O9789" s="1207"/>
      <c r="Q9789" s="1207"/>
    </row>
    <row r="9790" spans="3:17" s="700" customFormat="1" ht="70.5" hidden="1" customHeight="1">
      <c r="C9790" s="701"/>
      <c r="D9790" s="811"/>
      <c r="E9790" s="1276">
        <f>[11]building!Y10121</f>
        <v>0</v>
      </c>
      <c r="F9790" s="748">
        <f t="shared" si="391"/>
        <v>0</v>
      </c>
      <c r="G9790" s="1205"/>
      <c r="H9790" s="1055"/>
      <c r="I9790" s="1055"/>
      <c r="J9790" s="1055"/>
      <c r="K9790" s="1205"/>
      <c r="L9790" s="1055"/>
      <c r="M9790" s="1205"/>
      <c r="N9790" s="1054"/>
      <c r="O9790" s="1207"/>
      <c r="Q9790" s="1207"/>
    </row>
    <row r="9791" spans="3:17" s="700" customFormat="1" ht="70.5" hidden="1" customHeight="1">
      <c r="C9791" s="701"/>
      <c r="D9791" s="811"/>
      <c r="E9791" s="1276">
        <f>[11]building!Y10122</f>
        <v>0</v>
      </c>
      <c r="F9791" s="748">
        <f t="shared" si="391"/>
        <v>0</v>
      </c>
      <c r="G9791" s="1205"/>
      <c r="H9791" s="1055"/>
      <c r="I9791" s="1055"/>
      <c r="J9791" s="1055"/>
      <c r="K9791" s="1205"/>
      <c r="L9791" s="1055"/>
      <c r="M9791" s="1205"/>
      <c r="N9791" s="1054"/>
      <c r="O9791" s="1207"/>
      <c r="Q9791" s="1207"/>
    </row>
    <row r="9792" spans="3:17" s="700" customFormat="1" ht="70.5" hidden="1" customHeight="1">
      <c r="C9792" s="701"/>
      <c r="D9792" s="811"/>
      <c r="E9792" s="1276">
        <f>[11]building!Y10123</f>
        <v>0</v>
      </c>
      <c r="F9792" s="748">
        <f t="shared" ref="F9792:F9855" si="392">E9792*C9792</f>
        <v>0</v>
      </c>
      <c r="G9792" s="1205"/>
      <c r="H9792" s="1055"/>
      <c r="I9792" s="1055"/>
      <c r="J9792" s="1055"/>
      <c r="K9792" s="1205"/>
      <c r="L9792" s="1055"/>
      <c r="M9792" s="1205"/>
      <c r="N9792" s="1054"/>
      <c r="O9792" s="1207"/>
      <c r="Q9792" s="1207"/>
    </row>
    <row r="9793" spans="3:17" s="700" customFormat="1" ht="70.5" hidden="1" customHeight="1">
      <c r="C9793" s="701"/>
      <c r="D9793" s="811"/>
      <c r="E9793" s="1276">
        <f>[11]building!Y10124</f>
        <v>0</v>
      </c>
      <c r="F9793" s="748">
        <f t="shared" si="392"/>
        <v>0</v>
      </c>
      <c r="G9793" s="1205"/>
      <c r="H9793" s="1055"/>
      <c r="I9793" s="1055"/>
      <c r="J9793" s="1055"/>
      <c r="K9793" s="1205"/>
      <c r="L9793" s="1055"/>
      <c r="M9793" s="1205"/>
      <c r="N9793" s="1054"/>
      <c r="O9793" s="1207"/>
      <c r="Q9793" s="1207"/>
    </row>
    <row r="9794" spans="3:17" s="700" customFormat="1" ht="70.5" hidden="1" customHeight="1">
      <c r="C9794" s="701"/>
      <c r="D9794" s="811"/>
      <c r="E9794" s="1276">
        <f>[11]building!Y10125</f>
        <v>0</v>
      </c>
      <c r="F9794" s="748">
        <f t="shared" si="392"/>
        <v>0</v>
      </c>
      <c r="G9794" s="1205"/>
      <c r="H9794" s="1055"/>
      <c r="I9794" s="1055"/>
      <c r="J9794" s="1055"/>
      <c r="K9794" s="1205"/>
      <c r="L9794" s="1055"/>
      <c r="M9794" s="1205"/>
      <c r="N9794" s="1054"/>
      <c r="O9794" s="1207"/>
      <c r="Q9794" s="1207"/>
    </row>
    <row r="9795" spans="3:17" s="700" customFormat="1" ht="70.5" hidden="1" customHeight="1">
      <c r="C9795" s="701"/>
      <c r="D9795" s="811"/>
      <c r="E9795" s="1276">
        <f>[11]building!Y10126</f>
        <v>0</v>
      </c>
      <c r="F9795" s="748">
        <f t="shared" si="392"/>
        <v>0</v>
      </c>
      <c r="G9795" s="1205"/>
      <c r="H9795" s="1055"/>
      <c r="I9795" s="1055"/>
      <c r="J9795" s="1055"/>
      <c r="K9795" s="1205"/>
      <c r="L9795" s="1055"/>
      <c r="M9795" s="1205"/>
      <c r="N9795" s="1054"/>
      <c r="O9795" s="1207"/>
      <c r="Q9795" s="1207"/>
    </row>
    <row r="9796" spans="3:17" s="700" customFormat="1" ht="70.5" hidden="1" customHeight="1">
      <c r="C9796" s="701"/>
      <c r="D9796" s="811"/>
      <c r="E9796" s="1276">
        <f>[11]building!Y10127</f>
        <v>0</v>
      </c>
      <c r="F9796" s="748">
        <f t="shared" si="392"/>
        <v>0</v>
      </c>
      <c r="G9796" s="1205"/>
      <c r="H9796" s="1055"/>
      <c r="I9796" s="1055"/>
      <c r="J9796" s="1055"/>
      <c r="K9796" s="1205"/>
      <c r="L9796" s="1055"/>
      <c r="M9796" s="1205"/>
      <c r="N9796" s="1054"/>
      <c r="O9796" s="1207"/>
      <c r="Q9796" s="1207"/>
    </row>
    <row r="9797" spans="3:17" s="700" customFormat="1" ht="70.5" hidden="1" customHeight="1">
      <c r="C9797" s="701"/>
      <c r="D9797" s="811"/>
      <c r="E9797" s="1276">
        <f>[11]building!Y10128</f>
        <v>0</v>
      </c>
      <c r="F9797" s="748">
        <f t="shared" si="392"/>
        <v>0</v>
      </c>
      <c r="G9797" s="1205"/>
      <c r="H9797" s="1055"/>
      <c r="I9797" s="1055"/>
      <c r="J9797" s="1055"/>
      <c r="K9797" s="1205"/>
      <c r="L9797" s="1055"/>
      <c r="M9797" s="1205"/>
      <c r="N9797" s="1054"/>
      <c r="O9797" s="1207"/>
      <c r="Q9797" s="1207"/>
    </row>
    <row r="9798" spans="3:17" s="700" customFormat="1" ht="70.5" hidden="1" customHeight="1">
      <c r="C9798" s="701"/>
      <c r="D9798" s="811"/>
      <c r="E9798" s="1276">
        <f>[11]building!Y10129</f>
        <v>0</v>
      </c>
      <c r="F9798" s="748">
        <f t="shared" si="392"/>
        <v>0</v>
      </c>
      <c r="G9798" s="1205"/>
      <c r="H9798" s="1055"/>
      <c r="I9798" s="1055"/>
      <c r="J9798" s="1055"/>
      <c r="K9798" s="1205"/>
      <c r="L9798" s="1055"/>
      <c r="M9798" s="1205"/>
      <c r="N9798" s="1054"/>
      <c r="O9798" s="1207"/>
      <c r="Q9798" s="1207"/>
    </row>
    <row r="9799" spans="3:17" s="700" customFormat="1" ht="70.5" hidden="1" customHeight="1">
      <c r="C9799" s="701"/>
      <c r="D9799" s="811"/>
      <c r="E9799" s="1276">
        <f>[11]building!Y10130</f>
        <v>0</v>
      </c>
      <c r="F9799" s="748">
        <f t="shared" si="392"/>
        <v>0</v>
      </c>
      <c r="G9799" s="1205"/>
      <c r="H9799" s="1055"/>
      <c r="I9799" s="1055"/>
      <c r="J9799" s="1055"/>
      <c r="K9799" s="1205"/>
      <c r="L9799" s="1055"/>
      <c r="M9799" s="1205"/>
      <c r="N9799" s="1054"/>
      <c r="O9799" s="1207"/>
      <c r="Q9799" s="1207"/>
    </row>
    <row r="9800" spans="3:17" s="700" customFormat="1" ht="70.5" hidden="1" customHeight="1">
      <c r="C9800" s="701"/>
      <c r="D9800" s="811"/>
      <c r="E9800" s="1276">
        <f>[11]building!Y10131</f>
        <v>0</v>
      </c>
      <c r="F9800" s="748">
        <f t="shared" si="392"/>
        <v>0</v>
      </c>
      <c r="G9800" s="1205"/>
      <c r="H9800" s="1055"/>
      <c r="I9800" s="1055"/>
      <c r="J9800" s="1055"/>
      <c r="K9800" s="1205"/>
      <c r="L9800" s="1055"/>
      <c r="M9800" s="1205"/>
      <c r="N9800" s="1054"/>
      <c r="O9800" s="1207"/>
      <c r="Q9800" s="1207"/>
    </row>
    <row r="9801" spans="3:17" s="700" customFormat="1" ht="70.5" hidden="1" customHeight="1">
      <c r="C9801" s="701"/>
      <c r="D9801" s="811"/>
      <c r="E9801" s="1276">
        <f>[11]building!Y10132</f>
        <v>0</v>
      </c>
      <c r="F9801" s="748">
        <f t="shared" si="392"/>
        <v>0</v>
      </c>
      <c r="G9801" s="1205"/>
      <c r="H9801" s="1055"/>
      <c r="I9801" s="1055"/>
      <c r="J9801" s="1055"/>
      <c r="K9801" s="1205"/>
      <c r="L9801" s="1055"/>
      <c r="M9801" s="1205"/>
      <c r="N9801" s="1054"/>
      <c r="O9801" s="1207"/>
      <c r="Q9801" s="1207"/>
    </row>
    <row r="9802" spans="3:17" s="700" customFormat="1" ht="70.5" hidden="1" customHeight="1">
      <c r="C9802" s="701"/>
      <c r="D9802" s="811"/>
      <c r="E9802" s="1276">
        <f>[11]building!Y10133</f>
        <v>0</v>
      </c>
      <c r="F9802" s="748">
        <f t="shared" si="392"/>
        <v>0</v>
      </c>
      <c r="G9802" s="1205"/>
      <c r="H9802" s="1055"/>
      <c r="I9802" s="1055"/>
      <c r="J9802" s="1055"/>
      <c r="K9802" s="1205"/>
      <c r="L9802" s="1055"/>
      <c r="M9802" s="1205"/>
      <c r="N9802" s="1054"/>
      <c r="O9802" s="1207"/>
      <c r="Q9802" s="1207"/>
    </row>
    <row r="9803" spans="3:17" s="700" customFormat="1" ht="70.5" hidden="1" customHeight="1">
      <c r="C9803" s="701"/>
      <c r="D9803" s="811"/>
      <c r="E9803" s="1276">
        <f>[11]building!Y10134</f>
        <v>0</v>
      </c>
      <c r="F9803" s="748">
        <f t="shared" si="392"/>
        <v>0</v>
      </c>
      <c r="G9803" s="1205"/>
      <c r="H9803" s="1055"/>
      <c r="I9803" s="1055"/>
      <c r="J9803" s="1055"/>
      <c r="K9803" s="1205"/>
      <c r="L9803" s="1055"/>
      <c r="M9803" s="1205"/>
      <c r="N9803" s="1054"/>
      <c r="O9803" s="1207"/>
      <c r="Q9803" s="1207"/>
    </row>
    <row r="9804" spans="3:17" s="700" customFormat="1" ht="70.5" hidden="1" customHeight="1">
      <c r="C9804" s="701"/>
      <c r="D9804" s="811"/>
      <c r="E9804" s="1276">
        <f>[11]building!Y10135</f>
        <v>0</v>
      </c>
      <c r="F9804" s="748">
        <f t="shared" si="392"/>
        <v>0</v>
      </c>
      <c r="G9804" s="1205"/>
      <c r="H9804" s="1055"/>
      <c r="I9804" s="1055"/>
      <c r="J9804" s="1055"/>
      <c r="K9804" s="1205"/>
      <c r="L9804" s="1055"/>
      <c r="M9804" s="1205"/>
      <c r="N9804" s="1054"/>
      <c r="O9804" s="1207"/>
      <c r="Q9804" s="1207"/>
    </row>
    <row r="9805" spans="3:17" s="700" customFormat="1" ht="70.5" hidden="1" customHeight="1">
      <c r="C9805" s="701"/>
      <c r="D9805" s="811"/>
      <c r="E9805" s="1276">
        <f>[11]building!Y10136</f>
        <v>0</v>
      </c>
      <c r="F9805" s="748">
        <f t="shared" si="392"/>
        <v>0</v>
      </c>
      <c r="G9805" s="1205"/>
      <c r="H9805" s="1055"/>
      <c r="I9805" s="1055"/>
      <c r="J9805" s="1055"/>
      <c r="K9805" s="1205"/>
      <c r="L9805" s="1055"/>
      <c r="M9805" s="1205"/>
      <c r="N9805" s="1054"/>
      <c r="O9805" s="1207"/>
      <c r="Q9805" s="1207"/>
    </row>
    <row r="9806" spans="3:17" s="700" customFormat="1" ht="70.5" hidden="1" customHeight="1">
      <c r="C9806" s="701"/>
      <c r="D9806" s="811"/>
      <c r="E9806" s="1276">
        <f>[11]building!Y10137</f>
        <v>0</v>
      </c>
      <c r="F9806" s="748">
        <f t="shared" si="392"/>
        <v>0</v>
      </c>
      <c r="G9806" s="1205"/>
      <c r="H9806" s="1055"/>
      <c r="I9806" s="1055"/>
      <c r="J9806" s="1055"/>
      <c r="K9806" s="1205"/>
      <c r="L9806" s="1055"/>
      <c r="M9806" s="1205"/>
      <c r="N9806" s="1054"/>
      <c r="O9806" s="1207"/>
      <c r="Q9806" s="1207"/>
    </row>
    <row r="9807" spans="3:17" s="700" customFormat="1" ht="70.5" hidden="1" customHeight="1">
      <c r="C9807" s="701"/>
      <c r="D9807" s="811"/>
      <c r="E9807" s="1276">
        <f>[11]building!Y10138</f>
        <v>0</v>
      </c>
      <c r="F9807" s="748">
        <f t="shared" si="392"/>
        <v>0</v>
      </c>
      <c r="G9807" s="1205"/>
      <c r="H9807" s="1055"/>
      <c r="I9807" s="1055"/>
      <c r="J9807" s="1055"/>
      <c r="K9807" s="1205"/>
      <c r="L9807" s="1055"/>
      <c r="M9807" s="1205"/>
      <c r="N9807" s="1054"/>
      <c r="O9807" s="1207"/>
      <c r="Q9807" s="1207"/>
    </row>
    <row r="9808" spans="3:17" s="700" customFormat="1" ht="70.5" hidden="1" customHeight="1">
      <c r="C9808" s="701"/>
      <c r="D9808" s="811"/>
      <c r="E9808" s="1276">
        <f>[11]building!Y10139</f>
        <v>0</v>
      </c>
      <c r="F9808" s="748">
        <f t="shared" si="392"/>
        <v>0</v>
      </c>
      <c r="G9808" s="1205"/>
      <c r="H9808" s="1055"/>
      <c r="I9808" s="1055"/>
      <c r="J9808" s="1055"/>
      <c r="K9808" s="1205"/>
      <c r="L9808" s="1055"/>
      <c r="M9808" s="1205"/>
      <c r="N9808" s="1054"/>
      <c r="O9808" s="1207"/>
      <c r="Q9808" s="1207"/>
    </row>
    <row r="9809" spans="3:17" s="700" customFormat="1" ht="70.5" hidden="1" customHeight="1">
      <c r="C9809" s="701"/>
      <c r="D9809" s="811"/>
      <c r="E9809" s="1276">
        <f>[11]building!Y10140</f>
        <v>0</v>
      </c>
      <c r="F9809" s="748">
        <f t="shared" si="392"/>
        <v>0</v>
      </c>
      <c r="G9809" s="1205"/>
      <c r="H9809" s="1055"/>
      <c r="I9809" s="1055"/>
      <c r="J9809" s="1055"/>
      <c r="K9809" s="1205"/>
      <c r="L9809" s="1055"/>
      <c r="M9809" s="1205"/>
      <c r="N9809" s="1054"/>
      <c r="O9809" s="1207"/>
      <c r="Q9809" s="1207"/>
    </row>
    <row r="9810" spans="3:17" s="700" customFormat="1" ht="70.5" hidden="1" customHeight="1">
      <c r="C9810" s="701"/>
      <c r="D9810" s="811"/>
      <c r="E9810" s="1276">
        <f>[11]building!Y10141</f>
        <v>0</v>
      </c>
      <c r="F9810" s="748">
        <f t="shared" si="392"/>
        <v>0</v>
      </c>
      <c r="G9810" s="1205"/>
      <c r="H9810" s="1055"/>
      <c r="I9810" s="1055"/>
      <c r="J9810" s="1055"/>
      <c r="K9810" s="1205"/>
      <c r="L9810" s="1055"/>
      <c r="M9810" s="1205"/>
      <c r="N9810" s="1054"/>
      <c r="O9810" s="1207"/>
      <c r="Q9810" s="1207"/>
    </row>
    <row r="9811" spans="3:17" s="700" customFormat="1" ht="70.5" hidden="1" customHeight="1">
      <c r="C9811" s="701"/>
      <c r="D9811" s="811"/>
      <c r="E9811" s="1276">
        <f>[11]building!Y10142</f>
        <v>0</v>
      </c>
      <c r="F9811" s="748">
        <f t="shared" si="392"/>
        <v>0</v>
      </c>
      <c r="G9811" s="1205"/>
      <c r="H9811" s="1055"/>
      <c r="I9811" s="1055"/>
      <c r="J9811" s="1055"/>
      <c r="K9811" s="1205"/>
      <c r="L9811" s="1055"/>
      <c r="M9811" s="1205"/>
      <c r="N9811" s="1054"/>
      <c r="O9811" s="1207"/>
      <c r="Q9811" s="1207"/>
    </row>
    <row r="9812" spans="3:17" s="700" customFormat="1" ht="70.5" hidden="1" customHeight="1">
      <c r="C9812" s="701"/>
      <c r="D9812" s="811"/>
      <c r="E9812" s="1276">
        <f>[11]building!Y10143</f>
        <v>0</v>
      </c>
      <c r="F9812" s="748">
        <f t="shared" si="392"/>
        <v>0</v>
      </c>
      <c r="G9812" s="1205"/>
      <c r="H9812" s="1055"/>
      <c r="I9812" s="1055"/>
      <c r="J9812" s="1055"/>
      <c r="K9812" s="1205"/>
      <c r="L9812" s="1055"/>
      <c r="M9812" s="1205"/>
      <c r="N9812" s="1054"/>
      <c r="O9812" s="1207"/>
      <c r="Q9812" s="1207"/>
    </row>
    <row r="9813" spans="3:17" s="700" customFormat="1" ht="70.5" hidden="1" customHeight="1">
      <c r="C9813" s="701"/>
      <c r="D9813" s="811"/>
      <c r="E9813" s="1276">
        <f>[11]building!Y10144</f>
        <v>0</v>
      </c>
      <c r="F9813" s="748">
        <f t="shared" si="392"/>
        <v>0</v>
      </c>
      <c r="G9813" s="1205"/>
      <c r="H9813" s="1055"/>
      <c r="I9813" s="1055"/>
      <c r="J9813" s="1055"/>
      <c r="K9813" s="1205"/>
      <c r="L9813" s="1055"/>
      <c r="M9813" s="1205"/>
      <c r="N9813" s="1054"/>
      <c r="O9813" s="1207"/>
      <c r="Q9813" s="1207"/>
    </row>
    <row r="9814" spans="3:17" s="700" customFormat="1" ht="70.5" hidden="1" customHeight="1">
      <c r="C9814" s="701"/>
      <c r="D9814" s="811"/>
      <c r="E9814" s="1276">
        <f>[11]building!Y10145</f>
        <v>0</v>
      </c>
      <c r="F9814" s="748">
        <f t="shared" si="392"/>
        <v>0</v>
      </c>
      <c r="G9814" s="1205"/>
      <c r="H9814" s="1055"/>
      <c r="I9814" s="1055"/>
      <c r="J9814" s="1055"/>
      <c r="K9814" s="1205"/>
      <c r="L9814" s="1055"/>
      <c r="M9814" s="1205"/>
      <c r="N9814" s="1054"/>
      <c r="O9814" s="1207"/>
      <c r="Q9814" s="1207"/>
    </row>
    <row r="9815" spans="3:17" s="700" customFormat="1" ht="70.5" hidden="1" customHeight="1">
      <c r="C9815" s="701"/>
      <c r="D9815" s="811"/>
      <c r="E9815" s="1276">
        <f>[11]building!Y10146</f>
        <v>0</v>
      </c>
      <c r="F9815" s="748">
        <f t="shared" si="392"/>
        <v>0</v>
      </c>
      <c r="G9815" s="1205"/>
      <c r="H9815" s="1055"/>
      <c r="I9815" s="1055"/>
      <c r="J9815" s="1055"/>
      <c r="K9815" s="1205"/>
      <c r="L9815" s="1055"/>
      <c r="M9815" s="1205"/>
      <c r="N9815" s="1054"/>
      <c r="O9815" s="1207"/>
      <c r="Q9815" s="1207"/>
    </row>
    <row r="9816" spans="3:17" s="700" customFormat="1" ht="70.5" hidden="1" customHeight="1">
      <c r="C9816" s="701"/>
      <c r="D9816" s="811"/>
      <c r="E9816" s="1276">
        <f>[11]building!Y10147</f>
        <v>0</v>
      </c>
      <c r="F9816" s="748">
        <f t="shared" si="392"/>
        <v>0</v>
      </c>
      <c r="G9816" s="1205"/>
      <c r="H9816" s="1055"/>
      <c r="I9816" s="1055"/>
      <c r="J9816" s="1055"/>
      <c r="K9816" s="1205"/>
      <c r="L9816" s="1055"/>
      <c r="M9816" s="1205"/>
      <c r="N9816" s="1054"/>
      <c r="O9816" s="1207"/>
      <c r="Q9816" s="1207"/>
    </row>
    <row r="9817" spans="3:17" s="700" customFormat="1" ht="70.5" hidden="1" customHeight="1">
      <c r="C9817" s="701"/>
      <c r="D9817" s="811"/>
      <c r="E9817" s="1276">
        <f>[11]building!Y10148</f>
        <v>0</v>
      </c>
      <c r="F9817" s="748">
        <f t="shared" si="392"/>
        <v>0</v>
      </c>
      <c r="G9817" s="1205"/>
      <c r="H9817" s="1055"/>
      <c r="I9817" s="1055"/>
      <c r="J9817" s="1055"/>
      <c r="K9817" s="1205"/>
      <c r="L9817" s="1055"/>
      <c r="M9817" s="1205"/>
      <c r="N9817" s="1054"/>
      <c r="O9817" s="1207"/>
      <c r="Q9817" s="1207"/>
    </row>
    <row r="9818" spans="3:17" s="700" customFormat="1" ht="70.5" hidden="1" customHeight="1">
      <c r="C9818" s="701"/>
      <c r="D9818" s="811"/>
      <c r="E9818" s="1276">
        <f>[11]building!Y10149</f>
        <v>0</v>
      </c>
      <c r="F9818" s="748">
        <f t="shared" si="392"/>
        <v>0</v>
      </c>
      <c r="G9818" s="1205"/>
      <c r="H9818" s="1055"/>
      <c r="I9818" s="1055"/>
      <c r="J9818" s="1055"/>
      <c r="K9818" s="1205"/>
      <c r="L9818" s="1055"/>
      <c r="M9818" s="1205"/>
      <c r="N9818" s="1054"/>
      <c r="O9818" s="1207"/>
      <c r="Q9818" s="1207"/>
    </row>
    <row r="9819" spans="3:17" s="700" customFormat="1" ht="70.5" hidden="1" customHeight="1">
      <c r="C9819" s="701"/>
      <c r="D9819" s="811"/>
      <c r="E9819" s="1276">
        <f>[11]building!Y10150</f>
        <v>0</v>
      </c>
      <c r="F9819" s="748">
        <f t="shared" si="392"/>
        <v>0</v>
      </c>
      <c r="G9819" s="1205"/>
      <c r="H9819" s="1055"/>
      <c r="I9819" s="1055"/>
      <c r="J9819" s="1055"/>
      <c r="K9819" s="1205"/>
      <c r="L9819" s="1055"/>
      <c r="M9819" s="1205"/>
      <c r="N9819" s="1054"/>
      <c r="O9819" s="1207"/>
      <c r="Q9819" s="1207"/>
    </row>
    <row r="9820" spans="3:17" s="700" customFormat="1" ht="70.5" hidden="1" customHeight="1">
      <c r="C9820" s="701"/>
      <c r="D9820" s="811"/>
      <c r="E9820" s="1276">
        <f>[11]building!Y10151</f>
        <v>0</v>
      </c>
      <c r="F9820" s="748">
        <f t="shared" si="392"/>
        <v>0</v>
      </c>
      <c r="G9820" s="1205"/>
      <c r="H9820" s="1055"/>
      <c r="I9820" s="1055"/>
      <c r="J9820" s="1055"/>
      <c r="K9820" s="1205"/>
      <c r="L9820" s="1055"/>
      <c r="M9820" s="1205"/>
      <c r="N9820" s="1054"/>
      <c r="O9820" s="1207"/>
      <c r="Q9820" s="1207"/>
    </row>
    <row r="9821" spans="3:17" s="700" customFormat="1" ht="70.5" hidden="1" customHeight="1">
      <c r="C9821" s="701"/>
      <c r="D9821" s="811"/>
      <c r="E9821" s="1276">
        <f>[11]building!Y10152</f>
        <v>0</v>
      </c>
      <c r="F9821" s="748">
        <f t="shared" si="392"/>
        <v>0</v>
      </c>
      <c r="G9821" s="1205"/>
      <c r="H9821" s="1055"/>
      <c r="I9821" s="1055"/>
      <c r="J9821" s="1055"/>
      <c r="K9821" s="1205"/>
      <c r="L9821" s="1055"/>
      <c r="M9821" s="1205"/>
      <c r="N9821" s="1054"/>
      <c r="O9821" s="1207"/>
      <c r="Q9821" s="1207"/>
    </row>
    <row r="9822" spans="3:17" s="700" customFormat="1" ht="70.5" hidden="1" customHeight="1">
      <c r="C9822" s="701"/>
      <c r="D9822" s="811"/>
      <c r="E9822" s="1276">
        <f>[11]building!Y10153</f>
        <v>0</v>
      </c>
      <c r="F9822" s="748">
        <f t="shared" si="392"/>
        <v>0</v>
      </c>
      <c r="G9822" s="1205"/>
      <c r="H9822" s="1055"/>
      <c r="I9822" s="1055"/>
      <c r="J9822" s="1055"/>
      <c r="K9822" s="1205"/>
      <c r="L9822" s="1055"/>
      <c r="M9822" s="1205"/>
      <c r="N9822" s="1054"/>
      <c r="O9822" s="1207"/>
      <c r="Q9822" s="1207"/>
    </row>
    <row r="9823" spans="3:17" s="700" customFormat="1" ht="70.5" hidden="1" customHeight="1">
      <c r="C9823" s="701"/>
      <c r="D9823" s="811"/>
      <c r="E9823" s="1276">
        <f>[11]building!Y10154</f>
        <v>0</v>
      </c>
      <c r="F9823" s="748">
        <f t="shared" si="392"/>
        <v>0</v>
      </c>
      <c r="G9823" s="1205"/>
      <c r="H9823" s="1055"/>
      <c r="I9823" s="1055"/>
      <c r="J9823" s="1055"/>
      <c r="K9823" s="1205"/>
      <c r="L9823" s="1055"/>
      <c r="M9823" s="1205"/>
      <c r="N9823" s="1054"/>
      <c r="O9823" s="1207"/>
      <c r="Q9823" s="1207"/>
    </row>
    <row r="9824" spans="3:17" s="700" customFormat="1" ht="70.5" hidden="1" customHeight="1">
      <c r="C9824" s="701"/>
      <c r="D9824" s="811"/>
      <c r="E9824" s="1276">
        <f>[11]building!Y10155</f>
        <v>0</v>
      </c>
      <c r="F9824" s="748">
        <f t="shared" si="392"/>
        <v>0</v>
      </c>
      <c r="G9824" s="1205"/>
      <c r="H9824" s="1055"/>
      <c r="I9824" s="1055"/>
      <c r="J9824" s="1055"/>
      <c r="K9824" s="1205"/>
      <c r="L9824" s="1055"/>
      <c r="M9824" s="1205"/>
      <c r="N9824" s="1054"/>
      <c r="O9824" s="1207"/>
      <c r="Q9824" s="1207"/>
    </row>
    <row r="9825" spans="3:17" s="700" customFormat="1" ht="70.5" hidden="1" customHeight="1">
      <c r="C9825" s="701"/>
      <c r="D9825" s="811"/>
      <c r="E9825" s="1276">
        <f>[11]building!Y10156</f>
        <v>0</v>
      </c>
      <c r="F9825" s="748">
        <f t="shared" si="392"/>
        <v>0</v>
      </c>
      <c r="G9825" s="1205"/>
      <c r="H9825" s="1055"/>
      <c r="I9825" s="1055"/>
      <c r="J9825" s="1055"/>
      <c r="K9825" s="1205"/>
      <c r="L9825" s="1055"/>
      <c r="M9825" s="1205"/>
      <c r="N9825" s="1054"/>
      <c r="O9825" s="1207"/>
      <c r="Q9825" s="1207"/>
    </row>
    <row r="9826" spans="3:17" s="700" customFormat="1" ht="70.5" hidden="1" customHeight="1">
      <c r="C9826" s="701"/>
      <c r="D9826" s="811"/>
      <c r="E9826" s="1276">
        <f>[11]building!Y10157</f>
        <v>0</v>
      </c>
      <c r="F9826" s="748">
        <f t="shared" si="392"/>
        <v>0</v>
      </c>
      <c r="G9826" s="1205"/>
      <c r="H9826" s="1055"/>
      <c r="I9826" s="1055"/>
      <c r="J9826" s="1055"/>
      <c r="K9826" s="1205"/>
      <c r="L9826" s="1055"/>
      <c r="M9826" s="1205"/>
      <c r="N9826" s="1054"/>
      <c r="O9826" s="1207"/>
      <c r="Q9826" s="1207"/>
    </row>
    <row r="9827" spans="3:17" s="700" customFormat="1" ht="70.5" hidden="1" customHeight="1">
      <c r="C9827" s="701"/>
      <c r="D9827" s="811"/>
      <c r="E9827" s="1276">
        <f>[11]building!Y10158</f>
        <v>0</v>
      </c>
      <c r="F9827" s="748">
        <f t="shared" si="392"/>
        <v>0</v>
      </c>
      <c r="G9827" s="1205"/>
      <c r="H9827" s="1055"/>
      <c r="I9827" s="1055"/>
      <c r="J9827" s="1055"/>
      <c r="K9827" s="1205"/>
      <c r="L9827" s="1055"/>
      <c r="M9827" s="1205"/>
      <c r="N9827" s="1054"/>
      <c r="O9827" s="1207"/>
      <c r="Q9827" s="1207"/>
    </row>
    <row r="9828" spans="3:17" s="700" customFormat="1" ht="70.5" hidden="1" customHeight="1">
      <c r="C9828" s="701"/>
      <c r="D9828" s="811"/>
      <c r="E9828" s="1276">
        <f>[11]building!Y10159</f>
        <v>0</v>
      </c>
      <c r="F9828" s="748">
        <f t="shared" si="392"/>
        <v>0</v>
      </c>
      <c r="G9828" s="1205"/>
      <c r="H9828" s="1055"/>
      <c r="I9828" s="1055"/>
      <c r="J9828" s="1055"/>
      <c r="K9828" s="1205"/>
      <c r="L9828" s="1055"/>
      <c r="M9828" s="1205"/>
      <c r="N9828" s="1054"/>
      <c r="O9828" s="1207"/>
      <c r="Q9828" s="1207"/>
    </row>
    <row r="9829" spans="3:17" s="700" customFormat="1" ht="70.5" hidden="1" customHeight="1">
      <c r="C9829" s="701"/>
      <c r="D9829" s="811"/>
      <c r="E9829" s="1276">
        <f>[11]building!Y10160</f>
        <v>0</v>
      </c>
      <c r="F9829" s="748">
        <f t="shared" si="392"/>
        <v>0</v>
      </c>
      <c r="G9829" s="1205"/>
      <c r="H9829" s="1055"/>
      <c r="I9829" s="1055"/>
      <c r="J9829" s="1055"/>
      <c r="K9829" s="1205"/>
      <c r="L9829" s="1055"/>
      <c r="M9829" s="1205"/>
      <c r="N9829" s="1054"/>
      <c r="O9829" s="1207"/>
      <c r="Q9829" s="1207"/>
    </row>
    <row r="9830" spans="3:17" s="700" customFormat="1" ht="70.5" hidden="1" customHeight="1">
      <c r="C9830" s="701"/>
      <c r="D9830" s="811"/>
      <c r="E9830" s="1276">
        <f>[11]building!Y10161</f>
        <v>0</v>
      </c>
      <c r="F9830" s="748">
        <f t="shared" si="392"/>
        <v>0</v>
      </c>
      <c r="G9830" s="1205"/>
      <c r="H9830" s="1055"/>
      <c r="I9830" s="1055"/>
      <c r="J9830" s="1055"/>
      <c r="K9830" s="1205"/>
      <c r="L9830" s="1055"/>
      <c r="M9830" s="1205"/>
      <c r="N9830" s="1054"/>
      <c r="O9830" s="1207"/>
      <c r="Q9830" s="1207"/>
    </row>
    <row r="9831" spans="3:17" s="700" customFormat="1" ht="70.5" hidden="1" customHeight="1">
      <c r="C9831" s="701"/>
      <c r="D9831" s="811"/>
      <c r="E9831" s="1276">
        <f>[11]building!Y10162</f>
        <v>0</v>
      </c>
      <c r="F9831" s="748">
        <f t="shared" si="392"/>
        <v>0</v>
      </c>
      <c r="G9831" s="1205"/>
      <c r="H9831" s="1055"/>
      <c r="I9831" s="1055"/>
      <c r="J9831" s="1055"/>
      <c r="K9831" s="1205"/>
      <c r="L9831" s="1055"/>
      <c r="M9831" s="1205"/>
      <c r="N9831" s="1054"/>
      <c r="O9831" s="1207"/>
      <c r="Q9831" s="1207"/>
    </row>
    <row r="9832" spans="3:17" s="700" customFormat="1" ht="70.5" hidden="1" customHeight="1">
      <c r="C9832" s="701"/>
      <c r="D9832" s="811"/>
      <c r="E9832" s="1276">
        <f>[11]building!Y10163</f>
        <v>0</v>
      </c>
      <c r="F9832" s="748">
        <f t="shared" si="392"/>
        <v>0</v>
      </c>
      <c r="G9832" s="1205"/>
      <c r="H9832" s="1055"/>
      <c r="I9832" s="1055"/>
      <c r="J9832" s="1055"/>
      <c r="K9832" s="1205"/>
      <c r="L9832" s="1055"/>
      <c r="M9832" s="1205"/>
      <c r="N9832" s="1054"/>
      <c r="O9832" s="1207"/>
      <c r="Q9832" s="1207"/>
    </row>
    <row r="9833" spans="3:17" s="700" customFormat="1" ht="70.5" hidden="1" customHeight="1">
      <c r="C9833" s="701"/>
      <c r="D9833" s="811"/>
      <c r="E9833" s="1276">
        <f>[11]building!Y10164</f>
        <v>0</v>
      </c>
      <c r="F9833" s="748">
        <f t="shared" si="392"/>
        <v>0</v>
      </c>
      <c r="G9833" s="1205"/>
      <c r="H9833" s="1055"/>
      <c r="I9833" s="1055"/>
      <c r="J9833" s="1055"/>
      <c r="K9833" s="1205"/>
      <c r="L9833" s="1055"/>
      <c r="M9833" s="1205"/>
      <c r="N9833" s="1054"/>
      <c r="O9833" s="1207"/>
      <c r="Q9833" s="1207"/>
    </row>
    <row r="9834" spans="3:17" s="700" customFormat="1" ht="70.5" hidden="1" customHeight="1">
      <c r="C9834" s="701"/>
      <c r="D9834" s="811"/>
      <c r="E9834" s="1276">
        <f>[11]building!Y10165</f>
        <v>0</v>
      </c>
      <c r="F9834" s="748">
        <f t="shared" si="392"/>
        <v>0</v>
      </c>
      <c r="G9834" s="1205"/>
      <c r="H9834" s="1055"/>
      <c r="I9834" s="1055"/>
      <c r="J9834" s="1055"/>
      <c r="K9834" s="1205"/>
      <c r="L9834" s="1055"/>
      <c r="M9834" s="1205"/>
      <c r="N9834" s="1054"/>
      <c r="O9834" s="1207"/>
      <c r="Q9834" s="1207"/>
    </row>
    <row r="9835" spans="3:17" s="700" customFormat="1" ht="70.5" hidden="1" customHeight="1">
      <c r="C9835" s="701"/>
      <c r="D9835" s="811"/>
      <c r="E9835" s="1276">
        <f>[11]building!Y10166</f>
        <v>0</v>
      </c>
      <c r="F9835" s="748">
        <f t="shared" si="392"/>
        <v>0</v>
      </c>
      <c r="G9835" s="1205"/>
      <c r="H9835" s="1055"/>
      <c r="I9835" s="1055"/>
      <c r="J9835" s="1055"/>
      <c r="K9835" s="1205"/>
      <c r="L9835" s="1055"/>
      <c r="M9835" s="1205"/>
      <c r="N9835" s="1054"/>
      <c r="O9835" s="1207"/>
      <c r="Q9835" s="1207"/>
    </row>
    <row r="9836" spans="3:17" s="700" customFormat="1" ht="70.5" hidden="1" customHeight="1">
      <c r="C9836" s="701"/>
      <c r="D9836" s="811"/>
      <c r="E9836" s="1276">
        <f>[11]building!Y10167</f>
        <v>0</v>
      </c>
      <c r="F9836" s="748">
        <f t="shared" si="392"/>
        <v>0</v>
      </c>
      <c r="G9836" s="1205"/>
      <c r="H9836" s="1055"/>
      <c r="I9836" s="1055"/>
      <c r="J9836" s="1055"/>
      <c r="K9836" s="1205"/>
      <c r="L9836" s="1055"/>
      <c r="M9836" s="1205"/>
      <c r="N9836" s="1054"/>
      <c r="O9836" s="1207"/>
      <c r="Q9836" s="1207"/>
    </row>
    <row r="9837" spans="3:17" s="700" customFormat="1" ht="70.5" hidden="1" customHeight="1">
      <c r="C9837" s="701"/>
      <c r="D9837" s="811"/>
      <c r="E9837" s="1276">
        <f>[11]building!Y10168</f>
        <v>0</v>
      </c>
      <c r="F9837" s="748">
        <f t="shared" si="392"/>
        <v>0</v>
      </c>
      <c r="G9837" s="1205"/>
      <c r="H9837" s="1055"/>
      <c r="I9837" s="1055"/>
      <c r="J9837" s="1055"/>
      <c r="K9837" s="1205"/>
      <c r="L9837" s="1055"/>
      <c r="M9837" s="1205"/>
      <c r="N9837" s="1054"/>
      <c r="O9837" s="1207"/>
      <c r="Q9837" s="1207"/>
    </row>
    <row r="9838" spans="3:17" s="700" customFormat="1" ht="70.5" hidden="1" customHeight="1">
      <c r="C9838" s="701"/>
      <c r="D9838" s="811"/>
      <c r="E9838" s="1276">
        <f>[11]building!Y10169</f>
        <v>0</v>
      </c>
      <c r="F9838" s="748">
        <f t="shared" si="392"/>
        <v>0</v>
      </c>
      <c r="G9838" s="1205"/>
      <c r="H9838" s="1055"/>
      <c r="I9838" s="1055"/>
      <c r="J9838" s="1055"/>
      <c r="K9838" s="1205"/>
      <c r="L9838" s="1055"/>
      <c r="M9838" s="1205"/>
      <c r="N9838" s="1054"/>
      <c r="O9838" s="1207"/>
      <c r="Q9838" s="1207"/>
    </row>
    <row r="9839" spans="3:17" s="700" customFormat="1" ht="70.5" hidden="1" customHeight="1">
      <c r="C9839" s="701"/>
      <c r="D9839" s="811"/>
      <c r="E9839" s="1276">
        <f>[11]building!Y10170</f>
        <v>0</v>
      </c>
      <c r="F9839" s="748">
        <f t="shared" si="392"/>
        <v>0</v>
      </c>
      <c r="G9839" s="1205"/>
      <c r="H9839" s="1055"/>
      <c r="I9839" s="1055"/>
      <c r="J9839" s="1055"/>
      <c r="K9839" s="1205"/>
      <c r="L9839" s="1055"/>
      <c r="M9839" s="1205"/>
      <c r="N9839" s="1054"/>
      <c r="O9839" s="1207"/>
      <c r="Q9839" s="1207"/>
    </row>
    <row r="9840" spans="3:17" s="700" customFormat="1" ht="70.5" hidden="1" customHeight="1">
      <c r="C9840" s="701"/>
      <c r="D9840" s="811"/>
      <c r="E9840" s="1276">
        <f>[11]building!Y10171</f>
        <v>0</v>
      </c>
      <c r="F9840" s="748">
        <f t="shared" si="392"/>
        <v>0</v>
      </c>
      <c r="G9840" s="1205"/>
      <c r="H9840" s="1055"/>
      <c r="I9840" s="1055"/>
      <c r="J9840" s="1055"/>
      <c r="K9840" s="1205"/>
      <c r="L9840" s="1055"/>
      <c r="M9840" s="1205"/>
      <c r="N9840" s="1054"/>
      <c r="O9840" s="1207"/>
      <c r="Q9840" s="1207"/>
    </row>
    <row r="9841" spans="3:17" s="700" customFormat="1" ht="70.5" hidden="1" customHeight="1">
      <c r="C9841" s="701"/>
      <c r="D9841" s="811"/>
      <c r="E9841" s="1276">
        <f>[11]building!Y10172</f>
        <v>0</v>
      </c>
      <c r="F9841" s="748">
        <f t="shared" si="392"/>
        <v>0</v>
      </c>
      <c r="G9841" s="1205"/>
      <c r="H9841" s="1055"/>
      <c r="I9841" s="1055"/>
      <c r="J9841" s="1055"/>
      <c r="K9841" s="1205"/>
      <c r="L9841" s="1055"/>
      <c r="M9841" s="1205"/>
      <c r="N9841" s="1054"/>
      <c r="O9841" s="1207"/>
      <c r="Q9841" s="1207"/>
    </row>
    <row r="9842" spans="3:17" s="700" customFormat="1" ht="70.5" hidden="1" customHeight="1">
      <c r="C9842" s="701"/>
      <c r="D9842" s="811"/>
      <c r="E9842" s="1276">
        <f>[11]building!Y10173</f>
        <v>0</v>
      </c>
      <c r="F9842" s="748">
        <f t="shared" si="392"/>
        <v>0</v>
      </c>
      <c r="G9842" s="1205"/>
      <c r="H9842" s="1055"/>
      <c r="I9842" s="1055"/>
      <c r="J9842" s="1055"/>
      <c r="K9842" s="1205"/>
      <c r="L9842" s="1055"/>
      <c r="M9842" s="1205"/>
      <c r="N9842" s="1054"/>
      <c r="O9842" s="1207"/>
      <c r="Q9842" s="1207"/>
    </row>
    <row r="9843" spans="3:17" s="700" customFormat="1" ht="70.5" hidden="1" customHeight="1">
      <c r="C9843" s="701"/>
      <c r="D9843" s="811"/>
      <c r="E9843" s="1276">
        <f>[11]building!Y10174</f>
        <v>0</v>
      </c>
      <c r="F9843" s="748">
        <f t="shared" si="392"/>
        <v>0</v>
      </c>
      <c r="G9843" s="1205"/>
      <c r="H9843" s="1055"/>
      <c r="I9843" s="1055"/>
      <c r="J9843" s="1055"/>
      <c r="K9843" s="1205"/>
      <c r="L9843" s="1055"/>
      <c r="M9843" s="1205"/>
      <c r="N9843" s="1054"/>
      <c r="O9843" s="1207"/>
      <c r="Q9843" s="1207"/>
    </row>
    <row r="9844" spans="3:17" s="700" customFormat="1" ht="70.5" hidden="1" customHeight="1">
      <c r="C9844" s="701"/>
      <c r="D9844" s="811"/>
      <c r="E9844" s="1276">
        <f>[11]building!Y10175</f>
        <v>0</v>
      </c>
      <c r="F9844" s="748">
        <f t="shared" si="392"/>
        <v>0</v>
      </c>
      <c r="G9844" s="1205"/>
      <c r="H9844" s="1055"/>
      <c r="I9844" s="1055"/>
      <c r="J9844" s="1055"/>
      <c r="K9844" s="1205"/>
      <c r="L9844" s="1055"/>
      <c r="M9844" s="1205"/>
      <c r="N9844" s="1054"/>
      <c r="O9844" s="1207"/>
      <c r="Q9844" s="1207"/>
    </row>
    <row r="9845" spans="3:17" s="700" customFormat="1" ht="70.5" hidden="1" customHeight="1">
      <c r="C9845" s="701"/>
      <c r="D9845" s="811"/>
      <c r="E9845" s="1276">
        <f>[11]building!Y10176</f>
        <v>0</v>
      </c>
      <c r="F9845" s="748">
        <f t="shared" si="392"/>
        <v>0</v>
      </c>
      <c r="G9845" s="1205"/>
      <c r="H9845" s="1055"/>
      <c r="I9845" s="1055"/>
      <c r="J9845" s="1055"/>
      <c r="K9845" s="1205"/>
      <c r="L9845" s="1055"/>
      <c r="M9845" s="1205"/>
      <c r="N9845" s="1054"/>
      <c r="O9845" s="1207"/>
      <c r="Q9845" s="1207"/>
    </row>
    <row r="9846" spans="3:17" s="700" customFormat="1" ht="70.5" hidden="1" customHeight="1">
      <c r="C9846" s="701"/>
      <c r="D9846" s="811"/>
      <c r="E9846" s="1276">
        <f>[11]building!Y10177</f>
        <v>0</v>
      </c>
      <c r="F9846" s="748">
        <f t="shared" si="392"/>
        <v>0</v>
      </c>
      <c r="G9846" s="1205"/>
      <c r="H9846" s="1055"/>
      <c r="I9846" s="1055"/>
      <c r="J9846" s="1055"/>
      <c r="K9846" s="1205"/>
      <c r="L9846" s="1055"/>
      <c r="M9846" s="1205"/>
      <c r="N9846" s="1054"/>
      <c r="O9846" s="1207"/>
      <c r="Q9846" s="1207"/>
    </row>
    <row r="9847" spans="3:17" s="700" customFormat="1" ht="70.5" hidden="1" customHeight="1">
      <c r="C9847" s="701"/>
      <c r="D9847" s="811"/>
      <c r="E9847" s="1276">
        <f>[11]building!Y10178</f>
        <v>0</v>
      </c>
      <c r="F9847" s="748">
        <f t="shared" si="392"/>
        <v>0</v>
      </c>
      <c r="G9847" s="1205"/>
      <c r="H9847" s="1055"/>
      <c r="I9847" s="1055"/>
      <c r="J9847" s="1055"/>
      <c r="K9847" s="1205"/>
      <c r="L9847" s="1055"/>
      <c r="M9847" s="1205"/>
      <c r="N9847" s="1054"/>
      <c r="O9847" s="1207"/>
      <c r="Q9847" s="1207"/>
    </row>
    <row r="9848" spans="3:17" s="700" customFormat="1" ht="70.5" hidden="1" customHeight="1">
      <c r="C9848" s="701"/>
      <c r="D9848" s="811"/>
      <c r="E9848" s="1276">
        <f>[11]building!Y10179</f>
        <v>0</v>
      </c>
      <c r="F9848" s="748">
        <f t="shared" si="392"/>
        <v>0</v>
      </c>
      <c r="G9848" s="1205"/>
      <c r="H9848" s="1055"/>
      <c r="I9848" s="1055"/>
      <c r="J9848" s="1055"/>
      <c r="K9848" s="1205"/>
      <c r="L9848" s="1055"/>
      <c r="M9848" s="1205"/>
      <c r="N9848" s="1054"/>
      <c r="O9848" s="1207"/>
      <c r="Q9848" s="1207"/>
    </row>
    <row r="9849" spans="3:17" s="700" customFormat="1" ht="70.5" hidden="1" customHeight="1">
      <c r="C9849" s="701"/>
      <c r="D9849" s="811"/>
      <c r="E9849" s="1276">
        <f>[11]building!Y10180</f>
        <v>0</v>
      </c>
      <c r="F9849" s="748">
        <f t="shared" si="392"/>
        <v>0</v>
      </c>
      <c r="G9849" s="1205"/>
      <c r="H9849" s="1055"/>
      <c r="I9849" s="1055"/>
      <c r="J9849" s="1055"/>
      <c r="K9849" s="1205"/>
      <c r="L9849" s="1055"/>
      <c r="M9849" s="1205"/>
      <c r="N9849" s="1054"/>
      <c r="O9849" s="1207"/>
      <c r="Q9849" s="1207"/>
    </row>
    <row r="9850" spans="3:17" s="700" customFormat="1" ht="70.5" hidden="1" customHeight="1">
      <c r="C9850" s="701"/>
      <c r="D9850" s="811"/>
      <c r="E9850" s="1276">
        <f>[11]building!Y10181</f>
        <v>0</v>
      </c>
      <c r="F9850" s="748">
        <f t="shared" si="392"/>
        <v>0</v>
      </c>
      <c r="G9850" s="1205"/>
      <c r="H9850" s="1055"/>
      <c r="I9850" s="1055"/>
      <c r="J9850" s="1055"/>
      <c r="K9850" s="1205"/>
      <c r="L9850" s="1055"/>
      <c r="M9850" s="1205"/>
      <c r="N9850" s="1054"/>
      <c r="O9850" s="1207"/>
      <c r="Q9850" s="1207"/>
    </row>
    <row r="9851" spans="3:17" s="700" customFormat="1" ht="70.5" hidden="1" customHeight="1">
      <c r="C9851" s="701"/>
      <c r="D9851" s="811"/>
      <c r="E9851" s="1276">
        <f>[11]building!Y10182</f>
        <v>0</v>
      </c>
      <c r="F9851" s="748">
        <f t="shared" si="392"/>
        <v>0</v>
      </c>
      <c r="G9851" s="1205"/>
      <c r="H9851" s="1055"/>
      <c r="I9851" s="1055"/>
      <c r="J9851" s="1055"/>
      <c r="K9851" s="1205"/>
      <c r="L9851" s="1055"/>
      <c r="M9851" s="1205"/>
      <c r="N9851" s="1054"/>
      <c r="O9851" s="1207"/>
      <c r="Q9851" s="1207"/>
    </row>
    <row r="9852" spans="3:17" s="700" customFormat="1" ht="70.5" hidden="1" customHeight="1">
      <c r="C9852" s="701"/>
      <c r="D9852" s="811"/>
      <c r="E9852" s="1276">
        <f>[11]building!Y10183</f>
        <v>0</v>
      </c>
      <c r="F9852" s="748">
        <f t="shared" si="392"/>
        <v>0</v>
      </c>
      <c r="G9852" s="1205"/>
      <c r="H9852" s="1055"/>
      <c r="I9852" s="1055"/>
      <c r="J9852" s="1055"/>
      <c r="K9852" s="1205"/>
      <c r="L9852" s="1055"/>
      <c r="M9852" s="1205"/>
      <c r="N9852" s="1054"/>
      <c r="O9852" s="1207"/>
      <c r="Q9852" s="1207"/>
    </row>
    <row r="9853" spans="3:17" s="700" customFormat="1" ht="70.5" hidden="1" customHeight="1">
      <c r="C9853" s="701"/>
      <c r="D9853" s="811"/>
      <c r="E9853" s="1276">
        <f>[11]building!Y10184</f>
        <v>0</v>
      </c>
      <c r="F9853" s="748">
        <f t="shared" si="392"/>
        <v>0</v>
      </c>
      <c r="G9853" s="1205"/>
      <c r="H9853" s="1055"/>
      <c r="I9853" s="1055"/>
      <c r="J9853" s="1055"/>
      <c r="K9853" s="1205"/>
      <c r="L9853" s="1055"/>
      <c r="M9853" s="1205"/>
      <c r="N9853" s="1054"/>
      <c r="O9853" s="1207"/>
      <c r="Q9853" s="1207"/>
    </row>
    <row r="9854" spans="3:17" s="700" customFormat="1" ht="70.5" hidden="1" customHeight="1">
      <c r="C9854" s="701"/>
      <c r="D9854" s="811"/>
      <c r="E9854" s="1276">
        <f>[11]building!Y10185</f>
        <v>0</v>
      </c>
      <c r="F9854" s="748">
        <f t="shared" si="392"/>
        <v>0</v>
      </c>
      <c r="G9854" s="1205"/>
      <c r="H9854" s="1055"/>
      <c r="I9854" s="1055"/>
      <c r="J9854" s="1055"/>
      <c r="K9854" s="1205"/>
      <c r="L9854" s="1055"/>
      <c r="M9854" s="1205"/>
      <c r="N9854" s="1054"/>
      <c r="O9854" s="1207"/>
      <c r="Q9854" s="1207"/>
    </row>
    <row r="9855" spans="3:17" s="700" customFormat="1" ht="70.5" hidden="1" customHeight="1">
      <c r="C9855" s="701"/>
      <c r="D9855" s="811"/>
      <c r="E9855" s="1276">
        <f>[11]building!Y10186</f>
        <v>0</v>
      </c>
      <c r="F9855" s="748">
        <f t="shared" si="392"/>
        <v>0</v>
      </c>
      <c r="G9855" s="1205"/>
      <c r="H9855" s="1055"/>
      <c r="I9855" s="1055"/>
      <c r="J9855" s="1055"/>
      <c r="K9855" s="1205"/>
      <c r="L9855" s="1055"/>
      <c r="M9855" s="1205"/>
      <c r="N9855" s="1054"/>
      <c r="O9855" s="1207"/>
      <c r="Q9855" s="1207"/>
    </row>
    <row r="9856" spans="3:17" s="700" customFormat="1" ht="70.5" hidden="1" customHeight="1">
      <c r="C9856" s="701"/>
      <c r="D9856" s="811"/>
      <c r="E9856" s="1276">
        <f>[11]building!Y10187</f>
        <v>0</v>
      </c>
      <c r="F9856" s="748">
        <f t="shared" ref="F9856:F9919" si="393">E9856*C9856</f>
        <v>0</v>
      </c>
      <c r="G9856" s="1205"/>
      <c r="H9856" s="1055"/>
      <c r="I9856" s="1055"/>
      <c r="J9856" s="1055"/>
      <c r="K9856" s="1205"/>
      <c r="L9856" s="1055"/>
      <c r="M9856" s="1205"/>
      <c r="N9856" s="1054"/>
      <c r="O9856" s="1207"/>
      <c r="Q9856" s="1207"/>
    </row>
    <row r="9857" spans="3:17" s="700" customFormat="1" ht="70.5" hidden="1" customHeight="1">
      <c r="C9857" s="701"/>
      <c r="D9857" s="811"/>
      <c r="E9857" s="1276">
        <f>[11]building!Y10188</f>
        <v>0</v>
      </c>
      <c r="F9857" s="748">
        <f t="shared" si="393"/>
        <v>0</v>
      </c>
      <c r="G9857" s="1205"/>
      <c r="H9857" s="1055"/>
      <c r="I9857" s="1055"/>
      <c r="J9857" s="1055"/>
      <c r="K9857" s="1205"/>
      <c r="L9857" s="1055"/>
      <c r="M9857" s="1205"/>
      <c r="N9857" s="1054"/>
      <c r="O9857" s="1207"/>
      <c r="Q9857" s="1207"/>
    </row>
    <row r="9858" spans="3:17" s="700" customFormat="1" ht="70.5" hidden="1" customHeight="1">
      <c r="C9858" s="701"/>
      <c r="D9858" s="811"/>
      <c r="E9858" s="1276">
        <f>[11]building!Y10189</f>
        <v>0</v>
      </c>
      <c r="F9858" s="748">
        <f t="shared" si="393"/>
        <v>0</v>
      </c>
      <c r="G9858" s="1205"/>
      <c r="H9858" s="1055"/>
      <c r="I9858" s="1055"/>
      <c r="J9858" s="1055"/>
      <c r="K9858" s="1205"/>
      <c r="L9858" s="1055"/>
      <c r="M9858" s="1205"/>
      <c r="N9858" s="1054"/>
      <c r="O9858" s="1207"/>
      <c r="Q9858" s="1207"/>
    </row>
    <row r="9859" spans="3:17" s="700" customFormat="1" ht="70.5" hidden="1" customHeight="1">
      <c r="C9859" s="701"/>
      <c r="D9859" s="811"/>
      <c r="E9859" s="1276">
        <f>[11]building!Y10190</f>
        <v>0</v>
      </c>
      <c r="F9859" s="748">
        <f t="shared" si="393"/>
        <v>0</v>
      </c>
      <c r="G9859" s="1205"/>
      <c r="H9859" s="1055"/>
      <c r="I9859" s="1055"/>
      <c r="J9859" s="1055"/>
      <c r="K9859" s="1205"/>
      <c r="L9859" s="1055"/>
      <c r="M9859" s="1205"/>
      <c r="N9859" s="1054"/>
      <c r="O9859" s="1207"/>
      <c r="Q9859" s="1207"/>
    </row>
    <row r="9860" spans="3:17" s="700" customFormat="1" ht="70.5" hidden="1" customHeight="1">
      <c r="C9860" s="701"/>
      <c r="D9860" s="811"/>
      <c r="E9860" s="1276">
        <f>[11]building!Y10191</f>
        <v>0</v>
      </c>
      <c r="F9860" s="748">
        <f t="shared" si="393"/>
        <v>0</v>
      </c>
      <c r="G9860" s="1205"/>
      <c r="H9860" s="1055"/>
      <c r="I9860" s="1055"/>
      <c r="J9860" s="1055"/>
      <c r="K9860" s="1205"/>
      <c r="L9860" s="1055"/>
      <c r="M9860" s="1205"/>
      <c r="N9860" s="1054"/>
      <c r="O9860" s="1207"/>
      <c r="Q9860" s="1207"/>
    </row>
    <row r="9861" spans="3:17" s="700" customFormat="1" ht="70.5" hidden="1" customHeight="1">
      <c r="C9861" s="701"/>
      <c r="D9861" s="811"/>
      <c r="E9861" s="1276">
        <f>[11]building!Y10192</f>
        <v>0</v>
      </c>
      <c r="F9861" s="748">
        <f t="shared" si="393"/>
        <v>0</v>
      </c>
      <c r="G9861" s="1205"/>
      <c r="H9861" s="1055"/>
      <c r="I9861" s="1055"/>
      <c r="J9861" s="1055"/>
      <c r="K9861" s="1205"/>
      <c r="L9861" s="1055"/>
      <c r="M9861" s="1205"/>
      <c r="N9861" s="1054"/>
      <c r="O9861" s="1207"/>
      <c r="Q9861" s="1207"/>
    </row>
    <row r="9862" spans="3:17" s="700" customFormat="1" ht="70.5" hidden="1" customHeight="1">
      <c r="C9862" s="701"/>
      <c r="D9862" s="811"/>
      <c r="E9862" s="1276">
        <f>[11]building!Y10193</f>
        <v>0</v>
      </c>
      <c r="F9862" s="748">
        <f t="shared" si="393"/>
        <v>0</v>
      </c>
      <c r="G9862" s="1205"/>
      <c r="H9862" s="1055"/>
      <c r="I9862" s="1055"/>
      <c r="J9862" s="1055"/>
      <c r="K9862" s="1205"/>
      <c r="L9862" s="1055"/>
      <c r="M9862" s="1205"/>
      <c r="N9862" s="1054"/>
      <c r="O9862" s="1207"/>
      <c r="Q9862" s="1207"/>
    </row>
    <row r="9863" spans="3:17" s="700" customFormat="1" ht="70.5" hidden="1" customHeight="1">
      <c r="C9863" s="701"/>
      <c r="D9863" s="811"/>
      <c r="E9863" s="1276">
        <f>[11]building!Y10194</f>
        <v>0</v>
      </c>
      <c r="F9863" s="748">
        <f t="shared" si="393"/>
        <v>0</v>
      </c>
      <c r="G9863" s="1205"/>
      <c r="H9863" s="1055"/>
      <c r="I9863" s="1055"/>
      <c r="J9863" s="1055"/>
      <c r="K9863" s="1205"/>
      <c r="L9863" s="1055"/>
      <c r="M9863" s="1205"/>
      <c r="N9863" s="1054"/>
      <c r="O9863" s="1207"/>
      <c r="Q9863" s="1207"/>
    </row>
    <row r="9864" spans="3:17" s="700" customFormat="1" ht="70.5" hidden="1" customHeight="1">
      <c r="C9864" s="701"/>
      <c r="D9864" s="811"/>
      <c r="E9864" s="1276">
        <f>[11]building!Y10195</f>
        <v>0</v>
      </c>
      <c r="F9864" s="748">
        <f t="shared" si="393"/>
        <v>0</v>
      </c>
      <c r="G9864" s="1205"/>
      <c r="H9864" s="1055"/>
      <c r="I9864" s="1055"/>
      <c r="J9864" s="1055"/>
      <c r="K9864" s="1205"/>
      <c r="L9864" s="1055"/>
      <c r="M9864" s="1205"/>
      <c r="N9864" s="1054"/>
      <c r="O9864" s="1207"/>
      <c r="Q9864" s="1207"/>
    </row>
    <row r="9865" spans="3:17" s="700" customFormat="1" ht="70.5" hidden="1" customHeight="1">
      <c r="C9865" s="701"/>
      <c r="D9865" s="811"/>
      <c r="E9865" s="1276">
        <f>[11]building!Y10196</f>
        <v>0</v>
      </c>
      <c r="F9865" s="748">
        <f t="shared" si="393"/>
        <v>0</v>
      </c>
      <c r="G9865" s="1205"/>
      <c r="H9865" s="1055"/>
      <c r="I9865" s="1055"/>
      <c r="J9865" s="1055"/>
      <c r="K9865" s="1205"/>
      <c r="L9865" s="1055"/>
      <c r="M9865" s="1205"/>
      <c r="N9865" s="1054"/>
      <c r="O9865" s="1207"/>
      <c r="Q9865" s="1207"/>
    </row>
    <row r="9866" spans="3:17" s="700" customFormat="1" ht="70.5" hidden="1" customHeight="1">
      <c r="C9866" s="701"/>
      <c r="D9866" s="811"/>
      <c r="E9866" s="1276">
        <f>[11]building!Y10197</f>
        <v>0</v>
      </c>
      <c r="F9866" s="748">
        <f t="shared" si="393"/>
        <v>0</v>
      </c>
      <c r="G9866" s="1205"/>
      <c r="H9866" s="1055"/>
      <c r="I9866" s="1055"/>
      <c r="J9866" s="1055"/>
      <c r="K9866" s="1205"/>
      <c r="L9866" s="1055"/>
      <c r="M9866" s="1205"/>
      <c r="N9866" s="1054"/>
      <c r="O9866" s="1207"/>
      <c r="Q9866" s="1207"/>
    </row>
    <row r="9867" spans="3:17" s="700" customFormat="1" ht="70.5" hidden="1" customHeight="1">
      <c r="C9867" s="701"/>
      <c r="D9867" s="811"/>
      <c r="E9867" s="1276">
        <f>[11]building!Y10198</f>
        <v>0</v>
      </c>
      <c r="F9867" s="748">
        <f t="shared" si="393"/>
        <v>0</v>
      </c>
      <c r="G9867" s="1205"/>
      <c r="H9867" s="1055"/>
      <c r="I9867" s="1055"/>
      <c r="J9867" s="1055"/>
      <c r="K9867" s="1205"/>
      <c r="L9867" s="1055"/>
      <c r="M9867" s="1205"/>
      <c r="N9867" s="1054"/>
      <c r="O9867" s="1207"/>
      <c r="Q9867" s="1207"/>
    </row>
    <row r="9868" spans="3:17" s="700" customFormat="1" ht="70.5" hidden="1" customHeight="1">
      <c r="C9868" s="701"/>
      <c r="D9868" s="811"/>
      <c r="E9868" s="1276">
        <f>[11]building!Y10199</f>
        <v>0</v>
      </c>
      <c r="F9868" s="748">
        <f t="shared" si="393"/>
        <v>0</v>
      </c>
      <c r="G9868" s="1205"/>
      <c r="H9868" s="1055"/>
      <c r="I9868" s="1055"/>
      <c r="J9868" s="1055"/>
      <c r="K9868" s="1205"/>
      <c r="L9868" s="1055"/>
      <c r="M9868" s="1205"/>
      <c r="N9868" s="1054"/>
      <c r="O9868" s="1207"/>
      <c r="Q9868" s="1207"/>
    </row>
    <row r="9869" spans="3:17" s="700" customFormat="1" ht="70.5" hidden="1" customHeight="1">
      <c r="C9869" s="701"/>
      <c r="D9869" s="811"/>
      <c r="E9869" s="1276">
        <f>[11]building!Y10200</f>
        <v>0</v>
      </c>
      <c r="F9869" s="748">
        <f t="shared" si="393"/>
        <v>0</v>
      </c>
      <c r="G9869" s="1205"/>
      <c r="H9869" s="1055"/>
      <c r="I9869" s="1055"/>
      <c r="J9869" s="1055"/>
      <c r="K9869" s="1205"/>
      <c r="L9869" s="1055"/>
      <c r="M9869" s="1205"/>
      <c r="N9869" s="1054"/>
      <c r="O9869" s="1207"/>
      <c r="Q9869" s="1207"/>
    </row>
    <row r="9870" spans="3:17" s="700" customFormat="1" ht="70.5" hidden="1" customHeight="1">
      <c r="C9870" s="701"/>
      <c r="D9870" s="811"/>
      <c r="E9870" s="1276">
        <f>[11]building!Y10201</f>
        <v>0</v>
      </c>
      <c r="F9870" s="748">
        <f t="shared" si="393"/>
        <v>0</v>
      </c>
      <c r="G9870" s="1205"/>
      <c r="H9870" s="1055"/>
      <c r="I9870" s="1055"/>
      <c r="J9870" s="1055"/>
      <c r="K9870" s="1205"/>
      <c r="L9870" s="1055"/>
      <c r="M9870" s="1205"/>
      <c r="N9870" s="1054"/>
      <c r="O9870" s="1207"/>
      <c r="Q9870" s="1207"/>
    </row>
    <row r="9871" spans="3:17" s="700" customFormat="1" ht="70.5" hidden="1" customHeight="1">
      <c r="C9871" s="701"/>
      <c r="D9871" s="811"/>
      <c r="E9871" s="1276">
        <f>[11]building!Y10202</f>
        <v>0</v>
      </c>
      <c r="F9871" s="748">
        <f t="shared" si="393"/>
        <v>0</v>
      </c>
      <c r="G9871" s="1205"/>
      <c r="H9871" s="1055"/>
      <c r="I9871" s="1055"/>
      <c r="J9871" s="1055"/>
      <c r="K9871" s="1205"/>
      <c r="L9871" s="1055"/>
      <c r="M9871" s="1205"/>
      <c r="N9871" s="1054"/>
      <c r="O9871" s="1207"/>
      <c r="Q9871" s="1207"/>
    </row>
    <row r="9872" spans="3:17" s="700" customFormat="1" ht="70.5" hidden="1" customHeight="1">
      <c r="C9872" s="701"/>
      <c r="D9872" s="811"/>
      <c r="E9872" s="1276">
        <f>[11]building!Y10203</f>
        <v>0</v>
      </c>
      <c r="F9872" s="748">
        <f t="shared" si="393"/>
        <v>0</v>
      </c>
      <c r="G9872" s="1205"/>
      <c r="H9872" s="1055"/>
      <c r="I9872" s="1055"/>
      <c r="J9872" s="1055"/>
      <c r="K9872" s="1205"/>
      <c r="L9872" s="1055"/>
      <c r="M9872" s="1205"/>
      <c r="N9872" s="1054"/>
      <c r="O9872" s="1207"/>
      <c r="Q9872" s="1207"/>
    </row>
    <row r="9873" spans="3:17" s="700" customFormat="1" ht="70.5" hidden="1" customHeight="1">
      <c r="C9873" s="701"/>
      <c r="D9873" s="811"/>
      <c r="E9873" s="1276">
        <f>[11]building!Y10204</f>
        <v>0</v>
      </c>
      <c r="F9873" s="748">
        <f t="shared" si="393"/>
        <v>0</v>
      </c>
      <c r="G9873" s="1205"/>
      <c r="H9873" s="1055"/>
      <c r="I9873" s="1055"/>
      <c r="J9873" s="1055"/>
      <c r="K9873" s="1205"/>
      <c r="L9873" s="1055"/>
      <c r="M9873" s="1205"/>
      <c r="N9873" s="1054"/>
      <c r="O9873" s="1207"/>
      <c r="Q9873" s="1207"/>
    </row>
    <row r="9874" spans="3:17" s="700" customFormat="1" ht="70.5" hidden="1" customHeight="1">
      <c r="C9874" s="701"/>
      <c r="D9874" s="811"/>
      <c r="E9874" s="1276">
        <f>[11]building!Y10205</f>
        <v>0</v>
      </c>
      <c r="F9874" s="748">
        <f t="shared" si="393"/>
        <v>0</v>
      </c>
      <c r="G9874" s="1205"/>
      <c r="H9874" s="1055"/>
      <c r="I9874" s="1055"/>
      <c r="J9874" s="1055"/>
      <c r="K9874" s="1205"/>
      <c r="L9874" s="1055"/>
      <c r="M9874" s="1205"/>
      <c r="N9874" s="1054"/>
      <c r="O9874" s="1207"/>
      <c r="Q9874" s="1207"/>
    </row>
    <row r="9875" spans="3:17" s="700" customFormat="1" ht="70.5" hidden="1" customHeight="1">
      <c r="C9875" s="701"/>
      <c r="D9875" s="811"/>
      <c r="E9875" s="1276">
        <f>[11]building!Y10206</f>
        <v>0</v>
      </c>
      <c r="F9875" s="748">
        <f t="shared" si="393"/>
        <v>0</v>
      </c>
      <c r="G9875" s="1205"/>
      <c r="H9875" s="1055"/>
      <c r="I9875" s="1055"/>
      <c r="J9875" s="1055"/>
      <c r="K9875" s="1205"/>
      <c r="L9875" s="1055"/>
      <c r="M9875" s="1205"/>
      <c r="N9875" s="1054"/>
      <c r="O9875" s="1207"/>
      <c r="Q9875" s="1207"/>
    </row>
    <row r="9876" spans="3:17" s="700" customFormat="1" ht="70.5" hidden="1" customHeight="1">
      <c r="C9876" s="701"/>
      <c r="D9876" s="811"/>
      <c r="E9876" s="1276">
        <f>[11]building!Y10207</f>
        <v>0</v>
      </c>
      <c r="F9876" s="748">
        <f t="shared" si="393"/>
        <v>0</v>
      </c>
      <c r="G9876" s="1205"/>
      <c r="H9876" s="1055"/>
      <c r="I9876" s="1055"/>
      <c r="J9876" s="1055"/>
      <c r="K9876" s="1205"/>
      <c r="L9876" s="1055"/>
      <c r="M9876" s="1205"/>
      <c r="N9876" s="1054"/>
      <c r="O9876" s="1207"/>
      <c r="Q9876" s="1207"/>
    </row>
    <row r="9877" spans="3:17" s="700" customFormat="1" ht="70.5" hidden="1" customHeight="1">
      <c r="C9877" s="701"/>
      <c r="D9877" s="811"/>
      <c r="E9877" s="1276">
        <f>[11]building!Y10208</f>
        <v>0</v>
      </c>
      <c r="F9877" s="748">
        <f t="shared" si="393"/>
        <v>0</v>
      </c>
      <c r="G9877" s="1205"/>
      <c r="H9877" s="1055"/>
      <c r="I9877" s="1055"/>
      <c r="J9877" s="1055"/>
      <c r="K9877" s="1205"/>
      <c r="L9877" s="1055"/>
      <c r="M9877" s="1205"/>
      <c r="N9877" s="1054"/>
      <c r="O9877" s="1207"/>
      <c r="Q9877" s="1207"/>
    </row>
    <row r="9878" spans="3:17" s="700" customFormat="1" ht="70.5" hidden="1" customHeight="1">
      <c r="C9878" s="701"/>
      <c r="D9878" s="811"/>
      <c r="E9878" s="1276">
        <f>[11]building!Y10209</f>
        <v>0</v>
      </c>
      <c r="F9878" s="748">
        <f t="shared" si="393"/>
        <v>0</v>
      </c>
      <c r="G9878" s="1205"/>
      <c r="H9878" s="1055"/>
      <c r="I9878" s="1055"/>
      <c r="J9878" s="1055"/>
      <c r="K9878" s="1205"/>
      <c r="L9878" s="1055"/>
      <c r="M9878" s="1205"/>
      <c r="N9878" s="1054"/>
      <c r="O9878" s="1207"/>
      <c r="Q9878" s="1207"/>
    </row>
    <row r="9879" spans="3:17" s="700" customFormat="1" ht="70.5" hidden="1" customHeight="1">
      <c r="C9879" s="701"/>
      <c r="D9879" s="811"/>
      <c r="E9879" s="1276">
        <f>[11]building!Y10210</f>
        <v>0</v>
      </c>
      <c r="F9879" s="748">
        <f t="shared" si="393"/>
        <v>0</v>
      </c>
      <c r="G9879" s="1205"/>
      <c r="H9879" s="1055"/>
      <c r="I9879" s="1055"/>
      <c r="J9879" s="1055"/>
      <c r="K9879" s="1205"/>
      <c r="L9879" s="1055"/>
      <c r="M9879" s="1205"/>
      <c r="N9879" s="1054"/>
      <c r="O9879" s="1207"/>
      <c r="Q9879" s="1207"/>
    </row>
    <row r="9880" spans="3:17" s="700" customFormat="1" ht="70.5" hidden="1" customHeight="1">
      <c r="C9880" s="701"/>
      <c r="D9880" s="811"/>
      <c r="E9880" s="1276">
        <f>[11]building!Y10211</f>
        <v>0</v>
      </c>
      <c r="F9880" s="748">
        <f t="shared" si="393"/>
        <v>0</v>
      </c>
      <c r="G9880" s="1205"/>
      <c r="H9880" s="1055"/>
      <c r="I9880" s="1055"/>
      <c r="J9880" s="1055"/>
      <c r="K9880" s="1205"/>
      <c r="L9880" s="1055"/>
      <c r="M9880" s="1205"/>
      <c r="N9880" s="1054"/>
      <c r="O9880" s="1207"/>
      <c r="Q9880" s="1207"/>
    </row>
    <row r="9881" spans="3:17" s="700" customFormat="1" ht="70.5" hidden="1" customHeight="1">
      <c r="C9881" s="701"/>
      <c r="D9881" s="811"/>
      <c r="E9881" s="1276">
        <f>[11]building!Y10212</f>
        <v>0</v>
      </c>
      <c r="F9881" s="748">
        <f t="shared" si="393"/>
        <v>0</v>
      </c>
      <c r="G9881" s="1205"/>
      <c r="H9881" s="1055"/>
      <c r="I9881" s="1055"/>
      <c r="J9881" s="1055"/>
      <c r="K9881" s="1205"/>
      <c r="L9881" s="1055"/>
      <c r="M9881" s="1205"/>
      <c r="N9881" s="1054"/>
      <c r="O9881" s="1207"/>
      <c r="Q9881" s="1207"/>
    </row>
    <row r="9882" spans="3:17" s="700" customFormat="1" ht="70.5" hidden="1" customHeight="1">
      <c r="C9882" s="701"/>
      <c r="D9882" s="811"/>
      <c r="E9882" s="1276">
        <f>[11]building!Y10213</f>
        <v>0</v>
      </c>
      <c r="F9882" s="748">
        <f t="shared" si="393"/>
        <v>0</v>
      </c>
      <c r="G9882" s="1205"/>
      <c r="H9882" s="1055"/>
      <c r="I9882" s="1055"/>
      <c r="J9882" s="1055"/>
      <c r="K9882" s="1205"/>
      <c r="L9882" s="1055"/>
      <c r="M9882" s="1205"/>
      <c r="N9882" s="1054"/>
      <c r="O9882" s="1207"/>
      <c r="Q9882" s="1207"/>
    </row>
    <row r="9883" spans="3:17" s="700" customFormat="1" ht="70.5" hidden="1" customHeight="1">
      <c r="C9883" s="701"/>
      <c r="D9883" s="811"/>
      <c r="E9883" s="1276">
        <f>[11]building!Y10214</f>
        <v>0</v>
      </c>
      <c r="F9883" s="748">
        <f t="shared" si="393"/>
        <v>0</v>
      </c>
      <c r="G9883" s="1205"/>
      <c r="H9883" s="1055"/>
      <c r="I9883" s="1055"/>
      <c r="J9883" s="1055"/>
      <c r="K9883" s="1205"/>
      <c r="L9883" s="1055"/>
      <c r="M9883" s="1205"/>
      <c r="N9883" s="1054"/>
      <c r="O9883" s="1207"/>
      <c r="Q9883" s="1207"/>
    </row>
    <row r="9884" spans="3:17" s="700" customFormat="1" ht="70.5" hidden="1" customHeight="1">
      <c r="C9884" s="701"/>
      <c r="D9884" s="811"/>
      <c r="E9884" s="1276">
        <f>[11]building!Y10215</f>
        <v>0</v>
      </c>
      <c r="F9884" s="748">
        <f t="shared" si="393"/>
        <v>0</v>
      </c>
      <c r="G9884" s="1205"/>
      <c r="H9884" s="1055"/>
      <c r="I9884" s="1055"/>
      <c r="J9884" s="1055"/>
      <c r="K9884" s="1205"/>
      <c r="L9884" s="1055"/>
      <c r="M9884" s="1205"/>
      <c r="N9884" s="1054"/>
      <c r="O9884" s="1207"/>
      <c r="Q9884" s="1207"/>
    </row>
    <row r="9885" spans="3:17" s="700" customFormat="1" ht="70.5" hidden="1" customHeight="1">
      <c r="C9885" s="701"/>
      <c r="D9885" s="811"/>
      <c r="E9885" s="1276">
        <f>[11]building!Y10216</f>
        <v>0</v>
      </c>
      <c r="F9885" s="748">
        <f t="shared" si="393"/>
        <v>0</v>
      </c>
      <c r="G9885" s="1205"/>
      <c r="H9885" s="1055"/>
      <c r="I9885" s="1055"/>
      <c r="J9885" s="1055"/>
      <c r="K9885" s="1205"/>
      <c r="L9885" s="1055"/>
      <c r="M9885" s="1205"/>
      <c r="N9885" s="1054"/>
      <c r="O9885" s="1207"/>
      <c r="Q9885" s="1207"/>
    </row>
    <row r="9886" spans="3:17" s="700" customFormat="1" ht="70.5" hidden="1" customHeight="1">
      <c r="C9886" s="701"/>
      <c r="D9886" s="811"/>
      <c r="E9886" s="1276">
        <f>[11]building!Y10217</f>
        <v>0</v>
      </c>
      <c r="F9886" s="748">
        <f t="shared" si="393"/>
        <v>0</v>
      </c>
      <c r="G9886" s="1205"/>
      <c r="H9886" s="1055"/>
      <c r="I9886" s="1055"/>
      <c r="J9886" s="1055"/>
      <c r="K9886" s="1205"/>
      <c r="L9886" s="1055"/>
      <c r="M9886" s="1205"/>
      <c r="N9886" s="1054"/>
      <c r="O9886" s="1207"/>
      <c r="Q9886" s="1207"/>
    </row>
    <row r="9887" spans="3:17" s="700" customFormat="1" ht="70.5" hidden="1" customHeight="1">
      <c r="C9887" s="701"/>
      <c r="D9887" s="811"/>
      <c r="E9887" s="1276">
        <f>[11]building!Y10218</f>
        <v>0</v>
      </c>
      <c r="F9887" s="748">
        <f t="shared" si="393"/>
        <v>0</v>
      </c>
      <c r="G9887" s="1205"/>
      <c r="H9887" s="1055"/>
      <c r="I9887" s="1055"/>
      <c r="J9887" s="1055"/>
      <c r="K9887" s="1205"/>
      <c r="L9887" s="1055"/>
      <c r="M9887" s="1205"/>
      <c r="N9887" s="1054"/>
      <c r="O9887" s="1207"/>
      <c r="Q9887" s="1207"/>
    </row>
    <row r="9888" spans="3:17" s="700" customFormat="1" ht="70.5" hidden="1" customHeight="1">
      <c r="C9888" s="701"/>
      <c r="D9888" s="811"/>
      <c r="E9888" s="1276">
        <f>[11]building!Y10219</f>
        <v>0</v>
      </c>
      <c r="F9888" s="748">
        <f t="shared" si="393"/>
        <v>0</v>
      </c>
      <c r="G9888" s="1205"/>
      <c r="H9888" s="1055"/>
      <c r="I9888" s="1055"/>
      <c r="J9888" s="1055"/>
      <c r="K9888" s="1205"/>
      <c r="L9888" s="1055"/>
      <c r="M9888" s="1205"/>
      <c r="N9888" s="1054"/>
      <c r="O9888" s="1207"/>
      <c r="Q9888" s="1207"/>
    </row>
    <row r="9889" spans="3:17" s="700" customFormat="1" ht="70.5" hidden="1" customHeight="1">
      <c r="C9889" s="701"/>
      <c r="D9889" s="811"/>
      <c r="E9889" s="1276">
        <f>[11]building!Y10220</f>
        <v>0</v>
      </c>
      <c r="F9889" s="748">
        <f t="shared" si="393"/>
        <v>0</v>
      </c>
      <c r="G9889" s="1205"/>
      <c r="H9889" s="1055"/>
      <c r="I9889" s="1055"/>
      <c r="J9889" s="1055"/>
      <c r="K9889" s="1205"/>
      <c r="L9889" s="1055"/>
      <c r="M9889" s="1205"/>
      <c r="N9889" s="1054"/>
      <c r="O9889" s="1207"/>
      <c r="Q9889" s="1207"/>
    </row>
    <row r="9890" spans="3:17" s="700" customFormat="1" ht="70.5" hidden="1" customHeight="1">
      <c r="C9890" s="701"/>
      <c r="D9890" s="811"/>
      <c r="E9890" s="1276">
        <f>[11]building!Y10221</f>
        <v>0</v>
      </c>
      <c r="F9890" s="748">
        <f t="shared" si="393"/>
        <v>0</v>
      </c>
      <c r="G9890" s="1205"/>
      <c r="H9890" s="1055"/>
      <c r="I9890" s="1055"/>
      <c r="J9890" s="1055"/>
      <c r="K9890" s="1205"/>
      <c r="L9890" s="1055"/>
      <c r="M9890" s="1205"/>
      <c r="N9890" s="1054"/>
      <c r="O9890" s="1207"/>
      <c r="Q9890" s="1207"/>
    </row>
    <row r="9891" spans="3:17" s="700" customFormat="1" ht="70.5" hidden="1" customHeight="1">
      <c r="C9891" s="701"/>
      <c r="D9891" s="811"/>
      <c r="E9891" s="1276">
        <f>[11]building!Y10222</f>
        <v>0</v>
      </c>
      <c r="F9891" s="748">
        <f t="shared" si="393"/>
        <v>0</v>
      </c>
      <c r="G9891" s="1205"/>
      <c r="H9891" s="1055"/>
      <c r="I9891" s="1055"/>
      <c r="J9891" s="1055"/>
      <c r="K9891" s="1205"/>
      <c r="L9891" s="1055"/>
      <c r="M9891" s="1205"/>
      <c r="N9891" s="1054"/>
      <c r="O9891" s="1207"/>
      <c r="Q9891" s="1207"/>
    </row>
    <row r="9892" spans="3:17" s="700" customFormat="1" ht="70.5" hidden="1" customHeight="1">
      <c r="C9892" s="701"/>
      <c r="D9892" s="811"/>
      <c r="E9892" s="1276">
        <f>[11]building!Y10223</f>
        <v>0</v>
      </c>
      <c r="F9892" s="748">
        <f t="shared" si="393"/>
        <v>0</v>
      </c>
      <c r="G9892" s="1205"/>
      <c r="H9892" s="1055"/>
      <c r="I9892" s="1055"/>
      <c r="J9892" s="1055"/>
      <c r="K9892" s="1205"/>
      <c r="L9892" s="1055"/>
      <c r="M9892" s="1205"/>
      <c r="N9892" s="1054"/>
      <c r="O9892" s="1207"/>
      <c r="Q9892" s="1207"/>
    </row>
    <row r="9893" spans="3:17" s="700" customFormat="1" ht="70.5" hidden="1" customHeight="1">
      <c r="C9893" s="701"/>
      <c r="D9893" s="811"/>
      <c r="E9893" s="1276">
        <f>[11]building!Y10224</f>
        <v>0</v>
      </c>
      <c r="F9893" s="748">
        <f t="shared" si="393"/>
        <v>0</v>
      </c>
      <c r="G9893" s="1205"/>
      <c r="H9893" s="1055"/>
      <c r="I9893" s="1055"/>
      <c r="J9893" s="1055"/>
      <c r="K9893" s="1205"/>
      <c r="L9893" s="1055"/>
      <c r="M9893" s="1205"/>
      <c r="N9893" s="1054"/>
      <c r="O9893" s="1207"/>
      <c r="Q9893" s="1207"/>
    </row>
    <row r="9894" spans="3:17" s="700" customFormat="1" ht="70.5" hidden="1" customHeight="1">
      <c r="C9894" s="701"/>
      <c r="D9894" s="811"/>
      <c r="E9894" s="1276">
        <f>[11]building!Y10225</f>
        <v>0</v>
      </c>
      <c r="F9894" s="748">
        <f t="shared" si="393"/>
        <v>0</v>
      </c>
      <c r="G9894" s="1205"/>
      <c r="H9894" s="1055"/>
      <c r="I9894" s="1055"/>
      <c r="J9894" s="1055"/>
      <c r="K9894" s="1205"/>
      <c r="L9894" s="1055"/>
      <c r="M9894" s="1205"/>
      <c r="N9894" s="1054"/>
      <c r="O9894" s="1207"/>
      <c r="Q9894" s="1207"/>
    </row>
    <row r="9895" spans="3:17" s="700" customFormat="1" ht="70.5" hidden="1" customHeight="1">
      <c r="C9895" s="701"/>
      <c r="D9895" s="811"/>
      <c r="E9895" s="1276">
        <f>[11]building!Y10226</f>
        <v>0</v>
      </c>
      <c r="F9895" s="748">
        <f t="shared" si="393"/>
        <v>0</v>
      </c>
      <c r="G9895" s="1205"/>
      <c r="H9895" s="1055"/>
      <c r="I9895" s="1055"/>
      <c r="J9895" s="1055"/>
      <c r="K9895" s="1205"/>
      <c r="L9895" s="1055"/>
      <c r="M9895" s="1205"/>
      <c r="N9895" s="1054"/>
      <c r="O9895" s="1207"/>
      <c r="Q9895" s="1207"/>
    </row>
    <row r="9896" spans="3:17" s="700" customFormat="1" ht="70.5" hidden="1" customHeight="1">
      <c r="C9896" s="701"/>
      <c r="D9896" s="811"/>
      <c r="E9896" s="1276">
        <f>[11]building!Y10227</f>
        <v>0</v>
      </c>
      <c r="F9896" s="748">
        <f t="shared" si="393"/>
        <v>0</v>
      </c>
      <c r="G9896" s="1205"/>
      <c r="H9896" s="1055"/>
      <c r="I9896" s="1055"/>
      <c r="J9896" s="1055"/>
      <c r="K9896" s="1205"/>
      <c r="L9896" s="1055"/>
      <c r="M9896" s="1205"/>
      <c r="N9896" s="1054"/>
      <c r="O9896" s="1207"/>
      <c r="Q9896" s="1207"/>
    </row>
    <row r="9897" spans="3:17" s="700" customFormat="1" ht="70.5" hidden="1" customHeight="1">
      <c r="C9897" s="701"/>
      <c r="D9897" s="811"/>
      <c r="E9897" s="1276">
        <f>[11]building!Y10228</f>
        <v>0</v>
      </c>
      <c r="F9897" s="748">
        <f t="shared" si="393"/>
        <v>0</v>
      </c>
      <c r="G9897" s="1205"/>
      <c r="H9897" s="1055"/>
      <c r="I9897" s="1055"/>
      <c r="J9897" s="1055"/>
      <c r="K9897" s="1205"/>
      <c r="L9897" s="1055"/>
      <c r="M9897" s="1205"/>
      <c r="N9897" s="1054"/>
      <c r="O9897" s="1207"/>
      <c r="Q9897" s="1207"/>
    </row>
    <row r="9898" spans="3:17" s="700" customFormat="1" ht="70.5" hidden="1" customHeight="1">
      <c r="C9898" s="701"/>
      <c r="D9898" s="811"/>
      <c r="E9898" s="1276">
        <f>[11]building!Y10229</f>
        <v>0</v>
      </c>
      <c r="F9898" s="748">
        <f t="shared" si="393"/>
        <v>0</v>
      </c>
      <c r="G9898" s="1205"/>
      <c r="H9898" s="1055"/>
      <c r="I9898" s="1055"/>
      <c r="J9898" s="1055"/>
      <c r="K9898" s="1205"/>
      <c r="L9898" s="1055"/>
      <c r="M9898" s="1205"/>
      <c r="N9898" s="1054"/>
      <c r="O9898" s="1207"/>
      <c r="Q9898" s="1207"/>
    </row>
    <row r="9899" spans="3:17" s="700" customFormat="1" ht="70.5" hidden="1" customHeight="1">
      <c r="C9899" s="701"/>
      <c r="D9899" s="811"/>
      <c r="E9899" s="1276">
        <f>[11]building!Y10230</f>
        <v>0</v>
      </c>
      <c r="F9899" s="748">
        <f t="shared" si="393"/>
        <v>0</v>
      </c>
      <c r="G9899" s="1205"/>
      <c r="H9899" s="1055"/>
      <c r="I9899" s="1055"/>
      <c r="J9899" s="1055"/>
      <c r="K9899" s="1205"/>
      <c r="L9899" s="1055"/>
      <c r="M9899" s="1205"/>
      <c r="N9899" s="1054"/>
      <c r="O9899" s="1207"/>
      <c r="Q9899" s="1207"/>
    </row>
    <row r="9900" spans="3:17" s="700" customFormat="1" ht="70.5" hidden="1" customHeight="1">
      <c r="C9900" s="701"/>
      <c r="D9900" s="811"/>
      <c r="E9900" s="1276">
        <f>[11]building!Y10231</f>
        <v>0</v>
      </c>
      <c r="F9900" s="748">
        <f t="shared" si="393"/>
        <v>0</v>
      </c>
      <c r="G9900" s="1205"/>
      <c r="H9900" s="1055"/>
      <c r="I9900" s="1055"/>
      <c r="J9900" s="1055"/>
      <c r="K9900" s="1205"/>
      <c r="L9900" s="1055"/>
      <c r="M9900" s="1205"/>
      <c r="N9900" s="1054"/>
      <c r="O9900" s="1207"/>
      <c r="Q9900" s="1207"/>
    </row>
    <row r="9901" spans="3:17" s="700" customFormat="1" ht="70.5" hidden="1" customHeight="1">
      <c r="C9901" s="701"/>
      <c r="D9901" s="811"/>
      <c r="E9901" s="1276">
        <f>[11]building!Y10232</f>
        <v>0</v>
      </c>
      <c r="F9901" s="748">
        <f t="shared" si="393"/>
        <v>0</v>
      </c>
      <c r="G9901" s="1205"/>
      <c r="H9901" s="1055"/>
      <c r="I9901" s="1055"/>
      <c r="J9901" s="1055"/>
      <c r="K9901" s="1205"/>
      <c r="L9901" s="1055"/>
      <c r="M9901" s="1205"/>
      <c r="N9901" s="1054"/>
      <c r="O9901" s="1207"/>
      <c r="Q9901" s="1207"/>
    </row>
    <row r="9902" spans="3:17" s="700" customFormat="1" ht="70.5" hidden="1" customHeight="1">
      <c r="C9902" s="701"/>
      <c r="D9902" s="811"/>
      <c r="E9902" s="1276">
        <f>[11]building!Y10233</f>
        <v>0</v>
      </c>
      <c r="F9902" s="748">
        <f t="shared" si="393"/>
        <v>0</v>
      </c>
      <c r="G9902" s="1205"/>
      <c r="H9902" s="1055"/>
      <c r="I9902" s="1055"/>
      <c r="J9902" s="1055"/>
      <c r="K9902" s="1205"/>
      <c r="L9902" s="1055"/>
      <c r="M9902" s="1205"/>
      <c r="N9902" s="1054"/>
      <c r="O9902" s="1207"/>
      <c r="Q9902" s="1207"/>
    </row>
    <row r="9903" spans="3:17" s="700" customFormat="1" ht="70.5" hidden="1" customHeight="1">
      <c r="C9903" s="701"/>
      <c r="D9903" s="811"/>
      <c r="E9903" s="1276">
        <f>[11]building!Y10234</f>
        <v>0</v>
      </c>
      <c r="F9903" s="748">
        <f t="shared" si="393"/>
        <v>0</v>
      </c>
      <c r="G9903" s="1205"/>
      <c r="H9903" s="1055"/>
      <c r="I9903" s="1055"/>
      <c r="J9903" s="1055"/>
      <c r="K9903" s="1205"/>
      <c r="L9903" s="1055"/>
      <c r="M9903" s="1205"/>
      <c r="N9903" s="1054"/>
      <c r="O9903" s="1207"/>
      <c r="Q9903" s="1207"/>
    </row>
    <row r="9904" spans="3:17" s="700" customFormat="1" ht="70.5" hidden="1" customHeight="1">
      <c r="C9904" s="701"/>
      <c r="D9904" s="811"/>
      <c r="E9904" s="1276">
        <f>[11]building!Y10235</f>
        <v>0</v>
      </c>
      <c r="F9904" s="748">
        <f t="shared" si="393"/>
        <v>0</v>
      </c>
      <c r="G9904" s="1205"/>
      <c r="H9904" s="1055"/>
      <c r="I9904" s="1055"/>
      <c r="J9904" s="1055"/>
      <c r="K9904" s="1205"/>
      <c r="L9904" s="1055"/>
      <c r="M9904" s="1205"/>
      <c r="N9904" s="1054"/>
      <c r="O9904" s="1207"/>
      <c r="Q9904" s="1207"/>
    </row>
    <row r="9905" spans="3:17" s="700" customFormat="1" ht="70.5" hidden="1" customHeight="1">
      <c r="C9905" s="701"/>
      <c r="D9905" s="811"/>
      <c r="E9905" s="1276">
        <f>[11]building!Y10236</f>
        <v>0</v>
      </c>
      <c r="F9905" s="748">
        <f t="shared" si="393"/>
        <v>0</v>
      </c>
      <c r="G9905" s="1205"/>
      <c r="H9905" s="1055"/>
      <c r="I9905" s="1055"/>
      <c r="J9905" s="1055"/>
      <c r="K9905" s="1205"/>
      <c r="L9905" s="1055"/>
      <c r="M9905" s="1205"/>
      <c r="N9905" s="1054"/>
      <c r="O9905" s="1207"/>
      <c r="Q9905" s="1207"/>
    </row>
    <row r="9906" spans="3:17" s="700" customFormat="1" ht="70.5" hidden="1" customHeight="1">
      <c r="C9906" s="701"/>
      <c r="D9906" s="811"/>
      <c r="E9906" s="1276">
        <f>[11]building!Y10237</f>
        <v>0</v>
      </c>
      <c r="F9906" s="748">
        <f t="shared" si="393"/>
        <v>0</v>
      </c>
      <c r="G9906" s="1205"/>
      <c r="H9906" s="1055"/>
      <c r="I9906" s="1055"/>
      <c r="J9906" s="1055"/>
      <c r="K9906" s="1205"/>
      <c r="L9906" s="1055"/>
      <c r="M9906" s="1205"/>
      <c r="N9906" s="1054"/>
      <c r="O9906" s="1207"/>
      <c r="Q9906" s="1207"/>
    </row>
    <row r="9907" spans="3:17" s="700" customFormat="1" ht="70.5" hidden="1" customHeight="1">
      <c r="C9907" s="701"/>
      <c r="D9907" s="811"/>
      <c r="E9907" s="1276">
        <f>[11]building!Y10238</f>
        <v>0</v>
      </c>
      <c r="F9907" s="748">
        <f t="shared" si="393"/>
        <v>0</v>
      </c>
      <c r="G9907" s="1205"/>
      <c r="H9907" s="1055"/>
      <c r="I9907" s="1055"/>
      <c r="J9907" s="1055"/>
      <c r="K9907" s="1205"/>
      <c r="L9907" s="1055"/>
      <c r="M9907" s="1205"/>
      <c r="N9907" s="1054"/>
      <c r="O9907" s="1207"/>
      <c r="Q9907" s="1207"/>
    </row>
    <row r="9908" spans="3:17" s="700" customFormat="1" ht="70.5" hidden="1" customHeight="1">
      <c r="C9908" s="701"/>
      <c r="D9908" s="811"/>
      <c r="E9908" s="1276">
        <f>[11]building!Y10239</f>
        <v>0</v>
      </c>
      <c r="F9908" s="748">
        <f t="shared" si="393"/>
        <v>0</v>
      </c>
      <c r="G9908" s="1205"/>
      <c r="H9908" s="1055"/>
      <c r="I9908" s="1055"/>
      <c r="J9908" s="1055"/>
      <c r="K9908" s="1205"/>
      <c r="L9908" s="1055"/>
      <c r="M9908" s="1205"/>
      <c r="N9908" s="1054"/>
      <c r="O9908" s="1207"/>
      <c r="Q9908" s="1207"/>
    </row>
    <row r="9909" spans="3:17" s="700" customFormat="1" ht="70.5" hidden="1" customHeight="1">
      <c r="C9909" s="701"/>
      <c r="D9909" s="811"/>
      <c r="E9909" s="1276">
        <f>[11]building!Y10240</f>
        <v>0</v>
      </c>
      <c r="F9909" s="748">
        <f t="shared" si="393"/>
        <v>0</v>
      </c>
      <c r="G9909" s="1205"/>
      <c r="H9909" s="1055"/>
      <c r="I9909" s="1055"/>
      <c r="J9909" s="1055"/>
      <c r="K9909" s="1205"/>
      <c r="L9909" s="1055"/>
      <c r="M9909" s="1205"/>
      <c r="N9909" s="1054"/>
      <c r="O9909" s="1207"/>
      <c r="Q9909" s="1207"/>
    </row>
    <row r="9910" spans="3:17" s="700" customFormat="1" ht="70.5" hidden="1" customHeight="1">
      <c r="C9910" s="701"/>
      <c r="D9910" s="811"/>
      <c r="E9910" s="1276">
        <f>[11]building!Y10241</f>
        <v>0</v>
      </c>
      <c r="F9910" s="748">
        <f t="shared" si="393"/>
        <v>0</v>
      </c>
      <c r="G9910" s="1205"/>
      <c r="H9910" s="1055"/>
      <c r="I9910" s="1055"/>
      <c r="J9910" s="1055"/>
      <c r="K9910" s="1205"/>
      <c r="L9910" s="1055"/>
      <c r="M9910" s="1205"/>
      <c r="N9910" s="1054"/>
      <c r="O9910" s="1207"/>
      <c r="Q9910" s="1207"/>
    </row>
    <row r="9911" spans="3:17" s="700" customFormat="1" ht="70.5" hidden="1" customHeight="1">
      <c r="C9911" s="701"/>
      <c r="D9911" s="811"/>
      <c r="E9911" s="1276">
        <f>[11]building!Y10242</f>
        <v>0</v>
      </c>
      <c r="F9911" s="748">
        <f t="shared" si="393"/>
        <v>0</v>
      </c>
      <c r="G9911" s="1205"/>
      <c r="H9911" s="1055"/>
      <c r="I9911" s="1055"/>
      <c r="J9911" s="1055"/>
      <c r="K9911" s="1205"/>
      <c r="L9911" s="1055"/>
      <c r="M9911" s="1205"/>
      <c r="N9911" s="1054"/>
      <c r="O9911" s="1207"/>
      <c r="Q9911" s="1207"/>
    </row>
    <row r="9912" spans="3:17" s="700" customFormat="1" ht="70.5" hidden="1" customHeight="1">
      <c r="C9912" s="701"/>
      <c r="D9912" s="811"/>
      <c r="E9912" s="1276">
        <f>[11]building!Y10243</f>
        <v>0</v>
      </c>
      <c r="F9912" s="748">
        <f t="shared" si="393"/>
        <v>0</v>
      </c>
      <c r="G9912" s="1205"/>
      <c r="H9912" s="1055"/>
      <c r="I9912" s="1055"/>
      <c r="J9912" s="1055"/>
      <c r="K9912" s="1205"/>
      <c r="L9912" s="1055"/>
      <c r="M9912" s="1205"/>
      <c r="N9912" s="1054"/>
      <c r="O9912" s="1207"/>
      <c r="Q9912" s="1207"/>
    </row>
    <row r="9913" spans="3:17" s="700" customFormat="1" ht="70.5" hidden="1" customHeight="1">
      <c r="C9913" s="701"/>
      <c r="D9913" s="811"/>
      <c r="E9913" s="1276">
        <f>[11]building!Y10244</f>
        <v>0</v>
      </c>
      <c r="F9913" s="748">
        <f t="shared" si="393"/>
        <v>0</v>
      </c>
      <c r="G9913" s="1205"/>
      <c r="H9913" s="1055"/>
      <c r="I9913" s="1055"/>
      <c r="J9913" s="1055"/>
      <c r="K9913" s="1205"/>
      <c r="L9913" s="1055"/>
      <c r="M9913" s="1205"/>
      <c r="N9913" s="1054"/>
      <c r="O9913" s="1207"/>
      <c r="Q9913" s="1207"/>
    </row>
    <row r="9914" spans="3:17" s="700" customFormat="1" ht="70.5" hidden="1" customHeight="1">
      <c r="C9914" s="701"/>
      <c r="D9914" s="811"/>
      <c r="E9914" s="1276">
        <f>[11]building!Y10245</f>
        <v>0</v>
      </c>
      <c r="F9914" s="748">
        <f t="shared" si="393"/>
        <v>0</v>
      </c>
      <c r="G9914" s="1205"/>
      <c r="H9914" s="1055"/>
      <c r="I9914" s="1055"/>
      <c r="J9914" s="1055"/>
      <c r="K9914" s="1205"/>
      <c r="L9914" s="1055"/>
      <c r="M9914" s="1205"/>
      <c r="N9914" s="1054"/>
      <c r="O9914" s="1207"/>
      <c r="Q9914" s="1207"/>
    </row>
    <row r="9915" spans="3:17" s="700" customFormat="1" ht="70.5" hidden="1" customHeight="1">
      <c r="C9915" s="701"/>
      <c r="D9915" s="811"/>
      <c r="E9915" s="1276">
        <f>[11]building!Y10246</f>
        <v>0</v>
      </c>
      <c r="F9915" s="748">
        <f t="shared" si="393"/>
        <v>0</v>
      </c>
      <c r="G9915" s="1205"/>
      <c r="H9915" s="1055"/>
      <c r="I9915" s="1055"/>
      <c r="J9915" s="1055"/>
      <c r="K9915" s="1205"/>
      <c r="L9915" s="1055"/>
      <c r="M9915" s="1205"/>
      <c r="N9915" s="1054"/>
      <c r="O9915" s="1207"/>
      <c r="Q9915" s="1207"/>
    </row>
    <row r="9916" spans="3:17" s="700" customFormat="1" ht="70.5" hidden="1" customHeight="1">
      <c r="C9916" s="701"/>
      <c r="D9916" s="811"/>
      <c r="E9916" s="1276">
        <f>[11]building!Y10247</f>
        <v>0</v>
      </c>
      <c r="F9916" s="748">
        <f t="shared" si="393"/>
        <v>0</v>
      </c>
      <c r="G9916" s="1205"/>
      <c r="H9916" s="1055"/>
      <c r="I9916" s="1055"/>
      <c r="J9916" s="1055"/>
      <c r="K9916" s="1205"/>
      <c r="L9916" s="1055"/>
      <c r="M9916" s="1205"/>
      <c r="N9916" s="1054"/>
      <c r="O9916" s="1207"/>
      <c r="Q9916" s="1207"/>
    </row>
    <row r="9917" spans="3:17" s="700" customFormat="1" ht="70.5" hidden="1" customHeight="1">
      <c r="C9917" s="701"/>
      <c r="D9917" s="811"/>
      <c r="E9917" s="1276">
        <f>[11]building!Y10248</f>
        <v>0</v>
      </c>
      <c r="F9917" s="748">
        <f t="shared" si="393"/>
        <v>0</v>
      </c>
      <c r="G9917" s="1205"/>
      <c r="H9917" s="1055"/>
      <c r="I9917" s="1055"/>
      <c r="J9917" s="1055"/>
      <c r="K9917" s="1205"/>
      <c r="L9917" s="1055"/>
      <c r="M9917" s="1205"/>
      <c r="N9917" s="1054"/>
      <c r="O9917" s="1207"/>
      <c r="Q9917" s="1207"/>
    </row>
    <row r="9918" spans="3:17" s="700" customFormat="1" ht="70.5" hidden="1" customHeight="1">
      <c r="C9918" s="701"/>
      <c r="D9918" s="811"/>
      <c r="E9918" s="1276">
        <f>[11]building!Y10249</f>
        <v>0</v>
      </c>
      <c r="F9918" s="748">
        <f t="shared" si="393"/>
        <v>0</v>
      </c>
      <c r="G9918" s="1205"/>
      <c r="H9918" s="1055"/>
      <c r="I9918" s="1055"/>
      <c r="J9918" s="1055"/>
      <c r="K9918" s="1205"/>
      <c r="L9918" s="1055"/>
      <c r="M9918" s="1205"/>
      <c r="N9918" s="1054"/>
      <c r="O9918" s="1207"/>
      <c r="Q9918" s="1207"/>
    </row>
    <row r="9919" spans="3:17" s="700" customFormat="1" ht="70.5" hidden="1" customHeight="1">
      <c r="C9919" s="701"/>
      <c r="D9919" s="811"/>
      <c r="E9919" s="1276">
        <f>[11]building!Y10250</f>
        <v>0</v>
      </c>
      <c r="F9919" s="748">
        <f t="shared" si="393"/>
        <v>0</v>
      </c>
      <c r="G9919" s="1205"/>
      <c r="H9919" s="1055"/>
      <c r="I9919" s="1055"/>
      <c r="J9919" s="1055"/>
      <c r="K9919" s="1205"/>
      <c r="L9919" s="1055"/>
      <c r="M9919" s="1205"/>
      <c r="N9919" s="1054"/>
      <c r="O9919" s="1207"/>
      <c r="Q9919" s="1207"/>
    </row>
    <row r="9920" spans="3:17" s="700" customFormat="1" ht="70.5" hidden="1" customHeight="1">
      <c r="C9920" s="701"/>
      <c r="D9920" s="811"/>
      <c r="E9920" s="1276">
        <f>[11]building!Y10251</f>
        <v>0</v>
      </c>
      <c r="F9920" s="748">
        <f t="shared" ref="F9920:F9983" si="394">E9920*C9920</f>
        <v>0</v>
      </c>
      <c r="G9920" s="1205"/>
      <c r="H9920" s="1055"/>
      <c r="I9920" s="1055"/>
      <c r="J9920" s="1055"/>
      <c r="K9920" s="1205"/>
      <c r="L9920" s="1055"/>
      <c r="M9920" s="1205"/>
      <c r="N9920" s="1054"/>
      <c r="O9920" s="1207"/>
      <c r="Q9920" s="1207"/>
    </row>
    <row r="9921" spans="3:17" s="700" customFormat="1" ht="70.5" hidden="1" customHeight="1">
      <c r="C9921" s="701"/>
      <c r="D9921" s="811"/>
      <c r="E9921" s="1276">
        <f>[11]building!Y10252</f>
        <v>0</v>
      </c>
      <c r="F9921" s="748">
        <f t="shared" si="394"/>
        <v>0</v>
      </c>
      <c r="G9921" s="1205"/>
      <c r="H9921" s="1055"/>
      <c r="I9921" s="1055"/>
      <c r="J9921" s="1055"/>
      <c r="K9921" s="1205"/>
      <c r="L9921" s="1055"/>
      <c r="M9921" s="1205"/>
      <c r="N9921" s="1054"/>
      <c r="O9921" s="1207"/>
      <c r="Q9921" s="1207"/>
    </row>
    <row r="9922" spans="3:17" s="700" customFormat="1" ht="70.5" hidden="1" customHeight="1">
      <c r="C9922" s="701"/>
      <c r="D9922" s="811"/>
      <c r="E9922" s="1276">
        <f>[11]building!Y10253</f>
        <v>0</v>
      </c>
      <c r="F9922" s="748">
        <f t="shared" si="394"/>
        <v>0</v>
      </c>
      <c r="G9922" s="1205"/>
      <c r="H9922" s="1055"/>
      <c r="I9922" s="1055"/>
      <c r="J9922" s="1055"/>
      <c r="K9922" s="1205"/>
      <c r="L9922" s="1055"/>
      <c r="M9922" s="1205"/>
      <c r="N9922" s="1054"/>
      <c r="O9922" s="1207"/>
      <c r="Q9922" s="1207"/>
    </row>
    <row r="9923" spans="3:17" s="700" customFormat="1" ht="70.5" hidden="1" customHeight="1">
      <c r="C9923" s="701"/>
      <c r="D9923" s="811"/>
      <c r="E9923" s="1276">
        <f>[11]building!Y10254</f>
        <v>0</v>
      </c>
      <c r="F9923" s="748">
        <f t="shared" si="394"/>
        <v>0</v>
      </c>
      <c r="G9923" s="1205"/>
      <c r="H9923" s="1055"/>
      <c r="I9923" s="1055"/>
      <c r="J9923" s="1055"/>
      <c r="K9923" s="1205"/>
      <c r="L9923" s="1055"/>
      <c r="M9923" s="1205"/>
      <c r="N9923" s="1054"/>
      <c r="O9923" s="1207"/>
      <c r="Q9923" s="1207"/>
    </row>
    <row r="9924" spans="3:17" s="700" customFormat="1" ht="70.5" hidden="1" customHeight="1">
      <c r="C9924" s="701"/>
      <c r="D9924" s="811"/>
      <c r="E9924" s="1276">
        <f>[11]building!Y10255</f>
        <v>0</v>
      </c>
      <c r="F9924" s="748">
        <f t="shared" si="394"/>
        <v>0</v>
      </c>
      <c r="G9924" s="1205"/>
      <c r="H9924" s="1055"/>
      <c r="I9924" s="1055"/>
      <c r="J9924" s="1055"/>
      <c r="K9924" s="1205"/>
      <c r="L9924" s="1055"/>
      <c r="M9924" s="1205"/>
      <c r="N9924" s="1054"/>
      <c r="O9924" s="1207"/>
      <c r="Q9924" s="1207"/>
    </row>
    <row r="9925" spans="3:17" s="700" customFormat="1" ht="70.5" hidden="1" customHeight="1">
      <c r="C9925" s="701"/>
      <c r="D9925" s="811"/>
      <c r="E9925" s="1276">
        <f>[11]building!Y10256</f>
        <v>0</v>
      </c>
      <c r="F9925" s="748">
        <f t="shared" si="394"/>
        <v>0</v>
      </c>
      <c r="G9925" s="1205"/>
      <c r="H9925" s="1055"/>
      <c r="I9925" s="1055"/>
      <c r="J9925" s="1055"/>
      <c r="K9925" s="1205"/>
      <c r="L9925" s="1055"/>
      <c r="M9925" s="1205"/>
      <c r="N9925" s="1054"/>
      <c r="O9925" s="1207"/>
      <c r="Q9925" s="1207"/>
    </row>
    <row r="9926" spans="3:17" s="700" customFormat="1" ht="70.5" hidden="1" customHeight="1">
      <c r="C9926" s="701"/>
      <c r="D9926" s="811"/>
      <c r="E9926" s="1276">
        <f>[11]building!Y10257</f>
        <v>0</v>
      </c>
      <c r="F9926" s="748">
        <f t="shared" si="394"/>
        <v>0</v>
      </c>
      <c r="G9926" s="1205"/>
      <c r="H9926" s="1055"/>
      <c r="I9926" s="1055"/>
      <c r="J9926" s="1055"/>
      <c r="K9926" s="1205"/>
      <c r="L9926" s="1055"/>
      <c r="M9926" s="1205"/>
      <c r="N9926" s="1054"/>
      <c r="O9926" s="1207"/>
      <c r="Q9926" s="1207"/>
    </row>
    <row r="9927" spans="3:17" s="700" customFormat="1" ht="70.5" hidden="1" customHeight="1">
      <c r="C9927" s="701"/>
      <c r="D9927" s="811"/>
      <c r="E9927" s="1276">
        <f>[11]building!Y10258</f>
        <v>0</v>
      </c>
      <c r="F9927" s="748">
        <f t="shared" si="394"/>
        <v>0</v>
      </c>
      <c r="G9927" s="1205"/>
      <c r="H9927" s="1055"/>
      <c r="I9927" s="1055"/>
      <c r="J9927" s="1055"/>
      <c r="K9927" s="1205"/>
      <c r="L9927" s="1055"/>
      <c r="M9927" s="1205"/>
      <c r="N9927" s="1054"/>
      <c r="O9927" s="1207"/>
      <c r="Q9927" s="1207"/>
    </row>
    <row r="9928" spans="3:17" s="700" customFormat="1" ht="70.5" hidden="1" customHeight="1">
      <c r="C9928" s="701"/>
      <c r="D9928" s="811"/>
      <c r="E9928" s="1276">
        <f>[11]building!Y10259</f>
        <v>0</v>
      </c>
      <c r="F9928" s="748">
        <f t="shared" si="394"/>
        <v>0</v>
      </c>
      <c r="G9928" s="1205"/>
      <c r="H9928" s="1055"/>
      <c r="I9928" s="1055"/>
      <c r="J9928" s="1055"/>
      <c r="K9928" s="1205"/>
      <c r="L9928" s="1055"/>
      <c r="M9928" s="1205"/>
      <c r="N9928" s="1054"/>
      <c r="O9928" s="1207"/>
      <c r="Q9928" s="1207"/>
    </row>
    <row r="9929" spans="3:17" s="700" customFormat="1" ht="70.5" hidden="1" customHeight="1">
      <c r="C9929" s="701"/>
      <c r="D9929" s="811"/>
      <c r="E9929" s="1276">
        <f>[11]building!Y10260</f>
        <v>0</v>
      </c>
      <c r="F9929" s="748">
        <f t="shared" si="394"/>
        <v>0</v>
      </c>
      <c r="G9929" s="1205"/>
      <c r="H9929" s="1055"/>
      <c r="I9929" s="1055"/>
      <c r="J9929" s="1055"/>
      <c r="K9929" s="1205"/>
      <c r="L9929" s="1055"/>
      <c r="M9929" s="1205"/>
      <c r="N9929" s="1054"/>
      <c r="O9929" s="1207"/>
      <c r="Q9929" s="1207"/>
    </row>
    <row r="9930" spans="3:17" s="700" customFormat="1" ht="70.5" hidden="1" customHeight="1">
      <c r="C9930" s="701"/>
      <c r="D9930" s="811"/>
      <c r="E9930" s="1276">
        <f>[11]building!Y10261</f>
        <v>0</v>
      </c>
      <c r="F9930" s="748">
        <f t="shared" si="394"/>
        <v>0</v>
      </c>
      <c r="G9930" s="1205"/>
      <c r="H9930" s="1055"/>
      <c r="I9930" s="1055"/>
      <c r="J9930" s="1055"/>
      <c r="K9930" s="1205"/>
      <c r="L9930" s="1055"/>
      <c r="M9930" s="1205"/>
      <c r="N9930" s="1054"/>
      <c r="O9930" s="1207"/>
      <c r="Q9930" s="1207"/>
    </row>
    <row r="9931" spans="3:17" s="700" customFormat="1" ht="70.5" hidden="1" customHeight="1">
      <c r="C9931" s="701"/>
      <c r="D9931" s="811"/>
      <c r="E9931" s="1276">
        <f>[11]building!Y10262</f>
        <v>0</v>
      </c>
      <c r="F9931" s="748">
        <f t="shared" si="394"/>
        <v>0</v>
      </c>
      <c r="G9931" s="1205"/>
      <c r="H9931" s="1055"/>
      <c r="I9931" s="1055"/>
      <c r="J9931" s="1055"/>
      <c r="K9931" s="1205"/>
      <c r="L9931" s="1055"/>
      <c r="M9931" s="1205"/>
      <c r="N9931" s="1054"/>
      <c r="O9931" s="1207"/>
      <c r="Q9931" s="1207"/>
    </row>
    <row r="9932" spans="3:17" s="700" customFormat="1" ht="70.5" hidden="1" customHeight="1">
      <c r="C9932" s="701"/>
      <c r="D9932" s="811"/>
      <c r="E9932" s="1276">
        <f>[11]building!Y10263</f>
        <v>0</v>
      </c>
      <c r="F9932" s="748">
        <f t="shared" si="394"/>
        <v>0</v>
      </c>
      <c r="G9932" s="1205"/>
      <c r="H9932" s="1055"/>
      <c r="I9932" s="1055"/>
      <c r="J9932" s="1055"/>
      <c r="K9932" s="1205"/>
      <c r="L9932" s="1055"/>
      <c r="M9932" s="1205"/>
      <c r="N9932" s="1054"/>
      <c r="O9932" s="1207"/>
      <c r="Q9932" s="1207"/>
    </row>
    <row r="9933" spans="3:17" s="700" customFormat="1" ht="70.5" hidden="1" customHeight="1">
      <c r="C9933" s="701"/>
      <c r="D9933" s="811"/>
      <c r="E9933" s="1276">
        <f>[11]building!Y10264</f>
        <v>0</v>
      </c>
      <c r="F9933" s="748">
        <f t="shared" si="394"/>
        <v>0</v>
      </c>
      <c r="G9933" s="1205"/>
      <c r="H9933" s="1055"/>
      <c r="I9933" s="1055"/>
      <c r="J9933" s="1055"/>
      <c r="K9933" s="1205"/>
      <c r="L9933" s="1055"/>
      <c r="M9933" s="1205"/>
      <c r="N9933" s="1054"/>
      <c r="O9933" s="1207"/>
      <c r="Q9933" s="1207"/>
    </row>
    <row r="9934" spans="3:17" s="700" customFormat="1" ht="70.5" hidden="1" customHeight="1">
      <c r="C9934" s="701"/>
      <c r="D9934" s="811"/>
      <c r="E9934" s="1276">
        <f>[11]building!Y10265</f>
        <v>0</v>
      </c>
      <c r="F9934" s="748">
        <f t="shared" si="394"/>
        <v>0</v>
      </c>
      <c r="G9934" s="1205"/>
      <c r="H9934" s="1055"/>
      <c r="I9934" s="1055"/>
      <c r="J9934" s="1055"/>
      <c r="K9934" s="1205"/>
      <c r="L9934" s="1055"/>
      <c r="M9934" s="1205"/>
      <c r="N9934" s="1054"/>
      <c r="O9934" s="1207"/>
      <c r="Q9934" s="1207"/>
    </row>
    <row r="9935" spans="3:17" s="700" customFormat="1" ht="70.5" hidden="1" customHeight="1">
      <c r="C9935" s="701"/>
      <c r="D9935" s="811"/>
      <c r="E9935" s="1276">
        <f>[11]building!Y10266</f>
        <v>0</v>
      </c>
      <c r="F9935" s="748">
        <f t="shared" si="394"/>
        <v>0</v>
      </c>
      <c r="G9935" s="1205"/>
      <c r="H9935" s="1055"/>
      <c r="I9935" s="1055"/>
      <c r="J9935" s="1055"/>
      <c r="K9935" s="1205"/>
      <c r="L9935" s="1055"/>
      <c r="M9935" s="1205"/>
      <c r="N9935" s="1054"/>
      <c r="O9935" s="1207"/>
      <c r="Q9935" s="1207"/>
    </row>
    <row r="9936" spans="3:17" s="700" customFormat="1" ht="70.5" hidden="1" customHeight="1">
      <c r="C9936" s="701"/>
      <c r="D9936" s="811"/>
      <c r="E9936" s="1276">
        <f>[11]building!Y10267</f>
        <v>0</v>
      </c>
      <c r="F9936" s="748">
        <f t="shared" si="394"/>
        <v>0</v>
      </c>
      <c r="G9936" s="1205"/>
      <c r="H9936" s="1055"/>
      <c r="I9936" s="1055"/>
      <c r="J9936" s="1055"/>
      <c r="K9936" s="1205"/>
      <c r="L9936" s="1055"/>
      <c r="M9936" s="1205"/>
      <c r="N9936" s="1054"/>
      <c r="O9936" s="1207"/>
      <c r="Q9936" s="1207"/>
    </row>
    <row r="9937" spans="3:17" s="700" customFormat="1" ht="70.5" hidden="1" customHeight="1">
      <c r="C9937" s="701"/>
      <c r="D9937" s="811"/>
      <c r="E9937" s="1276">
        <f>[11]building!Y10268</f>
        <v>0</v>
      </c>
      <c r="F9937" s="748">
        <f t="shared" si="394"/>
        <v>0</v>
      </c>
      <c r="G9937" s="1205"/>
      <c r="H9937" s="1055"/>
      <c r="I9937" s="1055"/>
      <c r="J9937" s="1055"/>
      <c r="K9937" s="1205"/>
      <c r="L9937" s="1055"/>
      <c r="M9937" s="1205"/>
      <c r="N9937" s="1054"/>
      <c r="O9937" s="1207"/>
      <c r="Q9937" s="1207"/>
    </row>
    <row r="9938" spans="3:17" s="700" customFormat="1" ht="70.5" hidden="1" customHeight="1">
      <c r="C9938" s="701"/>
      <c r="D9938" s="811"/>
      <c r="E9938" s="1276">
        <f>[11]building!Y10269</f>
        <v>0</v>
      </c>
      <c r="F9938" s="748">
        <f t="shared" si="394"/>
        <v>0</v>
      </c>
      <c r="G9938" s="1205"/>
      <c r="H9938" s="1055"/>
      <c r="I9938" s="1055"/>
      <c r="J9938" s="1055"/>
      <c r="K9938" s="1205"/>
      <c r="L9938" s="1055"/>
      <c r="M9938" s="1205"/>
      <c r="N9938" s="1054"/>
      <c r="O9938" s="1207"/>
      <c r="Q9938" s="1207"/>
    </row>
    <row r="9939" spans="3:17" s="700" customFormat="1" ht="70.5" hidden="1" customHeight="1">
      <c r="C9939" s="701"/>
      <c r="D9939" s="811"/>
      <c r="E9939" s="1276">
        <f>[11]building!Y10270</f>
        <v>0</v>
      </c>
      <c r="F9939" s="748">
        <f t="shared" si="394"/>
        <v>0</v>
      </c>
      <c r="G9939" s="1205"/>
      <c r="H9939" s="1055"/>
      <c r="I9939" s="1055"/>
      <c r="J9939" s="1055"/>
      <c r="K9939" s="1205"/>
      <c r="L9939" s="1055"/>
      <c r="M9939" s="1205"/>
      <c r="N9939" s="1054"/>
      <c r="O9939" s="1207"/>
      <c r="Q9939" s="1207"/>
    </row>
    <row r="9940" spans="3:17" s="700" customFormat="1" ht="70.5" hidden="1" customHeight="1">
      <c r="C9940" s="701"/>
      <c r="D9940" s="811"/>
      <c r="E9940" s="1276">
        <f>[11]building!Y10271</f>
        <v>0</v>
      </c>
      <c r="F9940" s="748">
        <f t="shared" si="394"/>
        <v>0</v>
      </c>
      <c r="G9940" s="1205"/>
      <c r="H9940" s="1055"/>
      <c r="I9940" s="1055"/>
      <c r="J9940" s="1055"/>
      <c r="K9940" s="1205"/>
      <c r="L9940" s="1055"/>
      <c r="M9940" s="1205"/>
      <c r="N9940" s="1054"/>
      <c r="O9940" s="1207"/>
      <c r="Q9940" s="1207"/>
    </row>
    <row r="9941" spans="3:17" s="700" customFormat="1" ht="70.5" hidden="1" customHeight="1">
      <c r="C9941" s="701"/>
      <c r="D9941" s="811"/>
      <c r="E9941" s="1276">
        <f>[11]building!Y10272</f>
        <v>0</v>
      </c>
      <c r="F9941" s="748">
        <f t="shared" si="394"/>
        <v>0</v>
      </c>
      <c r="G9941" s="1205"/>
      <c r="H9941" s="1055"/>
      <c r="I9941" s="1055"/>
      <c r="J9941" s="1055"/>
      <c r="K9941" s="1205"/>
      <c r="L9941" s="1055"/>
      <c r="M9941" s="1205"/>
      <c r="N9941" s="1054"/>
      <c r="O9941" s="1207"/>
      <c r="Q9941" s="1207"/>
    </row>
    <row r="9942" spans="3:17" s="700" customFormat="1" ht="70.5" hidden="1" customHeight="1">
      <c r="C9942" s="701"/>
      <c r="D9942" s="811"/>
      <c r="E9942" s="1276">
        <f>[11]building!Y10273</f>
        <v>0</v>
      </c>
      <c r="F9942" s="748">
        <f t="shared" si="394"/>
        <v>0</v>
      </c>
      <c r="G9942" s="1205"/>
      <c r="H9942" s="1055"/>
      <c r="I9942" s="1055"/>
      <c r="J9942" s="1055"/>
      <c r="K9942" s="1205"/>
      <c r="L9942" s="1055"/>
      <c r="M9942" s="1205"/>
      <c r="N9942" s="1054"/>
      <c r="O9942" s="1207"/>
      <c r="Q9942" s="1207"/>
    </row>
    <row r="9943" spans="3:17" s="700" customFormat="1" ht="70.5" hidden="1" customHeight="1">
      <c r="C9943" s="701"/>
      <c r="D9943" s="811"/>
      <c r="E9943" s="1276">
        <f>[11]building!Y10274</f>
        <v>0</v>
      </c>
      <c r="F9943" s="748">
        <f t="shared" si="394"/>
        <v>0</v>
      </c>
      <c r="G9943" s="1205"/>
      <c r="H9943" s="1055"/>
      <c r="I9943" s="1055"/>
      <c r="J9943" s="1055"/>
      <c r="K9943" s="1205"/>
      <c r="L9943" s="1055"/>
      <c r="M9943" s="1205"/>
      <c r="N9943" s="1054"/>
      <c r="O9943" s="1207"/>
      <c r="Q9943" s="1207"/>
    </row>
    <row r="9944" spans="3:17" s="700" customFormat="1" ht="70.5" hidden="1" customHeight="1">
      <c r="C9944" s="701"/>
      <c r="D9944" s="811"/>
      <c r="E9944" s="1276">
        <f>[11]building!Y10275</f>
        <v>0</v>
      </c>
      <c r="F9944" s="748">
        <f t="shared" si="394"/>
        <v>0</v>
      </c>
      <c r="G9944" s="1205"/>
      <c r="H9944" s="1055"/>
      <c r="I9944" s="1055"/>
      <c r="J9944" s="1055"/>
      <c r="K9944" s="1205"/>
      <c r="L9944" s="1055"/>
      <c r="M9944" s="1205"/>
      <c r="N9944" s="1054"/>
      <c r="O9944" s="1207"/>
      <c r="Q9944" s="1207"/>
    </row>
    <row r="9945" spans="3:17" s="700" customFormat="1" ht="70.5" hidden="1" customHeight="1">
      <c r="C9945" s="701"/>
      <c r="D9945" s="811"/>
      <c r="E9945" s="1276">
        <f>[11]building!Y10276</f>
        <v>0</v>
      </c>
      <c r="F9945" s="748">
        <f t="shared" si="394"/>
        <v>0</v>
      </c>
      <c r="G9945" s="1205"/>
      <c r="H9945" s="1055"/>
      <c r="I9945" s="1055"/>
      <c r="J9945" s="1055"/>
      <c r="K9945" s="1205"/>
      <c r="L9945" s="1055"/>
      <c r="M9945" s="1205"/>
      <c r="N9945" s="1054"/>
      <c r="O9945" s="1207"/>
      <c r="Q9945" s="1207"/>
    </row>
    <row r="9946" spans="3:17" s="700" customFormat="1" ht="70.5" hidden="1" customHeight="1">
      <c r="C9946" s="701"/>
      <c r="D9946" s="811"/>
      <c r="E9946" s="1276">
        <f>[11]building!Y10277</f>
        <v>0</v>
      </c>
      <c r="F9946" s="748">
        <f t="shared" si="394"/>
        <v>0</v>
      </c>
      <c r="G9946" s="1205"/>
      <c r="H9946" s="1055"/>
      <c r="I9946" s="1055"/>
      <c r="J9946" s="1055"/>
      <c r="K9946" s="1205"/>
      <c r="L9946" s="1055"/>
      <c r="M9946" s="1205"/>
      <c r="N9946" s="1054"/>
      <c r="O9946" s="1207"/>
      <c r="Q9946" s="1207"/>
    </row>
    <row r="9947" spans="3:17" s="700" customFormat="1" ht="70.5" hidden="1" customHeight="1">
      <c r="C9947" s="701"/>
      <c r="D9947" s="811"/>
      <c r="E9947" s="1276">
        <f>[11]building!Y10278</f>
        <v>0</v>
      </c>
      <c r="F9947" s="748">
        <f t="shared" si="394"/>
        <v>0</v>
      </c>
      <c r="G9947" s="1205"/>
      <c r="H9947" s="1055"/>
      <c r="I9947" s="1055"/>
      <c r="J9947" s="1055"/>
      <c r="K9947" s="1205"/>
      <c r="L9947" s="1055"/>
      <c r="M9947" s="1205"/>
      <c r="N9947" s="1054"/>
      <c r="O9947" s="1207"/>
      <c r="Q9947" s="1207"/>
    </row>
    <row r="9948" spans="3:17" s="700" customFormat="1" ht="70.5" hidden="1" customHeight="1">
      <c r="C9948" s="701"/>
      <c r="D9948" s="811"/>
      <c r="E9948" s="1276">
        <f>[11]building!Y10279</f>
        <v>0</v>
      </c>
      <c r="F9948" s="748">
        <f t="shared" si="394"/>
        <v>0</v>
      </c>
      <c r="G9948" s="1205"/>
      <c r="H9948" s="1055"/>
      <c r="I9948" s="1055"/>
      <c r="J9948" s="1055"/>
      <c r="K9948" s="1205"/>
      <c r="L9948" s="1055"/>
      <c r="M9948" s="1205"/>
      <c r="N9948" s="1054"/>
      <c r="O9948" s="1207"/>
      <c r="Q9948" s="1207"/>
    </row>
    <row r="9949" spans="3:17" s="700" customFormat="1" ht="70.5" hidden="1" customHeight="1">
      <c r="C9949" s="701"/>
      <c r="D9949" s="811"/>
      <c r="E9949" s="1276">
        <f>[11]building!Y10280</f>
        <v>0</v>
      </c>
      <c r="F9949" s="748">
        <f t="shared" si="394"/>
        <v>0</v>
      </c>
      <c r="G9949" s="1205"/>
      <c r="H9949" s="1055"/>
      <c r="I9949" s="1055"/>
      <c r="J9949" s="1055"/>
      <c r="K9949" s="1205"/>
      <c r="L9949" s="1055"/>
      <c r="M9949" s="1205"/>
      <c r="N9949" s="1054"/>
      <c r="O9949" s="1207"/>
      <c r="Q9949" s="1207"/>
    </row>
    <row r="9950" spans="3:17" s="700" customFormat="1" ht="70.5" hidden="1" customHeight="1">
      <c r="C9950" s="701"/>
      <c r="D9950" s="811"/>
      <c r="E9950" s="1276">
        <f>[11]building!Y10281</f>
        <v>0</v>
      </c>
      <c r="F9950" s="748">
        <f t="shared" si="394"/>
        <v>0</v>
      </c>
      <c r="G9950" s="1205"/>
      <c r="H9950" s="1055"/>
      <c r="I9950" s="1055"/>
      <c r="J9950" s="1055"/>
      <c r="K9950" s="1205"/>
      <c r="L9950" s="1055"/>
      <c r="M9950" s="1205"/>
      <c r="N9950" s="1054"/>
      <c r="O9950" s="1207"/>
      <c r="Q9950" s="1207"/>
    </row>
    <row r="9951" spans="3:17" s="700" customFormat="1" ht="70.5" hidden="1" customHeight="1">
      <c r="C9951" s="701"/>
      <c r="D9951" s="811"/>
      <c r="E9951" s="1276">
        <f>[11]building!Y10282</f>
        <v>0</v>
      </c>
      <c r="F9951" s="748">
        <f t="shared" si="394"/>
        <v>0</v>
      </c>
      <c r="G9951" s="1205"/>
      <c r="H9951" s="1055"/>
      <c r="I9951" s="1055"/>
      <c r="J9951" s="1055"/>
      <c r="K9951" s="1205"/>
      <c r="L9951" s="1055"/>
      <c r="M9951" s="1205"/>
      <c r="N9951" s="1054"/>
      <c r="O9951" s="1207"/>
      <c r="Q9951" s="1207"/>
    </row>
    <row r="9952" spans="3:17" s="700" customFormat="1" ht="70.5" hidden="1" customHeight="1">
      <c r="C9952" s="701"/>
      <c r="D9952" s="811"/>
      <c r="E9952" s="1276">
        <f>[11]building!Y10283</f>
        <v>0</v>
      </c>
      <c r="F9952" s="748">
        <f t="shared" si="394"/>
        <v>0</v>
      </c>
      <c r="G9952" s="1205"/>
      <c r="H9952" s="1055"/>
      <c r="I9952" s="1055"/>
      <c r="J9952" s="1055"/>
      <c r="K9952" s="1205"/>
      <c r="L9952" s="1055"/>
      <c r="M9952" s="1205"/>
      <c r="N9952" s="1054"/>
      <c r="O9952" s="1207"/>
      <c r="Q9952" s="1207"/>
    </row>
    <row r="9953" spans="3:17" s="700" customFormat="1" ht="70.5" hidden="1" customHeight="1">
      <c r="C9953" s="701"/>
      <c r="D9953" s="811"/>
      <c r="E9953" s="1276">
        <f>[11]building!Y10284</f>
        <v>0</v>
      </c>
      <c r="F9953" s="748">
        <f t="shared" si="394"/>
        <v>0</v>
      </c>
      <c r="G9953" s="1205"/>
      <c r="H9953" s="1055"/>
      <c r="I9953" s="1055"/>
      <c r="J9953" s="1055"/>
      <c r="K9953" s="1205"/>
      <c r="L9953" s="1055"/>
      <c r="M9953" s="1205"/>
      <c r="N9953" s="1054"/>
      <c r="O9953" s="1207"/>
      <c r="Q9953" s="1207"/>
    </row>
    <row r="9954" spans="3:17" s="700" customFormat="1" ht="70.5" hidden="1" customHeight="1">
      <c r="C9954" s="701"/>
      <c r="D9954" s="811"/>
      <c r="E9954" s="1276">
        <f>[11]building!Y10285</f>
        <v>0</v>
      </c>
      <c r="F9954" s="748">
        <f t="shared" si="394"/>
        <v>0</v>
      </c>
      <c r="G9954" s="1205"/>
      <c r="H9954" s="1055"/>
      <c r="I9954" s="1055"/>
      <c r="J9954" s="1055"/>
      <c r="K9954" s="1205"/>
      <c r="L9954" s="1055"/>
      <c r="M9954" s="1205"/>
      <c r="N9954" s="1054"/>
      <c r="O9954" s="1207"/>
      <c r="Q9954" s="1207"/>
    </row>
    <row r="9955" spans="3:17" s="700" customFormat="1" ht="70.5" hidden="1" customHeight="1">
      <c r="C9955" s="701"/>
      <c r="D9955" s="811"/>
      <c r="E9955" s="1276">
        <f>[11]building!Y10286</f>
        <v>0</v>
      </c>
      <c r="F9955" s="748">
        <f t="shared" si="394"/>
        <v>0</v>
      </c>
      <c r="G9955" s="1205"/>
      <c r="H9955" s="1055"/>
      <c r="I9955" s="1055"/>
      <c r="J9955" s="1055"/>
      <c r="K9955" s="1205"/>
      <c r="L9955" s="1055"/>
      <c r="M9955" s="1205"/>
      <c r="N9955" s="1054"/>
      <c r="O9955" s="1207"/>
      <c r="Q9955" s="1207"/>
    </row>
    <row r="9956" spans="3:17" s="700" customFormat="1" ht="70.5" hidden="1" customHeight="1">
      <c r="C9956" s="701"/>
      <c r="D9956" s="811"/>
      <c r="E9956" s="1276">
        <f>[11]building!Y10287</f>
        <v>0</v>
      </c>
      <c r="F9956" s="748">
        <f t="shared" si="394"/>
        <v>0</v>
      </c>
      <c r="G9956" s="1205"/>
      <c r="H9956" s="1055"/>
      <c r="I9956" s="1055"/>
      <c r="J9956" s="1055"/>
      <c r="K9956" s="1205"/>
      <c r="L9956" s="1055"/>
      <c r="M9956" s="1205"/>
      <c r="N9956" s="1054"/>
      <c r="O9956" s="1207"/>
      <c r="Q9956" s="1207"/>
    </row>
    <row r="9957" spans="3:17" s="700" customFormat="1" ht="70.5" hidden="1" customHeight="1">
      <c r="C9957" s="701"/>
      <c r="D9957" s="811"/>
      <c r="E9957" s="1276">
        <f>[11]building!Y10288</f>
        <v>0</v>
      </c>
      <c r="F9957" s="748">
        <f t="shared" si="394"/>
        <v>0</v>
      </c>
      <c r="G9957" s="1205"/>
      <c r="H9957" s="1055"/>
      <c r="I9957" s="1055"/>
      <c r="J9957" s="1055"/>
      <c r="K9957" s="1205"/>
      <c r="L9957" s="1055"/>
      <c r="M9957" s="1205"/>
      <c r="N9957" s="1054"/>
      <c r="O9957" s="1207"/>
      <c r="Q9957" s="1207"/>
    </row>
    <row r="9958" spans="3:17" s="700" customFormat="1" ht="70.5" hidden="1" customHeight="1">
      <c r="C9958" s="701"/>
      <c r="D9958" s="811"/>
      <c r="E9958" s="1276">
        <f>[11]building!Y10289</f>
        <v>0</v>
      </c>
      <c r="F9958" s="748">
        <f t="shared" si="394"/>
        <v>0</v>
      </c>
      <c r="G9958" s="1205"/>
      <c r="H9958" s="1055"/>
      <c r="I9958" s="1055"/>
      <c r="J9958" s="1055"/>
      <c r="K9958" s="1205"/>
      <c r="L9958" s="1055"/>
      <c r="M9958" s="1205"/>
      <c r="N9958" s="1054"/>
      <c r="O9958" s="1207"/>
      <c r="Q9958" s="1207"/>
    </row>
    <row r="9959" spans="3:17" s="700" customFormat="1" ht="70.5" hidden="1" customHeight="1">
      <c r="C9959" s="701"/>
      <c r="D9959" s="811"/>
      <c r="E9959" s="1276">
        <f>[11]building!Y10290</f>
        <v>0</v>
      </c>
      <c r="F9959" s="748">
        <f t="shared" si="394"/>
        <v>0</v>
      </c>
      <c r="G9959" s="1205"/>
      <c r="H9959" s="1055"/>
      <c r="I9959" s="1055"/>
      <c r="J9959" s="1055"/>
      <c r="K9959" s="1205"/>
      <c r="L9959" s="1055"/>
      <c r="M9959" s="1205"/>
      <c r="N9959" s="1054"/>
      <c r="O9959" s="1207"/>
      <c r="Q9959" s="1207"/>
    </row>
    <row r="9960" spans="3:17" s="700" customFormat="1" ht="70.5" hidden="1" customHeight="1">
      <c r="C9960" s="701"/>
      <c r="D9960" s="811"/>
      <c r="E9960" s="1276">
        <f>[11]building!Y10291</f>
        <v>0</v>
      </c>
      <c r="F9960" s="748">
        <f t="shared" si="394"/>
        <v>0</v>
      </c>
      <c r="G9960" s="1205"/>
      <c r="H9960" s="1055"/>
      <c r="I9960" s="1055"/>
      <c r="J9960" s="1055"/>
      <c r="K9960" s="1205"/>
      <c r="L9960" s="1055"/>
      <c r="M9960" s="1205"/>
      <c r="N9960" s="1054"/>
      <c r="O9960" s="1207"/>
      <c r="Q9960" s="1207"/>
    </row>
    <row r="9961" spans="3:17" s="700" customFormat="1" ht="70.5" hidden="1" customHeight="1">
      <c r="C9961" s="701"/>
      <c r="D9961" s="811"/>
      <c r="E9961" s="1276">
        <f>[11]building!Y10292</f>
        <v>0</v>
      </c>
      <c r="F9961" s="748">
        <f t="shared" si="394"/>
        <v>0</v>
      </c>
      <c r="G9961" s="1205"/>
      <c r="H9961" s="1055"/>
      <c r="I9961" s="1055"/>
      <c r="J9961" s="1055"/>
      <c r="K9961" s="1205"/>
      <c r="L9961" s="1055"/>
      <c r="M9961" s="1205"/>
      <c r="N9961" s="1054"/>
      <c r="O9961" s="1207"/>
      <c r="Q9961" s="1207"/>
    </row>
    <row r="9962" spans="3:17" s="700" customFormat="1" ht="70.5" hidden="1" customHeight="1">
      <c r="C9962" s="701"/>
      <c r="D9962" s="811"/>
      <c r="E9962" s="1276">
        <f>[11]building!Y10293</f>
        <v>0</v>
      </c>
      <c r="F9962" s="748">
        <f t="shared" si="394"/>
        <v>0</v>
      </c>
      <c r="G9962" s="1205"/>
      <c r="H9962" s="1055"/>
      <c r="I9962" s="1055"/>
      <c r="J9962" s="1055"/>
      <c r="K9962" s="1205"/>
      <c r="L9962" s="1055"/>
      <c r="M9962" s="1205"/>
      <c r="N9962" s="1054"/>
      <c r="O9962" s="1207"/>
      <c r="Q9962" s="1207"/>
    </row>
    <row r="9963" spans="3:17" s="700" customFormat="1" ht="70.5" hidden="1" customHeight="1">
      <c r="C9963" s="701"/>
      <c r="D9963" s="811"/>
      <c r="E9963" s="1276">
        <f>[11]building!Y10294</f>
        <v>0</v>
      </c>
      <c r="F9963" s="748">
        <f t="shared" si="394"/>
        <v>0</v>
      </c>
      <c r="G9963" s="1205"/>
      <c r="H9963" s="1055"/>
      <c r="I9963" s="1055"/>
      <c r="J9963" s="1055"/>
      <c r="K9963" s="1205"/>
      <c r="L9963" s="1055"/>
      <c r="M9963" s="1205"/>
      <c r="N9963" s="1054"/>
      <c r="O9963" s="1207"/>
      <c r="Q9963" s="1207"/>
    </row>
    <row r="9964" spans="3:17" s="700" customFormat="1" ht="70.5" hidden="1" customHeight="1">
      <c r="C9964" s="701"/>
      <c r="D9964" s="811"/>
      <c r="E9964" s="1276">
        <f>[11]building!Y10295</f>
        <v>0</v>
      </c>
      <c r="F9964" s="748">
        <f t="shared" si="394"/>
        <v>0</v>
      </c>
      <c r="G9964" s="1205"/>
      <c r="H9964" s="1055"/>
      <c r="I9964" s="1055"/>
      <c r="J9964" s="1055"/>
      <c r="K9964" s="1205"/>
      <c r="L9964" s="1055"/>
      <c r="M9964" s="1205"/>
      <c r="N9964" s="1054"/>
      <c r="O9964" s="1207"/>
      <c r="Q9964" s="1207"/>
    </row>
    <row r="9965" spans="3:17" s="700" customFormat="1" ht="70.5" hidden="1" customHeight="1">
      <c r="C9965" s="701"/>
      <c r="D9965" s="811"/>
      <c r="E9965" s="1276">
        <f>[11]building!Y10296</f>
        <v>0</v>
      </c>
      <c r="F9965" s="748">
        <f t="shared" si="394"/>
        <v>0</v>
      </c>
      <c r="G9965" s="1205"/>
      <c r="H9965" s="1055"/>
      <c r="I9965" s="1055"/>
      <c r="J9965" s="1055"/>
      <c r="K9965" s="1205"/>
      <c r="L9965" s="1055"/>
      <c r="M9965" s="1205"/>
      <c r="N9965" s="1054"/>
      <c r="O9965" s="1207"/>
      <c r="Q9965" s="1207"/>
    </row>
    <row r="9966" spans="3:17" s="700" customFormat="1" ht="70.5" hidden="1" customHeight="1">
      <c r="C9966" s="701"/>
      <c r="D9966" s="811"/>
      <c r="E9966" s="1276">
        <f>[11]building!Y10297</f>
        <v>0</v>
      </c>
      <c r="F9966" s="748">
        <f t="shared" si="394"/>
        <v>0</v>
      </c>
      <c r="G9966" s="1205"/>
      <c r="H9966" s="1055"/>
      <c r="I9966" s="1055"/>
      <c r="J9966" s="1055"/>
      <c r="K9966" s="1205"/>
      <c r="L9966" s="1055"/>
      <c r="M9966" s="1205"/>
      <c r="N9966" s="1054"/>
      <c r="O9966" s="1207"/>
      <c r="Q9966" s="1207"/>
    </row>
    <row r="9967" spans="3:17" s="700" customFormat="1" ht="70.5" hidden="1" customHeight="1">
      <c r="C9967" s="701"/>
      <c r="D9967" s="811"/>
      <c r="E9967" s="1276">
        <f>[11]building!Y10298</f>
        <v>0</v>
      </c>
      <c r="F9967" s="748">
        <f t="shared" si="394"/>
        <v>0</v>
      </c>
      <c r="G9967" s="1205"/>
      <c r="H9967" s="1055"/>
      <c r="I9967" s="1055"/>
      <c r="J9967" s="1055"/>
      <c r="K9967" s="1205"/>
      <c r="L9967" s="1055"/>
      <c r="M9967" s="1205"/>
      <c r="N9967" s="1054"/>
      <c r="O9967" s="1207"/>
      <c r="Q9967" s="1207"/>
    </row>
    <row r="9968" spans="3:17" s="700" customFormat="1" ht="70.5" hidden="1" customHeight="1">
      <c r="C9968" s="701"/>
      <c r="D9968" s="811"/>
      <c r="E9968" s="1276">
        <f>[11]building!Y10299</f>
        <v>0</v>
      </c>
      <c r="F9968" s="748">
        <f t="shared" si="394"/>
        <v>0</v>
      </c>
      <c r="G9968" s="1205"/>
      <c r="H9968" s="1055"/>
      <c r="I9968" s="1055"/>
      <c r="J9968" s="1055"/>
      <c r="K9968" s="1205"/>
      <c r="L9968" s="1055"/>
      <c r="M9968" s="1205"/>
      <c r="N9968" s="1054"/>
      <c r="O9968" s="1207"/>
      <c r="Q9968" s="1207"/>
    </row>
    <row r="9969" spans="3:17" s="700" customFormat="1" ht="70.5" hidden="1" customHeight="1">
      <c r="C9969" s="701"/>
      <c r="D9969" s="811"/>
      <c r="E9969" s="1276">
        <f>[11]building!Y10300</f>
        <v>0</v>
      </c>
      <c r="F9969" s="748">
        <f t="shared" si="394"/>
        <v>0</v>
      </c>
      <c r="G9969" s="1205"/>
      <c r="H9969" s="1055"/>
      <c r="I9969" s="1055"/>
      <c r="J9969" s="1055"/>
      <c r="K9969" s="1205"/>
      <c r="L9969" s="1055"/>
      <c r="M9969" s="1205"/>
      <c r="N9969" s="1054"/>
      <c r="O9969" s="1207"/>
      <c r="Q9969" s="1207"/>
    </row>
    <row r="9970" spans="3:17" s="700" customFormat="1" ht="70.5" hidden="1" customHeight="1">
      <c r="C9970" s="701"/>
      <c r="D9970" s="811"/>
      <c r="E9970" s="1276">
        <f>[11]building!Y10301</f>
        <v>0</v>
      </c>
      <c r="F9970" s="748">
        <f t="shared" si="394"/>
        <v>0</v>
      </c>
      <c r="G9970" s="1205"/>
      <c r="H9970" s="1055"/>
      <c r="I9970" s="1055"/>
      <c r="J9970" s="1055"/>
      <c r="K9970" s="1205"/>
      <c r="L9970" s="1055"/>
      <c r="M9970" s="1205"/>
      <c r="N9970" s="1054"/>
      <c r="O9970" s="1207"/>
      <c r="Q9970" s="1207"/>
    </row>
    <row r="9971" spans="3:17" s="700" customFormat="1" ht="70.5" hidden="1" customHeight="1">
      <c r="C9971" s="701"/>
      <c r="D9971" s="811"/>
      <c r="E9971" s="1276">
        <f>[11]building!Y10302</f>
        <v>0</v>
      </c>
      <c r="F9971" s="748">
        <f t="shared" si="394"/>
        <v>0</v>
      </c>
      <c r="G9971" s="1205"/>
      <c r="H9971" s="1055"/>
      <c r="I9971" s="1055"/>
      <c r="J9971" s="1055"/>
      <c r="K9971" s="1205"/>
      <c r="L9971" s="1055"/>
      <c r="M9971" s="1205"/>
      <c r="N9971" s="1054"/>
      <c r="O9971" s="1207"/>
      <c r="Q9971" s="1207"/>
    </row>
    <row r="9972" spans="3:17" s="700" customFormat="1" ht="70.5" hidden="1" customHeight="1">
      <c r="C9972" s="701"/>
      <c r="D9972" s="811"/>
      <c r="E9972" s="1276">
        <f>[11]building!Y10303</f>
        <v>0</v>
      </c>
      <c r="F9972" s="748">
        <f t="shared" si="394"/>
        <v>0</v>
      </c>
      <c r="G9972" s="1205"/>
      <c r="H9972" s="1055"/>
      <c r="I9972" s="1055"/>
      <c r="J9972" s="1055"/>
      <c r="K9972" s="1205"/>
      <c r="L9972" s="1055"/>
      <c r="M9972" s="1205"/>
      <c r="N9972" s="1054"/>
      <c r="O9972" s="1207"/>
      <c r="Q9972" s="1207"/>
    </row>
    <row r="9973" spans="3:17" s="700" customFormat="1" ht="70.5" hidden="1" customHeight="1">
      <c r="C9973" s="701"/>
      <c r="D9973" s="811"/>
      <c r="E9973" s="1276">
        <f>[11]building!Y10304</f>
        <v>0</v>
      </c>
      <c r="F9973" s="748">
        <f t="shared" si="394"/>
        <v>0</v>
      </c>
      <c r="G9973" s="1205"/>
      <c r="H9973" s="1055"/>
      <c r="I9973" s="1055"/>
      <c r="J9973" s="1055"/>
      <c r="K9973" s="1205"/>
      <c r="L9973" s="1055"/>
      <c r="M9973" s="1205"/>
      <c r="N9973" s="1054"/>
      <c r="O9973" s="1207"/>
      <c r="Q9973" s="1207"/>
    </row>
    <row r="9974" spans="3:17" s="700" customFormat="1" ht="70.5" hidden="1" customHeight="1">
      <c r="C9974" s="701"/>
      <c r="D9974" s="811"/>
      <c r="E9974" s="1276">
        <f>[11]building!Y10305</f>
        <v>0</v>
      </c>
      <c r="F9974" s="748">
        <f t="shared" si="394"/>
        <v>0</v>
      </c>
      <c r="G9974" s="1205"/>
      <c r="H9974" s="1055"/>
      <c r="I9974" s="1055"/>
      <c r="J9974" s="1055"/>
      <c r="K9974" s="1205"/>
      <c r="L9974" s="1055"/>
      <c r="M9974" s="1205"/>
      <c r="N9974" s="1054"/>
      <c r="O9974" s="1207"/>
      <c r="Q9974" s="1207"/>
    </row>
    <row r="9975" spans="3:17" s="700" customFormat="1" ht="70.5" hidden="1" customHeight="1">
      <c r="C9975" s="701"/>
      <c r="D9975" s="811"/>
      <c r="E9975" s="1276">
        <f>[11]building!Y10306</f>
        <v>0</v>
      </c>
      <c r="F9975" s="748">
        <f t="shared" si="394"/>
        <v>0</v>
      </c>
      <c r="G9975" s="1205"/>
      <c r="H9975" s="1055"/>
      <c r="I9975" s="1055"/>
      <c r="J9975" s="1055"/>
      <c r="K9975" s="1205"/>
      <c r="L9975" s="1055"/>
      <c r="M9975" s="1205"/>
      <c r="N9975" s="1054"/>
      <c r="O9975" s="1207"/>
      <c r="Q9975" s="1207"/>
    </row>
    <row r="9976" spans="3:17" s="700" customFormat="1" ht="70.5" hidden="1" customHeight="1">
      <c r="C9976" s="701"/>
      <c r="D9976" s="811"/>
      <c r="E9976" s="1276">
        <f>[11]building!Y10307</f>
        <v>0</v>
      </c>
      <c r="F9976" s="748">
        <f t="shared" si="394"/>
        <v>0</v>
      </c>
      <c r="G9976" s="1205"/>
      <c r="H9976" s="1055"/>
      <c r="I9976" s="1055"/>
      <c r="J9976" s="1055"/>
      <c r="K9976" s="1205"/>
      <c r="L9976" s="1055"/>
      <c r="M9976" s="1205"/>
      <c r="N9976" s="1054"/>
      <c r="O9976" s="1207"/>
      <c r="Q9976" s="1207"/>
    </row>
    <row r="9977" spans="3:17" s="700" customFormat="1" ht="70.5" hidden="1" customHeight="1">
      <c r="C9977" s="701"/>
      <c r="D9977" s="811"/>
      <c r="E9977" s="1276">
        <f>[11]building!Y10308</f>
        <v>0</v>
      </c>
      <c r="F9977" s="748">
        <f t="shared" si="394"/>
        <v>0</v>
      </c>
      <c r="G9977" s="1205"/>
      <c r="H9977" s="1055"/>
      <c r="I9977" s="1055"/>
      <c r="J9977" s="1055"/>
      <c r="K9977" s="1205"/>
      <c r="L9977" s="1055"/>
      <c r="M9977" s="1205"/>
      <c r="N9977" s="1054"/>
      <c r="O9977" s="1207"/>
      <c r="Q9977" s="1207"/>
    </row>
    <row r="9978" spans="3:17" s="700" customFormat="1" ht="70.5" hidden="1" customHeight="1">
      <c r="C9978" s="701"/>
      <c r="D9978" s="811"/>
      <c r="E9978" s="1276">
        <f>[11]building!Y10309</f>
        <v>0</v>
      </c>
      <c r="F9978" s="748">
        <f t="shared" si="394"/>
        <v>0</v>
      </c>
      <c r="G9978" s="1205"/>
      <c r="H9978" s="1055"/>
      <c r="I9978" s="1055"/>
      <c r="J9978" s="1055"/>
      <c r="K9978" s="1205"/>
      <c r="L9978" s="1055"/>
      <c r="M9978" s="1205"/>
      <c r="N9978" s="1054"/>
      <c r="O9978" s="1207"/>
      <c r="Q9978" s="1207"/>
    </row>
    <row r="9979" spans="3:17" s="700" customFormat="1" ht="70.5" hidden="1" customHeight="1">
      <c r="C9979" s="701"/>
      <c r="D9979" s="811"/>
      <c r="E9979" s="1276">
        <f>[11]building!Y10310</f>
        <v>0</v>
      </c>
      <c r="F9979" s="748">
        <f t="shared" si="394"/>
        <v>0</v>
      </c>
      <c r="G9979" s="1205"/>
      <c r="H9979" s="1055"/>
      <c r="I9979" s="1055"/>
      <c r="J9979" s="1055"/>
      <c r="K9979" s="1205"/>
      <c r="L9979" s="1055"/>
      <c r="M9979" s="1205"/>
      <c r="N9979" s="1054"/>
      <c r="O9979" s="1207"/>
      <c r="Q9979" s="1207"/>
    </row>
    <row r="9980" spans="3:17" s="700" customFormat="1" ht="70.5" hidden="1" customHeight="1">
      <c r="C9980" s="701"/>
      <c r="D9980" s="811"/>
      <c r="E9980" s="1276">
        <f>[11]building!Y10311</f>
        <v>0</v>
      </c>
      <c r="F9980" s="748">
        <f t="shared" si="394"/>
        <v>0</v>
      </c>
      <c r="G9980" s="1205"/>
      <c r="H9980" s="1055"/>
      <c r="I9980" s="1055"/>
      <c r="J9980" s="1055"/>
      <c r="K9980" s="1205"/>
      <c r="L9980" s="1055"/>
      <c r="M9980" s="1205"/>
      <c r="N9980" s="1054"/>
      <c r="O9980" s="1207"/>
      <c r="Q9980" s="1207"/>
    </row>
    <row r="9981" spans="3:17" s="700" customFormat="1" ht="70.5" hidden="1" customHeight="1">
      <c r="C9981" s="701"/>
      <c r="D9981" s="811"/>
      <c r="E9981" s="1276">
        <f>[11]building!Y10312</f>
        <v>0</v>
      </c>
      <c r="F9981" s="748">
        <f t="shared" si="394"/>
        <v>0</v>
      </c>
      <c r="G9981" s="1205"/>
      <c r="H9981" s="1055"/>
      <c r="I9981" s="1055"/>
      <c r="J9981" s="1055"/>
      <c r="K9981" s="1205"/>
      <c r="L9981" s="1055"/>
      <c r="M9981" s="1205"/>
      <c r="N9981" s="1054"/>
      <c r="O9981" s="1207"/>
      <c r="Q9981" s="1207"/>
    </row>
    <row r="9982" spans="3:17" s="700" customFormat="1" ht="70.5" hidden="1" customHeight="1">
      <c r="C9982" s="701"/>
      <c r="D9982" s="811"/>
      <c r="E9982" s="1276">
        <f>[11]building!Y10313</f>
        <v>0</v>
      </c>
      <c r="F9982" s="748">
        <f t="shared" si="394"/>
        <v>0</v>
      </c>
      <c r="G9982" s="1205"/>
      <c r="H9982" s="1055"/>
      <c r="I9982" s="1055"/>
      <c r="J9982" s="1055"/>
      <c r="K9982" s="1205"/>
      <c r="L9982" s="1055"/>
      <c r="M9982" s="1205"/>
      <c r="N9982" s="1054"/>
      <c r="O9982" s="1207"/>
      <c r="Q9982" s="1207"/>
    </row>
    <row r="9983" spans="3:17" s="700" customFormat="1" ht="70.5" hidden="1" customHeight="1">
      <c r="C9983" s="701"/>
      <c r="D9983" s="811"/>
      <c r="E9983" s="1276">
        <f>[11]building!Y10314</f>
        <v>0</v>
      </c>
      <c r="F9983" s="748">
        <f t="shared" si="394"/>
        <v>0</v>
      </c>
      <c r="G9983" s="1205"/>
      <c r="H9983" s="1055"/>
      <c r="I9983" s="1055"/>
      <c r="J9983" s="1055"/>
      <c r="K9983" s="1205"/>
      <c r="L9983" s="1055"/>
      <c r="M9983" s="1205"/>
      <c r="N9983" s="1054"/>
      <c r="O9983" s="1207"/>
      <c r="Q9983" s="1207"/>
    </row>
    <row r="9984" spans="3:17" s="700" customFormat="1" ht="70.5" hidden="1" customHeight="1">
      <c r="C9984" s="701"/>
      <c r="D9984" s="811"/>
      <c r="E9984" s="1276">
        <f>[11]building!Y10315</f>
        <v>0</v>
      </c>
      <c r="F9984" s="748">
        <f t="shared" ref="F9984:F10047" si="395">E9984*C9984</f>
        <v>0</v>
      </c>
      <c r="G9984" s="1205"/>
      <c r="H9984" s="1055"/>
      <c r="I9984" s="1055"/>
      <c r="J9984" s="1055"/>
      <c r="K9984" s="1205"/>
      <c r="L9984" s="1055"/>
      <c r="M9984" s="1205"/>
      <c r="N9984" s="1054"/>
      <c r="O9984" s="1207"/>
      <c r="Q9984" s="1207"/>
    </row>
    <row r="9985" spans="3:17" s="700" customFormat="1" ht="70.5" hidden="1" customHeight="1">
      <c r="C9985" s="701"/>
      <c r="D9985" s="811"/>
      <c r="E9985" s="1276">
        <f>[11]building!Y10316</f>
        <v>0</v>
      </c>
      <c r="F9985" s="748">
        <f t="shared" si="395"/>
        <v>0</v>
      </c>
      <c r="G9985" s="1205"/>
      <c r="H9985" s="1055"/>
      <c r="I9985" s="1055"/>
      <c r="J9985" s="1055"/>
      <c r="K9985" s="1205"/>
      <c r="L9985" s="1055"/>
      <c r="M9985" s="1205"/>
      <c r="N9985" s="1054"/>
      <c r="O9985" s="1207"/>
      <c r="Q9985" s="1207"/>
    </row>
    <row r="9986" spans="3:17" s="700" customFormat="1" ht="70.5" hidden="1" customHeight="1">
      <c r="C9986" s="701"/>
      <c r="D9986" s="811"/>
      <c r="E9986" s="1276">
        <f>[11]building!Y10317</f>
        <v>0</v>
      </c>
      <c r="F9986" s="748">
        <f t="shared" si="395"/>
        <v>0</v>
      </c>
      <c r="G9986" s="1205"/>
      <c r="H9986" s="1055"/>
      <c r="I9986" s="1055"/>
      <c r="J9986" s="1055"/>
      <c r="K9986" s="1205"/>
      <c r="L9986" s="1055"/>
      <c r="M9986" s="1205"/>
      <c r="N9986" s="1054"/>
      <c r="O9986" s="1207"/>
      <c r="Q9986" s="1207"/>
    </row>
    <row r="9987" spans="3:17" s="700" customFormat="1" ht="70.5" hidden="1" customHeight="1">
      <c r="C9987" s="701"/>
      <c r="D9987" s="811"/>
      <c r="E9987" s="1276">
        <f>[11]building!Y10318</f>
        <v>0</v>
      </c>
      <c r="F9987" s="748">
        <f t="shared" si="395"/>
        <v>0</v>
      </c>
      <c r="G9987" s="1205"/>
      <c r="H9987" s="1055"/>
      <c r="I9987" s="1055"/>
      <c r="J9987" s="1055"/>
      <c r="K9987" s="1205"/>
      <c r="L9987" s="1055"/>
      <c r="M9987" s="1205"/>
      <c r="N9987" s="1054"/>
      <c r="O9987" s="1207"/>
      <c r="Q9987" s="1207"/>
    </row>
    <row r="9988" spans="3:17" s="700" customFormat="1" ht="70.5" hidden="1" customHeight="1">
      <c r="C9988" s="701"/>
      <c r="D9988" s="811"/>
      <c r="E9988" s="1276">
        <f>[11]building!Y10319</f>
        <v>0</v>
      </c>
      <c r="F9988" s="748">
        <f t="shared" si="395"/>
        <v>0</v>
      </c>
      <c r="G9988" s="1205"/>
      <c r="H9988" s="1055"/>
      <c r="I9988" s="1055"/>
      <c r="J9988" s="1055"/>
      <c r="K9988" s="1205"/>
      <c r="L9988" s="1055"/>
      <c r="M9988" s="1205"/>
      <c r="N9988" s="1054"/>
      <c r="O9988" s="1207"/>
      <c r="Q9988" s="1207"/>
    </row>
    <row r="9989" spans="3:17" s="700" customFormat="1" ht="70.5" hidden="1" customHeight="1">
      <c r="C9989" s="701"/>
      <c r="D9989" s="811"/>
      <c r="E9989" s="1276">
        <f>[11]building!Y10320</f>
        <v>0</v>
      </c>
      <c r="F9989" s="748">
        <f t="shared" si="395"/>
        <v>0</v>
      </c>
      <c r="G9989" s="1205"/>
      <c r="H9989" s="1055"/>
      <c r="I9989" s="1055"/>
      <c r="J9989" s="1055"/>
      <c r="K9989" s="1205"/>
      <c r="L9989" s="1055"/>
      <c r="M9989" s="1205"/>
      <c r="N9989" s="1054"/>
      <c r="O9989" s="1207"/>
      <c r="Q9989" s="1207"/>
    </row>
    <row r="9990" spans="3:17" s="700" customFormat="1" ht="70.5" hidden="1" customHeight="1">
      <c r="C9990" s="701"/>
      <c r="D9990" s="811"/>
      <c r="E9990" s="1276">
        <f>[11]building!Y10321</f>
        <v>0</v>
      </c>
      <c r="F9990" s="748">
        <f t="shared" si="395"/>
        <v>0</v>
      </c>
      <c r="G9990" s="1205"/>
      <c r="H9990" s="1055"/>
      <c r="I9990" s="1055"/>
      <c r="J9990" s="1055"/>
      <c r="K9990" s="1205"/>
      <c r="L9990" s="1055"/>
      <c r="M9990" s="1205"/>
      <c r="N9990" s="1054"/>
      <c r="O9990" s="1207"/>
      <c r="Q9990" s="1207"/>
    </row>
    <row r="9991" spans="3:17" s="700" customFormat="1" ht="70.5" hidden="1" customHeight="1">
      <c r="C9991" s="701"/>
      <c r="D9991" s="811"/>
      <c r="E9991" s="1276">
        <f>[11]building!Y10322</f>
        <v>0</v>
      </c>
      <c r="F9991" s="748">
        <f t="shared" si="395"/>
        <v>0</v>
      </c>
      <c r="G9991" s="1205"/>
      <c r="H9991" s="1055"/>
      <c r="I9991" s="1055"/>
      <c r="J9991" s="1055"/>
      <c r="K9991" s="1205"/>
      <c r="L9991" s="1055"/>
      <c r="M9991" s="1205"/>
      <c r="N9991" s="1054"/>
      <c r="O9991" s="1207"/>
      <c r="Q9991" s="1207"/>
    </row>
    <row r="9992" spans="3:17" s="700" customFormat="1" ht="70.5" hidden="1" customHeight="1">
      <c r="C9992" s="701"/>
      <c r="D9992" s="811"/>
      <c r="E9992" s="1276">
        <f>[11]building!Y10323</f>
        <v>0</v>
      </c>
      <c r="F9992" s="748">
        <f t="shared" si="395"/>
        <v>0</v>
      </c>
      <c r="G9992" s="1205"/>
      <c r="H9992" s="1055"/>
      <c r="I9992" s="1055"/>
      <c r="J9992" s="1055"/>
      <c r="K9992" s="1205"/>
      <c r="L9992" s="1055"/>
      <c r="M9992" s="1205"/>
      <c r="N9992" s="1054"/>
      <c r="O9992" s="1207"/>
      <c r="Q9992" s="1207"/>
    </row>
    <row r="9993" spans="3:17" s="700" customFormat="1" ht="70.5" hidden="1" customHeight="1">
      <c r="C9993" s="701"/>
      <c r="D9993" s="811"/>
      <c r="E9993" s="1276">
        <f>[11]building!Y10324</f>
        <v>0</v>
      </c>
      <c r="F9993" s="748">
        <f t="shared" si="395"/>
        <v>0</v>
      </c>
      <c r="G9993" s="1205"/>
      <c r="H9993" s="1055"/>
      <c r="I9993" s="1055"/>
      <c r="J9993" s="1055"/>
      <c r="K9993" s="1205"/>
      <c r="L9993" s="1055"/>
      <c r="M9993" s="1205"/>
      <c r="N9993" s="1054"/>
      <c r="O9993" s="1207"/>
      <c r="Q9993" s="1207"/>
    </row>
    <row r="9994" spans="3:17" s="700" customFormat="1" ht="70.5" hidden="1" customHeight="1">
      <c r="C9994" s="701"/>
      <c r="D9994" s="811"/>
      <c r="E9994" s="1276">
        <f>[11]building!Y10325</f>
        <v>0</v>
      </c>
      <c r="F9994" s="748">
        <f t="shared" si="395"/>
        <v>0</v>
      </c>
      <c r="G9994" s="1205"/>
      <c r="H9994" s="1055"/>
      <c r="I9994" s="1055"/>
      <c r="J9994" s="1055"/>
      <c r="K9994" s="1205"/>
      <c r="L9994" s="1055"/>
      <c r="M9994" s="1205"/>
      <c r="N9994" s="1054"/>
      <c r="O9994" s="1207"/>
      <c r="Q9994" s="1207"/>
    </row>
    <row r="9995" spans="3:17" s="700" customFormat="1" ht="70.5" hidden="1" customHeight="1">
      <c r="C9995" s="701"/>
      <c r="D9995" s="811"/>
      <c r="E9995" s="1276">
        <f>[11]building!Y10326</f>
        <v>0</v>
      </c>
      <c r="F9995" s="748">
        <f t="shared" si="395"/>
        <v>0</v>
      </c>
      <c r="G9995" s="1205"/>
      <c r="H9995" s="1055"/>
      <c r="I9995" s="1055"/>
      <c r="J9995" s="1055"/>
      <c r="K9995" s="1205"/>
      <c r="L9995" s="1055"/>
      <c r="M9995" s="1205"/>
      <c r="N9995" s="1054"/>
      <c r="O9995" s="1207"/>
      <c r="Q9995" s="1207"/>
    </row>
    <row r="9996" spans="3:17" s="700" customFormat="1" ht="70.5" hidden="1" customHeight="1">
      <c r="C9996" s="701"/>
      <c r="D9996" s="811"/>
      <c r="E9996" s="1276">
        <f>[11]building!Y10327</f>
        <v>0</v>
      </c>
      <c r="F9996" s="748">
        <f t="shared" si="395"/>
        <v>0</v>
      </c>
      <c r="G9996" s="1205"/>
      <c r="H9996" s="1055"/>
      <c r="I9996" s="1055"/>
      <c r="J9996" s="1055"/>
      <c r="K9996" s="1205"/>
      <c r="L9996" s="1055"/>
      <c r="M9996" s="1205"/>
      <c r="N9996" s="1054"/>
      <c r="O9996" s="1207"/>
      <c r="Q9996" s="1207"/>
    </row>
    <row r="9997" spans="3:17" s="700" customFormat="1" ht="70.5" hidden="1" customHeight="1">
      <c r="C9997" s="701"/>
      <c r="D9997" s="811"/>
      <c r="E9997" s="1276">
        <f>[11]building!Y10328</f>
        <v>0</v>
      </c>
      <c r="F9997" s="748">
        <f t="shared" si="395"/>
        <v>0</v>
      </c>
      <c r="G9997" s="1205"/>
      <c r="H9997" s="1055"/>
      <c r="I9997" s="1055"/>
      <c r="J9997" s="1055"/>
      <c r="K9997" s="1205"/>
      <c r="L9997" s="1055"/>
      <c r="M9997" s="1205"/>
      <c r="N9997" s="1054"/>
      <c r="O9997" s="1207"/>
      <c r="Q9997" s="1207"/>
    </row>
    <row r="9998" spans="3:17" s="700" customFormat="1" ht="70.5" hidden="1" customHeight="1">
      <c r="C9998" s="701"/>
      <c r="D9998" s="811"/>
      <c r="E9998" s="1276">
        <f>[11]building!Y10329</f>
        <v>0</v>
      </c>
      <c r="F9998" s="748">
        <f t="shared" si="395"/>
        <v>0</v>
      </c>
      <c r="G9998" s="1205"/>
      <c r="H9998" s="1055"/>
      <c r="I9998" s="1055"/>
      <c r="J9998" s="1055"/>
      <c r="K9998" s="1205"/>
      <c r="L9998" s="1055"/>
      <c r="M9998" s="1205"/>
      <c r="N9998" s="1054"/>
      <c r="O9998" s="1207"/>
      <c r="Q9998" s="1207"/>
    </row>
    <row r="9999" spans="3:17" s="700" customFormat="1" ht="70.5" hidden="1" customHeight="1">
      <c r="C9999" s="701"/>
      <c r="D9999" s="811"/>
      <c r="E9999" s="1276">
        <f>[11]building!Y10330</f>
        <v>0</v>
      </c>
      <c r="F9999" s="748">
        <f t="shared" si="395"/>
        <v>0</v>
      </c>
      <c r="G9999" s="1205"/>
      <c r="H9999" s="1055"/>
      <c r="I9999" s="1055"/>
      <c r="J9999" s="1055"/>
      <c r="K9999" s="1205"/>
      <c r="L9999" s="1055"/>
      <c r="M9999" s="1205"/>
      <c r="N9999" s="1054"/>
      <c r="O9999" s="1207"/>
      <c r="Q9999" s="1207"/>
    </row>
    <row r="10000" spans="3:17" s="700" customFormat="1" ht="70.5" hidden="1" customHeight="1">
      <c r="C10000" s="701"/>
      <c r="D10000" s="811"/>
      <c r="E10000" s="1276">
        <f>[11]building!Y10331</f>
        <v>0</v>
      </c>
      <c r="F10000" s="748">
        <f t="shared" si="395"/>
        <v>0</v>
      </c>
      <c r="G10000" s="1205"/>
      <c r="H10000" s="1055"/>
      <c r="I10000" s="1055"/>
      <c r="J10000" s="1055"/>
      <c r="K10000" s="1205"/>
      <c r="L10000" s="1055"/>
      <c r="M10000" s="1205"/>
      <c r="N10000" s="1054"/>
      <c r="O10000" s="1207"/>
      <c r="Q10000" s="1207"/>
    </row>
    <row r="10001" spans="3:17" s="700" customFormat="1" ht="70.5" hidden="1" customHeight="1">
      <c r="C10001" s="701"/>
      <c r="D10001" s="811"/>
      <c r="E10001" s="1276">
        <f>[11]building!Y10332</f>
        <v>0</v>
      </c>
      <c r="F10001" s="748">
        <f t="shared" si="395"/>
        <v>0</v>
      </c>
      <c r="G10001" s="1205"/>
      <c r="H10001" s="1055"/>
      <c r="I10001" s="1055"/>
      <c r="J10001" s="1055"/>
      <c r="K10001" s="1205"/>
      <c r="L10001" s="1055"/>
      <c r="M10001" s="1205"/>
      <c r="N10001" s="1054"/>
      <c r="O10001" s="1207"/>
      <c r="Q10001" s="1207"/>
    </row>
    <row r="10002" spans="3:17" s="700" customFormat="1" ht="70.5" hidden="1" customHeight="1">
      <c r="C10002" s="701"/>
      <c r="D10002" s="811"/>
      <c r="E10002" s="1276">
        <f>[11]building!Y10333</f>
        <v>0</v>
      </c>
      <c r="F10002" s="748">
        <f t="shared" si="395"/>
        <v>0</v>
      </c>
      <c r="G10002" s="1205"/>
      <c r="H10002" s="1055"/>
      <c r="I10002" s="1055"/>
      <c r="J10002" s="1055"/>
      <c r="K10002" s="1205"/>
      <c r="L10002" s="1055"/>
      <c r="M10002" s="1205"/>
      <c r="N10002" s="1054"/>
      <c r="O10002" s="1207"/>
      <c r="Q10002" s="1207"/>
    </row>
    <row r="10003" spans="3:17" s="700" customFormat="1" ht="70.5" hidden="1" customHeight="1">
      <c r="C10003" s="701"/>
      <c r="D10003" s="811"/>
      <c r="E10003" s="1276">
        <f>[11]building!Y10334</f>
        <v>0</v>
      </c>
      <c r="F10003" s="748">
        <f t="shared" si="395"/>
        <v>0</v>
      </c>
      <c r="G10003" s="1205"/>
      <c r="H10003" s="1055"/>
      <c r="I10003" s="1055"/>
      <c r="J10003" s="1055"/>
      <c r="K10003" s="1205"/>
      <c r="L10003" s="1055"/>
      <c r="M10003" s="1205"/>
      <c r="N10003" s="1054"/>
      <c r="O10003" s="1207"/>
      <c r="Q10003" s="1207"/>
    </row>
    <row r="10004" spans="3:17" s="700" customFormat="1" ht="70.5" hidden="1" customHeight="1">
      <c r="C10004" s="701"/>
      <c r="D10004" s="811"/>
      <c r="E10004" s="1276">
        <f>[11]building!Y10335</f>
        <v>0</v>
      </c>
      <c r="F10004" s="748">
        <f t="shared" si="395"/>
        <v>0</v>
      </c>
      <c r="G10004" s="1205"/>
      <c r="H10004" s="1055"/>
      <c r="I10004" s="1055"/>
      <c r="J10004" s="1055"/>
      <c r="K10004" s="1205"/>
      <c r="L10004" s="1055"/>
      <c r="M10004" s="1205"/>
      <c r="N10004" s="1054"/>
      <c r="O10004" s="1207"/>
      <c r="Q10004" s="1207"/>
    </row>
    <row r="10005" spans="3:17" s="700" customFormat="1" ht="70.5" hidden="1" customHeight="1">
      <c r="C10005" s="701"/>
      <c r="D10005" s="811"/>
      <c r="E10005" s="1276">
        <f>[11]building!Y10336</f>
        <v>0</v>
      </c>
      <c r="F10005" s="748">
        <f t="shared" si="395"/>
        <v>0</v>
      </c>
      <c r="G10005" s="1205"/>
      <c r="H10005" s="1055"/>
      <c r="I10005" s="1055"/>
      <c r="J10005" s="1055"/>
      <c r="K10005" s="1205"/>
      <c r="L10005" s="1055"/>
      <c r="M10005" s="1205"/>
      <c r="N10005" s="1054"/>
      <c r="O10005" s="1207"/>
      <c r="Q10005" s="1207"/>
    </row>
    <row r="10006" spans="3:17" s="700" customFormat="1" ht="70.5" hidden="1" customHeight="1">
      <c r="C10006" s="701"/>
      <c r="D10006" s="811"/>
      <c r="E10006" s="1276">
        <f>[11]building!Y10337</f>
        <v>0</v>
      </c>
      <c r="F10006" s="748">
        <f t="shared" si="395"/>
        <v>0</v>
      </c>
      <c r="G10006" s="1205"/>
      <c r="H10006" s="1055"/>
      <c r="I10006" s="1055"/>
      <c r="J10006" s="1055"/>
      <c r="K10006" s="1205"/>
      <c r="L10006" s="1055"/>
      <c r="M10006" s="1205"/>
      <c r="N10006" s="1054"/>
      <c r="O10006" s="1207"/>
      <c r="Q10006" s="1207"/>
    </row>
    <row r="10007" spans="3:17" s="700" customFormat="1" ht="70.5" hidden="1" customHeight="1">
      <c r="C10007" s="701"/>
      <c r="D10007" s="811"/>
      <c r="E10007" s="1276">
        <f>[11]building!Y10338</f>
        <v>0</v>
      </c>
      <c r="F10007" s="748">
        <f t="shared" si="395"/>
        <v>0</v>
      </c>
      <c r="G10007" s="1205"/>
      <c r="H10007" s="1055"/>
      <c r="I10007" s="1055"/>
      <c r="J10007" s="1055"/>
      <c r="K10007" s="1205"/>
      <c r="L10007" s="1055"/>
      <c r="M10007" s="1205"/>
      <c r="N10007" s="1054"/>
      <c r="O10007" s="1207"/>
      <c r="Q10007" s="1207"/>
    </row>
    <row r="10008" spans="3:17" s="700" customFormat="1" ht="70.5" hidden="1" customHeight="1">
      <c r="C10008" s="701"/>
      <c r="D10008" s="811"/>
      <c r="E10008" s="1276">
        <f>[11]building!Y10339</f>
        <v>0</v>
      </c>
      <c r="F10008" s="748">
        <f t="shared" si="395"/>
        <v>0</v>
      </c>
      <c r="G10008" s="1205"/>
      <c r="H10008" s="1055"/>
      <c r="I10008" s="1055"/>
      <c r="J10008" s="1055"/>
      <c r="K10008" s="1205"/>
      <c r="L10008" s="1055"/>
      <c r="M10008" s="1205"/>
      <c r="N10008" s="1054"/>
      <c r="O10008" s="1207"/>
      <c r="Q10008" s="1207"/>
    </row>
    <row r="10009" spans="3:17" s="700" customFormat="1" ht="70.5" hidden="1" customHeight="1">
      <c r="C10009" s="701"/>
      <c r="D10009" s="811"/>
      <c r="E10009" s="1276">
        <f>[11]building!Y10340</f>
        <v>0</v>
      </c>
      <c r="F10009" s="748">
        <f t="shared" si="395"/>
        <v>0</v>
      </c>
      <c r="G10009" s="1205"/>
      <c r="H10009" s="1055"/>
      <c r="I10009" s="1055"/>
      <c r="J10009" s="1055"/>
      <c r="K10009" s="1205"/>
      <c r="L10009" s="1055"/>
      <c r="M10009" s="1205"/>
      <c r="N10009" s="1054"/>
      <c r="O10009" s="1207"/>
      <c r="Q10009" s="1207"/>
    </row>
    <row r="10010" spans="3:17" s="700" customFormat="1" ht="70.5" hidden="1" customHeight="1">
      <c r="C10010" s="701"/>
      <c r="D10010" s="811"/>
      <c r="E10010" s="1276">
        <f>[11]building!Y10341</f>
        <v>0</v>
      </c>
      <c r="F10010" s="748">
        <f t="shared" si="395"/>
        <v>0</v>
      </c>
      <c r="G10010" s="1205"/>
      <c r="H10010" s="1055"/>
      <c r="I10010" s="1055"/>
      <c r="J10010" s="1055"/>
      <c r="K10010" s="1205"/>
      <c r="L10010" s="1055"/>
      <c r="M10010" s="1205"/>
      <c r="N10010" s="1054"/>
      <c r="O10010" s="1207"/>
      <c r="Q10010" s="1207"/>
    </row>
    <row r="10011" spans="3:17" s="700" customFormat="1" ht="70.5" hidden="1" customHeight="1">
      <c r="C10011" s="701"/>
      <c r="D10011" s="811"/>
      <c r="E10011" s="1276">
        <f>[11]building!Y10342</f>
        <v>0</v>
      </c>
      <c r="F10011" s="748">
        <f t="shared" si="395"/>
        <v>0</v>
      </c>
      <c r="G10011" s="1205"/>
      <c r="H10011" s="1055"/>
      <c r="I10011" s="1055"/>
      <c r="J10011" s="1055"/>
      <c r="K10011" s="1205"/>
      <c r="L10011" s="1055"/>
      <c r="M10011" s="1205"/>
      <c r="N10011" s="1054"/>
      <c r="O10011" s="1207"/>
      <c r="Q10011" s="1207"/>
    </row>
    <row r="10012" spans="3:17" s="700" customFormat="1" ht="70.5" hidden="1" customHeight="1">
      <c r="C10012" s="701"/>
      <c r="D10012" s="811"/>
      <c r="E10012" s="1276">
        <f>[11]building!Y10343</f>
        <v>0</v>
      </c>
      <c r="F10012" s="748">
        <f t="shared" si="395"/>
        <v>0</v>
      </c>
      <c r="G10012" s="1205"/>
      <c r="H10012" s="1055"/>
      <c r="I10012" s="1055"/>
      <c r="J10012" s="1055"/>
      <c r="K10012" s="1205"/>
      <c r="L10012" s="1055"/>
      <c r="M10012" s="1205"/>
      <c r="N10012" s="1054"/>
      <c r="O10012" s="1207"/>
      <c r="Q10012" s="1207"/>
    </row>
    <row r="10013" spans="3:17" s="700" customFormat="1" ht="70.5" hidden="1" customHeight="1">
      <c r="C10013" s="701"/>
      <c r="D10013" s="811"/>
      <c r="E10013" s="1276">
        <f>[11]building!Y10344</f>
        <v>0</v>
      </c>
      <c r="F10013" s="748">
        <f t="shared" si="395"/>
        <v>0</v>
      </c>
      <c r="G10013" s="1205"/>
      <c r="H10013" s="1055"/>
      <c r="I10013" s="1055"/>
      <c r="J10013" s="1055"/>
      <c r="K10013" s="1205"/>
      <c r="L10013" s="1055"/>
      <c r="M10013" s="1205"/>
      <c r="N10013" s="1054"/>
      <c r="O10013" s="1207"/>
      <c r="Q10013" s="1207"/>
    </row>
    <row r="10014" spans="3:17" s="700" customFormat="1" ht="70.5" hidden="1" customHeight="1">
      <c r="C10014" s="701"/>
      <c r="D10014" s="811"/>
      <c r="E10014" s="1276">
        <f>[11]building!Y10345</f>
        <v>0</v>
      </c>
      <c r="F10014" s="748">
        <f t="shared" si="395"/>
        <v>0</v>
      </c>
      <c r="G10014" s="1205"/>
      <c r="H10014" s="1055"/>
      <c r="I10014" s="1055"/>
      <c r="J10014" s="1055"/>
      <c r="K10014" s="1205"/>
      <c r="L10014" s="1055"/>
      <c r="M10014" s="1205"/>
      <c r="N10014" s="1054"/>
      <c r="O10014" s="1207"/>
      <c r="Q10014" s="1207"/>
    </row>
    <row r="10015" spans="3:17" s="700" customFormat="1" ht="70.5" hidden="1" customHeight="1">
      <c r="C10015" s="701"/>
      <c r="D10015" s="811"/>
      <c r="E10015" s="1276">
        <f>[11]building!Y10346</f>
        <v>0</v>
      </c>
      <c r="F10015" s="748">
        <f t="shared" si="395"/>
        <v>0</v>
      </c>
      <c r="G10015" s="1205"/>
      <c r="H10015" s="1055"/>
      <c r="I10015" s="1055"/>
      <c r="J10015" s="1055"/>
      <c r="K10015" s="1205"/>
      <c r="L10015" s="1055"/>
      <c r="M10015" s="1205"/>
      <c r="N10015" s="1054"/>
      <c r="O10015" s="1207"/>
      <c r="Q10015" s="1207"/>
    </row>
    <row r="10016" spans="3:17" s="700" customFormat="1" ht="70.5" hidden="1" customHeight="1">
      <c r="C10016" s="701"/>
      <c r="D10016" s="811"/>
      <c r="E10016" s="1276">
        <f>[11]building!Y10347</f>
        <v>0</v>
      </c>
      <c r="F10016" s="748">
        <f t="shared" si="395"/>
        <v>0</v>
      </c>
      <c r="G10016" s="1205"/>
      <c r="H10016" s="1055"/>
      <c r="I10016" s="1055"/>
      <c r="J10016" s="1055"/>
      <c r="K10016" s="1205"/>
      <c r="L10016" s="1055"/>
      <c r="M10016" s="1205"/>
      <c r="N10016" s="1054"/>
      <c r="O10016" s="1207"/>
      <c r="Q10016" s="1207"/>
    </row>
    <row r="10017" spans="3:17" s="700" customFormat="1" ht="70.5" hidden="1" customHeight="1">
      <c r="C10017" s="701"/>
      <c r="D10017" s="811"/>
      <c r="E10017" s="1276">
        <f>[11]building!Y10348</f>
        <v>0</v>
      </c>
      <c r="F10017" s="748">
        <f t="shared" si="395"/>
        <v>0</v>
      </c>
      <c r="G10017" s="1205"/>
      <c r="H10017" s="1055"/>
      <c r="I10017" s="1055"/>
      <c r="J10017" s="1055"/>
      <c r="K10017" s="1205"/>
      <c r="L10017" s="1055"/>
      <c r="M10017" s="1205"/>
      <c r="N10017" s="1054"/>
      <c r="O10017" s="1207"/>
      <c r="Q10017" s="1207"/>
    </row>
    <row r="10018" spans="3:17" s="700" customFormat="1" ht="70.5" hidden="1" customHeight="1">
      <c r="C10018" s="701"/>
      <c r="D10018" s="811"/>
      <c r="E10018" s="1276">
        <f>[11]building!Y10349</f>
        <v>0</v>
      </c>
      <c r="F10018" s="748">
        <f t="shared" si="395"/>
        <v>0</v>
      </c>
      <c r="G10018" s="1205"/>
      <c r="H10018" s="1055"/>
      <c r="I10018" s="1055"/>
      <c r="J10018" s="1055"/>
      <c r="K10018" s="1205"/>
      <c r="L10018" s="1055"/>
      <c r="M10018" s="1205"/>
      <c r="N10018" s="1054"/>
      <c r="O10018" s="1207"/>
      <c r="Q10018" s="1207"/>
    </row>
    <row r="10019" spans="3:17" s="700" customFormat="1" ht="70.5" hidden="1" customHeight="1">
      <c r="C10019" s="701"/>
      <c r="D10019" s="811"/>
      <c r="E10019" s="1276">
        <f>[11]building!Y10350</f>
        <v>0</v>
      </c>
      <c r="F10019" s="748">
        <f t="shared" si="395"/>
        <v>0</v>
      </c>
      <c r="G10019" s="1205"/>
      <c r="H10019" s="1055"/>
      <c r="I10019" s="1055"/>
      <c r="J10019" s="1055"/>
      <c r="K10019" s="1205"/>
      <c r="L10019" s="1055"/>
      <c r="M10019" s="1205"/>
      <c r="N10019" s="1054"/>
      <c r="O10019" s="1207"/>
      <c r="Q10019" s="1207"/>
    </row>
    <row r="10020" spans="3:17" s="700" customFormat="1" ht="70.5" hidden="1" customHeight="1">
      <c r="C10020" s="701"/>
      <c r="D10020" s="811"/>
      <c r="E10020" s="1276">
        <f>[11]building!Y10351</f>
        <v>0</v>
      </c>
      <c r="F10020" s="748">
        <f t="shared" si="395"/>
        <v>0</v>
      </c>
      <c r="G10020" s="1205"/>
      <c r="H10020" s="1055"/>
      <c r="I10020" s="1055"/>
      <c r="J10020" s="1055"/>
      <c r="K10020" s="1205"/>
      <c r="L10020" s="1055"/>
      <c r="M10020" s="1205"/>
      <c r="N10020" s="1054"/>
      <c r="O10020" s="1207"/>
      <c r="Q10020" s="1207"/>
    </row>
    <row r="10021" spans="3:17" s="700" customFormat="1" ht="70.5" hidden="1" customHeight="1">
      <c r="C10021" s="701"/>
      <c r="D10021" s="811"/>
      <c r="E10021" s="1276">
        <f>[11]building!Y10352</f>
        <v>0</v>
      </c>
      <c r="F10021" s="748">
        <f t="shared" si="395"/>
        <v>0</v>
      </c>
      <c r="G10021" s="1205"/>
      <c r="H10021" s="1055"/>
      <c r="I10021" s="1055"/>
      <c r="J10021" s="1055"/>
      <c r="K10021" s="1205"/>
      <c r="L10021" s="1055"/>
      <c r="M10021" s="1205"/>
      <c r="N10021" s="1054"/>
      <c r="O10021" s="1207"/>
      <c r="Q10021" s="1207"/>
    </row>
    <row r="10022" spans="3:17" s="700" customFormat="1" ht="70.5" hidden="1" customHeight="1">
      <c r="C10022" s="701"/>
      <c r="D10022" s="811"/>
      <c r="E10022" s="1276">
        <f>[11]building!Y10353</f>
        <v>0</v>
      </c>
      <c r="F10022" s="748">
        <f t="shared" si="395"/>
        <v>0</v>
      </c>
      <c r="G10022" s="1205"/>
      <c r="H10022" s="1055"/>
      <c r="I10022" s="1055"/>
      <c r="J10022" s="1055"/>
      <c r="K10022" s="1205"/>
      <c r="L10022" s="1055"/>
      <c r="M10022" s="1205"/>
      <c r="N10022" s="1054"/>
      <c r="O10022" s="1207"/>
      <c r="Q10022" s="1207"/>
    </row>
    <row r="10023" spans="3:17" s="700" customFormat="1" ht="70.5" hidden="1" customHeight="1">
      <c r="C10023" s="701"/>
      <c r="D10023" s="811"/>
      <c r="E10023" s="1276">
        <f>[11]building!Y10354</f>
        <v>0</v>
      </c>
      <c r="F10023" s="748">
        <f t="shared" si="395"/>
        <v>0</v>
      </c>
      <c r="G10023" s="1205"/>
      <c r="H10023" s="1055"/>
      <c r="I10023" s="1055"/>
      <c r="J10023" s="1055"/>
      <c r="K10023" s="1205"/>
      <c r="L10023" s="1055"/>
      <c r="M10023" s="1205"/>
      <c r="N10023" s="1054"/>
      <c r="O10023" s="1207"/>
      <c r="Q10023" s="1207"/>
    </row>
    <row r="10024" spans="3:17" s="700" customFormat="1" ht="70.5" hidden="1" customHeight="1">
      <c r="C10024" s="701"/>
      <c r="D10024" s="811"/>
      <c r="E10024" s="1276">
        <f>[11]building!Y10355</f>
        <v>0</v>
      </c>
      <c r="F10024" s="748">
        <f t="shared" si="395"/>
        <v>0</v>
      </c>
      <c r="G10024" s="1205"/>
      <c r="H10024" s="1055"/>
      <c r="I10024" s="1055"/>
      <c r="J10024" s="1055"/>
      <c r="K10024" s="1205"/>
      <c r="L10024" s="1055"/>
      <c r="M10024" s="1205"/>
      <c r="N10024" s="1054"/>
      <c r="O10024" s="1207"/>
      <c r="Q10024" s="1207"/>
    </row>
    <row r="10025" spans="3:17" s="700" customFormat="1" ht="70.5" hidden="1" customHeight="1">
      <c r="C10025" s="701"/>
      <c r="D10025" s="811"/>
      <c r="E10025" s="1276">
        <f>[11]building!Y10356</f>
        <v>0</v>
      </c>
      <c r="F10025" s="748">
        <f t="shared" si="395"/>
        <v>0</v>
      </c>
      <c r="G10025" s="1205"/>
      <c r="H10025" s="1055"/>
      <c r="I10025" s="1055"/>
      <c r="J10025" s="1055"/>
      <c r="K10025" s="1205"/>
      <c r="L10025" s="1055"/>
      <c r="M10025" s="1205"/>
      <c r="N10025" s="1054"/>
      <c r="O10025" s="1207"/>
      <c r="Q10025" s="1207"/>
    </row>
    <row r="10026" spans="3:17" s="700" customFormat="1" ht="70.5" hidden="1" customHeight="1">
      <c r="C10026" s="701"/>
      <c r="D10026" s="811"/>
      <c r="E10026" s="1276">
        <f>[11]building!Y10357</f>
        <v>0</v>
      </c>
      <c r="F10026" s="748">
        <f t="shared" si="395"/>
        <v>0</v>
      </c>
      <c r="G10026" s="1205"/>
      <c r="H10026" s="1055"/>
      <c r="I10026" s="1055"/>
      <c r="J10026" s="1055"/>
      <c r="K10026" s="1205"/>
      <c r="L10026" s="1055"/>
      <c r="M10026" s="1205"/>
      <c r="N10026" s="1054"/>
      <c r="O10026" s="1207"/>
      <c r="Q10026" s="1207"/>
    </row>
    <row r="10027" spans="3:17" s="700" customFormat="1" ht="70.5" hidden="1" customHeight="1">
      <c r="C10027" s="701"/>
      <c r="D10027" s="811"/>
      <c r="E10027" s="1276">
        <f>[11]building!Y10358</f>
        <v>0</v>
      </c>
      <c r="F10027" s="748">
        <f t="shared" si="395"/>
        <v>0</v>
      </c>
      <c r="G10027" s="1205"/>
      <c r="H10027" s="1055"/>
      <c r="I10027" s="1055"/>
      <c r="J10027" s="1055"/>
      <c r="K10027" s="1205"/>
      <c r="L10027" s="1055"/>
      <c r="M10027" s="1205"/>
      <c r="N10027" s="1054"/>
      <c r="O10027" s="1207"/>
      <c r="Q10027" s="1207"/>
    </row>
    <row r="10028" spans="3:17" s="700" customFormat="1" ht="70.5" hidden="1" customHeight="1">
      <c r="C10028" s="701"/>
      <c r="D10028" s="811"/>
      <c r="E10028" s="1276">
        <f>[11]building!Y10359</f>
        <v>0</v>
      </c>
      <c r="F10028" s="748">
        <f t="shared" si="395"/>
        <v>0</v>
      </c>
      <c r="G10028" s="1205"/>
      <c r="H10028" s="1055"/>
      <c r="I10028" s="1055"/>
      <c r="J10028" s="1055"/>
      <c r="K10028" s="1205"/>
      <c r="L10028" s="1055"/>
      <c r="M10028" s="1205"/>
      <c r="N10028" s="1054"/>
      <c r="O10028" s="1207"/>
      <c r="Q10028" s="1207"/>
    </row>
    <row r="10029" spans="3:17" s="700" customFormat="1" ht="70.5" hidden="1" customHeight="1">
      <c r="C10029" s="701"/>
      <c r="D10029" s="811"/>
      <c r="E10029" s="1276">
        <f>[11]building!Y10360</f>
        <v>0</v>
      </c>
      <c r="F10029" s="748">
        <f t="shared" si="395"/>
        <v>0</v>
      </c>
      <c r="G10029" s="1205"/>
      <c r="H10029" s="1055"/>
      <c r="I10029" s="1055"/>
      <c r="J10029" s="1055"/>
      <c r="K10029" s="1205"/>
      <c r="L10029" s="1055"/>
      <c r="M10029" s="1205"/>
      <c r="N10029" s="1054"/>
      <c r="O10029" s="1207"/>
      <c r="Q10029" s="1207"/>
    </row>
    <row r="10030" spans="3:17" s="700" customFormat="1" ht="70.5" hidden="1" customHeight="1">
      <c r="C10030" s="701"/>
      <c r="D10030" s="811"/>
      <c r="E10030" s="1276">
        <f>[11]building!Y10361</f>
        <v>0</v>
      </c>
      <c r="F10030" s="748">
        <f t="shared" si="395"/>
        <v>0</v>
      </c>
      <c r="G10030" s="1205"/>
      <c r="H10030" s="1055"/>
      <c r="I10030" s="1055"/>
      <c r="J10030" s="1055"/>
      <c r="K10030" s="1205"/>
      <c r="L10030" s="1055"/>
      <c r="M10030" s="1205"/>
      <c r="N10030" s="1054"/>
      <c r="O10030" s="1207"/>
      <c r="Q10030" s="1207"/>
    </row>
    <row r="10031" spans="3:17" s="700" customFormat="1" ht="70.5" hidden="1" customHeight="1">
      <c r="C10031" s="701"/>
      <c r="D10031" s="811"/>
      <c r="E10031" s="1276">
        <f>[11]building!Y10362</f>
        <v>0</v>
      </c>
      <c r="F10031" s="748">
        <f t="shared" si="395"/>
        <v>0</v>
      </c>
      <c r="G10031" s="1205"/>
      <c r="H10031" s="1055"/>
      <c r="I10031" s="1055"/>
      <c r="J10031" s="1055"/>
      <c r="K10031" s="1205"/>
      <c r="L10031" s="1055"/>
      <c r="M10031" s="1205"/>
      <c r="N10031" s="1054"/>
      <c r="O10031" s="1207"/>
      <c r="Q10031" s="1207"/>
    </row>
    <row r="10032" spans="3:17" s="700" customFormat="1" ht="70.5" hidden="1" customHeight="1">
      <c r="C10032" s="701"/>
      <c r="D10032" s="811"/>
      <c r="E10032" s="1276">
        <f>[11]building!Y10363</f>
        <v>0</v>
      </c>
      <c r="F10032" s="748">
        <f t="shared" si="395"/>
        <v>0</v>
      </c>
      <c r="G10032" s="1205"/>
      <c r="H10032" s="1055"/>
      <c r="I10032" s="1055"/>
      <c r="J10032" s="1055"/>
      <c r="K10032" s="1205"/>
      <c r="L10032" s="1055"/>
      <c r="M10032" s="1205"/>
      <c r="N10032" s="1054"/>
      <c r="O10032" s="1207"/>
      <c r="Q10032" s="1207"/>
    </row>
    <row r="10033" spans="3:17" s="700" customFormat="1" ht="70.5" hidden="1" customHeight="1">
      <c r="C10033" s="701"/>
      <c r="D10033" s="811"/>
      <c r="E10033" s="1276">
        <f>[11]building!Y10364</f>
        <v>0</v>
      </c>
      <c r="F10033" s="748">
        <f t="shared" si="395"/>
        <v>0</v>
      </c>
      <c r="G10033" s="1205"/>
      <c r="H10033" s="1055"/>
      <c r="I10033" s="1055"/>
      <c r="J10033" s="1055"/>
      <c r="K10033" s="1205"/>
      <c r="L10033" s="1055"/>
      <c r="M10033" s="1205"/>
      <c r="N10033" s="1054"/>
      <c r="O10033" s="1207"/>
      <c r="Q10033" s="1207"/>
    </row>
    <row r="10034" spans="3:17" s="700" customFormat="1" ht="70.5" hidden="1" customHeight="1">
      <c r="C10034" s="701"/>
      <c r="D10034" s="811"/>
      <c r="E10034" s="1276">
        <f>[11]building!Y10365</f>
        <v>0</v>
      </c>
      <c r="F10034" s="748">
        <f t="shared" si="395"/>
        <v>0</v>
      </c>
      <c r="G10034" s="1205"/>
      <c r="H10034" s="1055"/>
      <c r="I10034" s="1055"/>
      <c r="J10034" s="1055"/>
      <c r="K10034" s="1205"/>
      <c r="L10034" s="1055"/>
      <c r="M10034" s="1205"/>
      <c r="N10034" s="1054"/>
      <c r="O10034" s="1207"/>
      <c r="Q10034" s="1207"/>
    </row>
    <row r="10035" spans="3:17" s="700" customFormat="1" ht="70.5" hidden="1" customHeight="1">
      <c r="C10035" s="701"/>
      <c r="D10035" s="811"/>
      <c r="E10035" s="1276">
        <f>[11]building!Y10366</f>
        <v>0</v>
      </c>
      <c r="F10035" s="748">
        <f t="shared" si="395"/>
        <v>0</v>
      </c>
      <c r="G10035" s="1205"/>
      <c r="H10035" s="1055"/>
      <c r="I10035" s="1055"/>
      <c r="J10035" s="1055"/>
      <c r="K10035" s="1205"/>
      <c r="L10035" s="1055"/>
      <c r="M10035" s="1205"/>
      <c r="N10035" s="1054"/>
      <c r="O10035" s="1207"/>
      <c r="Q10035" s="1207"/>
    </row>
    <row r="10036" spans="3:17" s="700" customFormat="1" ht="70.5" hidden="1" customHeight="1">
      <c r="C10036" s="701"/>
      <c r="D10036" s="811"/>
      <c r="E10036" s="1276">
        <f>[11]building!Y10367</f>
        <v>0</v>
      </c>
      <c r="F10036" s="748">
        <f t="shared" si="395"/>
        <v>0</v>
      </c>
      <c r="G10036" s="1205"/>
      <c r="H10036" s="1055"/>
      <c r="I10036" s="1055"/>
      <c r="J10036" s="1055"/>
      <c r="K10036" s="1205"/>
      <c r="L10036" s="1055"/>
      <c r="M10036" s="1205"/>
      <c r="N10036" s="1054"/>
      <c r="O10036" s="1207"/>
      <c r="Q10036" s="1207"/>
    </row>
    <row r="10037" spans="3:17" s="700" customFormat="1" ht="70.5" hidden="1" customHeight="1">
      <c r="C10037" s="701"/>
      <c r="D10037" s="811"/>
      <c r="E10037" s="1276">
        <f>[11]building!Y10368</f>
        <v>0</v>
      </c>
      <c r="F10037" s="748">
        <f t="shared" si="395"/>
        <v>0</v>
      </c>
      <c r="G10037" s="1205"/>
      <c r="H10037" s="1055"/>
      <c r="I10037" s="1055"/>
      <c r="J10037" s="1055"/>
      <c r="K10037" s="1205"/>
      <c r="L10037" s="1055"/>
      <c r="M10037" s="1205"/>
      <c r="N10037" s="1054"/>
      <c r="O10037" s="1207"/>
      <c r="Q10037" s="1207"/>
    </row>
    <row r="10038" spans="3:17" s="700" customFormat="1" ht="70.5" hidden="1" customHeight="1">
      <c r="C10038" s="701"/>
      <c r="D10038" s="811"/>
      <c r="E10038" s="1276">
        <f>[11]building!Y10369</f>
        <v>0</v>
      </c>
      <c r="F10038" s="748">
        <f t="shared" si="395"/>
        <v>0</v>
      </c>
      <c r="G10038" s="1205"/>
      <c r="H10038" s="1055"/>
      <c r="I10038" s="1055"/>
      <c r="J10038" s="1055"/>
      <c r="K10038" s="1205"/>
      <c r="L10038" s="1055"/>
      <c r="M10038" s="1205"/>
      <c r="N10038" s="1054"/>
      <c r="O10038" s="1207"/>
      <c r="Q10038" s="1207"/>
    </row>
    <row r="10039" spans="3:17" s="700" customFormat="1" ht="70.5" hidden="1" customHeight="1">
      <c r="C10039" s="701"/>
      <c r="D10039" s="811"/>
      <c r="E10039" s="1276">
        <f>[11]building!Y10370</f>
        <v>0</v>
      </c>
      <c r="F10039" s="748">
        <f t="shared" si="395"/>
        <v>0</v>
      </c>
      <c r="G10039" s="1205"/>
      <c r="H10039" s="1055"/>
      <c r="I10039" s="1055"/>
      <c r="J10039" s="1055"/>
      <c r="K10039" s="1205"/>
      <c r="L10039" s="1055"/>
      <c r="M10039" s="1205"/>
      <c r="N10039" s="1054"/>
      <c r="O10039" s="1207"/>
      <c r="Q10039" s="1207"/>
    </row>
    <row r="10040" spans="3:17" s="700" customFormat="1" ht="70.5" hidden="1" customHeight="1">
      <c r="C10040" s="701"/>
      <c r="D10040" s="811"/>
      <c r="E10040" s="1276">
        <f>[11]building!Y10371</f>
        <v>0</v>
      </c>
      <c r="F10040" s="748">
        <f t="shared" si="395"/>
        <v>0</v>
      </c>
      <c r="G10040" s="1205"/>
      <c r="H10040" s="1055"/>
      <c r="I10040" s="1055"/>
      <c r="J10040" s="1055"/>
      <c r="K10040" s="1205"/>
      <c r="L10040" s="1055"/>
      <c r="M10040" s="1205"/>
      <c r="N10040" s="1054"/>
      <c r="O10040" s="1207"/>
      <c r="Q10040" s="1207"/>
    </row>
    <row r="10041" spans="3:17" s="700" customFormat="1" ht="70.5" hidden="1" customHeight="1">
      <c r="C10041" s="701"/>
      <c r="D10041" s="811"/>
      <c r="E10041" s="1276">
        <f>[11]building!Y10372</f>
        <v>0</v>
      </c>
      <c r="F10041" s="748">
        <f t="shared" si="395"/>
        <v>0</v>
      </c>
      <c r="G10041" s="1205"/>
      <c r="H10041" s="1055"/>
      <c r="I10041" s="1055"/>
      <c r="J10041" s="1055"/>
      <c r="K10041" s="1205"/>
      <c r="L10041" s="1055"/>
      <c r="M10041" s="1205"/>
      <c r="N10041" s="1054"/>
      <c r="O10041" s="1207"/>
      <c r="Q10041" s="1207"/>
    </row>
    <row r="10042" spans="3:17" s="700" customFormat="1" ht="70.5" hidden="1" customHeight="1">
      <c r="C10042" s="701"/>
      <c r="D10042" s="811"/>
      <c r="E10042" s="1276">
        <f>[11]building!Y10373</f>
        <v>0</v>
      </c>
      <c r="F10042" s="748">
        <f t="shared" si="395"/>
        <v>0</v>
      </c>
      <c r="G10042" s="1205"/>
      <c r="H10042" s="1055"/>
      <c r="I10042" s="1055"/>
      <c r="J10042" s="1055"/>
      <c r="K10042" s="1205"/>
      <c r="L10042" s="1055"/>
      <c r="M10042" s="1205"/>
      <c r="N10042" s="1054"/>
      <c r="O10042" s="1207"/>
      <c r="Q10042" s="1207"/>
    </row>
    <row r="10043" spans="3:17" s="700" customFormat="1" ht="70.5" hidden="1" customHeight="1">
      <c r="C10043" s="701"/>
      <c r="D10043" s="811"/>
      <c r="E10043" s="1276">
        <f>[11]building!Y10374</f>
        <v>0</v>
      </c>
      <c r="F10043" s="748">
        <f t="shared" si="395"/>
        <v>0</v>
      </c>
      <c r="G10043" s="1205"/>
      <c r="H10043" s="1055"/>
      <c r="I10043" s="1055"/>
      <c r="J10043" s="1055"/>
      <c r="K10043" s="1205"/>
      <c r="L10043" s="1055"/>
      <c r="M10043" s="1205"/>
      <c r="N10043" s="1054"/>
      <c r="O10043" s="1207"/>
      <c r="Q10043" s="1207"/>
    </row>
    <row r="10044" spans="3:17" s="700" customFormat="1" ht="70.5" hidden="1" customHeight="1">
      <c r="C10044" s="701"/>
      <c r="D10044" s="811"/>
      <c r="E10044" s="1276">
        <f>[11]building!Y10375</f>
        <v>0</v>
      </c>
      <c r="F10044" s="748">
        <f t="shared" si="395"/>
        <v>0</v>
      </c>
      <c r="G10044" s="1205"/>
      <c r="H10044" s="1055"/>
      <c r="I10044" s="1055"/>
      <c r="J10044" s="1055"/>
      <c r="K10044" s="1205"/>
      <c r="L10044" s="1055"/>
      <c r="M10044" s="1205"/>
      <c r="N10044" s="1054"/>
      <c r="O10044" s="1207"/>
      <c r="Q10044" s="1207"/>
    </row>
    <row r="10045" spans="3:17" s="700" customFormat="1" ht="70.5" hidden="1" customHeight="1">
      <c r="C10045" s="701"/>
      <c r="D10045" s="811"/>
      <c r="E10045" s="1276">
        <f>[11]building!Y10376</f>
        <v>0</v>
      </c>
      <c r="F10045" s="748">
        <f t="shared" si="395"/>
        <v>0</v>
      </c>
      <c r="G10045" s="1205"/>
      <c r="H10045" s="1055"/>
      <c r="I10045" s="1055"/>
      <c r="J10045" s="1055"/>
      <c r="K10045" s="1205"/>
      <c r="L10045" s="1055"/>
      <c r="M10045" s="1205"/>
      <c r="N10045" s="1054"/>
      <c r="O10045" s="1207"/>
      <c r="Q10045" s="1207"/>
    </row>
    <row r="10046" spans="3:17" s="700" customFormat="1" ht="70.5" hidden="1" customHeight="1">
      <c r="C10046" s="701"/>
      <c r="D10046" s="811"/>
      <c r="E10046" s="1276">
        <f>[11]building!Y10377</f>
        <v>0</v>
      </c>
      <c r="F10046" s="748">
        <f t="shared" si="395"/>
        <v>0</v>
      </c>
      <c r="G10046" s="1205"/>
      <c r="H10046" s="1055"/>
      <c r="I10046" s="1055"/>
      <c r="J10046" s="1055"/>
      <c r="K10046" s="1205"/>
      <c r="L10046" s="1055"/>
      <c r="M10046" s="1205"/>
      <c r="N10046" s="1054"/>
      <c r="O10046" s="1207"/>
      <c r="Q10046" s="1207"/>
    </row>
    <row r="10047" spans="3:17" s="700" customFormat="1" ht="70.5" hidden="1" customHeight="1">
      <c r="C10047" s="701"/>
      <c r="D10047" s="811"/>
      <c r="E10047" s="1276">
        <f>[11]building!Y10378</f>
        <v>0</v>
      </c>
      <c r="F10047" s="748">
        <f t="shared" si="395"/>
        <v>0</v>
      </c>
      <c r="G10047" s="1205"/>
      <c r="H10047" s="1055"/>
      <c r="I10047" s="1055"/>
      <c r="J10047" s="1055"/>
      <c r="K10047" s="1205"/>
      <c r="L10047" s="1055"/>
      <c r="M10047" s="1205"/>
      <c r="N10047" s="1054"/>
      <c r="O10047" s="1207"/>
      <c r="Q10047" s="1207"/>
    </row>
    <row r="10048" spans="3:17" s="700" customFormat="1" ht="70.5" hidden="1" customHeight="1">
      <c r="C10048" s="701"/>
      <c r="D10048" s="811"/>
      <c r="E10048" s="1276">
        <f>[11]building!Y10379</f>
        <v>0</v>
      </c>
      <c r="F10048" s="748">
        <f t="shared" ref="F10048:F10111" si="396">E10048*C10048</f>
        <v>0</v>
      </c>
      <c r="G10048" s="1205"/>
      <c r="H10048" s="1055"/>
      <c r="I10048" s="1055"/>
      <c r="J10048" s="1055"/>
      <c r="K10048" s="1205"/>
      <c r="L10048" s="1055"/>
      <c r="M10048" s="1205"/>
      <c r="N10048" s="1054"/>
      <c r="O10048" s="1207"/>
      <c r="Q10048" s="1207"/>
    </row>
    <row r="10049" spans="3:17" s="700" customFormat="1" ht="70.5" hidden="1" customHeight="1">
      <c r="C10049" s="701"/>
      <c r="D10049" s="811"/>
      <c r="E10049" s="1276">
        <f>[11]building!Y10380</f>
        <v>0</v>
      </c>
      <c r="F10049" s="748">
        <f t="shared" si="396"/>
        <v>0</v>
      </c>
      <c r="G10049" s="1205"/>
      <c r="H10049" s="1055"/>
      <c r="I10049" s="1055"/>
      <c r="J10049" s="1055"/>
      <c r="K10049" s="1205"/>
      <c r="L10049" s="1055"/>
      <c r="M10049" s="1205"/>
      <c r="N10049" s="1054"/>
      <c r="O10049" s="1207"/>
      <c r="Q10049" s="1207"/>
    </row>
    <row r="10050" spans="3:17" s="700" customFormat="1" ht="70.5" hidden="1" customHeight="1">
      <c r="C10050" s="701"/>
      <c r="D10050" s="811"/>
      <c r="E10050" s="1276">
        <f>[11]building!Y10381</f>
        <v>0</v>
      </c>
      <c r="F10050" s="748">
        <f t="shared" si="396"/>
        <v>0</v>
      </c>
      <c r="G10050" s="1205"/>
      <c r="H10050" s="1055"/>
      <c r="I10050" s="1055"/>
      <c r="J10050" s="1055"/>
      <c r="K10050" s="1205"/>
      <c r="L10050" s="1055"/>
      <c r="M10050" s="1205"/>
      <c r="N10050" s="1054"/>
      <c r="O10050" s="1207"/>
      <c r="Q10050" s="1207"/>
    </row>
    <row r="10051" spans="3:17" s="700" customFormat="1" ht="70.5" hidden="1" customHeight="1">
      <c r="C10051" s="701"/>
      <c r="D10051" s="811"/>
      <c r="E10051" s="1276">
        <f>[11]building!Y10382</f>
        <v>0</v>
      </c>
      <c r="F10051" s="748">
        <f t="shared" si="396"/>
        <v>0</v>
      </c>
      <c r="G10051" s="1205"/>
      <c r="H10051" s="1055"/>
      <c r="I10051" s="1055"/>
      <c r="J10051" s="1055"/>
      <c r="K10051" s="1205"/>
      <c r="L10051" s="1055"/>
      <c r="M10051" s="1205"/>
      <c r="N10051" s="1054"/>
      <c r="O10051" s="1207"/>
      <c r="Q10051" s="1207"/>
    </row>
    <row r="10052" spans="3:17" s="700" customFormat="1" ht="70.5" hidden="1" customHeight="1">
      <c r="C10052" s="701"/>
      <c r="D10052" s="811"/>
      <c r="E10052" s="1276">
        <f>[11]building!Y10383</f>
        <v>0</v>
      </c>
      <c r="F10052" s="748">
        <f t="shared" si="396"/>
        <v>0</v>
      </c>
      <c r="G10052" s="1205"/>
      <c r="H10052" s="1055"/>
      <c r="I10052" s="1055"/>
      <c r="J10052" s="1055"/>
      <c r="K10052" s="1205"/>
      <c r="L10052" s="1055"/>
      <c r="M10052" s="1205"/>
      <c r="N10052" s="1054"/>
      <c r="O10052" s="1207"/>
      <c r="Q10052" s="1207"/>
    </row>
    <row r="10053" spans="3:17" s="700" customFormat="1" ht="70.5" hidden="1" customHeight="1">
      <c r="C10053" s="701"/>
      <c r="D10053" s="811"/>
      <c r="E10053" s="1276">
        <f>[11]building!Y10384</f>
        <v>0</v>
      </c>
      <c r="F10053" s="748">
        <f t="shared" si="396"/>
        <v>0</v>
      </c>
      <c r="G10053" s="1205"/>
      <c r="H10053" s="1055"/>
      <c r="I10053" s="1055"/>
      <c r="J10053" s="1055"/>
      <c r="K10053" s="1205"/>
      <c r="L10053" s="1055"/>
      <c r="M10053" s="1205"/>
      <c r="N10053" s="1054"/>
      <c r="O10053" s="1207"/>
      <c r="Q10053" s="1207"/>
    </row>
    <row r="10054" spans="3:17" s="700" customFormat="1" ht="70.5" hidden="1" customHeight="1">
      <c r="C10054" s="701"/>
      <c r="D10054" s="811"/>
      <c r="E10054" s="1276">
        <f>[11]building!Y10385</f>
        <v>0</v>
      </c>
      <c r="F10054" s="748">
        <f t="shared" si="396"/>
        <v>0</v>
      </c>
      <c r="G10054" s="1205"/>
      <c r="H10054" s="1055"/>
      <c r="I10054" s="1055"/>
      <c r="J10054" s="1055"/>
      <c r="K10054" s="1205"/>
      <c r="L10054" s="1055"/>
      <c r="M10054" s="1205"/>
      <c r="N10054" s="1054"/>
      <c r="O10054" s="1207"/>
      <c r="Q10054" s="1207"/>
    </row>
    <row r="10055" spans="3:17" s="700" customFormat="1" ht="70.5" hidden="1" customHeight="1">
      <c r="C10055" s="701"/>
      <c r="D10055" s="811"/>
      <c r="E10055" s="1276">
        <f>[11]building!Y10386</f>
        <v>0</v>
      </c>
      <c r="F10055" s="748">
        <f t="shared" si="396"/>
        <v>0</v>
      </c>
      <c r="G10055" s="1205"/>
      <c r="H10055" s="1055"/>
      <c r="I10055" s="1055"/>
      <c r="J10055" s="1055"/>
      <c r="K10055" s="1205"/>
      <c r="L10055" s="1055"/>
      <c r="M10055" s="1205"/>
      <c r="N10055" s="1054"/>
      <c r="O10055" s="1207"/>
      <c r="Q10055" s="1207"/>
    </row>
    <row r="10056" spans="3:17" s="700" customFormat="1" ht="70.5" hidden="1" customHeight="1">
      <c r="C10056" s="701"/>
      <c r="D10056" s="811"/>
      <c r="E10056" s="1276">
        <f>[11]building!Y10387</f>
        <v>0</v>
      </c>
      <c r="F10056" s="748">
        <f t="shared" si="396"/>
        <v>0</v>
      </c>
      <c r="G10056" s="1205"/>
      <c r="H10056" s="1055"/>
      <c r="I10056" s="1055"/>
      <c r="J10056" s="1055"/>
      <c r="K10056" s="1205"/>
      <c r="L10056" s="1055"/>
      <c r="M10056" s="1205"/>
      <c r="N10056" s="1054"/>
      <c r="O10056" s="1207"/>
      <c r="Q10056" s="1207"/>
    </row>
    <row r="10057" spans="3:17" s="700" customFormat="1" ht="70.5" hidden="1" customHeight="1">
      <c r="C10057" s="701"/>
      <c r="D10057" s="811"/>
      <c r="E10057" s="1276">
        <f>[11]building!Y10388</f>
        <v>0</v>
      </c>
      <c r="F10057" s="748">
        <f t="shared" si="396"/>
        <v>0</v>
      </c>
      <c r="G10057" s="1205"/>
      <c r="H10057" s="1055"/>
      <c r="I10057" s="1055"/>
      <c r="J10057" s="1055"/>
      <c r="K10057" s="1205"/>
      <c r="L10057" s="1055"/>
      <c r="M10057" s="1205"/>
      <c r="N10057" s="1054"/>
      <c r="O10057" s="1207"/>
      <c r="Q10057" s="1207"/>
    </row>
    <row r="10058" spans="3:17" s="700" customFormat="1" ht="70.5" hidden="1" customHeight="1">
      <c r="C10058" s="701"/>
      <c r="D10058" s="811"/>
      <c r="E10058" s="1276">
        <f>[11]building!Y10389</f>
        <v>0</v>
      </c>
      <c r="F10058" s="748">
        <f t="shared" si="396"/>
        <v>0</v>
      </c>
      <c r="G10058" s="1205"/>
      <c r="H10058" s="1055"/>
      <c r="I10058" s="1055"/>
      <c r="J10058" s="1055"/>
      <c r="K10058" s="1205"/>
      <c r="L10058" s="1055"/>
      <c r="M10058" s="1205"/>
      <c r="N10058" s="1054"/>
      <c r="O10058" s="1207"/>
      <c r="Q10058" s="1207"/>
    </row>
    <row r="10059" spans="3:17" s="700" customFormat="1" ht="70.5" hidden="1" customHeight="1">
      <c r="C10059" s="701"/>
      <c r="D10059" s="811"/>
      <c r="E10059" s="1276">
        <f>[11]building!Y10390</f>
        <v>0</v>
      </c>
      <c r="F10059" s="748">
        <f t="shared" si="396"/>
        <v>0</v>
      </c>
      <c r="G10059" s="1205"/>
      <c r="H10059" s="1055"/>
      <c r="I10059" s="1055"/>
      <c r="J10059" s="1055"/>
      <c r="K10059" s="1205"/>
      <c r="L10059" s="1055"/>
      <c r="M10059" s="1205"/>
      <c r="N10059" s="1054"/>
      <c r="O10059" s="1207"/>
      <c r="Q10059" s="1207"/>
    </row>
    <row r="10060" spans="3:17" s="700" customFormat="1" ht="70.5" hidden="1" customHeight="1">
      <c r="C10060" s="701"/>
      <c r="D10060" s="811"/>
      <c r="E10060" s="1276">
        <f>[11]building!Y10391</f>
        <v>0</v>
      </c>
      <c r="F10060" s="748">
        <f t="shared" si="396"/>
        <v>0</v>
      </c>
      <c r="G10060" s="1205"/>
      <c r="H10060" s="1055"/>
      <c r="I10060" s="1055"/>
      <c r="J10060" s="1055"/>
      <c r="K10060" s="1205"/>
      <c r="L10060" s="1055"/>
      <c r="M10060" s="1205"/>
      <c r="N10060" s="1054"/>
      <c r="O10060" s="1207"/>
      <c r="Q10060" s="1207"/>
    </row>
    <row r="10061" spans="3:17" s="700" customFormat="1" ht="70.5" hidden="1" customHeight="1">
      <c r="C10061" s="701"/>
      <c r="D10061" s="811"/>
      <c r="E10061" s="1276">
        <f>[11]building!Y10392</f>
        <v>0</v>
      </c>
      <c r="F10061" s="748">
        <f t="shared" si="396"/>
        <v>0</v>
      </c>
      <c r="G10061" s="1205"/>
      <c r="H10061" s="1055"/>
      <c r="I10061" s="1055"/>
      <c r="J10061" s="1055"/>
      <c r="K10061" s="1205"/>
      <c r="L10061" s="1055"/>
      <c r="M10061" s="1205"/>
      <c r="N10061" s="1054"/>
      <c r="O10061" s="1207"/>
      <c r="Q10061" s="1207"/>
    </row>
    <row r="10062" spans="3:17" s="700" customFormat="1" ht="70.5" hidden="1" customHeight="1">
      <c r="C10062" s="701"/>
      <c r="D10062" s="811"/>
      <c r="E10062" s="1276">
        <f>[11]building!Y10393</f>
        <v>0</v>
      </c>
      <c r="F10062" s="748">
        <f t="shared" si="396"/>
        <v>0</v>
      </c>
      <c r="G10062" s="1205"/>
      <c r="H10062" s="1055"/>
      <c r="I10062" s="1055"/>
      <c r="J10062" s="1055"/>
      <c r="K10062" s="1205"/>
      <c r="L10062" s="1055"/>
      <c r="M10062" s="1205"/>
      <c r="N10062" s="1054"/>
      <c r="O10062" s="1207"/>
      <c r="Q10062" s="1207"/>
    </row>
    <row r="10063" spans="3:17" s="700" customFormat="1" ht="70.5" hidden="1" customHeight="1">
      <c r="C10063" s="701"/>
      <c r="D10063" s="811"/>
      <c r="E10063" s="1276">
        <f>[11]building!Y10394</f>
        <v>0</v>
      </c>
      <c r="F10063" s="748">
        <f t="shared" si="396"/>
        <v>0</v>
      </c>
      <c r="G10063" s="1205"/>
      <c r="H10063" s="1055"/>
      <c r="I10063" s="1055"/>
      <c r="J10063" s="1055"/>
      <c r="K10063" s="1205"/>
      <c r="L10063" s="1055"/>
      <c r="M10063" s="1205"/>
      <c r="N10063" s="1054"/>
      <c r="O10063" s="1207"/>
      <c r="Q10063" s="1207"/>
    </row>
    <row r="10064" spans="3:17" s="700" customFormat="1" ht="70.5" hidden="1" customHeight="1">
      <c r="C10064" s="701"/>
      <c r="D10064" s="811"/>
      <c r="E10064" s="1276">
        <f>[11]building!Y10395</f>
        <v>0</v>
      </c>
      <c r="F10064" s="748">
        <f t="shared" si="396"/>
        <v>0</v>
      </c>
      <c r="G10064" s="1205"/>
      <c r="H10064" s="1055"/>
      <c r="I10064" s="1055"/>
      <c r="J10064" s="1055"/>
      <c r="K10064" s="1205"/>
      <c r="L10064" s="1055"/>
      <c r="M10064" s="1205"/>
      <c r="N10064" s="1054"/>
      <c r="O10064" s="1207"/>
      <c r="Q10064" s="1207"/>
    </row>
    <row r="10065" spans="3:17" s="700" customFormat="1" ht="70.5" hidden="1" customHeight="1">
      <c r="C10065" s="701"/>
      <c r="D10065" s="811"/>
      <c r="E10065" s="1276">
        <f>[11]building!Y10396</f>
        <v>0</v>
      </c>
      <c r="F10065" s="748">
        <f t="shared" si="396"/>
        <v>0</v>
      </c>
      <c r="G10065" s="1205"/>
      <c r="H10065" s="1055"/>
      <c r="I10065" s="1055"/>
      <c r="J10065" s="1055"/>
      <c r="K10065" s="1205"/>
      <c r="L10065" s="1055"/>
      <c r="M10065" s="1205"/>
      <c r="N10065" s="1054"/>
      <c r="O10065" s="1207"/>
      <c r="Q10065" s="1207"/>
    </row>
    <row r="10066" spans="3:17" s="700" customFormat="1" ht="70.5" hidden="1" customHeight="1">
      <c r="C10066" s="701"/>
      <c r="D10066" s="811"/>
      <c r="E10066" s="1276">
        <f>[11]building!Y10397</f>
        <v>0</v>
      </c>
      <c r="F10066" s="748">
        <f t="shared" si="396"/>
        <v>0</v>
      </c>
      <c r="G10066" s="1205"/>
      <c r="H10066" s="1055"/>
      <c r="I10066" s="1055"/>
      <c r="J10066" s="1055"/>
      <c r="K10066" s="1205"/>
      <c r="L10066" s="1055"/>
      <c r="M10066" s="1205"/>
      <c r="N10066" s="1054"/>
      <c r="O10066" s="1207"/>
      <c r="Q10066" s="1207"/>
    </row>
    <row r="10067" spans="3:17" s="700" customFormat="1" ht="70.5" hidden="1" customHeight="1">
      <c r="C10067" s="701"/>
      <c r="D10067" s="811"/>
      <c r="E10067" s="1276">
        <f>[11]building!Y10398</f>
        <v>0</v>
      </c>
      <c r="F10067" s="748">
        <f t="shared" si="396"/>
        <v>0</v>
      </c>
      <c r="G10067" s="1205"/>
      <c r="H10067" s="1055"/>
      <c r="I10067" s="1055"/>
      <c r="J10067" s="1055"/>
      <c r="K10067" s="1205"/>
      <c r="L10067" s="1055"/>
      <c r="M10067" s="1205"/>
      <c r="N10067" s="1054"/>
      <c r="O10067" s="1207"/>
      <c r="Q10067" s="1207"/>
    </row>
    <row r="10068" spans="3:17" s="700" customFormat="1" ht="70.5" hidden="1" customHeight="1">
      <c r="C10068" s="701"/>
      <c r="D10068" s="811"/>
      <c r="E10068" s="1276">
        <f>[11]building!Y10399</f>
        <v>0</v>
      </c>
      <c r="F10068" s="748">
        <f t="shared" si="396"/>
        <v>0</v>
      </c>
      <c r="G10068" s="1205"/>
      <c r="H10068" s="1055"/>
      <c r="I10068" s="1055"/>
      <c r="J10068" s="1055"/>
      <c r="K10068" s="1205"/>
      <c r="L10068" s="1055"/>
      <c r="M10068" s="1205"/>
      <c r="N10068" s="1054"/>
      <c r="O10068" s="1207"/>
      <c r="Q10068" s="1207"/>
    </row>
    <row r="10069" spans="3:17" s="700" customFormat="1" ht="70.5" hidden="1" customHeight="1">
      <c r="C10069" s="701"/>
      <c r="D10069" s="811"/>
      <c r="E10069" s="1276">
        <f>[11]building!Y10400</f>
        <v>0</v>
      </c>
      <c r="F10069" s="748">
        <f t="shared" si="396"/>
        <v>0</v>
      </c>
      <c r="G10069" s="1205"/>
      <c r="H10069" s="1055"/>
      <c r="I10069" s="1055"/>
      <c r="J10069" s="1055"/>
      <c r="K10069" s="1205"/>
      <c r="L10069" s="1055"/>
      <c r="M10069" s="1205"/>
      <c r="N10069" s="1054"/>
      <c r="O10069" s="1207"/>
      <c r="Q10069" s="1207"/>
    </row>
    <row r="10070" spans="3:17" s="700" customFormat="1" ht="70.5" hidden="1" customHeight="1">
      <c r="C10070" s="701"/>
      <c r="D10070" s="811"/>
      <c r="E10070" s="1276">
        <f>[11]building!Y10401</f>
        <v>0</v>
      </c>
      <c r="F10070" s="748">
        <f t="shared" si="396"/>
        <v>0</v>
      </c>
      <c r="G10070" s="1205"/>
      <c r="H10070" s="1055"/>
      <c r="I10070" s="1055"/>
      <c r="J10070" s="1055"/>
      <c r="K10070" s="1205"/>
      <c r="L10070" s="1055"/>
      <c r="M10070" s="1205"/>
      <c r="N10070" s="1054"/>
      <c r="O10070" s="1207"/>
      <c r="Q10070" s="1207"/>
    </row>
    <row r="10071" spans="3:17" s="700" customFormat="1" ht="70.5" hidden="1" customHeight="1">
      <c r="C10071" s="701"/>
      <c r="D10071" s="811"/>
      <c r="E10071" s="1276">
        <f>[11]building!Y10402</f>
        <v>0</v>
      </c>
      <c r="F10071" s="748">
        <f t="shared" si="396"/>
        <v>0</v>
      </c>
      <c r="G10071" s="1205"/>
      <c r="H10071" s="1055"/>
      <c r="I10071" s="1055"/>
      <c r="J10071" s="1055"/>
      <c r="K10071" s="1205"/>
      <c r="L10071" s="1055"/>
      <c r="M10071" s="1205"/>
      <c r="N10071" s="1054"/>
      <c r="O10071" s="1207"/>
      <c r="Q10071" s="1207"/>
    </row>
    <row r="10072" spans="3:17" s="700" customFormat="1" ht="70.5" hidden="1" customHeight="1">
      <c r="C10072" s="701"/>
      <c r="D10072" s="811"/>
      <c r="E10072" s="1276">
        <f>[11]building!Y10403</f>
        <v>0</v>
      </c>
      <c r="F10072" s="748">
        <f t="shared" si="396"/>
        <v>0</v>
      </c>
      <c r="G10072" s="1205"/>
      <c r="H10072" s="1055"/>
      <c r="I10072" s="1055"/>
      <c r="J10072" s="1055"/>
      <c r="K10072" s="1205"/>
      <c r="L10072" s="1055"/>
      <c r="M10072" s="1205"/>
      <c r="N10072" s="1054"/>
      <c r="O10072" s="1207"/>
      <c r="Q10072" s="1207"/>
    </row>
    <row r="10073" spans="3:17" s="700" customFormat="1" ht="70.5" hidden="1" customHeight="1">
      <c r="C10073" s="701"/>
      <c r="D10073" s="811"/>
      <c r="E10073" s="1276">
        <f>[11]building!Y10404</f>
        <v>0</v>
      </c>
      <c r="F10073" s="748">
        <f t="shared" si="396"/>
        <v>0</v>
      </c>
      <c r="G10073" s="1205"/>
      <c r="H10073" s="1055"/>
      <c r="I10073" s="1055"/>
      <c r="J10073" s="1055"/>
      <c r="K10073" s="1205"/>
      <c r="L10073" s="1055"/>
      <c r="M10073" s="1205"/>
      <c r="N10073" s="1054"/>
      <c r="O10073" s="1207"/>
      <c r="Q10073" s="1207"/>
    </row>
    <row r="10074" spans="3:17" s="700" customFormat="1" ht="70.5" hidden="1" customHeight="1">
      <c r="C10074" s="701"/>
      <c r="D10074" s="811"/>
      <c r="E10074" s="1276">
        <f>[11]building!Y10405</f>
        <v>0</v>
      </c>
      <c r="F10074" s="748">
        <f t="shared" si="396"/>
        <v>0</v>
      </c>
      <c r="G10074" s="1205"/>
      <c r="H10074" s="1055"/>
      <c r="I10074" s="1055"/>
      <c r="J10074" s="1055"/>
      <c r="K10074" s="1205"/>
      <c r="L10074" s="1055"/>
      <c r="M10074" s="1205"/>
      <c r="N10074" s="1054"/>
      <c r="O10074" s="1207"/>
      <c r="Q10074" s="1207"/>
    </row>
    <row r="10075" spans="3:17" s="700" customFormat="1" ht="70.5" hidden="1" customHeight="1">
      <c r="C10075" s="701"/>
      <c r="D10075" s="811"/>
      <c r="E10075" s="1276">
        <f>[11]building!Y10406</f>
        <v>0</v>
      </c>
      <c r="F10075" s="748">
        <f t="shared" si="396"/>
        <v>0</v>
      </c>
      <c r="G10075" s="1205"/>
      <c r="H10075" s="1055"/>
      <c r="I10075" s="1055"/>
      <c r="J10075" s="1055"/>
      <c r="K10075" s="1205"/>
      <c r="L10075" s="1055"/>
      <c r="M10075" s="1205"/>
      <c r="N10075" s="1054"/>
      <c r="O10075" s="1207"/>
      <c r="Q10075" s="1207"/>
    </row>
    <row r="10076" spans="3:17" s="700" customFormat="1" ht="70.5" hidden="1" customHeight="1">
      <c r="C10076" s="701"/>
      <c r="D10076" s="811"/>
      <c r="E10076" s="1276">
        <f>[11]building!Y10407</f>
        <v>0</v>
      </c>
      <c r="F10076" s="748">
        <f t="shared" si="396"/>
        <v>0</v>
      </c>
      <c r="G10076" s="1205"/>
      <c r="H10076" s="1055"/>
      <c r="I10076" s="1055"/>
      <c r="J10076" s="1055"/>
      <c r="K10076" s="1205"/>
      <c r="L10076" s="1055"/>
      <c r="M10076" s="1205"/>
      <c r="N10076" s="1054"/>
      <c r="O10076" s="1207"/>
      <c r="Q10076" s="1207"/>
    </row>
    <row r="10077" spans="3:17" s="700" customFormat="1" ht="70.5" hidden="1" customHeight="1">
      <c r="C10077" s="701"/>
      <c r="D10077" s="811"/>
      <c r="E10077" s="1276">
        <f>[11]building!Y10408</f>
        <v>0</v>
      </c>
      <c r="F10077" s="748">
        <f t="shared" si="396"/>
        <v>0</v>
      </c>
      <c r="G10077" s="1205"/>
      <c r="H10077" s="1055"/>
      <c r="I10077" s="1055"/>
      <c r="J10077" s="1055"/>
      <c r="K10077" s="1205"/>
      <c r="L10077" s="1055"/>
      <c r="M10077" s="1205"/>
      <c r="N10077" s="1054"/>
      <c r="O10077" s="1207"/>
      <c r="Q10077" s="1207"/>
    </row>
    <row r="10078" spans="3:17" s="700" customFormat="1" ht="70.5" hidden="1" customHeight="1">
      <c r="C10078" s="701"/>
      <c r="D10078" s="811"/>
      <c r="E10078" s="1276">
        <f>[11]building!Y10409</f>
        <v>0</v>
      </c>
      <c r="F10078" s="748">
        <f t="shared" si="396"/>
        <v>0</v>
      </c>
      <c r="G10078" s="1205"/>
      <c r="H10078" s="1055"/>
      <c r="I10078" s="1055"/>
      <c r="J10078" s="1055"/>
      <c r="K10078" s="1205"/>
      <c r="L10078" s="1055"/>
      <c r="M10078" s="1205"/>
      <c r="N10078" s="1054"/>
      <c r="O10078" s="1207"/>
      <c r="Q10078" s="1207"/>
    </row>
    <row r="10079" spans="3:17" s="700" customFormat="1" ht="70.5" hidden="1" customHeight="1">
      <c r="C10079" s="701"/>
      <c r="D10079" s="811"/>
      <c r="E10079" s="1276">
        <f>[11]building!Y10410</f>
        <v>0</v>
      </c>
      <c r="F10079" s="748">
        <f t="shared" si="396"/>
        <v>0</v>
      </c>
      <c r="G10079" s="1205"/>
      <c r="H10079" s="1055"/>
      <c r="I10079" s="1055"/>
      <c r="J10079" s="1055"/>
      <c r="K10079" s="1205"/>
      <c r="L10079" s="1055"/>
      <c r="M10079" s="1205"/>
      <c r="N10079" s="1054"/>
      <c r="O10079" s="1207"/>
      <c r="Q10079" s="1207"/>
    </row>
    <row r="10080" spans="3:17" s="700" customFormat="1" ht="70.5" hidden="1" customHeight="1">
      <c r="C10080" s="701"/>
      <c r="D10080" s="811"/>
      <c r="E10080" s="1276">
        <f>[11]building!Y10411</f>
        <v>0</v>
      </c>
      <c r="F10080" s="748">
        <f t="shared" si="396"/>
        <v>0</v>
      </c>
      <c r="G10080" s="1205"/>
      <c r="H10080" s="1055"/>
      <c r="I10080" s="1055"/>
      <c r="J10080" s="1055"/>
      <c r="K10080" s="1205"/>
      <c r="L10080" s="1055"/>
      <c r="M10080" s="1205"/>
      <c r="N10080" s="1054"/>
      <c r="O10080" s="1207"/>
      <c r="Q10080" s="1207"/>
    </row>
    <row r="10081" spans="3:17" s="700" customFormat="1" ht="70.5" hidden="1" customHeight="1">
      <c r="C10081" s="701"/>
      <c r="D10081" s="811"/>
      <c r="E10081" s="1276">
        <f>[11]building!Y10412</f>
        <v>0</v>
      </c>
      <c r="F10081" s="748">
        <f t="shared" si="396"/>
        <v>0</v>
      </c>
      <c r="G10081" s="1205"/>
      <c r="H10081" s="1055"/>
      <c r="I10081" s="1055"/>
      <c r="J10081" s="1055"/>
      <c r="K10081" s="1205"/>
      <c r="L10081" s="1055"/>
      <c r="M10081" s="1205"/>
      <c r="N10081" s="1054"/>
      <c r="O10081" s="1207"/>
      <c r="Q10081" s="1207"/>
    </row>
    <row r="10082" spans="3:17" s="700" customFormat="1" ht="70.5" hidden="1" customHeight="1">
      <c r="C10082" s="701"/>
      <c r="D10082" s="811"/>
      <c r="E10082" s="1276">
        <f>[11]building!Y10413</f>
        <v>0</v>
      </c>
      <c r="F10082" s="748">
        <f t="shared" si="396"/>
        <v>0</v>
      </c>
      <c r="G10082" s="1205"/>
      <c r="H10082" s="1055"/>
      <c r="I10082" s="1055"/>
      <c r="J10082" s="1055"/>
      <c r="K10082" s="1205"/>
      <c r="L10082" s="1055"/>
      <c r="M10082" s="1205"/>
      <c r="N10082" s="1054"/>
      <c r="O10082" s="1207"/>
      <c r="Q10082" s="1207"/>
    </row>
    <row r="10083" spans="3:17" s="700" customFormat="1" ht="70.5" hidden="1" customHeight="1">
      <c r="C10083" s="701"/>
      <c r="D10083" s="811"/>
      <c r="E10083" s="1276">
        <f>[11]building!Y10414</f>
        <v>0</v>
      </c>
      <c r="F10083" s="748">
        <f t="shared" si="396"/>
        <v>0</v>
      </c>
      <c r="G10083" s="1205"/>
      <c r="H10083" s="1055"/>
      <c r="I10083" s="1055"/>
      <c r="J10083" s="1055"/>
      <c r="K10083" s="1205"/>
      <c r="L10083" s="1055"/>
      <c r="M10083" s="1205"/>
      <c r="N10083" s="1054"/>
      <c r="O10083" s="1207"/>
      <c r="Q10083" s="1207"/>
    </row>
    <row r="10084" spans="3:17" s="700" customFormat="1" ht="70.5" hidden="1" customHeight="1">
      <c r="C10084" s="701"/>
      <c r="D10084" s="811"/>
      <c r="E10084" s="1276">
        <f>[11]building!Y10415</f>
        <v>0</v>
      </c>
      <c r="F10084" s="748">
        <f t="shared" si="396"/>
        <v>0</v>
      </c>
      <c r="G10084" s="1205"/>
      <c r="H10084" s="1055"/>
      <c r="I10084" s="1055"/>
      <c r="J10084" s="1055"/>
      <c r="K10084" s="1205"/>
      <c r="L10084" s="1055"/>
      <c r="M10084" s="1205"/>
      <c r="N10084" s="1054"/>
      <c r="O10084" s="1207"/>
      <c r="Q10084" s="1207"/>
    </row>
    <row r="10085" spans="3:17" s="700" customFormat="1" ht="70.5" hidden="1" customHeight="1">
      <c r="C10085" s="701"/>
      <c r="D10085" s="811"/>
      <c r="E10085" s="1276">
        <f>[11]building!Y10416</f>
        <v>0</v>
      </c>
      <c r="F10085" s="748">
        <f t="shared" si="396"/>
        <v>0</v>
      </c>
      <c r="G10085" s="1205"/>
      <c r="H10085" s="1055"/>
      <c r="I10085" s="1055"/>
      <c r="J10085" s="1055"/>
      <c r="K10085" s="1205"/>
      <c r="L10085" s="1055"/>
      <c r="M10085" s="1205"/>
      <c r="N10085" s="1054"/>
      <c r="O10085" s="1207"/>
      <c r="Q10085" s="1207"/>
    </row>
    <row r="10086" spans="3:17" s="700" customFormat="1" ht="70.5" hidden="1" customHeight="1">
      <c r="C10086" s="701"/>
      <c r="D10086" s="811"/>
      <c r="E10086" s="1276">
        <f>[11]building!Y10417</f>
        <v>0</v>
      </c>
      <c r="F10086" s="748">
        <f t="shared" si="396"/>
        <v>0</v>
      </c>
      <c r="G10086" s="1205"/>
      <c r="H10086" s="1055"/>
      <c r="I10086" s="1055"/>
      <c r="J10086" s="1055"/>
      <c r="K10086" s="1205"/>
      <c r="L10086" s="1055"/>
      <c r="M10086" s="1205"/>
      <c r="N10086" s="1054"/>
      <c r="O10086" s="1207"/>
      <c r="Q10086" s="1207"/>
    </row>
    <row r="10087" spans="3:17" s="700" customFormat="1" ht="70.5" hidden="1" customHeight="1">
      <c r="C10087" s="701"/>
      <c r="D10087" s="811"/>
      <c r="E10087" s="1276">
        <f>[11]building!Y10418</f>
        <v>0</v>
      </c>
      <c r="F10087" s="748">
        <f t="shared" si="396"/>
        <v>0</v>
      </c>
      <c r="G10087" s="1205"/>
      <c r="H10087" s="1055"/>
      <c r="I10087" s="1055"/>
      <c r="J10087" s="1055"/>
      <c r="K10087" s="1205"/>
      <c r="L10087" s="1055"/>
      <c r="M10087" s="1205"/>
      <c r="N10087" s="1054"/>
      <c r="O10087" s="1207"/>
      <c r="Q10087" s="1207"/>
    </row>
    <row r="10088" spans="3:17" s="700" customFormat="1" ht="70.5" hidden="1" customHeight="1">
      <c r="C10088" s="701"/>
      <c r="D10088" s="811"/>
      <c r="E10088" s="1276">
        <f>[11]building!Y10419</f>
        <v>0</v>
      </c>
      <c r="F10088" s="748">
        <f t="shared" si="396"/>
        <v>0</v>
      </c>
      <c r="G10088" s="1205"/>
      <c r="H10088" s="1055"/>
      <c r="I10088" s="1055"/>
      <c r="J10088" s="1055"/>
      <c r="K10088" s="1205"/>
      <c r="L10088" s="1055"/>
      <c r="M10088" s="1205"/>
      <c r="N10088" s="1054"/>
      <c r="O10088" s="1207"/>
      <c r="Q10088" s="1207"/>
    </row>
    <row r="10089" spans="3:17" s="700" customFormat="1" ht="70.5" hidden="1" customHeight="1">
      <c r="C10089" s="701"/>
      <c r="D10089" s="811"/>
      <c r="E10089" s="1276">
        <f>[11]building!Y10420</f>
        <v>0</v>
      </c>
      <c r="F10089" s="748">
        <f t="shared" si="396"/>
        <v>0</v>
      </c>
      <c r="G10089" s="1205"/>
      <c r="H10089" s="1055"/>
      <c r="I10089" s="1055"/>
      <c r="J10089" s="1055"/>
      <c r="K10089" s="1205"/>
      <c r="L10089" s="1055"/>
      <c r="M10089" s="1205"/>
      <c r="N10089" s="1054"/>
      <c r="O10089" s="1207"/>
      <c r="Q10089" s="1207"/>
    </row>
    <row r="10090" spans="3:17" s="700" customFormat="1" ht="70.5" hidden="1" customHeight="1">
      <c r="C10090" s="701"/>
      <c r="D10090" s="811"/>
      <c r="E10090" s="1276">
        <f>[11]building!Y10421</f>
        <v>0</v>
      </c>
      <c r="F10090" s="748">
        <f t="shared" si="396"/>
        <v>0</v>
      </c>
      <c r="G10090" s="1205"/>
      <c r="H10090" s="1055"/>
      <c r="I10090" s="1055"/>
      <c r="J10090" s="1055"/>
      <c r="K10090" s="1205"/>
      <c r="L10090" s="1055"/>
      <c r="M10090" s="1205"/>
      <c r="N10090" s="1054"/>
      <c r="O10090" s="1207"/>
      <c r="Q10090" s="1207"/>
    </row>
    <row r="10091" spans="3:17" s="700" customFormat="1" ht="70.5" hidden="1" customHeight="1">
      <c r="C10091" s="701"/>
      <c r="D10091" s="811"/>
      <c r="E10091" s="1276">
        <f>[11]building!Y10422</f>
        <v>0</v>
      </c>
      <c r="F10091" s="748">
        <f t="shared" si="396"/>
        <v>0</v>
      </c>
      <c r="G10091" s="1205"/>
      <c r="H10091" s="1055"/>
      <c r="I10091" s="1055"/>
      <c r="J10091" s="1055"/>
      <c r="K10091" s="1205"/>
      <c r="L10091" s="1055"/>
      <c r="M10091" s="1205"/>
      <c r="N10091" s="1054"/>
      <c r="O10091" s="1207"/>
      <c r="Q10091" s="1207"/>
    </row>
    <row r="10092" spans="3:17" s="700" customFormat="1" ht="70.5" hidden="1" customHeight="1">
      <c r="C10092" s="701"/>
      <c r="D10092" s="811"/>
      <c r="E10092" s="1276">
        <f>[11]building!Y10423</f>
        <v>0</v>
      </c>
      <c r="F10092" s="748">
        <f t="shared" si="396"/>
        <v>0</v>
      </c>
      <c r="G10092" s="1205"/>
      <c r="H10092" s="1055"/>
      <c r="I10092" s="1055"/>
      <c r="J10092" s="1055"/>
      <c r="K10092" s="1205"/>
      <c r="L10092" s="1055"/>
      <c r="M10092" s="1205"/>
      <c r="N10092" s="1054"/>
      <c r="O10092" s="1207"/>
      <c r="Q10092" s="1207"/>
    </row>
    <row r="10093" spans="3:17" s="700" customFormat="1" ht="70.5" hidden="1" customHeight="1">
      <c r="C10093" s="701"/>
      <c r="D10093" s="811"/>
      <c r="E10093" s="1276">
        <f>[11]building!Y10424</f>
        <v>0</v>
      </c>
      <c r="F10093" s="748">
        <f t="shared" si="396"/>
        <v>0</v>
      </c>
      <c r="G10093" s="1205"/>
      <c r="H10093" s="1055"/>
      <c r="I10093" s="1055"/>
      <c r="J10093" s="1055"/>
      <c r="K10093" s="1205"/>
      <c r="L10093" s="1055"/>
      <c r="M10093" s="1205"/>
      <c r="N10093" s="1054"/>
      <c r="O10093" s="1207"/>
      <c r="Q10093" s="1207"/>
    </row>
    <row r="10094" spans="3:17" s="700" customFormat="1" ht="70.5" hidden="1" customHeight="1">
      <c r="C10094" s="701"/>
      <c r="D10094" s="811"/>
      <c r="E10094" s="1276">
        <f>[11]building!Y10425</f>
        <v>0</v>
      </c>
      <c r="F10094" s="748">
        <f t="shared" si="396"/>
        <v>0</v>
      </c>
      <c r="G10094" s="1205"/>
      <c r="H10094" s="1055"/>
      <c r="I10094" s="1055"/>
      <c r="J10094" s="1055"/>
      <c r="K10094" s="1205"/>
      <c r="L10094" s="1055"/>
      <c r="M10094" s="1205"/>
      <c r="N10094" s="1054"/>
      <c r="O10094" s="1207"/>
      <c r="Q10094" s="1207"/>
    </row>
    <row r="10095" spans="3:17" s="700" customFormat="1" ht="70.5" hidden="1" customHeight="1">
      <c r="C10095" s="701"/>
      <c r="D10095" s="811"/>
      <c r="E10095" s="1276">
        <f>[11]building!Y10426</f>
        <v>0</v>
      </c>
      <c r="F10095" s="748">
        <f t="shared" si="396"/>
        <v>0</v>
      </c>
      <c r="G10095" s="1205"/>
      <c r="H10095" s="1055"/>
      <c r="I10095" s="1055"/>
      <c r="J10095" s="1055"/>
      <c r="K10095" s="1205"/>
      <c r="L10095" s="1055"/>
      <c r="M10095" s="1205"/>
      <c r="N10095" s="1054"/>
      <c r="O10095" s="1207"/>
      <c r="Q10095" s="1207"/>
    </row>
    <row r="10096" spans="3:17" s="700" customFormat="1" ht="70.5" hidden="1" customHeight="1">
      <c r="C10096" s="701"/>
      <c r="D10096" s="811"/>
      <c r="E10096" s="1276">
        <f>[11]building!Y10427</f>
        <v>0</v>
      </c>
      <c r="F10096" s="748">
        <f t="shared" si="396"/>
        <v>0</v>
      </c>
      <c r="G10096" s="1205"/>
      <c r="H10096" s="1055"/>
      <c r="I10096" s="1055"/>
      <c r="J10096" s="1055"/>
      <c r="K10096" s="1205"/>
      <c r="L10096" s="1055"/>
      <c r="M10096" s="1205"/>
      <c r="N10096" s="1054"/>
      <c r="O10096" s="1207"/>
      <c r="Q10096" s="1207"/>
    </row>
    <row r="10097" spans="3:17" s="700" customFormat="1" ht="70.5" hidden="1" customHeight="1">
      <c r="C10097" s="701"/>
      <c r="D10097" s="811"/>
      <c r="E10097" s="1276">
        <f>[11]building!Y10428</f>
        <v>0</v>
      </c>
      <c r="F10097" s="748">
        <f t="shared" si="396"/>
        <v>0</v>
      </c>
      <c r="G10097" s="1205"/>
      <c r="H10097" s="1055"/>
      <c r="I10097" s="1055"/>
      <c r="J10097" s="1055"/>
      <c r="K10097" s="1205"/>
      <c r="L10097" s="1055"/>
      <c r="M10097" s="1205"/>
      <c r="N10097" s="1054"/>
      <c r="O10097" s="1207"/>
      <c r="Q10097" s="1207"/>
    </row>
    <row r="10098" spans="3:17" s="700" customFormat="1" ht="70.5" hidden="1" customHeight="1">
      <c r="C10098" s="701"/>
      <c r="D10098" s="811"/>
      <c r="E10098" s="1276">
        <f>[11]building!Y10429</f>
        <v>0</v>
      </c>
      <c r="F10098" s="748">
        <f t="shared" si="396"/>
        <v>0</v>
      </c>
      <c r="G10098" s="1205"/>
      <c r="H10098" s="1055"/>
      <c r="I10098" s="1055"/>
      <c r="J10098" s="1055"/>
      <c r="K10098" s="1205"/>
      <c r="L10098" s="1055"/>
      <c r="M10098" s="1205"/>
      <c r="N10098" s="1054"/>
      <c r="O10098" s="1207"/>
      <c r="Q10098" s="1207"/>
    </row>
    <row r="10099" spans="3:17" s="700" customFormat="1" ht="70.5" hidden="1" customHeight="1">
      <c r="C10099" s="701"/>
      <c r="D10099" s="811"/>
      <c r="E10099" s="1276">
        <f>[11]building!Y10430</f>
        <v>0</v>
      </c>
      <c r="F10099" s="748">
        <f t="shared" si="396"/>
        <v>0</v>
      </c>
      <c r="G10099" s="1205"/>
      <c r="H10099" s="1055"/>
      <c r="I10099" s="1055"/>
      <c r="J10099" s="1055"/>
      <c r="K10099" s="1205"/>
      <c r="L10099" s="1055"/>
      <c r="M10099" s="1205"/>
      <c r="N10099" s="1054"/>
      <c r="O10099" s="1207"/>
      <c r="Q10099" s="1207"/>
    </row>
    <row r="10100" spans="3:17" s="700" customFormat="1" ht="70.5" hidden="1" customHeight="1">
      <c r="C10100" s="701"/>
      <c r="D10100" s="811"/>
      <c r="E10100" s="1276">
        <f>[11]building!Y10431</f>
        <v>0</v>
      </c>
      <c r="F10100" s="748">
        <f t="shared" si="396"/>
        <v>0</v>
      </c>
      <c r="G10100" s="1205"/>
      <c r="H10100" s="1055"/>
      <c r="I10100" s="1055"/>
      <c r="J10100" s="1055"/>
      <c r="K10100" s="1205"/>
      <c r="L10100" s="1055"/>
      <c r="M10100" s="1205"/>
      <c r="N10100" s="1054"/>
      <c r="O10100" s="1207"/>
      <c r="Q10100" s="1207"/>
    </row>
    <row r="10101" spans="3:17" s="700" customFormat="1" ht="70.5" hidden="1" customHeight="1">
      <c r="C10101" s="701"/>
      <c r="D10101" s="811"/>
      <c r="E10101" s="1276">
        <f>[11]building!Y10432</f>
        <v>0</v>
      </c>
      <c r="F10101" s="748">
        <f t="shared" si="396"/>
        <v>0</v>
      </c>
      <c r="G10101" s="1205"/>
      <c r="H10101" s="1055"/>
      <c r="I10101" s="1055"/>
      <c r="J10101" s="1055"/>
      <c r="K10101" s="1205"/>
      <c r="L10101" s="1055"/>
      <c r="M10101" s="1205"/>
      <c r="N10101" s="1054"/>
      <c r="O10101" s="1207"/>
      <c r="Q10101" s="1207"/>
    </row>
    <row r="10102" spans="3:17" s="700" customFormat="1" ht="70.5" hidden="1" customHeight="1">
      <c r="C10102" s="701"/>
      <c r="D10102" s="811"/>
      <c r="E10102" s="1276">
        <f>[11]building!Y10433</f>
        <v>0</v>
      </c>
      <c r="F10102" s="748">
        <f t="shared" si="396"/>
        <v>0</v>
      </c>
      <c r="G10102" s="1205"/>
      <c r="H10102" s="1055"/>
      <c r="I10102" s="1055"/>
      <c r="J10102" s="1055"/>
      <c r="K10102" s="1205"/>
      <c r="L10102" s="1055"/>
      <c r="M10102" s="1205"/>
      <c r="N10102" s="1054"/>
      <c r="O10102" s="1207"/>
      <c r="Q10102" s="1207"/>
    </row>
    <row r="10103" spans="3:17" s="700" customFormat="1" ht="70.5" hidden="1" customHeight="1">
      <c r="C10103" s="701"/>
      <c r="D10103" s="811"/>
      <c r="E10103" s="1276">
        <f>[11]building!Y10434</f>
        <v>0</v>
      </c>
      <c r="F10103" s="748">
        <f t="shared" si="396"/>
        <v>0</v>
      </c>
      <c r="G10103" s="1205"/>
      <c r="H10103" s="1055"/>
      <c r="I10103" s="1055"/>
      <c r="J10103" s="1055"/>
      <c r="K10103" s="1205"/>
      <c r="L10103" s="1055"/>
      <c r="M10103" s="1205"/>
      <c r="N10103" s="1054"/>
      <c r="O10103" s="1207"/>
      <c r="Q10103" s="1207"/>
    </row>
    <row r="10104" spans="3:17" s="700" customFormat="1" ht="70.5" hidden="1" customHeight="1">
      <c r="C10104" s="701"/>
      <c r="D10104" s="811"/>
      <c r="E10104" s="1276">
        <f>[11]building!Y10435</f>
        <v>0</v>
      </c>
      <c r="F10104" s="748">
        <f t="shared" si="396"/>
        <v>0</v>
      </c>
      <c r="G10104" s="1205"/>
      <c r="H10104" s="1055"/>
      <c r="I10104" s="1055"/>
      <c r="J10104" s="1055"/>
      <c r="K10104" s="1205"/>
      <c r="L10104" s="1055"/>
      <c r="M10104" s="1205"/>
      <c r="N10104" s="1054"/>
      <c r="O10104" s="1207"/>
      <c r="Q10104" s="1207"/>
    </row>
    <row r="10105" spans="3:17" s="700" customFormat="1" ht="70.5" hidden="1" customHeight="1">
      <c r="C10105" s="701"/>
      <c r="D10105" s="811"/>
      <c r="E10105" s="1276">
        <f>[11]building!Y10436</f>
        <v>0</v>
      </c>
      <c r="F10105" s="748">
        <f t="shared" si="396"/>
        <v>0</v>
      </c>
      <c r="G10105" s="1205"/>
      <c r="H10105" s="1055"/>
      <c r="I10105" s="1055"/>
      <c r="J10105" s="1055"/>
      <c r="K10105" s="1205"/>
      <c r="L10105" s="1055"/>
      <c r="M10105" s="1205"/>
      <c r="N10105" s="1054"/>
      <c r="O10105" s="1207"/>
      <c r="Q10105" s="1207"/>
    </row>
    <row r="10106" spans="3:17" s="700" customFormat="1" ht="70.5" hidden="1" customHeight="1">
      <c r="C10106" s="701"/>
      <c r="D10106" s="811"/>
      <c r="E10106" s="1276">
        <f>[11]building!Y10437</f>
        <v>0</v>
      </c>
      <c r="F10106" s="748">
        <f t="shared" si="396"/>
        <v>0</v>
      </c>
      <c r="G10106" s="1205"/>
      <c r="H10106" s="1055"/>
      <c r="I10106" s="1055"/>
      <c r="J10106" s="1055"/>
      <c r="K10106" s="1205"/>
      <c r="L10106" s="1055"/>
      <c r="M10106" s="1205"/>
      <c r="N10106" s="1054"/>
      <c r="O10106" s="1207"/>
      <c r="Q10106" s="1207"/>
    </row>
    <row r="10107" spans="3:17" s="700" customFormat="1" ht="70.5" hidden="1" customHeight="1">
      <c r="C10107" s="701"/>
      <c r="D10107" s="811"/>
      <c r="E10107" s="1276">
        <f>[11]building!Y10438</f>
        <v>0</v>
      </c>
      <c r="F10107" s="748">
        <f t="shared" si="396"/>
        <v>0</v>
      </c>
      <c r="G10107" s="1205"/>
      <c r="H10107" s="1055"/>
      <c r="I10107" s="1055"/>
      <c r="J10107" s="1055"/>
      <c r="K10107" s="1205"/>
      <c r="L10107" s="1055"/>
      <c r="M10107" s="1205"/>
      <c r="N10107" s="1054"/>
      <c r="O10107" s="1207"/>
      <c r="Q10107" s="1207"/>
    </row>
    <row r="10108" spans="3:17" s="700" customFormat="1" ht="70.5" hidden="1" customHeight="1">
      <c r="C10108" s="701"/>
      <c r="D10108" s="811"/>
      <c r="E10108" s="1276">
        <f>[11]building!Y10439</f>
        <v>0</v>
      </c>
      <c r="F10108" s="748">
        <f t="shared" si="396"/>
        <v>0</v>
      </c>
      <c r="G10108" s="1205"/>
      <c r="H10108" s="1055"/>
      <c r="I10108" s="1055"/>
      <c r="J10108" s="1055"/>
      <c r="K10108" s="1205"/>
      <c r="L10108" s="1055"/>
      <c r="M10108" s="1205"/>
      <c r="N10108" s="1054"/>
      <c r="O10108" s="1207"/>
      <c r="Q10108" s="1207"/>
    </row>
    <row r="10109" spans="3:17" s="700" customFormat="1" ht="70.5" hidden="1" customHeight="1">
      <c r="C10109" s="701"/>
      <c r="D10109" s="811"/>
      <c r="E10109" s="1276">
        <f>[11]building!Y10440</f>
        <v>0</v>
      </c>
      <c r="F10109" s="748">
        <f t="shared" si="396"/>
        <v>0</v>
      </c>
      <c r="G10109" s="1205"/>
      <c r="H10109" s="1055"/>
      <c r="I10109" s="1055"/>
      <c r="J10109" s="1055"/>
      <c r="K10109" s="1205"/>
      <c r="L10109" s="1055"/>
      <c r="M10109" s="1205"/>
      <c r="N10109" s="1054"/>
      <c r="O10109" s="1207"/>
      <c r="Q10109" s="1207"/>
    </row>
    <row r="10110" spans="3:17" s="700" customFormat="1" ht="70.5" hidden="1" customHeight="1">
      <c r="C10110" s="701"/>
      <c r="D10110" s="811"/>
      <c r="E10110" s="1276">
        <f>[11]building!Y10441</f>
        <v>0</v>
      </c>
      <c r="F10110" s="748">
        <f t="shared" si="396"/>
        <v>0</v>
      </c>
      <c r="G10110" s="1205"/>
      <c r="H10110" s="1055"/>
      <c r="I10110" s="1055"/>
      <c r="J10110" s="1055"/>
      <c r="K10110" s="1205"/>
      <c r="L10110" s="1055"/>
      <c r="M10110" s="1205"/>
      <c r="N10110" s="1054"/>
      <c r="O10110" s="1207"/>
      <c r="Q10110" s="1207"/>
    </row>
    <row r="10111" spans="3:17" s="700" customFormat="1" ht="70.5" hidden="1" customHeight="1">
      <c r="C10111" s="701"/>
      <c r="D10111" s="811"/>
      <c r="E10111" s="1276">
        <f>[11]building!Y10442</f>
        <v>0</v>
      </c>
      <c r="F10111" s="748">
        <f t="shared" si="396"/>
        <v>0</v>
      </c>
      <c r="G10111" s="1205"/>
      <c r="H10111" s="1055"/>
      <c r="I10111" s="1055"/>
      <c r="J10111" s="1055"/>
      <c r="K10111" s="1205"/>
      <c r="L10111" s="1055"/>
      <c r="M10111" s="1205"/>
      <c r="N10111" s="1054"/>
      <c r="O10111" s="1207"/>
      <c r="Q10111" s="1207"/>
    </row>
    <row r="10112" spans="3:17" s="700" customFormat="1" ht="70.5" hidden="1" customHeight="1">
      <c r="C10112" s="701"/>
      <c r="D10112" s="811"/>
      <c r="E10112" s="1276">
        <f>[11]building!Y10443</f>
        <v>0</v>
      </c>
      <c r="F10112" s="748">
        <f t="shared" ref="F10112:F10175" si="397">E10112*C10112</f>
        <v>0</v>
      </c>
      <c r="G10112" s="1205"/>
      <c r="H10112" s="1055"/>
      <c r="I10112" s="1055"/>
      <c r="J10112" s="1055"/>
      <c r="K10112" s="1205"/>
      <c r="L10112" s="1055"/>
      <c r="M10112" s="1205"/>
      <c r="N10112" s="1054"/>
      <c r="O10112" s="1207"/>
      <c r="Q10112" s="1207"/>
    </row>
    <row r="10113" spans="3:17" s="700" customFormat="1" ht="70.5" hidden="1" customHeight="1">
      <c r="C10113" s="701"/>
      <c r="D10113" s="811"/>
      <c r="E10113" s="1276">
        <f>[11]building!Y10444</f>
        <v>0</v>
      </c>
      <c r="F10113" s="748">
        <f t="shared" si="397"/>
        <v>0</v>
      </c>
      <c r="G10113" s="1205"/>
      <c r="H10113" s="1055"/>
      <c r="I10113" s="1055"/>
      <c r="J10113" s="1055"/>
      <c r="K10113" s="1205"/>
      <c r="L10113" s="1055"/>
      <c r="M10113" s="1205"/>
      <c r="N10113" s="1054"/>
      <c r="O10113" s="1207"/>
      <c r="Q10113" s="1207"/>
    </row>
    <row r="10114" spans="3:17" s="700" customFormat="1" ht="70.5" hidden="1" customHeight="1">
      <c r="C10114" s="701"/>
      <c r="D10114" s="811"/>
      <c r="E10114" s="1276">
        <f>[11]building!Y10445</f>
        <v>0</v>
      </c>
      <c r="F10114" s="748">
        <f t="shared" si="397"/>
        <v>0</v>
      </c>
      <c r="G10114" s="1205"/>
      <c r="H10114" s="1055"/>
      <c r="I10114" s="1055"/>
      <c r="J10114" s="1055"/>
      <c r="K10114" s="1205"/>
      <c r="L10114" s="1055"/>
      <c r="M10114" s="1205"/>
      <c r="N10114" s="1054"/>
      <c r="O10114" s="1207"/>
      <c r="Q10114" s="1207"/>
    </row>
    <row r="10115" spans="3:17" s="700" customFormat="1" ht="70.5" hidden="1" customHeight="1">
      <c r="C10115" s="701"/>
      <c r="D10115" s="811"/>
      <c r="E10115" s="1276">
        <f>[11]building!Y10446</f>
        <v>0</v>
      </c>
      <c r="F10115" s="748">
        <f t="shared" si="397"/>
        <v>0</v>
      </c>
      <c r="G10115" s="1205"/>
      <c r="H10115" s="1055"/>
      <c r="I10115" s="1055"/>
      <c r="J10115" s="1055"/>
      <c r="K10115" s="1205"/>
      <c r="L10115" s="1055"/>
      <c r="M10115" s="1205"/>
      <c r="N10115" s="1054"/>
      <c r="O10115" s="1207"/>
      <c r="Q10115" s="1207"/>
    </row>
    <row r="10116" spans="3:17" s="700" customFormat="1" ht="70.5" hidden="1" customHeight="1">
      <c r="C10116" s="701"/>
      <c r="D10116" s="811"/>
      <c r="E10116" s="1276">
        <f>[11]building!Y10447</f>
        <v>0</v>
      </c>
      <c r="F10116" s="748">
        <f t="shared" si="397"/>
        <v>0</v>
      </c>
      <c r="G10116" s="1205"/>
      <c r="H10116" s="1055"/>
      <c r="I10116" s="1055"/>
      <c r="J10116" s="1055"/>
      <c r="K10116" s="1205"/>
      <c r="L10116" s="1055"/>
      <c r="M10116" s="1205"/>
      <c r="N10116" s="1054"/>
      <c r="O10116" s="1207"/>
      <c r="Q10116" s="1207"/>
    </row>
    <row r="10117" spans="3:17" s="700" customFormat="1" ht="70.5" hidden="1" customHeight="1">
      <c r="C10117" s="701"/>
      <c r="D10117" s="811"/>
      <c r="E10117" s="1276">
        <f>[11]building!Y10448</f>
        <v>0</v>
      </c>
      <c r="F10117" s="748">
        <f t="shared" si="397"/>
        <v>0</v>
      </c>
      <c r="G10117" s="1205"/>
      <c r="H10117" s="1055"/>
      <c r="I10117" s="1055"/>
      <c r="J10117" s="1055"/>
      <c r="K10117" s="1205"/>
      <c r="L10117" s="1055"/>
      <c r="M10117" s="1205"/>
      <c r="N10117" s="1054"/>
      <c r="O10117" s="1207"/>
      <c r="Q10117" s="1207"/>
    </row>
    <row r="10118" spans="3:17" s="700" customFormat="1" ht="70.5" hidden="1" customHeight="1">
      <c r="C10118" s="701"/>
      <c r="D10118" s="811"/>
      <c r="E10118" s="1276">
        <f>[11]building!Y10449</f>
        <v>0</v>
      </c>
      <c r="F10118" s="748">
        <f t="shared" si="397"/>
        <v>0</v>
      </c>
      <c r="G10118" s="1205"/>
      <c r="H10118" s="1055"/>
      <c r="I10118" s="1055"/>
      <c r="J10118" s="1055"/>
      <c r="K10118" s="1205"/>
      <c r="L10118" s="1055"/>
      <c r="M10118" s="1205"/>
      <c r="N10118" s="1054"/>
      <c r="O10118" s="1207"/>
      <c r="Q10118" s="1207"/>
    </row>
    <row r="10119" spans="3:17" s="700" customFormat="1" ht="70.5" hidden="1" customHeight="1">
      <c r="C10119" s="701"/>
      <c r="D10119" s="811"/>
      <c r="E10119" s="1276">
        <f>[11]building!Y10450</f>
        <v>0</v>
      </c>
      <c r="F10119" s="748">
        <f t="shared" si="397"/>
        <v>0</v>
      </c>
      <c r="G10119" s="1205"/>
      <c r="H10119" s="1055"/>
      <c r="I10119" s="1055"/>
      <c r="J10119" s="1055"/>
      <c r="K10119" s="1205"/>
      <c r="L10119" s="1055"/>
      <c r="M10119" s="1205"/>
      <c r="N10119" s="1054"/>
      <c r="O10119" s="1207"/>
      <c r="Q10119" s="1207"/>
    </row>
    <row r="10120" spans="3:17" s="700" customFormat="1" ht="70.5" hidden="1" customHeight="1">
      <c r="C10120" s="701"/>
      <c r="D10120" s="811"/>
      <c r="E10120" s="1276">
        <f>[11]building!Y10451</f>
        <v>0</v>
      </c>
      <c r="F10120" s="748">
        <f t="shared" si="397"/>
        <v>0</v>
      </c>
      <c r="G10120" s="1205"/>
      <c r="H10120" s="1055"/>
      <c r="I10120" s="1055"/>
      <c r="J10120" s="1055"/>
      <c r="K10120" s="1205"/>
      <c r="L10120" s="1055"/>
      <c r="M10120" s="1205"/>
      <c r="N10120" s="1054"/>
      <c r="O10120" s="1207"/>
      <c r="Q10120" s="1207"/>
    </row>
    <row r="10121" spans="3:17" s="700" customFormat="1" ht="70.5" hidden="1" customHeight="1">
      <c r="C10121" s="701"/>
      <c r="D10121" s="811"/>
      <c r="E10121" s="1276">
        <f>[11]building!Y10452</f>
        <v>0</v>
      </c>
      <c r="F10121" s="748">
        <f t="shared" si="397"/>
        <v>0</v>
      </c>
      <c r="G10121" s="1205"/>
      <c r="H10121" s="1055"/>
      <c r="I10121" s="1055"/>
      <c r="J10121" s="1055"/>
      <c r="K10121" s="1205"/>
      <c r="L10121" s="1055"/>
      <c r="M10121" s="1205"/>
      <c r="N10121" s="1054"/>
      <c r="O10121" s="1207"/>
      <c r="Q10121" s="1207"/>
    </row>
    <row r="10122" spans="3:17" s="700" customFormat="1" ht="70.5" hidden="1" customHeight="1">
      <c r="C10122" s="701"/>
      <c r="D10122" s="811"/>
      <c r="E10122" s="1276">
        <f>[11]building!Y10453</f>
        <v>0</v>
      </c>
      <c r="F10122" s="748">
        <f t="shared" si="397"/>
        <v>0</v>
      </c>
      <c r="G10122" s="1205"/>
      <c r="H10122" s="1055"/>
      <c r="I10122" s="1055"/>
      <c r="J10122" s="1055"/>
      <c r="K10122" s="1205"/>
      <c r="L10122" s="1055"/>
      <c r="M10122" s="1205"/>
      <c r="N10122" s="1054"/>
      <c r="O10122" s="1207"/>
      <c r="Q10122" s="1207"/>
    </row>
    <row r="10123" spans="3:17" s="700" customFormat="1" ht="70.5" hidden="1" customHeight="1">
      <c r="C10123" s="701"/>
      <c r="D10123" s="811"/>
      <c r="E10123" s="1276">
        <f>[11]building!Y10454</f>
        <v>0</v>
      </c>
      <c r="F10123" s="748">
        <f t="shared" si="397"/>
        <v>0</v>
      </c>
      <c r="G10123" s="1205"/>
      <c r="H10123" s="1055"/>
      <c r="I10123" s="1055"/>
      <c r="J10123" s="1055"/>
      <c r="K10123" s="1205"/>
      <c r="L10123" s="1055"/>
      <c r="M10123" s="1205"/>
      <c r="N10123" s="1054"/>
      <c r="O10123" s="1207"/>
      <c r="Q10123" s="1207"/>
    </row>
    <row r="10124" spans="3:17" s="700" customFormat="1" ht="70.5" hidden="1" customHeight="1">
      <c r="C10124" s="701"/>
      <c r="D10124" s="811"/>
      <c r="E10124" s="1276">
        <f>[11]building!Y10455</f>
        <v>0</v>
      </c>
      <c r="F10124" s="748">
        <f t="shared" si="397"/>
        <v>0</v>
      </c>
      <c r="G10124" s="1205"/>
      <c r="H10124" s="1055"/>
      <c r="I10124" s="1055"/>
      <c r="J10124" s="1055"/>
      <c r="K10124" s="1205"/>
      <c r="L10124" s="1055"/>
      <c r="M10124" s="1205"/>
      <c r="N10124" s="1054"/>
      <c r="O10124" s="1207"/>
      <c r="Q10124" s="1207"/>
    </row>
    <row r="10125" spans="3:17" s="700" customFormat="1" ht="70.5" hidden="1" customHeight="1">
      <c r="C10125" s="701"/>
      <c r="D10125" s="811"/>
      <c r="E10125" s="1276">
        <f>[11]building!Y10456</f>
        <v>0</v>
      </c>
      <c r="F10125" s="748">
        <f t="shared" si="397"/>
        <v>0</v>
      </c>
      <c r="G10125" s="1205"/>
      <c r="H10125" s="1055"/>
      <c r="I10125" s="1055"/>
      <c r="J10125" s="1055"/>
      <c r="K10125" s="1205"/>
      <c r="L10125" s="1055"/>
      <c r="M10125" s="1205"/>
      <c r="N10125" s="1054"/>
      <c r="O10125" s="1207"/>
      <c r="Q10125" s="1207"/>
    </row>
    <row r="10126" spans="3:17" s="700" customFormat="1" ht="70.5" hidden="1" customHeight="1">
      <c r="C10126" s="701"/>
      <c r="D10126" s="811"/>
      <c r="E10126" s="1276">
        <f>[11]building!Y10457</f>
        <v>0</v>
      </c>
      <c r="F10126" s="748">
        <f t="shared" si="397"/>
        <v>0</v>
      </c>
      <c r="G10126" s="1205"/>
      <c r="H10126" s="1055"/>
      <c r="I10126" s="1055"/>
      <c r="J10126" s="1055"/>
      <c r="K10126" s="1205"/>
      <c r="L10126" s="1055"/>
      <c r="M10126" s="1205"/>
      <c r="N10126" s="1054"/>
      <c r="O10126" s="1207"/>
      <c r="Q10126" s="1207"/>
    </row>
    <row r="10127" spans="3:17" s="700" customFormat="1" ht="70.5" hidden="1" customHeight="1">
      <c r="C10127" s="701"/>
      <c r="D10127" s="811"/>
      <c r="E10127" s="1276">
        <f>[11]building!Y10458</f>
        <v>0</v>
      </c>
      <c r="F10127" s="748">
        <f t="shared" si="397"/>
        <v>0</v>
      </c>
      <c r="G10127" s="1205"/>
      <c r="H10127" s="1055"/>
      <c r="I10127" s="1055"/>
      <c r="J10127" s="1055"/>
      <c r="K10127" s="1205"/>
      <c r="L10127" s="1055"/>
      <c r="M10127" s="1205"/>
      <c r="N10127" s="1054"/>
      <c r="O10127" s="1207"/>
      <c r="Q10127" s="1207"/>
    </row>
    <row r="10128" spans="3:17" s="700" customFormat="1" ht="70.5" hidden="1" customHeight="1">
      <c r="C10128" s="701"/>
      <c r="D10128" s="811"/>
      <c r="E10128" s="1276">
        <f>[11]building!Y10459</f>
        <v>0</v>
      </c>
      <c r="F10128" s="748">
        <f t="shared" si="397"/>
        <v>0</v>
      </c>
      <c r="G10128" s="1205"/>
      <c r="H10128" s="1055"/>
      <c r="I10128" s="1055"/>
      <c r="J10128" s="1055"/>
      <c r="K10128" s="1205"/>
      <c r="L10128" s="1055"/>
      <c r="M10128" s="1205"/>
      <c r="N10128" s="1054"/>
      <c r="O10128" s="1207"/>
      <c r="Q10128" s="1207"/>
    </row>
    <row r="10129" spans="3:17" s="700" customFormat="1" ht="70.5" hidden="1" customHeight="1">
      <c r="C10129" s="701"/>
      <c r="D10129" s="811"/>
      <c r="E10129" s="1276">
        <f>[11]building!Y10460</f>
        <v>0</v>
      </c>
      <c r="F10129" s="748">
        <f t="shared" si="397"/>
        <v>0</v>
      </c>
      <c r="G10129" s="1205"/>
      <c r="H10129" s="1055"/>
      <c r="I10129" s="1055"/>
      <c r="J10129" s="1055"/>
      <c r="K10129" s="1205"/>
      <c r="L10129" s="1055"/>
      <c r="M10129" s="1205"/>
      <c r="N10129" s="1054"/>
      <c r="O10129" s="1207"/>
      <c r="Q10129" s="1207"/>
    </row>
    <row r="10130" spans="3:17" s="700" customFormat="1" ht="70.5" hidden="1" customHeight="1">
      <c r="C10130" s="701"/>
      <c r="D10130" s="811"/>
      <c r="E10130" s="1276">
        <f>[11]building!Y10461</f>
        <v>0</v>
      </c>
      <c r="F10130" s="748">
        <f t="shared" si="397"/>
        <v>0</v>
      </c>
      <c r="G10130" s="1205"/>
      <c r="H10130" s="1055"/>
      <c r="I10130" s="1055"/>
      <c r="J10130" s="1055"/>
      <c r="K10130" s="1205"/>
      <c r="L10130" s="1055"/>
      <c r="M10130" s="1205"/>
      <c r="N10130" s="1054"/>
      <c r="O10130" s="1207"/>
      <c r="Q10130" s="1207"/>
    </row>
    <row r="10131" spans="3:17" s="700" customFormat="1" ht="70.5" hidden="1" customHeight="1">
      <c r="C10131" s="701"/>
      <c r="D10131" s="811"/>
      <c r="E10131" s="1276">
        <f>[11]building!Y10462</f>
        <v>0</v>
      </c>
      <c r="F10131" s="748">
        <f t="shared" si="397"/>
        <v>0</v>
      </c>
      <c r="G10131" s="1205"/>
      <c r="H10131" s="1055"/>
      <c r="I10131" s="1055"/>
      <c r="J10131" s="1055"/>
      <c r="K10131" s="1205"/>
      <c r="L10131" s="1055"/>
      <c r="M10131" s="1205"/>
      <c r="N10131" s="1054"/>
      <c r="O10131" s="1207"/>
      <c r="Q10131" s="1207"/>
    </row>
    <row r="10132" spans="3:17" s="700" customFormat="1" ht="70.5" hidden="1" customHeight="1">
      <c r="C10132" s="701"/>
      <c r="D10132" s="811"/>
      <c r="E10132" s="1276">
        <f>[11]building!Y10463</f>
        <v>0</v>
      </c>
      <c r="F10132" s="748">
        <f t="shared" si="397"/>
        <v>0</v>
      </c>
      <c r="G10132" s="1205"/>
      <c r="H10132" s="1055"/>
      <c r="I10132" s="1055"/>
      <c r="J10132" s="1055"/>
      <c r="K10132" s="1205"/>
      <c r="L10132" s="1055"/>
      <c r="M10132" s="1205"/>
      <c r="N10132" s="1054"/>
      <c r="O10132" s="1207"/>
      <c r="Q10132" s="1207"/>
    </row>
    <row r="10133" spans="3:17" s="700" customFormat="1" ht="70.5" hidden="1" customHeight="1">
      <c r="C10133" s="701"/>
      <c r="D10133" s="811"/>
      <c r="E10133" s="1276">
        <f>[11]building!Y10464</f>
        <v>0</v>
      </c>
      <c r="F10133" s="748">
        <f t="shared" si="397"/>
        <v>0</v>
      </c>
      <c r="G10133" s="1205"/>
      <c r="H10133" s="1055"/>
      <c r="I10133" s="1055"/>
      <c r="J10133" s="1055"/>
      <c r="K10133" s="1205"/>
      <c r="L10133" s="1055"/>
      <c r="M10133" s="1205"/>
      <c r="N10133" s="1054"/>
      <c r="O10133" s="1207"/>
      <c r="Q10133" s="1207"/>
    </row>
    <row r="10134" spans="3:17" s="700" customFormat="1" ht="70.5" hidden="1" customHeight="1">
      <c r="C10134" s="701"/>
      <c r="D10134" s="811"/>
      <c r="E10134" s="1276">
        <f>[11]building!Y10465</f>
        <v>0</v>
      </c>
      <c r="F10134" s="748">
        <f t="shared" si="397"/>
        <v>0</v>
      </c>
      <c r="G10134" s="1205"/>
      <c r="H10134" s="1055"/>
      <c r="I10134" s="1055"/>
      <c r="J10134" s="1055"/>
      <c r="K10134" s="1205"/>
      <c r="L10134" s="1055"/>
      <c r="M10134" s="1205"/>
      <c r="N10134" s="1054"/>
      <c r="O10134" s="1207"/>
      <c r="Q10134" s="1207"/>
    </row>
    <row r="10135" spans="3:17" s="700" customFormat="1" ht="70.5" hidden="1" customHeight="1">
      <c r="C10135" s="701"/>
      <c r="D10135" s="811"/>
      <c r="E10135" s="1276">
        <f>[11]building!Y10466</f>
        <v>0</v>
      </c>
      <c r="F10135" s="748">
        <f t="shared" si="397"/>
        <v>0</v>
      </c>
      <c r="G10135" s="1205"/>
      <c r="H10135" s="1055"/>
      <c r="I10135" s="1055"/>
      <c r="J10135" s="1055"/>
      <c r="K10135" s="1205"/>
      <c r="L10135" s="1055"/>
      <c r="M10135" s="1205"/>
      <c r="N10135" s="1054"/>
      <c r="O10135" s="1207"/>
      <c r="Q10135" s="1207"/>
    </row>
    <row r="10136" spans="3:17" s="700" customFormat="1" ht="70.5" hidden="1" customHeight="1">
      <c r="C10136" s="701"/>
      <c r="D10136" s="811"/>
      <c r="E10136" s="1276">
        <f>[11]building!Y10467</f>
        <v>0</v>
      </c>
      <c r="F10136" s="748">
        <f t="shared" si="397"/>
        <v>0</v>
      </c>
      <c r="G10136" s="1205"/>
      <c r="H10136" s="1055"/>
      <c r="I10136" s="1055"/>
      <c r="J10136" s="1055"/>
      <c r="K10136" s="1205"/>
      <c r="L10136" s="1055"/>
      <c r="M10136" s="1205"/>
      <c r="N10136" s="1054"/>
      <c r="O10136" s="1207"/>
      <c r="Q10136" s="1207"/>
    </row>
    <row r="10137" spans="3:17" s="700" customFormat="1" ht="70.5" hidden="1" customHeight="1">
      <c r="C10137" s="701"/>
      <c r="D10137" s="811"/>
      <c r="E10137" s="1276">
        <f>[11]building!Y10468</f>
        <v>0</v>
      </c>
      <c r="F10137" s="748">
        <f t="shared" si="397"/>
        <v>0</v>
      </c>
      <c r="G10137" s="1205"/>
      <c r="H10137" s="1055"/>
      <c r="I10137" s="1055"/>
      <c r="J10137" s="1055"/>
      <c r="K10137" s="1205"/>
      <c r="L10137" s="1055"/>
      <c r="M10137" s="1205"/>
      <c r="N10137" s="1054"/>
      <c r="O10137" s="1207"/>
      <c r="Q10137" s="1207"/>
    </row>
    <row r="10138" spans="3:17" s="700" customFormat="1" ht="70.5" hidden="1" customHeight="1">
      <c r="C10138" s="701"/>
      <c r="D10138" s="811"/>
      <c r="E10138" s="1276">
        <f>[11]building!Y10469</f>
        <v>0</v>
      </c>
      <c r="F10138" s="748">
        <f t="shared" si="397"/>
        <v>0</v>
      </c>
      <c r="G10138" s="1205"/>
      <c r="H10138" s="1055"/>
      <c r="I10138" s="1055"/>
      <c r="J10138" s="1055"/>
      <c r="K10138" s="1205"/>
      <c r="L10138" s="1055"/>
      <c r="M10138" s="1205"/>
      <c r="N10138" s="1054"/>
      <c r="O10138" s="1207"/>
      <c r="Q10138" s="1207"/>
    </row>
    <row r="10139" spans="3:17" s="700" customFormat="1" ht="70.5" hidden="1" customHeight="1">
      <c r="C10139" s="701"/>
      <c r="D10139" s="811"/>
      <c r="E10139" s="1276">
        <f>[11]building!Y10470</f>
        <v>0</v>
      </c>
      <c r="F10139" s="748">
        <f t="shared" si="397"/>
        <v>0</v>
      </c>
      <c r="G10139" s="1205"/>
      <c r="H10139" s="1055"/>
      <c r="I10139" s="1055"/>
      <c r="J10139" s="1055"/>
      <c r="K10139" s="1205"/>
      <c r="L10139" s="1055"/>
      <c r="M10139" s="1205"/>
      <c r="N10139" s="1054"/>
      <c r="O10139" s="1207"/>
      <c r="Q10139" s="1207"/>
    </row>
    <row r="10140" spans="3:17" s="700" customFormat="1" ht="70.5" hidden="1" customHeight="1">
      <c r="C10140" s="701"/>
      <c r="D10140" s="811"/>
      <c r="E10140" s="1276">
        <f>[11]building!Y10471</f>
        <v>0</v>
      </c>
      <c r="F10140" s="748">
        <f t="shared" si="397"/>
        <v>0</v>
      </c>
      <c r="G10140" s="1205"/>
      <c r="H10140" s="1055"/>
      <c r="I10140" s="1055"/>
      <c r="J10140" s="1055"/>
      <c r="K10140" s="1205"/>
      <c r="L10140" s="1055"/>
      <c r="M10140" s="1205"/>
      <c r="N10140" s="1054"/>
      <c r="O10140" s="1207"/>
      <c r="Q10140" s="1207"/>
    </row>
    <row r="10141" spans="3:17" s="700" customFormat="1" ht="70.5" hidden="1" customHeight="1">
      <c r="C10141" s="701"/>
      <c r="D10141" s="811"/>
      <c r="E10141" s="1276">
        <f>[11]building!Y10472</f>
        <v>0</v>
      </c>
      <c r="F10141" s="748">
        <f t="shared" si="397"/>
        <v>0</v>
      </c>
      <c r="G10141" s="1205"/>
      <c r="H10141" s="1055"/>
      <c r="I10141" s="1055"/>
      <c r="J10141" s="1055"/>
      <c r="K10141" s="1205"/>
      <c r="L10141" s="1055"/>
      <c r="M10141" s="1205"/>
      <c r="N10141" s="1054"/>
      <c r="O10141" s="1207"/>
      <c r="Q10141" s="1207"/>
    </row>
    <row r="10142" spans="3:17" s="700" customFormat="1" ht="70.5" hidden="1" customHeight="1">
      <c r="C10142" s="701"/>
      <c r="D10142" s="811"/>
      <c r="E10142" s="1276">
        <f>[11]building!Y10473</f>
        <v>0</v>
      </c>
      <c r="F10142" s="748">
        <f t="shared" si="397"/>
        <v>0</v>
      </c>
      <c r="G10142" s="1205"/>
      <c r="H10142" s="1055"/>
      <c r="I10142" s="1055"/>
      <c r="J10142" s="1055"/>
      <c r="K10142" s="1205"/>
      <c r="L10142" s="1055"/>
      <c r="M10142" s="1205"/>
      <c r="N10142" s="1054"/>
      <c r="O10142" s="1207"/>
      <c r="Q10142" s="1207"/>
    </row>
    <row r="10143" spans="3:17" s="700" customFormat="1" ht="70.5" hidden="1" customHeight="1">
      <c r="C10143" s="701"/>
      <c r="D10143" s="811"/>
      <c r="E10143" s="1276">
        <f>[11]building!Y10474</f>
        <v>0</v>
      </c>
      <c r="F10143" s="748">
        <f t="shared" si="397"/>
        <v>0</v>
      </c>
      <c r="G10143" s="1205"/>
      <c r="H10143" s="1055"/>
      <c r="I10143" s="1055"/>
      <c r="J10143" s="1055"/>
      <c r="K10143" s="1205"/>
      <c r="L10143" s="1055"/>
      <c r="M10143" s="1205"/>
      <c r="N10143" s="1054"/>
      <c r="O10143" s="1207"/>
      <c r="Q10143" s="1207"/>
    </row>
    <row r="10144" spans="3:17" s="700" customFormat="1" ht="70.5" hidden="1" customHeight="1">
      <c r="C10144" s="701"/>
      <c r="D10144" s="811"/>
      <c r="E10144" s="1276">
        <f>[11]building!Y10475</f>
        <v>0</v>
      </c>
      <c r="F10144" s="748">
        <f t="shared" si="397"/>
        <v>0</v>
      </c>
      <c r="G10144" s="1205"/>
      <c r="H10144" s="1055"/>
      <c r="I10144" s="1055"/>
      <c r="J10144" s="1055"/>
      <c r="K10144" s="1205"/>
      <c r="L10144" s="1055"/>
      <c r="M10144" s="1205"/>
      <c r="N10144" s="1054"/>
      <c r="O10144" s="1207"/>
      <c r="Q10144" s="1207"/>
    </row>
    <row r="10145" spans="3:17" s="700" customFormat="1" ht="70.5" hidden="1" customHeight="1">
      <c r="C10145" s="701"/>
      <c r="D10145" s="811"/>
      <c r="E10145" s="1276">
        <f>[11]building!Y10476</f>
        <v>0</v>
      </c>
      <c r="F10145" s="748">
        <f t="shared" si="397"/>
        <v>0</v>
      </c>
      <c r="G10145" s="1205"/>
      <c r="H10145" s="1055"/>
      <c r="I10145" s="1055"/>
      <c r="J10145" s="1055"/>
      <c r="K10145" s="1205"/>
      <c r="L10145" s="1055"/>
      <c r="M10145" s="1205"/>
      <c r="N10145" s="1054"/>
      <c r="O10145" s="1207"/>
      <c r="Q10145" s="1207"/>
    </row>
    <row r="10146" spans="3:17" s="700" customFormat="1" ht="70.5" hidden="1" customHeight="1">
      <c r="C10146" s="701"/>
      <c r="D10146" s="811"/>
      <c r="E10146" s="1276">
        <f>[11]building!Y10477</f>
        <v>0</v>
      </c>
      <c r="F10146" s="748">
        <f t="shared" si="397"/>
        <v>0</v>
      </c>
      <c r="G10146" s="1205"/>
      <c r="H10146" s="1055"/>
      <c r="I10146" s="1055"/>
      <c r="J10146" s="1055"/>
      <c r="K10146" s="1205"/>
      <c r="L10146" s="1055"/>
      <c r="M10146" s="1205"/>
      <c r="N10146" s="1054"/>
      <c r="O10146" s="1207"/>
      <c r="Q10146" s="1207"/>
    </row>
    <row r="10147" spans="3:17" s="700" customFormat="1" ht="70.5" hidden="1" customHeight="1">
      <c r="C10147" s="701"/>
      <c r="D10147" s="811"/>
      <c r="E10147" s="1276">
        <f>[11]building!Y10478</f>
        <v>0</v>
      </c>
      <c r="F10147" s="748">
        <f t="shared" si="397"/>
        <v>0</v>
      </c>
      <c r="G10147" s="1205"/>
      <c r="H10147" s="1055"/>
      <c r="I10147" s="1055"/>
      <c r="J10147" s="1055"/>
      <c r="K10147" s="1205"/>
      <c r="L10147" s="1055"/>
      <c r="M10147" s="1205"/>
      <c r="N10147" s="1054"/>
      <c r="O10147" s="1207"/>
      <c r="Q10147" s="1207"/>
    </row>
    <row r="10148" spans="3:17" s="700" customFormat="1" ht="70.5" hidden="1" customHeight="1">
      <c r="C10148" s="701"/>
      <c r="D10148" s="811"/>
      <c r="E10148" s="1276">
        <f>[11]building!Y10479</f>
        <v>0</v>
      </c>
      <c r="F10148" s="748">
        <f t="shared" si="397"/>
        <v>0</v>
      </c>
      <c r="G10148" s="1205"/>
      <c r="H10148" s="1055"/>
      <c r="I10148" s="1055"/>
      <c r="J10148" s="1055"/>
      <c r="K10148" s="1205"/>
      <c r="L10148" s="1055"/>
      <c r="M10148" s="1205"/>
      <c r="N10148" s="1054"/>
      <c r="O10148" s="1207"/>
      <c r="Q10148" s="1207"/>
    </row>
    <row r="10149" spans="3:17" s="700" customFormat="1" ht="70.5" hidden="1" customHeight="1">
      <c r="C10149" s="701"/>
      <c r="D10149" s="811"/>
      <c r="E10149" s="1276">
        <f>[11]building!Y10480</f>
        <v>0</v>
      </c>
      <c r="F10149" s="748">
        <f t="shared" si="397"/>
        <v>0</v>
      </c>
      <c r="G10149" s="1205"/>
      <c r="H10149" s="1055"/>
      <c r="I10149" s="1055"/>
      <c r="J10149" s="1055"/>
      <c r="K10149" s="1205"/>
      <c r="L10149" s="1055"/>
      <c r="M10149" s="1205"/>
      <c r="N10149" s="1054"/>
      <c r="O10149" s="1207"/>
      <c r="Q10149" s="1207"/>
    </row>
    <row r="10150" spans="3:17" s="700" customFormat="1" ht="70.5" hidden="1" customHeight="1">
      <c r="C10150" s="701"/>
      <c r="D10150" s="811"/>
      <c r="E10150" s="1276">
        <f>[11]building!Y10481</f>
        <v>0</v>
      </c>
      <c r="F10150" s="748">
        <f t="shared" si="397"/>
        <v>0</v>
      </c>
      <c r="G10150" s="1205"/>
      <c r="H10150" s="1055"/>
      <c r="I10150" s="1055"/>
      <c r="J10150" s="1055"/>
      <c r="K10150" s="1205"/>
      <c r="L10150" s="1055"/>
      <c r="M10150" s="1205"/>
      <c r="N10150" s="1054"/>
      <c r="O10150" s="1207"/>
      <c r="Q10150" s="1207"/>
    </row>
    <row r="10151" spans="3:17" s="700" customFormat="1" ht="70.5" hidden="1" customHeight="1">
      <c r="C10151" s="701"/>
      <c r="D10151" s="811"/>
      <c r="E10151" s="1276">
        <f>[11]building!Y10482</f>
        <v>0</v>
      </c>
      <c r="F10151" s="748">
        <f t="shared" si="397"/>
        <v>0</v>
      </c>
      <c r="G10151" s="1205"/>
      <c r="H10151" s="1055"/>
      <c r="I10151" s="1055"/>
      <c r="J10151" s="1055"/>
      <c r="K10151" s="1205"/>
      <c r="L10151" s="1055"/>
      <c r="M10151" s="1205"/>
      <c r="N10151" s="1054"/>
      <c r="O10151" s="1207"/>
      <c r="Q10151" s="1207"/>
    </row>
    <row r="10152" spans="3:17" s="700" customFormat="1" ht="70.5" hidden="1" customHeight="1">
      <c r="C10152" s="701"/>
      <c r="D10152" s="811"/>
      <c r="E10152" s="1276">
        <f>[11]building!Y10483</f>
        <v>0</v>
      </c>
      <c r="F10152" s="748">
        <f t="shared" si="397"/>
        <v>0</v>
      </c>
      <c r="G10152" s="1205"/>
      <c r="H10152" s="1055"/>
      <c r="I10152" s="1055"/>
      <c r="J10152" s="1055"/>
      <c r="K10152" s="1205"/>
      <c r="L10152" s="1055"/>
      <c r="M10152" s="1205"/>
      <c r="N10152" s="1054"/>
      <c r="O10152" s="1207"/>
      <c r="Q10152" s="1207"/>
    </row>
    <row r="10153" spans="3:17" s="700" customFormat="1" ht="70.5" hidden="1" customHeight="1">
      <c r="C10153" s="701"/>
      <c r="D10153" s="811"/>
      <c r="E10153" s="1276">
        <f>[11]building!Y10484</f>
        <v>0</v>
      </c>
      <c r="F10153" s="748">
        <f t="shared" si="397"/>
        <v>0</v>
      </c>
      <c r="G10153" s="1205"/>
      <c r="H10153" s="1055"/>
      <c r="I10153" s="1055"/>
      <c r="J10153" s="1055"/>
      <c r="K10153" s="1205"/>
      <c r="L10153" s="1055"/>
      <c r="M10153" s="1205"/>
      <c r="N10153" s="1054"/>
      <c r="O10153" s="1207"/>
      <c r="Q10153" s="1207"/>
    </row>
    <row r="10154" spans="3:17" s="700" customFormat="1" ht="70.5" hidden="1" customHeight="1">
      <c r="C10154" s="701"/>
      <c r="D10154" s="811"/>
      <c r="E10154" s="1276">
        <f>[11]building!Y10485</f>
        <v>0</v>
      </c>
      <c r="F10154" s="748">
        <f t="shared" si="397"/>
        <v>0</v>
      </c>
      <c r="G10154" s="1205"/>
      <c r="H10154" s="1055"/>
      <c r="I10154" s="1055"/>
      <c r="J10154" s="1055"/>
      <c r="K10154" s="1205"/>
      <c r="L10154" s="1055"/>
      <c r="M10154" s="1205"/>
      <c r="N10154" s="1054"/>
      <c r="O10154" s="1207"/>
      <c r="Q10154" s="1207"/>
    </row>
    <row r="10155" spans="3:17" s="700" customFormat="1" ht="70.5" hidden="1" customHeight="1">
      <c r="C10155" s="701"/>
      <c r="D10155" s="811"/>
      <c r="E10155" s="1276">
        <f>[11]building!Y10486</f>
        <v>0</v>
      </c>
      <c r="F10155" s="748">
        <f t="shared" si="397"/>
        <v>0</v>
      </c>
      <c r="G10155" s="1205"/>
      <c r="H10155" s="1055"/>
      <c r="I10155" s="1055"/>
      <c r="J10155" s="1055"/>
      <c r="K10155" s="1205"/>
      <c r="L10155" s="1055"/>
      <c r="M10155" s="1205"/>
      <c r="N10155" s="1054"/>
      <c r="O10155" s="1207"/>
      <c r="Q10155" s="1207"/>
    </row>
    <row r="10156" spans="3:17" s="700" customFormat="1" ht="70.5" hidden="1" customHeight="1">
      <c r="C10156" s="701"/>
      <c r="D10156" s="811"/>
      <c r="E10156" s="1276">
        <f>[11]building!Y10487</f>
        <v>0</v>
      </c>
      <c r="F10156" s="748">
        <f t="shared" si="397"/>
        <v>0</v>
      </c>
      <c r="G10156" s="1205"/>
      <c r="H10156" s="1055"/>
      <c r="I10156" s="1055"/>
      <c r="J10156" s="1055"/>
      <c r="K10156" s="1205"/>
      <c r="L10156" s="1055"/>
      <c r="M10156" s="1205"/>
      <c r="N10156" s="1054"/>
      <c r="O10156" s="1207"/>
      <c r="Q10156" s="1207"/>
    </row>
    <row r="10157" spans="3:17" s="700" customFormat="1" ht="70.5" hidden="1" customHeight="1">
      <c r="C10157" s="701"/>
      <c r="D10157" s="811"/>
      <c r="E10157" s="1276">
        <f>[11]building!Y10488</f>
        <v>0</v>
      </c>
      <c r="F10157" s="748">
        <f t="shared" si="397"/>
        <v>0</v>
      </c>
      <c r="G10157" s="1205"/>
      <c r="H10157" s="1055"/>
      <c r="I10157" s="1055"/>
      <c r="J10157" s="1055"/>
      <c r="K10157" s="1205"/>
      <c r="L10157" s="1055"/>
      <c r="M10157" s="1205"/>
      <c r="N10157" s="1054"/>
      <c r="O10157" s="1207"/>
      <c r="Q10157" s="1207"/>
    </row>
    <row r="10158" spans="3:17" s="700" customFormat="1" ht="70.5" hidden="1" customHeight="1">
      <c r="C10158" s="701"/>
      <c r="D10158" s="811"/>
      <c r="E10158" s="1276">
        <f>[11]building!Y10489</f>
        <v>0</v>
      </c>
      <c r="F10158" s="748">
        <f t="shared" si="397"/>
        <v>0</v>
      </c>
      <c r="G10158" s="1205"/>
      <c r="H10158" s="1055"/>
      <c r="I10158" s="1055"/>
      <c r="J10158" s="1055"/>
      <c r="K10158" s="1205"/>
      <c r="L10158" s="1055"/>
      <c r="M10158" s="1205"/>
      <c r="N10158" s="1054"/>
      <c r="O10158" s="1207"/>
      <c r="Q10158" s="1207"/>
    </row>
    <row r="10159" spans="3:17" s="700" customFormat="1" ht="70.5" hidden="1" customHeight="1">
      <c r="C10159" s="701"/>
      <c r="D10159" s="811"/>
      <c r="E10159" s="1276">
        <f>[11]building!Y10490</f>
        <v>0</v>
      </c>
      <c r="F10159" s="748">
        <f t="shared" si="397"/>
        <v>0</v>
      </c>
      <c r="G10159" s="1205"/>
      <c r="H10159" s="1055"/>
      <c r="I10159" s="1055"/>
      <c r="J10159" s="1055"/>
      <c r="K10159" s="1205"/>
      <c r="L10159" s="1055"/>
      <c r="M10159" s="1205"/>
      <c r="N10159" s="1054"/>
      <c r="O10159" s="1207"/>
      <c r="Q10159" s="1207"/>
    </row>
    <row r="10160" spans="3:17" s="700" customFormat="1" ht="70.5" hidden="1" customHeight="1">
      <c r="C10160" s="701"/>
      <c r="D10160" s="811"/>
      <c r="E10160" s="1276">
        <f>[11]building!Y10491</f>
        <v>0</v>
      </c>
      <c r="F10160" s="748">
        <f t="shared" si="397"/>
        <v>0</v>
      </c>
      <c r="G10160" s="1205"/>
      <c r="H10160" s="1055"/>
      <c r="I10160" s="1055"/>
      <c r="J10160" s="1055"/>
      <c r="K10160" s="1205"/>
      <c r="L10160" s="1055"/>
      <c r="M10160" s="1205"/>
      <c r="N10160" s="1054"/>
      <c r="O10160" s="1207"/>
      <c r="Q10160" s="1207"/>
    </row>
    <row r="10161" spans="3:17" s="700" customFormat="1" ht="70.5" hidden="1" customHeight="1">
      <c r="C10161" s="701"/>
      <c r="D10161" s="811"/>
      <c r="E10161" s="1276">
        <f>[11]building!Y10492</f>
        <v>0</v>
      </c>
      <c r="F10161" s="748">
        <f t="shared" si="397"/>
        <v>0</v>
      </c>
      <c r="G10161" s="1205"/>
      <c r="H10161" s="1055"/>
      <c r="I10161" s="1055"/>
      <c r="J10161" s="1055"/>
      <c r="K10161" s="1205"/>
      <c r="L10161" s="1055"/>
      <c r="M10161" s="1205"/>
      <c r="N10161" s="1054"/>
      <c r="O10161" s="1207"/>
      <c r="Q10161" s="1207"/>
    </row>
    <row r="10162" spans="3:17" s="700" customFormat="1" ht="70.5" hidden="1" customHeight="1">
      <c r="C10162" s="701"/>
      <c r="D10162" s="811"/>
      <c r="E10162" s="1276">
        <f>[11]building!Y10493</f>
        <v>0</v>
      </c>
      <c r="F10162" s="748">
        <f t="shared" si="397"/>
        <v>0</v>
      </c>
      <c r="G10162" s="1205"/>
      <c r="H10162" s="1055"/>
      <c r="I10162" s="1055"/>
      <c r="J10162" s="1055"/>
      <c r="K10162" s="1205"/>
      <c r="L10162" s="1055"/>
      <c r="M10162" s="1205"/>
      <c r="N10162" s="1054"/>
      <c r="O10162" s="1207"/>
      <c r="Q10162" s="1207"/>
    </row>
    <row r="10163" spans="3:17" s="700" customFormat="1" ht="70.5" hidden="1" customHeight="1">
      <c r="C10163" s="701"/>
      <c r="D10163" s="811"/>
      <c r="E10163" s="1276">
        <f>[11]building!Y10494</f>
        <v>0</v>
      </c>
      <c r="F10163" s="748">
        <f t="shared" si="397"/>
        <v>0</v>
      </c>
      <c r="G10163" s="1205"/>
      <c r="H10163" s="1055"/>
      <c r="I10163" s="1055"/>
      <c r="J10163" s="1055"/>
      <c r="K10163" s="1205"/>
      <c r="L10163" s="1055"/>
      <c r="M10163" s="1205"/>
      <c r="N10163" s="1054"/>
      <c r="O10163" s="1207"/>
      <c r="Q10163" s="1207"/>
    </row>
    <row r="10164" spans="3:17" s="700" customFormat="1" ht="70.5" hidden="1" customHeight="1">
      <c r="C10164" s="701"/>
      <c r="D10164" s="811"/>
      <c r="E10164" s="1276">
        <f>[11]building!Y10495</f>
        <v>0</v>
      </c>
      <c r="F10164" s="748">
        <f t="shared" si="397"/>
        <v>0</v>
      </c>
      <c r="G10164" s="1205"/>
      <c r="H10164" s="1055"/>
      <c r="I10164" s="1055"/>
      <c r="J10164" s="1055"/>
      <c r="K10164" s="1205"/>
      <c r="L10164" s="1055"/>
      <c r="M10164" s="1205"/>
      <c r="N10164" s="1054"/>
      <c r="O10164" s="1207"/>
      <c r="Q10164" s="1207"/>
    </row>
    <row r="10165" spans="3:17" s="700" customFormat="1" ht="70.5" hidden="1" customHeight="1">
      <c r="C10165" s="701"/>
      <c r="D10165" s="811"/>
      <c r="E10165" s="1276">
        <f>[11]building!Y10496</f>
        <v>0</v>
      </c>
      <c r="F10165" s="748">
        <f t="shared" si="397"/>
        <v>0</v>
      </c>
      <c r="G10165" s="1205"/>
      <c r="H10165" s="1055"/>
      <c r="I10165" s="1055"/>
      <c r="J10165" s="1055"/>
      <c r="K10165" s="1205"/>
      <c r="L10165" s="1055"/>
      <c r="M10165" s="1205"/>
      <c r="N10165" s="1054"/>
      <c r="O10165" s="1207"/>
      <c r="Q10165" s="1207"/>
    </row>
    <row r="10166" spans="3:17" s="700" customFormat="1" ht="70.5" hidden="1" customHeight="1">
      <c r="C10166" s="701"/>
      <c r="D10166" s="811"/>
      <c r="E10166" s="1276">
        <f>[11]building!Y10497</f>
        <v>0</v>
      </c>
      <c r="F10166" s="748">
        <f t="shared" si="397"/>
        <v>0</v>
      </c>
      <c r="G10166" s="1205"/>
      <c r="H10166" s="1055"/>
      <c r="I10166" s="1055"/>
      <c r="J10166" s="1055"/>
      <c r="K10166" s="1205"/>
      <c r="L10166" s="1055"/>
      <c r="M10166" s="1205"/>
      <c r="N10166" s="1054"/>
      <c r="O10166" s="1207"/>
      <c r="Q10166" s="1207"/>
    </row>
    <row r="10167" spans="3:17" s="700" customFormat="1" ht="70.5" hidden="1" customHeight="1">
      <c r="C10167" s="701"/>
      <c r="D10167" s="811"/>
      <c r="E10167" s="1276">
        <f>[11]building!Y10498</f>
        <v>0</v>
      </c>
      <c r="F10167" s="748">
        <f t="shared" si="397"/>
        <v>0</v>
      </c>
      <c r="G10167" s="1205"/>
      <c r="H10167" s="1055"/>
      <c r="I10167" s="1055"/>
      <c r="J10167" s="1055"/>
      <c r="K10167" s="1205"/>
      <c r="L10167" s="1055"/>
      <c r="M10167" s="1205"/>
      <c r="N10167" s="1054"/>
      <c r="O10167" s="1207"/>
      <c r="Q10167" s="1207"/>
    </row>
    <row r="10168" spans="3:17" s="700" customFormat="1" ht="70.5" hidden="1" customHeight="1">
      <c r="C10168" s="701"/>
      <c r="D10168" s="811"/>
      <c r="E10168" s="1276">
        <f>[11]building!Y10499</f>
        <v>0</v>
      </c>
      <c r="F10168" s="748">
        <f t="shared" si="397"/>
        <v>0</v>
      </c>
      <c r="G10168" s="1205"/>
      <c r="H10168" s="1055"/>
      <c r="I10168" s="1055"/>
      <c r="J10168" s="1055"/>
      <c r="K10168" s="1205"/>
      <c r="L10168" s="1055"/>
      <c r="M10168" s="1205"/>
      <c r="N10168" s="1054"/>
      <c r="O10168" s="1207"/>
      <c r="Q10168" s="1207"/>
    </row>
    <row r="10169" spans="3:17" s="700" customFormat="1" ht="70.5" hidden="1" customHeight="1">
      <c r="C10169" s="701"/>
      <c r="D10169" s="811"/>
      <c r="E10169" s="1276">
        <f>[11]building!Y10500</f>
        <v>0</v>
      </c>
      <c r="F10169" s="748">
        <f t="shared" si="397"/>
        <v>0</v>
      </c>
      <c r="G10169" s="1205"/>
      <c r="H10169" s="1055"/>
      <c r="I10169" s="1055"/>
      <c r="J10169" s="1055"/>
      <c r="K10169" s="1205"/>
      <c r="L10169" s="1055"/>
      <c r="M10169" s="1205"/>
      <c r="N10169" s="1054"/>
      <c r="O10169" s="1207"/>
      <c r="Q10169" s="1207"/>
    </row>
    <row r="10170" spans="3:17" s="700" customFormat="1" ht="70.5" hidden="1" customHeight="1">
      <c r="C10170" s="701"/>
      <c r="D10170" s="811"/>
      <c r="E10170" s="1276">
        <f>[11]building!Y10501</f>
        <v>0</v>
      </c>
      <c r="F10170" s="748">
        <f t="shared" si="397"/>
        <v>0</v>
      </c>
      <c r="G10170" s="1205"/>
      <c r="H10170" s="1055"/>
      <c r="I10170" s="1055"/>
      <c r="J10170" s="1055"/>
      <c r="K10170" s="1205"/>
      <c r="L10170" s="1055"/>
      <c r="M10170" s="1205"/>
      <c r="N10170" s="1054"/>
      <c r="O10170" s="1207"/>
      <c r="Q10170" s="1207"/>
    </row>
    <row r="10171" spans="3:17" s="700" customFormat="1" ht="70.5" hidden="1" customHeight="1">
      <c r="C10171" s="701"/>
      <c r="D10171" s="811"/>
      <c r="E10171" s="1276">
        <f>[11]building!Y10502</f>
        <v>0</v>
      </c>
      <c r="F10171" s="748">
        <f t="shared" si="397"/>
        <v>0</v>
      </c>
      <c r="G10171" s="1205"/>
      <c r="H10171" s="1055"/>
      <c r="I10171" s="1055"/>
      <c r="J10171" s="1055"/>
      <c r="K10171" s="1205"/>
      <c r="L10171" s="1055"/>
      <c r="M10171" s="1205"/>
      <c r="N10171" s="1054"/>
      <c r="O10171" s="1207"/>
      <c r="Q10171" s="1207"/>
    </row>
    <row r="10172" spans="3:17" s="700" customFormat="1" ht="70.5" hidden="1" customHeight="1">
      <c r="C10172" s="701"/>
      <c r="D10172" s="811"/>
      <c r="E10172" s="1276">
        <f>[11]building!Y10503</f>
        <v>0</v>
      </c>
      <c r="F10172" s="748">
        <f t="shared" si="397"/>
        <v>0</v>
      </c>
      <c r="G10172" s="1205"/>
      <c r="H10172" s="1055"/>
      <c r="I10172" s="1055"/>
      <c r="J10172" s="1055"/>
      <c r="K10172" s="1205"/>
      <c r="L10172" s="1055"/>
      <c r="M10172" s="1205"/>
      <c r="N10172" s="1054"/>
      <c r="O10172" s="1207"/>
      <c r="Q10172" s="1207"/>
    </row>
    <row r="10173" spans="3:17" s="700" customFormat="1" ht="70.5" hidden="1" customHeight="1">
      <c r="C10173" s="701"/>
      <c r="D10173" s="811"/>
      <c r="E10173" s="1276">
        <f>[11]building!Y10504</f>
        <v>0</v>
      </c>
      <c r="F10173" s="748">
        <f t="shared" si="397"/>
        <v>0</v>
      </c>
      <c r="G10173" s="1205"/>
      <c r="H10173" s="1055"/>
      <c r="I10173" s="1055"/>
      <c r="J10173" s="1055"/>
      <c r="K10173" s="1205"/>
      <c r="L10173" s="1055"/>
      <c r="M10173" s="1205"/>
      <c r="N10173" s="1054"/>
      <c r="O10173" s="1207"/>
      <c r="Q10173" s="1207"/>
    </row>
    <row r="10174" spans="3:17" s="700" customFormat="1" ht="70.5" hidden="1" customHeight="1">
      <c r="C10174" s="701"/>
      <c r="D10174" s="811"/>
      <c r="E10174" s="1276">
        <f>[11]building!Y10505</f>
        <v>0</v>
      </c>
      <c r="F10174" s="748">
        <f t="shared" si="397"/>
        <v>0</v>
      </c>
      <c r="G10174" s="1205"/>
      <c r="H10174" s="1055"/>
      <c r="I10174" s="1055"/>
      <c r="J10174" s="1055"/>
      <c r="K10174" s="1205"/>
      <c r="L10174" s="1055"/>
      <c r="M10174" s="1205"/>
      <c r="N10174" s="1054"/>
      <c r="O10174" s="1207"/>
      <c r="Q10174" s="1207"/>
    </row>
    <row r="10175" spans="3:17" s="700" customFormat="1" ht="70.5" hidden="1" customHeight="1">
      <c r="C10175" s="701"/>
      <c r="D10175" s="811"/>
      <c r="E10175" s="1276">
        <f>[11]building!Y10506</f>
        <v>0</v>
      </c>
      <c r="F10175" s="748">
        <f t="shared" si="397"/>
        <v>0</v>
      </c>
      <c r="G10175" s="1205"/>
      <c r="H10175" s="1055"/>
      <c r="I10175" s="1055"/>
      <c r="J10175" s="1055"/>
      <c r="K10175" s="1205"/>
      <c r="L10175" s="1055"/>
      <c r="M10175" s="1205"/>
      <c r="N10175" s="1054"/>
      <c r="O10175" s="1207"/>
      <c r="Q10175" s="1207"/>
    </row>
    <row r="10176" spans="3:17" s="700" customFormat="1" ht="70.5" hidden="1" customHeight="1">
      <c r="C10176" s="701"/>
      <c r="D10176" s="811"/>
      <c r="E10176" s="1276">
        <f>[11]building!Y10507</f>
        <v>0</v>
      </c>
      <c r="F10176" s="748">
        <f t="shared" ref="F10176:F10239" si="398">E10176*C10176</f>
        <v>0</v>
      </c>
      <c r="G10176" s="1205"/>
      <c r="H10176" s="1055"/>
      <c r="I10176" s="1055"/>
      <c r="J10176" s="1055"/>
      <c r="K10176" s="1205"/>
      <c r="L10176" s="1055"/>
      <c r="M10176" s="1205"/>
      <c r="N10176" s="1054"/>
      <c r="O10176" s="1207"/>
      <c r="Q10176" s="1207"/>
    </row>
    <row r="10177" spans="3:17" s="700" customFormat="1" ht="70.5" hidden="1" customHeight="1">
      <c r="C10177" s="701"/>
      <c r="D10177" s="811"/>
      <c r="E10177" s="1276">
        <f>[11]building!Y10508</f>
        <v>0</v>
      </c>
      <c r="F10177" s="748">
        <f t="shared" si="398"/>
        <v>0</v>
      </c>
      <c r="G10177" s="1205"/>
      <c r="H10177" s="1055"/>
      <c r="I10177" s="1055"/>
      <c r="J10177" s="1055"/>
      <c r="K10177" s="1205"/>
      <c r="L10177" s="1055"/>
      <c r="M10177" s="1205"/>
      <c r="N10177" s="1054"/>
      <c r="O10177" s="1207"/>
      <c r="Q10177" s="1207"/>
    </row>
    <row r="10178" spans="3:17" s="700" customFormat="1" ht="70.5" hidden="1" customHeight="1">
      <c r="C10178" s="701"/>
      <c r="D10178" s="811"/>
      <c r="E10178" s="1276">
        <f>[11]building!Y10509</f>
        <v>0</v>
      </c>
      <c r="F10178" s="748">
        <f t="shared" si="398"/>
        <v>0</v>
      </c>
      <c r="G10178" s="1205"/>
      <c r="H10178" s="1055"/>
      <c r="I10178" s="1055"/>
      <c r="J10178" s="1055"/>
      <c r="K10178" s="1205"/>
      <c r="L10178" s="1055"/>
      <c r="M10178" s="1205"/>
      <c r="N10178" s="1054"/>
      <c r="O10178" s="1207"/>
      <c r="Q10178" s="1207"/>
    </row>
    <row r="10179" spans="3:17" s="700" customFormat="1" ht="70.5" hidden="1" customHeight="1">
      <c r="C10179" s="701"/>
      <c r="D10179" s="811"/>
      <c r="E10179" s="1276">
        <f>[11]building!Y10510</f>
        <v>0</v>
      </c>
      <c r="F10179" s="748">
        <f t="shared" si="398"/>
        <v>0</v>
      </c>
      <c r="G10179" s="1205"/>
      <c r="H10179" s="1055"/>
      <c r="I10179" s="1055"/>
      <c r="J10179" s="1055"/>
      <c r="K10179" s="1205"/>
      <c r="L10179" s="1055"/>
      <c r="M10179" s="1205"/>
      <c r="N10179" s="1054"/>
      <c r="O10179" s="1207"/>
      <c r="Q10179" s="1207"/>
    </row>
    <row r="10180" spans="3:17" s="700" customFormat="1" ht="70.5" hidden="1" customHeight="1">
      <c r="C10180" s="701"/>
      <c r="D10180" s="811"/>
      <c r="E10180" s="1276">
        <f>[11]building!Y10511</f>
        <v>0</v>
      </c>
      <c r="F10180" s="748">
        <f t="shared" si="398"/>
        <v>0</v>
      </c>
      <c r="G10180" s="1205"/>
      <c r="H10180" s="1055"/>
      <c r="I10180" s="1055"/>
      <c r="J10180" s="1055"/>
      <c r="K10180" s="1205"/>
      <c r="L10180" s="1055"/>
      <c r="M10180" s="1205"/>
      <c r="N10180" s="1054"/>
      <c r="O10180" s="1207"/>
      <c r="Q10180" s="1207"/>
    </row>
    <row r="10181" spans="3:17" s="700" customFormat="1" ht="70.5" hidden="1" customHeight="1">
      <c r="C10181" s="701"/>
      <c r="D10181" s="811"/>
      <c r="E10181" s="1276">
        <f>[11]building!Y10512</f>
        <v>0</v>
      </c>
      <c r="F10181" s="748">
        <f t="shared" si="398"/>
        <v>0</v>
      </c>
      <c r="G10181" s="1205"/>
      <c r="H10181" s="1055"/>
      <c r="I10181" s="1055"/>
      <c r="J10181" s="1055"/>
      <c r="K10181" s="1205"/>
      <c r="L10181" s="1055"/>
      <c r="M10181" s="1205"/>
      <c r="N10181" s="1054"/>
      <c r="O10181" s="1207"/>
      <c r="Q10181" s="1207"/>
    </row>
    <row r="10182" spans="3:17" s="700" customFormat="1" ht="70.5" hidden="1" customHeight="1">
      <c r="C10182" s="701"/>
      <c r="D10182" s="811"/>
      <c r="E10182" s="1276">
        <f>[11]building!Y10513</f>
        <v>0</v>
      </c>
      <c r="F10182" s="748">
        <f t="shared" si="398"/>
        <v>0</v>
      </c>
      <c r="G10182" s="1205"/>
      <c r="H10182" s="1055"/>
      <c r="I10182" s="1055"/>
      <c r="J10182" s="1055"/>
      <c r="K10182" s="1205"/>
      <c r="L10182" s="1055"/>
      <c r="M10182" s="1205"/>
      <c r="N10182" s="1054"/>
      <c r="O10182" s="1207"/>
      <c r="Q10182" s="1207"/>
    </row>
    <row r="10183" spans="3:17" s="700" customFormat="1" ht="70.5" hidden="1" customHeight="1">
      <c r="C10183" s="701"/>
      <c r="D10183" s="811"/>
      <c r="E10183" s="1276">
        <f>[11]building!Y10514</f>
        <v>0</v>
      </c>
      <c r="F10183" s="748">
        <f t="shared" si="398"/>
        <v>0</v>
      </c>
      <c r="G10183" s="1205"/>
      <c r="H10183" s="1055"/>
      <c r="I10183" s="1055"/>
      <c r="J10183" s="1055"/>
      <c r="K10183" s="1205"/>
      <c r="L10183" s="1055"/>
      <c r="M10183" s="1205"/>
      <c r="N10183" s="1054"/>
      <c r="O10183" s="1207"/>
      <c r="Q10183" s="1207"/>
    </row>
    <row r="10184" spans="3:17" s="700" customFormat="1" ht="70.5" hidden="1" customHeight="1">
      <c r="C10184" s="701"/>
      <c r="D10184" s="811"/>
      <c r="E10184" s="1276">
        <f>[11]building!Y10515</f>
        <v>0</v>
      </c>
      <c r="F10184" s="748">
        <f t="shared" si="398"/>
        <v>0</v>
      </c>
      <c r="G10184" s="1205"/>
      <c r="H10184" s="1055"/>
      <c r="I10184" s="1055"/>
      <c r="J10184" s="1055"/>
      <c r="K10184" s="1205"/>
      <c r="L10184" s="1055"/>
      <c r="M10184" s="1205"/>
      <c r="N10184" s="1054"/>
      <c r="O10184" s="1207"/>
      <c r="Q10184" s="1207"/>
    </row>
    <row r="10185" spans="3:17" s="700" customFormat="1" ht="70.5" hidden="1" customHeight="1">
      <c r="C10185" s="701"/>
      <c r="D10185" s="811"/>
      <c r="E10185" s="1276">
        <f>[11]building!Y10516</f>
        <v>0</v>
      </c>
      <c r="F10185" s="748">
        <f t="shared" si="398"/>
        <v>0</v>
      </c>
      <c r="G10185" s="1205"/>
      <c r="H10185" s="1055"/>
      <c r="I10185" s="1055"/>
      <c r="J10185" s="1055"/>
      <c r="K10185" s="1205"/>
      <c r="L10185" s="1055"/>
      <c r="M10185" s="1205"/>
      <c r="N10185" s="1054"/>
      <c r="O10185" s="1207"/>
      <c r="Q10185" s="1207"/>
    </row>
    <row r="10186" spans="3:17" s="700" customFormat="1" ht="70.5" hidden="1" customHeight="1">
      <c r="C10186" s="701"/>
      <c r="D10186" s="811"/>
      <c r="E10186" s="1276">
        <f>[11]building!Y10517</f>
        <v>0</v>
      </c>
      <c r="F10186" s="748">
        <f t="shared" si="398"/>
        <v>0</v>
      </c>
      <c r="G10186" s="1205"/>
      <c r="H10186" s="1055"/>
      <c r="I10186" s="1055"/>
      <c r="J10186" s="1055"/>
      <c r="K10186" s="1205"/>
      <c r="L10186" s="1055"/>
      <c r="M10186" s="1205"/>
      <c r="N10186" s="1054"/>
      <c r="O10186" s="1207"/>
      <c r="Q10186" s="1207"/>
    </row>
    <row r="10187" spans="3:17" s="700" customFormat="1" ht="70.5" hidden="1" customHeight="1">
      <c r="C10187" s="701"/>
      <c r="D10187" s="811"/>
      <c r="E10187" s="1276">
        <f>[11]building!Y10518</f>
        <v>0</v>
      </c>
      <c r="F10187" s="748">
        <f t="shared" si="398"/>
        <v>0</v>
      </c>
      <c r="G10187" s="1205"/>
      <c r="H10187" s="1055"/>
      <c r="I10187" s="1055"/>
      <c r="J10187" s="1055"/>
      <c r="K10187" s="1205"/>
      <c r="L10187" s="1055"/>
      <c r="M10187" s="1205"/>
      <c r="N10187" s="1054"/>
      <c r="O10187" s="1207"/>
      <c r="Q10187" s="1207"/>
    </row>
    <row r="10188" spans="3:17" s="700" customFormat="1" ht="70.5" hidden="1" customHeight="1">
      <c r="C10188" s="701"/>
      <c r="D10188" s="811"/>
      <c r="E10188" s="1276">
        <f>[11]building!Y10519</f>
        <v>0</v>
      </c>
      <c r="F10188" s="748">
        <f t="shared" si="398"/>
        <v>0</v>
      </c>
      <c r="G10188" s="1205"/>
      <c r="H10188" s="1055"/>
      <c r="I10188" s="1055"/>
      <c r="J10188" s="1055"/>
      <c r="K10188" s="1205"/>
      <c r="L10188" s="1055"/>
      <c r="M10188" s="1205"/>
      <c r="N10188" s="1054"/>
      <c r="O10188" s="1207"/>
      <c r="Q10188" s="1207"/>
    </row>
    <row r="10189" spans="3:17" s="700" customFormat="1" ht="70.5" hidden="1" customHeight="1">
      <c r="C10189" s="701"/>
      <c r="D10189" s="811"/>
      <c r="E10189" s="1276">
        <f>[11]building!Y10520</f>
        <v>0</v>
      </c>
      <c r="F10189" s="748">
        <f t="shared" si="398"/>
        <v>0</v>
      </c>
      <c r="G10189" s="1205"/>
      <c r="H10189" s="1055"/>
      <c r="I10189" s="1055"/>
      <c r="J10189" s="1055"/>
      <c r="K10189" s="1205"/>
      <c r="L10189" s="1055"/>
      <c r="M10189" s="1205"/>
      <c r="N10189" s="1054"/>
      <c r="O10189" s="1207"/>
      <c r="Q10189" s="1207"/>
    </row>
    <row r="10190" spans="3:17" s="700" customFormat="1" ht="70.5" hidden="1" customHeight="1">
      <c r="C10190" s="701"/>
      <c r="D10190" s="811"/>
      <c r="E10190" s="1276">
        <f>[11]building!Y10521</f>
        <v>0</v>
      </c>
      <c r="F10190" s="748">
        <f t="shared" si="398"/>
        <v>0</v>
      </c>
      <c r="G10190" s="1205"/>
      <c r="H10190" s="1055"/>
      <c r="I10190" s="1055"/>
      <c r="J10190" s="1055"/>
      <c r="K10190" s="1205"/>
      <c r="L10190" s="1055"/>
      <c r="M10190" s="1205"/>
      <c r="N10190" s="1054"/>
      <c r="O10190" s="1207"/>
      <c r="Q10190" s="1207"/>
    </row>
    <row r="10191" spans="3:17" s="700" customFormat="1" ht="70.5" hidden="1" customHeight="1">
      <c r="C10191" s="701"/>
      <c r="D10191" s="811"/>
      <c r="E10191" s="1276">
        <f>[11]building!Y10522</f>
        <v>0</v>
      </c>
      <c r="F10191" s="748">
        <f t="shared" si="398"/>
        <v>0</v>
      </c>
      <c r="G10191" s="1205"/>
      <c r="H10191" s="1055"/>
      <c r="I10191" s="1055"/>
      <c r="J10191" s="1055"/>
      <c r="K10191" s="1205"/>
      <c r="L10191" s="1055"/>
      <c r="M10191" s="1205"/>
      <c r="N10191" s="1054"/>
      <c r="O10191" s="1207"/>
      <c r="Q10191" s="1207"/>
    </row>
    <row r="10192" spans="3:17" s="700" customFormat="1" ht="70.5" hidden="1" customHeight="1">
      <c r="C10192" s="701"/>
      <c r="D10192" s="811"/>
      <c r="E10192" s="1276">
        <f>[11]building!Y10523</f>
        <v>0</v>
      </c>
      <c r="F10192" s="748">
        <f t="shared" si="398"/>
        <v>0</v>
      </c>
      <c r="G10192" s="1205"/>
      <c r="H10192" s="1055"/>
      <c r="I10192" s="1055"/>
      <c r="J10192" s="1055"/>
      <c r="K10192" s="1205"/>
      <c r="L10192" s="1055"/>
      <c r="M10192" s="1205"/>
      <c r="N10192" s="1054"/>
      <c r="O10192" s="1207"/>
      <c r="Q10192" s="1207"/>
    </row>
    <row r="10193" spans="3:17" s="700" customFormat="1" ht="70.5" hidden="1" customHeight="1">
      <c r="C10193" s="701"/>
      <c r="D10193" s="811"/>
      <c r="E10193" s="1276">
        <f>[11]building!Y10524</f>
        <v>0</v>
      </c>
      <c r="F10193" s="748">
        <f t="shared" si="398"/>
        <v>0</v>
      </c>
      <c r="G10193" s="1205"/>
      <c r="H10193" s="1055"/>
      <c r="I10193" s="1055"/>
      <c r="J10193" s="1055"/>
      <c r="K10193" s="1205"/>
      <c r="L10193" s="1055"/>
      <c r="M10193" s="1205"/>
      <c r="N10193" s="1054"/>
      <c r="O10193" s="1207"/>
      <c r="Q10193" s="1207"/>
    </row>
    <row r="10194" spans="3:17" s="700" customFormat="1" ht="70.5" hidden="1" customHeight="1">
      <c r="C10194" s="701"/>
      <c r="D10194" s="811"/>
      <c r="E10194" s="1276">
        <f>[11]building!Y10525</f>
        <v>0</v>
      </c>
      <c r="F10194" s="748">
        <f t="shared" si="398"/>
        <v>0</v>
      </c>
      <c r="G10194" s="1205"/>
      <c r="H10194" s="1055"/>
      <c r="I10194" s="1055"/>
      <c r="J10194" s="1055"/>
      <c r="K10194" s="1205"/>
      <c r="L10194" s="1055"/>
      <c r="M10194" s="1205"/>
      <c r="N10194" s="1054"/>
      <c r="O10194" s="1207"/>
      <c r="Q10194" s="1207"/>
    </row>
    <row r="10195" spans="3:17" s="700" customFormat="1" ht="70.5" hidden="1" customHeight="1">
      <c r="C10195" s="701"/>
      <c r="D10195" s="811"/>
      <c r="E10195" s="1276">
        <f>[11]building!Y10526</f>
        <v>0</v>
      </c>
      <c r="F10195" s="748">
        <f t="shared" si="398"/>
        <v>0</v>
      </c>
      <c r="G10195" s="1205"/>
      <c r="H10195" s="1055"/>
      <c r="I10195" s="1055"/>
      <c r="J10195" s="1055"/>
      <c r="K10195" s="1205"/>
      <c r="L10195" s="1055"/>
      <c r="M10195" s="1205"/>
      <c r="N10195" s="1054"/>
      <c r="O10195" s="1207"/>
      <c r="Q10195" s="1207"/>
    </row>
    <row r="10196" spans="3:17" s="700" customFormat="1" ht="70.5" hidden="1" customHeight="1">
      <c r="C10196" s="701"/>
      <c r="D10196" s="811"/>
      <c r="E10196" s="1276">
        <f>[11]building!Y10527</f>
        <v>0</v>
      </c>
      <c r="F10196" s="748">
        <f t="shared" si="398"/>
        <v>0</v>
      </c>
      <c r="G10196" s="1205"/>
      <c r="H10196" s="1055"/>
      <c r="I10196" s="1055"/>
      <c r="J10196" s="1055"/>
      <c r="K10196" s="1205"/>
      <c r="L10196" s="1055"/>
      <c r="M10196" s="1205"/>
      <c r="N10196" s="1054"/>
      <c r="O10196" s="1207"/>
      <c r="Q10196" s="1207"/>
    </row>
    <row r="10197" spans="3:17" s="700" customFormat="1" ht="70.5" hidden="1" customHeight="1">
      <c r="C10197" s="701"/>
      <c r="D10197" s="811"/>
      <c r="E10197" s="1276">
        <f>[11]building!Y10528</f>
        <v>0</v>
      </c>
      <c r="F10197" s="748">
        <f t="shared" si="398"/>
        <v>0</v>
      </c>
      <c r="G10197" s="1205"/>
      <c r="H10197" s="1055"/>
      <c r="I10197" s="1055"/>
      <c r="J10197" s="1055"/>
      <c r="K10197" s="1205"/>
      <c r="L10197" s="1055"/>
      <c r="M10197" s="1205"/>
      <c r="N10197" s="1054"/>
      <c r="O10197" s="1207"/>
      <c r="Q10197" s="1207"/>
    </row>
    <row r="10198" spans="3:17" s="700" customFormat="1" ht="70.5" hidden="1" customHeight="1">
      <c r="C10198" s="701"/>
      <c r="D10198" s="811"/>
      <c r="E10198" s="1276">
        <f>[11]building!Y10529</f>
        <v>0</v>
      </c>
      <c r="F10198" s="748">
        <f t="shared" si="398"/>
        <v>0</v>
      </c>
      <c r="G10198" s="1205"/>
      <c r="H10198" s="1055"/>
      <c r="I10198" s="1055"/>
      <c r="J10198" s="1055"/>
      <c r="K10198" s="1205"/>
      <c r="L10198" s="1055"/>
      <c r="M10198" s="1205"/>
      <c r="N10198" s="1054"/>
      <c r="O10198" s="1207"/>
      <c r="Q10198" s="1207"/>
    </row>
    <row r="10199" spans="3:17" s="700" customFormat="1" ht="70.5" hidden="1" customHeight="1">
      <c r="C10199" s="701"/>
      <c r="D10199" s="811"/>
      <c r="E10199" s="1276">
        <f>[11]building!Y10530</f>
        <v>0</v>
      </c>
      <c r="F10199" s="748">
        <f t="shared" si="398"/>
        <v>0</v>
      </c>
      <c r="G10199" s="1205"/>
      <c r="H10199" s="1055"/>
      <c r="I10199" s="1055"/>
      <c r="J10199" s="1055"/>
      <c r="K10199" s="1205"/>
      <c r="L10199" s="1055"/>
      <c r="M10199" s="1205"/>
      <c r="N10199" s="1054"/>
      <c r="O10199" s="1207"/>
      <c r="Q10199" s="1207"/>
    </row>
    <row r="10200" spans="3:17" s="700" customFormat="1" ht="70.5" hidden="1" customHeight="1">
      <c r="C10200" s="701"/>
      <c r="D10200" s="811"/>
      <c r="E10200" s="1276">
        <f>[11]building!Y10531</f>
        <v>0</v>
      </c>
      <c r="F10200" s="748">
        <f t="shared" si="398"/>
        <v>0</v>
      </c>
      <c r="G10200" s="1205"/>
      <c r="H10200" s="1055"/>
      <c r="I10200" s="1055"/>
      <c r="J10200" s="1055"/>
      <c r="K10200" s="1205"/>
      <c r="L10200" s="1055"/>
      <c r="M10200" s="1205"/>
      <c r="N10200" s="1054"/>
      <c r="O10200" s="1207"/>
      <c r="Q10200" s="1207"/>
    </row>
    <row r="10201" spans="3:17" s="700" customFormat="1" ht="70.5" hidden="1" customHeight="1">
      <c r="C10201" s="701"/>
      <c r="D10201" s="811"/>
      <c r="E10201" s="1276">
        <f>[11]building!Y10532</f>
        <v>0</v>
      </c>
      <c r="F10201" s="748">
        <f t="shared" si="398"/>
        <v>0</v>
      </c>
      <c r="G10201" s="1205"/>
      <c r="H10201" s="1055"/>
      <c r="I10201" s="1055"/>
      <c r="J10201" s="1055"/>
      <c r="K10201" s="1205"/>
      <c r="L10201" s="1055"/>
      <c r="M10201" s="1205"/>
      <c r="N10201" s="1054"/>
      <c r="O10201" s="1207"/>
      <c r="Q10201" s="1207"/>
    </row>
    <row r="10202" spans="3:17" s="700" customFormat="1" ht="70.5" hidden="1" customHeight="1">
      <c r="C10202" s="701"/>
      <c r="D10202" s="811"/>
      <c r="E10202" s="1276">
        <f>[11]building!Y10533</f>
        <v>0</v>
      </c>
      <c r="F10202" s="748">
        <f t="shared" si="398"/>
        <v>0</v>
      </c>
      <c r="G10202" s="1205"/>
      <c r="H10202" s="1055"/>
      <c r="I10202" s="1055"/>
      <c r="J10202" s="1055"/>
      <c r="K10202" s="1205"/>
      <c r="L10202" s="1055"/>
      <c r="M10202" s="1205"/>
      <c r="N10202" s="1054"/>
      <c r="O10202" s="1207"/>
      <c r="Q10202" s="1207"/>
    </row>
    <row r="10203" spans="3:17" s="700" customFormat="1" ht="70.5" hidden="1" customHeight="1">
      <c r="C10203" s="701"/>
      <c r="D10203" s="811"/>
      <c r="E10203" s="1276">
        <f>[11]building!Y10534</f>
        <v>0</v>
      </c>
      <c r="F10203" s="748">
        <f t="shared" si="398"/>
        <v>0</v>
      </c>
      <c r="G10203" s="1205"/>
      <c r="H10203" s="1055"/>
      <c r="I10203" s="1055"/>
      <c r="J10203" s="1055"/>
      <c r="K10203" s="1205"/>
      <c r="L10203" s="1055"/>
      <c r="M10203" s="1205"/>
      <c r="N10203" s="1054"/>
      <c r="O10203" s="1207"/>
      <c r="Q10203" s="1207"/>
    </row>
    <row r="10204" spans="3:17" s="700" customFormat="1" ht="70.5" hidden="1" customHeight="1">
      <c r="C10204" s="701"/>
      <c r="D10204" s="811"/>
      <c r="E10204" s="1276">
        <f>[11]building!Y10535</f>
        <v>0</v>
      </c>
      <c r="F10204" s="748">
        <f t="shared" si="398"/>
        <v>0</v>
      </c>
      <c r="G10204" s="1205"/>
      <c r="H10204" s="1055"/>
      <c r="I10204" s="1055"/>
      <c r="J10204" s="1055"/>
      <c r="K10204" s="1205"/>
      <c r="L10204" s="1055"/>
      <c r="M10204" s="1205"/>
      <c r="N10204" s="1054"/>
      <c r="O10204" s="1207"/>
      <c r="Q10204" s="1207"/>
    </row>
    <row r="10205" spans="3:17" s="700" customFormat="1" ht="70.5" hidden="1" customHeight="1">
      <c r="C10205" s="701"/>
      <c r="D10205" s="811"/>
      <c r="E10205" s="1276">
        <f>[11]building!Y10536</f>
        <v>0</v>
      </c>
      <c r="F10205" s="748">
        <f t="shared" si="398"/>
        <v>0</v>
      </c>
      <c r="G10205" s="1205"/>
      <c r="H10205" s="1055"/>
      <c r="I10205" s="1055"/>
      <c r="J10205" s="1055"/>
      <c r="K10205" s="1205"/>
      <c r="L10205" s="1055"/>
      <c r="M10205" s="1205"/>
      <c r="N10205" s="1054"/>
      <c r="O10205" s="1207"/>
      <c r="Q10205" s="1207"/>
    </row>
    <row r="10206" spans="3:17" s="700" customFormat="1" ht="70.5" hidden="1" customHeight="1">
      <c r="C10206" s="701"/>
      <c r="D10206" s="811"/>
      <c r="E10206" s="1276">
        <f>[11]building!Y10537</f>
        <v>0</v>
      </c>
      <c r="F10206" s="748">
        <f t="shared" si="398"/>
        <v>0</v>
      </c>
      <c r="G10206" s="1205"/>
      <c r="H10206" s="1055"/>
      <c r="I10206" s="1055"/>
      <c r="J10206" s="1055"/>
      <c r="K10206" s="1205"/>
      <c r="L10206" s="1055"/>
      <c r="M10206" s="1205"/>
      <c r="N10206" s="1054"/>
      <c r="O10206" s="1207"/>
      <c r="Q10206" s="1207"/>
    </row>
    <row r="10207" spans="3:17" s="700" customFormat="1" ht="70.5" hidden="1" customHeight="1">
      <c r="C10207" s="701"/>
      <c r="D10207" s="811"/>
      <c r="E10207" s="1276">
        <f>[11]building!Y10538</f>
        <v>0</v>
      </c>
      <c r="F10207" s="748">
        <f t="shared" si="398"/>
        <v>0</v>
      </c>
      <c r="G10207" s="1205"/>
      <c r="H10207" s="1055"/>
      <c r="I10207" s="1055"/>
      <c r="J10207" s="1055"/>
      <c r="K10207" s="1205"/>
      <c r="L10207" s="1055"/>
      <c r="M10207" s="1205"/>
      <c r="N10207" s="1054"/>
      <c r="O10207" s="1207"/>
      <c r="Q10207" s="1207"/>
    </row>
    <row r="10208" spans="3:17" s="700" customFormat="1" ht="70.5" hidden="1" customHeight="1">
      <c r="C10208" s="701"/>
      <c r="D10208" s="811"/>
      <c r="E10208" s="1276">
        <f>[11]building!Y10539</f>
        <v>0</v>
      </c>
      <c r="F10208" s="748">
        <f t="shared" si="398"/>
        <v>0</v>
      </c>
      <c r="G10208" s="1205"/>
      <c r="H10208" s="1055"/>
      <c r="I10208" s="1055"/>
      <c r="J10208" s="1055"/>
      <c r="K10208" s="1205"/>
      <c r="L10208" s="1055"/>
      <c r="M10208" s="1205"/>
      <c r="N10208" s="1054"/>
      <c r="O10208" s="1207"/>
      <c r="Q10208" s="1207"/>
    </row>
    <row r="10209" spans="3:17" s="700" customFormat="1" ht="70.5" hidden="1" customHeight="1">
      <c r="C10209" s="701"/>
      <c r="D10209" s="811"/>
      <c r="E10209" s="1276">
        <f>[11]building!Y10540</f>
        <v>0</v>
      </c>
      <c r="F10209" s="748">
        <f t="shared" si="398"/>
        <v>0</v>
      </c>
      <c r="G10209" s="1205"/>
      <c r="H10209" s="1055"/>
      <c r="I10209" s="1055"/>
      <c r="J10209" s="1055"/>
      <c r="K10209" s="1205"/>
      <c r="L10209" s="1055"/>
      <c r="M10209" s="1205"/>
      <c r="N10209" s="1054"/>
      <c r="O10209" s="1207"/>
      <c r="Q10209" s="1207"/>
    </row>
    <row r="10210" spans="3:17" s="700" customFormat="1" ht="70.5" hidden="1" customHeight="1">
      <c r="C10210" s="701"/>
      <c r="D10210" s="811"/>
      <c r="E10210" s="1276">
        <f>[11]building!Y10541</f>
        <v>0</v>
      </c>
      <c r="F10210" s="748">
        <f t="shared" si="398"/>
        <v>0</v>
      </c>
      <c r="G10210" s="1205"/>
      <c r="H10210" s="1055"/>
      <c r="I10210" s="1055"/>
      <c r="J10210" s="1055"/>
      <c r="K10210" s="1205"/>
      <c r="L10210" s="1055"/>
      <c r="M10210" s="1205"/>
      <c r="N10210" s="1054"/>
      <c r="O10210" s="1207"/>
      <c r="Q10210" s="1207"/>
    </row>
    <row r="10211" spans="3:17" s="700" customFormat="1" ht="70.5" hidden="1" customHeight="1">
      <c r="C10211" s="701"/>
      <c r="D10211" s="811"/>
      <c r="E10211" s="1276">
        <f>[11]building!Y10542</f>
        <v>0</v>
      </c>
      <c r="F10211" s="748">
        <f t="shared" si="398"/>
        <v>0</v>
      </c>
      <c r="G10211" s="1205"/>
      <c r="H10211" s="1055"/>
      <c r="I10211" s="1055"/>
      <c r="J10211" s="1055"/>
      <c r="K10211" s="1205"/>
      <c r="L10211" s="1055"/>
      <c r="M10211" s="1205"/>
      <c r="N10211" s="1054"/>
      <c r="O10211" s="1207"/>
      <c r="Q10211" s="1207"/>
    </row>
    <row r="10212" spans="3:17" s="700" customFormat="1" ht="70.5" hidden="1" customHeight="1">
      <c r="C10212" s="701"/>
      <c r="D10212" s="811"/>
      <c r="E10212" s="1276">
        <f>[11]building!Y10543</f>
        <v>0</v>
      </c>
      <c r="F10212" s="748">
        <f t="shared" si="398"/>
        <v>0</v>
      </c>
      <c r="G10212" s="1205"/>
      <c r="H10212" s="1055"/>
      <c r="I10212" s="1055"/>
      <c r="J10212" s="1055"/>
      <c r="K10212" s="1205"/>
      <c r="L10212" s="1055"/>
      <c r="M10212" s="1205"/>
      <c r="N10212" s="1054"/>
      <c r="O10212" s="1207"/>
      <c r="Q10212" s="1207"/>
    </row>
    <row r="10213" spans="3:17" s="700" customFormat="1" ht="70.5" hidden="1" customHeight="1">
      <c r="C10213" s="701"/>
      <c r="D10213" s="811"/>
      <c r="E10213" s="1276">
        <f>[11]building!Y10544</f>
        <v>0</v>
      </c>
      <c r="F10213" s="748">
        <f t="shared" si="398"/>
        <v>0</v>
      </c>
      <c r="G10213" s="1205"/>
      <c r="H10213" s="1055"/>
      <c r="I10213" s="1055"/>
      <c r="J10213" s="1055"/>
      <c r="K10213" s="1205"/>
      <c r="L10213" s="1055"/>
      <c r="M10213" s="1205"/>
      <c r="N10213" s="1054"/>
      <c r="O10213" s="1207"/>
      <c r="Q10213" s="1207"/>
    </row>
    <row r="10214" spans="3:17" s="700" customFormat="1" ht="70.5" hidden="1" customHeight="1">
      <c r="C10214" s="701"/>
      <c r="D10214" s="811"/>
      <c r="E10214" s="1276">
        <f>[11]building!Y10545</f>
        <v>0</v>
      </c>
      <c r="F10214" s="748">
        <f t="shared" si="398"/>
        <v>0</v>
      </c>
      <c r="G10214" s="1205"/>
      <c r="H10214" s="1055"/>
      <c r="I10214" s="1055"/>
      <c r="J10214" s="1055"/>
      <c r="K10214" s="1205"/>
      <c r="L10214" s="1055"/>
      <c r="M10214" s="1205"/>
      <c r="N10214" s="1054"/>
      <c r="O10214" s="1207"/>
      <c r="Q10214" s="1207"/>
    </row>
    <row r="10215" spans="3:17" s="700" customFormat="1" ht="70.5" hidden="1" customHeight="1">
      <c r="C10215" s="701"/>
      <c r="D10215" s="811"/>
      <c r="E10215" s="1276">
        <f>[11]building!Y10546</f>
        <v>0</v>
      </c>
      <c r="F10215" s="748">
        <f t="shared" si="398"/>
        <v>0</v>
      </c>
      <c r="G10215" s="1205"/>
      <c r="H10215" s="1055"/>
      <c r="I10215" s="1055"/>
      <c r="J10215" s="1055"/>
      <c r="K10215" s="1205"/>
      <c r="L10215" s="1055"/>
      <c r="M10215" s="1205"/>
      <c r="N10215" s="1054"/>
      <c r="O10215" s="1207"/>
      <c r="Q10215" s="1207"/>
    </row>
    <row r="10216" spans="3:17" s="700" customFormat="1" ht="70.5" hidden="1" customHeight="1">
      <c r="C10216" s="701"/>
      <c r="D10216" s="811"/>
      <c r="E10216" s="1276">
        <f>[11]building!Y10547</f>
        <v>0</v>
      </c>
      <c r="F10216" s="748">
        <f t="shared" si="398"/>
        <v>0</v>
      </c>
      <c r="G10216" s="1205"/>
      <c r="H10216" s="1055"/>
      <c r="I10216" s="1055"/>
      <c r="J10216" s="1055"/>
      <c r="K10216" s="1205"/>
      <c r="L10216" s="1055"/>
      <c r="M10216" s="1205"/>
      <c r="N10216" s="1054"/>
      <c r="O10216" s="1207"/>
      <c r="Q10216" s="1207"/>
    </row>
    <row r="10217" spans="3:17" s="700" customFormat="1" ht="70.5" hidden="1" customHeight="1">
      <c r="C10217" s="701"/>
      <c r="D10217" s="811"/>
      <c r="E10217" s="1276">
        <f>[11]building!Y10548</f>
        <v>0</v>
      </c>
      <c r="F10217" s="748">
        <f t="shared" si="398"/>
        <v>0</v>
      </c>
      <c r="G10217" s="1205"/>
      <c r="H10217" s="1055"/>
      <c r="I10217" s="1055"/>
      <c r="J10217" s="1055"/>
      <c r="K10217" s="1205"/>
      <c r="L10217" s="1055"/>
      <c r="M10217" s="1205"/>
      <c r="N10217" s="1054"/>
      <c r="O10217" s="1207"/>
      <c r="Q10217" s="1207"/>
    </row>
    <row r="10218" spans="3:17" s="700" customFormat="1" ht="70.5" hidden="1" customHeight="1">
      <c r="C10218" s="701"/>
      <c r="D10218" s="811"/>
      <c r="E10218" s="1276">
        <f>[11]building!Y10549</f>
        <v>0</v>
      </c>
      <c r="F10218" s="748">
        <f t="shared" si="398"/>
        <v>0</v>
      </c>
      <c r="G10218" s="1205"/>
      <c r="H10218" s="1055"/>
      <c r="I10218" s="1055"/>
      <c r="J10218" s="1055"/>
      <c r="K10218" s="1205"/>
      <c r="L10218" s="1055"/>
      <c r="M10218" s="1205"/>
      <c r="N10218" s="1054"/>
      <c r="O10218" s="1207"/>
      <c r="Q10218" s="1207"/>
    </row>
    <row r="10219" spans="3:17" s="700" customFormat="1" ht="70.5" hidden="1" customHeight="1">
      <c r="C10219" s="701"/>
      <c r="D10219" s="811"/>
      <c r="E10219" s="1276">
        <f>[11]building!Y10550</f>
        <v>0</v>
      </c>
      <c r="F10219" s="748">
        <f t="shared" si="398"/>
        <v>0</v>
      </c>
      <c r="G10219" s="1205"/>
      <c r="H10219" s="1055"/>
      <c r="I10219" s="1055"/>
      <c r="J10219" s="1055"/>
      <c r="K10219" s="1205"/>
      <c r="L10219" s="1055"/>
      <c r="M10219" s="1205"/>
      <c r="N10219" s="1054"/>
      <c r="O10219" s="1207"/>
      <c r="Q10219" s="1207"/>
    </row>
    <row r="10220" spans="3:17" s="700" customFormat="1" ht="70.5" hidden="1" customHeight="1">
      <c r="C10220" s="701"/>
      <c r="D10220" s="811"/>
      <c r="E10220" s="1276">
        <f>[11]building!Y10551</f>
        <v>0</v>
      </c>
      <c r="F10220" s="748">
        <f t="shared" si="398"/>
        <v>0</v>
      </c>
      <c r="G10220" s="1205"/>
      <c r="H10220" s="1055"/>
      <c r="I10220" s="1055"/>
      <c r="J10220" s="1055"/>
      <c r="K10220" s="1205"/>
      <c r="L10220" s="1055"/>
      <c r="M10220" s="1205"/>
      <c r="N10220" s="1054"/>
      <c r="O10220" s="1207"/>
      <c r="Q10220" s="1207"/>
    </row>
    <row r="10221" spans="3:17" s="700" customFormat="1" ht="70.5" hidden="1" customHeight="1">
      <c r="C10221" s="701"/>
      <c r="D10221" s="811"/>
      <c r="E10221" s="1276">
        <f>[11]building!Y10552</f>
        <v>0</v>
      </c>
      <c r="F10221" s="748">
        <f t="shared" si="398"/>
        <v>0</v>
      </c>
      <c r="G10221" s="1205"/>
      <c r="H10221" s="1055"/>
      <c r="I10221" s="1055"/>
      <c r="J10221" s="1055"/>
      <c r="K10221" s="1205"/>
      <c r="L10221" s="1055"/>
      <c r="M10221" s="1205"/>
      <c r="N10221" s="1054"/>
      <c r="O10221" s="1207"/>
      <c r="Q10221" s="1207"/>
    </row>
    <row r="10222" spans="3:17" s="700" customFormat="1" ht="70.5" hidden="1" customHeight="1">
      <c r="C10222" s="701"/>
      <c r="D10222" s="811"/>
      <c r="E10222" s="1276">
        <f>[11]building!Y10553</f>
        <v>0</v>
      </c>
      <c r="F10222" s="748">
        <f t="shared" si="398"/>
        <v>0</v>
      </c>
      <c r="G10222" s="1205"/>
      <c r="H10222" s="1055"/>
      <c r="I10222" s="1055"/>
      <c r="J10222" s="1055"/>
      <c r="K10222" s="1205"/>
      <c r="L10222" s="1055"/>
      <c r="M10222" s="1205"/>
      <c r="N10222" s="1054"/>
      <c r="O10222" s="1207"/>
      <c r="Q10222" s="1207"/>
    </row>
    <row r="10223" spans="3:17" s="700" customFormat="1" ht="70.5" hidden="1" customHeight="1">
      <c r="C10223" s="701"/>
      <c r="D10223" s="811"/>
      <c r="E10223" s="1276">
        <f>[11]building!Y10554</f>
        <v>0</v>
      </c>
      <c r="F10223" s="748">
        <f t="shared" si="398"/>
        <v>0</v>
      </c>
      <c r="G10223" s="1205"/>
      <c r="H10223" s="1055"/>
      <c r="I10223" s="1055"/>
      <c r="J10223" s="1055"/>
      <c r="K10223" s="1205"/>
      <c r="L10223" s="1055"/>
      <c r="M10223" s="1205"/>
      <c r="N10223" s="1054"/>
      <c r="O10223" s="1207"/>
      <c r="Q10223" s="1207"/>
    </row>
    <row r="10224" spans="3:17" s="700" customFormat="1" ht="70.5" hidden="1" customHeight="1">
      <c r="C10224" s="701"/>
      <c r="D10224" s="811"/>
      <c r="E10224" s="1276">
        <f>[11]building!Y10555</f>
        <v>0</v>
      </c>
      <c r="F10224" s="748">
        <f t="shared" si="398"/>
        <v>0</v>
      </c>
      <c r="G10224" s="1205"/>
      <c r="H10224" s="1055"/>
      <c r="I10224" s="1055"/>
      <c r="J10224" s="1055"/>
      <c r="K10224" s="1205"/>
      <c r="L10224" s="1055"/>
      <c r="M10224" s="1205"/>
      <c r="N10224" s="1054"/>
      <c r="O10224" s="1207"/>
      <c r="Q10224" s="1207"/>
    </row>
    <row r="10225" spans="3:17" s="700" customFormat="1" ht="70.5" hidden="1" customHeight="1">
      <c r="C10225" s="701"/>
      <c r="D10225" s="811"/>
      <c r="E10225" s="1276">
        <f>[11]building!Y10556</f>
        <v>0</v>
      </c>
      <c r="F10225" s="748">
        <f t="shared" si="398"/>
        <v>0</v>
      </c>
      <c r="G10225" s="1205"/>
      <c r="H10225" s="1055"/>
      <c r="I10225" s="1055"/>
      <c r="J10225" s="1055"/>
      <c r="K10225" s="1205"/>
      <c r="L10225" s="1055"/>
      <c r="M10225" s="1205"/>
      <c r="N10225" s="1054"/>
      <c r="O10225" s="1207"/>
      <c r="Q10225" s="1207"/>
    </row>
    <row r="10226" spans="3:17" s="700" customFormat="1" ht="70.5" hidden="1" customHeight="1">
      <c r="C10226" s="701"/>
      <c r="D10226" s="811"/>
      <c r="E10226" s="1276">
        <f>[11]building!Y10557</f>
        <v>0</v>
      </c>
      <c r="F10226" s="748">
        <f t="shared" si="398"/>
        <v>0</v>
      </c>
      <c r="G10226" s="1205"/>
      <c r="H10226" s="1055"/>
      <c r="I10226" s="1055"/>
      <c r="J10226" s="1055"/>
      <c r="K10226" s="1205"/>
      <c r="L10226" s="1055"/>
      <c r="M10226" s="1205"/>
      <c r="N10226" s="1054"/>
      <c r="O10226" s="1207"/>
      <c r="Q10226" s="1207"/>
    </row>
    <row r="10227" spans="3:17" s="700" customFormat="1" ht="70.5" hidden="1" customHeight="1">
      <c r="C10227" s="701"/>
      <c r="D10227" s="811"/>
      <c r="E10227" s="1276">
        <f>[11]building!Y10558</f>
        <v>0</v>
      </c>
      <c r="F10227" s="748">
        <f t="shared" si="398"/>
        <v>0</v>
      </c>
      <c r="G10227" s="1205"/>
      <c r="H10227" s="1055"/>
      <c r="I10227" s="1055"/>
      <c r="J10227" s="1055"/>
      <c r="K10227" s="1205"/>
      <c r="L10227" s="1055"/>
      <c r="M10227" s="1205"/>
      <c r="N10227" s="1054"/>
      <c r="O10227" s="1207"/>
      <c r="Q10227" s="1207"/>
    </row>
    <row r="10228" spans="3:17" s="700" customFormat="1" ht="70.5" hidden="1" customHeight="1">
      <c r="C10228" s="701"/>
      <c r="D10228" s="811"/>
      <c r="E10228" s="1276">
        <f>[11]building!Y10559</f>
        <v>0</v>
      </c>
      <c r="F10228" s="748">
        <f t="shared" si="398"/>
        <v>0</v>
      </c>
      <c r="G10228" s="1205"/>
      <c r="H10228" s="1055"/>
      <c r="I10228" s="1055"/>
      <c r="J10228" s="1055"/>
      <c r="K10228" s="1205"/>
      <c r="L10228" s="1055"/>
      <c r="M10228" s="1205"/>
      <c r="N10228" s="1054"/>
      <c r="O10228" s="1207"/>
      <c r="Q10228" s="1207"/>
    </row>
    <row r="10229" spans="3:17" s="700" customFormat="1" ht="70.5" hidden="1" customHeight="1">
      <c r="C10229" s="701"/>
      <c r="D10229" s="811"/>
      <c r="E10229" s="1276">
        <f>[11]building!Y10560</f>
        <v>0</v>
      </c>
      <c r="F10229" s="748">
        <f t="shared" si="398"/>
        <v>0</v>
      </c>
      <c r="G10229" s="1205"/>
      <c r="H10229" s="1055"/>
      <c r="I10229" s="1055"/>
      <c r="J10229" s="1055"/>
      <c r="K10229" s="1205"/>
      <c r="L10229" s="1055"/>
      <c r="M10229" s="1205"/>
      <c r="N10229" s="1054"/>
      <c r="O10229" s="1207"/>
      <c r="Q10229" s="1207"/>
    </row>
    <row r="10230" spans="3:17" s="700" customFormat="1" ht="70.5" hidden="1" customHeight="1">
      <c r="C10230" s="701"/>
      <c r="D10230" s="811"/>
      <c r="E10230" s="1276">
        <f>[11]building!Y10561</f>
        <v>0</v>
      </c>
      <c r="F10230" s="748">
        <f t="shared" si="398"/>
        <v>0</v>
      </c>
      <c r="G10230" s="1205"/>
      <c r="H10230" s="1055"/>
      <c r="I10230" s="1055"/>
      <c r="J10230" s="1055"/>
      <c r="K10230" s="1205"/>
      <c r="L10230" s="1055"/>
      <c r="M10230" s="1205"/>
      <c r="N10230" s="1054"/>
      <c r="O10230" s="1207"/>
      <c r="Q10230" s="1207"/>
    </row>
    <row r="10231" spans="3:17" s="700" customFormat="1" ht="70.5" hidden="1" customHeight="1">
      <c r="C10231" s="701"/>
      <c r="D10231" s="811"/>
      <c r="E10231" s="1276">
        <f>[11]building!Y10562</f>
        <v>0</v>
      </c>
      <c r="F10231" s="748">
        <f t="shared" si="398"/>
        <v>0</v>
      </c>
      <c r="G10231" s="1205"/>
      <c r="H10231" s="1055"/>
      <c r="I10231" s="1055"/>
      <c r="J10231" s="1055"/>
      <c r="K10231" s="1205"/>
      <c r="L10231" s="1055"/>
      <c r="M10231" s="1205"/>
      <c r="N10231" s="1054"/>
      <c r="O10231" s="1207"/>
      <c r="Q10231" s="1207"/>
    </row>
    <row r="10232" spans="3:17" s="700" customFormat="1" ht="70.5" hidden="1" customHeight="1">
      <c r="C10232" s="701"/>
      <c r="D10232" s="811"/>
      <c r="E10232" s="1276">
        <f>[11]building!Y10563</f>
        <v>0</v>
      </c>
      <c r="F10232" s="748">
        <f t="shared" si="398"/>
        <v>0</v>
      </c>
      <c r="G10232" s="1205"/>
      <c r="H10232" s="1055"/>
      <c r="I10232" s="1055"/>
      <c r="J10232" s="1055"/>
      <c r="K10232" s="1205"/>
      <c r="L10232" s="1055"/>
      <c r="M10232" s="1205"/>
      <c r="N10232" s="1054"/>
      <c r="O10232" s="1207"/>
      <c r="Q10232" s="1207"/>
    </row>
    <row r="10233" spans="3:17" s="700" customFormat="1" ht="70.5" hidden="1" customHeight="1">
      <c r="C10233" s="701"/>
      <c r="D10233" s="811"/>
      <c r="E10233" s="1276">
        <f>[11]building!Y10564</f>
        <v>0</v>
      </c>
      <c r="F10233" s="748">
        <f t="shared" si="398"/>
        <v>0</v>
      </c>
      <c r="G10233" s="1205"/>
      <c r="H10233" s="1055"/>
      <c r="I10233" s="1055"/>
      <c r="J10233" s="1055"/>
      <c r="K10233" s="1205"/>
      <c r="L10233" s="1055"/>
      <c r="M10233" s="1205"/>
      <c r="N10233" s="1054"/>
      <c r="O10233" s="1207"/>
      <c r="Q10233" s="1207"/>
    </row>
    <row r="10234" spans="3:17" s="700" customFormat="1" ht="70.5" hidden="1" customHeight="1">
      <c r="C10234" s="701"/>
      <c r="D10234" s="811"/>
      <c r="E10234" s="1276">
        <f>[11]building!Y10565</f>
        <v>0</v>
      </c>
      <c r="F10234" s="748">
        <f t="shared" si="398"/>
        <v>0</v>
      </c>
      <c r="G10234" s="1205"/>
      <c r="H10234" s="1055"/>
      <c r="I10234" s="1055"/>
      <c r="J10234" s="1055"/>
      <c r="K10234" s="1205"/>
      <c r="L10234" s="1055"/>
      <c r="M10234" s="1205"/>
      <c r="N10234" s="1054"/>
      <c r="O10234" s="1207"/>
      <c r="Q10234" s="1207"/>
    </row>
    <row r="10235" spans="3:17" s="700" customFormat="1" ht="70.5" hidden="1" customHeight="1">
      <c r="C10235" s="701"/>
      <c r="D10235" s="811"/>
      <c r="E10235" s="1276">
        <f>[11]building!Y10566</f>
        <v>0</v>
      </c>
      <c r="F10235" s="748">
        <f t="shared" si="398"/>
        <v>0</v>
      </c>
      <c r="G10235" s="1205"/>
      <c r="H10235" s="1055"/>
      <c r="I10235" s="1055"/>
      <c r="J10235" s="1055"/>
      <c r="K10235" s="1205"/>
      <c r="L10235" s="1055"/>
      <c r="M10235" s="1205"/>
      <c r="N10235" s="1054"/>
      <c r="O10235" s="1207"/>
      <c r="Q10235" s="1207"/>
    </row>
    <row r="10236" spans="3:17" s="700" customFormat="1" ht="70.5" hidden="1" customHeight="1">
      <c r="C10236" s="701"/>
      <c r="D10236" s="811"/>
      <c r="E10236" s="1276">
        <f>[11]building!Y10567</f>
        <v>0</v>
      </c>
      <c r="F10236" s="748">
        <f t="shared" si="398"/>
        <v>0</v>
      </c>
      <c r="G10236" s="1205"/>
      <c r="H10236" s="1055"/>
      <c r="I10236" s="1055"/>
      <c r="J10236" s="1055"/>
      <c r="K10236" s="1205"/>
      <c r="L10236" s="1055"/>
      <c r="M10236" s="1205"/>
      <c r="N10236" s="1054"/>
      <c r="O10236" s="1207"/>
      <c r="Q10236" s="1207"/>
    </row>
    <row r="10237" spans="3:17" s="700" customFormat="1" ht="70.5" hidden="1" customHeight="1">
      <c r="C10237" s="701"/>
      <c r="D10237" s="811"/>
      <c r="E10237" s="1276">
        <f>[11]building!Y10568</f>
        <v>0</v>
      </c>
      <c r="F10237" s="748">
        <f t="shared" si="398"/>
        <v>0</v>
      </c>
      <c r="G10237" s="1205"/>
      <c r="H10237" s="1055"/>
      <c r="I10237" s="1055"/>
      <c r="J10237" s="1055"/>
      <c r="K10237" s="1205"/>
      <c r="L10237" s="1055"/>
      <c r="M10237" s="1205"/>
      <c r="N10237" s="1054"/>
      <c r="O10237" s="1207"/>
      <c r="Q10237" s="1207"/>
    </row>
    <row r="10238" spans="3:17" s="700" customFormat="1" ht="70.5" hidden="1" customHeight="1">
      <c r="C10238" s="701"/>
      <c r="D10238" s="811"/>
      <c r="E10238" s="1276">
        <f>[11]building!Y10569</f>
        <v>0</v>
      </c>
      <c r="F10238" s="748">
        <f t="shared" si="398"/>
        <v>0</v>
      </c>
      <c r="G10238" s="1205"/>
      <c r="H10238" s="1055"/>
      <c r="I10238" s="1055"/>
      <c r="J10238" s="1055"/>
      <c r="K10238" s="1205"/>
      <c r="L10238" s="1055"/>
      <c r="M10238" s="1205"/>
      <c r="N10238" s="1054"/>
      <c r="O10238" s="1207"/>
      <c r="Q10238" s="1207"/>
    </row>
    <row r="10239" spans="3:17" s="700" customFormat="1" ht="70.5" hidden="1" customHeight="1">
      <c r="C10239" s="701"/>
      <c r="D10239" s="811"/>
      <c r="E10239" s="1276">
        <f>[11]building!Y10570</f>
        <v>0</v>
      </c>
      <c r="F10239" s="748">
        <f t="shared" si="398"/>
        <v>0</v>
      </c>
      <c r="G10239" s="1205"/>
      <c r="H10239" s="1055"/>
      <c r="I10239" s="1055"/>
      <c r="J10239" s="1055"/>
      <c r="K10239" s="1205"/>
      <c r="L10239" s="1055"/>
      <c r="M10239" s="1205"/>
      <c r="N10239" s="1054"/>
      <c r="O10239" s="1207"/>
      <c r="Q10239" s="1207"/>
    </row>
    <row r="10240" spans="3:17" s="700" customFormat="1" ht="70.5" hidden="1" customHeight="1">
      <c r="C10240" s="701"/>
      <c r="D10240" s="811"/>
      <c r="E10240" s="1276">
        <f>[11]building!Y10571</f>
        <v>0</v>
      </c>
      <c r="F10240" s="748">
        <f t="shared" ref="F10240:F10303" si="399">E10240*C10240</f>
        <v>0</v>
      </c>
      <c r="G10240" s="1205"/>
      <c r="H10240" s="1055"/>
      <c r="I10240" s="1055"/>
      <c r="J10240" s="1055"/>
      <c r="K10240" s="1205"/>
      <c r="L10240" s="1055"/>
      <c r="M10240" s="1205"/>
      <c r="N10240" s="1054"/>
      <c r="O10240" s="1207"/>
      <c r="Q10240" s="1207"/>
    </row>
    <row r="10241" spans="3:17" s="700" customFormat="1" ht="70.5" hidden="1" customHeight="1">
      <c r="C10241" s="701"/>
      <c r="D10241" s="811"/>
      <c r="E10241" s="1276">
        <f>[11]building!Y10572</f>
        <v>0</v>
      </c>
      <c r="F10241" s="748">
        <f t="shared" si="399"/>
        <v>0</v>
      </c>
      <c r="G10241" s="1205"/>
      <c r="H10241" s="1055"/>
      <c r="I10241" s="1055"/>
      <c r="J10241" s="1055"/>
      <c r="K10241" s="1205"/>
      <c r="L10241" s="1055"/>
      <c r="M10241" s="1205"/>
      <c r="N10241" s="1054"/>
      <c r="O10241" s="1207"/>
      <c r="Q10241" s="1207"/>
    </row>
    <row r="10242" spans="3:17" s="700" customFormat="1" ht="70.5" hidden="1" customHeight="1">
      <c r="C10242" s="701"/>
      <c r="D10242" s="811"/>
      <c r="E10242" s="1276">
        <f>[11]building!Y10573</f>
        <v>0</v>
      </c>
      <c r="F10242" s="748">
        <f t="shared" si="399"/>
        <v>0</v>
      </c>
      <c r="G10242" s="1205"/>
      <c r="H10242" s="1055"/>
      <c r="I10242" s="1055"/>
      <c r="J10242" s="1055"/>
      <c r="K10242" s="1205"/>
      <c r="L10242" s="1055"/>
      <c r="M10242" s="1205"/>
      <c r="N10242" s="1054"/>
      <c r="O10242" s="1207"/>
      <c r="Q10242" s="1207"/>
    </row>
    <row r="10243" spans="3:17" s="700" customFormat="1" ht="70.5" hidden="1" customHeight="1">
      <c r="C10243" s="701"/>
      <c r="D10243" s="811"/>
      <c r="E10243" s="1276">
        <f>[11]building!Y10574</f>
        <v>0</v>
      </c>
      <c r="F10243" s="748">
        <f t="shared" si="399"/>
        <v>0</v>
      </c>
      <c r="G10243" s="1205"/>
      <c r="H10243" s="1055"/>
      <c r="I10243" s="1055"/>
      <c r="J10243" s="1055"/>
      <c r="K10243" s="1205"/>
      <c r="L10243" s="1055"/>
      <c r="M10243" s="1205"/>
      <c r="N10243" s="1054"/>
      <c r="O10243" s="1207"/>
      <c r="Q10243" s="1207"/>
    </row>
    <row r="10244" spans="3:17" s="700" customFormat="1" ht="70.5" hidden="1" customHeight="1">
      <c r="C10244" s="701"/>
      <c r="D10244" s="811"/>
      <c r="E10244" s="1276">
        <f>[11]building!Y10575</f>
        <v>0</v>
      </c>
      <c r="F10244" s="748">
        <f t="shared" si="399"/>
        <v>0</v>
      </c>
      <c r="G10244" s="1205"/>
      <c r="H10244" s="1055"/>
      <c r="I10244" s="1055"/>
      <c r="J10244" s="1055"/>
      <c r="K10244" s="1205"/>
      <c r="L10244" s="1055"/>
      <c r="M10244" s="1205"/>
      <c r="N10244" s="1054"/>
      <c r="O10244" s="1207"/>
      <c r="Q10244" s="1207"/>
    </row>
    <row r="10245" spans="3:17" s="700" customFormat="1" ht="70.5" hidden="1" customHeight="1">
      <c r="C10245" s="701"/>
      <c r="D10245" s="811"/>
      <c r="E10245" s="1276">
        <f>[11]building!Y10576</f>
        <v>0</v>
      </c>
      <c r="F10245" s="748">
        <f t="shared" si="399"/>
        <v>0</v>
      </c>
      <c r="G10245" s="1205"/>
      <c r="H10245" s="1055"/>
      <c r="I10245" s="1055"/>
      <c r="J10245" s="1055"/>
      <c r="K10245" s="1205"/>
      <c r="L10245" s="1055"/>
      <c r="M10245" s="1205"/>
      <c r="N10245" s="1054"/>
      <c r="O10245" s="1207"/>
      <c r="Q10245" s="1207"/>
    </row>
    <row r="10246" spans="3:17" s="700" customFormat="1" ht="70.5" hidden="1" customHeight="1">
      <c r="C10246" s="701"/>
      <c r="D10246" s="811"/>
      <c r="E10246" s="1276">
        <f>[11]building!Y10577</f>
        <v>0</v>
      </c>
      <c r="F10246" s="748">
        <f t="shared" si="399"/>
        <v>0</v>
      </c>
      <c r="G10246" s="1205"/>
      <c r="H10246" s="1055"/>
      <c r="I10246" s="1055"/>
      <c r="J10246" s="1055"/>
      <c r="K10246" s="1205"/>
      <c r="L10246" s="1055"/>
      <c r="M10246" s="1205"/>
      <c r="N10246" s="1054"/>
      <c r="O10246" s="1207"/>
      <c r="Q10246" s="1207"/>
    </row>
    <row r="10247" spans="3:17" s="700" customFormat="1" ht="70.5" hidden="1" customHeight="1">
      <c r="C10247" s="701"/>
      <c r="D10247" s="811"/>
      <c r="E10247" s="1276">
        <f>[11]building!Y10578</f>
        <v>0</v>
      </c>
      <c r="F10247" s="748">
        <f t="shared" si="399"/>
        <v>0</v>
      </c>
      <c r="G10247" s="1205"/>
      <c r="H10247" s="1055"/>
      <c r="I10247" s="1055"/>
      <c r="J10247" s="1055"/>
      <c r="K10247" s="1205"/>
      <c r="L10247" s="1055"/>
      <c r="M10247" s="1205"/>
      <c r="N10247" s="1054"/>
      <c r="O10247" s="1207"/>
      <c r="Q10247" s="1207"/>
    </row>
    <row r="10248" spans="3:17" s="700" customFormat="1" ht="70.5" hidden="1" customHeight="1">
      <c r="C10248" s="701"/>
      <c r="D10248" s="811"/>
      <c r="E10248" s="1276">
        <f>[11]building!Y10579</f>
        <v>0</v>
      </c>
      <c r="F10248" s="748">
        <f t="shared" si="399"/>
        <v>0</v>
      </c>
      <c r="G10248" s="1205"/>
      <c r="H10248" s="1055"/>
      <c r="I10248" s="1055"/>
      <c r="J10248" s="1055"/>
      <c r="K10248" s="1205"/>
      <c r="L10248" s="1055"/>
      <c r="M10248" s="1205"/>
      <c r="N10248" s="1054"/>
      <c r="O10248" s="1207"/>
      <c r="Q10248" s="1207"/>
    </row>
    <row r="10249" spans="3:17" s="700" customFormat="1" ht="70.5" hidden="1" customHeight="1">
      <c r="C10249" s="701"/>
      <c r="D10249" s="811"/>
      <c r="E10249" s="1276">
        <f>[11]building!Y10580</f>
        <v>0</v>
      </c>
      <c r="F10249" s="748">
        <f t="shared" si="399"/>
        <v>0</v>
      </c>
      <c r="G10249" s="1205"/>
      <c r="H10249" s="1055"/>
      <c r="I10249" s="1055"/>
      <c r="J10249" s="1055"/>
      <c r="K10249" s="1205"/>
      <c r="L10249" s="1055"/>
      <c r="M10249" s="1205"/>
      <c r="N10249" s="1054"/>
      <c r="O10249" s="1207"/>
      <c r="Q10249" s="1207"/>
    </row>
    <row r="10250" spans="3:17" s="700" customFormat="1" ht="70.5" hidden="1" customHeight="1">
      <c r="C10250" s="701"/>
      <c r="D10250" s="811"/>
      <c r="E10250" s="1276">
        <f>[11]building!Y10581</f>
        <v>0</v>
      </c>
      <c r="F10250" s="748">
        <f t="shared" si="399"/>
        <v>0</v>
      </c>
      <c r="G10250" s="1205"/>
      <c r="H10250" s="1055"/>
      <c r="I10250" s="1055"/>
      <c r="J10250" s="1055"/>
      <c r="K10250" s="1205"/>
      <c r="L10250" s="1055"/>
      <c r="M10250" s="1205"/>
      <c r="N10250" s="1054"/>
      <c r="O10250" s="1207"/>
      <c r="Q10250" s="1207"/>
    </row>
    <row r="10251" spans="3:17" s="700" customFormat="1" ht="70.5" hidden="1" customHeight="1">
      <c r="C10251" s="701"/>
      <c r="D10251" s="811"/>
      <c r="E10251" s="1276">
        <f>[11]building!Y10582</f>
        <v>0</v>
      </c>
      <c r="F10251" s="748">
        <f t="shared" si="399"/>
        <v>0</v>
      </c>
      <c r="G10251" s="1205"/>
      <c r="H10251" s="1055"/>
      <c r="I10251" s="1055"/>
      <c r="J10251" s="1055"/>
      <c r="K10251" s="1205"/>
      <c r="L10251" s="1055"/>
      <c r="M10251" s="1205"/>
      <c r="N10251" s="1054"/>
      <c r="O10251" s="1207"/>
      <c r="Q10251" s="1207"/>
    </row>
    <row r="10252" spans="3:17" s="700" customFormat="1" ht="70.5" hidden="1" customHeight="1">
      <c r="C10252" s="701"/>
      <c r="D10252" s="811"/>
      <c r="E10252" s="1276">
        <f>[11]building!Y10583</f>
        <v>0</v>
      </c>
      <c r="F10252" s="748">
        <f t="shared" si="399"/>
        <v>0</v>
      </c>
      <c r="G10252" s="1205"/>
      <c r="H10252" s="1055"/>
      <c r="I10252" s="1055"/>
      <c r="J10252" s="1055"/>
      <c r="K10252" s="1205"/>
      <c r="L10252" s="1055"/>
      <c r="M10252" s="1205"/>
      <c r="N10252" s="1054"/>
      <c r="O10252" s="1207"/>
      <c r="Q10252" s="1207"/>
    </row>
    <row r="10253" spans="3:17" s="700" customFormat="1" ht="70.5" hidden="1" customHeight="1">
      <c r="C10253" s="701"/>
      <c r="D10253" s="811"/>
      <c r="E10253" s="1276">
        <f>[11]building!Y10584</f>
        <v>0</v>
      </c>
      <c r="F10253" s="748">
        <f t="shared" si="399"/>
        <v>0</v>
      </c>
      <c r="G10253" s="1205"/>
      <c r="H10253" s="1055"/>
      <c r="I10253" s="1055"/>
      <c r="J10253" s="1055"/>
      <c r="K10253" s="1205"/>
      <c r="L10253" s="1055"/>
      <c r="M10253" s="1205"/>
      <c r="N10253" s="1054"/>
      <c r="O10253" s="1207"/>
      <c r="Q10253" s="1207"/>
    </row>
    <row r="10254" spans="3:17" s="700" customFormat="1" ht="70.5" hidden="1" customHeight="1">
      <c r="C10254" s="701"/>
      <c r="D10254" s="811"/>
      <c r="E10254" s="1276">
        <f>[11]building!Y10585</f>
        <v>0</v>
      </c>
      <c r="F10254" s="748">
        <f t="shared" si="399"/>
        <v>0</v>
      </c>
      <c r="G10254" s="1205"/>
      <c r="H10254" s="1055"/>
      <c r="I10254" s="1055"/>
      <c r="J10254" s="1055"/>
      <c r="K10254" s="1205"/>
      <c r="L10254" s="1055"/>
      <c r="M10254" s="1205"/>
      <c r="N10254" s="1054"/>
      <c r="O10254" s="1207"/>
      <c r="Q10254" s="1207"/>
    </row>
    <row r="10255" spans="3:17" s="700" customFormat="1" ht="70.5" hidden="1" customHeight="1">
      <c r="C10255" s="701"/>
      <c r="D10255" s="811"/>
      <c r="E10255" s="1276">
        <f>[11]building!Y10586</f>
        <v>0</v>
      </c>
      <c r="F10255" s="748">
        <f t="shared" si="399"/>
        <v>0</v>
      </c>
      <c r="G10255" s="1205"/>
      <c r="H10255" s="1055"/>
      <c r="I10255" s="1055"/>
      <c r="J10255" s="1055"/>
      <c r="K10255" s="1205"/>
      <c r="L10255" s="1055"/>
      <c r="M10255" s="1205"/>
      <c r="N10255" s="1054"/>
      <c r="O10255" s="1207"/>
      <c r="Q10255" s="1207"/>
    </row>
    <row r="10256" spans="3:17" s="700" customFormat="1" ht="70.5" hidden="1" customHeight="1">
      <c r="C10256" s="701"/>
      <c r="D10256" s="811"/>
      <c r="E10256" s="1276">
        <f>[11]building!Y10587</f>
        <v>0</v>
      </c>
      <c r="F10256" s="748">
        <f t="shared" si="399"/>
        <v>0</v>
      </c>
      <c r="G10256" s="1205"/>
      <c r="H10256" s="1055"/>
      <c r="I10256" s="1055"/>
      <c r="J10256" s="1055"/>
      <c r="K10256" s="1205"/>
      <c r="L10256" s="1055"/>
      <c r="M10256" s="1205"/>
      <c r="N10256" s="1054"/>
      <c r="O10256" s="1207"/>
      <c r="Q10256" s="1207"/>
    </row>
    <row r="10257" spans="3:17" s="700" customFormat="1" ht="70.5" hidden="1" customHeight="1">
      <c r="C10257" s="701"/>
      <c r="D10257" s="811"/>
      <c r="E10257" s="1276">
        <f>[11]building!Y10588</f>
        <v>0</v>
      </c>
      <c r="F10257" s="748">
        <f t="shared" si="399"/>
        <v>0</v>
      </c>
      <c r="G10257" s="1205"/>
      <c r="H10257" s="1055"/>
      <c r="I10257" s="1055"/>
      <c r="J10257" s="1055"/>
      <c r="K10257" s="1205"/>
      <c r="L10257" s="1055"/>
      <c r="M10257" s="1205"/>
      <c r="N10257" s="1054"/>
      <c r="O10257" s="1207"/>
      <c r="Q10257" s="1207"/>
    </row>
    <row r="10258" spans="3:17" s="700" customFormat="1" ht="70.5" hidden="1" customHeight="1">
      <c r="C10258" s="701"/>
      <c r="D10258" s="811"/>
      <c r="E10258" s="1276">
        <f>[11]building!Y10589</f>
        <v>0</v>
      </c>
      <c r="F10258" s="748">
        <f t="shared" si="399"/>
        <v>0</v>
      </c>
      <c r="G10258" s="1205"/>
      <c r="H10258" s="1055"/>
      <c r="I10258" s="1055"/>
      <c r="J10258" s="1055"/>
      <c r="K10258" s="1205"/>
      <c r="L10258" s="1055"/>
      <c r="M10258" s="1205"/>
      <c r="N10258" s="1054"/>
      <c r="O10258" s="1207"/>
      <c r="Q10258" s="1207"/>
    </row>
    <row r="10259" spans="3:17" s="700" customFormat="1" ht="70.5" hidden="1" customHeight="1">
      <c r="C10259" s="701"/>
      <c r="D10259" s="811"/>
      <c r="E10259" s="1276">
        <f>[11]building!Y10590</f>
        <v>0</v>
      </c>
      <c r="F10259" s="748">
        <f t="shared" si="399"/>
        <v>0</v>
      </c>
      <c r="G10259" s="1205"/>
      <c r="H10259" s="1055"/>
      <c r="I10259" s="1055"/>
      <c r="J10259" s="1055"/>
      <c r="K10259" s="1205"/>
      <c r="L10259" s="1055"/>
      <c r="M10259" s="1205"/>
      <c r="N10259" s="1054"/>
      <c r="O10259" s="1207"/>
      <c r="Q10259" s="1207"/>
    </row>
    <row r="10260" spans="3:17" s="700" customFormat="1" ht="70.5" hidden="1" customHeight="1">
      <c r="C10260" s="701"/>
      <c r="D10260" s="811"/>
      <c r="E10260" s="1276">
        <f>[11]building!Y10591</f>
        <v>0</v>
      </c>
      <c r="F10260" s="748">
        <f t="shared" si="399"/>
        <v>0</v>
      </c>
      <c r="G10260" s="1205"/>
      <c r="H10260" s="1055"/>
      <c r="I10260" s="1055"/>
      <c r="J10260" s="1055"/>
      <c r="K10260" s="1205"/>
      <c r="L10260" s="1055"/>
      <c r="M10260" s="1205"/>
      <c r="N10260" s="1054"/>
      <c r="O10260" s="1207"/>
      <c r="Q10260" s="1207"/>
    </row>
    <row r="10261" spans="3:17" s="700" customFormat="1" ht="70.5" hidden="1" customHeight="1">
      <c r="C10261" s="701"/>
      <c r="D10261" s="811"/>
      <c r="E10261" s="1276">
        <f>[11]building!Y10592</f>
        <v>0</v>
      </c>
      <c r="F10261" s="748">
        <f t="shared" si="399"/>
        <v>0</v>
      </c>
      <c r="G10261" s="1205"/>
      <c r="H10261" s="1055"/>
      <c r="I10261" s="1055"/>
      <c r="J10261" s="1055"/>
      <c r="K10261" s="1205"/>
      <c r="L10261" s="1055"/>
      <c r="M10261" s="1205"/>
      <c r="N10261" s="1054"/>
      <c r="O10261" s="1207"/>
      <c r="Q10261" s="1207"/>
    </row>
    <row r="10262" spans="3:17" s="700" customFormat="1" ht="70.5" hidden="1" customHeight="1">
      <c r="C10262" s="701"/>
      <c r="D10262" s="811"/>
      <c r="E10262" s="1276">
        <f>[11]building!Y10593</f>
        <v>0</v>
      </c>
      <c r="F10262" s="748">
        <f t="shared" si="399"/>
        <v>0</v>
      </c>
      <c r="G10262" s="1205"/>
      <c r="H10262" s="1055"/>
      <c r="I10262" s="1055"/>
      <c r="J10262" s="1055"/>
      <c r="K10262" s="1205"/>
      <c r="L10262" s="1055"/>
      <c r="M10262" s="1205"/>
      <c r="N10262" s="1054"/>
      <c r="O10262" s="1207"/>
      <c r="Q10262" s="1207"/>
    </row>
    <row r="10263" spans="3:17" s="700" customFormat="1" ht="70.5" hidden="1" customHeight="1">
      <c r="C10263" s="701"/>
      <c r="D10263" s="811"/>
      <c r="E10263" s="1276">
        <f>[11]building!Y10594</f>
        <v>0</v>
      </c>
      <c r="F10263" s="748">
        <f t="shared" si="399"/>
        <v>0</v>
      </c>
      <c r="G10263" s="1205"/>
      <c r="H10263" s="1055"/>
      <c r="I10263" s="1055"/>
      <c r="J10263" s="1055"/>
      <c r="K10263" s="1205"/>
      <c r="L10263" s="1055"/>
      <c r="M10263" s="1205"/>
      <c r="N10263" s="1054"/>
      <c r="O10263" s="1207"/>
      <c r="Q10263" s="1207"/>
    </row>
    <row r="10264" spans="3:17" s="700" customFormat="1" ht="70.5" hidden="1" customHeight="1">
      <c r="C10264" s="701"/>
      <c r="D10264" s="811"/>
      <c r="E10264" s="1276">
        <f>[11]building!Y10595</f>
        <v>0</v>
      </c>
      <c r="F10264" s="748">
        <f t="shared" si="399"/>
        <v>0</v>
      </c>
      <c r="G10264" s="1205"/>
      <c r="H10264" s="1055"/>
      <c r="I10264" s="1055"/>
      <c r="J10264" s="1055"/>
      <c r="K10264" s="1205"/>
      <c r="L10264" s="1055"/>
      <c r="M10264" s="1205"/>
      <c r="N10264" s="1054"/>
      <c r="O10264" s="1207"/>
      <c r="Q10264" s="1207"/>
    </row>
    <row r="10265" spans="3:17" s="700" customFormat="1" ht="70.5" hidden="1" customHeight="1">
      <c r="C10265" s="701"/>
      <c r="D10265" s="811"/>
      <c r="E10265" s="1276">
        <f>[11]building!Y10596</f>
        <v>0</v>
      </c>
      <c r="F10265" s="748">
        <f t="shared" si="399"/>
        <v>0</v>
      </c>
      <c r="G10265" s="1205"/>
      <c r="H10265" s="1055"/>
      <c r="I10265" s="1055"/>
      <c r="J10265" s="1055"/>
      <c r="K10265" s="1205"/>
      <c r="L10265" s="1055"/>
      <c r="M10265" s="1205"/>
      <c r="N10265" s="1054"/>
      <c r="O10265" s="1207"/>
      <c r="Q10265" s="1207"/>
    </row>
    <row r="10266" spans="3:17" s="700" customFormat="1" ht="70.5" hidden="1" customHeight="1">
      <c r="C10266" s="701"/>
      <c r="D10266" s="811"/>
      <c r="E10266" s="1276">
        <f>[11]building!Y10597</f>
        <v>0</v>
      </c>
      <c r="F10266" s="748">
        <f t="shared" si="399"/>
        <v>0</v>
      </c>
      <c r="G10266" s="1205"/>
      <c r="H10266" s="1055"/>
      <c r="I10266" s="1055"/>
      <c r="J10266" s="1055"/>
      <c r="K10266" s="1205"/>
      <c r="L10266" s="1055"/>
      <c r="M10266" s="1205"/>
      <c r="N10266" s="1054"/>
      <c r="O10266" s="1207"/>
      <c r="Q10266" s="1207"/>
    </row>
    <row r="10267" spans="3:17" s="700" customFormat="1" ht="70.5" hidden="1" customHeight="1">
      <c r="C10267" s="701"/>
      <c r="D10267" s="811"/>
      <c r="E10267" s="1276">
        <f>[11]building!Y10598</f>
        <v>0</v>
      </c>
      <c r="F10267" s="748">
        <f t="shared" si="399"/>
        <v>0</v>
      </c>
      <c r="G10267" s="1205"/>
      <c r="H10267" s="1055"/>
      <c r="I10267" s="1055"/>
      <c r="J10267" s="1055"/>
      <c r="K10267" s="1205"/>
      <c r="L10267" s="1055"/>
      <c r="M10267" s="1205"/>
      <c r="N10267" s="1054"/>
      <c r="O10267" s="1207"/>
      <c r="Q10267" s="1207"/>
    </row>
    <row r="10268" spans="3:17" s="700" customFormat="1" ht="70.5" hidden="1" customHeight="1">
      <c r="C10268" s="701"/>
      <c r="D10268" s="811"/>
      <c r="E10268" s="1276">
        <f>[11]building!Y10599</f>
        <v>0</v>
      </c>
      <c r="F10268" s="748">
        <f t="shared" si="399"/>
        <v>0</v>
      </c>
      <c r="G10268" s="1205"/>
      <c r="H10268" s="1055"/>
      <c r="I10268" s="1055"/>
      <c r="J10268" s="1055"/>
      <c r="K10268" s="1205"/>
      <c r="L10268" s="1055"/>
      <c r="M10268" s="1205"/>
      <c r="N10268" s="1054"/>
      <c r="O10268" s="1207"/>
      <c r="Q10268" s="1207"/>
    </row>
    <row r="10269" spans="3:17" s="700" customFormat="1" ht="70.5" hidden="1" customHeight="1">
      <c r="C10269" s="701"/>
      <c r="D10269" s="811"/>
      <c r="E10269" s="1276">
        <f>[11]building!Y10600</f>
        <v>0</v>
      </c>
      <c r="F10269" s="748">
        <f t="shared" si="399"/>
        <v>0</v>
      </c>
      <c r="G10269" s="1205"/>
      <c r="H10269" s="1055"/>
      <c r="I10269" s="1055"/>
      <c r="J10269" s="1055"/>
      <c r="K10269" s="1205"/>
      <c r="L10269" s="1055"/>
      <c r="M10269" s="1205"/>
      <c r="N10269" s="1054"/>
      <c r="O10269" s="1207"/>
      <c r="Q10269" s="1207"/>
    </row>
    <row r="10270" spans="3:17" s="700" customFormat="1" ht="70.5" hidden="1" customHeight="1">
      <c r="C10270" s="701"/>
      <c r="D10270" s="811"/>
      <c r="E10270" s="1276">
        <f>[11]building!Y10601</f>
        <v>0</v>
      </c>
      <c r="F10270" s="748">
        <f t="shared" si="399"/>
        <v>0</v>
      </c>
      <c r="G10270" s="1205"/>
      <c r="H10270" s="1055"/>
      <c r="I10270" s="1055"/>
      <c r="J10270" s="1055"/>
      <c r="K10270" s="1205"/>
      <c r="L10270" s="1055"/>
      <c r="M10270" s="1205"/>
      <c r="N10270" s="1054"/>
      <c r="O10270" s="1207"/>
      <c r="Q10270" s="1207"/>
    </row>
    <row r="10271" spans="3:17" s="700" customFormat="1" ht="70.5" hidden="1" customHeight="1">
      <c r="C10271" s="701"/>
      <c r="D10271" s="811"/>
      <c r="E10271" s="1276">
        <f>[11]building!Y10602</f>
        <v>0</v>
      </c>
      <c r="F10271" s="748">
        <f t="shared" si="399"/>
        <v>0</v>
      </c>
      <c r="G10271" s="1205"/>
      <c r="H10271" s="1055"/>
      <c r="I10271" s="1055"/>
      <c r="J10271" s="1055"/>
      <c r="K10271" s="1205"/>
      <c r="L10271" s="1055"/>
      <c r="M10271" s="1205"/>
      <c r="N10271" s="1054"/>
      <c r="O10271" s="1207"/>
      <c r="Q10271" s="1207"/>
    </row>
    <row r="10272" spans="3:17" s="700" customFormat="1" ht="70.5" hidden="1" customHeight="1">
      <c r="C10272" s="701"/>
      <c r="D10272" s="811"/>
      <c r="E10272" s="1276">
        <f>[11]building!Y10603</f>
        <v>0</v>
      </c>
      <c r="F10272" s="748">
        <f t="shared" si="399"/>
        <v>0</v>
      </c>
      <c r="G10272" s="1205"/>
      <c r="H10272" s="1055"/>
      <c r="I10272" s="1055"/>
      <c r="J10272" s="1055"/>
      <c r="K10272" s="1205"/>
      <c r="L10272" s="1055"/>
      <c r="M10272" s="1205"/>
      <c r="N10272" s="1054"/>
      <c r="O10272" s="1207"/>
      <c r="Q10272" s="1207"/>
    </row>
    <row r="10273" spans="3:17" s="700" customFormat="1" ht="70.5" hidden="1" customHeight="1">
      <c r="C10273" s="701"/>
      <c r="D10273" s="811"/>
      <c r="E10273" s="1276">
        <f>[11]building!Y10604</f>
        <v>0</v>
      </c>
      <c r="F10273" s="748">
        <f t="shared" si="399"/>
        <v>0</v>
      </c>
      <c r="G10273" s="1205"/>
      <c r="H10273" s="1055"/>
      <c r="I10273" s="1055"/>
      <c r="J10273" s="1055"/>
      <c r="K10273" s="1205"/>
      <c r="L10273" s="1055"/>
      <c r="M10273" s="1205"/>
      <c r="N10273" s="1054"/>
      <c r="O10273" s="1207"/>
      <c r="Q10273" s="1207"/>
    </row>
    <row r="10274" spans="3:17" s="700" customFormat="1" ht="70.5" hidden="1" customHeight="1">
      <c r="C10274" s="701"/>
      <c r="D10274" s="811"/>
      <c r="E10274" s="1276">
        <f>[11]building!Y10605</f>
        <v>0</v>
      </c>
      <c r="F10274" s="748">
        <f t="shared" si="399"/>
        <v>0</v>
      </c>
      <c r="G10274" s="1205"/>
      <c r="H10274" s="1055"/>
      <c r="I10274" s="1055"/>
      <c r="J10274" s="1055"/>
      <c r="K10274" s="1205"/>
      <c r="L10274" s="1055"/>
      <c r="M10274" s="1205"/>
      <c r="N10274" s="1054"/>
      <c r="O10274" s="1207"/>
      <c r="Q10274" s="1207"/>
    </row>
    <row r="10275" spans="3:17" s="700" customFormat="1" ht="70.5" hidden="1" customHeight="1">
      <c r="C10275" s="701"/>
      <c r="D10275" s="811"/>
      <c r="E10275" s="1276">
        <f>[11]building!Y10606</f>
        <v>0</v>
      </c>
      <c r="F10275" s="748">
        <f t="shared" si="399"/>
        <v>0</v>
      </c>
      <c r="G10275" s="1205"/>
      <c r="H10275" s="1055"/>
      <c r="I10275" s="1055"/>
      <c r="J10275" s="1055"/>
      <c r="K10275" s="1205"/>
      <c r="L10275" s="1055"/>
      <c r="M10275" s="1205"/>
      <c r="N10275" s="1054"/>
      <c r="O10275" s="1207"/>
      <c r="Q10275" s="1207"/>
    </row>
    <row r="10276" spans="3:17" s="700" customFormat="1" ht="70.5" hidden="1" customHeight="1">
      <c r="C10276" s="701"/>
      <c r="D10276" s="811"/>
      <c r="E10276" s="1276">
        <f>[11]building!Y10607</f>
        <v>0</v>
      </c>
      <c r="F10276" s="748">
        <f t="shared" si="399"/>
        <v>0</v>
      </c>
      <c r="G10276" s="1205"/>
      <c r="H10276" s="1055"/>
      <c r="I10276" s="1055"/>
      <c r="J10276" s="1055"/>
      <c r="K10276" s="1205"/>
      <c r="L10276" s="1055"/>
      <c r="M10276" s="1205"/>
      <c r="N10276" s="1054"/>
      <c r="O10276" s="1207"/>
      <c r="Q10276" s="1207"/>
    </row>
    <row r="10277" spans="3:17" s="700" customFormat="1" ht="70.5" hidden="1" customHeight="1">
      <c r="C10277" s="701"/>
      <c r="D10277" s="811"/>
      <c r="E10277" s="1276">
        <f>[11]building!Y10608</f>
        <v>0</v>
      </c>
      <c r="F10277" s="748">
        <f t="shared" si="399"/>
        <v>0</v>
      </c>
      <c r="G10277" s="1205"/>
      <c r="H10277" s="1055"/>
      <c r="I10277" s="1055"/>
      <c r="J10277" s="1055"/>
      <c r="K10277" s="1205"/>
      <c r="L10277" s="1055"/>
      <c r="M10277" s="1205"/>
      <c r="N10277" s="1054"/>
      <c r="O10277" s="1207"/>
      <c r="Q10277" s="1207"/>
    </row>
    <row r="10278" spans="3:17" s="700" customFormat="1" ht="70.5" hidden="1" customHeight="1">
      <c r="C10278" s="701"/>
      <c r="D10278" s="811"/>
      <c r="E10278" s="1276">
        <f>[11]building!Y10609</f>
        <v>0</v>
      </c>
      <c r="F10278" s="748">
        <f t="shared" si="399"/>
        <v>0</v>
      </c>
      <c r="G10278" s="1205"/>
      <c r="H10278" s="1055"/>
      <c r="I10278" s="1055"/>
      <c r="J10278" s="1055"/>
      <c r="K10278" s="1205"/>
      <c r="L10278" s="1055"/>
      <c r="M10278" s="1205"/>
      <c r="N10278" s="1054"/>
      <c r="O10278" s="1207"/>
      <c r="Q10278" s="1207"/>
    </row>
    <row r="10279" spans="3:17" s="700" customFormat="1" ht="70.5" hidden="1" customHeight="1">
      <c r="C10279" s="701"/>
      <c r="D10279" s="811"/>
      <c r="E10279" s="1276">
        <f>[11]building!Y10610</f>
        <v>0</v>
      </c>
      <c r="F10279" s="748">
        <f t="shared" si="399"/>
        <v>0</v>
      </c>
      <c r="G10279" s="1205"/>
      <c r="H10279" s="1055"/>
      <c r="I10279" s="1055"/>
      <c r="J10279" s="1055"/>
      <c r="K10279" s="1205"/>
      <c r="L10279" s="1055"/>
      <c r="M10279" s="1205"/>
      <c r="N10279" s="1054"/>
      <c r="O10279" s="1207"/>
      <c r="Q10279" s="1207"/>
    </row>
    <row r="10280" spans="3:17" s="700" customFormat="1" ht="70.5" hidden="1" customHeight="1">
      <c r="C10280" s="701"/>
      <c r="D10280" s="811"/>
      <c r="E10280" s="1276">
        <f>[11]building!Y10611</f>
        <v>0</v>
      </c>
      <c r="F10280" s="748">
        <f t="shared" si="399"/>
        <v>0</v>
      </c>
      <c r="G10280" s="1205"/>
      <c r="H10280" s="1055"/>
      <c r="I10280" s="1055"/>
      <c r="J10280" s="1055"/>
      <c r="K10280" s="1205"/>
      <c r="L10280" s="1055"/>
      <c r="M10280" s="1205"/>
      <c r="N10280" s="1054"/>
      <c r="O10280" s="1207"/>
      <c r="Q10280" s="1207"/>
    </row>
    <row r="10281" spans="3:17" s="700" customFormat="1" ht="70.5" hidden="1" customHeight="1">
      <c r="C10281" s="701"/>
      <c r="D10281" s="811"/>
      <c r="E10281" s="1276">
        <f>[11]building!Y10612</f>
        <v>0</v>
      </c>
      <c r="F10281" s="748">
        <f t="shared" si="399"/>
        <v>0</v>
      </c>
      <c r="G10281" s="1205"/>
      <c r="H10281" s="1055"/>
      <c r="I10281" s="1055"/>
      <c r="J10281" s="1055"/>
      <c r="K10281" s="1205"/>
      <c r="L10281" s="1055"/>
      <c r="M10281" s="1205"/>
      <c r="N10281" s="1054"/>
      <c r="O10281" s="1207"/>
      <c r="Q10281" s="1207"/>
    </row>
    <row r="10282" spans="3:17" s="700" customFormat="1" ht="70.5" hidden="1" customHeight="1">
      <c r="C10282" s="701"/>
      <c r="D10282" s="811"/>
      <c r="E10282" s="1276">
        <f>[11]building!Y10613</f>
        <v>0</v>
      </c>
      <c r="F10282" s="748">
        <f t="shared" si="399"/>
        <v>0</v>
      </c>
      <c r="G10282" s="1205"/>
      <c r="H10282" s="1055"/>
      <c r="I10282" s="1055"/>
      <c r="J10282" s="1055"/>
      <c r="K10282" s="1205"/>
      <c r="L10282" s="1055"/>
      <c r="M10282" s="1205"/>
      <c r="N10282" s="1054"/>
      <c r="O10282" s="1207"/>
      <c r="Q10282" s="1207"/>
    </row>
    <row r="10283" spans="3:17" s="700" customFormat="1" ht="70.5" hidden="1" customHeight="1">
      <c r="C10283" s="701"/>
      <c r="D10283" s="811"/>
      <c r="E10283" s="1276">
        <f>[11]building!Y10614</f>
        <v>0</v>
      </c>
      <c r="F10283" s="748">
        <f t="shared" si="399"/>
        <v>0</v>
      </c>
      <c r="G10283" s="1205"/>
      <c r="H10283" s="1055"/>
      <c r="I10283" s="1055"/>
      <c r="J10283" s="1055"/>
      <c r="K10283" s="1205"/>
      <c r="L10283" s="1055"/>
      <c r="M10283" s="1205"/>
      <c r="N10283" s="1054"/>
      <c r="O10283" s="1207"/>
      <c r="Q10283" s="1207"/>
    </row>
    <row r="10284" spans="3:17" s="700" customFormat="1" ht="70.5" hidden="1" customHeight="1">
      <c r="C10284" s="701"/>
      <c r="D10284" s="811"/>
      <c r="E10284" s="1276">
        <f>[11]building!Y10615</f>
        <v>0</v>
      </c>
      <c r="F10284" s="748">
        <f t="shared" si="399"/>
        <v>0</v>
      </c>
      <c r="G10284" s="1205"/>
      <c r="H10284" s="1055"/>
      <c r="I10284" s="1055"/>
      <c r="J10284" s="1055"/>
      <c r="K10284" s="1205"/>
      <c r="L10284" s="1055"/>
      <c r="M10284" s="1205"/>
      <c r="N10284" s="1054"/>
      <c r="O10284" s="1207"/>
      <c r="Q10284" s="1207"/>
    </row>
    <row r="10285" spans="3:17" s="700" customFormat="1" ht="70.5" hidden="1" customHeight="1">
      <c r="C10285" s="701"/>
      <c r="D10285" s="811"/>
      <c r="E10285" s="1276">
        <f>[11]building!Y10616</f>
        <v>0</v>
      </c>
      <c r="F10285" s="748">
        <f t="shared" si="399"/>
        <v>0</v>
      </c>
      <c r="G10285" s="1205"/>
      <c r="H10285" s="1055"/>
      <c r="I10285" s="1055"/>
      <c r="J10285" s="1055"/>
      <c r="K10285" s="1205"/>
      <c r="L10285" s="1055"/>
      <c r="M10285" s="1205"/>
      <c r="N10285" s="1054"/>
      <c r="O10285" s="1207"/>
      <c r="Q10285" s="1207"/>
    </row>
    <row r="10286" spans="3:17" s="700" customFormat="1" ht="70.5" hidden="1" customHeight="1">
      <c r="C10286" s="701"/>
      <c r="D10286" s="811"/>
      <c r="E10286" s="1276">
        <f>[11]building!Y10617</f>
        <v>0</v>
      </c>
      <c r="F10286" s="748">
        <f t="shared" si="399"/>
        <v>0</v>
      </c>
      <c r="G10286" s="1205"/>
      <c r="H10286" s="1055"/>
      <c r="I10286" s="1055"/>
      <c r="J10286" s="1055"/>
      <c r="K10286" s="1205"/>
      <c r="L10286" s="1055"/>
      <c r="M10286" s="1205"/>
      <c r="N10286" s="1054"/>
      <c r="O10286" s="1207"/>
      <c r="Q10286" s="1207"/>
    </row>
    <row r="10287" spans="3:17" s="700" customFormat="1" ht="70.5" hidden="1" customHeight="1">
      <c r="C10287" s="701"/>
      <c r="D10287" s="811"/>
      <c r="E10287" s="1276">
        <f>[11]building!Y10618</f>
        <v>0</v>
      </c>
      <c r="F10287" s="748">
        <f t="shared" si="399"/>
        <v>0</v>
      </c>
      <c r="G10287" s="1205"/>
      <c r="H10287" s="1055"/>
      <c r="I10287" s="1055"/>
      <c r="J10287" s="1055"/>
      <c r="K10287" s="1205"/>
      <c r="L10287" s="1055"/>
      <c r="M10287" s="1205"/>
      <c r="N10287" s="1054"/>
      <c r="O10287" s="1207"/>
      <c r="Q10287" s="1207"/>
    </row>
    <row r="10288" spans="3:17" s="700" customFormat="1" ht="70.5" hidden="1" customHeight="1">
      <c r="C10288" s="701"/>
      <c r="D10288" s="811"/>
      <c r="E10288" s="1276">
        <f>[11]building!Y10619</f>
        <v>0</v>
      </c>
      <c r="F10288" s="748">
        <f t="shared" si="399"/>
        <v>0</v>
      </c>
      <c r="G10288" s="1205"/>
      <c r="H10288" s="1055"/>
      <c r="I10288" s="1055"/>
      <c r="J10288" s="1055"/>
      <c r="K10288" s="1205"/>
      <c r="L10288" s="1055"/>
      <c r="M10288" s="1205"/>
      <c r="N10288" s="1054"/>
      <c r="O10288" s="1207"/>
      <c r="Q10288" s="1207"/>
    </row>
    <row r="10289" spans="3:17" s="700" customFormat="1" ht="70.5" hidden="1" customHeight="1">
      <c r="C10289" s="701"/>
      <c r="D10289" s="811"/>
      <c r="E10289" s="1276">
        <f>[11]building!Y10620</f>
        <v>0</v>
      </c>
      <c r="F10289" s="748">
        <f t="shared" si="399"/>
        <v>0</v>
      </c>
      <c r="G10289" s="1205"/>
      <c r="H10289" s="1055"/>
      <c r="I10289" s="1055"/>
      <c r="J10289" s="1055"/>
      <c r="K10289" s="1205"/>
      <c r="L10289" s="1055"/>
      <c r="M10289" s="1205"/>
      <c r="N10289" s="1054"/>
      <c r="O10289" s="1207"/>
      <c r="Q10289" s="1207"/>
    </row>
    <row r="10290" spans="3:17" s="700" customFormat="1" ht="70.5" hidden="1" customHeight="1">
      <c r="C10290" s="701"/>
      <c r="D10290" s="811"/>
      <c r="E10290" s="1276">
        <f>[11]building!Y10621</f>
        <v>0</v>
      </c>
      <c r="F10290" s="748">
        <f t="shared" si="399"/>
        <v>0</v>
      </c>
      <c r="G10290" s="1205"/>
      <c r="H10290" s="1055"/>
      <c r="I10290" s="1055"/>
      <c r="J10290" s="1055"/>
      <c r="K10290" s="1205"/>
      <c r="L10290" s="1055"/>
      <c r="M10290" s="1205"/>
      <c r="N10290" s="1054"/>
      <c r="O10290" s="1207"/>
      <c r="Q10290" s="1207"/>
    </row>
    <row r="10291" spans="3:17" s="700" customFormat="1" ht="70.5" hidden="1" customHeight="1">
      <c r="C10291" s="701"/>
      <c r="D10291" s="811"/>
      <c r="E10291" s="1276">
        <f>[11]building!Y10622</f>
        <v>0</v>
      </c>
      <c r="F10291" s="748">
        <f t="shared" si="399"/>
        <v>0</v>
      </c>
      <c r="G10291" s="1205"/>
      <c r="H10291" s="1055"/>
      <c r="I10291" s="1055"/>
      <c r="J10291" s="1055"/>
      <c r="K10291" s="1205"/>
      <c r="L10291" s="1055"/>
      <c r="M10291" s="1205"/>
      <c r="N10291" s="1054"/>
      <c r="O10291" s="1207"/>
      <c r="Q10291" s="1207"/>
    </row>
    <row r="10292" spans="3:17" s="700" customFormat="1" ht="70.5" hidden="1" customHeight="1">
      <c r="C10292" s="701"/>
      <c r="D10292" s="811"/>
      <c r="E10292" s="1276">
        <f>[11]building!Y10623</f>
        <v>0</v>
      </c>
      <c r="F10292" s="748">
        <f t="shared" si="399"/>
        <v>0</v>
      </c>
      <c r="G10292" s="1205"/>
      <c r="H10292" s="1055"/>
      <c r="I10292" s="1055"/>
      <c r="J10292" s="1055"/>
      <c r="K10292" s="1205"/>
      <c r="L10292" s="1055"/>
      <c r="M10292" s="1205"/>
      <c r="N10292" s="1054"/>
      <c r="O10292" s="1207"/>
      <c r="Q10292" s="1207"/>
    </row>
    <row r="10293" spans="3:17" s="700" customFormat="1" ht="70.5" hidden="1" customHeight="1">
      <c r="C10293" s="701"/>
      <c r="D10293" s="811"/>
      <c r="E10293" s="1276">
        <f>[11]building!Y10624</f>
        <v>0</v>
      </c>
      <c r="F10293" s="748">
        <f t="shared" si="399"/>
        <v>0</v>
      </c>
      <c r="G10293" s="1205"/>
      <c r="H10293" s="1055"/>
      <c r="I10293" s="1055"/>
      <c r="J10293" s="1055"/>
      <c r="K10293" s="1205"/>
      <c r="L10293" s="1055"/>
      <c r="M10293" s="1205"/>
      <c r="N10293" s="1054"/>
      <c r="O10293" s="1207"/>
      <c r="Q10293" s="1207"/>
    </row>
    <row r="10294" spans="3:17" s="700" customFormat="1" ht="70.5" hidden="1" customHeight="1">
      <c r="C10294" s="701"/>
      <c r="D10294" s="811"/>
      <c r="E10294" s="1276">
        <f>[11]building!Y10625</f>
        <v>0</v>
      </c>
      <c r="F10294" s="748">
        <f t="shared" si="399"/>
        <v>0</v>
      </c>
      <c r="G10294" s="1205"/>
      <c r="H10294" s="1055"/>
      <c r="I10294" s="1055"/>
      <c r="J10294" s="1055"/>
      <c r="K10294" s="1205"/>
      <c r="L10294" s="1055"/>
      <c r="M10294" s="1205"/>
      <c r="N10294" s="1054"/>
      <c r="O10294" s="1207"/>
      <c r="Q10294" s="1207"/>
    </row>
    <row r="10295" spans="3:17" s="700" customFormat="1" ht="70.5" hidden="1" customHeight="1">
      <c r="C10295" s="701"/>
      <c r="D10295" s="811"/>
      <c r="E10295" s="1276">
        <f>[11]building!Y10626</f>
        <v>0</v>
      </c>
      <c r="F10295" s="748">
        <f t="shared" si="399"/>
        <v>0</v>
      </c>
      <c r="G10295" s="1205"/>
      <c r="H10295" s="1055"/>
      <c r="I10295" s="1055"/>
      <c r="J10295" s="1055"/>
      <c r="K10295" s="1205"/>
      <c r="L10295" s="1055"/>
      <c r="M10295" s="1205"/>
      <c r="N10295" s="1054"/>
      <c r="O10295" s="1207"/>
      <c r="Q10295" s="1207"/>
    </row>
    <row r="10296" spans="3:17" s="700" customFormat="1" ht="70.5" hidden="1" customHeight="1">
      <c r="C10296" s="701"/>
      <c r="D10296" s="811"/>
      <c r="E10296" s="1276">
        <f>[11]building!Y10627</f>
        <v>0</v>
      </c>
      <c r="F10296" s="748">
        <f t="shared" si="399"/>
        <v>0</v>
      </c>
      <c r="G10296" s="1205"/>
      <c r="H10296" s="1055"/>
      <c r="I10296" s="1055"/>
      <c r="J10296" s="1055"/>
      <c r="K10296" s="1205"/>
      <c r="L10296" s="1055"/>
      <c r="M10296" s="1205"/>
      <c r="N10296" s="1054"/>
      <c r="O10296" s="1207"/>
      <c r="Q10296" s="1207"/>
    </row>
    <row r="10297" spans="3:17" s="700" customFormat="1" ht="70.5" hidden="1" customHeight="1">
      <c r="C10297" s="701"/>
      <c r="D10297" s="811"/>
      <c r="E10297" s="1276">
        <f>[11]building!Y10628</f>
        <v>0</v>
      </c>
      <c r="F10297" s="748">
        <f t="shared" si="399"/>
        <v>0</v>
      </c>
      <c r="G10297" s="1205"/>
      <c r="H10297" s="1055"/>
      <c r="I10297" s="1055"/>
      <c r="J10297" s="1055"/>
      <c r="K10297" s="1205"/>
      <c r="L10297" s="1055"/>
      <c r="M10297" s="1205"/>
      <c r="N10297" s="1054"/>
      <c r="O10297" s="1207"/>
      <c r="Q10297" s="1207"/>
    </row>
    <row r="10298" spans="3:17" s="700" customFormat="1" ht="70.5" hidden="1" customHeight="1">
      <c r="C10298" s="701"/>
      <c r="D10298" s="811"/>
      <c r="E10298" s="1276">
        <f>[11]building!Y10629</f>
        <v>0</v>
      </c>
      <c r="F10298" s="748">
        <f t="shared" si="399"/>
        <v>0</v>
      </c>
      <c r="G10298" s="1205"/>
      <c r="H10298" s="1055"/>
      <c r="I10298" s="1055"/>
      <c r="J10298" s="1055"/>
      <c r="K10298" s="1205"/>
      <c r="L10298" s="1055"/>
      <c r="M10298" s="1205"/>
      <c r="N10298" s="1054"/>
      <c r="O10298" s="1207"/>
      <c r="Q10298" s="1207"/>
    </row>
    <row r="10299" spans="3:17" s="700" customFormat="1" ht="70.5" hidden="1" customHeight="1">
      <c r="C10299" s="701"/>
      <c r="D10299" s="811"/>
      <c r="E10299" s="1276">
        <f>[11]building!Y10630</f>
        <v>0</v>
      </c>
      <c r="F10299" s="748">
        <f t="shared" si="399"/>
        <v>0</v>
      </c>
      <c r="G10299" s="1205"/>
      <c r="H10299" s="1055"/>
      <c r="I10299" s="1055"/>
      <c r="J10299" s="1055"/>
      <c r="K10299" s="1205"/>
      <c r="L10299" s="1055"/>
      <c r="M10299" s="1205"/>
      <c r="N10299" s="1054"/>
      <c r="O10299" s="1207"/>
      <c r="Q10299" s="1207"/>
    </row>
    <row r="10300" spans="3:17" s="700" customFormat="1" ht="70.5" hidden="1" customHeight="1">
      <c r="C10300" s="701"/>
      <c r="D10300" s="811"/>
      <c r="E10300" s="1276">
        <f>[11]building!Y10631</f>
        <v>0</v>
      </c>
      <c r="F10300" s="748">
        <f t="shared" si="399"/>
        <v>0</v>
      </c>
      <c r="G10300" s="1205"/>
      <c r="H10300" s="1055"/>
      <c r="I10300" s="1055"/>
      <c r="J10300" s="1055"/>
      <c r="K10300" s="1205"/>
      <c r="L10300" s="1055"/>
      <c r="M10300" s="1205"/>
      <c r="N10300" s="1054"/>
      <c r="O10300" s="1207"/>
      <c r="Q10300" s="1207"/>
    </row>
    <row r="10301" spans="3:17" s="700" customFormat="1" ht="70.5" hidden="1" customHeight="1">
      <c r="C10301" s="701"/>
      <c r="D10301" s="811"/>
      <c r="E10301" s="1276">
        <f>[11]building!Y10632</f>
        <v>0</v>
      </c>
      <c r="F10301" s="748">
        <f t="shared" si="399"/>
        <v>0</v>
      </c>
      <c r="G10301" s="1205"/>
      <c r="H10301" s="1055"/>
      <c r="I10301" s="1055"/>
      <c r="J10301" s="1055"/>
      <c r="K10301" s="1205"/>
      <c r="L10301" s="1055"/>
      <c r="M10301" s="1205"/>
      <c r="N10301" s="1054"/>
      <c r="O10301" s="1207"/>
      <c r="Q10301" s="1207"/>
    </row>
    <row r="10302" spans="3:17" s="700" customFormat="1" ht="70.5" hidden="1" customHeight="1">
      <c r="C10302" s="701"/>
      <c r="D10302" s="811"/>
      <c r="E10302" s="1276">
        <f>[11]building!Y10633</f>
        <v>0</v>
      </c>
      <c r="F10302" s="748">
        <f t="shared" si="399"/>
        <v>0</v>
      </c>
      <c r="G10302" s="1205"/>
      <c r="H10302" s="1055"/>
      <c r="I10302" s="1055"/>
      <c r="J10302" s="1055"/>
      <c r="K10302" s="1205"/>
      <c r="L10302" s="1055"/>
      <c r="M10302" s="1205"/>
      <c r="N10302" s="1054"/>
      <c r="O10302" s="1207"/>
      <c r="Q10302" s="1207"/>
    </row>
    <row r="10303" spans="3:17" s="700" customFormat="1" ht="70.5" hidden="1" customHeight="1">
      <c r="C10303" s="701"/>
      <c r="D10303" s="811"/>
      <c r="E10303" s="1276">
        <f>[11]building!Y10634</f>
        <v>0</v>
      </c>
      <c r="F10303" s="748">
        <f t="shared" si="399"/>
        <v>0</v>
      </c>
      <c r="G10303" s="1205"/>
      <c r="H10303" s="1055"/>
      <c r="I10303" s="1055"/>
      <c r="J10303" s="1055"/>
      <c r="K10303" s="1205"/>
      <c r="L10303" s="1055"/>
      <c r="M10303" s="1205"/>
      <c r="N10303" s="1054"/>
      <c r="O10303" s="1207"/>
      <c r="Q10303" s="1207"/>
    </row>
    <row r="10304" spans="3:17" s="700" customFormat="1" ht="70.5" hidden="1" customHeight="1">
      <c r="C10304" s="701"/>
      <c r="D10304" s="811"/>
      <c r="E10304" s="1276">
        <f>[11]building!Y10635</f>
        <v>0</v>
      </c>
      <c r="F10304" s="748">
        <f t="shared" ref="F10304:F10367" si="400">E10304*C10304</f>
        <v>0</v>
      </c>
      <c r="G10304" s="1205"/>
      <c r="H10304" s="1055"/>
      <c r="I10304" s="1055"/>
      <c r="J10304" s="1055"/>
      <c r="K10304" s="1205"/>
      <c r="L10304" s="1055"/>
      <c r="M10304" s="1205"/>
      <c r="N10304" s="1054"/>
      <c r="O10304" s="1207"/>
      <c r="Q10304" s="1207"/>
    </row>
    <row r="10305" spans="3:17" s="700" customFormat="1" ht="70.5" hidden="1" customHeight="1">
      <c r="C10305" s="701"/>
      <c r="D10305" s="811"/>
      <c r="E10305" s="1276">
        <f>[11]building!Y10636</f>
        <v>0</v>
      </c>
      <c r="F10305" s="748">
        <f t="shared" si="400"/>
        <v>0</v>
      </c>
      <c r="G10305" s="1205"/>
      <c r="H10305" s="1055"/>
      <c r="I10305" s="1055"/>
      <c r="J10305" s="1055"/>
      <c r="K10305" s="1205"/>
      <c r="L10305" s="1055"/>
      <c r="M10305" s="1205"/>
      <c r="N10305" s="1054"/>
      <c r="O10305" s="1207"/>
      <c r="Q10305" s="1207"/>
    </row>
    <row r="10306" spans="3:17" s="700" customFormat="1" ht="70.5" hidden="1" customHeight="1">
      <c r="C10306" s="701"/>
      <c r="D10306" s="811"/>
      <c r="E10306" s="1276">
        <f>[11]building!Y10637</f>
        <v>0</v>
      </c>
      <c r="F10306" s="748">
        <f t="shared" si="400"/>
        <v>0</v>
      </c>
      <c r="G10306" s="1205"/>
      <c r="H10306" s="1055"/>
      <c r="I10306" s="1055"/>
      <c r="J10306" s="1055"/>
      <c r="K10306" s="1205"/>
      <c r="L10306" s="1055"/>
      <c r="M10306" s="1205"/>
      <c r="N10306" s="1054"/>
      <c r="O10306" s="1207"/>
      <c r="Q10306" s="1207"/>
    </row>
    <row r="10307" spans="3:17" s="700" customFormat="1" ht="70.5" hidden="1" customHeight="1">
      <c r="C10307" s="701"/>
      <c r="D10307" s="811"/>
      <c r="E10307" s="1276">
        <f>[11]building!Y10638</f>
        <v>0</v>
      </c>
      <c r="F10307" s="748">
        <f t="shared" si="400"/>
        <v>0</v>
      </c>
      <c r="G10307" s="1205"/>
      <c r="H10307" s="1055"/>
      <c r="I10307" s="1055"/>
      <c r="J10307" s="1055"/>
      <c r="K10307" s="1205"/>
      <c r="L10307" s="1055"/>
      <c r="M10307" s="1205"/>
      <c r="N10307" s="1054"/>
      <c r="O10307" s="1207"/>
      <c r="Q10307" s="1207"/>
    </row>
    <row r="10308" spans="3:17" s="700" customFormat="1" ht="70.5" hidden="1" customHeight="1">
      <c r="C10308" s="701"/>
      <c r="D10308" s="811"/>
      <c r="E10308" s="1276">
        <f>[11]building!Y10639</f>
        <v>0</v>
      </c>
      <c r="F10308" s="748">
        <f t="shared" si="400"/>
        <v>0</v>
      </c>
      <c r="G10308" s="1205"/>
      <c r="H10308" s="1055"/>
      <c r="I10308" s="1055"/>
      <c r="J10308" s="1055"/>
      <c r="K10308" s="1205"/>
      <c r="L10308" s="1055"/>
      <c r="M10308" s="1205"/>
      <c r="N10308" s="1054"/>
      <c r="O10308" s="1207"/>
      <c r="Q10308" s="1207"/>
    </row>
    <row r="10309" spans="3:17" s="700" customFormat="1" ht="70.5" hidden="1" customHeight="1">
      <c r="C10309" s="701"/>
      <c r="D10309" s="811"/>
      <c r="E10309" s="1276">
        <f>[11]building!Y10640</f>
        <v>0</v>
      </c>
      <c r="F10309" s="748">
        <f t="shared" si="400"/>
        <v>0</v>
      </c>
      <c r="G10309" s="1205"/>
      <c r="H10309" s="1055"/>
      <c r="I10309" s="1055"/>
      <c r="J10309" s="1055"/>
      <c r="K10309" s="1205"/>
      <c r="L10309" s="1055"/>
      <c r="M10309" s="1205"/>
      <c r="N10309" s="1054"/>
      <c r="O10309" s="1207"/>
      <c r="Q10309" s="1207"/>
    </row>
    <row r="10310" spans="3:17" s="700" customFormat="1" ht="70.5" hidden="1" customHeight="1">
      <c r="C10310" s="701"/>
      <c r="D10310" s="811"/>
      <c r="E10310" s="1276">
        <f>[11]building!Y10641</f>
        <v>0</v>
      </c>
      <c r="F10310" s="748">
        <f t="shared" si="400"/>
        <v>0</v>
      </c>
      <c r="G10310" s="1205"/>
      <c r="H10310" s="1055"/>
      <c r="I10310" s="1055"/>
      <c r="J10310" s="1055"/>
      <c r="K10310" s="1205"/>
      <c r="L10310" s="1055"/>
      <c r="M10310" s="1205"/>
      <c r="N10310" s="1054"/>
      <c r="O10310" s="1207"/>
      <c r="Q10310" s="1207"/>
    </row>
    <row r="10311" spans="3:17" s="700" customFormat="1" ht="70.5" hidden="1" customHeight="1">
      <c r="C10311" s="701"/>
      <c r="D10311" s="811"/>
      <c r="E10311" s="1276">
        <f>[11]building!Y10642</f>
        <v>0</v>
      </c>
      <c r="F10311" s="748">
        <f t="shared" si="400"/>
        <v>0</v>
      </c>
      <c r="G10311" s="1205"/>
      <c r="H10311" s="1055"/>
      <c r="I10311" s="1055"/>
      <c r="J10311" s="1055"/>
      <c r="K10311" s="1205"/>
      <c r="L10311" s="1055"/>
      <c r="M10311" s="1205"/>
      <c r="N10311" s="1054"/>
      <c r="O10311" s="1207"/>
      <c r="Q10311" s="1207"/>
    </row>
    <row r="10312" spans="3:17" s="700" customFormat="1" ht="70.5" hidden="1" customHeight="1">
      <c r="C10312" s="701"/>
      <c r="D10312" s="811"/>
      <c r="E10312" s="1276">
        <f>[11]building!Y10643</f>
        <v>0</v>
      </c>
      <c r="F10312" s="748">
        <f t="shared" si="400"/>
        <v>0</v>
      </c>
      <c r="G10312" s="1205"/>
      <c r="H10312" s="1055"/>
      <c r="I10312" s="1055"/>
      <c r="J10312" s="1055"/>
      <c r="K10312" s="1205"/>
      <c r="L10312" s="1055"/>
      <c r="M10312" s="1205"/>
      <c r="N10312" s="1054"/>
      <c r="O10312" s="1207"/>
      <c r="Q10312" s="1207"/>
    </row>
    <row r="10313" spans="3:17" s="700" customFormat="1" ht="70.5" hidden="1" customHeight="1">
      <c r="C10313" s="701"/>
      <c r="D10313" s="811"/>
      <c r="E10313" s="1276">
        <f>[11]building!Y10644</f>
        <v>0</v>
      </c>
      <c r="F10313" s="748">
        <f t="shared" si="400"/>
        <v>0</v>
      </c>
      <c r="G10313" s="1205"/>
      <c r="H10313" s="1055"/>
      <c r="I10313" s="1055"/>
      <c r="J10313" s="1055"/>
      <c r="K10313" s="1205"/>
      <c r="L10313" s="1055"/>
      <c r="M10313" s="1205"/>
      <c r="N10313" s="1054"/>
      <c r="O10313" s="1207"/>
      <c r="Q10313" s="1207"/>
    </row>
    <row r="10314" spans="3:17" s="700" customFormat="1" ht="70.5" hidden="1" customHeight="1">
      <c r="C10314" s="701"/>
      <c r="D10314" s="811"/>
      <c r="E10314" s="1276">
        <f>[11]building!Y10645</f>
        <v>0</v>
      </c>
      <c r="F10314" s="748">
        <f t="shared" si="400"/>
        <v>0</v>
      </c>
      <c r="G10314" s="1205"/>
      <c r="H10314" s="1055"/>
      <c r="I10314" s="1055"/>
      <c r="J10314" s="1055"/>
      <c r="K10314" s="1205"/>
      <c r="L10314" s="1055"/>
      <c r="M10314" s="1205"/>
      <c r="N10314" s="1054"/>
      <c r="O10314" s="1207"/>
      <c r="Q10314" s="1207"/>
    </row>
    <row r="10315" spans="3:17" s="700" customFormat="1" ht="70.5" hidden="1" customHeight="1">
      <c r="C10315" s="701"/>
      <c r="D10315" s="811"/>
      <c r="E10315" s="1276">
        <f>[11]building!Y10646</f>
        <v>0</v>
      </c>
      <c r="F10315" s="748">
        <f t="shared" si="400"/>
        <v>0</v>
      </c>
      <c r="G10315" s="1205"/>
      <c r="H10315" s="1055"/>
      <c r="I10315" s="1055"/>
      <c r="J10315" s="1055"/>
      <c r="K10315" s="1205"/>
      <c r="L10315" s="1055"/>
      <c r="M10315" s="1205"/>
      <c r="N10315" s="1054"/>
      <c r="O10315" s="1207"/>
      <c r="Q10315" s="1207"/>
    </row>
    <row r="10316" spans="3:17" s="700" customFormat="1" ht="70.5" hidden="1" customHeight="1">
      <c r="C10316" s="701"/>
      <c r="D10316" s="811"/>
      <c r="E10316" s="1276">
        <f>[11]building!Y10647</f>
        <v>0</v>
      </c>
      <c r="F10316" s="748">
        <f t="shared" si="400"/>
        <v>0</v>
      </c>
      <c r="G10316" s="1205"/>
      <c r="H10316" s="1055"/>
      <c r="I10316" s="1055"/>
      <c r="J10316" s="1055"/>
      <c r="K10316" s="1205"/>
      <c r="L10316" s="1055"/>
      <c r="M10316" s="1205"/>
      <c r="N10316" s="1054"/>
      <c r="O10316" s="1207"/>
      <c r="Q10316" s="1207"/>
    </row>
    <row r="10317" spans="3:17" s="700" customFormat="1" ht="70.5" hidden="1" customHeight="1">
      <c r="C10317" s="701"/>
      <c r="D10317" s="811"/>
      <c r="E10317" s="1276">
        <f>[11]building!Y10648</f>
        <v>0</v>
      </c>
      <c r="F10317" s="748">
        <f t="shared" si="400"/>
        <v>0</v>
      </c>
      <c r="G10317" s="1205"/>
      <c r="H10317" s="1055"/>
      <c r="I10317" s="1055"/>
      <c r="J10317" s="1055"/>
      <c r="K10317" s="1205"/>
      <c r="L10317" s="1055"/>
      <c r="M10317" s="1205"/>
      <c r="N10317" s="1054"/>
      <c r="O10317" s="1207"/>
      <c r="Q10317" s="1207"/>
    </row>
    <row r="10318" spans="3:17" s="700" customFormat="1" ht="70.5" hidden="1" customHeight="1">
      <c r="C10318" s="701"/>
      <c r="D10318" s="811"/>
      <c r="E10318" s="1276">
        <f>[11]building!Y10649</f>
        <v>0</v>
      </c>
      <c r="F10318" s="748">
        <f t="shared" si="400"/>
        <v>0</v>
      </c>
      <c r="G10318" s="1205"/>
      <c r="H10318" s="1055"/>
      <c r="I10318" s="1055"/>
      <c r="J10318" s="1055"/>
      <c r="K10318" s="1205"/>
      <c r="L10318" s="1055"/>
      <c r="M10318" s="1205"/>
      <c r="N10318" s="1054"/>
      <c r="O10318" s="1207"/>
      <c r="Q10318" s="1207"/>
    </row>
    <row r="10319" spans="3:17" s="700" customFormat="1" ht="70.5" hidden="1" customHeight="1">
      <c r="C10319" s="701"/>
      <c r="D10319" s="811"/>
      <c r="E10319" s="1276">
        <f>[11]building!Y10650</f>
        <v>0</v>
      </c>
      <c r="F10319" s="748">
        <f t="shared" si="400"/>
        <v>0</v>
      </c>
      <c r="G10319" s="1205"/>
      <c r="H10319" s="1055"/>
      <c r="I10319" s="1055"/>
      <c r="J10319" s="1055"/>
      <c r="K10319" s="1205"/>
      <c r="L10319" s="1055"/>
      <c r="M10319" s="1205"/>
      <c r="N10319" s="1054"/>
      <c r="O10319" s="1207"/>
      <c r="Q10319" s="1207"/>
    </row>
    <row r="10320" spans="3:17" s="700" customFormat="1" ht="70.5" hidden="1" customHeight="1">
      <c r="C10320" s="701"/>
      <c r="D10320" s="811"/>
      <c r="E10320" s="1276">
        <f>[11]building!Y10651</f>
        <v>0</v>
      </c>
      <c r="F10320" s="748">
        <f t="shared" si="400"/>
        <v>0</v>
      </c>
      <c r="G10320" s="1205"/>
      <c r="H10320" s="1055"/>
      <c r="I10320" s="1055"/>
      <c r="J10320" s="1055"/>
      <c r="K10320" s="1205"/>
      <c r="L10320" s="1055"/>
      <c r="M10320" s="1205"/>
      <c r="N10320" s="1054"/>
      <c r="O10320" s="1207"/>
      <c r="Q10320" s="1207"/>
    </row>
    <row r="10321" spans="3:17" s="700" customFormat="1" ht="70.5" hidden="1" customHeight="1">
      <c r="C10321" s="701"/>
      <c r="D10321" s="811"/>
      <c r="E10321" s="1276">
        <f>[11]building!Y10652</f>
        <v>0</v>
      </c>
      <c r="F10321" s="748">
        <f t="shared" si="400"/>
        <v>0</v>
      </c>
      <c r="G10321" s="1205"/>
      <c r="H10321" s="1055"/>
      <c r="I10321" s="1055"/>
      <c r="J10321" s="1055"/>
      <c r="K10321" s="1205"/>
      <c r="L10321" s="1055"/>
      <c r="M10321" s="1205"/>
      <c r="N10321" s="1054"/>
      <c r="O10321" s="1207"/>
      <c r="Q10321" s="1207"/>
    </row>
    <row r="10322" spans="3:17" s="700" customFormat="1" ht="70.5" hidden="1" customHeight="1">
      <c r="C10322" s="701"/>
      <c r="D10322" s="811"/>
      <c r="E10322" s="1276">
        <f>[11]building!Y10653</f>
        <v>0</v>
      </c>
      <c r="F10322" s="748">
        <f t="shared" si="400"/>
        <v>0</v>
      </c>
      <c r="G10322" s="1205"/>
      <c r="H10322" s="1055"/>
      <c r="I10322" s="1055"/>
      <c r="J10322" s="1055"/>
      <c r="K10322" s="1205"/>
      <c r="L10322" s="1055"/>
      <c r="M10322" s="1205"/>
      <c r="N10322" s="1054"/>
      <c r="O10322" s="1207"/>
      <c r="Q10322" s="1207"/>
    </row>
    <row r="10323" spans="3:17" s="700" customFormat="1" ht="70.5" hidden="1" customHeight="1">
      <c r="C10323" s="701"/>
      <c r="D10323" s="811"/>
      <c r="E10323" s="1276">
        <f>[11]building!Y10654</f>
        <v>0</v>
      </c>
      <c r="F10323" s="748">
        <f t="shared" si="400"/>
        <v>0</v>
      </c>
      <c r="G10323" s="1205"/>
      <c r="H10323" s="1055"/>
      <c r="I10323" s="1055"/>
      <c r="J10323" s="1055"/>
      <c r="K10323" s="1205"/>
      <c r="L10323" s="1055"/>
      <c r="M10323" s="1205"/>
      <c r="N10323" s="1054"/>
      <c r="O10323" s="1207"/>
      <c r="Q10323" s="1207"/>
    </row>
    <row r="10324" spans="3:17" s="700" customFormat="1" ht="70.5" hidden="1" customHeight="1">
      <c r="C10324" s="701"/>
      <c r="D10324" s="811"/>
      <c r="E10324" s="1276">
        <f>[11]building!Y10655</f>
        <v>0</v>
      </c>
      <c r="F10324" s="748">
        <f t="shared" si="400"/>
        <v>0</v>
      </c>
      <c r="G10324" s="1205"/>
      <c r="H10324" s="1055"/>
      <c r="I10324" s="1055"/>
      <c r="J10324" s="1055"/>
      <c r="K10324" s="1205"/>
      <c r="L10324" s="1055"/>
      <c r="M10324" s="1205"/>
      <c r="N10324" s="1054"/>
      <c r="O10324" s="1207"/>
      <c r="Q10324" s="1207"/>
    </row>
    <row r="10325" spans="3:17" s="700" customFormat="1" ht="70.5" hidden="1" customHeight="1">
      <c r="C10325" s="701"/>
      <c r="D10325" s="811"/>
      <c r="E10325" s="1276">
        <f>[11]building!Y10656</f>
        <v>0</v>
      </c>
      <c r="F10325" s="748">
        <f t="shared" si="400"/>
        <v>0</v>
      </c>
      <c r="G10325" s="1205"/>
      <c r="H10325" s="1055"/>
      <c r="I10325" s="1055"/>
      <c r="J10325" s="1055"/>
      <c r="K10325" s="1205"/>
      <c r="L10325" s="1055"/>
      <c r="M10325" s="1205"/>
      <c r="N10325" s="1054"/>
      <c r="O10325" s="1207"/>
      <c r="Q10325" s="1207"/>
    </row>
    <row r="10326" spans="3:17" s="700" customFormat="1" ht="70.5" hidden="1" customHeight="1">
      <c r="C10326" s="701"/>
      <c r="D10326" s="811"/>
      <c r="E10326" s="1276">
        <f>[11]building!Y10657</f>
        <v>0</v>
      </c>
      <c r="F10326" s="748">
        <f t="shared" si="400"/>
        <v>0</v>
      </c>
      <c r="G10326" s="1205"/>
      <c r="H10326" s="1055"/>
      <c r="I10326" s="1055"/>
      <c r="J10326" s="1055"/>
      <c r="K10326" s="1205"/>
      <c r="L10326" s="1055"/>
      <c r="M10326" s="1205"/>
      <c r="N10326" s="1054"/>
      <c r="O10326" s="1207"/>
      <c r="Q10326" s="1207"/>
    </row>
    <row r="10327" spans="3:17" s="700" customFormat="1" ht="70.5" hidden="1" customHeight="1">
      <c r="C10327" s="701"/>
      <c r="D10327" s="811"/>
      <c r="E10327" s="1276">
        <f>[11]building!Y10658</f>
        <v>0</v>
      </c>
      <c r="F10327" s="748">
        <f t="shared" si="400"/>
        <v>0</v>
      </c>
      <c r="G10327" s="1205"/>
      <c r="H10327" s="1055"/>
      <c r="I10327" s="1055"/>
      <c r="J10327" s="1055"/>
      <c r="K10327" s="1205"/>
      <c r="L10327" s="1055"/>
      <c r="M10327" s="1205"/>
      <c r="N10327" s="1054"/>
      <c r="O10327" s="1207"/>
      <c r="Q10327" s="1207"/>
    </row>
    <row r="10328" spans="3:17" s="700" customFormat="1" ht="70.5" hidden="1" customHeight="1">
      <c r="C10328" s="701"/>
      <c r="D10328" s="811"/>
      <c r="E10328" s="1276">
        <f>[11]building!Y10659</f>
        <v>0</v>
      </c>
      <c r="F10328" s="748">
        <f t="shared" si="400"/>
        <v>0</v>
      </c>
      <c r="G10328" s="1205"/>
      <c r="H10328" s="1055"/>
      <c r="I10328" s="1055"/>
      <c r="J10328" s="1055"/>
      <c r="K10328" s="1205"/>
      <c r="L10328" s="1055"/>
      <c r="M10328" s="1205"/>
      <c r="N10328" s="1054"/>
      <c r="O10328" s="1207"/>
      <c r="Q10328" s="1207"/>
    </row>
    <row r="10329" spans="3:17" s="700" customFormat="1" ht="70.5" hidden="1" customHeight="1">
      <c r="C10329" s="701"/>
      <c r="D10329" s="811"/>
      <c r="E10329" s="1276">
        <f>[11]building!Y10660</f>
        <v>0</v>
      </c>
      <c r="F10329" s="748">
        <f t="shared" si="400"/>
        <v>0</v>
      </c>
      <c r="G10329" s="1205"/>
      <c r="H10329" s="1055"/>
      <c r="I10329" s="1055"/>
      <c r="J10329" s="1055"/>
      <c r="K10329" s="1205"/>
      <c r="L10329" s="1055"/>
      <c r="M10329" s="1205"/>
      <c r="N10329" s="1054"/>
      <c r="O10329" s="1207"/>
      <c r="Q10329" s="1207"/>
    </row>
    <row r="10330" spans="3:17" s="700" customFormat="1" ht="70.5" hidden="1" customHeight="1">
      <c r="C10330" s="701"/>
      <c r="D10330" s="811"/>
      <c r="E10330" s="1276">
        <f>[11]building!Y10661</f>
        <v>0</v>
      </c>
      <c r="F10330" s="748">
        <f t="shared" si="400"/>
        <v>0</v>
      </c>
      <c r="G10330" s="1205"/>
      <c r="H10330" s="1055"/>
      <c r="I10330" s="1055"/>
      <c r="J10330" s="1055"/>
      <c r="K10330" s="1205"/>
      <c r="L10330" s="1055"/>
      <c r="M10330" s="1205"/>
      <c r="N10330" s="1054"/>
      <c r="O10330" s="1207"/>
      <c r="Q10330" s="1207"/>
    </row>
    <row r="10331" spans="3:17" s="700" customFormat="1" ht="70.5" hidden="1" customHeight="1">
      <c r="C10331" s="701"/>
      <c r="D10331" s="811"/>
      <c r="E10331" s="1276">
        <f>[11]building!Y10662</f>
        <v>0</v>
      </c>
      <c r="F10331" s="748">
        <f t="shared" si="400"/>
        <v>0</v>
      </c>
      <c r="G10331" s="1205"/>
      <c r="H10331" s="1055"/>
      <c r="I10331" s="1055"/>
      <c r="J10331" s="1055"/>
      <c r="K10331" s="1205"/>
      <c r="L10331" s="1055"/>
      <c r="M10331" s="1205"/>
      <c r="N10331" s="1054"/>
      <c r="O10331" s="1207"/>
      <c r="Q10331" s="1207"/>
    </row>
    <row r="10332" spans="3:17" s="700" customFormat="1" ht="70.5" hidden="1" customHeight="1">
      <c r="C10332" s="701"/>
      <c r="D10332" s="811"/>
      <c r="E10332" s="1276">
        <f>[11]building!Y10663</f>
        <v>0</v>
      </c>
      <c r="F10332" s="748">
        <f t="shared" si="400"/>
        <v>0</v>
      </c>
      <c r="G10332" s="1205"/>
      <c r="H10332" s="1055"/>
      <c r="I10332" s="1055"/>
      <c r="J10332" s="1055"/>
      <c r="K10332" s="1205"/>
      <c r="L10332" s="1055"/>
      <c r="M10332" s="1205"/>
      <c r="N10332" s="1054"/>
      <c r="O10332" s="1207"/>
      <c r="Q10332" s="1207"/>
    </row>
    <row r="10333" spans="3:17" s="700" customFormat="1" ht="70.5" hidden="1" customHeight="1">
      <c r="C10333" s="701"/>
      <c r="D10333" s="811"/>
      <c r="E10333" s="1276">
        <f>[11]building!Y10664</f>
        <v>0</v>
      </c>
      <c r="F10333" s="748">
        <f t="shared" si="400"/>
        <v>0</v>
      </c>
      <c r="G10333" s="1205"/>
      <c r="H10333" s="1055"/>
      <c r="I10333" s="1055"/>
      <c r="J10333" s="1055"/>
      <c r="K10333" s="1205"/>
      <c r="L10333" s="1055"/>
      <c r="M10333" s="1205"/>
      <c r="N10333" s="1054"/>
      <c r="O10333" s="1207"/>
      <c r="Q10333" s="1207"/>
    </row>
    <row r="10334" spans="3:17" s="700" customFormat="1" ht="70.5" hidden="1" customHeight="1">
      <c r="C10334" s="701"/>
      <c r="D10334" s="811"/>
      <c r="E10334" s="1276">
        <f>[11]building!Y10665</f>
        <v>0</v>
      </c>
      <c r="F10334" s="748">
        <f t="shared" si="400"/>
        <v>0</v>
      </c>
      <c r="G10334" s="1205"/>
      <c r="H10334" s="1055"/>
      <c r="I10334" s="1055"/>
      <c r="J10334" s="1055"/>
      <c r="K10334" s="1205"/>
      <c r="L10334" s="1055"/>
      <c r="M10334" s="1205"/>
      <c r="N10334" s="1054"/>
      <c r="O10334" s="1207"/>
      <c r="Q10334" s="1207"/>
    </row>
    <row r="10335" spans="3:17" s="700" customFormat="1" ht="70.5" hidden="1" customHeight="1">
      <c r="C10335" s="701"/>
      <c r="D10335" s="811"/>
      <c r="E10335" s="1276">
        <f>[11]building!Y10666</f>
        <v>0</v>
      </c>
      <c r="F10335" s="748">
        <f t="shared" si="400"/>
        <v>0</v>
      </c>
      <c r="G10335" s="1205"/>
      <c r="H10335" s="1055"/>
      <c r="I10335" s="1055"/>
      <c r="J10335" s="1055"/>
      <c r="K10335" s="1205"/>
      <c r="L10335" s="1055"/>
      <c r="M10335" s="1205"/>
      <c r="N10335" s="1054"/>
      <c r="O10335" s="1207"/>
      <c r="Q10335" s="1207"/>
    </row>
    <row r="10336" spans="3:17" s="700" customFormat="1" ht="70.5" hidden="1" customHeight="1">
      <c r="C10336" s="701"/>
      <c r="D10336" s="811"/>
      <c r="E10336" s="1276">
        <f>[11]building!Y10667</f>
        <v>0</v>
      </c>
      <c r="F10336" s="748">
        <f t="shared" si="400"/>
        <v>0</v>
      </c>
      <c r="G10336" s="1205"/>
      <c r="H10336" s="1055"/>
      <c r="I10336" s="1055"/>
      <c r="J10336" s="1055"/>
      <c r="K10336" s="1205"/>
      <c r="L10336" s="1055"/>
      <c r="M10336" s="1205"/>
      <c r="N10336" s="1054"/>
      <c r="O10336" s="1207"/>
      <c r="Q10336" s="1207"/>
    </row>
    <row r="10337" spans="3:17" s="700" customFormat="1" ht="70.5" hidden="1" customHeight="1">
      <c r="C10337" s="701"/>
      <c r="D10337" s="811"/>
      <c r="E10337" s="1276">
        <f>[11]building!Y10668</f>
        <v>0</v>
      </c>
      <c r="F10337" s="748">
        <f t="shared" si="400"/>
        <v>0</v>
      </c>
      <c r="G10337" s="1205"/>
      <c r="H10337" s="1055"/>
      <c r="I10337" s="1055"/>
      <c r="J10337" s="1055"/>
      <c r="K10337" s="1205"/>
      <c r="L10337" s="1055"/>
      <c r="M10337" s="1205"/>
      <c r="N10337" s="1054"/>
      <c r="O10337" s="1207"/>
      <c r="Q10337" s="1207"/>
    </row>
    <row r="10338" spans="3:17" s="700" customFormat="1" ht="70.5" hidden="1" customHeight="1">
      <c r="C10338" s="701"/>
      <c r="D10338" s="811"/>
      <c r="E10338" s="1276">
        <f>[11]building!Y10669</f>
        <v>0</v>
      </c>
      <c r="F10338" s="748">
        <f t="shared" si="400"/>
        <v>0</v>
      </c>
      <c r="G10338" s="1205"/>
      <c r="H10338" s="1055"/>
      <c r="I10338" s="1055"/>
      <c r="J10338" s="1055"/>
      <c r="K10338" s="1205"/>
      <c r="L10338" s="1055"/>
      <c r="M10338" s="1205"/>
      <c r="N10338" s="1054"/>
      <c r="O10338" s="1207"/>
      <c r="Q10338" s="1207"/>
    </row>
    <row r="10339" spans="3:17" s="700" customFormat="1" ht="70.5" hidden="1" customHeight="1">
      <c r="C10339" s="701"/>
      <c r="D10339" s="811"/>
      <c r="E10339" s="1276">
        <f>[11]building!Y10670</f>
        <v>0</v>
      </c>
      <c r="F10339" s="748">
        <f t="shared" si="400"/>
        <v>0</v>
      </c>
      <c r="G10339" s="1205"/>
      <c r="H10339" s="1055"/>
      <c r="I10339" s="1055"/>
      <c r="J10339" s="1055"/>
      <c r="K10339" s="1205"/>
      <c r="L10339" s="1055"/>
      <c r="M10339" s="1205"/>
      <c r="N10339" s="1054"/>
      <c r="O10339" s="1207"/>
      <c r="Q10339" s="1207"/>
    </row>
    <row r="10340" spans="3:17" s="700" customFormat="1" ht="70.5" hidden="1" customHeight="1">
      <c r="C10340" s="701"/>
      <c r="D10340" s="811"/>
      <c r="E10340" s="1276">
        <f>[11]building!Y10671</f>
        <v>0</v>
      </c>
      <c r="F10340" s="748">
        <f t="shared" si="400"/>
        <v>0</v>
      </c>
      <c r="G10340" s="1205"/>
      <c r="H10340" s="1055"/>
      <c r="I10340" s="1055"/>
      <c r="J10340" s="1055"/>
      <c r="K10340" s="1205"/>
      <c r="L10340" s="1055"/>
      <c r="M10340" s="1205"/>
      <c r="N10340" s="1054"/>
      <c r="O10340" s="1207"/>
      <c r="Q10340" s="1207"/>
    </row>
    <row r="10341" spans="3:17" s="700" customFormat="1" ht="70.5" hidden="1" customHeight="1">
      <c r="C10341" s="701"/>
      <c r="D10341" s="811"/>
      <c r="E10341" s="1276">
        <f>[11]building!Y10672</f>
        <v>0</v>
      </c>
      <c r="F10341" s="748">
        <f t="shared" si="400"/>
        <v>0</v>
      </c>
      <c r="G10341" s="1205"/>
      <c r="H10341" s="1055"/>
      <c r="I10341" s="1055"/>
      <c r="J10341" s="1055"/>
      <c r="K10341" s="1205"/>
      <c r="L10341" s="1055"/>
      <c r="M10341" s="1205"/>
      <c r="N10341" s="1054"/>
      <c r="O10341" s="1207"/>
      <c r="Q10341" s="1207"/>
    </row>
    <row r="10342" spans="3:17" s="700" customFormat="1" ht="70.5" hidden="1" customHeight="1">
      <c r="C10342" s="701"/>
      <c r="D10342" s="811"/>
      <c r="E10342" s="1276">
        <f>[11]building!Y10673</f>
        <v>0</v>
      </c>
      <c r="F10342" s="748">
        <f t="shared" si="400"/>
        <v>0</v>
      </c>
      <c r="G10342" s="1205"/>
      <c r="H10342" s="1055"/>
      <c r="I10342" s="1055"/>
      <c r="J10342" s="1055"/>
      <c r="K10342" s="1205"/>
      <c r="L10342" s="1055"/>
      <c r="M10342" s="1205"/>
      <c r="N10342" s="1054"/>
      <c r="O10342" s="1207"/>
      <c r="Q10342" s="1207"/>
    </row>
    <row r="10343" spans="3:17" s="700" customFormat="1" ht="70.5" hidden="1" customHeight="1">
      <c r="C10343" s="701"/>
      <c r="D10343" s="811"/>
      <c r="E10343" s="1276">
        <f>[11]building!Y10674</f>
        <v>0</v>
      </c>
      <c r="F10343" s="748">
        <f t="shared" si="400"/>
        <v>0</v>
      </c>
      <c r="G10343" s="1205"/>
      <c r="H10343" s="1055"/>
      <c r="I10343" s="1055"/>
      <c r="J10343" s="1055"/>
      <c r="K10343" s="1205"/>
      <c r="L10343" s="1055"/>
      <c r="M10343" s="1205"/>
      <c r="N10343" s="1054"/>
      <c r="O10343" s="1207"/>
      <c r="Q10343" s="1207"/>
    </row>
    <row r="10344" spans="3:17" s="700" customFormat="1" ht="70.5" hidden="1" customHeight="1">
      <c r="C10344" s="701"/>
      <c r="D10344" s="811"/>
      <c r="E10344" s="1276">
        <f>[11]building!Y10675</f>
        <v>0</v>
      </c>
      <c r="F10344" s="748">
        <f t="shared" si="400"/>
        <v>0</v>
      </c>
      <c r="G10344" s="1205"/>
      <c r="H10344" s="1055"/>
      <c r="I10344" s="1055"/>
      <c r="J10344" s="1055"/>
      <c r="K10344" s="1205"/>
      <c r="L10344" s="1055"/>
      <c r="M10344" s="1205"/>
      <c r="N10344" s="1054"/>
      <c r="O10344" s="1207"/>
      <c r="Q10344" s="1207"/>
    </row>
    <row r="10345" spans="3:17" s="700" customFormat="1" ht="70.5" hidden="1" customHeight="1">
      <c r="C10345" s="701"/>
      <c r="D10345" s="811"/>
      <c r="E10345" s="1276">
        <f>[11]building!Y10676</f>
        <v>0</v>
      </c>
      <c r="F10345" s="748">
        <f t="shared" si="400"/>
        <v>0</v>
      </c>
      <c r="G10345" s="1205"/>
      <c r="H10345" s="1055"/>
      <c r="I10345" s="1055"/>
      <c r="J10345" s="1055"/>
      <c r="K10345" s="1205"/>
      <c r="L10345" s="1055"/>
      <c r="M10345" s="1205"/>
      <c r="N10345" s="1054"/>
      <c r="O10345" s="1207"/>
      <c r="Q10345" s="1207"/>
    </row>
    <row r="10346" spans="3:17" s="700" customFormat="1" ht="70.5" hidden="1" customHeight="1">
      <c r="C10346" s="701"/>
      <c r="D10346" s="811"/>
      <c r="E10346" s="1276">
        <f>[11]building!Y10677</f>
        <v>0</v>
      </c>
      <c r="F10346" s="748">
        <f t="shared" si="400"/>
        <v>0</v>
      </c>
      <c r="G10346" s="1205"/>
      <c r="H10346" s="1055"/>
      <c r="I10346" s="1055"/>
      <c r="J10346" s="1055"/>
      <c r="K10346" s="1205"/>
      <c r="L10346" s="1055"/>
      <c r="M10346" s="1205"/>
      <c r="N10346" s="1054"/>
      <c r="O10346" s="1207"/>
      <c r="Q10346" s="1207"/>
    </row>
    <row r="10347" spans="3:17" s="700" customFormat="1" ht="70.5" hidden="1" customHeight="1">
      <c r="C10347" s="701"/>
      <c r="D10347" s="811"/>
      <c r="E10347" s="1276">
        <f>[11]building!Y10678</f>
        <v>0</v>
      </c>
      <c r="F10347" s="748">
        <f t="shared" si="400"/>
        <v>0</v>
      </c>
      <c r="G10347" s="1205"/>
      <c r="H10347" s="1055"/>
      <c r="I10347" s="1055"/>
      <c r="J10347" s="1055"/>
      <c r="K10347" s="1205"/>
      <c r="L10347" s="1055"/>
      <c r="M10347" s="1205"/>
      <c r="N10347" s="1054"/>
      <c r="O10347" s="1207"/>
      <c r="Q10347" s="1207"/>
    </row>
    <row r="10348" spans="3:17" s="700" customFormat="1" ht="70.5" hidden="1" customHeight="1">
      <c r="C10348" s="701"/>
      <c r="D10348" s="811"/>
      <c r="E10348" s="1276">
        <f>[11]building!Y10679</f>
        <v>0</v>
      </c>
      <c r="F10348" s="748">
        <f t="shared" si="400"/>
        <v>0</v>
      </c>
      <c r="G10348" s="1205"/>
      <c r="H10348" s="1055"/>
      <c r="I10348" s="1055"/>
      <c r="J10348" s="1055"/>
      <c r="K10348" s="1205"/>
      <c r="L10348" s="1055"/>
      <c r="M10348" s="1205"/>
      <c r="N10348" s="1054"/>
      <c r="O10348" s="1207"/>
      <c r="Q10348" s="1207"/>
    </row>
    <row r="10349" spans="3:17" s="700" customFormat="1" ht="70.5" hidden="1" customHeight="1">
      <c r="C10349" s="701"/>
      <c r="D10349" s="811"/>
      <c r="E10349" s="1276">
        <f>[11]building!Y10680</f>
        <v>0</v>
      </c>
      <c r="F10349" s="748">
        <f t="shared" si="400"/>
        <v>0</v>
      </c>
      <c r="G10349" s="1205"/>
      <c r="H10349" s="1055"/>
      <c r="I10349" s="1055"/>
      <c r="J10349" s="1055"/>
      <c r="K10349" s="1205"/>
      <c r="L10349" s="1055"/>
      <c r="M10349" s="1205"/>
      <c r="N10349" s="1054"/>
      <c r="O10349" s="1207"/>
      <c r="Q10349" s="1207"/>
    </row>
    <row r="10350" spans="3:17" s="700" customFormat="1" ht="70.5" hidden="1" customHeight="1">
      <c r="C10350" s="701"/>
      <c r="D10350" s="811"/>
      <c r="E10350" s="1276">
        <f>[11]building!Y10681</f>
        <v>0</v>
      </c>
      <c r="F10350" s="748">
        <f t="shared" si="400"/>
        <v>0</v>
      </c>
      <c r="G10350" s="1205"/>
      <c r="H10350" s="1055"/>
      <c r="I10350" s="1055"/>
      <c r="J10350" s="1055"/>
      <c r="K10350" s="1205"/>
      <c r="L10350" s="1055"/>
      <c r="M10350" s="1205"/>
      <c r="N10350" s="1054"/>
      <c r="O10350" s="1207"/>
      <c r="Q10350" s="1207"/>
    </row>
    <row r="10351" spans="3:17" s="700" customFormat="1" ht="70.5" hidden="1" customHeight="1">
      <c r="C10351" s="701"/>
      <c r="D10351" s="811"/>
      <c r="E10351" s="1276">
        <f>[11]building!Y10682</f>
        <v>0</v>
      </c>
      <c r="F10351" s="748">
        <f t="shared" si="400"/>
        <v>0</v>
      </c>
      <c r="G10351" s="1205"/>
      <c r="H10351" s="1055"/>
      <c r="I10351" s="1055"/>
      <c r="J10351" s="1055"/>
      <c r="K10351" s="1205"/>
      <c r="L10351" s="1055"/>
      <c r="M10351" s="1205"/>
      <c r="N10351" s="1054"/>
      <c r="O10351" s="1207"/>
      <c r="Q10351" s="1207"/>
    </row>
    <row r="10352" spans="3:17" s="700" customFormat="1" ht="70.5" hidden="1" customHeight="1">
      <c r="C10352" s="701"/>
      <c r="D10352" s="811"/>
      <c r="E10352" s="1276">
        <f>[11]building!Y10683</f>
        <v>0</v>
      </c>
      <c r="F10352" s="748">
        <f t="shared" si="400"/>
        <v>0</v>
      </c>
      <c r="G10352" s="1205"/>
      <c r="H10352" s="1055"/>
      <c r="I10352" s="1055"/>
      <c r="J10352" s="1055"/>
      <c r="K10352" s="1205"/>
      <c r="L10352" s="1055"/>
      <c r="M10352" s="1205"/>
      <c r="N10352" s="1054"/>
      <c r="O10352" s="1207"/>
      <c r="Q10352" s="1207"/>
    </row>
    <row r="10353" spans="3:17" s="700" customFormat="1" ht="70.5" hidden="1" customHeight="1">
      <c r="C10353" s="701"/>
      <c r="D10353" s="811"/>
      <c r="E10353" s="1276">
        <f>[11]building!Y10684</f>
        <v>0</v>
      </c>
      <c r="F10353" s="748">
        <f t="shared" si="400"/>
        <v>0</v>
      </c>
      <c r="G10353" s="1205"/>
      <c r="H10353" s="1055"/>
      <c r="I10353" s="1055"/>
      <c r="J10353" s="1055"/>
      <c r="K10353" s="1205"/>
      <c r="L10353" s="1055"/>
      <c r="M10353" s="1205"/>
      <c r="N10353" s="1054"/>
      <c r="O10353" s="1207"/>
      <c r="Q10353" s="1207"/>
    </row>
    <row r="10354" spans="3:17" s="700" customFormat="1" ht="70.5" hidden="1" customHeight="1">
      <c r="C10354" s="701"/>
      <c r="D10354" s="811"/>
      <c r="E10354" s="1276">
        <f>[11]building!Y10685</f>
        <v>0</v>
      </c>
      <c r="F10354" s="748">
        <f t="shared" si="400"/>
        <v>0</v>
      </c>
      <c r="G10354" s="1205"/>
      <c r="H10354" s="1055"/>
      <c r="I10354" s="1055"/>
      <c r="J10354" s="1055"/>
      <c r="K10354" s="1205"/>
      <c r="L10354" s="1055"/>
      <c r="M10354" s="1205"/>
      <c r="N10354" s="1054"/>
      <c r="O10354" s="1207"/>
      <c r="Q10354" s="1207"/>
    </row>
    <row r="10355" spans="3:17" s="700" customFormat="1" ht="70.5" hidden="1" customHeight="1">
      <c r="C10355" s="701"/>
      <c r="D10355" s="811"/>
      <c r="E10355" s="1276">
        <f>[11]building!Y10686</f>
        <v>0</v>
      </c>
      <c r="F10355" s="748">
        <f t="shared" si="400"/>
        <v>0</v>
      </c>
      <c r="G10355" s="1205"/>
      <c r="H10355" s="1055"/>
      <c r="I10355" s="1055"/>
      <c r="J10355" s="1055"/>
      <c r="K10355" s="1205"/>
      <c r="L10355" s="1055"/>
      <c r="M10355" s="1205"/>
      <c r="N10355" s="1054"/>
      <c r="O10355" s="1207"/>
      <c r="Q10355" s="1207"/>
    </row>
    <row r="10356" spans="3:17" s="700" customFormat="1" ht="70.5" hidden="1" customHeight="1">
      <c r="C10356" s="701"/>
      <c r="D10356" s="811"/>
      <c r="E10356" s="1276">
        <f>[11]building!Y10687</f>
        <v>0</v>
      </c>
      <c r="F10356" s="748">
        <f t="shared" si="400"/>
        <v>0</v>
      </c>
      <c r="G10356" s="1205"/>
      <c r="H10356" s="1055"/>
      <c r="I10356" s="1055"/>
      <c r="J10356" s="1055"/>
      <c r="K10356" s="1205"/>
      <c r="L10356" s="1055"/>
      <c r="M10356" s="1205"/>
      <c r="N10356" s="1054"/>
      <c r="O10356" s="1207"/>
      <c r="Q10356" s="1207"/>
    </row>
    <row r="10357" spans="3:17" s="700" customFormat="1" ht="70.5" hidden="1" customHeight="1">
      <c r="C10357" s="701"/>
      <c r="D10357" s="811"/>
      <c r="E10357" s="1276">
        <f>[11]building!Y10688</f>
        <v>0</v>
      </c>
      <c r="F10357" s="748">
        <f t="shared" si="400"/>
        <v>0</v>
      </c>
      <c r="G10357" s="1205"/>
      <c r="H10357" s="1055"/>
      <c r="I10357" s="1055"/>
      <c r="J10357" s="1055"/>
      <c r="K10357" s="1205"/>
      <c r="L10357" s="1055"/>
      <c r="M10357" s="1205"/>
      <c r="N10357" s="1054"/>
      <c r="O10357" s="1207"/>
      <c r="Q10357" s="1207"/>
    </row>
    <row r="10358" spans="3:17" s="700" customFormat="1" ht="70.5" hidden="1" customHeight="1">
      <c r="C10358" s="701"/>
      <c r="D10358" s="811"/>
      <c r="E10358" s="1276">
        <f>[11]building!Y10689</f>
        <v>0</v>
      </c>
      <c r="F10358" s="748">
        <f t="shared" si="400"/>
        <v>0</v>
      </c>
      <c r="G10358" s="1205"/>
      <c r="H10358" s="1055"/>
      <c r="I10358" s="1055"/>
      <c r="J10358" s="1055"/>
      <c r="K10358" s="1205"/>
      <c r="L10358" s="1055"/>
      <c r="M10358" s="1205"/>
      <c r="N10358" s="1054"/>
      <c r="O10358" s="1207"/>
      <c r="Q10358" s="1207"/>
    </row>
    <row r="10359" spans="3:17" s="700" customFormat="1" ht="70.5" hidden="1" customHeight="1">
      <c r="C10359" s="701"/>
      <c r="D10359" s="811"/>
      <c r="E10359" s="1276">
        <f>[11]building!Y10690</f>
        <v>0</v>
      </c>
      <c r="F10359" s="748">
        <f t="shared" si="400"/>
        <v>0</v>
      </c>
      <c r="G10359" s="1205"/>
      <c r="H10359" s="1055"/>
      <c r="I10359" s="1055"/>
      <c r="J10359" s="1055"/>
      <c r="K10359" s="1205"/>
      <c r="L10359" s="1055"/>
      <c r="M10359" s="1205"/>
      <c r="N10359" s="1054"/>
      <c r="O10359" s="1207"/>
      <c r="Q10359" s="1207"/>
    </row>
    <row r="10360" spans="3:17" s="700" customFormat="1" ht="70.5" hidden="1" customHeight="1">
      <c r="C10360" s="701"/>
      <c r="D10360" s="811"/>
      <c r="E10360" s="1276">
        <f>[11]building!Y10691</f>
        <v>0</v>
      </c>
      <c r="F10360" s="748">
        <f t="shared" si="400"/>
        <v>0</v>
      </c>
      <c r="G10360" s="1205"/>
      <c r="H10360" s="1055"/>
      <c r="I10360" s="1055"/>
      <c r="J10360" s="1055"/>
      <c r="K10360" s="1205"/>
      <c r="L10360" s="1055"/>
      <c r="M10360" s="1205"/>
      <c r="N10360" s="1054"/>
      <c r="O10360" s="1207"/>
      <c r="Q10360" s="1207"/>
    </row>
    <row r="10361" spans="3:17" s="700" customFormat="1" ht="70.5" hidden="1" customHeight="1">
      <c r="C10361" s="701"/>
      <c r="D10361" s="811"/>
      <c r="E10361" s="1276">
        <f>[11]building!Y10692</f>
        <v>0</v>
      </c>
      <c r="F10361" s="748">
        <f t="shared" si="400"/>
        <v>0</v>
      </c>
      <c r="G10361" s="1205"/>
      <c r="H10361" s="1055"/>
      <c r="I10361" s="1055"/>
      <c r="J10361" s="1055"/>
      <c r="K10361" s="1205"/>
      <c r="L10361" s="1055"/>
      <c r="M10361" s="1205"/>
      <c r="N10361" s="1054"/>
      <c r="O10361" s="1207"/>
      <c r="Q10361" s="1207"/>
    </row>
    <row r="10362" spans="3:17" s="700" customFormat="1" ht="70.5" hidden="1" customHeight="1">
      <c r="C10362" s="701"/>
      <c r="D10362" s="811"/>
      <c r="E10362" s="1276">
        <f>[11]building!Y10693</f>
        <v>0</v>
      </c>
      <c r="F10362" s="748">
        <f t="shared" si="400"/>
        <v>0</v>
      </c>
      <c r="G10362" s="1205"/>
      <c r="H10362" s="1055"/>
      <c r="I10362" s="1055"/>
      <c r="J10362" s="1055"/>
      <c r="K10362" s="1205"/>
      <c r="L10362" s="1055"/>
      <c r="M10362" s="1205"/>
      <c r="N10362" s="1054"/>
      <c r="O10362" s="1207"/>
      <c r="Q10362" s="1207"/>
    </row>
    <row r="10363" spans="3:17" s="700" customFormat="1" ht="70.5" hidden="1" customHeight="1">
      <c r="C10363" s="701"/>
      <c r="D10363" s="811"/>
      <c r="E10363" s="1276">
        <f>[11]building!Y10694</f>
        <v>0</v>
      </c>
      <c r="F10363" s="748">
        <f t="shared" si="400"/>
        <v>0</v>
      </c>
      <c r="G10363" s="1205"/>
      <c r="H10363" s="1055"/>
      <c r="I10363" s="1055"/>
      <c r="J10363" s="1055"/>
      <c r="K10363" s="1205"/>
      <c r="L10363" s="1055"/>
      <c r="M10363" s="1205"/>
      <c r="N10363" s="1054"/>
      <c r="O10363" s="1207"/>
      <c r="Q10363" s="1207"/>
    </row>
    <row r="10364" spans="3:17" s="700" customFormat="1" ht="70.5" hidden="1" customHeight="1">
      <c r="C10364" s="701"/>
      <c r="D10364" s="811"/>
      <c r="E10364" s="1276">
        <f>[11]building!Y10695</f>
        <v>0</v>
      </c>
      <c r="F10364" s="748">
        <f t="shared" si="400"/>
        <v>0</v>
      </c>
      <c r="G10364" s="1205"/>
      <c r="H10364" s="1055"/>
      <c r="I10364" s="1055"/>
      <c r="J10364" s="1055"/>
      <c r="K10364" s="1205"/>
      <c r="L10364" s="1055"/>
      <c r="M10364" s="1205"/>
      <c r="N10364" s="1054"/>
      <c r="O10364" s="1207"/>
      <c r="Q10364" s="1207"/>
    </row>
    <row r="10365" spans="3:17" s="700" customFormat="1" ht="70.5" hidden="1" customHeight="1">
      <c r="C10365" s="701"/>
      <c r="D10365" s="811"/>
      <c r="E10365" s="1276">
        <f>[11]building!Y10696</f>
        <v>0</v>
      </c>
      <c r="F10365" s="748">
        <f t="shared" si="400"/>
        <v>0</v>
      </c>
      <c r="G10365" s="1205"/>
      <c r="H10365" s="1055"/>
      <c r="I10365" s="1055"/>
      <c r="J10365" s="1055"/>
      <c r="K10365" s="1205"/>
      <c r="L10365" s="1055"/>
      <c r="M10365" s="1205"/>
      <c r="N10365" s="1054"/>
      <c r="O10365" s="1207"/>
      <c r="Q10365" s="1207"/>
    </row>
    <row r="10366" spans="3:17" s="700" customFormat="1" ht="70.5" hidden="1" customHeight="1">
      <c r="C10366" s="701"/>
      <c r="D10366" s="811"/>
      <c r="E10366" s="1276">
        <f>[11]building!Y10697</f>
        <v>0</v>
      </c>
      <c r="F10366" s="748">
        <f t="shared" si="400"/>
        <v>0</v>
      </c>
      <c r="G10366" s="1205"/>
      <c r="H10366" s="1055"/>
      <c r="I10366" s="1055"/>
      <c r="J10366" s="1055"/>
      <c r="K10366" s="1205"/>
      <c r="L10366" s="1055"/>
      <c r="M10366" s="1205"/>
      <c r="N10366" s="1054"/>
      <c r="O10366" s="1207"/>
      <c r="Q10366" s="1207"/>
    </row>
    <row r="10367" spans="3:17" s="700" customFormat="1" ht="70.5" hidden="1" customHeight="1">
      <c r="C10367" s="701"/>
      <c r="D10367" s="811"/>
      <c r="E10367" s="1276">
        <f>[11]building!Y10698</f>
        <v>0</v>
      </c>
      <c r="F10367" s="748">
        <f t="shared" si="400"/>
        <v>0</v>
      </c>
      <c r="G10367" s="1205"/>
      <c r="H10367" s="1055"/>
      <c r="I10367" s="1055"/>
      <c r="J10367" s="1055"/>
      <c r="K10367" s="1205"/>
      <c r="L10367" s="1055"/>
      <c r="M10367" s="1205"/>
      <c r="N10367" s="1054"/>
      <c r="O10367" s="1207"/>
      <c r="Q10367" s="1207"/>
    </row>
    <row r="10368" spans="3:17" s="700" customFormat="1" ht="70.5" hidden="1" customHeight="1">
      <c r="C10368" s="701"/>
      <c r="D10368" s="811"/>
      <c r="E10368" s="1276">
        <f>[11]building!Y10699</f>
        <v>0</v>
      </c>
      <c r="F10368" s="748">
        <f t="shared" ref="F10368:F10431" si="401">E10368*C10368</f>
        <v>0</v>
      </c>
      <c r="G10368" s="1205"/>
      <c r="H10368" s="1055"/>
      <c r="I10368" s="1055"/>
      <c r="J10368" s="1055"/>
      <c r="K10368" s="1205"/>
      <c r="L10368" s="1055"/>
      <c r="M10368" s="1205"/>
      <c r="N10368" s="1054"/>
      <c r="O10368" s="1207"/>
      <c r="Q10368" s="1207"/>
    </row>
    <row r="10369" spans="3:17" s="700" customFormat="1" ht="70.5" hidden="1" customHeight="1">
      <c r="C10369" s="701"/>
      <c r="D10369" s="811"/>
      <c r="E10369" s="1276">
        <f>[11]building!Y10700</f>
        <v>0</v>
      </c>
      <c r="F10369" s="748">
        <f t="shared" si="401"/>
        <v>0</v>
      </c>
      <c r="G10369" s="1205"/>
      <c r="H10369" s="1055"/>
      <c r="I10369" s="1055"/>
      <c r="J10369" s="1055"/>
      <c r="K10369" s="1205"/>
      <c r="L10369" s="1055"/>
      <c r="M10369" s="1205"/>
      <c r="N10369" s="1054"/>
      <c r="O10369" s="1207"/>
      <c r="Q10369" s="1207"/>
    </row>
    <row r="10370" spans="3:17" s="700" customFormat="1" ht="70.5" hidden="1" customHeight="1">
      <c r="C10370" s="701"/>
      <c r="D10370" s="811"/>
      <c r="E10370" s="1276">
        <f>[11]building!Y10701</f>
        <v>0</v>
      </c>
      <c r="F10370" s="748">
        <f t="shared" si="401"/>
        <v>0</v>
      </c>
      <c r="G10370" s="1205"/>
      <c r="H10370" s="1055"/>
      <c r="I10370" s="1055"/>
      <c r="J10370" s="1055"/>
      <c r="K10370" s="1205"/>
      <c r="L10370" s="1055"/>
      <c r="M10370" s="1205"/>
      <c r="N10370" s="1054"/>
      <c r="O10370" s="1207"/>
      <c r="Q10370" s="1207"/>
    </row>
    <row r="10371" spans="3:17" s="700" customFormat="1" ht="70.5" hidden="1" customHeight="1">
      <c r="C10371" s="701"/>
      <c r="D10371" s="811"/>
      <c r="E10371" s="1276">
        <f>[11]building!Y10702</f>
        <v>0</v>
      </c>
      <c r="F10371" s="748">
        <f t="shared" si="401"/>
        <v>0</v>
      </c>
      <c r="G10371" s="1205"/>
      <c r="H10371" s="1055"/>
      <c r="I10371" s="1055"/>
      <c r="J10371" s="1055"/>
      <c r="K10371" s="1205"/>
      <c r="L10371" s="1055"/>
      <c r="M10371" s="1205"/>
      <c r="N10371" s="1054"/>
      <c r="O10371" s="1207"/>
      <c r="Q10371" s="1207"/>
    </row>
    <row r="10372" spans="3:17" s="700" customFormat="1" ht="70.5" hidden="1" customHeight="1">
      <c r="C10372" s="701"/>
      <c r="D10372" s="811"/>
      <c r="E10372" s="1276">
        <f>[11]building!Y10703</f>
        <v>0</v>
      </c>
      <c r="F10372" s="748">
        <f t="shared" si="401"/>
        <v>0</v>
      </c>
      <c r="G10372" s="1205"/>
      <c r="H10372" s="1055"/>
      <c r="I10372" s="1055"/>
      <c r="J10372" s="1055"/>
      <c r="K10372" s="1205"/>
      <c r="L10372" s="1055"/>
      <c r="M10372" s="1205"/>
      <c r="N10372" s="1054"/>
      <c r="O10372" s="1207"/>
      <c r="Q10372" s="1207"/>
    </row>
    <row r="10373" spans="3:17" s="700" customFormat="1" ht="70.5" hidden="1" customHeight="1">
      <c r="C10373" s="701"/>
      <c r="D10373" s="811"/>
      <c r="E10373" s="1276">
        <f>[11]building!Y10704</f>
        <v>0</v>
      </c>
      <c r="F10373" s="748">
        <f t="shared" si="401"/>
        <v>0</v>
      </c>
      <c r="G10373" s="1205"/>
      <c r="H10373" s="1055"/>
      <c r="I10373" s="1055"/>
      <c r="J10373" s="1055"/>
      <c r="K10373" s="1205"/>
      <c r="L10373" s="1055"/>
      <c r="M10373" s="1205"/>
      <c r="N10373" s="1054"/>
      <c r="O10373" s="1207"/>
      <c r="Q10373" s="1207"/>
    </row>
    <row r="10374" spans="3:17" s="700" customFormat="1" ht="70.5" hidden="1" customHeight="1">
      <c r="C10374" s="701"/>
      <c r="D10374" s="811"/>
      <c r="E10374" s="1276">
        <f>[11]building!Y10705</f>
        <v>0</v>
      </c>
      <c r="F10374" s="748">
        <f t="shared" si="401"/>
        <v>0</v>
      </c>
      <c r="G10374" s="1205"/>
      <c r="H10374" s="1055"/>
      <c r="I10374" s="1055"/>
      <c r="J10374" s="1055"/>
      <c r="K10374" s="1205"/>
      <c r="L10374" s="1055"/>
      <c r="M10374" s="1205"/>
      <c r="N10374" s="1054"/>
      <c r="O10374" s="1207"/>
      <c r="Q10374" s="1207"/>
    </row>
    <row r="10375" spans="3:17" s="700" customFormat="1" ht="70.5" hidden="1" customHeight="1">
      <c r="C10375" s="701"/>
      <c r="D10375" s="811"/>
      <c r="E10375" s="1276">
        <f>[11]building!Y10706</f>
        <v>0</v>
      </c>
      <c r="F10375" s="748">
        <f t="shared" si="401"/>
        <v>0</v>
      </c>
      <c r="G10375" s="1205"/>
      <c r="H10375" s="1055"/>
      <c r="I10375" s="1055"/>
      <c r="J10375" s="1055"/>
      <c r="K10375" s="1205"/>
      <c r="L10375" s="1055"/>
      <c r="M10375" s="1205"/>
      <c r="N10375" s="1054"/>
      <c r="O10375" s="1207"/>
      <c r="Q10375" s="1207"/>
    </row>
    <row r="10376" spans="3:17" s="700" customFormat="1" ht="70.5" hidden="1" customHeight="1">
      <c r="C10376" s="701"/>
      <c r="D10376" s="811"/>
      <c r="E10376" s="1276">
        <f>[11]building!Y10707</f>
        <v>0</v>
      </c>
      <c r="F10376" s="748">
        <f t="shared" si="401"/>
        <v>0</v>
      </c>
      <c r="G10376" s="1205"/>
      <c r="H10376" s="1055"/>
      <c r="I10376" s="1055"/>
      <c r="J10376" s="1055"/>
      <c r="K10376" s="1205"/>
      <c r="L10376" s="1055"/>
      <c r="M10376" s="1205"/>
      <c r="N10376" s="1054"/>
      <c r="O10376" s="1207"/>
      <c r="Q10376" s="1207"/>
    </row>
    <row r="10377" spans="3:17" s="700" customFormat="1" ht="70.5" hidden="1" customHeight="1">
      <c r="C10377" s="701"/>
      <c r="D10377" s="811"/>
      <c r="E10377" s="1276">
        <f>[11]building!Y10708</f>
        <v>0</v>
      </c>
      <c r="F10377" s="748">
        <f t="shared" si="401"/>
        <v>0</v>
      </c>
      <c r="G10377" s="1205"/>
      <c r="H10377" s="1055"/>
      <c r="I10377" s="1055"/>
      <c r="J10377" s="1055"/>
      <c r="K10377" s="1205"/>
      <c r="L10377" s="1055"/>
      <c r="M10377" s="1205"/>
      <c r="N10377" s="1054"/>
      <c r="O10377" s="1207"/>
      <c r="Q10377" s="1207"/>
    </row>
    <row r="10378" spans="3:17" s="700" customFormat="1" ht="70.5" hidden="1" customHeight="1">
      <c r="C10378" s="701"/>
      <c r="D10378" s="811"/>
      <c r="E10378" s="1276">
        <f>[11]building!Y10709</f>
        <v>0</v>
      </c>
      <c r="F10378" s="748">
        <f t="shared" si="401"/>
        <v>0</v>
      </c>
      <c r="G10378" s="1205"/>
      <c r="H10378" s="1055"/>
      <c r="I10378" s="1055"/>
      <c r="J10378" s="1055"/>
      <c r="K10378" s="1205"/>
      <c r="L10378" s="1055"/>
      <c r="M10378" s="1205"/>
      <c r="N10378" s="1054"/>
      <c r="O10378" s="1207"/>
      <c r="Q10378" s="1207"/>
    </row>
    <row r="10379" spans="3:17" s="700" customFormat="1" ht="70.5" hidden="1" customHeight="1">
      <c r="C10379" s="701"/>
      <c r="D10379" s="811"/>
      <c r="E10379" s="1276">
        <f>[11]building!Y10710</f>
        <v>0</v>
      </c>
      <c r="F10379" s="748">
        <f t="shared" si="401"/>
        <v>0</v>
      </c>
      <c r="G10379" s="1205"/>
      <c r="H10379" s="1055"/>
      <c r="I10379" s="1055"/>
      <c r="J10379" s="1055"/>
      <c r="K10379" s="1205"/>
      <c r="L10379" s="1055"/>
      <c r="M10379" s="1205"/>
      <c r="N10379" s="1054"/>
      <c r="O10379" s="1207"/>
      <c r="Q10379" s="1207"/>
    </row>
    <row r="10380" spans="3:17" s="700" customFormat="1" ht="70.5" hidden="1" customHeight="1">
      <c r="C10380" s="701"/>
      <c r="D10380" s="811"/>
      <c r="E10380" s="1276">
        <f>[11]building!Y10711</f>
        <v>0</v>
      </c>
      <c r="F10380" s="748">
        <f t="shared" si="401"/>
        <v>0</v>
      </c>
      <c r="G10380" s="1205"/>
      <c r="H10380" s="1055"/>
      <c r="I10380" s="1055"/>
      <c r="J10380" s="1055"/>
      <c r="K10380" s="1205"/>
      <c r="L10380" s="1055"/>
      <c r="M10380" s="1205"/>
      <c r="N10380" s="1054"/>
      <c r="O10380" s="1207"/>
      <c r="Q10380" s="1207"/>
    </row>
    <row r="10381" spans="3:17" s="700" customFormat="1" ht="70.5" hidden="1" customHeight="1">
      <c r="C10381" s="701"/>
      <c r="D10381" s="811"/>
      <c r="E10381" s="1276">
        <f>[11]building!Y10712</f>
        <v>0</v>
      </c>
      <c r="F10381" s="748">
        <f t="shared" si="401"/>
        <v>0</v>
      </c>
      <c r="G10381" s="1205"/>
      <c r="H10381" s="1055"/>
      <c r="I10381" s="1055"/>
      <c r="J10381" s="1055"/>
      <c r="K10381" s="1205"/>
      <c r="L10381" s="1055"/>
      <c r="M10381" s="1205"/>
      <c r="N10381" s="1054"/>
      <c r="O10381" s="1207"/>
      <c r="Q10381" s="1207"/>
    </row>
    <row r="10382" spans="3:17" s="700" customFormat="1" ht="70.5" hidden="1" customHeight="1">
      <c r="C10382" s="701"/>
      <c r="D10382" s="811"/>
      <c r="E10382" s="1276">
        <f>[11]building!Y10713</f>
        <v>0</v>
      </c>
      <c r="F10382" s="748">
        <f t="shared" si="401"/>
        <v>0</v>
      </c>
      <c r="G10382" s="1205"/>
      <c r="H10382" s="1055"/>
      <c r="I10382" s="1055"/>
      <c r="J10382" s="1055"/>
      <c r="K10382" s="1205"/>
      <c r="L10382" s="1055"/>
      <c r="M10382" s="1205"/>
      <c r="N10382" s="1054"/>
      <c r="O10382" s="1207"/>
      <c r="Q10382" s="1207"/>
    </row>
    <row r="10383" spans="3:17" s="700" customFormat="1" ht="70.5" hidden="1" customHeight="1">
      <c r="C10383" s="701"/>
      <c r="D10383" s="811"/>
      <c r="E10383" s="1276">
        <f>[11]building!Y10714</f>
        <v>0</v>
      </c>
      <c r="F10383" s="748">
        <f t="shared" si="401"/>
        <v>0</v>
      </c>
      <c r="G10383" s="1205"/>
      <c r="H10383" s="1055"/>
      <c r="I10383" s="1055"/>
      <c r="J10383" s="1055"/>
      <c r="K10383" s="1205"/>
      <c r="L10383" s="1055"/>
      <c r="M10383" s="1205"/>
      <c r="N10383" s="1054"/>
      <c r="O10383" s="1207"/>
      <c r="Q10383" s="1207"/>
    </row>
    <row r="10384" spans="3:17" s="700" customFormat="1" ht="70.5" hidden="1" customHeight="1">
      <c r="C10384" s="701"/>
      <c r="D10384" s="811"/>
      <c r="E10384" s="1276">
        <f>[11]building!Y10715</f>
        <v>0</v>
      </c>
      <c r="F10384" s="748">
        <f t="shared" si="401"/>
        <v>0</v>
      </c>
      <c r="G10384" s="1205"/>
      <c r="H10384" s="1055"/>
      <c r="I10384" s="1055"/>
      <c r="J10384" s="1055"/>
      <c r="K10384" s="1205"/>
      <c r="L10384" s="1055"/>
      <c r="M10384" s="1205"/>
      <c r="N10384" s="1054"/>
      <c r="O10384" s="1207"/>
      <c r="Q10384" s="1207"/>
    </row>
    <row r="10385" spans="3:17" s="700" customFormat="1" ht="70.5" hidden="1" customHeight="1">
      <c r="C10385" s="701"/>
      <c r="D10385" s="811"/>
      <c r="E10385" s="1276">
        <f>[11]building!Y10716</f>
        <v>0</v>
      </c>
      <c r="F10385" s="748">
        <f t="shared" si="401"/>
        <v>0</v>
      </c>
      <c r="G10385" s="1205"/>
      <c r="H10385" s="1055"/>
      <c r="I10385" s="1055"/>
      <c r="J10385" s="1055"/>
      <c r="K10385" s="1205"/>
      <c r="L10385" s="1055"/>
      <c r="M10385" s="1205"/>
      <c r="N10385" s="1054"/>
      <c r="O10385" s="1207"/>
      <c r="Q10385" s="1207"/>
    </row>
    <row r="10386" spans="3:17" s="700" customFormat="1" ht="70.5" hidden="1" customHeight="1">
      <c r="C10386" s="701"/>
      <c r="D10386" s="811"/>
      <c r="E10386" s="1276">
        <f>[11]building!Y10717</f>
        <v>0</v>
      </c>
      <c r="F10386" s="748">
        <f t="shared" si="401"/>
        <v>0</v>
      </c>
      <c r="G10386" s="1205"/>
      <c r="H10386" s="1055"/>
      <c r="I10386" s="1055"/>
      <c r="J10386" s="1055"/>
      <c r="K10386" s="1205"/>
      <c r="L10386" s="1055"/>
      <c r="M10386" s="1205"/>
      <c r="N10386" s="1054"/>
      <c r="O10386" s="1207"/>
      <c r="Q10386" s="1207"/>
    </row>
    <row r="10387" spans="3:17" s="700" customFormat="1" ht="70.5" hidden="1" customHeight="1">
      <c r="C10387" s="701"/>
      <c r="D10387" s="811"/>
      <c r="E10387" s="1276">
        <f>[11]building!Y10718</f>
        <v>0</v>
      </c>
      <c r="F10387" s="748">
        <f t="shared" si="401"/>
        <v>0</v>
      </c>
      <c r="G10387" s="1205"/>
      <c r="H10387" s="1055"/>
      <c r="I10387" s="1055"/>
      <c r="J10387" s="1055"/>
      <c r="K10387" s="1205"/>
      <c r="L10387" s="1055"/>
      <c r="M10387" s="1205"/>
      <c r="N10387" s="1054"/>
      <c r="O10387" s="1207"/>
      <c r="Q10387" s="1207"/>
    </row>
    <row r="10388" spans="3:17" s="700" customFormat="1" ht="70.5" hidden="1" customHeight="1">
      <c r="C10388" s="701"/>
      <c r="D10388" s="811"/>
      <c r="E10388" s="1276">
        <f>[11]building!Y10719</f>
        <v>0</v>
      </c>
      <c r="F10388" s="748">
        <f t="shared" si="401"/>
        <v>0</v>
      </c>
      <c r="G10388" s="1205"/>
      <c r="H10388" s="1055"/>
      <c r="I10388" s="1055"/>
      <c r="J10388" s="1055"/>
      <c r="K10388" s="1205"/>
      <c r="L10388" s="1055"/>
      <c r="M10388" s="1205"/>
      <c r="N10388" s="1054"/>
      <c r="O10388" s="1207"/>
      <c r="Q10388" s="1207"/>
    </row>
    <row r="10389" spans="3:17" s="700" customFormat="1" ht="70.5" hidden="1" customHeight="1">
      <c r="C10389" s="701"/>
      <c r="D10389" s="811"/>
      <c r="E10389" s="1276">
        <f>[11]building!Y10720</f>
        <v>0</v>
      </c>
      <c r="F10389" s="748">
        <f t="shared" si="401"/>
        <v>0</v>
      </c>
      <c r="G10389" s="1205"/>
      <c r="H10389" s="1055"/>
      <c r="I10389" s="1055"/>
      <c r="J10389" s="1055"/>
      <c r="K10389" s="1205"/>
      <c r="L10389" s="1055"/>
      <c r="M10389" s="1205"/>
      <c r="N10389" s="1054"/>
      <c r="O10389" s="1207"/>
      <c r="Q10389" s="1207"/>
    </row>
    <row r="10390" spans="3:17" s="700" customFormat="1" ht="70.5" hidden="1" customHeight="1">
      <c r="C10390" s="701"/>
      <c r="D10390" s="811"/>
      <c r="E10390" s="1276">
        <f>[11]building!Y10721</f>
        <v>0</v>
      </c>
      <c r="F10390" s="748">
        <f t="shared" si="401"/>
        <v>0</v>
      </c>
      <c r="G10390" s="1205"/>
      <c r="H10390" s="1055"/>
      <c r="I10390" s="1055"/>
      <c r="J10390" s="1055"/>
      <c r="K10390" s="1205"/>
      <c r="L10390" s="1055"/>
      <c r="M10390" s="1205"/>
      <c r="N10390" s="1054"/>
      <c r="O10390" s="1207"/>
      <c r="Q10390" s="1207"/>
    </row>
    <row r="10391" spans="3:17" s="700" customFormat="1" ht="70.5" hidden="1" customHeight="1">
      <c r="C10391" s="701"/>
      <c r="D10391" s="811"/>
      <c r="E10391" s="1276">
        <f>[11]building!Y10722</f>
        <v>0</v>
      </c>
      <c r="F10391" s="748">
        <f t="shared" si="401"/>
        <v>0</v>
      </c>
      <c r="G10391" s="1205"/>
      <c r="H10391" s="1055"/>
      <c r="I10391" s="1055"/>
      <c r="J10391" s="1055"/>
      <c r="K10391" s="1205"/>
      <c r="L10391" s="1055"/>
      <c r="M10391" s="1205"/>
      <c r="N10391" s="1054"/>
      <c r="O10391" s="1207"/>
      <c r="Q10391" s="1207"/>
    </row>
    <row r="10392" spans="3:17" s="700" customFormat="1" ht="70.5" hidden="1" customHeight="1">
      <c r="C10392" s="701"/>
      <c r="D10392" s="811"/>
      <c r="E10392" s="1276">
        <f>[11]building!Y10723</f>
        <v>0</v>
      </c>
      <c r="F10392" s="748">
        <f t="shared" si="401"/>
        <v>0</v>
      </c>
      <c r="G10392" s="1205"/>
      <c r="H10392" s="1055"/>
      <c r="I10392" s="1055"/>
      <c r="J10392" s="1055"/>
      <c r="K10392" s="1205"/>
      <c r="L10392" s="1055"/>
      <c r="M10392" s="1205"/>
      <c r="N10392" s="1054"/>
      <c r="O10392" s="1207"/>
      <c r="Q10392" s="1207"/>
    </row>
    <row r="10393" spans="3:17" s="700" customFormat="1" ht="70.5" hidden="1" customHeight="1">
      <c r="C10393" s="701"/>
      <c r="D10393" s="811"/>
      <c r="E10393" s="1276">
        <f>[11]building!Y10724</f>
        <v>0</v>
      </c>
      <c r="F10393" s="748">
        <f t="shared" si="401"/>
        <v>0</v>
      </c>
      <c r="G10393" s="1205"/>
      <c r="H10393" s="1055"/>
      <c r="I10393" s="1055"/>
      <c r="J10393" s="1055"/>
      <c r="K10393" s="1205"/>
      <c r="L10393" s="1055"/>
      <c r="M10393" s="1205"/>
      <c r="N10393" s="1054"/>
      <c r="O10393" s="1207"/>
      <c r="Q10393" s="1207"/>
    </row>
    <row r="10394" spans="3:17" s="700" customFormat="1" ht="70.5" hidden="1" customHeight="1">
      <c r="C10394" s="701"/>
      <c r="D10394" s="811"/>
      <c r="E10394" s="1276">
        <f>[11]building!Y10725</f>
        <v>0</v>
      </c>
      <c r="F10394" s="748">
        <f t="shared" si="401"/>
        <v>0</v>
      </c>
      <c r="G10394" s="1205"/>
      <c r="H10394" s="1055"/>
      <c r="I10394" s="1055"/>
      <c r="J10394" s="1055"/>
      <c r="K10394" s="1205"/>
      <c r="L10394" s="1055"/>
      <c r="M10394" s="1205"/>
      <c r="N10394" s="1054"/>
      <c r="O10394" s="1207"/>
      <c r="Q10394" s="1207"/>
    </row>
    <row r="10395" spans="3:17" s="700" customFormat="1" ht="70.5" hidden="1" customHeight="1">
      <c r="C10395" s="701"/>
      <c r="D10395" s="811"/>
      <c r="E10395" s="1276">
        <f>[11]building!Y10726</f>
        <v>0</v>
      </c>
      <c r="F10395" s="748">
        <f t="shared" si="401"/>
        <v>0</v>
      </c>
      <c r="G10395" s="1205"/>
      <c r="H10395" s="1055"/>
      <c r="I10395" s="1055"/>
      <c r="J10395" s="1055"/>
      <c r="K10395" s="1205"/>
      <c r="L10395" s="1055"/>
      <c r="M10395" s="1205"/>
      <c r="N10395" s="1054"/>
      <c r="O10395" s="1207"/>
      <c r="Q10395" s="1207"/>
    </row>
    <row r="10396" spans="3:17" s="700" customFormat="1" ht="70.5" hidden="1" customHeight="1">
      <c r="C10396" s="701"/>
      <c r="D10396" s="811"/>
      <c r="E10396" s="1276">
        <f>[11]building!Y10727</f>
        <v>0</v>
      </c>
      <c r="F10396" s="748">
        <f t="shared" si="401"/>
        <v>0</v>
      </c>
      <c r="G10396" s="1205"/>
      <c r="H10396" s="1055"/>
      <c r="I10396" s="1055"/>
      <c r="J10396" s="1055"/>
      <c r="K10396" s="1205"/>
      <c r="L10396" s="1055"/>
      <c r="M10396" s="1205"/>
      <c r="N10396" s="1054"/>
      <c r="O10396" s="1207"/>
      <c r="Q10396" s="1207"/>
    </row>
    <row r="10397" spans="3:17" s="700" customFormat="1" ht="70.5" hidden="1" customHeight="1">
      <c r="C10397" s="701"/>
      <c r="D10397" s="811"/>
      <c r="E10397" s="1276">
        <f>[11]building!Y10728</f>
        <v>0</v>
      </c>
      <c r="F10397" s="748">
        <f t="shared" si="401"/>
        <v>0</v>
      </c>
      <c r="G10397" s="1205"/>
      <c r="H10397" s="1055"/>
      <c r="I10397" s="1055"/>
      <c r="J10397" s="1055"/>
      <c r="K10397" s="1205"/>
      <c r="L10397" s="1055"/>
      <c r="M10397" s="1205"/>
      <c r="N10397" s="1054"/>
      <c r="O10397" s="1207"/>
      <c r="Q10397" s="1207"/>
    </row>
    <row r="10398" spans="3:17" s="700" customFormat="1" ht="70.5" hidden="1" customHeight="1">
      <c r="C10398" s="701"/>
      <c r="D10398" s="811"/>
      <c r="E10398" s="1276">
        <f>[11]building!Y10729</f>
        <v>0</v>
      </c>
      <c r="F10398" s="748">
        <f t="shared" si="401"/>
        <v>0</v>
      </c>
      <c r="G10398" s="1205"/>
      <c r="H10398" s="1055"/>
      <c r="I10398" s="1055"/>
      <c r="J10398" s="1055"/>
      <c r="K10398" s="1205"/>
      <c r="L10398" s="1055"/>
      <c r="M10398" s="1205"/>
      <c r="N10398" s="1054"/>
      <c r="O10398" s="1207"/>
      <c r="Q10398" s="1207"/>
    </row>
    <row r="10399" spans="3:17" s="700" customFormat="1" ht="70.5" hidden="1" customHeight="1">
      <c r="C10399" s="701"/>
      <c r="D10399" s="811"/>
      <c r="E10399" s="1276">
        <f>[11]building!Y10730</f>
        <v>0</v>
      </c>
      <c r="F10399" s="748">
        <f t="shared" si="401"/>
        <v>0</v>
      </c>
      <c r="G10399" s="1205"/>
      <c r="H10399" s="1055"/>
      <c r="I10399" s="1055"/>
      <c r="J10399" s="1055"/>
      <c r="K10399" s="1205"/>
      <c r="L10399" s="1055"/>
      <c r="M10399" s="1205"/>
      <c r="N10399" s="1054"/>
      <c r="O10399" s="1207"/>
      <c r="Q10399" s="1207"/>
    </row>
    <row r="10400" spans="3:17" s="700" customFormat="1" ht="70.5" hidden="1" customHeight="1">
      <c r="C10400" s="701"/>
      <c r="D10400" s="811"/>
      <c r="E10400" s="1276">
        <f>[11]building!Y10731</f>
        <v>0</v>
      </c>
      <c r="F10400" s="748">
        <f t="shared" si="401"/>
        <v>0</v>
      </c>
      <c r="G10400" s="1205"/>
      <c r="H10400" s="1055"/>
      <c r="I10400" s="1055"/>
      <c r="J10400" s="1055"/>
      <c r="K10400" s="1205"/>
      <c r="L10400" s="1055"/>
      <c r="M10400" s="1205"/>
      <c r="N10400" s="1054"/>
      <c r="O10400" s="1207"/>
      <c r="Q10400" s="1207"/>
    </row>
    <row r="10401" spans="3:17" s="700" customFormat="1" ht="70.5" hidden="1" customHeight="1">
      <c r="C10401" s="701"/>
      <c r="D10401" s="811"/>
      <c r="E10401" s="1276">
        <f>[11]building!Y10732</f>
        <v>0</v>
      </c>
      <c r="F10401" s="748">
        <f t="shared" si="401"/>
        <v>0</v>
      </c>
      <c r="G10401" s="1205"/>
      <c r="H10401" s="1055"/>
      <c r="I10401" s="1055"/>
      <c r="J10401" s="1055"/>
      <c r="K10401" s="1205"/>
      <c r="L10401" s="1055"/>
      <c r="M10401" s="1205"/>
      <c r="N10401" s="1054"/>
      <c r="O10401" s="1207"/>
      <c r="Q10401" s="1207"/>
    </row>
    <row r="10402" spans="3:17" s="700" customFormat="1" ht="70.5" hidden="1" customHeight="1">
      <c r="C10402" s="701"/>
      <c r="D10402" s="811"/>
      <c r="E10402" s="1276">
        <f>[11]building!Y10733</f>
        <v>0</v>
      </c>
      <c r="F10402" s="748">
        <f t="shared" si="401"/>
        <v>0</v>
      </c>
      <c r="G10402" s="1205"/>
      <c r="H10402" s="1055"/>
      <c r="I10402" s="1055"/>
      <c r="J10402" s="1055"/>
      <c r="K10402" s="1205"/>
      <c r="L10402" s="1055"/>
      <c r="M10402" s="1205"/>
      <c r="N10402" s="1054"/>
      <c r="O10402" s="1207"/>
      <c r="Q10402" s="1207"/>
    </row>
    <row r="10403" spans="3:17" s="700" customFormat="1" ht="70.5" hidden="1" customHeight="1">
      <c r="C10403" s="701"/>
      <c r="D10403" s="811"/>
      <c r="E10403" s="1276">
        <f>[11]building!Y10734</f>
        <v>0</v>
      </c>
      <c r="F10403" s="748">
        <f t="shared" si="401"/>
        <v>0</v>
      </c>
      <c r="G10403" s="1205"/>
      <c r="H10403" s="1055"/>
      <c r="I10403" s="1055"/>
      <c r="J10403" s="1055"/>
      <c r="K10403" s="1205"/>
      <c r="L10403" s="1055"/>
      <c r="M10403" s="1205"/>
      <c r="N10403" s="1054"/>
      <c r="O10403" s="1207"/>
      <c r="Q10403" s="1207"/>
    </row>
    <row r="10404" spans="3:17" s="700" customFormat="1" ht="70.5" hidden="1" customHeight="1">
      <c r="C10404" s="701"/>
      <c r="D10404" s="811"/>
      <c r="E10404" s="1276">
        <f>[11]building!Y10735</f>
        <v>0</v>
      </c>
      <c r="F10404" s="748">
        <f t="shared" si="401"/>
        <v>0</v>
      </c>
      <c r="G10404" s="1205"/>
      <c r="H10404" s="1055"/>
      <c r="I10404" s="1055"/>
      <c r="J10404" s="1055"/>
      <c r="K10404" s="1205"/>
      <c r="L10404" s="1055"/>
      <c r="M10404" s="1205"/>
      <c r="N10404" s="1054"/>
      <c r="O10404" s="1207"/>
      <c r="Q10404" s="1207"/>
    </row>
    <row r="10405" spans="3:17" s="700" customFormat="1" ht="70.5" hidden="1" customHeight="1">
      <c r="C10405" s="701"/>
      <c r="D10405" s="811"/>
      <c r="E10405" s="1276">
        <f>[11]building!Y10736</f>
        <v>0</v>
      </c>
      <c r="F10405" s="748">
        <f t="shared" si="401"/>
        <v>0</v>
      </c>
      <c r="G10405" s="1205"/>
      <c r="H10405" s="1055"/>
      <c r="I10405" s="1055"/>
      <c r="J10405" s="1055"/>
      <c r="K10405" s="1205"/>
      <c r="L10405" s="1055"/>
      <c r="M10405" s="1205"/>
      <c r="N10405" s="1054"/>
      <c r="O10405" s="1207"/>
      <c r="Q10405" s="1207"/>
    </row>
    <row r="10406" spans="3:17" s="700" customFormat="1" ht="70.5" hidden="1" customHeight="1">
      <c r="C10406" s="701"/>
      <c r="D10406" s="811"/>
      <c r="E10406" s="1276">
        <f>[11]building!Y10737</f>
        <v>0</v>
      </c>
      <c r="F10406" s="748">
        <f t="shared" si="401"/>
        <v>0</v>
      </c>
      <c r="G10406" s="1205"/>
      <c r="H10406" s="1055"/>
      <c r="I10406" s="1055"/>
      <c r="J10406" s="1055"/>
      <c r="K10406" s="1205"/>
      <c r="L10406" s="1055"/>
      <c r="M10406" s="1205"/>
      <c r="N10406" s="1054"/>
      <c r="O10406" s="1207"/>
      <c r="Q10406" s="1207"/>
    </row>
    <row r="10407" spans="3:17" s="700" customFormat="1" ht="70.5" hidden="1" customHeight="1">
      <c r="C10407" s="701"/>
      <c r="D10407" s="811"/>
      <c r="E10407" s="1276">
        <f>[11]building!Y10738</f>
        <v>0</v>
      </c>
      <c r="F10407" s="748">
        <f t="shared" si="401"/>
        <v>0</v>
      </c>
      <c r="G10407" s="1205"/>
      <c r="H10407" s="1055"/>
      <c r="I10407" s="1055"/>
      <c r="J10407" s="1055"/>
      <c r="K10407" s="1205"/>
      <c r="L10407" s="1055"/>
      <c r="M10407" s="1205"/>
      <c r="N10407" s="1054"/>
      <c r="O10407" s="1207"/>
      <c r="Q10407" s="1207"/>
    </row>
    <row r="10408" spans="3:17" s="700" customFormat="1" ht="70.5" hidden="1" customHeight="1">
      <c r="C10408" s="701"/>
      <c r="D10408" s="811"/>
      <c r="E10408" s="1276">
        <f>[11]building!Y10739</f>
        <v>0</v>
      </c>
      <c r="F10408" s="748">
        <f t="shared" si="401"/>
        <v>0</v>
      </c>
      <c r="G10408" s="1205"/>
      <c r="H10408" s="1055"/>
      <c r="I10408" s="1055"/>
      <c r="J10408" s="1055"/>
      <c r="K10408" s="1205"/>
      <c r="L10408" s="1055"/>
      <c r="M10408" s="1205"/>
      <c r="N10408" s="1054"/>
      <c r="O10408" s="1207"/>
      <c r="Q10408" s="1207"/>
    </row>
    <row r="10409" spans="3:17" s="700" customFormat="1" ht="70.5" hidden="1" customHeight="1">
      <c r="C10409" s="701"/>
      <c r="D10409" s="811"/>
      <c r="E10409" s="1276">
        <f>[11]building!Y10740</f>
        <v>0</v>
      </c>
      <c r="F10409" s="748">
        <f t="shared" si="401"/>
        <v>0</v>
      </c>
      <c r="G10409" s="1205"/>
      <c r="H10409" s="1055"/>
      <c r="I10409" s="1055"/>
      <c r="J10409" s="1055"/>
      <c r="K10409" s="1205"/>
      <c r="L10409" s="1055"/>
      <c r="M10409" s="1205"/>
      <c r="N10409" s="1054"/>
      <c r="O10409" s="1207"/>
      <c r="Q10409" s="1207"/>
    </row>
    <row r="10410" spans="3:17" s="700" customFormat="1" ht="70.5" hidden="1" customHeight="1">
      <c r="C10410" s="701"/>
      <c r="D10410" s="811"/>
      <c r="E10410" s="1276">
        <f>[11]building!Y10741</f>
        <v>0</v>
      </c>
      <c r="F10410" s="748">
        <f t="shared" si="401"/>
        <v>0</v>
      </c>
      <c r="G10410" s="1205"/>
      <c r="H10410" s="1055"/>
      <c r="I10410" s="1055"/>
      <c r="J10410" s="1055"/>
      <c r="K10410" s="1205"/>
      <c r="L10410" s="1055"/>
      <c r="M10410" s="1205"/>
      <c r="N10410" s="1054"/>
      <c r="O10410" s="1207"/>
      <c r="Q10410" s="1207"/>
    </row>
    <row r="10411" spans="3:17" s="700" customFormat="1" ht="70.5" hidden="1" customHeight="1">
      <c r="C10411" s="701"/>
      <c r="D10411" s="811"/>
      <c r="E10411" s="1276">
        <f>[11]building!Y10742</f>
        <v>0</v>
      </c>
      <c r="F10411" s="748">
        <f t="shared" si="401"/>
        <v>0</v>
      </c>
      <c r="G10411" s="1205"/>
      <c r="H10411" s="1055"/>
      <c r="I10411" s="1055"/>
      <c r="J10411" s="1055"/>
      <c r="K10411" s="1205"/>
      <c r="L10411" s="1055"/>
      <c r="M10411" s="1205"/>
      <c r="N10411" s="1054"/>
      <c r="O10411" s="1207"/>
      <c r="Q10411" s="1207"/>
    </row>
    <row r="10412" spans="3:17" s="700" customFormat="1" ht="70.5" hidden="1" customHeight="1">
      <c r="C10412" s="701"/>
      <c r="D10412" s="811"/>
      <c r="E10412" s="1276">
        <f>[11]building!Y10743</f>
        <v>0</v>
      </c>
      <c r="F10412" s="748">
        <f t="shared" si="401"/>
        <v>0</v>
      </c>
      <c r="G10412" s="1205"/>
      <c r="H10412" s="1055"/>
      <c r="I10412" s="1055"/>
      <c r="J10412" s="1055"/>
      <c r="K10412" s="1205"/>
      <c r="L10412" s="1055"/>
      <c r="M10412" s="1205"/>
      <c r="N10412" s="1054"/>
      <c r="O10412" s="1207"/>
      <c r="Q10412" s="1207"/>
    </row>
    <row r="10413" spans="3:17" s="700" customFormat="1" ht="70.5" hidden="1" customHeight="1">
      <c r="C10413" s="701"/>
      <c r="D10413" s="811"/>
      <c r="E10413" s="1276">
        <f>[11]building!Y10744</f>
        <v>0</v>
      </c>
      <c r="F10413" s="748">
        <f t="shared" si="401"/>
        <v>0</v>
      </c>
      <c r="G10413" s="1205"/>
      <c r="H10413" s="1055"/>
      <c r="I10413" s="1055"/>
      <c r="J10413" s="1055"/>
      <c r="K10413" s="1205"/>
      <c r="L10413" s="1055"/>
      <c r="M10413" s="1205"/>
      <c r="N10413" s="1054"/>
      <c r="O10413" s="1207"/>
      <c r="Q10413" s="1207"/>
    </row>
    <row r="10414" spans="3:17" s="700" customFormat="1" ht="70.5" hidden="1" customHeight="1">
      <c r="C10414" s="701"/>
      <c r="D10414" s="811"/>
      <c r="E10414" s="1276">
        <f>[11]building!Y10745</f>
        <v>0</v>
      </c>
      <c r="F10414" s="748">
        <f t="shared" si="401"/>
        <v>0</v>
      </c>
      <c r="G10414" s="1205"/>
      <c r="H10414" s="1055"/>
      <c r="I10414" s="1055"/>
      <c r="J10414" s="1055"/>
      <c r="K10414" s="1205"/>
      <c r="L10414" s="1055"/>
      <c r="M10414" s="1205"/>
      <c r="N10414" s="1054"/>
      <c r="O10414" s="1207"/>
      <c r="Q10414" s="1207"/>
    </row>
    <row r="10415" spans="3:17" s="700" customFormat="1" ht="70.5" hidden="1" customHeight="1">
      <c r="C10415" s="701"/>
      <c r="D10415" s="811"/>
      <c r="E10415" s="1276">
        <f>[11]building!Y10746</f>
        <v>0</v>
      </c>
      <c r="F10415" s="748">
        <f t="shared" si="401"/>
        <v>0</v>
      </c>
      <c r="G10415" s="1205"/>
      <c r="H10415" s="1055"/>
      <c r="I10415" s="1055"/>
      <c r="J10415" s="1055"/>
      <c r="K10415" s="1205"/>
      <c r="L10415" s="1055"/>
      <c r="M10415" s="1205"/>
      <c r="N10415" s="1054"/>
      <c r="O10415" s="1207"/>
      <c r="Q10415" s="1207"/>
    </row>
    <row r="10416" spans="3:17" s="700" customFormat="1" ht="70.5" hidden="1" customHeight="1">
      <c r="C10416" s="701"/>
      <c r="D10416" s="811"/>
      <c r="E10416" s="1276">
        <f>[11]building!Y10747</f>
        <v>0</v>
      </c>
      <c r="F10416" s="748">
        <f t="shared" si="401"/>
        <v>0</v>
      </c>
      <c r="G10416" s="1205"/>
      <c r="H10416" s="1055"/>
      <c r="I10416" s="1055"/>
      <c r="J10416" s="1055"/>
      <c r="K10416" s="1205"/>
      <c r="L10416" s="1055"/>
      <c r="M10416" s="1205"/>
      <c r="N10416" s="1054"/>
      <c r="O10416" s="1207"/>
      <c r="Q10416" s="1207"/>
    </row>
    <row r="10417" spans="3:17" s="700" customFormat="1" ht="70.5" hidden="1" customHeight="1">
      <c r="C10417" s="701"/>
      <c r="D10417" s="811"/>
      <c r="E10417" s="1276">
        <f>[11]building!Y10748</f>
        <v>0</v>
      </c>
      <c r="F10417" s="748">
        <f t="shared" si="401"/>
        <v>0</v>
      </c>
      <c r="G10417" s="1205"/>
      <c r="H10417" s="1055"/>
      <c r="I10417" s="1055"/>
      <c r="J10417" s="1055"/>
      <c r="K10417" s="1205"/>
      <c r="L10417" s="1055"/>
      <c r="M10417" s="1205"/>
      <c r="N10417" s="1054"/>
      <c r="O10417" s="1207"/>
      <c r="Q10417" s="1207"/>
    </row>
    <row r="10418" spans="3:17" s="700" customFormat="1" ht="70.5" hidden="1" customHeight="1">
      <c r="C10418" s="701"/>
      <c r="D10418" s="811"/>
      <c r="E10418" s="1276">
        <f>[11]building!Y10749</f>
        <v>0</v>
      </c>
      <c r="F10418" s="748">
        <f t="shared" si="401"/>
        <v>0</v>
      </c>
      <c r="G10418" s="1205"/>
      <c r="H10418" s="1055"/>
      <c r="I10418" s="1055"/>
      <c r="J10418" s="1055"/>
      <c r="K10418" s="1205"/>
      <c r="L10418" s="1055"/>
      <c r="M10418" s="1205"/>
      <c r="N10418" s="1054"/>
      <c r="O10418" s="1207"/>
      <c r="Q10418" s="1207"/>
    </row>
    <row r="10419" spans="3:17" s="700" customFormat="1" ht="70.5" hidden="1" customHeight="1">
      <c r="C10419" s="701"/>
      <c r="D10419" s="811"/>
      <c r="E10419" s="1276">
        <f>[11]building!Y10750</f>
        <v>0</v>
      </c>
      <c r="F10419" s="748">
        <f t="shared" si="401"/>
        <v>0</v>
      </c>
      <c r="G10419" s="1205"/>
      <c r="H10419" s="1055"/>
      <c r="I10419" s="1055"/>
      <c r="J10419" s="1055"/>
      <c r="K10419" s="1205"/>
      <c r="L10419" s="1055"/>
      <c r="M10419" s="1205"/>
      <c r="N10419" s="1054"/>
      <c r="O10419" s="1207"/>
      <c r="Q10419" s="1207"/>
    </row>
    <row r="10420" spans="3:17" s="700" customFormat="1" ht="70.5" hidden="1" customHeight="1">
      <c r="C10420" s="701"/>
      <c r="D10420" s="811"/>
      <c r="E10420" s="1276">
        <f>[11]building!Y10751</f>
        <v>0</v>
      </c>
      <c r="F10420" s="748">
        <f t="shared" si="401"/>
        <v>0</v>
      </c>
      <c r="G10420" s="1205"/>
      <c r="H10420" s="1055"/>
      <c r="I10420" s="1055"/>
      <c r="J10420" s="1055"/>
      <c r="K10420" s="1205"/>
      <c r="L10420" s="1055"/>
      <c r="M10420" s="1205"/>
      <c r="N10420" s="1054"/>
      <c r="O10420" s="1207"/>
      <c r="Q10420" s="1207"/>
    </row>
    <row r="10421" spans="3:17" s="700" customFormat="1" ht="70.5" hidden="1" customHeight="1">
      <c r="C10421" s="701"/>
      <c r="D10421" s="811"/>
      <c r="E10421" s="1276">
        <f>[11]building!Y10752</f>
        <v>0</v>
      </c>
      <c r="F10421" s="748">
        <f t="shared" si="401"/>
        <v>0</v>
      </c>
      <c r="G10421" s="1205"/>
      <c r="H10421" s="1055"/>
      <c r="I10421" s="1055"/>
      <c r="J10421" s="1055"/>
      <c r="K10421" s="1205"/>
      <c r="L10421" s="1055"/>
      <c r="M10421" s="1205"/>
      <c r="N10421" s="1054"/>
      <c r="O10421" s="1207"/>
      <c r="Q10421" s="1207"/>
    </row>
    <row r="10422" spans="3:17" s="700" customFormat="1" ht="70.5" hidden="1" customHeight="1">
      <c r="C10422" s="701"/>
      <c r="D10422" s="811"/>
      <c r="E10422" s="1276">
        <f>[11]building!Y10753</f>
        <v>0</v>
      </c>
      <c r="F10422" s="748">
        <f t="shared" si="401"/>
        <v>0</v>
      </c>
      <c r="G10422" s="1205"/>
      <c r="H10422" s="1055"/>
      <c r="I10422" s="1055"/>
      <c r="J10422" s="1055"/>
      <c r="K10422" s="1205"/>
      <c r="L10422" s="1055"/>
      <c r="M10422" s="1205"/>
      <c r="N10422" s="1054"/>
      <c r="O10422" s="1207"/>
      <c r="Q10422" s="1207"/>
    </row>
    <row r="10423" spans="3:17" s="700" customFormat="1" ht="70.5" hidden="1" customHeight="1">
      <c r="C10423" s="701"/>
      <c r="D10423" s="811"/>
      <c r="E10423" s="1276">
        <f>[11]building!Y10754</f>
        <v>0</v>
      </c>
      <c r="F10423" s="748">
        <f t="shared" si="401"/>
        <v>0</v>
      </c>
      <c r="G10423" s="1205"/>
      <c r="H10423" s="1055"/>
      <c r="I10423" s="1055"/>
      <c r="J10423" s="1055"/>
      <c r="K10423" s="1205"/>
      <c r="L10423" s="1055"/>
      <c r="M10423" s="1205"/>
      <c r="N10423" s="1054"/>
      <c r="O10423" s="1207"/>
      <c r="Q10423" s="1207"/>
    </row>
    <row r="10424" spans="3:17" s="700" customFormat="1" ht="70.5" hidden="1" customHeight="1">
      <c r="C10424" s="701"/>
      <c r="D10424" s="811"/>
      <c r="E10424" s="1276">
        <f>[11]building!Y10755</f>
        <v>0</v>
      </c>
      <c r="F10424" s="748">
        <f t="shared" si="401"/>
        <v>0</v>
      </c>
      <c r="G10424" s="1205"/>
      <c r="H10424" s="1055"/>
      <c r="I10424" s="1055"/>
      <c r="J10424" s="1055"/>
      <c r="K10424" s="1205"/>
      <c r="L10424" s="1055"/>
      <c r="M10424" s="1205"/>
      <c r="N10424" s="1054"/>
      <c r="O10424" s="1207"/>
      <c r="Q10424" s="1207"/>
    </row>
    <row r="10425" spans="3:17" s="700" customFormat="1" ht="70.5" hidden="1" customHeight="1">
      <c r="C10425" s="701"/>
      <c r="D10425" s="811"/>
      <c r="E10425" s="1276">
        <f>[11]building!Y10756</f>
        <v>0</v>
      </c>
      <c r="F10425" s="748">
        <f t="shared" si="401"/>
        <v>0</v>
      </c>
      <c r="G10425" s="1205"/>
      <c r="H10425" s="1055"/>
      <c r="I10425" s="1055"/>
      <c r="J10425" s="1055"/>
      <c r="K10425" s="1205"/>
      <c r="L10425" s="1055"/>
      <c r="M10425" s="1205"/>
      <c r="N10425" s="1054"/>
      <c r="O10425" s="1207"/>
      <c r="Q10425" s="1207"/>
    </row>
    <row r="10426" spans="3:17" s="700" customFormat="1" ht="70.5" hidden="1" customHeight="1">
      <c r="C10426" s="701"/>
      <c r="D10426" s="811"/>
      <c r="E10426" s="1276">
        <f>[11]building!Y10757</f>
        <v>0</v>
      </c>
      <c r="F10426" s="748">
        <f t="shared" si="401"/>
        <v>0</v>
      </c>
      <c r="G10426" s="1205"/>
      <c r="H10426" s="1055"/>
      <c r="I10426" s="1055"/>
      <c r="J10426" s="1055"/>
      <c r="K10426" s="1205"/>
      <c r="L10426" s="1055"/>
      <c r="M10426" s="1205"/>
      <c r="N10426" s="1054"/>
      <c r="O10426" s="1207"/>
      <c r="Q10426" s="1207"/>
    </row>
    <row r="10427" spans="3:17" s="700" customFormat="1" ht="70.5" hidden="1" customHeight="1">
      <c r="C10427" s="701"/>
      <c r="D10427" s="811"/>
      <c r="E10427" s="1276">
        <f>[11]building!Y10758</f>
        <v>0</v>
      </c>
      <c r="F10427" s="748">
        <f t="shared" si="401"/>
        <v>0</v>
      </c>
      <c r="G10427" s="1205"/>
      <c r="H10427" s="1055"/>
      <c r="I10427" s="1055"/>
      <c r="J10427" s="1055"/>
      <c r="K10427" s="1205"/>
      <c r="L10427" s="1055"/>
      <c r="M10427" s="1205"/>
      <c r="N10427" s="1054"/>
      <c r="O10427" s="1207"/>
      <c r="Q10427" s="1207"/>
    </row>
    <row r="10428" spans="3:17" s="700" customFormat="1" ht="70.5" hidden="1" customHeight="1">
      <c r="C10428" s="701"/>
      <c r="D10428" s="811"/>
      <c r="E10428" s="1276">
        <f>[11]building!Y10759</f>
        <v>0</v>
      </c>
      <c r="F10428" s="748">
        <f t="shared" si="401"/>
        <v>0</v>
      </c>
      <c r="G10428" s="1205"/>
      <c r="H10428" s="1055"/>
      <c r="I10428" s="1055"/>
      <c r="J10428" s="1055"/>
      <c r="K10428" s="1205"/>
      <c r="L10428" s="1055"/>
      <c r="M10428" s="1205"/>
      <c r="N10428" s="1054"/>
      <c r="O10428" s="1207"/>
      <c r="Q10428" s="1207"/>
    </row>
    <row r="10429" spans="3:17" s="700" customFormat="1" ht="70.5" hidden="1" customHeight="1">
      <c r="C10429" s="701"/>
      <c r="D10429" s="811"/>
      <c r="E10429" s="1276">
        <f>[11]building!Y10760</f>
        <v>0</v>
      </c>
      <c r="F10429" s="748">
        <f t="shared" si="401"/>
        <v>0</v>
      </c>
      <c r="G10429" s="1205"/>
      <c r="H10429" s="1055"/>
      <c r="I10429" s="1055"/>
      <c r="J10429" s="1055"/>
      <c r="K10429" s="1205"/>
      <c r="L10429" s="1055"/>
      <c r="M10429" s="1205"/>
      <c r="N10429" s="1054"/>
      <c r="O10429" s="1207"/>
      <c r="Q10429" s="1207"/>
    </row>
    <row r="10430" spans="3:17" s="700" customFormat="1" ht="70.5" hidden="1" customHeight="1">
      <c r="C10430" s="701"/>
      <c r="D10430" s="811"/>
      <c r="E10430" s="1276">
        <f>[11]building!Y10761</f>
        <v>0</v>
      </c>
      <c r="F10430" s="748">
        <f t="shared" si="401"/>
        <v>0</v>
      </c>
      <c r="G10430" s="1205"/>
      <c r="H10430" s="1055"/>
      <c r="I10430" s="1055"/>
      <c r="J10430" s="1055"/>
      <c r="K10430" s="1205"/>
      <c r="L10430" s="1055"/>
      <c r="M10430" s="1205"/>
      <c r="N10430" s="1054"/>
      <c r="O10430" s="1207"/>
      <c r="Q10430" s="1207"/>
    </row>
    <row r="10431" spans="3:17" s="700" customFormat="1" ht="70.5" hidden="1" customHeight="1">
      <c r="C10431" s="701"/>
      <c r="D10431" s="811"/>
      <c r="E10431" s="1276">
        <f>[11]building!Y10762</f>
        <v>0</v>
      </c>
      <c r="F10431" s="748">
        <f t="shared" si="401"/>
        <v>0</v>
      </c>
      <c r="G10431" s="1205"/>
      <c r="H10431" s="1055"/>
      <c r="I10431" s="1055"/>
      <c r="J10431" s="1055"/>
      <c r="K10431" s="1205"/>
      <c r="L10431" s="1055"/>
      <c r="M10431" s="1205"/>
      <c r="N10431" s="1054"/>
      <c r="O10431" s="1207"/>
      <c r="Q10431" s="1207"/>
    </row>
    <row r="10432" spans="3:17" s="700" customFormat="1" ht="70.5" hidden="1" customHeight="1">
      <c r="C10432" s="701"/>
      <c r="D10432" s="811"/>
      <c r="E10432" s="1276">
        <f>[11]building!Y10763</f>
        <v>0</v>
      </c>
      <c r="F10432" s="748">
        <f t="shared" ref="F10432:F10495" si="402">E10432*C10432</f>
        <v>0</v>
      </c>
      <c r="G10432" s="1205"/>
      <c r="H10432" s="1055"/>
      <c r="I10432" s="1055"/>
      <c r="J10432" s="1055"/>
      <c r="K10432" s="1205"/>
      <c r="L10432" s="1055"/>
      <c r="M10432" s="1205"/>
      <c r="N10432" s="1054"/>
      <c r="O10432" s="1207"/>
      <c r="Q10432" s="1207"/>
    </row>
    <row r="10433" spans="3:17" s="700" customFormat="1" ht="70.5" hidden="1" customHeight="1">
      <c r="C10433" s="701"/>
      <c r="D10433" s="811"/>
      <c r="E10433" s="1276">
        <f>[11]building!Y10764</f>
        <v>0</v>
      </c>
      <c r="F10433" s="748">
        <f t="shared" si="402"/>
        <v>0</v>
      </c>
      <c r="G10433" s="1205"/>
      <c r="H10433" s="1055"/>
      <c r="I10433" s="1055"/>
      <c r="J10433" s="1055"/>
      <c r="K10433" s="1205"/>
      <c r="L10433" s="1055"/>
      <c r="M10433" s="1205"/>
      <c r="N10433" s="1054"/>
      <c r="O10433" s="1207"/>
      <c r="Q10433" s="1207"/>
    </row>
    <row r="10434" spans="3:17" s="700" customFormat="1" ht="70.5" hidden="1" customHeight="1">
      <c r="C10434" s="701"/>
      <c r="D10434" s="811"/>
      <c r="E10434" s="1276">
        <f>[11]building!Y10765</f>
        <v>0</v>
      </c>
      <c r="F10434" s="748">
        <f t="shared" si="402"/>
        <v>0</v>
      </c>
      <c r="G10434" s="1205"/>
      <c r="H10434" s="1055"/>
      <c r="I10434" s="1055"/>
      <c r="J10434" s="1055"/>
      <c r="K10434" s="1205"/>
      <c r="L10434" s="1055"/>
      <c r="M10434" s="1205"/>
      <c r="N10434" s="1054"/>
      <c r="O10434" s="1207"/>
      <c r="Q10434" s="1207"/>
    </row>
    <row r="10435" spans="3:17" s="700" customFormat="1" ht="70.5" hidden="1" customHeight="1">
      <c r="C10435" s="701"/>
      <c r="D10435" s="811"/>
      <c r="E10435" s="1276">
        <f>[11]building!Y10766</f>
        <v>0</v>
      </c>
      <c r="F10435" s="748">
        <f t="shared" si="402"/>
        <v>0</v>
      </c>
      <c r="G10435" s="1205"/>
      <c r="H10435" s="1055"/>
      <c r="I10435" s="1055"/>
      <c r="J10435" s="1055"/>
      <c r="K10435" s="1205"/>
      <c r="L10435" s="1055"/>
      <c r="M10435" s="1205"/>
      <c r="N10435" s="1054"/>
      <c r="O10435" s="1207"/>
      <c r="Q10435" s="1207"/>
    </row>
    <row r="10436" spans="3:17" s="700" customFormat="1" ht="70.5" hidden="1" customHeight="1">
      <c r="C10436" s="701"/>
      <c r="D10436" s="811"/>
      <c r="E10436" s="1276">
        <f>[11]building!Y10767</f>
        <v>0</v>
      </c>
      <c r="F10436" s="748">
        <f t="shared" si="402"/>
        <v>0</v>
      </c>
      <c r="G10436" s="1205"/>
      <c r="H10436" s="1055"/>
      <c r="I10436" s="1055"/>
      <c r="J10436" s="1055"/>
      <c r="K10436" s="1205"/>
      <c r="L10436" s="1055"/>
      <c r="M10436" s="1205"/>
      <c r="N10436" s="1054"/>
      <c r="O10436" s="1207"/>
      <c r="Q10436" s="1207"/>
    </row>
    <row r="10437" spans="3:17" s="700" customFormat="1" ht="70.5" hidden="1" customHeight="1">
      <c r="C10437" s="701"/>
      <c r="D10437" s="811"/>
      <c r="E10437" s="1276">
        <f>[11]building!Y10768</f>
        <v>0</v>
      </c>
      <c r="F10437" s="748">
        <f t="shared" si="402"/>
        <v>0</v>
      </c>
      <c r="G10437" s="1205"/>
      <c r="H10437" s="1055"/>
      <c r="I10437" s="1055"/>
      <c r="J10437" s="1055"/>
      <c r="K10437" s="1205"/>
      <c r="L10437" s="1055"/>
      <c r="M10437" s="1205"/>
      <c r="N10437" s="1054"/>
      <c r="O10437" s="1207"/>
      <c r="Q10437" s="1207"/>
    </row>
    <row r="10438" spans="3:17" s="700" customFormat="1" ht="70.5" hidden="1" customHeight="1">
      <c r="C10438" s="701"/>
      <c r="D10438" s="811"/>
      <c r="E10438" s="1276">
        <f>[11]building!Y10769</f>
        <v>0</v>
      </c>
      <c r="F10438" s="748">
        <f t="shared" si="402"/>
        <v>0</v>
      </c>
      <c r="G10438" s="1205"/>
      <c r="H10438" s="1055"/>
      <c r="I10438" s="1055"/>
      <c r="J10438" s="1055"/>
      <c r="K10438" s="1205"/>
      <c r="L10438" s="1055"/>
      <c r="M10438" s="1205"/>
      <c r="N10438" s="1054"/>
      <c r="O10438" s="1207"/>
      <c r="Q10438" s="1207"/>
    </row>
    <row r="10439" spans="3:17" s="700" customFormat="1" ht="70.5" hidden="1" customHeight="1">
      <c r="C10439" s="701"/>
      <c r="D10439" s="811"/>
      <c r="E10439" s="1276">
        <f>[11]building!Y10770</f>
        <v>0</v>
      </c>
      <c r="F10439" s="748">
        <f t="shared" si="402"/>
        <v>0</v>
      </c>
      <c r="G10439" s="1205"/>
      <c r="H10439" s="1055"/>
      <c r="I10439" s="1055"/>
      <c r="J10439" s="1055"/>
      <c r="K10439" s="1205"/>
      <c r="L10439" s="1055"/>
      <c r="M10439" s="1205"/>
      <c r="N10439" s="1054"/>
      <c r="O10439" s="1207"/>
      <c r="Q10439" s="1207"/>
    </row>
    <row r="10440" spans="3:17" s="700" customFormat="1" ht="70.5" hidden="1" customHeight="1">
      <c r="C10440" s="701"/>
      <c r="D10440" s="811"/>
      <c r="E10440" s="1276">
        <f>[11]building!Y10771</f>
        <v>0</v>
      </c>
      <c r="F10440" s="748">
        <f t="shared" si="402"/>
        <v>0</v>
      </c>
      <c r="G10440" s="1205"/>
      <c r="H10440" s="1055"/>
      <c r="I10440" s="1055"/>
      <c r="J10440" s="1055"/>
      <c r="K10440" s="1205"/>
      <c r="L10440" s="1055"/>
      <c r="M10440" s="1205"/>
      <c r="N10440" s="1054"/>
      <c r="O10440" s="1207"/>
      <c r="Q10440" s="1207"/>
    </row>
    <row r="10441" spans="3:17" s="700" customFormat="1" ht="70.5" hidden="1" customHeight="1">
      <c r="C10441" s="701"/>
      <c r="D10441" s="811"/>
      <c r="E10441" s="1276">
        <f>[11]building!Y10772</f>
        <v>0</v>
      </c>
      <c r="F10441" s="748">
        <f t="shared" si="402"/>
        <v>0</v>
      </c>
      <c r="G10441" s="1205"/>
      <c r="H10441" s="1055"/>
      <c r="I10441" s="1055"/>
      <c r="J10441" s="1055"/>
      <c r="K10441" s="1205"/>
      <c r="L10441" s="1055"/>
      <c r="M10441" s="1205"/>
      <c r="N10441" s="1054"/>
      <c r="O10441" s="1207"/>
      <c r="Q10441" s="1207"/>
    </row>
    <row r="10442" spans="3:17" s="700" customFormat="1" ht="70.5" hidden="1" customHeight="1">
      <c r="C10442" s="701"/>
      <c r="D10442" s="811"/>
      <c r="E10442" s="1276">
        <f>[11]building!Y10773</f>
        <v>0</v>
      </c>
      <c r="F10442" s="748">
        <f t="shared" si="402"/>
        <v>0</v>
      </c>
      <c r="G10442" s="1205"/>
      <c r="H10442" s="1055"/>
      <c r="I10442" s="1055"/>
      <c r="J10442" s="1055"/>
      <c r="K10442" s="1205"/>
      <c r="L10442" s="1055"/>
      <c r="M10442" s="1205"/>
      <c r="N10442" s="1054"/>
      <c r="O10442" s="1207"/>
      <c r="Q10442" s="1207"/>
    </row>
    <row r="10443" spans="3:17" s="700" customFormat="1" ht="70.5" hidden="1" customHeight="1">
      <c r="C10443" s="701"/>
      <c r="D10443" s="811"/>
      <c r="E10443" s="1276">
        <f>[11]building!Y10774</f>
        <v>0</v>
      </c>
      <c r="F10443" s="748">
        <f t="shared" si="402"/>
        <v>0</v>
      </c>
      <c r="G10443" s="1205"/>
      <c r="H10443" s="1055"/>
      <c r="I10443" s="1055"/>
      <c r="J10443" s="1055"/>
      <c r="K10443" s="1205"/>
      <c r="L10443" s="1055"/>
      <c r="M10443" s="1205"/>
      <c r="N10443" s="1054"/>
      <c r="O10443" s="1207"/>
      <c r="Q10443" s="1207"/>
    </row>
    <row r="10444" spans="3:17" s="700" customFormat="1" ht="70.5" hidden="1" customHeight="1">
      <c r="C10444" s="701"/>
      <c r="D10444" s="811"/>
      <c r="E10444" s="1276">
        <f>[11]building!Y10775</f>
        <v>0</v>
      </c>
      <c r="F10444" s="748">
        <f t="shared" si="402"/>
        <v>0</v>
      </c>
      <c r="G10444" s="1205"/>
      <c r="H10444" s="1055"/>
      <c r="I10444" s="1055"/>
      <c r="J10444" s="1055"/>
      <c r="K10444" s="1205"/>
      <c r="L10444" s="1055"/>
      <c r="M10444" s="1205"/>
      <c r="N10444" s="1054"/>
      <c r="O10444" s="1207"/>
      <c r="Q10444" s="1207"/>
    </row>
    <row r="10445" spans="3:17" s="700" customFormat="1" ht="70.5" hidden="1" customHeight="1">
      <c r="C10445" s="701"/>
      <c r="D10445" s="811"/>
      <c r="E10445" s="1276">
        <f>[11]building!Y10776</f>
        <v>0</v>
      </c>
      <c r="F10445" s="748">
        <f t="shared" si="402"/>
        <v>0</v>
      </c>
      <c r="G10445" s="1205"/>
      <c r="H10445" s="1055"/>
      <c r="I10445" s="1055"/>
      <c r="J10445" s="1055"/>
      <c r="K10445" s="1205"/>
      <c r="L10445" s="1055"/>
      <c r="M10445" s="1205"/>
      <c r="N10445" s="1054"/>
      <c r="O10445" s="1207"/>
      <c r="Q10445" s="1207"/>
    </row>
    <row r="10446" spans="3:17" s="700" customFormat="1" ht="70.5" hidden="1" customHeight="1">
      <c r="C10446" s="701"/>
      <c r="D10446" s="811"/>
      <c r="E10446" s="1276">
        <f>[11]building!Y10777</f>
        <v>0</v>
      </c>
      <c r="F10446" s="748">
        <f t="shared" si="402"/>
        <v>0</v>
      </c>
      <c r="G10446" s="1205"/>
      <c r="H10446" s="1055"/>
      <c r="I10446" s="1055"/>
      <c r="J10446" s="1055"/>
      <c r="K10446" s="1205"/>
      <c r="L10446" s="1055"/>
      <c r="M10446" s="1205"/>
      <c r="N10446" s="1054"/>
      <c r="O10446" s="1207"/>
      <c r="Q10446" s="1207"/>
    </row>
    <row r="10447" spans="3:17" s="700" customFormat="1" ht="70.5" hidden="1" customHeight="1">
      <c r="C10447" s="701"/>
      <c r="D10447" s="811"/>
      <c r="E10447" s="1276">
        <f>[11]building!Y10778</f>
        <v>0</v>
      </c>
      <c r="F10447" s="748">
        <f t="shared" si="402"/>
        <v>0</v>
      </c>
      <c r="G10447" s="1205"/>
      <c r="H10447" s="1055"/>
      <c r="I10447" s="1055"/>
      <c r="J10447" s="1055"/>
      <c r="K10447" s="1205"/>
      <c r="L10447" s="1055"/>
      <c r="M10447" s="1205"/>
      <c r="N10447" s="1054"/>
      <c r="O10447" s="1207"/>
      <c r="Q10447" s="1207"/>
    </row>
    <row r="10448" spans="3:17" s="700" customFormat="1" ht="70.5" hidden="1" customHeight="1">
      <c r="C10448" s="701"/>
      <c r="D10448" s="811"/>
      <c r="E10448" s="1276">
        <f>[11]building!Y10779</f>
        <v>0</v>
      </c>
      <c r="F10448" s="748">
        <f t="shared" si="402"/>
        <v>0</v>
      </c>
      <c r="G10448" s="1205"/>
      <c r="H10448" s="1055"/>
      <c r="I10448" s="1055"/>
      <c r="J10448" s="1055"/>
      <c r="K10448" s="1205"/>
      <c r="L10448" s="1055"/>
      <c r="M10448" s="1205"/>
      <c r="N10448" s="1054"/>
      <c r="O10448" s="1207"/>
      <c r="Q10448" s="1207"/>
    </row>
    <row r="10449" spans="3:17" s="700" customFormat="1" ht="70.5" hidden="1" customHeight="1">
      <c r="C10449" s="701"/>
      <c r="D10449" s="811"/>
      <c r="E10449" s="1276">
        <f>[11]building!Y10780</f>
        <v>0</v>
      </c>
      <c r="F10449" s="748">
        <f t="shared" si="402"/>
        <v>0</v>
      </c>
      <c r="G10449" s="1205"/>
      <c r="H10449" s="1055"/>
      <c r="I10449" s="1055"/>
      <c r="J10449" s="1055"/>
      <c r="K10449" s="1205"/>
      <c r="L10449" s="1055"/>
      <c r="M10449" s="1205"/>
      <c r="N10449" s="1054"/>
      <c r="O10449" s="1207"/>
      <c r="Q10449" s="1207"/>
    </row>
    <row r="10450" spans="3:17" s="700" customFormat="1" ht="70.5" hidden="1" customHeight="1">
      <c r="C10450" s="701"/>
      <c r="D10450" s="811"/>
      <c r="E10450" s="1276">
        <f>[11]building!Y10781</f>
        <v>0</v>
      </c>
      <c r="F10450" s="748">
        <f t="shared" si="402"/>
        <v>0</v>
      </c>
      <c r="G10450" s="1205"/>
      <c r="H10450" s="1055"/>
      <c r="I10450" s="1055"/>
      <c r="J10450" s="1055"/>
      <c r="K10450" s="1205"/>
      <c r="L10450" s="1055"/>
      <c r="M10450" s="1205"/>
      <c r="N10450" s="1054"/>
      <c r="O10450" s="1207"/>
      <c r="Q10450" s="1207"/>
    </row>
    <row r="10451" spans="3:17" s="700" customFormat="1" ht="70.5" hidden="1" customHeight="1">
      <c r="C10451" s="701"/>
      <c r="D10451" s="811"/>
      <c r="E10451" s="1276">
        <f>[11]building!Y10782</f>
        <v>0</v>
      </c>
      <c r="F10451" s="748">
        <f t="shared" si="402"/>
        <v>0</v>
      </c>
      <c r="G10451" s="1205"/>
      <c r="H10451" s="1055"/>
      <c r="I10451" s="1055"/>
      <c r="J10451" s="1055"/>
      <c r="K10451" s="1205"/>
      <c r="L10451" s="1055"/>
      <c r="M10451" s="1205"/>
      <c r="N10451" s="1054"/>
      <c r="O10451" s="1207"/>
      <c r="Q10451" s="1207"/>
    </row>
    <row r="10452" spans="3:17" s="700" customFormat="1" ht="70.5" hidden="1" customHeight="1">
      <c r="C10452" s="701"/>
      <c r="D10452" s="811"/>
      <c r="E10452" s="1276">
        <f>[11]building!Y10783</f>
        <v>0</v>
      </c>
      <c r="F10452" s="748">
        <f t="shared" si="402"/>
        <v>0</v>
      </c>
      <c r="G10452" s="1205"/>
      <c r="H10452" s="1055"/>
      <c r="I10452" s="1055"/>
      <c r="J10452" s="1055"/>
      <c r="K10452" s="1205"/>
      <c r="L10452" s="1055"/>
      <c r="M10452" s="1205"/>
      <c r="N10452" s="1054"/>
      <c r="O10452" s="1207"/>
      <c r="Q10452" s="1207"/>
    </row>
    <row r="10453" spans="3:17" s="700" customFormat="1" ht="70.5" hidden="1" customHeight="1">
      <c r="C10453" s="701"/>
      <c r="D10453" s="811"/>
      <c r="E10453" s="1276">
        <f>[11]building!Y10784</f>
        <v>0</v>
      </c>
      <c r="F10453" s="748">
        <f t="shared" si="402"/>
        <v>0</v>
      </c>
      <c r="G10453" s="1205"/>
      <c r="H10453" s="1055"/>
      <c r="I10453" s="1055"/>
      <c r="J10453" s="1055"/>
      <c r="K10453" s="1205"/>
      <c r="L10453" s="1055"/>
      <c r="M10453" s="1205"/>
      <c r="N10453" s="1054"/>
      <c r="O10453" s="1207"/>
      <c r="Q10453" s="1207"/>
    </row>
    <row r="10454" spans="3:17" s="700" customFormat="1" ht="70.5" hidden="1" customHeight="1">
      <c r="C10454" s="701"/>
      <c r="D10454" s="811"/>
      <c r="E10454" s="1276">
        <f>[11]building!Y10785</f>
        <v>0</v>
      </c>
      <c r="F10454" s="748">
        <f t="shared" si="402"/>
        <v>0</v>
      </c>
      <c r="G10454" s="1205"/>
      <c r="H10454" s="1055"/>
      <c r="I10454" s="1055"/>
      <c r="J10454" s="1055"/>
      <c r="K10454" s="1205"/>
      <c r="L10454" s="1055"/>
      <c r="M10454" s="1205"/>
      <c r="N10454" s="1054"/>
      <c r="O10454" s="1207"/>
      <c r="Q10454" s="1207"/>
    </row>
    <row r="10455" spans="3:17" s="700" customFormat="1" ht="70.5" hidden="1" customHeight="1">
      <c r="C10455" s="701"/>
      <c r="D10455" s="811"/>
      <c r="E10455" s="1276">
        <f>[11]building!Y10786</f>
        <v>0</v>
      </c>
      <c r="F10455" s="748">
        <f t="shared" si="402"/>
        <v>0</v>
      </c>
      <c r="G10455" s="1205"/>
      <c r="H10455" s="1055"/>
      <c r="I10455" s="1055"/>
      <c r="J10455" s="1055"/>
      <c r="K10455" s="1205"/>
      <c r="L10455" s="1055"/>
      <c r="M10455" s="1205"/>
      <c r="N10455" s="1054"/>
      <c r="O10455" s="1207"/>
      <c r="Q10455" s="1207"/>
    </row>
    <row r="10456" spans="3:17" s="700" customFormat="1" ht="70.5" hidden="1" customHeight="1">
      <c r="C10456" s="701"/>
      <c r="D10456" s="811"/>
      <c r="E10456" s="1276">
        <f>[11]building!Y10787</f>
        <v>0</v>
      </c>
      <c r="F10456" s="748">
        <f t="shared" si="402"/>
        <v>0</v>
      </c>
      <c r="G10456" s="1205"/>
      <c r="H10456" s="1055"/>
      <c r="I10456" s="1055"/>
      <c r="J10456" s="1055"/>
      <c r="K10456" s="1205"/>
      <c r="L10456" s="1055"/>
      <c r="M10456" s="1205"/>
      <c r="N10456" s="1054"/>
      <c r="O10456" s="1207"/>
      <c r="Q10456" s="1207"/>
    </row>
    <row r="10457" spans="3:17" s="700" customFormat="1" ht="70.5" hidden="1" customHeight="1">
      <c r="C10457" s="701"/>
      <c r="D10457" s="811"/>
      <c r="E10457" s="1276">
        <f>[11]building!Y10788</f>
        <v>0</v>
      </c>
      <c r="F10457" s="748">
        <f t="shared" si="402"/>
        <v>0</v>
      </c>
      <c r="G10457" s="1205"/>
      <c r="H10457" s="1055"/>
      <c r="I10457" s="1055"/>
      <c r="J10457" s="1055"/>
      <c r="K10457" s="1205"/>
      <c r="L10457" s="1055"/>
      <c r="M10457" s="1205"/>
      <c r="N10457" s="1054"/>
      <c r="O10457" s="1207"/>
      <c r="Q10457" s="1207"/>
    </row>
    <row r="10458" spans="3:17" s="700" customFormat="1" ht="70.5" hidden="1" customHeight="1">
      <c r="C10458" s="701"/>
      <c r="D10458" s="811"/>
      <c r="E10458" s="1276">
        <f>[11]building!Y10789</f>
        <v>0</v>
      </c>
      <c r="F10458" s="748">
        <f t="shared" si="402"/>
        <v>0</v>
      </c>
      <c r="G10458" s="1205"/>
      <c r="H10458" s="1055"/>
      <c r="I10458" s="1055"/>
      <c r="J10458" s="1055"/>
      <c r="K10458" s="1205"/>
      <c r="L10458" s="1055"/>
      <c r="M10458" s="1205"/>
      <c r="N10458" s="1054"/>
      <c r="O10458" s="1207"/>
      <c r="Q10458" s="1207"/>
    </row>
    <row r="10459" spans="3:17" s="700" customFormat="1" ht="70.5" hidden="1" customHeight="1">
      <c r="C10459" s="701"/>
      <c r="D10459" s="811"/>
      <c r="E10459" s="1276">
        <f>[11]building!Y10790</f>
        <v>0</v>
      </c>
      <c r="F10459" s="748">
        <f t="shared" si="402"/>
        <v>0</v>
      </c>
      <c r="G10459" s="1205"/>
      <c r="H10459" s="1055"/>
      <c r="I10459" s="1055"/>
      <c r="J10459" s="1055"/>
      <c r="K10459" s="1205"/>
      <c r="L10459" s="1055"/>
      <c r="M10459" s="1205"/>
      <c r="N10459" s="1054"/>
      <c r="O10459" s="1207"/>
      <c r="Q10459" s="1207"/>
    </row>
    <row r="10460" spans="3:17" s="700" customFormat="1" ht="70.5" hidden="1" customHeight="1">
      <c r="C10460" s="701"/>
      <c r="D10460" s="811"/>
      <c r="E10460" s="1276">
        <f>[11]building!Y10791</f>
        <v>0</v>
      </c>
      <c r="F10460" s="748">
        <f t="shared" si="402"/>
        <v>0</v>
      </c>
      <c r="G10460" s="1205"/>
      <c r="H10460" s="1055"/>
      <c r="I10460" s="1055"/>
      <c r="J10460" s="1055"/>
      <c r="K10460" s="1205"/>
      <c r="L10460" s="1055"/>
      <c r="M10460" s="1205"/>
      <c r="N10460" s="1054"/>
      <c r="O10460" s="1207"/>
      <c r="Q10460" s="1207"/>
    </row>
    <row r="10461" spans="3:17" s="700" customFormat="1" ht="70.5" hidden="1" customHeight="1">
      <c r="C10461" s="701"/>
      <c r="D10461" s="811"/>
      <c r="E10461" s="1276">
        <f>[11]building!Y10792</f>
        <v>0</v>
      </c>
      <c r="F10461" s="748">
        <f t="shared" si="402"/>
        <v>0</v>
      </c>
      <c r="G10461" s="1205"/>
      <c r="H10461" s="1055"/>
      <c r="I10461" s="1055"/>
      <c r="J10461" s="1055"/>
      <c r="K10461" s="1205"/>
      <c r="L10461" s="1055"/>
      <c r="M10461" s="1205"/>
      <c r="N10461" s="1054"/>
      <c r="O10461" s="1207"/>
      <c r="Q10461" s="1207"/>
    </row>
    <row r="10462" spans="3:17" s="700" customFormat="1" ht="70.5" hidden="1" customHeight="1">
      <c r="C10462" s="701"/>
      <c r="D10462" s="811"/>
      <c r="E10462" s="1276">
        <f>[11]building!Y10793</f>
        <v>0</v>
      </c>
      <c r="F10462" s="748">
        <f t="shared" si="402"/>
        <v>0</v>
      </c>
      <c r="G10462" s="1205"/>
      <c r="H10462" s="1055"/>
      <c r="I10462" s="1055"/>
      <c r="J10462" s="1055"/>
      <c r="K10462" s="1205"/>
      <c r="L10462" s="1055"/>
      <c r="M10462" s="1205"/>
      <c r="N10462" s="1054"/>
      <c r="O10462" s="1207"/>
      <c r="Q10462" s="1207"/>
    </row>
    <row r="10463" spans="3:17" s="700" customFormat="1" ht="70.5" hidden="1" customHeight="1">
      <c r="C10463" s="701"/>
      <c r="D10463" s="811"/>
      <c r="E10463" s="1276">
        <f>[11]building!Y10794</f>
        <v>0</v>
      </c>
      <c r="F10463" s="748">
        <f t="shared" si="402"/>
        <v>0</v>
      </c>
      <c r="G10463" s="1205"/>
      <c r="H10463" s="1055"/>
      <c r="I10463" s="1055"/>
      <c r="J10463" s="1055"/>
      <c r="K10463" s="1205"/>
      <c r="L10463" s="1055"/>
      <c r="M10463" s="1205"/>
      <c r="N10463" s="1054"/>
      <c r="O10463" s="1207"/>
      <c r="Q10463" s="1207"/>
    </row>
    <row r="10464" spans="3:17" s="700" customFormat="1" ht="70.5" hidden="1" customHeight="1">
      <c r="C10464" s="701"/>
      <c r="D10464" s="811"/>
      <c r="E10464" s="1276">
        <f>[11]building!Y10795</f>
        <v>0</v>
      </c>
      <c r="F10464" s="748">
        <f t="shared" si="402"/>
        <v>0</v>
      </c>
      <c r="G10464" s="1205"/>
      <c r="H10464" s="1055"/>
      <c r="I10464" s="1055"/>
      <c r="J10464" s="1055"/>
      <c r="K10464" s="1205"/>
      <c r="L10464" s="1055"/>
      <c r="M10464" s="1205"/>
      <c r="N10464" s="1054"/>
      <c r="O10464" s="1207"/>
      <c r="Q10464" s="1207"/>
    </row>
    <row r="10465" spans="3:17" s="700" customFormat="1" ht="70.5" hidden="1" customHeight="1">
      <c r="C10465" s="701"/>
      <c r="D10465" s="811"/>
      <c r="E10465" s="1276">
        <f>[11]building!Y10796</f>
        <v>0</v>
      </c>
      <c r="F10465" s="748">
        <f t="shared" si="402"/>
        <v>0</v>
      </c>
      <c r="G10465" s="1205"/>
      <c r="H10465" s="1055"/>
      <c r="I10465" s="1055"/>
      <c r="J10465" s="1055"/>
      <c r="K10465" s="1205"/>
      <c r="L10465" s="1055"/>
      <c r="M10465" s="1205"/>
      <c r="N10465" s="1054"/>
      <c r="O10465" s="1207"/>
      <c r="Q10465" s="1207"/>
    </row>
    <row r="10466" spans="3:17" s="700" customFormat="1" ht="70.5" hidden="1" customHeight="1">
      <c r="C10466" s="701"/>
      <c r="D10466" s="811"/>
      <c r="E10466" s="1276">
        <f>[11]building!Y10797</f>
        <v>0</v>
      </c>
      <c r="F10466" s="748">
        <f t="shared" si="402"/>
        <v>0</v>
      </c>
      <c r="G10466" s="1205"/>
      <c r="H10466" s="1055"/>
      <c r="I10466" s="1055"/>
      <c r="J10466" s="1055"/>
      <c r="K10466" s="1205"/>
      <c r="L10466" s="1055"/>
      <c r="M10466" s="1205"/>
      <c r="N10466" s="1054"/>
      <c r="O10466" s="1207"/>
      <c r="Q10466" s="1207"/>
    </row>
    <row r="10467" spans="3:17" s="700" customFormat="1" ht="70.5" hidden="1" customHeight="1">
      <c r="C10467" s="701"/>
      <c r="D10467" s="811"/>
      <c r="E10467" s="1276">
        <f>[11]building!Y10798</f>
        <v>0</v>
      </c>
      <c r="F10467" s="748">
        <f t="shared" si="402"/>
        <v>0</v>
      </c>
      <c r="G10467" s="1205"/>
      <c r="H10467" s="1055"/>
      <c r="I10467" s="1055"/>
      <c r="J10467" s="1055"/>
      <c r="K10467" s="1205"/>
      <c r="L10467" s="1055"/>
      <c r="M10467" s="1205"/>
      <c r="N10467" s="1054"/>
      <c r="O10467" s="1207"/>
      <c r="Q10467" s="1207"/>
    </row>
    <row r="10468" spans="3:17" s="700" customFormat="1" ht="70.5" hidden="1" customHeight="1">
      <c r="C10468" s="701"/>
      <c r="D10468" s="811"/>
      <c r="E10468" s="1276">
        <f>[11]building!Y10799</f>
        <v>0</v>
      </c>
      <c r="F10468" s="748">
        <f t="shared" si="402"/>
        <v>0</v>
      </c>
      <c r="G10468" s="1205"/>
      <c r="H10468" s="1055"/>
      <c r="I10468" s="1055"/>
      <c r="J10468" s="1055"/>
      <c r="K10468" s="1205"/>
      <c r="L10468" s="1055"/>
      <c r="M10468" s="1205"/>
      <c r="N10468" s="1054"/>
      <c r="O10468" s="1207"/>
      <c r="Q10468" s="1207"/>
    </row>
    <row r="10469" spans="3:17" s="700" customFormat="1" ht="70.5" hidden="1" customHeight="1">
      <c r="C10469" s="701"/>
      <c r="D10469" s="811"/>
      <c r="E10469" s="1276">
        <f>[11]building!Y10800</f>
        <v>0</v>
      </c>
      <c r="F10469" s="748">
        <f t="shared" si="402"/>
        <v>0</v>
      </c>
      <c r="G10469" s="1205"/>
      <c r="H10469" s="1055"/>
      <c r="I10469" s="1055"/>
      <c r="J10469" s="1055"/>
      <c r="K10469" s="1205"/>
      <c r="L10469" s="1055"/>
      <c r="M10469" s="1205"/>
      <c r="N10469" s="1054"/>
      <c r="O10469" s="1207"/>
      <c r="Q10469" s="1207"/>
    </row>
    <row r="10470" spans="3:17" s="700" customFormat="1" ht="70.5" hidden="1" customHeight="1">
      <c r="C10470" s="701"/>
      <c r="D10470" s="811"/>
      <c r="E10470" s="1276">
        <f>[11]building!Y10801</f>
        <v>0</v>
      </c>
      <c r="F10470" s="748">
        <f t="shared" si="402"/>
        <v>0</v>
      </c>
      <c r="G10470" s="1205"/>
      <c r="H10470" s="1055"/>
      <c r="I10470" s="1055"/>
      <c r="J10470" s="1055"/>
      <c r="K10470" s="1205"/>
      <c r="L10470" s="1055"/>
      <c r="M10470" s="1205"/>
      <c r="N10470" s="1054"/>
      <c r="O10470" s="1207"/>
      <c r="Q10470" s="1207"/>
    </row>
    <row r="10471" spans="3:17" s="700" customFormat="1" ht="70.5" hidden="1" customHeight="1">
      <c r="C10471" s="701"/>
      <c r="D10471" s="811"/>
      <c r="E10471" s="1276">
        <f>[11]building!Y10802</f>
        <v>0</v>
      </c>
      <c r="F10471" s="748">
        <f t="shared" si="402"/>
        <v>0</v>
      </c>
      <c r="G10471" s="1205"/>
      <c r="H10471" s="1055"/>
      <c r="I10471" s="1055"/>
      <c r="J10471" s="1055"/>
      <c r="K10471" s="1205"/>
      <c r="L10471" s="1055"/>
      <c r="M10471" s="1205"/>
      <c r="N10471" s="1054"/>
      <c r="O10471" s="1207"/>
      <c r="Q10471" s="1207"/>
    </row>
    <row r="10472" spans="3:17" s="700" customFormat="1" ht="70.5" hidden="1" customHeight="1">
      <c r="C10472" s="701"/>
      <c r="D10472" s="811"/>
      <c r="E10472" s="1276">
        <f>[11]building!Y10803</f>
        <v>0</v>
      </c>
      <c r="F10472" s="748">
        <f t="shared" si="402"/>
        <v>0</v>
      </c>
      <c r="G10472" s="1205"/>
      <c r="H10472" s="1055"/>
      <c r="I10472" s="1055"/>
      <c r="J10472" s="1055"/>
      <c r="K10472" s="1205"/>
      <c r="L10472" s="1055"/>
      <c r="M10472" s="1205"/>
      <c r="N10472" s="1054"/>
      <c r="O10472" s="1207"/>
      <c r="Q10472" s="1207"/>
    </row>
    <row r="10473" spans="3:17" s="700" customFormat="1" ht="70.5" hidden="1" customHeight="1">
      <c r="C10473" s="701"/>
      <c r="D10473" s="811"/>
      <c r="E10473" s="1276">
        <f>[11]building!Y10804</f>
        <v>0</v>
      </c>
      <c r="F10473" s="748">
        <f t="shared" si="402"/>
        <v>0</v>
      </c>
      <c r="G10473" s="1205"/>
      <c r="H10473" s="1055"/>
      <c r="I10473" s="1055"/>
      <c r="J10473" s="1055"/>
      <c r="K10473" s="1205"/>
      <c r="L10473" s="1055"/>
      <c r="M10473" s="1205"/>
      <c r="N10473" s="1054"/>
      <c r="O10473" s="1207"/>
      <c r="Q10473" s="1207"/>
    </row>
    <row r="10474" spans="3:17" s="700" customFormat="1" ht="70.5" hidden="1" customHeight="1">
      <c r="C10474" s="701"/>
      <c r="D10474" s="811"/>
      <c r="E10474" s="1276">
        <f>[11]building!Y10805</f>
        <v>0</v>
      </c>
      <c r="F10474" s="748">
        <f t="shared" si="402"/>
        <v>0</v>
      </c>
      <c r="G10474" s="1205"/>
      <c r="H10474" s="1055"/>
      <c r="I10474" s="1055"/>
      <c r="J10474" s="1055"/>
      <c r="K10474" s="1205"/>
      <c r="L10474" s="1055"/>
      <c r="M10474" s="1205"/>
      <c r="N10474" s="1054"/>
      <c r="O10474" s="1207"/>
      <c r="Q10474" s="1207"/>
    </row>
    <row r="10475" spans="3:17" s="700" customFormat="1" ht="70.5" hidden="1" customHeight="1">
      <c r="C10475" s="701"/>
      <c r="D10475" s="811"/>
      <c r="E10475" s="1276">
        <f>[11]building!Y10806</f>
        <v>0</v>
      </c>
      <c r="F10475" s="748">
        <f t="shared" si="402"/>
        <v>0</v>
      </c>
      <c r="G10475" s="1205"/>
      <c r="H10475" s="1055"/>
      <c r="I10475" s="1055"/>
      <c r="J10475" s="1055"/>
      <c r="K10475" s="1205"/>
      <c r="L10475" s="1055"/>
      <c r="M10475" s="1205"/>
      <c r="N10475" s="1054"/>
      <c r="O10475" s="1207"/>
      <c r="Q10475" s="1207"/>
    </row>
    <row r="10476" spans="3:17" s="700" customFormat="1" ht="70.5" hidden="1" customHeight="1">
      <c r="C10476" s="701"/>
      <c r="D10476" s="811"/>
      <c r="E10476" s="1276">
        <f>[11]building!Y10807</f>
        <v>0</v>
      </c>
      <c r="F10476" s="748">
        <f t="shared" si="402"/>
        <v>0</v>
      </c>
      <c r="G10476" s="1205"/>
      <c r="H10476" s="1055"/>
      <c r="I10476" s="1055"/>
      <c r="J10476" s="1055"/>
      <c r="K10476" s="1205"/>
      <c r="L10476" s="1055"/>
      <c r="M10476" s="1205"/>
      <c r="N10476" s="1054"/>
      <c r="O10476" s="1207"/>
      <c r="Q10476" s="1207"/>
    </row>
    <row r="10477" spans="3:17" s="700" customFormat="1" ht="70.5" hidden="1" customHeight="1">
      <c r="C10477" s="701"/>
      <c r="D10477" s="811"/>
      <c r="E10477" s="1276">
        <f>[11]building!Y10808</f>
        <v>0</v>
      </c>
      <c r="F10477" s="748">
        <f t="shared" si="402"/>
        <v>0</v>
      </c>
      <c r="G10477" s="1205"/>
      <c r="H10477" s="1055"/>
      <c r="I10477" s="1055"/>
      <c r="J10477" s="1055"/>
      <c r="K10477" s="1205"/>
      <c r="L10477" s="1055"/>
      <c r="M10477" s="1205"/>
      <c r="N10477" s="1054"/>
      <c r="O10477" s="1207"/>
      <c r="Q10477" s="1207"/>
    </row>
    <row r="10478" spans="3:17" s="700" customFormat="1" ht="70.5" hidden="1" customHeight="1">
      <c r="C10478" s="701"/>
      <c r="D10478" s="811"/>
      <c r="E10478" s="1276">
        <f>[11]building!Y10809</f>
        <v>0</v>
      </c>
      <c r="F10478" s="748">
        <f t="shared" si="402"/>
        <v>0</v>
      </c>
      <c r="G10478" s="1205"/>
      <c r="H10478" s="1055"/>
      <c r="I10478" s="1055"/>
      <c r="J10478" s="1055"/>
      <c r="K10478" s="1205"/>
      <c r="L10478" s="1055"/>
      <c r="M10478" s="1205"/>
      <c r="N10478" s="1054"/>
      <c r="O10478" s="1207"/>
      <c r="Q10478" s="1207"/>
    </row>
    <row r="10479" spans="3:17" s="700" customFormat="1" ht="70.5" hidden="1" customHeight="1">
      <c r="C10479" s="701"/>
      <c r="D10479" s="811"/>
      <c r="E10479" s="1276">
        <f>[11]building!Y10810</f>
        <v>0</v>
      </c>
      <c r="F10479" s="748">
        <f t="shared" si="402"/>
        <v>0</v>
      </c>
      <c r="G10479" s="1205"/>
      <c r="H10479" s="1055"/>
      <c r="I10479" s="1055"/>
      <c r="J10479" s="1055"/>
      <c r="K10479" s="1205"/>
      <c r="L10479" s="1055"/>
      <c r="M10479" s="1205"/>
      <c r="N10479" s="1054"/>
      <c r="O10479" s="1207"/>
      <c r="Q10479" s="1207"/>
    </row>
    <row r="10480" spans="3:17" s="700" customFormat="1" ht="70.5" hidden="1" customHeight="1">
      <c r="C10480" s="701"/>
      <c r="D10480" s="811"/>
      <c r="E10480" s="1276">
        <f>[11]building!Y10811</f>
        <v>0</v>
      </c>
      <c r="F10480" s="748">
        <f t="shared" si="402"/>
        <v>0</v>
      </c>
      <c r="G10480" s="1205"/>
      <c r="H10480" s="1055"/>
      <c r="I10480" s="1055"/>
      <c r="J10480" s="1055"/>
      <c r="K10480" s="1205"/>
      <c r="L10480" s="1055"/>
      <c r="M10480" s="1205"/>
      <c r="N10480" s="1054"/>
      <c r="O10480" s="1207"/>
      <c r="Q10480" s="1207"/>
    </row>
    <row r="10481" spans="3:17" s="700" customFormat="1" ht="70.5" hidden="1" customHeight="1">
      <c r="C10481" s="701"/>
      <c r="D10481" s="811"/>
      <c r="E10481" s="1276">
        <f>[11]building!Y10812</f>
        <v>0</v>
      </c>
      <c r="F10481" s="748">
        <f t="shared" si="402"/>
        <v>0</v>
      </c>
      <c r="G10481" s="1205"/>
      <c r="H10481" s="1055"/>
      <c r="I10481" s="1055"/>
      <c r="J10481" s="1055"/>
      <c r="K10481" s="1205"/>
      <c r="L10481" s="1055"/>
      <c r="M10481" s="1205"/>
      <c r="N10481" s="1054"/>
      <c r="O10481" s="1207"/>
      <c r="Q10481" s="1207"/>
    </row>
    <row r="10482" spans="3:17" s="700" customFormat="1" ht="70.5" hidden="1" customHeight="1">
      <c r="C10482" s="701"/>
      <c r="D10482" s="811"/>
      <c r="E10482" s="1276">
        <f>[11]building!Y10813</f>
        <v>0</v>
      </c>
      <c r="F10482" s="748">
        <f t="shared" si="402"/>
        <v>0</v>
      </c>
      <c r="G10482" s="1205"/>
      <c r="H10482" s="1055"/>
      <c r="I10482" s="1055"/>
      <c r="J10482" s="1055"/>
      <c r="K10482" s="1205"/>
      <c r="L10482" s="1055"/>
      <c r="M10482" s="1205"/>
      <c r="N10482" s="1054"/>
      <c r="O10482" s="1207"/>
      <c r="Q10482" s="1207"/>
    </row>
    <row r="10483" spans="3:17" s="700" customFormat="1" ht="70.5" hidden="1" customHeight="1">
      <c r="C10483" s="701"/>
      <c r="D10483" s="811"/>
      <c r="E10483" s="1276">
        <f>[11]building!Y10814</f>
        <v>0</v>
      </c>
      <c r="F10483" s="748">
        <f t="shared" si="402"/>
        <v>0</v>
      </c>
      <c r="G10483" s="1205"/>
      <c r="H10483" s="1055"/>
      <c r="I10483" s="1055"/>
      <c r="J10483" s="1055"/>
      <c r="K10483" s="1205"/>
      <c r="L10483" s="1055"/>
      <c r="M10483" s="1205"/>
      <c r="N10483" s="1054"/>
      <c r="O10483" s="1207"/>
      <c r="Q10483" s="1207"/>
    </row>
    <row r="10484" spans="3:17" s="700" customFormat="1" ht="70.5" hidden="1" customHeight="1">
      <c r="C10484" s="701"/>
      <c r="D10484" s="811"/>
      <c r="E10484" s="1276">
        <f>[11]building!Y10815</f>
        <v>0</v>
      </c>
      <c r="F10484" s="748">
        <f t="shared" si="402"/>
        <v>0</v>
      </c>
      <c r="G10484" s="1205"/>
      <c r="H10484" s="1055"/>
      <c r="I10484" s="1055"/>
      <c r="J10484" s="1055"/>
      <c r="K10484" s="1205"/>
      <c r="L10484" s="1055"/>
      <c r="M10484" s="1205"/>
      <c r="N10484" s="1054"/>
      <c r="O10484" s="1207"/>
      <c r="Q10484" s="1207"/>
    </row>
    <row r="10485" spans="3:17" s="700" customFormat="1" ht="70.5" hidden="1" customHeight="1">
      <c r="C10485" s="701"/>
      <c r="D10485" s="811"/>
      <c r="E10485" s="1276">
        <f>[11]building!Y10816</f>
        <v>0</v>
      </c>
      <c r="F10485" s="748">
        <f t="shared" si="402"/>
        <v>0</v>
      </c>
      <c r="G10485" s="1205"/>
      <c r="H10485" s="1055"/>
      <c r="I10485" s="1055"/>
      <c r="J10485" s="1055"/>
      <c r="K10485" s="1205"/>
      <c r="L10485" s="1055"/>
      <c r="M10485" s="1205"/>
      <c r="N10485" s="1054"/>
      <c r="O10485" s="1207"/>
      <c r="Q10485" s="1207"/>
    </row>
    <row r="10486" spans="3:17" s="700" customFormat="1" ht="70.5" hidden="1" customHeight="1">
      <c r="C10486" s="701"/>
      <c r="D10486" s="811"/>
      <c r="E10486" s="1276">
        <f>[11]building!Y10817</f>
        <v>0</v>
      </c>
      <c r="F10486" s="748">
        <f t="shared" si="402"/>
        <v>0</v>
      </c>
      <c r="G10486" s="1205"/>
      <c r="H10486" s="1055"/>
      <c r="I10486" s="1055"/>
      <c r="J10486" s="1055"/>
      <c r="K10486" s="1205"/>
      <c r="L10486" s="1055"/>
      <c r="M10486" s="1205"/>
      <c r="N10486" s="1054"/>
      <c r="O10486" s="1207"/>
      <c r="Q10486" s="1207"/>
    </row>
    <row r="10487" spans="3:17" s="700" customFormat="1" ht="70.5" hidden="1" customHeight="1">
      <c r="C10487" s="701"/>
      <c r="D10487" s="811"/>
      <c r="E10487" s="1276">
        <f>[11]building!Y10818</f>
        <v>0</v>
      </c>
      <c r="F10487" s="748">
        <f t="shared" si="402"/>
        <v>0</v>
      </c>
      <c r="G10487" s="1205"/>
      <c r="H10487" s="1055"/>
      <c r="I10487" s="1055"/>
      <c r="J10487" s="1055"/>
      <c r="K10487" s="1205"/>
      <c r="L10487" s="1055"/>
      <c r="M10487" s="1205"/>
      <c r="N10487" s="1054"/>
      <c r="O10487" s="1207"/>
      <c r="Q10487" s="1207"/>
    </row>
    <row r="10488" spans="3:17" s="700" customFormat="1" ht="70.5" hidden="1" customHeight="1">
      <c r="C10488" s="701"/>
      <c r="D10488" s="811"/>
      <c r="E10488" s="1276">
        <f>[11]building!Y10819</f>
        <v>0</v>
      </c>
      <c r="F10488" s="748">
        <f t="shared" si="402"/>
        <v>0</v>
      </c>
      <c r="G10488" s="1205"/>
      <c r="H10488" s="1055"/>
      <c r="I10488" s="1055"/>
      <c r="J10488" s="1055"/>
      <c r="K10488" s="1205"/>
      <c r="L10488" s="1055"/>
      <c r="M10488" s="1205"/>
      <c r="N10488" s="1054"/>
      <c r="O10488" s="1207"/>
      <c r="Q10488" s="1207"/>
    </row>
    <row r="10489" spans="3:17" s="700" customFormat="1" ht="70.5" hidden="1" customHeight="1">
      <c r="C10489" s="701"/>
      <c r="D10489" s="811"/>
      <c r="E10489" s="1276">
        <f>[11]building!Y10820</f>
        <v>0</v>
      </c>
      <c r="F10489" s="748">
        <f t="shared" si="402"/>
        <v>0</v>
      </c>
      <c r="G10489" s="1205"/>
      <c r="H10489" s="1055"/>
      <c r="I10489" s="1055"/>
      <c r="J10489" s="1055"/>
      <c r="K10489" s="1205"/>
      <c r="L10489" s="1055"/>
      <c r="M10489" s="1205"/>
      <c r="N10489" s="1054"/>
      <c r="O10489" s="1207"/>
      <c r="Q10489" s="1207"/>
    </row>
    <row r="10490" spans="3:17" s="700" customFormat="1" ht="70.5" hidden="1" customHeight="1">
      <c r="C10490" s="701"/>
      <c r="D10490" s="811"/>
      <c r="E10490" s="1276">
        <f>[11]building!Y10821</f>
        <v>0</v>
      </c>
      <c r="F10490" s="748">
        <f t="shared" si="402"/>
        <v>0</v>
      </c>
      <c r="G10490" s="1205"/>
      <c r="H10490" s="1055"/>
      <c r="I10490" s="1055"/>
      <c r="J10490" s="1055"/>
      <c r="K10490" s="1205"/>
      <c r="L10490" s="1055"/>
      <c r="M10490" s="1205"/>
      <c r="N10490" s="1054"/>
      <c r="O10490" s="1207"/>
      <c r="Q10490" s="1207"/>
    </row>
    <row r="10491" spans="3:17" s="700" customFormat="1" ht="70.5" hidden="1" customHeight="1">
      <c r="C10491" s="701"/>
      <c r="D10491" s="811"/>
      <c r="E10491" s="1276">
        <f>[11]building!Y10822</f>
        <v>0</v>
      </c>
      <c r="F10491" s="748">
        <f t="shared" si="402"/>
        <v>0</v>
      </c>
      <c r="G10491" s="1205"/>
      <c r="H10491" s="1055"/>
      <c r="I10491" s="1055"/>
      <c r="J10491" s="1055"/>
      <c r="K10491" s="1205"/>
      <c r="L10491" s="1055"/>
      <c r="M10491" s="1205"/>
      <c r="N10491" s="1054"/>
      <c r="O10491" s="1207"/>
      <c r="Q10491" s="1207"/>
    </row>
    <row r="10492" spans="3:17" s="700" customFormat="1" ht="70.5" hidden="1" customHeight="1">
      <c r="C10492" s="701"/>
      <c r="D10492" s="811"/>
      <c r="E10492" s="1276">
        <f>[11]building!Y10823</f>
        <v>0</v>
      </c>
      <c r="F10492" s="748">
        <f t="shared" si="402"/>
        <v>0</v>
      </c>
      <c r="G10492" s="1205"/>
      <c r="H10492" s="1055"/>
      <c r="I10492" s="1055"/>
      <c r="J10492" s="1055"/>
      <c r="K10492" s="1205"/>
      <c r="L10492" s="1055"/>
      <c r="M10492" s="1205"/>
      <c r="N10492" s="1054"/>
      <c r="O10492" s="1207"/>
      <c r="Q10492" s="1207"/>
    </row>
    <row r="10493" spans="3:17" s="700" customFormat="1" ht="70.5" hidden="1" customHeight="1">
      <c r="C10493" s="701"/>
      <c r="D10493" s="811"/>
      <c r="E10493" s="1276">
        <f>[11]building!Y10824</f>
        <v>0</v>
      </c>
      <c r="F10493" s="748">
        <f t="shared" si="402"/>
        <v>0</v>
      </c>
      <c r="G10493" s="1205"/>
      <c r="H10493" s="1055"/>
      <c r="I10493" s="1055"/>
      <c r="J10493" s="1055"/>
      <c r="K10493" s="1205"/>
      <c r="L10493" s="1055"/>
      <c r="M10493" s="1205"/>
      <c r="N10493" s="1054"/>
      <c r="O10493" s="1207"/>
      <c r="Q10493" s="1207"/>
    </row>
    <row r="10494" spans="3:17" s="700" customFormat="1" ht="70.5" hidden="1" customHeight="1">
      <c r="C10494" s="701"/>
      <c r="D10494" s="811"/>
      <c r="E10494" s="1276">
        <f>[11]building!Y10825</f>
        <v>0</v>
      </c>
      <c r="F10494" s="748">
        <f t="shared" si="402"/>
        <v>0</v>
      </c>
      <c r="G10494" s="1205"/>
      <c r="H10494" s="1055"/>
      <c r="I10494" s="1055"/>
      <c r="J10494" s="1055"/>
      <c r="K10494" s="1205"/>
      <c r="L10494" s="1055"/>
      <c r="M10494" s="1205"/>
      <c r="N10494" s="1054"/>
      <c r="O10494" s="1207"/>
      <c r="Q10494" s="1207"/>
    </row>
    <row r="10495" spans="3:17" s="700" customFormat="1" ht="70.5" hidden="1" customHeight="1">
      <c r="C10495" s="701"/>
      <c r="D10495" s="811"/>
      <c r="E10495" s="1276">
        <f>[11]building!Y10826</f>
        <v>0</v>
      </c>
      <c r="F10495" s="748">
        <f t="shared" si="402"/>
        <v>0</v>
      </c>
      <c r="G10495" s="1205"/>
      <c r="H10495" s="1055"/>
      <c r="I10495" s="1055"/>
      <c r="J10495" s="1055"/>
      <c r="K10495" s="1205"/>
      <c r="L10495" s="1055"/>
      <c r="M10495" s="1205"/>
      <c r="N10495" s="1054"/>
      <c r="O10495" s="1207"/>
      <c r="Q10495" s="1207"/>
    </row>
    <row r="10496" spans="3:17" s="700" customFormat="1" ht="70.5" hidden="1" customHeight="1">
      <c r="C10496" s="701"/>
      <c r="D10496" s="811"/>
      <c r="E10496" s="1276">
        <f>[11]building!Y10827</f>
        <v>0</v>
      </c>
      <c r="F10496" s="748">
        <f t="shared" ref="F10496:F10559" si="403">E10496*C10496</f>
        <v>0</v>
      </c>
      <c r="G10496" s="1205"/>
      <c r="H10496" s="1055"/>
      <c r="I10496" s="1055"/>
      <c r="J10496" s="1055"/>
      <c r="K10496" s="1205"/>
      <c r="L10496" s="1055"/>
      <c r="M10496" s="1205"/>
      <c r="N10496" s="1054"/>
      <c r="O10496" s="1207"/>
      <c r="Q10496" s="1207"/>
    </row>
    <row r="10497" spans="3:17" s="700" customFormat="1" ht="70.5" hidden="1" customHeight="1">
      <c r="C10497" s="701"/>
      <c r="D10497" s="811"/>
      <c r="E10497" s="1276">
        <f>[11]building!Y10828</f>
        <v>0</v>
      </c>
      <c r="F10497" s="748">
        <f t="shared" si="403"/>
        <v>0</v>
      </c>
      <c r="G10497" s="1205"/>
      <c r="H10497" s="1055"/>
      <c r="I10497" s="1055"/>
      <c r="J10497" s="1055"/>
      <c r="K10497" s="1205"/>
      <c r="L10497" s="1055"/>
      <c r="M10497" s="1205"/>
      <c r="N10497" s="1054"/>
      <c r="O10497" s="1207"/>
      <c r="Q10497" s="1207"/>
    </row>
    <row r="10498" spans="3:17" s="700" customFormat="1" ht="70.5" hidden="1" customHeight="1">
      <c r="C10498" s="701"/>
      <c r="D10498" s="811"/>
      <c r="E10498" s="1276">
        <f>[11]building!Y10829</f>
        <v>0</v>
      </c>
      <c r="F10498" s="748">
        <f t="shared" si="403"/>
        <v>0</v>
      </c>
      <c r="G10498" s="1205"/>
      <c r="H10498" s="1055"/>
      <c r="I10498" s="1055"/>
      <c r="J10498" s="1055"/>
      <c r="K10498" s="1205"/>
      <c r="L10498" s="1055"/>
      <c r="M10498" s="1205"/>
      <c r="N10498" s="1054"/>
      <c r="O10498" s="1207"/>
      <c r="Q10498" s="1207"/>
    </row>
    <row r="10499" spans="3:17" s="700" customFormat="1" ht="70.5" hidden="1" customHeight="1">
      <c r="C10499" s="701"/>
      <c r="D10499" s="811"/>
      <c r="E10499" s="1276">
        <f>[11]building!Y10830</f>
        <v>0</v>
      </c>
      <c r="F10499" s="748">
        <f t="shared" si="403"/>
        <v>0</v>
      </c>
      <c r="G10499" s="1205"/>
      <c r="H10499" s="1055"/>
      <c r="I10499" s="1055"/>
      <c r="J10499" s="1055"/>
      <c r="K10499" s="1205"/>
      <c r="L10499" s="1055"/>
      <c r="M10499" s="1205"/>
      <c r="N10499" s="1054"/>
      <c r="O10499" s="1207"/>
      <c r="Q10499" s="1207"/>
    </row>
    <row r="10500" spans="3:17" s="700" customFormat="1" ht="70.5" hidden="1" customHeight="1">
      <c r="C10500" s="701"/>
      <c r="D10500" s="811"/>
      <c r="E10500" s="1276">
        <f>[11]building!Y10831</f>
        <v>0</v>
      </c>
      <c r="F10500" s="748">
        <f t="shared" si="403"/>
        <v>0</v>
      </c>
      <c r="G10500" s="1205"/>
      <c r="H10500" s="1055"/>
      <c r="I10500" s="1055"/>
      <c r="J10500" s="1055"/>
      <c r="K10500" s="1205"/>
      <c r="L10500" s="1055"/>
      <c r="M10500" s="1205"/>
      <c r="N10500" s="1054"/>
      <c r="O10500" s="1207"/>
      <c r="Q10500" s="1207"/>
    </row>
    <row r="10501" spans="3:17" s="700" customFormat="1" ht="70.5" hidden="1" customHeight="1">
      <c r="C10501" s="701"/>
      <c r="D10501" s="811"/>
      <c r="E10501" s="1276">
        <f>[11]building!Y10832</f>
        <v>0</v>
      </c>
      <c r="F10501" s="748">
        <f t="shared" si="403"/>
        <v>0</v>
      </c>
      <c r="G10501" s="1205"/>
      <c r="H10501" s="1055"/>
      <c r="I10501" s="1055"/>
      <c r="J10501" s="1055"/>
      <c r="K10501" s="1205"/>
      <c r="L10501" s="1055"/>
      <c r="M10501" s="1205"/>
      <c r="N10501" s="1054"/>
      <c r="O10501" s="1207"/>
      <c r="Q10501" s="1207"/>
    </row>
    <row r="10502" spans="3:17" s="700" customFormat="1" ht="70.5" hidden="1" customHeight="1">
      <c r="C10502" s="701"/>
      <c r="D10502" s="811"/>
      <c r="E10502" s="1276">
        <f>[11]building!Y10833</f>
        <v>0</v>
      </c>
      <c r="F10502" s="748">
        <f t="shared" si="403"/>
        <v>0</v>
      </c>
      <c r="G10502" s="1205"/>
      <c r="H10502" s="1055"/>
      <c r="I10502" s="1055"/>
      <c r="J10502" s="1055"/>
      <c r="K10502" s="1205"/>
      <c r="L10502" s="1055"/>
      <c r="M10502" s="1205"/>
      <c r="N10502" s="1054"/>
      <c r="O10502" s="1207"/>
      <c r="Q10502" s="1207"/>
    </row>
    <row r="10503" spans="3:17" s="700" customFormat="1" ht="70.5" hidden="1" customHeight="1">
      <c r="C10503" s="701"/>
      <c r="D10503" s="811"/>
      <c r="E10503" s="1276">
        <f>[11]building!Y10834</f>
        <v>0</v>
      </c>
      <c r="F10503" s="748">
        <f t="shared" si="403"/>
        <v>0</v>
      </c>
      <c r="G10503" s="1205"/>
      <c r="H10503" s="1055"/>
      <c r="I10503" s="1055"/>
      <c r="J10503" s="1055"/>
      <c r="K10503" s="1205"/>
      <c r="L10503" s="1055"/>
      <c r="M10503" s="1205"/>
      <c r="N10503" s="1054"/>
      <c r="O10503" s="1207"/>
      <c r="Q10503" s="1207"/>
    </row>
    <row r="10504" spans="3:17" s="700" customFormat="1" ht="70.5" hidden="1" customHeight="1">
      <c r="C10504" s="701"/>
      <c r="D10504" s="811"/>
      <c r="E10504" s="1276">
        <f>[11]building!Y10835</f>
        <v>0</v>
      </c>
      <c r="F10504" s="748">
        <f t="shared" si="403"/>
        <v>0</v>
      </c>
      <c r="G10504" s="1205"/>
      <c r="H10504" s="1055"/>
      <c r="I10504" s="1055"/>
      <c r="J10504" s="1055"/>
      <c r="K10504" s="1205"/>
      <c r="L10504" s="1055"/>
      <c r="M10504" s="1205"/>
      <c r="N10504" s="1054"/>
      <c r="O10504" s="1207"/>
      <c r="Q10504" s="1207"/>
    </row>
    <row r="10505" spans="3:17" s="700" customFormat="1" ht="70.5" hidden="1" customHeight="1">
      <c r="C10505" s="701"/>
      <c r="D10505" s="811"/>
      <c r="E10505" s="1276">
        <f>[11]building!Y10836</f>
        <v>0</v>
      </c>
      <c r="F10505" s="748">
        <f t="shared" si="403"/>
        <v>0</v>
      </c>
      <c r="G10505" s="1205"/>
      <c r="H10505" s="1055"/>
      <c r="I10505" s="1055"/>
      <c r="J10505" s="1055"/>
      <c r="K10505" s="1205"/>
      <c r="L10505" s="1055"/>
      <c r="M10505" s="1205"/>
      <c r="N10505" s="1054"/>
      <c r="O10505" s="1207"/>
      <c r="Q10505" s="1207"/>
    </row>
    <row r="10506" spans="3:17" s="700" customFormat="1" ht="70.5" hidden="1" customHeight="1">
      <c r="C10506" s="701"/>
      <c r="D10506" s="811"/>
      <c r="E10506" s="1276">
        <f>[11]building!Y10837</f>
        <v>0</v>
      </c>
      <c r="F10506" s="748">
        <f t="shared" si="403"/>
        <v>0</v>
      </c>
      <c r="G10506" s="1205"/>
      <c r="H10506" s="1055"/>
      <c r="I10506" s="1055"/>
      <c r="J10506" s="1055"/>
      <c r="K10506" s="1205"/>
      <c r="L10506" s="1055"/>
      <c r="M10506" s="1205"/>
      <c r="N10506" s="1054"/>
      <c r="O10506" s="1207"/>
      <c r="Q10506" s="1207"/>
    </row>
    <row r="10507" spans="3:17" s="700" customFormat="1" ht="70.5" hidden="1" customHeight="1">
      <c r="C10507" s="701"/>
      <c r="D10507" s="811"/>
      <c r="E10507" s="1276">
        <f>[11]building!Y10838</f>
        <v>0</v>
      </c>
      <c r="F10507" s="748">
        <f t="shared" si="403"/>
        <v>0</v>
      </c>
      <c r="G10507" s="1205"/>
      <c r="H10507" s="1055"/>
      <c r="I10507" s="1055"/>
      <c r="J10507" s="1055"/>
      <c r="K10507" s="1205"/>
      <c r="L10507" s="1055"/>
      <c r="M10507" s="1205"/>
      <c r="N10507" s="1054"/>
      <c r="O10507" s="1207"/>
      <c r="Q10507" s="1207"/>
    </row>
    <row r="10508" spans="3:17" s="700" customFormat="1" ht="70.5" hidden="1" customHeight="1">
      <c r="C10508" s="701"/>
      <c r="D10508" s="811"/>
      <c r="E10508" s="1276">
        <f>[11]building!Y10839</f>
        <v>0</v>
      </c>
      <c r="F10508" s="748">
        <f t="shared" si="403"/>
        <v>0</v>
      </c>
      <c r="G10508" s="1205"/>
      <c r="H10508" s="1055"/>
      <c r="I10508" s="1055"/>
      <c r="J10508" s="1055"/>
      <c r="K10508" s="1205"/>
      <c r="L10508" s="1055"/>
      <c r="M10508" s="1205"/>
      <c r="N10508" s="1054"/>
      <c r="O10508" s="1207"/>
      <c r="Q10508" s="1207"/>
    </row>
    <row r="10509" spans="3:17" s="700" customFormat="1" ht="70.5" hidden="1" customHeight="1">
      <c r="C10509" s="701"/>
      <c r="D10509" s="811"/>
      <c r="E10509" s="1276">
        <f>[11]building!Y10840</f>
        <v>0</v>
      </c>
      <c r="F10509" s="748">
        <f t="shared" si="403"/>
        <v>0</v>
      </c>
      <c r="G10509" s="1205"/>
      <c r="H10509" s="1055"/>
      <c r="I10509" s="1055"/>
      <c r="J10509" s="1055"/>
      <c r="K10509" s="1205"/>
      <c r="L10509" s="1055"/>
      <c r="M10509" s="1205"/>
      <c r="N10509" s="1054"/>
      <c r="O10509" s="1207"/>
      <c r="Q10509" s="1207"/>
    </row>
    <row r="10510" spans="3:17" s="700" customFormat="1" ht="70.5" hidden="1" customHeight="1">
      <c r="C10510" s="701"/>
      <c r="D10510" s="811"/>
      <c r="E10510" s="1276">
        <f>[11]building!Y10841</f>
        <v>0</v>
      </c>
      <c r="F10510" s="748">
        <f t="shared" si="403"/>
        <v>0</v>
      </c>
      <c r="G10510" s="1205"/>
      <c r="H10510" s="1055"/>
      <c r="I10510" s="1055"/>
      <c r="J10510" s="1055"/>
      <c r="K10510" s="1205"/>
      <c r="L10510" s="1055"/>
      <c r="M10510" s="1205"/>
      <c r="N10510" s="1054"/>
      <c r="O10510" s="1207"/>
      <c r="Q10510" s="1207"/>
    </row>
    <row r="10511" spans="3:17" s="700" customFormat="1" ht="70.5" hidden="1" customHeight="1">
      <c r="C10511" s="701"/>
      <c r="D10511" s="811"/>
      <c r="E10511" s="1276">
        <f>[11]building!Y10842</f>
        <v>0</v>
      </c>
      <c r="F10511" s="748">
        <f t="shared" si="403"/>
        <v>0</v>
      </c>
      <c r="G10511" s="1205"/>
      <c r="H10511" s="1055"/>
      <c r="I10511" s="1055"/>
      <c r="J10511" s="1055"/>
      <c r="K10511" s="1205"/>
      <c r="L10511" s="1055"/>
      <c r="M10511" s="1205"/>
      <c r="N10511" s="1054"/>
      <c r="O10511" s="1207"/>
      <c r="Q10511" s="1207"/>
    </row>
    <row r="10512" spans="3:17" s="700" customFormat="1" ht="70.5" hidden="1" customHeight="1">
      <c r="C10512" s="701"/>
      <c r="D10512" s="811"/>
      <c r="E10512" s="1276">
        <f>[11]building!Y10843</f>
        <v>0</v>
      </c>
      <c r="F10512" s="748">
        <f t="shared" si="403"/>
        <v>0</v>
      </c>
      <c r="G10512" s="1205"/>
      <c r="H10512" s="1055"/>
      <c r="I10512" s="1055"/>
      <c r="J10512" s="1055"/>
      <c r="K10512" s="1205"/>
      <c r="L10512" s="1055"/>
      <c r="M10512" s="1205"/>
      <c r="N10512" s="1054"/>
      <c r="O10512" s="1207"/>
      <c r="Q10512" s="1207"/>
    </row>
    <row r="10513" spans="3:17" s="700" customFormat="1" ht="70.5" hidden="1" customHeight="1">
      <c r="C10513" s="701"/>
      <c r="D10513" s="811"/>
      <c r="E10513" s="1276">
        <f>[11]building!Y10844</f>
        <v>0</v>
      </c>
      <c r="F10513" s="748">
        <f t="shared" si="403"/>
        <v>0</v>
      </c>
      <c r="G10513" s="1205"/>
      <c r="H10513" s="1055"/>
      <c r="I10513" s="1055"/>
      <c r="J10513" s="1055"/>
      <c r="K10513" s="1205"/>
      <c r="L10513" s="1055"/>
      <c r="M10513" s="1205"/>
      <c r="N10513" s="1054"/>
      <c r="O10513" s="1207"/>
      <c r="Q10513" s="1207"/>
    </row>
    <row r="10514" spans="3:17" s="700" customFormat="1" ht="70.5" hidden="1" customHeight="1">
      <c r="C10514" s="701"/>
      <c r="D10514" s="811"/>
      <c r="E10514" s="1276">
        <f>[11]building!Y10845</f>
        <v>0</v>
      </c>
      <c r="F10514" s="748">
        <f t="shared" si="403"/>
        <v>0</v>
      </c>
      <c r="G10514" s="1205"/>
      <c r="H10514" s="1055"/>
      <c r="I10514" s="1055"/>
      <c r="J10514" s="1055"/>
      <c r="K10514" s="1205"/>
      <c r="L10514" s="1055"/>
      <c r="M10514" s="1205"/>
      <c r="N10514" s="1054"/>
      <c r="O10514" s="1207"/>
      <c r="Q10514" s="1207"/>
    </row>
    <row r="10515" spans="3:17" s="700" customFormat="1" ht="70.5" hidden="1" customHeight="1">
      <c r="C10515" s="701"/>
      <c r="D10515" s="811"/>
      <c r="E10515" s="1276">
        <f>[11]building!Y10846</f>
        <v>0</v>
      </c>
      <c r="F10515" s="748">
        <f t="shared" si="403"/>
        <v>0</v>
      </c>
      <c r="G10515" s="1205"/>
      <c r="H10515" s="1055"/>
      <c r="I10515" s="1055"/>
      <c r="J10515" s="1055"/>
      <c r="K10515" s="1205"/>
      <c r="L10515" s="1055"/>
      <c r="M10515" s="1205"/>
      <c r="N10515" s="1054"/>
      <c r="O10515" s="1207"/>
      <c r="Q10515" s="1207"/>
    </row>
    <row r="10516" spans="3:17" s="700" customFormat="1" ht="70.5" hidden="1" customHeight="1">
      <c r="C10516" s="701"/>
      <c r="D10516" s="811"/>
      <c r="E10516" s="1276">
        <f>[11]building!Y10847</f>
        <v>0</v>
      </c>
      <c r="F10516" s="748">
        <f t="shared" si="403"/>
        <v>0</v>
      </c>
      <c r="G10516" s="1205"/>
      <c r="H10516" s="1055"/>
      <c r="I10516" s="1055"/>
      <c r="J10516" s="1055"/>
      <c r="K10516" s="1205"/>
      <c r="L10516" s="1055"/>
      <c r="M10516" s="1205"/>
      <c r="N10516" s="1054"/>
      <c r="O10516" s="1207"/>
      <c r="Q10516" s="1207"/>
    </row>
    <row r="10517" spans="3:17" s="700" customFormat="1" ht="70.5" hidden="1" customHeight="1">
      <c r="C10517" s="701"/>
      <c r="D10517" s="811"/>
      <c r="E10517" s="1276">
        <f>[11]building!Y10848</f>
        <v>0</v>
      </c>
      <c r="F10517" s="748">
        <f t="shared" si="403"/>
        <v>0</v>
      </c>
      <c r="G10517" s="1205"/>
      <c r="H10517" s="1055"/>
      <c r="I10517" s="1055"/>
      <c r="J10517" s="1055"/>
      <c r="K10517" s="1205"/>
      <c r="L10517" s="1055"/>
      <c r="M10517" s="1205"/>
      <c r="N10517" s="1054"/>
      <c r="O10517" s="1207"/>
      <c r="Q10517" s="1207"/>
    </row>
    <row r="10518" spans="3:17" s="700" customFormat="1" ht="70.5" hidden="1" customHeight="1">
      <c r="C10518" s="701"/>
      <c r="D10518" s="811"/>
      <c r="E10518" s="1276">
        <f>[11]building!Y10849</f>
        <v>0</v>
      </c>
      <c r="F10518" s="748">
        <f t="shared" si="403"/>
        <v>0</v>
      </c>
      <c r="G10518" s="1205"/>
      <c r="H10518" s="1055"/>
      <c r="I10518" s="1055"/>
      <c r="J10518" s="1055"/>
      <c r="K10518" s="1205"/>
      <c r="L10518" s="1055"/>
      <c r="M10518" s="1205"/>
      <c r="N10518" s="1054"/>
      <c r="O10518" s="1207"/>
      <c r="Q10518" s="1207"/>
    </row>
    <row r="10519" spans="3:17" s="700" customFormat="1" ht="70.5" hidden="1" customHeight="1">
      <c r="C10519" s="701"/>
      <c r="D10519" s="811"/>
      <c r="E10519" s="1276">
        <f>[11]building!Y10850</f>
        <v>0</v>
      </c>
      <c r="F10519" s="748">
        <f t="shared" si="403"/>
        <v>0</v>
      </c>
      <c r="G10519" s="1205"/>
      <c r="H10519" s="1055"/>
      <c r="I10519" s="1055"/>
      <c r="J10519" s="1055"/>
      <c r="K10519" s="1205"/>
      <c r="L10519" s="1055"/>
      <c r="M10519" s="1205"/>
      <c r="N10519" s="1054"/>
      <c r="O10519" s="1207"/>
      <c r="Q10519" s="1207"/>
    </row>
    <row r="10520" spans="3:17" s="700" customFormat="1" ht="70.5" hidden="1" customHeight="1">
      <c r="C10520" s="701"/>
      <c r="D10520" s="811"/>
      <c r="E10520" s="1276">
        <f>[11]building!Y10851</f>
        <v>0</v>
      </c>
      <c r="F10520" s="748">
        <f t="shared" si="403"/>
        <v>0</v>
      </c>
      <c r="G10520" s="1205"/>
      <c r="H10520" s="1055"/>
      <c r="I10520" s="1055"/>
      <c r="J10520" s="1055"/>
      <c r="K10520" s="1205"/>
      <c r="L10520" s="1055"/>
      <c r="M10520" s="1205"/>
      <c r="N10520" s="1054"/>
      <c r="O10520" s="1207"/>
      <c r="Q10520" s="1207"/>
    </row>
    <row r="10521" spans="3:17" s="700" customFormat="1" ht="70.5" hidden="1" customHeight="1">
      <c r="C10521" s="701"/>
      <c r="D10521" s="811"/>
      <c r="E10521" s="1276">
        <f>[11]building!Y10852</f>
        <v>0</v>
      </c>
      <c r="F10521" s="748">
        <f t="shared" si="403"/>
        <v>0</v>
      </c>
      <c r="G10521" s="1205"/>
      <c r="H10521" s="1055"/>
      <c r="I10521" s="1055"/>
      <c r="J10521" s="1055"/>
      <c r="K10521" s="1205"/>
      <c r="L10521" s="1055"/>
      <c r="M10521" s="1205"/>
      <c r="N10521" s="1054"/>
      <c r="O10521" s="1207"/>
      <c r="Q10521" s="1207"/>
    </row>
    <row r="10522" spans="3:17" s="700" customFormat="1" ht="70.5" hidden="1" customHeight="1">
      <c r="C10522" s="701"/>
      <c r="D10522" s="811"/>
      <c r="E10522" s="1276">
        <f>[11]building!Y10853</f>
        <v>0</v>
      </c>
      <c r="F10522" s="748">
        <f t="shared" si="403"/>
        <v>0</v>
      </c>
      <c r="G10522" s="1205"/>
      <c r="H10522" s="1055"/>
      <c r="I10522" s="1055"/>
      <c r="J10522" s="1055"/>
      <c r="K10522" s="1205"/>
      <c r="L10522" s="1055"/>
      <c r="M10522" s="1205"/>
      <c r="N10522" s="1054"/>
      <c r="O10522" s="1207"/>
      <c r="Q10522" s="1207"/>
    </row>
    <row r="10523" spans="3:17" s="700" customFormat="1" ht="70.5" hidden="1" customHeight="1">
      <c r="C10523" s="701"/>
      <c r="D10523" s="811"/>
      <c r="E10523" s="1276">
        <f>[11]building!Y10854</f>
        <v>0</v>
      </c>
      <c r="F10523" s="748">
        <f t="shared" si="403"/>
        <v>0</v>
      </c>
      <c r="G10523" s="1205"/>
      <c r="H10523" s="1055"/>
      <c r="I10523" s="1055"/>
      <c r="J10523" s="1055"/>
      <c r="K10523" s="1205"/>
      <c r="L10523" s="1055"/>
      <c r="M10523" s="1205"/>
      <c r="N10523" s="1054"/>
      <c r="O10523" s="1207"/>
      <c r="Q10523" s="1207"/>
    </row>
    <row r="10524" spans="3:17" s="700" customFormat="1" ht="70.5" hidden="1" customHeight="1">
      <c r="C10524" s="701"/>
      <c r="D10524" s="811"/>
      <c r="E10524" s="1276">
        <f>[11]building!Y10855</f>
        <v>0</v>
      </c>
      <c r="F10524" s="748">
        <f t="shared" si="403"/>
        <v>0</v>
      </c>
      <c r="G10524" s="1205"/>
      <c r="H10524" s="1055"/>
      <c r="I10524" s="1055"/>
      <c r="J10524" s="1055"/>
      <c r="K10524" s="1205"/>
      <c r="L10524" s="1055"/>
      <c r="M10524" s="1205"/>
      <c r="N10524" s="1054"/>
      <c r="O10524" s="1207"/>
      <c r="Q10524" s="1207"/>
    </row>
    <row r="10525" spans="3:17" s="700" customFormat="1" ht="70.5" hidden="1" customHeight="1">
      <c r="C10525" s="701"/>
      <c r="D10525" s="811"/>
      <c r="E10525" s="1276">
        <f>[11]building!Y10856</f>
        <v>0</v>
      </c>
      <c r="F10525" s="748">
        <f t="shared" si="403"/>
        <v>0</v>
      </c>
      <c r="G10525" s="1205"/>
      <c r="H10525" s="1055"/>
      <c r="I10525" s="1055"/>
      <c r="J10525" s="1055"/>
      <c r="K10525" s="1205"/>
      <c r="L10525" s="1055"/>
      <c r="M10525" s="1205"/>
      <c r="N10525" s="1054"/>
      <c r="O10525" s="1207"/>
      <c r="Q10525" s="1207"/>
    </row>
    <row r="10526" spans="3:17" s="700" customFormat="1" ht="70.5" hidden="1" customHeight="1">
      <c r="C10526" s="701"/>
      <c r="D10526" s="811"/>
      <c r="E10526" s="1276">
        <f>[11]building!Y10857</f>
        <v>0</v>
      </c>
      <c r="F10526" s="748">
        <f t="shared" si="403"/>
        <v>0</v>
      </c>
      <c r="G10526" s="1205"/>
      <c r="H10526" s="1055"/>
      <c r="I10526" s="1055"/>
      <c r="J10526" s="1055"/>
      <c r="K10526" s="1205"/>
      <c r="L10526" s="1055"/>
      <c r="M10526" s="1205"/>
      <c r="N10526" s="1054"/>
      <c r="O10526" s="1207"/>
      <c r="Q10526" s="1207"/>
    </row>
    <row r="10527" spans="3:17" s="700" customFormat="1" ht="70.5" hidden="1" customHeight="1">
      <c r="C10527" s="701"/>
      <c r="D10527" s="811"/>
      <c r="E10527" s="1276">
        <f>[11]building!Y10858</f>
        <v>0</v>
      </c>
      <c r="F10527" s="748">
        <f t="shared" si="403"/>
        <v>0</v>
      </c>
      <c r="G10527" s="1205"/>
      <c r="H10527" s="1055"/>
      <c r="I10527" s="1055"/>
      <c r="J10527" s="1055"/>
      <c r="K10527" s="1205"/>
      <c r="L10527" s="1055"/>
      <c r="M10527" s="1205"/>
      <c r="N10527" s="1054"/>
      <c r="O10527" s="1207"/>
      <c r="Q10527" s="1207"/>
    </row>
    <row r="10528" spans="3:17" s="700" customFormat="1" ht="70.5" hidden="1" customHeight="1">
      <c r="C10528" s="701"/>
      <c r="D10528" s="811"/>
      <c r="E10528" s="1276">
        <f>[11]building!Y10859</f>
        <v>0</v>
      </c>
      <c r="F10528" s="748">
        <f t="shared" si="403"/>
        <v>0</v>
      </c>
      <c r="G10528" s="1205"/>
      <c r="H10528" s="1055"/>
      <c r="I10528" s="1055"/>
      <c r="J10528" s="1055"/>
      <c r="K10528" s="1205"/>
      <c r="L10528" s="1055"/>
      <c r="M10528" s="1205"/>
      <c r="N10528" s="1054"/>
      <c r="O10528" s="1207"/>
      <c r="Q10528" s="1207"/>
    </row>
    <row r="10529" spans="3:17" s="700" customFormat="1" ht="70.5" hidden="1" customHeight="1">
      <c r="C10529" s="701"/>
      <c r="D10529" s="811"/>
      <c r="E10529" s="1276">
        <f>[11]building!Y10860</f>
        <v>0</v>
      </c>
      <c r="F10529" s="748">
        <f t="shared" si="403"/>
        <v>0</v>
      </c>
      <c r="G10529" s="1205"/>
      <c r="H10529" s="1055"/>
      <c r="I10529" s="1055"/>
      <c r="J10529" s="1055"/>
      <c r="K10529" s="1205"/>
      <c r="L10529" s="1055"/>
      <c r="M10529" s="1205"/>
      <c r="N10529" s="1054"/>
      <c r="O10529" s="1207"/>
      <c r="Q10529" s="1207"/>
    </row>
    <row r="10530" spans="3:17" s="700" customFormat="1" ht="70.5" hidden="1" customHeight="1">
      <c r="C10530" s="701"/>
      <c r="D10530" s="811"/>
      <c r="E10530" s="1276">
        <f>[11]building!Y10861</f>
        <v>0</v>
      </c>
      <c r="F10530" s="748">
        <f t="shared" si="403"/>
        <v>0</v>
      </c>
      <c r="G10530" s="1205"/>
      <c r="H10530" s="1055"/>
      <c r="I10530" s="1055"/>
      <c r="J10530" s="1055"/>
      <c r="K10530" s="1205"/>
      <c r="L10530" s="1055"/>
      <c r="M10530" s="1205"/>
      <c r="N10530" s="1054"/>
      <c r="O10530" s="1207"/>
      <c r="Q10530" s="1207"/>
    </row>
    <row r="10531" spans="3:17" s="700" customFormat="1" ht="70.5" hidden="1" customHeight="1">
      <c r="C10531" s="701"/>
      <c r="D10531" s="811"/>
      <c r="E10531" s="1276">
        <f>[11]building!Y10862</f>
        <v>0</v>
      </c>
      <c r="F10531" s="748">
        <f t="shared" si="403"/>
        <v>0</v>
      </c>
      <c r="G10531" s="1205"/>
      <c r="H10531" s="1055"/>
      <c r="I10531" s="1055"/>
      <c r="J10531" s="1055"/>
      <c r="K10531" s="1205"/>
      <c r="L10531" s="1055"/>
      <c r="M10531" s="1205"/>
      <c r="N10531" s="1054"/>
      <c r="O10531" s="1207"/>
      <c r="Q10531" s="1207"/>
    </row>
    <row r="10532" spans="3:17" s="700" customFormat="1" ht="70.5" hidden="1" customHeight="1">
      <c r="C10532" s="701"/>
      <c r="D10532" s="811"/>
      <c r="E10532" s="1276">
        <f>[11]building!Y10863</f>
        <v>0</v>
      </c>
      <c r="F10532" s="748">
        <f t="shared" si="403"/>
        <v>0</v>
      </c>
      <c r="G10532" s="1205"/>
      <c r="H10532" s="1055"/>
      <c r="I10532" s="1055"/>
      <c r="J10532" s="1055"/>
      <c r="K10532" s="1205"/>
      <c r="L10532" s="1055"/>
      <c r="M10532" s="1205"/>
      <c r="N10532" s="1054"/>
      <c r="O10532" s="1207"/>
      <c r="Q10532" s="1207"/>
    </row>
    <row r="10533" spans="3:17" s="700" customFormat="1" ht="70.5" hidden="1" customHeight="1">
      <c r="C10533" s="701"/>
      <c r="D10533" s="811"/>
      <c r="E10533" s="1276">
        <f>[11]building!Y10864</f>
        <v>0</v>
      </c>
      <c r="F10533" s="748">
        <f t="shared" si="403"/>
        <v>0</v>
      </c>
      <c r="G10533" s="1205"/>
      <c r="H10533" s="1055"/>
      <c r="I10533" s="1055"/>
      <c r="J10533" s="1055"/>
      <c r="K10533" s="1205"/>
      <c r="L10533" s="1055"/>
      <c r="M10533" s="1205"/>
      <c r="N10533" s="1054"/>
      <c r="O10533" s="1207"/>
      <c r="Q10533" s="1207"/>
    </row>
    <row r="10534" spans="3:17" s="700" customFormat="1" ht="70.5" hidden="1" customHeight="1">
      <c r="C10534" s="701"/>
      <c r="D10534" s="811"/>
      <c r="E10534" s="1276">
        <f>[11]building!Y10865</f>
        <v>0</v>
      </c>
      <c r="F10534" s="748">
        <f t="shared" si="403"/>
        <v>0</v>
      </c>
      <c r="G10534" s="1205"/>
      <c r="H10534" s="1055"/>
      <c r="I10534" s="1055"/>
      <c r="J10534" s="1055"/>
      <c r="K10534" s="1205"/>
      <c r="L10534" s="1055"/>
      <c r="M10534" s="1205"/>
      <c r="N10534" s="1054"/>
      <c r="O10534" s="1207"/>
      <c r="Q10534" s="1207"/>
    </row>
    <row r="10535" spans="3:17" s="700" customFormat="1" ht="70.5" hidden="1" customHeight="1">
      <c r="C10535" s="701"/>
      <c r="D10535" s="811"/>
      <c r="E10535" s="1276">
        <f>[11]building!Y10866</f>
        <v>0</v>
      </c>
      <c r="F10535" s="748">
        <f t="shared" si="403"/>
        <v>0</v>
      </c>
      <c r="G10535" s="1205"/>
      <c r="H10535" s="1055"/>
      <c r="I10535" s="1055"/>
      <c r="J10535" s="1055"/>
      <c r="K10535" s="1205"/>
      <c r="L10535" s="1055"/>
      <c r="M10535" s="1205"/>
      <c r="N10535" s="1054"/>
      <c r="O10535" s="1207"/>
      <c r="Q10535" s="1207"/>
    </row>
    <row r="10536" spans="3:17" s="700" customFormat="1" ht="70.5" hidden="1" customHeight="1">
      <c r="C10536" s="701"/>
      <c r="D10536" s="811"/>
      <c r="E10536" s="1276">
        <f>[11]building!Y10867</f>
        <v>0</v>
      </c>
      <c r="F10536" s="748">
        <f t="shared" si="403"/>
        <v>0</v>
      </c>
      <c r="G10536" s="1205"/>
      <c r="H10536" s="1055"/>
      <c r="I10536" s="1055"/>
      <c r="J10536" s="1055"/>
      <c r="K10536" s="1205"/>
      <c r="L10536" s="1055"/>
      <c r="M10536" s="1205"/>
      <c r="N10536" s="1054"/>
      <c r="O10536" s="1207"/>
      <c r="Q10536" s="1207"/>
    </row>
    <row r="10537" spans="3:17" s="700" customFormat="1" ht="70.5" hidden="1" customHeight="1">
      <c r="C10537" s="701"/>
      <c r="D10537" s="811"/>
      <c r="E10537" s="1276">
        <f>[11]building!Y10868</f>
        <v>0</v>
      </c>
      <c r="F10537" s="748">
        <f t="shared" si="403"/>
        <v>0</v>
      </c>
      <c r="G10537" s="1205"/>
      <c r="H10537" s="1055"/>
      <c r="I10537" s="1055"/>
      <c r="J10537" s="1055"/>
      <c r="K10537" s="1205"/>
      <c r="L10537" s="1055"/>
      <c r="M10537" s="1205"/>
      <c r="N10537" s="1054"/>
      <c r="O10537" s="1207"/>
      <c r="Q10537" s="1207"/>
    </row>
    <row r="10538" spans="3:17" s="700" customFormat="1" ht="70.5" hidden="1" customHeight="1">
      <c r="C10538" s="701"/>
      <c r="D10538" s="811"/>
      <c r="E10538" s="1276">
        <f>[11]building!Y10869</f>
        <v>0</v>
      </c>
      <c r="F10538" s="748">
        <f t="shared" si="403"/>
        <v>0</v>
      </c>
      <c r="G10538" s="1205"/>
      <c r="H10538" s="1055"/>
      <c r="I10538" s="1055"/>
      <c r="J10538" s="1055"/>
      <c r="K10538" s="1205"/>
      <c r="L10538" s="1055"/>
      <c r="M10538" s="1205"/>
      <c r="N10538" s="1054"/>
      <c r="O10538" s="1207"/>
      <c r="Q10538" s="1207"/>
    </row>
    <row r="10539" spans="3:17" s="700" customFormat="1" ht="70.5" hidden="1" customHeight="1">
      <c r="C10539" s="701"/>
      <c r="D10539" s="811"/>
      <c r="E10539" s="1276">
        <f>[11]building!Y10870</f>
        <v>0</v>
      </c>
      <c r="F10539" s="748">
        <f t="shared" si="403"/>
        <v>0</v>
      </c>
      <c r="G10539" s="1205"/>
      <c r="H10539" s="1055"/>
      <c r="I10539" s="1055"/>
      <c r="J10539" s="1055"/>
      <c r="K10539" s="1205"/>
      <c r="L10539" s="1055"/>
      <c r="M10539" s="1205"/>
      <c r="N10539" s="1054"/>
      <c r="O10539" s="1207"/>
      <c r="Q10539" s="1207"/>
    </row>
    <row r="10540" spans="3:17" s="700" customFormat="1" ht="70.5" hidden="1" customHeight="1">
      <c r="C10540" s="701"/>
      <c r="D10540" s="811"/>
      <c r="E10540" s="1276">
        <f>[11]building!Y10871</f>
        <v>0</v>
      </c>
      <c r="F10540" s="748">
        <f t="shared" si="403"/>
        <v>0</v>
      </c>
      <c r="G10540" s="1205"/>
      <c r="H10540" s="1055"/>
      <c r="I10540" s="1055"/>
      <c r="J10540" s="1055"/>
      <c r="K10540" s="1205"/>
      <c r="L10540" s="1055"/>
      <c r="M10540" s="1205"/>
      <c r="N10540" s="1054"/>
      <c r="O10540" s="1207"/>
      <c r="Q10540" s="1207"/>
    </row>
    <row r="10541" spans="3:17" s="700" customFormat="1" ht="70.5" hidden="1" customHeight="1">
      <c r="C10541" s="701"/>
      <c r="D10541" s="811"/>
      <c r="E10541" s="1276">
        <f>[11]building!Y10872</f>
        <v>0</v>
      </c>
      <c r="F10541" s="748">
        <f t="shared" si="403"/>
        <v>0</v>
      </c>
      <c r="G10541" s="1205"/>
      <c r="H10541" s="1055"/>
      <c r="I10541" s="1055"/>
      <c r="J10541" s="1055"/>
      <c r="K10541" s="1205"/>
      <c r="L10541" s="1055"/>
      <c r="M10541" s="1205"/>
      <c r="N10541" s="1054"/>
      <c r="O10541" s="1207"/>
      <c r="Q10541" s="1207"/>
    </row>
    <row r="10542" spans="3:17" s="700" customFormat="1" ht="70.5" hidden="1" customHeight="1">
      <c r="C10542" s="701"/>
      <c r="D10542" s="811"/>
      <c r="E10542" s="1276">
        <f>[11]building!Y10873</f>
        <v>0</v>
      </c>
      <c r="F10542" s="748">
        <f t="shared" si="403"/>
        <v>0</v>
      </c>
      <c r="G10542" s="1205"/>
      <c r="H10542" s="1055"/>
      <c r="I10542" s="1055"/>
      <c r="J10542" s="1055"/>
      <c r="K10542" s="1205"/>
      <c r="L10542" s="1055"/>
      <c r="M10542" s="1205"/>
      <c r="N10542" s="1054"/>
      <c r="O10542" s="1207"/>
      <c r="Q10542" s="1207"/>
    </row>
    <row r="10543" spans="3:17" s="700" customFormat="1" ht="70.5" hidden="1" customHeight="1">
      <c r="C10543" s="701"/>
      <c r="D10543" s="811"/>
      <c r="E10543" s="1276">
        <f>[11]building!Y10874</f>
        <v>0</v>
      </c>
      <c r="F10543" s="748">
        <f t="shared" si="403"/>
        <v>0</v>
      </c>
      <c r="G10543" s="1205"/>
      <c r="H10543" s="1055"/>
      <c r="I10543" s="1055"/>
      <c r="J10543" s="1055"/>
      <c r="K10543" s="1205"/>
      <c r="L10543" s="1055"/>
      <c r="M10543" s="1205"/>
      <c r="N10543" s="1054"/>
      <c r="O10543" s="1207"/>
      <c r="Q10543" s="1207"/>
    </row>
    <row r="10544" spans="3:17" s="700" customFormat="1" ht="70.5" hidden="1" customHeight="1">
      <c r="C10544" s="701"/>
      <c r="D10544" s="811"/>
      <c r="E10544" s="1276">
        <f>[11]building!Y10875</f>
        <v>0</v>
      </c>
      <c r="F10544" s="748">
        <f t="shared" si="403"/>
        <v>0</v>
      </c>
      <c r="G10544" s="1205"/>
      <c r="H10544" s="1055"/>
      <c r="I10544" s="1055"/>
      <c r="J10544" s="1055"/>
      <c r="K10544" s="1205"/>
      <c r="L10544" s="1055"/>
      <c r="M10544" s="1205"/>
      <c r="N10544" s="1054"/>
      <c r="O10544" s="1207"/>
      <c r="Q10544" s="1207"/>
    </row>
    <row r="10545" spans="3:17" s="700" customFormat="1" ht="70.5" hidden="1" customHeight="1">
      <c r="C10545" s="701"/>
      <c r="D10545" s="811"/>
      <c r="E10545" s="1276">
        <f>[11]building!Y10876</f>
        <v>0</v>
      </c>
      <c r="F10545" s="748">
        <f t="shared" si="403"/>
        <v>0</v>
      </c>
      <c r="G10545" s="1205"/>
      <c r="H10545" s="1055"/>
      <c r="I10545" s="1055"/>
      <c r="J10545" s="1055"/>
      <c r="K10545" s="1205"/>
      <c r="L10545" s="1055"/>
      <c r="M10545" s="1205"/>
      <c r="N10545" s="1054"/>
      <c r="O10545" s="1207"/>
      <c r="Q10545" s="1207"/>
    </row>
    <row r="10546" spans="3:17" s="700" customFormat="1" ht="70.5" hidden="1" customHeight="1">
      <c r="C10546" s="701"/>
      <c r="D10546" s="811"/>
      <c r="E10546" s="1276">
        <f>[11]building!Y10877</f>
        <v>0</v>
      </c>
      <c r="F10546" s="748">
        <f t="shared" si="403"/>
        <v>0</v>
      </c>
      <c r="G10546" s="1205"/>
      <c r="H10546" s="1055"/>
      <c r="I10546" s="1055"/>
      <c r="J10546" s="1055"/>
      <c r="K10546" s="1205"/>
      <c r="L10546" s="1055"/>
      <c r="M10546" s="1205"/>
      <c r="N10546" s="1054"/>
      <c r="O10546" s="1207"/>
      <c r="Q10546" s="1207"/>
    </row>
    <row r="10547" spans="3:17" s="700" customFormat="1" ht="70.5" hidden="1" customHeight="1">
      <c r="C10547" s="701"/>
      <c r="D10547" s="811"/>
      <c r="E10547" s="1276">
        <f>[11]building!Y10878</f>
        <v>0</v>
      </c>
      <c r="F10547" s="748">
        <f t="shared" si="403"/>
        <v>0</v>
      </c>
      <c r="G10547" s="1205"/>
      <c r="H10547" s="1055"/>
      <c r="I10547" s="1055"/>
      <c r="J10547" s="1055"/>
      <c r="K10547" s="1205"/>
      <c r="L10547" s="1055"/>
      <c r="M10547" s="1205"/>
      <c r="N10547" s="1054"/>
      <c r="O10547" s="1207"/>
      <c r="Q10547" s="1207"/>
    </row>
    <row r="10548" spans="3:17" s="700" customFormat="1" ht="70.5" hidden="1" customHeight="1">
      <c r="C10548" s="701"/>
      <c r="D10548" s="811"/>
      <c r="E10548" s="1276">
        <f>[11]building!Y10879</f>
        <v>0</v>
      </c>
      <c r="F10548" s="748">
        <f t="shared" si="403"/>
        <v>0</v>
      </c>
      <c r="G10548" s="1205"/>
      <c r="H10548" s="1055"/>
      <c r="I10548" s="1055"/>
      <c r="J10548" s="1055"/>
      <c r="K10548" s="1205"/>
      <c r="L10548" s="1055"/>
      <c r="M10548" s="1205"/>
      <c r="N10548" s="1054"/>
      <c r="O10548" s="1207"/>
      <c r="Q10548" s="1207"/>
    </row>
    <row r="10549" spans="3:17" s="700" customFormat="1" ht="70.5" hidden="1" customHeight="1">
      <c r="C10549" s="701"/>
      <c r="D10549" s="811"/>
      <c r="E10549" s="1276">
        <f>[11]building!Y10880</f>
        <v>0</v>
      </c>
      <c r="F10549" s="748">
        <f t="shared" si="403"/>
        <v>0</v>
      </c>
      <c r="G10549" s="1205"/>
      <c r="H10549" s="1055"/>
      <c r="I10549" s="1055"/>
      <c r="J10549" s="1055"/>
      <c r="K10549" s="1205"/>
      <c r="L10549" s="1055"/>
      <c r="M10549" s="1205"/>
      <c r="N10549" s="1054"/>
      <c r="O10549" s="1207"/>
      <c r="Q10549" s="1207"/>
    </row>
    <row r="10550" spans="3:17" s="700" customFormat="1" ht="70.5" hidden="1" customHeight="1">
      <c r="C10550" s="701"/>
      <c r="D10550" s="811"/>
      <c r="E10550" s="1276">
        <f>[11]building!Y10881</f>
        <v>0</v>
      </c>
      <c r="F10550" s="748">
        <f t="shared" si="403"/>
        <v>0</v>
      </c>
      <c r="G10550" s="1205"/>
      <c r="H10550" s="1055"/>
      <c r="I10550" s="1055"/>
      <c r="J10550" s="1055"/>
      <c r="K10550" s="1205"/>
      <c r="L10550" s="1055"/>
      <c r="M10550" s="1205"/>
      <c r="N10550" s="1054"/>
      <c r="O10550" s="1207"/>
      <c r="Q10550" s="1207"/>
    </row>
    <row r="10551" spans="3:17" s="700" customFormat="1" ht="70.5" hidden="1" customHeight="1">
      <c r="C10551" s="701"/>
      <c r="D10551" s="811"/>
      <c r="E10551" s="1276">
        <f>[11]building!Y10882</f>
        <v>0</v>
      </c>
      <c r="F10551" s="748">
        <f t="shared" si="403"/>
        <v>0</v>
      </c>
      <c r="G10551" s="1205"/>
      <c r="H10551" s="1055"/>
      <c r="I10551" s="1055"/>
      <c r="J10551" s="1055"/>
      <c r="K10551" s="1205"/>
      <c r="L10551" s="1055"/>
      <c r="M10551" s="1205"/>
      <c r="N10551" s="1054"/>
      <c r="O10551" s="1207"/>
      <c r="Q10551" s="1207"/>
    </row>
    <row r="10552" spans="3:17" s="700" customFormat="1" ht="70.5" hidden="1" customHeight="1">
      <c r="C10552" s="701"/>
      <c r="D10552" s="811"/>
      <c r="E10552" s="1276">
        <f>[11]building!Y10883</f>
        <v>0</v>
      </c>
      <c r="F10552" s="748">
        <f t="shared" si="403"/>
        <v>0</v>
      </c>
      <c r="G10552" s="1205"/>
      <c r="H10552" s="1055"/>
      <c r="I10552" s="1055"/>
      <c r="J10552" s="1055"/>
      <c r="K10552" s="1205"/>
      <c r="L10552" s="1055"/>
      <c r="M10552" s="1205"/>
      <c r="N10552" s="1054"/>
      <c r="O10552" s="1207"/>
      <c r="Q10552" s="1207"/>
    </row>
    <row r="10553" spans="3:17" s="700" customFormat="1" ht="70.5" hidden="1" customHeight="1">
      <c r="C10553" s="701"/>
      <c r="D10553" s="811"/>
      <c r="E10553" s="1276">
        <f>[11]building!Y10884</f>
        <v>0</v>
      </c>
      <c r="F10553" s="748">
        <f t="shared" si="403"/>
        <v>0</v>
      </c>
      <c r="G10553" s="1205"/>
      <c r="H10553" s="1055"/>
      <c r="I10553" s="1055"/>
      <c r="J10553" s="1055"/>
      <c r="K10553" s="1205"/>
      <c r="L10553" s="1055"/>
      <c r="M10553" s="1205"/>
      <c r="N10553" s="1054"/>
      <c r="O10553" s="1207"/>
      <c r="Q10553" s="1207"/>
    </row>
    <row r="10554" spans="3:17" s="700" customFormat="1" ht="70.5" hidden="1" customHeight="1">
      <c r="C10554" s="701"/>
      <c r="D10554" s="811"/>
      <c r="E10554" s="1276">
        <f>[11]building!Y10885</f>
        <v>0</v>
      </c>
      <c r="F10554" s="748">
        <f t="shared" si="403"/>
        <v>0</v>
      </c>
      <c r="G10554" s="1205"/>
      <c r="H10554" s="1055"/>
      <c r="I10554" s="1055"/>
      <c r="J10554" s="1055"/>
      <c r="K10554" s="1205"/>
      <c r="L10554" s="1055"/>
      <c r="M10554" s="1205"/>
      <c r="N10554" s="1054"/>
      <c r="O10554" s="1207"/>
      <c r="Q10554" s="1207"/>
    </row>
    <row r="10555" spans="3:17" s="700" customFormat="1" ht="70.5" hidden="1" customHeight="1">
      <c r="C10555" s="701"/>
      <c r="D10555" s="811"/>
      <c r="E10555" s="1276">
        <f>[11]building!Y10886</f>
        <v>0</v>
      </c>
      <c r="F10555" s="748">
        <f t="shared" si="403"/>
        <v>0</v>
      </c>
      <c r="G10555" s="1205"/>
      <c r="H10555" s="1055"/>
      <c r="I10555" s="1055"/>
      <c r="J10555" s="1055"/>
      <c r="K10555" s="1205"/>
      <c r="L10555" s="1055"/>
      <c r="M10555" s="1205"/>
      <c r="N10555" s="1054"/>
      <c r="O10555" s="1207"/>
      <c r="Q10555" s="1207"/>
    </row>
    <row r="10556" spans="3:17" s="700" customFormat="1" ht="70.5" hidden="1" customHeight="1">
      <c r="C10556" s="701"/>
      <c r="D10556" s="811"/>
      <c r="E10556" s="1276">
        <f>[11]building!Y10887</f>
        <v>0</v>
      </c>
      <c r="F10556" s="748">
        <f t="shared" si="403"/>
        <v>0</v>
      </c>
      <c r="G10556" s="1205"/>
      <c r="H10556" s="1055"/>
      <c r="I10556" s="1055"/>
      <c r="J10556" s="1055"/>
      <c r="K10556" s="1205"/>
      <c r="L10556" s="1055"/>
      <c r="M10556" s="1205"/>
      <c r="N10556" s="1054"/>
      <c r="O10556" s="1207"/>
      <c r="Q10556" s="1207"/>
    </row>
    <row r="10557" spans="3:17" s="700" customFormat="1" ht="70.5" hidden="1" customHeight="1">
      <c r="C10557" s="701"/>
      <c r="D10557" s="811"/>
      <c r="E10557" s="1276">
        <f>[11]building!Y10888</f>
        <v>0</v>
      </c>
      <c r="F10557" s="748">
        <f t="shared" si="403"/>
        <v>0</v>
      </c>
      <c r="G10557" s="1205"/>
      <c r="H10557" s="1055"/>
      <c r="I10557" s="1055"/>
      <c r="J10557" s="1055"/>
      <c r="K10557" s="1205"/>
      <c r="L10557" s="1055"/>
      <c r="M10557" s="1205"/>
      <c r="N10557" s="1054"/>
      <c r="O10557" s="1207"/>
      <c r="Q10557" s="1207"/>
    </row>
    <row r="10558" spans="3:17" s="700" customFormat="1" ht="70.5" hidden="1" customHeight="1">
      <c r="C10558" s="701"/>
      <c r="D10558" s="811"/>
      <c r="E10558" s="1276">
        <f>[11]building!Y10889</f>
        <v>0</v>
      </c>
      <c r="F10558" s="748">
        <f t="shared" si="403"/>
        <v>0</v>
      </c>
      <c r="G10558" s="1205"/>
      <c r="H10558" s="1055"/>
      <c r="I10558" s="1055"/>
      <c r="J10558" s="1055"/>
      <c r="K10558" s="1205"/>
      <c r="L10558" s="1055"/>
      <c r="M10558" s="1205"/>
      <c r="N10558" s="1054"/>
      <c r="O10558" s="1207"/>
      <c r="Q10558" s="1207"/>
    </row>
    <row r="10559" spans="3:17" s="700" customFormat="1" ht="70.5" hidden="1" customHeight="1">
      <c r="C10559" s="701"/>
      <c r="D10559" s="811"/>
      <c r="E10559" s="1276">
        <f>[11]building!Y10890</f>
        <v>0</v>
      </c>
      <c r="F10559" s="748">
        <f t="shared" si="403"/>
        <v>0</v>
      </c>
      <c r="G10559" s="1205"/>
      <c r="H10559" s="1055"/>
      <c r="I10559" s="1055"/>
      <c r="J10559" s="1055"/>
      <c r="K10559" s="1205"/>
      <c r="L10559" s="1055"/>
      <c r="M10559" s="1205"/>
      <c r="N10559" s="1054"/>
      <c r="O10559" s="1207"/>
      <c r="Q10559" s="1207"/>
    </row>
    <row r="10560" spans="3:17" s="700" customFormat="1" ht="70.5" hidden="1" customHeight="1">
      <c r="C10560" s="701"/>
      <c r="D10560" s="811"/>
      <c r="E10560" s="1276">
        <f>[11]building!Y10891</f>
        <v>0</v>
      </c>
      <c r="F10560" s="748">
        <f t="shared" ref="F10560:F10623" si="404">E10560*C10560</f>
        <v>0</v>
      </c>
      <c r="G10560" s="1205"/>
      <c r="H10560" s="1055"/>
      <c r="I10560" s="1055"/>
      <c r="J10560" s="1055"/>
      <c r="K10560" s="1205"/>
      <c r="L10560" s="1055"/>
      <c r="M10560" s="1205"/>
      <c r="N10560" s="1054"/>
      <c r="O10560" s="1207"/>
      <c r="Q10560" s="1207"/>
    </row>
    <row r="10561" spans="3:17" s="700" customFormat="1" ht="70.5" hidden="1" customHeight="1">
      <c r="C10561" s="701"/>
      <c r="D10561" s="811"/>
      <c r="E10561" s="1276">
        <f>[11]building!Y10892</f>
        <v>0</v>
      </c>
      <c r="F10561" s="748">
        <f t="shared" si="404"/>
        <v>0</v>
      </c>
      <c r="G10561" s="1205"/>
      <c r="H10561" s="1055"/>
      <c r="I10561" s="1055"/>
      <c r="J10561" s="1055"/>
      <c r="K10561" s="1205"/>
      <c r="L10561" s="1055"/>
      <c r="M10561" s="1205"/>
      <c r="N10561" s="1054"/>
      <c r="O10561" s="1207"/>
      <c r="Q10561" s="1207"/>
    </row>
    <row r="10562" spans="3:17" s="700" customFormat="1" ht="70.5" hidden="1" customHeight="1">
      <c r="C10562" s="701"/>
      <c r="D10562" s="811"/>
      <c r="E10562" s="1276">
        <f>[11]building!Y10893</f>
        <v>0</v>
      </c>
      <c r="F10562" s="748">
        <f t="shared" si="404"/>
        <v>0</v>
      </c>
      <c r="G10562" s="1205"/>
      <c r="H10562" s="1055"/>
      <c r="I10562" s="1055"/>
      <c r="J10562" s="1055"/>
      <c r="K10562" s="1205"/>
      <c r="L10562" s="1055"/>
      <c r="M10562" s="1205"/>
      <c r="N10562" s="1054"/>
      <c r="O10562" s="1207"/>
      <c r="Q10562" s="1207"/>
    </row>
    <row r="10563" spans="3:17" s="700" customFormat="1" ht="70.5" hidden="1" customHeight="1">
      <c r="C10563" s="701"/>
      <c r="D10563" s="811"/>
      <c r="E10563" s="1276">
        <f>[11]building!Y10894</f>
        <v>0</v>
      </c>
      <c r="F10563" s="748">
        <f t="shared" si="404"/>
        <v>0</v>
      </c>
      <c r="G10563" s="1205"/>
      <c r="H10563" s="1055"/>
      <c r="I10563" s="1055"/>
      <c r="J10563" s="1055"/>
      <c r="K10563" s="1205"/>
      <c r="L10563" s="1055"/>
      <c r="M10563" s="1205"/>
      <c r="N10563" s="1054"/>
      <c r="O10563" s="1207"/>
      <c r="Q10563" s="1207"/>
    </row>
    <row r="10564" spans="3:17" s="700" customFormat="1" ht="70.5" hidden="1" customHeight="1">
      <c r="C10564" s="701"/>
      <c r="D10564" s="811"/>
      <c r="E10564" s="1276">
        <f>[11]building!Y10895</f>
        <v>0</v>
      </c>
      <c r="F10564" s="748">
        <f t="shared" si="404"/>
        <v>0</v>
      </c>
      <c r="G10564" s="1205"/>
      <c r="H10564" s="1055"/>
      <c r="I10564" s="1055"/>
      <c r="J10564" s="1055"/>
      <c r="K10564" s="1205"/>
      <c r="L10564" s="1055"/>
      <c r="M10564" s="1205"/>
      <c r="N10564" s="1054"/>
      <c r="O10564" s="1207"/>
      <c r="Q10564" s="1207"/>
    </row>
    <row r="10565" spans="3:17" s="700" customFormat="1" ht="70.5" hidden="1" customHeight="1">
      <c r="C10565" s="701"/>
      <c r="D10565" s="811"/>
      <c r="E10565" s="1276">
        <f>[11]building!Y10896</f>
        <v>0</v>
      </c>
      <c r="F10565" s="748">
        <f t="shared" si="404"/>
        <v>0</v>
      </c>
      <c r="G10565" s="1205"/>
      <c r="H10565" s="1055"/>
      <c r="I10565" s="1055"/>
      <c r="J10565" s="1055"/>
      <c r="K10565" s="1205"/>
      <c r="L10565" s="1055"/>
      <c r="M10565" s="1205"/>
      <c r="N10565" s="1054"/>
      <c r="O10565" s="1207"/>
      <c r="Q10565" s="1207"/>
    </row>
    <row r="10566" spans="3:17" s="700" customFormat="1" ht="70.5" hidden="1" customHeight="1">
      <c r="C10566" s="701"/>
      <c r="D10566" s="811"/>
      <c r="E10566" s="1276">
        <f>[11]building!Y10897</f>
        <v>0</v>
      </c>
      <c r="F10566" s="748">
        <f t="shared" si="404"/>
        <v>0</v>
      </c>
      <c r="G10566" s="1205"/>
      <c r="H10566" s="1055"/>
      <c r="I10566" s="1055"/>
      <c r="J10566" s="1055"/>
      <c r="K10566" s="1205"/>
      <c r="L10566" s="1055"/>
      <c r="M10566" s="1205"/>
      <c r="N10566" s="1054"/>
      <c r="O10566" s="1207"/>
      <c r="Q10566" s="1207"/>
    </row>
    <row r="10567" spans="3:17" s="700" customFormat="1" ht="70.5" hidden="1" customHeight="1">
      <c r="C10567" s="701"/>
      <c r="D10567" s="811"/>
      <c r="E10567" s="1276">
        <f>[11]building!Y10898</f>
        <v>0</v>
      </c>
      <c r="F10567" s="748">
        <f t="shared" si="404"/>
        <v>0</v>
      </c>
      <c r="G10567" s="1205"/>
      <c r="H10567" s="1055"/>
      <c r="I10567" s="1055"/>
      <c r="J10567" s="1055"/>
      <c r="K10567" s="1205"/>
      <c r="L10567" s="1055"/>
      <c r="M10567" s="1205"/>
      <c r="N10567" s="1054"/>
      <c r="O10567" s="1207"/>
      <c r="Q10567" s="1207"/>
    </row>
    <row r="10568" spans="3:17" s="700" customFormat="1" ht="70.5" hidden="1" customHeight="1">
      <c r="C10568" s="701"/>
      <c r="D10568" s="811"/>
      <c r="E10568" s="1276">
        <f>[11]building!Y10899</f>
        <v>0</v>
      </c>
      <c r="F10568" s="748">
        <f t="shared" si="404"/>
        <v>0</v>
      </c>
      <c r="G10568" s="1205"/>
      <c r="H10568" s="1055"/>
      <c r="I10568" s="1055"/>
      <c r="J10568" s="1055"/>
      <c r="K10568" s="1205"/>
      <c r="L10568" s="1055"/>
      <c r="M10568" s="1205"/>
      <c r="N10568" s="1054"/>
      <c r="O10568" s="1207"/>
      <c r="Q10568" s="1207"/>
    </row>
    <row r="10569" spans="3:17" s="700" customFormat="1" ht="70.5" hidden="1" customHeight="1">
      <c r="C10569" s="701"/>
      <c r="D10569" s="811"/>
      <c r="E10569" s="1276">
        <f>[11]building!Y10900</f>
        <v>0</v>
      </c>
      <c r="F10569" s="748">
        <f t="shared" si="404"/>
        <v>0</v>
      </c>
      <c r="G10569" s="1205"/>
      <c r="H10569" s="1055"/>
      <c r="I10569" s="1055"/>
      <c r="J10569" s="1055"/>
      <c r="K10569" s="1205"/>
      <c r="L10569" s="1055"/>
      <c r="M10569" s="1205"/>
      <c r="N10569" s="1054"/>
      <c r="O10569" s="1207"/>
      <c r="Q10569" s="1207"/>
    </row>
    <row r="10570" spans="3:17" s="700" customFormat="1" ht="70.5" hidden="1" customHeight="1">
      <c r="C10570" s="701"/>
      <c r="D10570" s="811"/>
      <c r="E10570" s="1276">
        <f>[11]building!Y10901</f>
        <v>0</v>
      </c>
      <c r="F10570" s="748">
        <f t="shared" si="404"/>
        <v>0</v>
      </c>
      <c r="G10570" s="1205"/>
      <c r="H10570" s="1055"/>
      <c r="I10570" s="1055"/>
      <c r="J10570" s="1055"/>
      <c r="K10570" s="1205"/>
      <c r="L10570" s="1055"/>
      <c r="M10570" s="1205"/>
      <c r="N10570" s="1054"/>
      <c r="O10570" s="1207"/>
      <c r="Q10570" s="1207"/>
    </row>
    <row r="10571" spans="3:17" s="700" customFormat="1" ht="70.5" hidden="1" customHeight="1">
      <c r="C10571" s="701"/>
      <c r="D10571" s="811"/>
      <c r="E10571" s="1276">
        <f>[11]building!Y10902</f>
        <v>0</v>
      </c>
      <c r="F10571" s="748">
        <f t="shared" si="404"/>
        <v>0</v>
      </c>
      <c r="G10571" s="1205"/>
      <c r="H10571" s="1055"/>
      <c r="I10571" s="1055"/>
      <c r="J10571" s="1055"/>
      <c r="K10571" s="1205"/>
      <c r="L10571" s="1055"/>
      <c r="M10571" s="1205"/>
      <c r="N10571" s="1054"/>
      <c r="O10571" s="1207"/>
      <c r="Q10571" s="1207"/>
    </row>
    <row r="10572" spans="3:17" s="700" customFormat="1" ht="70.5" hidden="1" customHeight="1">
      <c r="C10572" s="701"/>
      <c r="D10572" s="811"/>
      <c r="E10572" s="1276">
        <f>[11]building!Y10903</f>
        <v>0</v>
      </c>
      <c r="F10572" s="748">
        <f t="shared" si="404"/>
        <v>0</v>
      </c>
      <c r="G10572" s="1205"/>
      <c r="H10572" s="1055"/>
      <c r="I10572" s="1055"/>
      <c r="J10572" s="1055"/>
      <c r="K10572" s="1205"/>
      <c r="L10572" s="1055"/>
      <c r="M10572" s="1205"/>
      <c r="N10572" s="1054"/>
      <c r="O10572" s="1207"/>
      <c r="Q10572" s="1207"/>
    </row>
    <row r="10573" spans="3:17" s="700" customFormat="1" ht="70.5" hidden="1" customHeight="1">
      <c r="C10573" s="701"/>
      <c r="D10573" s="811"/>
      <c r="E10573" s="1276">
        <f>[11]building!Y10904</f>
        <v>0</v>
      </c>
      <c r="F10573" s="748">
        <f t="shared" si="404"/>
        <v>0</v>
      </c>
      <c r="G10573" s="1205"/>
      <c r="H10573" s="1055"/>
      <c r="I10573" s="1055"/>
      <c r="J10573" s="1055"/>
      <c r="K10573" s="1205"/>
      <c r="L10573" s="1055"/>
      <c r="M10573" s="1205"/>
      <c r="N10573" s="1054"/>
      <c r="O10573" s="1207"/>
      <c r="Q10573" s="1207"/>
    </row>
    <row r="10574" spans="3:17" s="700" customFormat="1" ht="70.5" hidden="1" customHeight="1">
      <c r="C10574" s="701"/>
      <c r="D10574" s="811"/>
      <c r="E10574" s="1276">
        <f>[11]building!Y10905</f>
        <v>0</v>
      </c>
      <c r="F10574" s="748">
        <f t="shared" si="404"/>
        <v>0</v>
      </c>
      <c r="G10574" s="1205"/>
      <c r="H10574" s="1055"/>
      <c r="I10574" s="1055"/>
      <c r="J10574" s="1055"/>
      <c r="K10574" s="1205"/>
      <c r="L10574" s="1055"/>
      <c r="M10574" s="1205"/>
      <c r="N10574" s="1054"/>
      <c r="O10574" s="1207"/>
      <c r="Q10574" s="1207"/>
    </row>
    <row r="10575" spans="3:17" s="700" customFormat="1" ht="70.5" hidden="1" customHeight="1">
      <c r="C10575" s="701"/>
      <c r="D10575" s="811"/>
      <c r="E10575" s="1276">
        <f>[11]building!Y10906</f>
        <v>0</v>
      </c>
      <c r="F10575" s="748">
        <f t="shared" si="404"/>
        <v>0</v>
      </c>
      <c r="G10575" s="1205"/>
      <c r="H10575" s="1055"/>
      <c r="I10575" s="1055"/>
      <c r="J10575" s="1055"/>
      <c r="K10575" s="1205"/>
      <c r="L10575" s="1055"/>
      <c r="M10575" s="1205"/>
      <c r="N10575" s="1054"/>
      <c r="O10575" s="1207"/>
      <c r="Q10575" s="1207"/>
    </row>
    <row r="10576" spans="3:17" s="700" customFormat="1" ht="70.5" hidden="1" customHeight="1">
      <c r="C10576" s="701"/>
      <c r="D10576" s="811"/>
      <c r="E10576" s="1276">
        <f>[11]building!Y10907</f>
        <v>0</v>
      </c>
      <c r="F10576" s="748">
        <f t="shared" si="404"/>
        <v>0</v>
      </c>
      <c r="G10576" s="1205"/>
      <c r="H10576" s="1055"/>
      <c r="I10576" s="1055"/>
      <c r="J10576" s="1055"/>
      <c r="K10576" s="1205"/>
      <c r="L10576" s="1055"/>
      <c r="M10576" s="1205"/>
      <c r="N10576" s="1054"/>
      <c r="O10576" s="1207"/>
      <c r="Q10576" s="1207"/>
    </row>
    <row r="10577" spans="3:17" s="700" customFormat="1" ht="70.5" hidden="1" customHeight="1">
      <c r="C10577" s="701"/>
      <c r="D10577" s="811"/>
      <c r="E10577" s="1276">
        <f>[11]building!Y10908</f>
        <v>0</v>
      </c>
      <c r="F10577" s="748">
        <f t="shared" si="404"/>
        <v>0</v>
      </c>
      <c r="G10577" s="1205"/>
      <c r="H10577" s="1055"/>
      <c r="I10577" s="1055"/>
      <c r="J10577" s="1055"/>
      <c r="K10577" s="1205"/>
      <c r="L10577" s="1055"/>
      <c r="M10577" s="1205"/>
      <c r="N10577" s="1054"/>
      <c r="O10577" s="1207"/>
      <c r="Q10577" s="1207"/>
    </row>
    <row r="10578" spans="3:17" s="700" customFormat="1" ht="70.5" hidden="1" customHeight="1">
      <c r="C10578" s="701"/>
      <c r="D10578" s="811"/>
      <c r="E10578" s="1276">
        <f>[11]building!Y10909</f>
        <v>0</v>
      </c>
      <c r="F10578" s="748">
        <f t="shared" si="404"/>
        <v>0</v>
      </c>
      <c r="G10578" s="1205"/>
      <c r="H10578" s="1055"/>
      <c r="I10578" s="1055"/>
      <c r="J10578" s="1055"/>
      <c r="K10578" s="1205"/>
      <c r="L10578" s="1055"/>
      <c r="M10578" s="1205"/>
      <c r="N10578" s="1054"/>
      <c r="O10578" s="1207"/>
      <c r="Q10578" s="1207"/>
    </row>
    <row r="10579" spans="3:17" s="700" customFormat="1" ht="70.5" hidden="1" customHeight="1">
      <c r="C10579" s="701"/>
      <c r="D10579" s="811"/>
      <c r="E10579" s="1276">
        <f>[11]building!Y10910</f>
        <v>0</v>
      </c>
      <c r="F10579" s="748">
        <f t="shared" si="404"/>
        <v>0</v>
      </c>
      <c r="G10579" s="1205"/>
      <c r="H10579" s="1055"/>
      <c r="I10579" s="1055"/>
      <c r="J10579" s="1055"/>
      <c r="K10579" s="1205"/>
      <c r="L10579" s="1055"/>
      <c r="M10579" s="1205"/>
      <c r="N10579" s="1054"/>
      <c r="O10579" s="1207"/>
      <c r="Q10579" s="1207"/>
    </row>
    <row r="10580" spans="3:17" s="700" customFormat="1" ht="70.5" hidden="1" customHeight="1">
      <c r="C10580" s="701"/>
      <c r="D10580" s="811"/>
      <c r="E10580" s="1276">
        <f>[11]building!Y10911</f>
        <v>0</v>
      </c>
      <c r="F10580" s="748">
        <f t="shared" si="404"/>
        <v>0</v>
      </c>
      <c r="G10580" s="1205"/>
      <c r="H10580" s="1055"/>
      <c r="I10580" s="1055"/>
      <c r="J10580" s="1055"/>
      <c r="K10580" s="1205"/>
      <c r="L10580" s="1055"/>
      <c r="M10580" s="1205"/>
      <c r="N10580" s="1054"/>
      <c r="O10580" s="1207"/>
      <c r="Q10580" s="1207"/>
    </row>
    <row r="10581" spans="3:17" s="700" customFormat="1" ht="70.5" hidden="1" customHeight="1">
      <c r="C10581" s="701"/>
      <c r="D10581" s="811"/>
      <c r="E10581" s="1276">
        <f>[11]building!Y10912</f>
        <v>0</v>
      </c>
      <c r="F10581" s="748">
        <f t="shared" si="404"/>
        <v>0</v>
      </c>
      <c r="G10581" s="1205"/>
      <c r="H10581" s="1055"/>
      <c r="I10581" s="1055"/>
      <c r="J10581" s="1055"/>
      <c r="K10581" s="1205"/>
      <c r="L10581" s="1055"/>
      <c r="M10581" s="1205"/>
      <c r="N10581" s="1054"/>
      <c r="O10581" s="1207"/>
      <c r="Q10581" s="1207"/>
    </row>
    <row r="10582" spans="3:17" s="700" customFormat="1" ht="70.5" hidden="1" customHeight="1">
      <c r="C10582" s="701"/>
      <c r="D10582" s="811"/>
      <c r="E10582" s="1276">
        <f>[11]building!Y10913</f>
        <v>0</v>
      </c>
      <c r="F10582" s="748">
        <f t="shared" si="404"/>
        <v>0</v>
      </c>
      <c r="G10582" s="1205"/>
      <c r="H10582" s="1055"/>
      <c r="I10582" s="1055"/>
      <c r="J10582" s="1055"/>
      <c r="K10582" s="1205"/>
      <c r="L10582" s="1055"/>
      <c r="M10582" s="1205"/>
      <c r="N10582" s="1054"/>
      <c r="O10582" s="1207"/>
      <c r="Q10582" s="1207"/>
    </row>
    <row r="10583" spans="3:17" s="700" customFormat="1" ht="70.5" hidden="1" customHeight="1">
      <c r="C10583" s="701"/>
      <c r="D10583" s="811"/>
      <c r="E10583" s="1276">
        <f>[11]building!Y10914</f>
        <v>0</v>
      </c>
      <c r="F10583" s="748">
        <f t="shared" si="404"/>
        <v>0</v>
      </c>
      <c r="G10583" s="1205"/>
      <c r="H10583" s="1055"/>
      <c r="I10583" s="1055"/>
      <c r="J10583" s="1055"/>
      <c r="K10583" s="1205"/>
      <c r="L10583" s="1055"/>
      <c r="M10583" s="1205"/>
      <c r="N10583" s="1054"/>
      <c r="O10583" s="1207"/>
      <c r="Q10583" s="1207"/>
    </row>
    <row r="10584" spans="3:17" s="700" customFormat="1" ht="70.5" hidden="1" customHeight="1">
      <c r="C10584" s="701"/>
      <c r="D10584" s="811"/>
      <c r="E10584" s="1276">
        <f>[11]building!Y10915</f>
        <v>0</v>
      </c>
      <c r="F10584" s="748">
        <f t="shared" si="404"/>
        <v>0</v>
      </c>
      <c r="G10584" s="1205"/>
      <c r="H10584" s="1055"/>
      <c r="I10584" s="1055"/>
      <c r="J10584" s="1055"/>
      <c r="K10584" s="1205"/>
      <c r="L10584" s="1055"/>
      <c r="M10584" s="1205"/>
      <c r="N10584" s="1054"/>
      <c r="O10584" s="1207"/>
      <c r="Q10584" s="1207"/>
    </row>
    <row r="10585" spans="3:17" s="700" customFormat="1" ht="70.5" hidden="1" customHeight="1">
      <c r="C10585" s="701"/>
      <c r="D10585" s="811"/>
      <c r="E10585" s="1276">
        <f>[11]building!Y10916</f>
        <v>0</v>
      </c>
      <c r="F10585" s="748">
        <f t="shared" si="404"/>
        <v>0</v>
      </c>
      <c r="G10585" s="1205"/>
      <c r="H10585" s="1055"/>
      <c r="I10585" s="1055"/>
      <c r="J10585" s="1055"/>
      <c r="K10585" s="1205"/>
      <c r="L10585" s="1055"/>
      <c r="M10585" s="1205"/>
      <c r="N10585" s="1054"/>
      <c r="O10585" s="1207"/>
      <c r="Q10585" s="1207"/>
    </row>
    <row r="10586" spans="3:17" s="700" customFormat="1" ht="70.5" hidden="1" customHeight="1">
      <c r="C10586" s="701"/>
      <c r="D10586" s="811"/>
      <c r="E10586" s="1276">
        <f>[11]building!Y10917</f>
        <v>0</v>
      </c>
      <c r="F10586" s="748">
        <f t="shared" si="404"/>
        <v>0</v>
      </c>
      <c r="G10586" s="1205"/>
      <c r="H10586" s="1055"/>
      <c r="I10586" s="1055"/>
      <c r="J10586" s="1055"/>
      <c r="K10586" s="1205"/>
      <c r="L10586" s="1055"/>
      <c r="M10586" s="1205"/>
      <c r="N10586" s="1054"/>
      <c r="O10586" s="1207"/>
      <c r="Q10586" s="1207"/>
    </row>
    <row r="10587" spans="3:17" s="700" customFormat="1" ht="70.5" hidden="1" customHeight="1">
      <c r="C10587" s="701"/>
      <c r="D10587" s="811"/>
      <c r="E10587" s="1276">
        <f>[11]building!Y10918</f>
        <v>0</v>
      </c>
      <c r="F10587" s="748">
        <f t="shared" si="404"/>
        <v>0</v>
      </c>
      <c r="G10587" s="1205"/>
      <c r="H10587" s="1055"/>
      <c r="I10587" s="1055"/>
      <c r="J10587" s="1055"/>
      <c r="K10587" s="1205"/>
      <c r="L10587" s="1055"/>
      <c r="M10587" s="1205"/>
      <c r="N10587" s="1054"/>
      <c r="O10587" s="1207"/>
      <c r="Q10587" s="1207"/>
    </row>
    <row r="10588" spans="3:17" s="700" customFormat="1" ht="70.5" hidden="1" customHeight="1">
      <c r="C10588" s="701"/>
      <c r="D10588" s="811"/>
      <c r="E10588" s="1276">
        <f>[11]building!Y10919</f>
        <v>0</v>
      </c>
      <c r="F10588" s="748">
        <f t="shared" si="404"/>
        <v>0</v>
      </c>
      <c r="G10588" s="1205"/>
      <c r="H10588" s="1055"/>
      <c r="I10588" s="1055"/>
      <c r="J10588" s="1055"/>
      <c r="K10588" s="1205"/>
      <c r="L10588" s="1055"/>
      <c r="M10588" s="1205"/>
      <c r="N10588" s="1054"/>
      <c r="O10588" s="1207"/>
      <c r="Q10588" s="1207"/>
    </row>
    <row r="10589" spans="3:17" s="700" customFormat="1" ht="70.5" hidden="1" customHeight="1">
      <c r="C10589" s="701"/>
      <c r="D10589" s="811"/>
      <c r="E10589" s="1276">
        <f>[11]building!Y10920</f>
        <v>0</v>
      </c>
      <c r="F10589" s="748">
        <f t="shared" si="404"/>
        <v>0</v>
      </c>
      <c r="G10589" s="1205"/>
      <c r="H10589" s="1055"/>
      <c r="I10589" s="1055"/>
      <c r="J10589" s="1055"/>
      <c r="K10589" s="1205"/>
      <c r="L10589" s="1055"/>
      <c r="M10589" s="1205"/>
      <c r="N10589" s="1054"/>
      <c r="O10589" s="1207"/>
      <c r="Q10589" s="1207"/>
    </row>
    <row r="10590" spans="3:17" s="700" customFormat="1" ht="70.5" hidden="1" customHeight="1">
      <c r="C10590" s="701"/>
      <c r="D10590" s="811"/>
      <c r="E10590" s="1276">
        <f>[11]building!Y10921</f>
        <v>0</v>
      </c>
      <c r="F10590" s="748">
        <f t="shared" si="404"/>
        <v>0</v>
      </c>
      <c r="G10590" s="1205"/>
      <c r="H10590" s="1055"/>
      <c r="I10590" s="1055"/>
      <c r="J10590" s="1055"/>
      <c r="K10590" s="1205"/>
      <c r="L10590" s="1055"/>
      <c r="M10590" s="1205"/>
      <c r="N10590" s="1054"/>
      <c r="O10590" s="1207"/>
      <c r="Q10590" s="1207"/>
    </row>
    <row r="10591" spans="3:17" s="700" customFormat="1" ht="70.5" hidden="1" customHeight="1">
      <c r="C10591" s="701"/>
      <c r="D10591" s="811"/>
      <c r="E10591" s="1276">
        <f>[11]building!Y10922</f>
        <v>0</v>
      </c>
      <c r="F10591" s="748">
        <f t="shared" si="404"/>
        <v>0</v>
      </c>
      <c r="G10591" s="1205"/>
      <c r="H10591" s="1055"/>
      <c r="I10591" s="1055"/>
      <c r="J10591" s="1055"/>
      <c r="K10591" s="1205"/>
      <c r="L10591" s="1055"/>
      <c r="M10591" s="1205"/>
      <c r="N10591" s="1054"/>
      <c r="O10591" s="1207"/>
      <c r="Q10591" s="1207"/>
    </row>
    <row r="10592" spans="3:17" s="700" customFormat="1" ht="70.5" hidden="1" customHeight="1">
      <c r="C10592" s="701"/>
      <c r="D10592" s="811"/>
      <c r="E10592" s="1276">
        <f>[11]building!Y10923</f>
        <v>0</v>
      </c>
      <c r="F10592" s="748">
        <f t="shared" si="404"/>
        <v>0</v>
      </c>
      <c r="G10592" s="1205"/>
      <c r="H10592" s="1055"/>
      <c r="I10592" s="1055"/>
      <c r="J10592" s="1055"/>
      <c r="K10592" s="1205"/>
      <c r="L10592" s="1055"/>
      <c r="M10592" s="1205"/>
      <c r="N10592" s="1054"/>
      <c r="O10592" s="1207"/>
      <c r="Q10592" s="1207"/>
    </row>
    <row r="10593" spans="3:17" s="700" customFormat="1" ht="70.5" hidden="1" customHeight="1">
      <c r="C10593" s="701"/>
      <c r="D10593" s="811"/>
      <c r="E10593" s="1276">
        <f>[11]building!Y10924</f>
        <v>0</v>
      </c>
      <c r="F10593" s="748">
        <f t="shared" si="404"/>
        <v>0</v>
      </c>
      <c r="G10593" s="1205"/>
      <c r="H10593" s="1055"/>
      <c r="I10593" s="1055"/>
      <c r="J10593" s="1055"/>
      <c r="K10593" s="1205"/>
      <c r="L10593" s="1055"/>
      <c r="M10593" s="1205"/>
      <c r="N10593" s="1054"/>
      <c r="O10593" s="1207"/>
      <c r="Q10593" s="1207"/>
    </row>
    <row r="10594" spans="3:17" s="700" customFormat="1" ht="70.5" hidden="1" customHeight="1">
      <c r="C10594" s="701"/>
      <c r="D10594" s="811"/>
      <c r="E10594" s="1276">
        <f>[11]building!Y10925</f>
        <v>0</v>
      </c>
      <c r="F10594" s="748">
        <f t="shared" si="404"/>
        <v>0</v>
      </c>
      <c r="G10594" s="1205"/>
      <c r="H10594" s="1055"/>
      <c r="I10594" s="1055"/>
      <c r="J10594" s="1055"/>
      <c r="K10594" s="1205"/>
      <c r="L10594" s="1055"/>
      <c r="M10594" s="1205"/>
      <c r="N10594" s="1054"/>
      <c r="O10594" s="1207"/>
      <c r="Q10594" s="1207"/>
    </row>
    <row r="10595" spans="3:17" s="700" customFormat="1" ht="70.5" hidden="1" customHeight="1">
      <c r="C10595" s="701"/>
      <c r="D10595" s="811"/>
      <c r="E10595" s="1276">
        <f>[11]building!Y10926</f>
        <v>0</v>
      </c>
      <c r="F10595" s="748">
        <f t="shared" si="404"/>
        <v>0</v>
      </c>
      <c r="G10595" s="1205"/>
      <c r="H10595" s="1055"/>
      <c r="I10595" s="1055"/>
      <c r="J10595" s="1055"/>
      <c r="K10595" s="1205"/>
      <c r="L10595" s="1055"/>
      <c r="M10595" s="1205"/>
      <c r="N10595" s="1054"/>
      <c r="O10595" s="1207"/>
      <c r="Q10595" s="1207"/>
    </row>
    <row r="10596" spans="3:17" s="700" customFormat="1" ht="70.5" hidden="1" customHeight="1">
      <c r="C10596" s="701"/>
      <c r="D10596" s="811"/>
      <c r="E10596" s="1276">
        <f>[11]building!Y10927</f>
        <v>0</v>
      </c>
      <c r="F10596" s="748">
        <f t="shared" si="404"/>
        <v>0</v>
      </c>
      <c r="G10596" s="1205"/>
      <c r="H10596" s="1055"/>
      <c r="I10596" s="1055"/>
      <c r="J10596" s="1055"/>
      <c r="K10596" s="1205"/>
      <c r="L10596" s="1055"/>
      <c r="M10596" s="1205"/>
      <c r="N10596" s="1054"/>
      <c r="O10596" s="1207"/>
      <c r="Q10596" s="1207"/>
    </row>
    <row r="10597" spans="3:17" s="700" customFormat="1" ht="70.5" hidden="1" customHeight="1">
      <c r="C10597" s="701"/>
      <c r="D10597" s="811"/>
      <c r="E10597" s="1276">
        <f>[11]building!Y10928</f>
        <v>0</v>
      </c>
      <c r="F10597" s="748">
        <f t="shared" si="404"/>
        <v>0</v>
      </c>
      <c r="G10597" s="1205"/>
      <c r="H10597" s="1055"/>
      <c r="I10597" s="1055"/>
      <c r="J10597" s="1055"/>
      <c r="K10597" s="1205"/>
      <c r="L10597" s="1055"/>
      <c r="M10597" s="1205"/>
      <c r="N10597" s="1054"/>
      <c r="O10597" s="1207"/>
      <c r="Q10597" s="1207"/>
    </row>
    <row r="10598" spans="3:17" s="700" customFormat="1" ht="70.5" hidden="1" customHeight="1">
      <c r="C10598" s="701"/>
      <c r="D10598" s="811"/>
      <c r="E10598" s="1276">
        <f>[11]building!Y10929</f>
        <v>0</v>
      </c>
      <c r="F10598" s="748">
        <f t="shared" si="404"/>
        <v>0</v>
      </c>
      <c r="G10598" s="1205"/>
      <c r="H10598" s="1055"/>
      <c r="I10598" s="1055"/>
      <c r="J10598" s="1055"/>
      <c r="K10598" s="1205"/>
      <c r="L10598" s="1055"/>
      <c r="M10598" s="1205"/>
      <c r="N10598" s="1054"/>
      <c r="O10598" s="1207"/>
      <c r="Q10598" s="1207"/>
    </row>
    <row r="10599" spans="3:17" s="700" customFormat="1" ht="70.5" hidden="1" customHeight="1">
      <c r="C10599" s="701"/>
      <c r="D10599" s="811"/>
      <c r="E10599" s="1276">
        <f>[11]building!Y10930</f>
        <v>0</v>
      </c>
      <c r="F10599" s="748">
        <f t="shared" si="404"/>
        <v>0</v>
      </c>
      <c r="G10599" s="1205"/>
      <c r="H10599" s="1055"/>
      <c r="I10599" s="1055"/>
      <c r="J10599" s="1055"/>
      <c r="K10599" s="1205"/>
      <c r="L10599" s="1055"/>
      <c r="M10599" s="1205"/>
      <c r="N10599" s="1054"/>
      <c r="O10599" s="1207"/>
      <c r="Q10599" s="1207"/>
    </row>
    <row r="10600" spans="3:17" s="700" customFormat="1" ht="70.5" hidden="1" customHeight="1">
      <c r="C10600" s="701"/>
      <c r="D10600" s="811"/>
      <c r="E10600" s="1276">
        <f>[11]building!Y10931</f>
        <v>0</v>
      </c>
      <c r="F10600" s="748">
        <f t="shared" si="404"/>
        <v>0</v>
      </c>
      <c r="G10600" s="1205"/>
      <c r="H10600" s="1055"/>
      <c r="I10600" s="1055"/>
      <c r="J10600" s="1055"/>
      <c r="K10600" s="1205"/>
      <c r="L10600" s="1055"/>
      <c r="M10600" s="1205"/>
      <c r="N10600" s="1054"/>
      <c r="O10600" s="1207"/>
      <c r="Q10600" s="1207"/>
    </row>
    <row r="10601" spans="3:17" s="700" customFormat="1" ht="70.5" hidden="1" customHeight="1">
      <c r="C10601" s="701"/>
      <c r="D10601" s="811"/>
      <c r="E10601" s="1276">
        <f>[11]building!Y10932</f>
        <v>0</v>
      </c>
      <c r="F10601" s="748">
        <f t="shared" si="404"/>
        <v>0</v>
      </c>
      <c r="G10601" s="1205"/>
      <c r="H10601" s="1055"/>
      <c r="I10601" s="1055"/>
      <c r="J10601" s="1055"/>
      <c r="K10601" s="1205"/>
      <c r="L10601" s="1055"/>
      <c r="M10601" s="1205"/>
      <c r="N10601" s="1054"/>
      <c r="O10601" s="1207"/>
      <c r="Q10601" s="1207"/>
    </row>
    <row r="10602" spans="3:17" s="700" customFormat="1" ht="70.5" hidden="1" customHeight="1">
      <c r="C10602" s="701"/>
      <c r="D10602" s="811"/>
      <c r="E10602" s="1276">
        <f>[11]building!Y10933</f>
        <v>0</v>
      </c>
      <c r="F10602" s="748">
        <f t="shared" si="404"/>
        <v>0</v>
      </c>
      <c r="G10602" s="1205"/>
      <c r="H10602" s="1055"/>
      <c r="I10602" s="1055"/>
      <c r="J10602" s="1055"/>
      <c r="K10602" s="1205"/>
      <c r="L10602" s="1055"/>
      <c r="M10602" s="1205"/>
      <c r="N10602" s="1054"/>
      <c r="O10602" s="1207"/>
      <c r="Q10602" s="1207"/>
    </row>
    <row r="10603" spans="3:17" s="700" customFormat="1" ht="70.5" hidden="1" customHeight="1">
      <c r="C10603" s="701"/>
      <c r="D10603" s="811"/>
      <c r="E10603" s="1276">
        <f>[11]building!Y10934</f>
        <v>0</v>
      </c>
      <c r="F10603" s="748">
        <f t="shared" si="404"/>
        <v>0</v>
      </c>
      <c r="G10603" s="1205"/>
      <c r="H10603" s="1055"/>
      <c r="I10603" s="1055"/>
      <c r="J10603" s="1055"/>
      <c r="K10603" s="1205"/>
      <c r="L10603" s="1055"/>
      <c r="M10603" s="1205"/>
      <c r="N10603" s="1054"/>
      <c r="O10603" s="1207"/>
      <c r="Q10603" s="1207"/>
    </row>
    <row r="10604" spans="3:17" s="700" customFormat="1" ht="70.5" hidden="1" customHeight="1">
      <c r="C10604" s="701"/>
      <c r="D10604" s="811"/>
      <c r="E10604" s="1276">
        <f>[11]building!Y10935</f>
        <v>0</v>
      </c>
      <c r="F10604" s="748">
        <f t="shared" si="404"/>
        <v>0</v>
      </c>
      <c r="G10604" s="1205"/>
      <c r="H10604" s="1055"/>
      <c r="I10604" s="1055"/>
      <c r="J10604" s="1055"/>
      <c r="K10604" s="1205"/>
      <c r="L10604" s="1055"/>
      <c r="M10604" s="1205"/>
      <c r="N10604" s="1054"/>
      <c r="O10604" s="1207"/>
      <c r="Q10604" s="1207"/>
    </row>
    <row r="10605" spans="3:17" s="700" customFormat="1" ht="70.5" hidden="1" customHeight="1">
      <c r="C10605" s="701"/>
      <c r="D10605" s="811"/>
      <c r="E10605" s="1276">
        <f>[11]building!Y10936</f>
        <v>0</v>
      </c>
      <c r="F10605" s="748">
        <f t="shared" si="404"/>
        <v>0</v>
      </c>
      <c r="G10605" s="1205"/>
      <c r="H10605" s="1055"/>
      <c r="I10605" s="1055"/>
      <c r="J10605" s="1055"/>
      <c r="K10605" s="1205"/>
      <c r="L10605" s="1055"/>
      <c r="M10605" s="1205"/>
      <c r="N10605" s="1054"/>
      <c r="O10605" s="1207"/>
      <c r="Q10605" s="1207"/>
    </row>
    <row r="10606" spans="3:17" s="700" customFormat="1" ht="70.5" hidden="1" customHeight="1">
      <c r="C10606" s="701"/>
      <c r="D10606" s="811"/>
      <c r="E10606" s="1276">
        <f>[11]building!Y10937</f>
        <v>0</v>
      </c>
      <c r="F10606" s="748">
        <f t="shared" si="404"/>
        <v>0</v>
      </c>
      <c r="G10606" s="1205"/>
      <c r="H10606" s="1055"/>
      <c r="I10606" s="1055"/>
      <c r="J10606" s="1055"/>
      <c r="K10606" s="1205"/>
      <c r="L10606" s="1055"/>
      <c r="M10606" s="1205"/>
      <c r="N10606" s="1054"/>
      <c r="O10606" s="1207"/>
      <c r="Q10606" s="1207"/>
    </row>
    <row r="10607" spans="3:17" s="700" customFormat="1" ht="70.5" hidden="1" customHeight="1">
      <c r="C10607" s="701"/>
      <c r="D10607" s="811"/>
      <c r="E10607" s="1276">
        <f>[11]building!Y10938</f>
        <v>0</v>
      </c>
      <c r="F10607" s="748">
        <f t="shared" si="404"/>
        <v>0</v>
      </c>
      <c r="G10607" s="1205"/>
      <c r="H10607" s="1055"/>
      <c r="I10607" s="1055"/>
      <c r="J10607" s="1055"/>
      <c r="K10607" s="1205"/>
      <c r="L10607" s="1055"/>
      <c r="M10607" s="1205"/>
      <c r="N10607" s="1054"/>
      <c r="O10607" s="1207"/>
      <c r="Q10607" s="1207"/>
    </row>
    <row r="10608" spans="3:17" s="700" customFormat="1" ht="70.5" hidden="1" customHeight="1">
      <c r="C10608" s="701"/>
      <c r="D10608" s="811"/>
      <c r="E10608" s="1276">
        <f>[11]building!Y10939</f>
        <v>0</v>
      </c>
      <c r="F10608" s="748">
        <f t="shared" si="404"/>
        <v>0</v>
      </c>
      <c r="G10608" s="1205"/>
      <c r="H10608" s="1055"/>
      <c r="I10608" s="1055"/>
      <c r="J10608" s="1055"/>
      <c r="K10608" s="1205"/>
      <c r="L10608" s="1055"/>
      <c r="M10608" s="1205"/>
      <c r="N10608" s="1054"/>
      <c r="O10608" s="1207"/>
      <c r="Q10608" s="1207"/>
    </row>
    <row r="10609" spans="3:17" s="700" customFormat="1" ht="70.5" hidden="1" customHeight="1">
      <c r="C10609" s="701"/>
      <c r="D10609" s="811"/>
      <c r="E10609" s="1276">
        <f>[11]building!Y10940</f>
        <v>0</v>
      </c>
      <c r="F10609" s="748">
        <f t="shared" si="404"/>
        <v>0</v>
      </c>
      <c r="G10609" s="1205"/>
      <c r="H10609" s="1055"/>
      <c r="I10609" s="1055"/>
      <c r="J10609" s="1055"/>
      <c r="K10609" s="1205"/>
      <c r="L10609" s="1055"/>
      <c r="M10609" s="1205"/>
      <c r="N10609" s="1054"/>
      <c r="O10609" s="1207"/>
      <c r="Q10609" s="1207"/>
    </row>
    <row r="10610" spans="3:17" s="700" customFormat="1" ht="70.5" hidden="1" customHeight="1">
      <c r="C10610" s="701"/>
      <c r="D10610" s="811"/>
      <c r="E10610" s="1276">
        <f>[11]building!Y10941</f>
        <v>0</v>
      </c>
      <c r="F10610" s="748">
        <f t="shared" si="404"/>
        <v>0</v>
      </c>
      <c r="G10610" s="1205"/>
      <c r="H10610" s="1055"/>
      <c r="I10610" s="1055"/>
      <c r="J10610" s="1055"/>
      <c r="K10610" s="1205"/>
      <c r="L10610" s="1055"/>
      <c r="M10610" s="1205"/>
      <c r="N10610" s="1054"/>
      <c r="O10610" s="1207"/>
      <c r="Q10610" s="1207"/>
    </row>
    <row r="10611" spans="3:17" s="700" customFormat="1" ht="70.5" hidden="1" customHeight="1">
      <c r="C10611" s="701"/>
      <c r="D10611" s="811"/>
      <c r="E10611" s="1276">
        <f>[11]building!Y10942</f>
        <v>0</v>
      </c>
      <c r="F10611" s="748">
        <f t="shared" si="404"/>
        <v>0</v>
      </c>
      <c r="G10611" s="1205"/>
      <c r="H10611" s="1055"/>
      <c r="I10611" s="1055"/>
      <c r="J10611" s="1055"/>
      <c r="K10611" s="1205"/>
      <c r="L10611" s="1055"/>
      <c r="M10611" s="1205"/>
      <c r="N10611" s="1054"/>
      <c r="O10611" s="1207"/>
      <c r="Q10611" s="1207"/>
    </row>
    <row r="10612" spans="3:17" s="700" customFormat="1" ht="70.5" hidden="1" customHeight="1">
      <c r="C10612" s="701"/>
      <c r="D10612" s="811"/>
      <c r="E10612" s="1276">
        <f>[11]building!Y10943</f>
        <v>0</v>
      </c>
      <c r="F10612" s="748">
        <f t="shared" si="404"/>
        <v>0</v>
      </c>
      <c r="G10612" s="1205"/>
      <c r="H10612" s="1055"/>
      <c r="I10612" s="1055"/>
      <c r="J10612" s="1055"/>
      <c r="K10612" s="1205"/>
      <c r="L10612" s="1055"/>
      <c r="M10612" s="1205"/>
      <c r="N10612" s="1054"/>
      <c r="O10612" s="1207"/>
      <c r="Q10612" s="1207"/>
    </row>
    <row r="10613" spans="3:17" s="700" customFormat="1" ht="70.5" hidden="1" customHeight="1">
      <c r="C10613" s="701"/>
      <c r="D10613" s="811"/>
      <c r="E10613" s="1276">
        <f>[11]building!Y10944</f>
        <v>0</v>
      </c>
      <c r="F10613" s="748">
        <f t="shared" si="404"/>
        <v>0</v>
      </c>
      <c r="G10613" s="1205"/>
      <c r="H10613" s="1055"/>
      <c r="I10613" s="1055"/>
      <c r="J10613" s="1055"/>
      <c r="K10613" s="1205"/>
      <c r="L10613" s="1055"/>
      <c r="M10613" s="1205"/>
      <c r="N10613" s="1054"/>
      <c r="O10613" s="1207"/>
      <c r="Q10613" s="1207"/>
    </row>
    <row r="10614" spans="3:17" s="700" customFormat="1" ht="70.5" hidden="1" customHeight="1">
      <c r="C10614" s="701"/>
      <c r="D10614" s="811"/>
      <c r="E10614" s="1276">
        <f>[11]building!Y10945</f>
        <v>0</v>
      </c>
      <c r="F10614" s="748">
        <f t="shared" si="404"/>
        <v>0</v>
      </c>
      <c r="G10614" s="1205"/>
      <c r="H10614" s="1055"/>
      <c r="I10614" s="1055"/>
      <c r="J10614" s="1055"/>
      <c r="K10614" s="1205"/>
      <c r="L10614" s="1055"/>
      <c r="M10614" s="1205"/>
      <c r="N10614" s="1054"/>
      <c r="O10614" s="1207"/>
      <c r="Q10614" s="1207"/>
    </row>
    <row r="10615" spans="3:17" s="700" customFormat="1" ht="70.5" hidden="1" customHeight="1">
      <c r="C10615" s="701"/>
      <c r="D10615" s="811"/>
      <c r="E10615" s="1276">
        <f>[11]building!Y10946</f>
        <v>0</v>
      </c>
      <c r="F10615" s="748">
        <f t="shared" si="404"/>
        <v>0</v>
      </c>
      <c r="G10615" s="1205"/>
      <c r="H10615" s="1055"/>
      <c r="I10615" s="1055"/>
      <c r="J10615" s="1055"/>
      <c r="K10615" s="1205"/>
      <c r="L10615" s="1055"/>
      <c r="M10615" s="1205"/>
      <c r="N10615" s="1054"/>
      <c r="O10615" s="1207"/>
      <c r="Q10615" s="1207"/>
    </row>
    <row r="10616" spans="3:17" s="700" customFormat="1" ht="70.5" hidden="1" customHeight="1">
      <c r="C10616" s="701"/>
      <c r="D10616" s="811"/>
      <c r="E10616" s="1276">
        <f>[11]building!Y10947</f>
        <v>0</v>
      </c>
      <c r="F10616" s="748">
        <f t="shared" si="404"/>
        <v>0</v>
      </c>
      <c r="G10616" s="1205"/>
      <c r="H10616" s="1055"/>
      <c r="I10616" s="1055"/>
      <c r="J10616" s="1055"/>
      <c r="K10616" s="1205"/>
      <c r="L10616" s="1055"/>
      <c r="M10616" s="1205"/>
      <c r="N10616" s="1054"/>
      <c r="O10616" s="1207"/>
      <c r="Q10616" s="1207"/>
    </row>
    <row r="10617" spans="3:17" s="700" customFormat="1" ht="70.5" hidden="1" customHeight="1">
      <c r="C10617" s="701"/>
      <c r="D10617" s="811"/>
      <c r="E10617" s="1276">
        <f>[11]building!Y10948</f>
        <v>0</v>
      </c>
      <c r="F10617" s="748">
        <f t="shared" si="404"/>
        <v>0</v>
      </c>
      <c r="G10617" s="1205"/>
      <c r="H10617" s="1055"/>
      <c r="I10617" s="1055"/>
      <c r="J10617" s="1055"/>
      <c r="K10617" s="1205"/>
      <c r="L10617" s="1055"/>
      <c r="M10617" s="1205"/>
      <c r="N10617" s="1054"/>
      <c r="O10617" s="1207"/>
      <c r="Q10617" s="1207"/>
    </row>
    <row r="10618" spans="3:17" s="700" customFormat="1" ht="70.5" hidden="1" customHeight="1">
      <c r="C10618" s="701"/>
      <c r="D10618" s="811"/>
      <c r="E10618" s="1276">
        <f>[11]building!Y10949</f>
        <v>0</v>
      </c>
      <c r="F10618" s="748">
        <f t="shared" si="404"/>
        <v>0</v>
      </c>
      <c r="G10618" s="1205"/>
      <c r="H10618" s="1055"/>
      <c r="I10618" s="1055"/>
      <c r="J10618" s="1055"/>
      <c r="K10618" s="1205"/>
      <c r="L10618" s="1055"/>
      <c r="M10618" s="1205"/>
      <c r="N10618" s="1054"/>
      <c r="O10618" s="1207"/>
      <c r="Q10618" s="1207"/>
    </row>
    <row r="10619" spans="3:17" s="700" customFormat="1" ht="70.5" hidden="1" customHeight="1">
      <c r="C10619" s="701"/>
      <c r="D10619" s="811"/>
      <c r="E10619" s="1276">
        <f>[11]building!Y10950</f>
        <v>0</v>
      </c>
      <c r="F10619" s="748">
        <f t="shared" si="404"/>
        <v>0</v>
      </c>
      <c r="G10619" s="1205"/>
      <c r="H10619" s="1055"/>
      <c r="I10619" s="1055"/>
      <c r="J10619" s="1055"/>
      <c r="K10619" s="1205"/>
      <c r="L10619" s="1055"/>
      <c r="M10619" s="1205"/>
      <c r="N10619" s="1054"/>
      <c r="O10619" s="1207"/>
      <c r="Q10619" s="1207"/>
    </row>
    <row r="10620" spans="3:17" s="700" customFormat="1" ht="70.5" hidden="1" customHeight="1">
      <c r="C10620" s="701"/>
      <c r="D10620" s="811"/>
      <c r="E10620" s="1276">
        <f>[11]building!Y10951</f>
        <v>0</v>
      </c>
      <c r="F10620" s="748">
        <f t="shared" si="404"/>
        <v>0</v>
      </c>
      <c r="G10620" s="1205"/>
      <c r="H10620" s="1055"/>
      <c r="I10620" s="1055"/>
      <c r="J10620" s="1055"/>
      <c r="K10620" s="1205"/>
      <c r="L10620" s="1055"/>
      <c r="M10620" s="1205"/>
      <c r="N10620" s="1054"/>
      <c r="O10620" s="1207"/>
      <c r="Q10620" s="1207"/>
    </row>
    <row r="10621" spans="3:17" s="700" customFormat="1" ht="70.5" hidden="1" customHeight="1">
      <c r="C10621" s="701"/>
      <c r="D10621" s="811"/>
      <c r="E10621" s="1276">
        <f>[11]building!Y10952</f>
        <v>0</v>
      </c>
      <c r="F10621" s="748">
        <f t="shared" si="404"/>
        <v>0</v>
      </c>
      <c r="G10621" s="1205"/>
      <c r="H10621" s="1055"/>
      <c r="I10621" s="1055"/>
      <c r="J10621" s="1055"/>
      <c r="K10621" s="1205"/>
      <c r="L10621" s="1055"/>
      <c r="M10621" s="1205"/>
      <c r="N10621" s="1054"/>
      <c r="O10621" s="1207"/>
      <c r="Q10621" s="1207"/>
    </row>
    <row r="10622" spans="3:17" s="700" customFormat="1" ht="70.5" hidden="1" customHeight="1">
      <c r="C10622" s="701"/>
      <c r="D10622" s="811"/>
      <c r="E10622" s="1276">
        <f>[11]building!Y10953</f>
        <v>0</v>
      </c>
      <c r="F10622" s="748">
        <f t="shared" si="404"/>
        <v>0</v>
      </c>
      <c r="G10622" s="1205"/>
      <c r="H10622" s="1055"/>
      <c r="I10622" s="1055"/>
      <c r="J10622" s="1055"/>
      <c r="K10622" s="1205"/>
      <c r="L10622" s="1055"/>
      <c r="M10622" s="1205"/>
      <c r="N10622" s="1054"/>
      <c r="O10622" s="1207"/>
      <c r="Q10622" s="1207"/>
    </row>
    <row r="10623" spans="3:17" s="700" customFormat="1" ht="70.5" hidden="1" customHeight="1">
      <c r="C10623" s="701"/>
      <c r="D10623" s="811"/>
      <c r="E10623" s="1276">
        <f>[11]building!Y10954</f>
        <v>0</v>
      </c>
      <c r="F10623" s="748">
        <f t="shared" si="404"/>
        <v>0</v>
      </c>
      <c r="G10623" s="1205"/>
      <c r="H10623" s="1055"/>
      <c r="I10623" s="1055"/>
      <c r="J10623" s="1055"/>
      <c r="K10623" s="1205"/>
      <c r="L10623" s="1055"/>
      <c r="M10623" s="1205"/>
      <c r="N10623" s="1054"/>
      <c r="O10623" s="1207"/>
      <c r="Q10623" s="1207"/>
    </row>
    <row r="10624" spans="3:17" s="700" customFormat="1" ht="70.5" hidden="1" customHeight="1">
      <c r="C10624" s="701"/>
      <c r="D10624" s="811"/>
      <c r="E10624" s="1276">
        <f>[11]building!Y10955</f>
        <v>0</v>
      </c>
      <c r="F10624" s="748">
        <f t="shared" ref="F10624:F10687" si="405">E10624*C10624</f>
        <v>0</v>
      </c>
      <c r="G10624" s="1205"/>
      <c r="H10624" s="1055"/>
      <c r="I10624" s="1055"/>
      <c r="J10624" s="1055"/>
      <c r="K10624" s="1205"/>
      <c r="L10624" s="1055"/>
      <c r="M10624" s="1205"/>
      <c r="N10624" s="1054"/>
      <c r="O10624" s="1207"/>
      <c r="Q10624" s="1207"/>
    </row>
    <row r="10625" spans="3:17" s="700" customFormat="1" ht="70.5" hidden="1" customHeight="1">
      <c r="C10625" s="701"/>
      <c r="D10625" s="811"/>
      <c r="E10625" s="1276">
        <f>[11]building!Y10956</f>
        <v>0</v>
      </c>
      <c r="F10625" s="748">
        <f t="shared" si="405"/>
        <v>0</v>
      </c>
      <c r="G10625" s="1205"/>
      <c r="H10625" s="1055"/>
      <c r="I10625" s="1055"/>
      <c r="J10625" s="1055"/>
      <c r="K10625" s="1205"/>
      <c r="L10625" s="1055"/>
      <c r="M10625" s="1205"/>
      <c r="N10625" s="1054"/>
      <c r="O10625" s="1207"/>
      <c r="Q10625" s="1207"/>
    </row>
    <row r="10626" spans="3:17" s="700" customFormat="1" ht="70.5" hidden="1" customHeight="1">
      <c r="C10626" s="701"/>
      <c r="D10626" s="811"/>
      <c r="E10626" s="1276">
        <f>[11]building!Y10957</f>
        <v>0</v>
      </c>
      <c r="F10626" s="748">
        <f t="shared" si="405"/>
        <v>0</v>
      </c>
      <c r="G10626" s="1205"/>
      <c r="H10626" s="1055"/>
      <c r="I10626" s="1055"/>
      <c r="J10626" s="1055"/>
      <c r="K10626" s="1205"/>
      <c r="L10626" s="1055"/>
      <c r="M10626" s="1205"/>
      <c r="N10626" s="1054"/>
      <c r="O10626" s="1207"/>
      <c r="Q10626" s="1207"/>
    </row>
    <row r="10627" spans="3:17" s="700" customFormat="1" ht="70.5" hidden="1" customHeight="1">
      <c r="C10627" s="701"/>
      <c r="D10627" s="811"/>
      <c r="E10627" s="1276">
        <f>[11]building!Y10958</f>
        <v>0</v>
      </c>
      <c r="F10627" s="748">
        <f t="shared" si="405"/>
        <v>0</v>
      </c>
      <c r="G10627" s="1205"/>
      <c r="H10627" s="1055"/>
      <c r="I10627" s="1055"/>
      <c r="J10627" s="1055"/>
      <c r="K10627" s="1205"/>
      <c r="L10627" s="1055"/>
      <c r="M10627" s="1205"/>
      <c r="N10627" s="1054"/>
      <c r="O10627" s="1207"/>
      <c r="Q10627" s="1207"/>
    </row>
    <row r="10628" spans="3:17" s="700" customFormat="1" ht="70.5" hidden="1" customHeight="1">
      <c r="C10628" s="701"/>
      <c r="D10628" s="811"/>
      <c r="E10628" s="1276">
        <f>[11]building!Y10959</f>
        <v>0</v>
      </c>
      <c r="F10628" s="748">
        <f t="shared" si="405"/>
        <v>0</v>
      </c>
      <c r="G10628" s="1205"/>
      <c r="H10628" s="1055"/>
      <c r="I10628" s="1055"/>
      <c r="J10628" s="1055"/>
      <c r="K10628" s="1205"/>
      <c r="L10628" s="1055"/>
      <c r="M10628" s="1205"/>
      <c r="N10628" s="1054"/>
      <c r="O10628" s="1207"/>
      <c r="Q10628" s="1207"/>
    </row>
    <row r="10629" spans="3:17" s="700" customFormat="1" ht="70.5" hidden="1" customHeight="1">
      <c r="C10629" s="701"/>
      <c r="D10629" s="811"/>
      <c r="E10629" s="1276">
        <f>[11]building!Y10960</f>
        <v>0</v>
      </c>
      <c r="F10629" s="748">
        <f t="shared" si="405"/>
        <v>0</v>
      </c>
      <c r="G10629" s="1205"/>
      <c r="H10629" s="1055"/>
      <c r="I10629" s="1055"/>
      <c r="J10629" s="1055"/>
      <c r="K10629" s="1205"/>
      <c r="L10629" s="1055"/>
      <c r="M10629" s="1205"/>
      <c r="N10629" s="1054"/>
      <c r="O10629" s="1207"/>
      <c r="Q10629" s="1207"/>
    </row>
    <row r="10630" spans="3:17" s="700" customFormat="1" ht="70.5" hidden="1" customHeight="1">
      <c r="C10630" s="701"/>
      <c r="D10630" s="811"/>
      <c r="E10630" s="1276">
        <f>[11]building!Y10961</f>
        <v>0</v>
      </c>
      <c r="F10630" s="748">
        <f t="shared" si="405"/>
        <v>0</v>
      </c>
      <c r="G10630" s="1205"/>
      <c r="H10630" s="1055"/>
      <c r="I10630" s="1055"/>
      <c r="J10630" s="1055"/>
      <c r="K10630" s="1205"/>
      <c r="L10630" s="1055"/>
      <c r="M10630" s="1205"/>
      <c r="N10630" s="1054"/>
      <c r="O10630" s="1207"/>
      <c r="Q10630" s="1207"/>
    </row>
    <row r="10631" spans="3:17" s="700" customFormat="1" ht="70.5" hidden="1" customHeight="1">
      <c r="C10631" s="701"/>
      <c r="D10631" s="811"/>
      <c r="E10631" s="1276">
        <f>[11]building!Y10962</f>
        <v>0</v>
      </c>
      <c r="F10631" s="748">
        <f t="shared" si="405"/>
        <v>0</v>
      </c>
      <c r="G10631" s="1205"/>
      <c r="H10631" s="1055"/>
      <c r="I10631" s="1055"/>
      <c r="J10631" s="1055"/>
      <c r="K10631" s="1205"/>
      <c r="L10631" s="1055"/>
      <c r="M10631" s="1205"/>
      <c r="N10631" s="1054"/>
      <c r="O10631" s="1207"/>
      <c r="Q10631" s="1207"/>
    </row>
    <row r="10632" spans="3:17" s="700" customFormat="1" ht="70.5" hidden="1" customHeight="1">
      <c r="C10632" s="701"/>
      <c r="D10632" s="811"/>
      <c r="E10632" s="1276">
        <f>[11]building!Y10963</f>
        <v>0</v>
      </c>
      <c r="F10632" s="748">
        <f t="shared" si="405"/>
        <v>0</v>
      </c>
      <c r="G10632" s="1205"/>
      <c r="H10632" s="1055"/>
      <c r="I10632" s="1055"/>
      <c r="J10632" s="1055"/>
      <c r="K10632" s="1205"/>
      <c r="L10632" s="1055"/>
      <c r="M10632" s="1205"/>
      <c r="N10632" s="1054"/>
      <c r="O10632" s="1207"/>
      <c r="Q10632" s="1207"/>
    </row>
    <row r="10633" spans="3:17" s="700" customFormat="1" ht="70.5" hidden="1" customHeight="1">
      <c r="C10633" s="701"/>
      <c r="D10633" s="811"/>
      <c r="E10633" s="1276">
        <f>[11]building!Y10964</f>
        <v>0</v>
      </c>
      <c r="F10633" s="748">
        <f t="shared" si="405"/>
        <v>0</v>
      </c>
      <c r="G10633" s="1205"/>
      <c r="H10633" s="1055"/>
      <c r="I10633" s="1055"/>
      <c r="J10633" s="1055"/>
      <c r="K10633" s="1205"/>
      <c r="L10633" s="1055"/>
      <c r="M10633" s="1205"/>
      <c r="N10633" s="1054"/>
      <c r="O10633" s="1207"/>
      <c r="Q10633" s="1207"/>
    </row>
    <row r="10634" spans="3:17" s="700" customFormat="1" ht="70.5" hidden="1" customHeight="1">
      <c r="C10634" s="701"/>
      <c r="D10634" s="811"/>
      <c r="E10634" s="1276">
        <f>[11]building!Y10965</f>
        <v>0</v>
      </c>
      <c r="F10634" s="748">
        <f t="shared" si="405"/>
        <v>0</v>
      </c>
      <c r="G10634" s="1205"/>
      <c r="H10634" s="1055"/>
      <c r="I10634" s="1055"/>
      <c r="J10634" s="1055"/>
      <c r="K10634" s="1205"/>
      <c r="L10634" s="1055"/>
      <c r="M10634" s="1205"/>
      <c r="N10634" s="1054"/>
      <c r="O10634" s="1207"/>
      <c r="Q10634" s="1207"/>
    </row>
    <row r="10635" spans="3:17" s="700" customFormat="1" ht="70.5" hidden="1" customHeight="1">
      <c r="C10635" s="701"/>
      <c r="D10635" s="811"/>
      <c r="E10635" s="1276">
        <f>[11]building!Y10966</f>
        <v>0</v>
      </c>
      <c r="F10635" s="748">
        <f t="shared" si="405"/>
        <v>0</v>
      </c>
      <c r="G10635" s="1205"/>
      <c r="H10635" s="1055"/>
      <c r="I10635" s="1055"/>
      <c r="J10635" s="1055"/>
      <c r="K10635" s="1205"/>
      <c r="L10635" s="1055"/>
      <c r="M10635" s="1205"/>
      <c r="N10635" s="1054"/>
      <c r="O10635" s="1207"/>
      <c r="Q10635" s="1207"/>
    </row>
    <row r="10636" spans="3:17" s="700" customFormat="1" ht="70.5" hidden="1" customHeight="1">
      <c r="C10636" s="701"/>
      <c r="D10636" s="811"/>
      <c r="E10636" s="1276">
        <f>[11]building!Y10967</f>
        <v>0</v>
      </c>
      <c r="F10636" s="748">
        <f t="shared" si="405"/>
        <v>0</v>
      </c>
      <c r="G10636" s="1205"/>
      <c r="H10636" s="1055"/>
      <c r="I10636" s="1055"/>
      <c r="J10636" s="1055"/>
      <c r="K10636" s="1205"/>
      <c r="L10636" s="1055"/>
      <c r="M10636" s="1205"/>
      <c r="N10636" s="1054"/>
      <c r="O10636" s="1207"/>
      <c r="Q10636" s="1207"/>
    </row>
    <row r="10637" spans="3:17" s="700" customFormat="1" ht="70.5" hidden="1" customHeight="1">
      <c r="C10637" s="701"/>
      <c r="D10637" s="811"/>
      <c r="E10637" s="1276">
        <f>[11]building!Y10968</f>
        <v>0</v>
      </c>
      <c r="F10637" s="748">
        <f t="shared" si="405"/>
        <v>0</v>
      </c>
      <c r="G10637" s="1205"/>
      <c r="H10637" s="1055"/>
      <c r="I10637" s="1055"/>
      <c r="J10637" s="1055"/>
      <c r="K10637" s="1205"/>
      <c r="L10637" s="1055"/>
      <c r="M10637" s="1205"/>
      <c r="N10637" s="1054"/>
      <c r="O10637" s="1207"/>
      <c r="Q10637" s="1207"/>
    </row>
    <row r="10638" spans="3:17" s="700" customFormat="1" ht="70.5" hidden="1" customHeight="1">
      <c r="C10638" s="701"/>
      <c r="D10638" s="811"/>
      <c r="E10638" s="1276">
        <f>[11]building!Y10969</f>
        <v>0</v>
      </c>
      <c r="F10638" s="748">
        <f t="shared" si="405"/>
        <v>0</v>
      </c>
      <c r="G10638" s="1205"/>
      <c r="H10638" s="1055"/>
      <c r="I10638" s="1055"/>
      <c r="J10638" s="1055"/>
      <c r="K10638" s="1205"/>
      <c r="L10638" s="1055"/>
      <c r="M10638" s="1205"/>
      <c r="N10638" s="1054"/>
      <c r="O10638" s="1207"/>
      <c r="Q10638" s="1207"/>
    </row>
    <row r="10639" spans="3:17" s="700" customFormat="1" ht="70.5" hidden="1" customHeight="1">
      <c r="C10639" s="701"/>
      <c r="D10639" s="811"/>
      <c r="E10639" s="1276">
        <f>[11]building!Y10970</f>
        <v>0</v>
      </c>
      <c r="F10639" s="748">
        <f t="shared" si="405"/>
        <v>0</v>
      </c>
      <c r="G10639" s="1205"/>
      <c r="H10639" s="1055"/>
      <c r="I10639" s="1055"/>
      <c r="J10639" s="1055"/>
      <c r="K10639" s="1205"/>
      <c r="L10639" s="1055"/>
      <c r="M10639" s="1205"/>
      <c r="N10639" s="1054"/>
      <c r="O10639" s="1207"/>
      <c r="Q10639" s="1207"/>
    </row>
    <row r="10640" spans="3:17" s="700" customFormat="1" ht="70.5" hidden="1" customHeight="1">
      <c r="C10640" s="701"/>
      <c r="D10640" s="811"/>
      <c r="E10640" s="1276">
        <f>[11]building!Y10971</f>
        <v>0</v>
      </c>
      <c r="F10640" s="748">
        <f t="shared" si="405"/>
        <v>0</v>
      </c>
      <c r="G10640" s="1205"/>
      <c r="H10640" s="1055"/>
      <c r="I10640" s="1055"/>
      <c r="J10640" s="1055"/>
      <c r="K10640" s="1205"/>
      <c r="L10640" s="1055"/>
      <c r="M10640" s="1205"/>
      <c r="N10640" s="1054"/>
      <c r="O10640" s="1207"/>
      <c r="Q10640" s="1207"/>
    </row>
    <row r="10641" spans="3:17" s="700" customFormat="1" ht="70.5" hidden="1" customHeight="1">
      <c r="C10641" s="701"/>
      <c r="D10641" s="811"/>
      <c r="E10641" s="1276">
        <f>[11]building!Y10972</f>
        <v>0</v>
      </c>
      <c r="F10641" s="748">
        <f t="shared" si="405"/>
        <v>0</v>
      </c>
      <c r="G10641" s="1205"/>
      <c r="H10641" s="1055"/>
      <c r="I10641" s="1055"/>
      <c r="J10641" s="1055"/>
      <c r="K10641" s="1205"/>
      <c r="L10641" s="1055"/>
      <c r="M10641" s="1205"/>
      <c r="N10641" s="1054"/>
      <c r="O10641" s="1207"/>
      <c r="Q10641" s="1207"/>
    </row>
    <row r="10642" spans="3:17" s="700" customFormat="1" ht="70.5" hidden="1" customHeight="1">
      <c r="C10642" s="701"/>
      <c r="D10642" s="811"/>
      <c r="E10642" s="1276">
        <f>[11]building!Y10973</f>
        <v>0</v>
      </c>
      <c r="F10642" s="748">
        <f t="shared" si="405"/>
        <v>0</v>
      </c>
      <c r="G10642" s="1205"/>
      <c r="H10642" s="1055"/>
      <c r="I10642" s="1055"/>
      <c r="J10642" s="1055"/>
      <c r="K10642" s="1205"/>
      <c r="L10642" s="1055"/>
      <c r="M10642" s="1205"/>
      <c r="N10642" s="1054"/>
      <c r="O10642" s="1207"/>
      <c r="Q10642" s="1207"/>
    </row>
    <row r="10643" spans="3:17" s="700" customFormat="1" ht="70.5" hidden="1" customHeight="1">
      <c r="C10643" s="701"/>
      <c r="D10643" s="811"/>
      <c r="E10643" s="1276">
        <f>[11]building!Y10974</f>
        <v>0</v>
      </c>
      <c r="F10643" s="748">
        <f t="shared" si="405"/>
        <v>0</v>
      </c>
      <c r="G10643" s="1205"/>
      <c r="H10643" s="1055"/>
      <c r="I10643" s="1055"/>
      <c r="J10643" s="1055"/>
      <c r="K10643" s="1205"/>
      <c r="L10643" s="1055"/>
      <c r="M10643" s="1205"/>
      <c r="N10643" s="1054"/>
      <c r="O10643" s="1207"/>
      <c r="Q10643" s="1207"/>
    </row>
    <row r="10644" spans="3:17" s="700" customFormat="1" ht="70.5" hidden="1" customHeight="1">
      <c r="C10644" s="701"/>
      <c r="D10644" s="811"/>
      <c r="E10644" s="1276">
        <f>[11]building!Y10975</f>
        <v>0</v>
      </c>
      <c r="F10644" s="748">
        <f t="shared" si="405"/>
        <v>0</v>
      </c>
      <c r="G10644" s="1205"/>
      <c r="H10644" s="1055"/>
      <c r="I10644" s="1055"/>
      <c r="J10644" s="1055"/>
      <c r="K10644" s="1205"/>
      <c r="L10644" s="1055"/>
      <c r="M10644" s="1205"/>
      <c r="N10644" s="1054"/>
      <c r="O10644" s="1207"/>
      <c r="Q10644" s="1207"/>
    </row>
    <row r="10645" spans="3:17" s="700" customFormat="1" ht="70.5" hidden="1" customHeight="1">
      <c r="C10645" s="701"/>
      <c r="D10645" s="811"/>
      <c r="E10645" s="1276">
        <f>[11]building!Y10976</f>
        <v>0</v>
      </c>
      <c r="F10645" s="748">
        <f t="shared" si="405"/>
        <v>0</v>
      </c>
      <c r="G10645" s="1205"/>
      <c r="H10645" s="1055"/>
      <c r="I10645" s="1055"/>
      <c r="J10645" s="1055"/>
      <c r="K10645" s="1205"/>
      <c r="L10645" s="1055"/>
      <c r="M10645" s="1205"/>
      <c r="N10645" s="1054"/>
      <c r="O10645" s="1207"/>
      <c r="Q10645" s="1207"/>
    </row>
    <row r="10646" spans="3:17" s="700" customFormat="1" ht="70.5" hidden="1" customHeight="1">
      <c r="C10646" s="701"/>
      <c r="D10646" s="811"/>
      <c r="E10646" s="1276">
        <f>[11]building!Y10977</f>
        <v>0</v>
      </c>
      <c r="F10646" s="748">
        <f t="shared" si="405"/>
        <v>0</v>
      </c>
      <c r="G10646" s="1205"/>
      <c r="H10646" s="1055"/>
      <c r="I10646" s="1055"/>
      <c r="J10646" s="1055"/>
      <c r="K10646" s="1205"/>
      <c r="L10646" s="1055"/>
      <c r="M10646" s="1205"/>
      <c r="N10646" s="1054"/>
      <c r="O10646" s="1207"/>
      <c r="Q10646" s="1207"/>
    </row>
    <row r="10647" spans="3:17" s="700" customFormat="1" ht="70.5" hidden="1" customHeight="1">
      <c r="C10647" s="701"/>
      <c r="D10647" s="811"/>
      <c r="E10647" s="1276">
        <f>[11]building!Y10978</f>
        <v>0</v>
      </c>
      <c r="F10647" s="748">
        <f t="shared" si="405"/>
        <v>0</v>
      </c>
      <c r="G10647" s="1205"/>
      <c r="H10647" s="1055"/>
      <c r="I10647" s="1055"/>
      <c r="J10647" s="1055"/>
      <c r="K10647" s="1205"/>
      <c r="L10647" s="1055"/>
      <c r="M10647" s="1205"/>
      <c r="N10647" s="1054"/>
      <c r="O10647" s="1207"/>
      <c r="Q10647" s="1207"/>
    </row>
    <row r="10648" spans="3:17" s="700" customFormat="1" ht="70.5" hidden="1" customHeight="1">
      <c r="C10648" s="701"/>
      <c r="D10648" s="811"/>
      <c r="E10648" s="1276">
        <f>[11]building!Y10979</f>
        <v>0</v>
      </c>
      <c r="F10648" s="748">
        <f t="shared" si="405"/>
        <v>0</v>
      </c>
      <c r="G10648" s="1205"/>
      <c r="H10648" s="1055"/>
      <c r="I10648" s="1055"/>
      <c r="J10648" s="1055"/>
      <c r="K10648" s="1205"/>
      <c r="L10648" s="1055"/>
      <c r="M10648" s="1205"/>
      <c r="N10648" s="1054"/>
      <c r="O10648" s="1207"/>
      <c r="Q10648" s="1207"/>
    </row>
    <row r="10649" spans="3:17" s="700" customFormat="1" ht="70.5" hidden="1" customHeight="1">
      <c r="C10649" s="701"/>
      <c r="D10649" s="811"/>
      <c r="E10649" s="1276">
        <f>[11]building!Y10980</f>
        <v>0</v>
      </c>
      <c r="F10649" s="748">
        <f t="shared" si="405"/>
        <v>0</v>
      </c>
      <c r="G10649" s="1205"/>
      <c r="H10649" s="1055"/>
      <c r="I10649" s="1055"/>
      <c r="J10649" s="1055"/>
      <c r="K10649" s="1205"/>
      <c r="L10649" s="1055"/>
      <c r="M10649" s="1205"/>
      <c r="N10649" s="1054"/>
      <c r="O10649" s="1207"/>
      <c r="Q10649" s="1207"/>
    </row>
    <row r="10650" spans="3:17" s="700" customFormat="1" ht="70.5" hidden="1" customHeight="1">
      <c r="C10650" s="701"/>
      <c r="D10650" s="811"/>
      <c r="E10650" s="1276">
        <f>[11]building!Y10981</f>
        <v>0</v>
      </c>
      <c r="F10650" s="748">
        <f t="shared" si="405"/>
        <v>0</v>
      </c>
      <c r="G10650" s="1205"/>
      <c r="H10650" s="1055"/>
      <c r="I10650" s="1055"/>
      <c r="J10650" s="1055"/>
      <c r="K10650" s="1205"/>
      <c r="L10650" s="1055"/>
      <c r="M10650" s="1205"/>
      <c r="N10650" s="1054"/>
      <c r="O10650" s="1207"/>
      <c r="Q10650" s="1207"/>
    </row>
    <row r="10651" spans="3:17" s="700" customFormat="1" ht="70.5" hidden="1" customHeight="1">
      <c r="C10651" s="701"/>
      <c r="D10651" s="811"/>
      <c r="E10651" s="1276">
        <f>[11]building!Y10982</f>
        <v>0</v>
      </c>
      <c r="F10651" s="748">
        <f t="shared" si="405"/>
        <v>0</v>
      </c>
      <c r="G10651" s="1205"/>
      <c r="H10651" s="1055"/>
      <c r="I10651" s="1055"/>
      <c r="J10651" s="1055"/>
      <c r="K10651" s="1205"/>
      <c r="L10651" s="1055"/>
      <c r="M10651" s="1205"/>
      <c r="N10651" s="1054"/>
      <c r="O10651" s="1207"/>
      <c r="Q10651" s="1207"/>
    </row>
    <row r="10652" spans="3:17" s="700" customFormat="1" ht="70.5" hidden="1" customHeight="1">
      <c r="C10652" s="701"/>
      <c r="D10652" s="811"/>
      <c r="E10652" s="1276">
        <f>[11]building!Y10983</f>
        <v>0</v>
      </c>
      <c r="F10652" s="748">
        <f t="shared" si="405"/>
        <v>0</v>
      </c>
      <c r="G10652" s="1205"/>
      <c r="H10652" s="1055"/>
      <c r="I10652" s="1055"/>
      <c r="J10652" s="1055"/>
      <c r="K10652" s="1205"/>
      <c r="L10652" s="1055"/>
      <c r="M10652" s="1205"/>
      <c r="N10652" s="1054"/>
      <c r="O10652" s="1207"/>
      <c r="Q10652" s="1207"/>
    </row>
    <row r="10653" spans="3:17" s="700" customFormat="1" ht="70.5" hidden="1" customHeight="1">
      <c r="C10653" s="701"/>
      <c r="D10653" s="811"/>
      <c r="E10653" s="1276">
        <f>[11]building!Y10984</f>
        <v>0</v>
      </c>
      <c r="F10653" s="748">
        <f t="shared" si="405"/>
        <v>0</v>
      </c>
      <c r="G10653" s="1205"/>
      <c r="H10653" s="1055"/>
      <c r="I10653" s="1055"/>
      <c r="J10653" s="1055"/>
      <c r="K10653" s="1205"/>
      <c r="L10653" s="1055"/>
      <c r="M10653" s="1205"/>
      <c r="N10653" s="1054"/>
      <c r="O10653" s="1207"/>
      <c r="Q10653" s="1207"/>
    </row>
    <row r="10654" spans="3:17" s="700" customFormat="1" ht="70.5" hidden="1" customHeight="1">
      <c r="C10654" s="701"/>
      <c r="D10654" s="811"/>
      <c r="E10654" s="1276">
        <f>[11]building!Y10985</f>
        <v>0</v>
      </c>
      <c r="F10654" s="748">
        <f t="shared" si="405"/>
        <v>0</v>
      </c>
      <c r="G10654" s="1205"/>
      <c r="H10654" s="1055"/>
      <c r="I10654" s="1055"/>
      <c r="J10654" s="1055"/>
      <c r="K10654" s="1205"/>
      <c r="L10654" s="1055"/>
      <c r="M10654" s="1205"/>
      <c r="N10654" s="1054"/>
      <c r="O10654" s="1207"/>
      <c r="Q10654" s="1207"/>
    </row>
    <row r="10655" spans="3:17" s="700" customFormat="1" ht="70.5" hidden="1" customHeight="1">
      <c r="C10655" s="701"/>
      <c r="D10655" s="811"/>
      <c r="E10655" s="1276">
        <f>[11]building!Y10986</f>
        <v>0</v>
      </c>
      <c r="F10655" s="748">
        <f t="shared" si="405"/>
        <v>0</v>
      </c>
      <c r="G10655" s="1205"/>
      <c r="H10655" s="1055"/>
      <c r="I10655" s="1055"/>
      <c r="J10655" s="1055"/>
      <c r="K10655" s="1205"/>
      <c r="L10655" s="1055"/>
      <c r="M10655" s="1205"/>
      <c r="N10655" s="1054"/>
      <c r="O10655" s="1207"/>
      <c r="Q10655" s="1207"/>
    </row>
    <row r="10656" spans="3:17" s="700" customFormat="1" ht="70.5" hidden="1" customHeight="1">
      <c r="C10656" s="701"/>
      <c r="D10656" s="811"/>
      <c r="E10656" s="1276">
        <f>[11]building!Y10987</f>
        <v>0</v>
      </c>
      <c r="F10656" s="748">
        <f t="shared" si="405"/>
        <v>0</v>
      </c>
      <c r="G10656" s="1205"/>
      <c r="H10656" s="1055"/>
      <c r="I10656" s="1055"/>
      <c r="J10656" s="1055"/>
      <c r="K10656" s="1205"/>
      <c r="L10656" s="1055"/>
      <c r="M10656" s="1205"/>
      <c r="N10656" s="1054"/>
      <c r="O10656" s="1207"/>
      <c r="Q10656" s="1207"/>
    </row>
    <row r="10657" spans="3:17" s="700" customFormat="1" ht="70.5" hidden="1" customHeight="1">
      <c r="C10657" s="701"/>
      <c r="D10657" s="811"/>
      <c r="E10657" s="1276">
        <f>[11]building!Y10988</f>
        <v>0</v>
      </c>
      <c r="F10657" s="748">
        <f t="shared" si="405"/>
        <v>0</v>
      </c>
      <c r="G10657" s="1205"/>
      <c r="H10657" s="1055"/>
      <c r="I10657" s="1055"/>
      <c r="J10657" s="1055"/>
      <c r="K10657" s="1205"/>
      <c r="L10657" s="1055"/>
      <c r="M10657" s="1205"/>
      <c r="N10657" s="1054"/>
      <c r="O10657" s="1207"/>
      <c r="Q10657" s="1207"/>
    </row>
    <row r="10658" spans="3:17" s="700" customFormat="1" ht="70.5" hidden="1" customHeight="1">
      <c r="C10658" s="701"/>
      <c r="D10658" s="811"/>
      <c r="E10658" s="1276">
        <f>[11]building!Y10989</f>
        <v>0</v>
      </c>
      <c r="F10658" s="748">
        <f t="shared" si="405"/>
        <v>0</v>
      </c>
      <c r="G10658" s="1205"/>
      <c r="H10658" s="1055"/>
      <c r="I10658" s="1055"/>
      <c r="J10658" s="1055"/>
      <c r="K10658" s="1205"/>
      <c r="L10658" s="1055"/>
      <c r="M10658" s="1205"/>
      <c r="N10658" s="1054"/>
      <c r="O10658" s="1207"/>
      <c r="Q10658" s="1207"/>
    </row>
    <row r="10659" spans="3:17" s="700" customFormat="1" ht="70.5" hidden="1" customHeight="1">
      <c r="C10659" s="701"/>
      <c r="D10659" s="811"/>
      <c r="E10659" s="1276">
        <f>[11]building!Y10990</f>
        <v>0</v>
      </c>
      <c r="F10659" s="748">
        <f t="shared" si="405"/>
        <v>0</v>
      </c>
      <c r="G10659" s="1205"/>
      <c r="H10659" s="1055"/>
      <c r="I10659" s="1055"/>
      <c r="J10659" s="1055"/>
      <c r="K10659" s="1205"/>
      <c r="L10659" s="1055"/>
      <c r="M10659" s="1205"/>
      <c r="N10659" s="1054"/>
      <c r="O10659" s="1207"/>
      <c r="Q10659" s="1207"/>
    </row>
    <row r="10660" spans="3:17" s="700" customFormat="1" ht="70.5" hidden="1" customHeight="1">
      <c r="C10660" s="701"/>
      <c r="D10660" s="811"/>
      <c r="E10660" s="1276">
        <f>[11]building!Y10991</f>
        <v>0</v>
      </c>
      <c r="F10660" s="748">
        <f t="shared" si="405"/>
        <v>0</v>
      </c>
      <c r="G10660" s="1205"/>
      <c r="H10660" s="1055"/>
      <c r="I10660" s="1055"/>
      <c r="J10660" s="1055"/>
      <c r="K10660" s="1205"/>
      <c r="L10660" s="1055"/>
      <c r="M10660" s="1205"/>
      <c r="N10660" s="1054"/>
      <c r="O10660" s="1207"/>
      <c r="Q10660" s="1207"/>
    </row>
    <row r="10661" spans="3:17" s="700" customFormat="1" ht="70.5" hidden="1" customHeight="1">
      <c r="C10661" s="701"/>
      <c r="D10661" s="811"/>
      <c r="E10661" s="1276">
        <f>[11]building!Y10992</f>
        <v>0</v>
      </c>
      <c r="F10661" s="748">
        <f t="shared" si="405"/>
        <v>0</v>
      </c>
      <c r="G10661" s="1205"/>
      <c r="H10661" s="1055"/>
      <c r="I10661" s="1055"/>
      <c r="J10661" s="1055"/>
      <c r="K10661" s="1205"/>
      <c r="L10661" s="1055"/>
      <c r="M10661" s="1205"/>
      <c r="N10661" s="1054"/>
      <c r="O10661" s="1207"/>
      <c r="Q10661" s="1207"/>
    </row>
    <row r="10662" spans="3:17" s="700" customFormat="1" ht="70.5" hidden="1" customHeight="1">
      <c r="C10662" s="701"/>
      <c r="D10662" s="811"/>
      <c r="E10662" s="1276">
        <f>[11]building!Y10993</f>
        <v>0</v>
      </c>
      <c r="F10662" s="748">
        <f t="shared" si="405"/>
        <v>0</v>
      </c>
      <c r="G10662" s="1205"/>
      <c r="H10662" s="1055"/>
      <c r="I10662" s="1055"/>
      <c r="J10662" s="1055"/>
      <c r="K10662" s="1205"/>
      <c r="L10662" s="1055"/>
      <c r="M10662" s="1205"/>
      <c r="N10662" s="1054"/>
      <c r="O10662" s="1207"/>
      <c r="Q10662" s="1207"/>
    </row>
    <row r="10663" spans="3:17" s="700" customFormat="1" ht="70.5" hidden="1" customHeight="1">
      <c r="C10663" s="701"/>
      <c r="D10663" s="811"/>
      <c r="E10663" s="1276">
        <f>[11]building!Y10994</f>
        <v>0</v>
      </c>
      <c r="F10663" s="748">
        <f t="shared" si="405"/>
        <v>0</v>
      </c>
      <c r="G10663" s="1205"/>
      <c r="H10663" s="1055"/>
      <c r="I10663" s="1055"/>
      <c r="J10663" s="1055"/>
      <c r="K10663" s="1205"/>
      <c r="L10663" s="1055"/>
      <c r="M10663" s="1205"/>
      <c r="N10663" s="1054"/>
      <c r="O10663" s="1207"/>
      <c r="Q10663" s="1207"/>
    </row>
    <row r="10664" spans="3:17" s="700" customFormat="1" ht="70.5" hidden="1" customHeight="1">
      <c r="C10664" s="701"/>
      <c r="D10664" s="811"/>
      <c r="E10664" s="1276">
        <f>[11]building!Y10995</f>
        <v>0</v>
      </c>
      <c r="F10664" s="748">
        <f t="shared" si="405"/>
        <v>0</v>
      </c>
      <c r="G10664" s="1205"/>
      <c r="H10664" s="1055"/>
      <c r="I10664" s="1055"/>
      <c r="J10664" s="1055"/>
      <c r="K10664" s="1205"/>
      <c r="L10664" s="1055"/>
      <c r="M10664" s="1205"/>
      <c r="N10664" s="1054"/>
      <c r="O10664" s="1207"/>
      <c r="Q10664" s="1207"/>
    </row>
    <row r="10665" spans="3:17" s="700" customFormat="1" ht="70.5" hidden="1" customHeight="1">
      <c r="C10665" s="701"/>
      <c r="D10665" s="811"/>
      <c r="E10665" s="1276">
        <f>[11]building!Y10996</f>
        <v>0</v>
      </c>
      <c r="F10665" s="748">
        <f t="shared" si="405"/>
        <v>0</v>
      </c>
      <c r="G10665" s="1205"/>
      <c r="H10665" s="1055"/>
      <c r="I10665" s="1055"/>
      <c r="J10665" s="1055"/>
      <c r="K10665" s="1205"/>
      <c r="L10665" s="1055"/>
      <c r="M10665" s="1205"/>
      <c r="N10665" s="1054"/>
      <c r="O10665" s="1207"/>
      <c r="Q10665" s="1207"/>
    </row>
    <row r="10666" spans="3:17" s="700" customFormat="1" ht="70.5" hidden="1" customHeight="1">
      <c r="C10666" s="701"/>
      <c r="D10666" s="811"/>
      <c r="E10666" s="1276">
        <f>[11]building!Y10997</f>
        <v>0</v>
      </c>
      <c r="F10666" s="748">
        <f t="shared" si="405"/>
        <v>0</v>
      </c>
      <c r="G10666" s="1205"/>
      <c r="H10666" s="1055"/>
      <c r="I10666" s="1055"/>
      <c r="J10666" s="1055"/>
      <c r="K10666" s="1205"/>
      <c r="L10666" s="1055"/>
      <c r="M10666" s="1205"/>
      <c r="N10666" s="1054"/>
      <c r="O10666" s="1207"/>
      <c r="Q10666" s="1207"/>
    </row>
    <row r="10667" spans="3:17" s="700" customFormat="1" ht="70.5" hidden="1" customHeight="1">
      <c r="C10667" s="701"/>
      <c r="D10667" s="811"/>
      <c r="E10667" s="1276">
        <f>[11]building!Y10998</f>
        <v>0</v>
      </c>
      <c r="F10667" s="748">
        <f t="shared" si="405"/>
        <v>0</v>
      </c>
      <c r="G10667" s="1205"/>
      <c r="H10667" s="1055"/>
      <c r="I10667" s="1055"/>
      <c r="J10667" s="1055"/>
      <c r="K10667" s="1205"/>
      <c r="L10667" s="1055"/>
      <c r="M10667" s="1205"/>
      <c r="N10667" s="1054"/>
      <c r="O10667" s="1207"/>
      <c r="Q10667" s="1207"/>
    </row>
    <row r="10668" spans="3:17" s="700" customFormat="1" ht="70.5" hidden="1" customHeight="1">
      <c r="C10668" s="701"/>
      <c r="D10668" s="811"/>
      <c r="E10668" s="1276">
        <f>[11]building!Y10999</f>
        <v>0</v>
      </c>
      <c r="F10668" s="748">
        <f t="shared" si="405"/>
        <v>0</v>
      </c>
      <c r="G10668" s="1205"/>
      <c r="H10668" s="1055"/>
      <c r="I10668" s="1055"/>
      <c r="J10668" s="1055"/>
      <c r="K10668" s="1205"/>
      <c r="L10668" s="1055"/>
      <c r="M10668" s="1205"/>
      <c r="N10668" s="1054"/>
      <c r="O10668" s="1207"/>
      <c r="Q10668" s="1207"/>
    </row>
    <row r="10669" spans="3:17" s="700" customFormat="1" ht="70.5" hidden="1" customHeight="1">
      <c r="C10669" s="701"/>
      <c r="D10669" s="811"/>
      <c r="E10669" s="1276">
        <f>[11]building!Y11000</f>
        <v>0</v>
      </c>
      <c r="F10669" s="748">
        <f t="shared" si="405"/>
        <v>0</v>
      </c>
      <c r="G10669" s="1205"/>
      <c r="H10669" s="1055"/>
      <c r="I10669" s="1055"/>
      <c r="J10669" s="1055"/>
      <c r="K10669" s="1205"/>
      <c r="L10669" s="1055"/>
      <c r="M10669" s="1205"/>
      <c r="N10669" s="1054"/>
      <c r="O10669" s="1207"/>
      <c r="Q10669" s="1207"/>
    </row>
    <row r="10670" spans="3:17" s="700" customFormat="1" ht="70.5" hidden="1" customHeight="1">
      <c r="C10670" s="701"/>
      <c r="D10670" s="811"/>
      <c r="E10670" s="1276">
        <f>[11]building!Y11001</f>
        <v>0</v>
      </c>
      <c r="F10670" s="748">
        <f t="shared" si="405"/>
        <v>0</v>
      </c>
      <c r="G10670" s="1205"/>
      <c r="H10670" s="1055"/>
      <c r="I10670" s="1055"/>
      <c r="J10670" s="1055"/>
      <c r="K10670" s="1205"/>
      <c r="L10670" s="1055"/>
      <c r="M10670" s="1205"/>
      <c r="N10670" s="1054"/>
      <c r="O10670" s="1207"/>
      <c r="Q10670" s="1207"/>
    </row>
    <row r="10671" spans="3:17" s="700" customFormat="1" ht="70.5" hidden="1" customHeight="1">
      <c r="C10671" s="701"/>
      <c r="D10671" s="811"/>
      <c r="E10671" s="1276">
        <f>[11]building!Y11002</f>
        <v>0</v>
      </c>
      <c r="F10671" s="748">
        <f t="shared" si="405"/>
        <v>0</v>
      </c>
      <c r="G10671" s="1205"/>
      <c r="H10671" s="1055"/>
      <c r="I10671" s="1055"/>
      <c r="J10671" s="1055"/>
      <c r="K10671" s="1205"/>
      <c r="L10671" s="1055"/>
      <c r="M10671" s="1205"/>
      <c r="N10671" s="1054"/>
      <c r="O10671" s="1207"/>
      <c r="Q10671" s="1207"/>
    </row>
    <row r="10672" spans="3:17" s="700" customFormat="1" ht="70.5" hidden="1" customHeight="1">
      <c r="C10672" s="701"/>
      <c r="D10672" s="811"/>
      <c r="E10672" s="1276">
        <f>[11]building!Y11003</f>
        <v>0</v>
      </c>
      <c r="F10672" s="748">
        <f t="shared" si="405"/>
        <v>0</v>
      </c>
      <c r="G10672" s="1205"/>
      <c r="H10672" s="1055"/>
      <c r="I10672" s="1055"/>
      <c r="J10672" s="1055"/>
      <c r="K10672" s="1205"/>
      <c r="L10672" s="1055"/>
      <c r="M10672" s="1205"/>
      <c r="N10672" s="1054"/>
      <c r="O10672" s="1207"/>
      <c r="Q10672" s="1207"/>
    </row>
    <row r="10673" spans="3:17" s="700" customFormat="1" ht="70.5" hidden="1" customHeight="1">
      <c r="C10673" s="701"/>
      <c r="D10673" s="811"/>
      <c r="E10673" s="1276">
        <f>[11]building!Y11004</f>
        <v>0</v>
      </c>
      <c r="F10673" s="748">
        <f t="shared" si="405"/>
        <v>0</v>
      </c>
      <c r="G10673" s="1205"/>
      <c r="H10673" s="1055"/>
      <c r="I10673" s="1055"/>
      <c r="J10673" s="1055"/>
      <c r="K10673" s="1205"/>
      <c r="L10673" s="1055"/>
      <c r="M10673" s="1205"/>
      <c r="N10673" s="1054"/>
      <c r="O10673" s="1207"/>
      <c r="Q10673" s="1207"/>
    </row>
    <row r="10674" spans="3:17" s="700" customFormat="1" ht="70.5" hidden="1" customHeight="1">
      <c r="C10674" s="701"/>
      <c r="D10674" s="811"/>
      <c r="E10674" s="1276">
        <f>[11]building!Y11005</f>
        <v>0</v>
      </c>
      <c r="F10674" s="748">
        <f t="shared" si="405"/>
        <v>0</v>
      </c>
      <c r="G10674" s="1205"/>
      <c r="H10674" s="1055"/>
      <c r="I10674" s="1055"/>
      <c r="J10674" s="1055"/>
      <c r="K10674" s="1205"/>
      <c r="L10674" s="1055"/>
      <c r="M10674" s="1205"/>
      <c r="N10674" s="1054"/>
      <c r="O10674" s="1207"/>
      <c r="Q10674" s="1207"/>
    </row>
    <row r="10675" spans="3:17" s="700" customFormat="1" ht="70.5" hidden="1" customHeight="1">
      <c r="C10675" s="701"/>
      <c r="D10675" s="811"/>
      <c r="E10675" s="1276">
        <f>[11]building!Y11006</f>
        <v>0</v>
      </c>
      <c r="F10675" s="748">
        <f t="shared" si="405"/>
        <v>0</v>
      </c>
      <c r="G10675" s="1205"/>
      <c r="H10675" s="1055"/>
      <c r="I10675" s="1055"/>
      <c r="J10675" s="1055"/>
      <c r="K10675" s="1205"/>
      <c r="L10675" s="1055"/>
      <c r="M10675" s="1205"/>
      <c r="N10675" s="1054"/>
      <c r="O10675" s="1207"/>
      <c r="Q10675" s="1207"/>
    </row>
    <row r="10676" spans="3:17" s="700" customFormat="1" ht="70.5" hidden="1" customHeight="1">
      <c r="C10676" s="701"/>
      <c r="D10676" s="811"/>
      <c r="E10676" s="1276">
        <f>[11]building!Y11007</f>
        <v>0</v>
      </c>
      <c r="F10676" s="748">
        <f t="shared" si="405"/>
        <v>0</v>
      </c>
      <c r="G10676" s="1205"/>
      <c r="H10676" s="1055"/>
      <c r="I10676" s="1055"/>
      <c r="J10676" s="1055"/>
      <c r="K10676" s="1205"/>
      <c r="L10676" s="1055"/>
      <c r="M10676" s="1205"/>
      <c r="N10676" s="1054"/>
      <c r="O10676" s="1207"/>
      <c r="Q10676" s="1207"/>
    </row>
    <row r="10677" spans="3:17" s="700" customFormat="1" ht="70.5" hidden="1" customHeight="1">
      <c r="C10677" s="701"/>
      <c r="D10677" s="811"/>
      <c r="E10677" s="1276">
        <f>[11]building!Y11008</f>
        <v>0</v>
      </c>
      <c r="F10677" s="748">
        <f t="shared" si="405"/>
        <v>0</v>
      </c>
      <c r="G10677" s="1205"/>
      <c r="H10677" s="1055"/>
      <c r="I10677" s="1055"/>
      <c r="J10677" s="1055"/>
      <c r="K10677" s="1205"/>
      <c r="L10677" s="1055"/>
      <c r="M10677" s="1205"/>
      <c r="N10677" s="1054"/>
      <c r="O10677" s="1207"/>
      <c r="Q10677" s="1207"/>
    </row>
    <row r="10678" spans="3:17" s="700" customFormat="1" ht="70.5" hidden="1" customHeight="1">
      <c r="C10678" s="701"/>
      <c r="D10678" s="811"/>
      <c r="E10678" s="1276">
        <f>[11]building!Y11009</f>
        <v>0</v>
      </c>
      <c r="F10678" s="748">
        <f t="shared" si="405"/>
        <v>0</v>
      </c>
      <c r="G10678" s="1205"/>
      <c r="H10678" s="1055"/>
      <c r="I10678" s="1055"/>
      <c r="J10678" s="1055"/>
      <c r="K10678" s="1205"/>
      <c r="L10678" s="1055"/>
      <c r="M10678" s="1205"/>
      <c r="N10678" s="1054"/>
      <c r="O10678" s="1207"/>
      <c r="Q10678" s="1207"/>
    </row>
    <row r="10679" spans="3:17" s="700" customFormat="1" ht="70.5" hidden="1" customHeight="1">
      <c r="C10679" s="701"/>
      <c r="D10679" s="811"/>
      <c r="E10679" s="1276">
        <f>[11]building!Y11010</f>
        <v>0</v>
      </c>
      <c r="F10679" s="748">
        <f t="shared" si="405"/>
        <v>0</v>
      </c>
      <c r="G10679" s="1205"/>
      <c r="H10679" s="1055"/>
      <c r="I10679" s="1055"/>
      <c r="J10679" s="1055"/>
      <c r="K10679" s="1205"/>
      <c r="L10679" s="1055"/>
      <c r="M10679" s="1205"/>
      <c r="N10679" s="1054"/>
      <c r="O10679" s="1207"/>
      <c r="Q10679" s="1207"/>
    </row>
    <row r="10680" spans="3:17" s="700" customFormat="1" ht="70.5" hidden="1" customHeight="1">
      <c r="C10680" s="701"/>
      <c r="D10680" s="811"/>
      <c r="E10680" s="1276">
        <f>[11]building!Y11011</f>
        <v>0</v>
      </c>
      <c r="F10680" s="748">
        <f t="shared" si="405"/>
        <v>0</v>
      </c>
      <c r="G10680" s="1205"/>
      <c r="H10680" s="1055"/>
      <c r="I10680" s="1055"/>
      <c r="J10680" s="1055"/>
      <c r="K10680" s="1205"/>
      <c r="L10680" s="1055"/>
      <c r="M10680" s="1205"/>
      <c r="N10680" s="1054"/>
      <c r="O10680" s="1207"/>
      <c r="Q10680" s="1207"/>
    </row>
    <row r="10681" spans="3:17" s="700" customFormat="1" ht="70.5" hidden="1" customHeight="1">
      <c r="C10681" s="701"/>
      <c r="D10681" s="811"/>
      <c r="E10681" s="1276">
        <f>[11]building!Y11012</f>
        <v>0</v>
      </c>
      <c r="F10681" s="748">
        <f t="shared" si="405"/>
        <v>0</v>
      </c>
      <c r="G10681" s="1205"/>
      <c r="H10681" s="1055"/>
      <c r="I10681" s="1055"/>
      <c r="J10681" s="1055"/>
      <c r="K10681" s="1205"/>
      <c r="L10681" s="1055"/>
      <c r="M10681" s="1205"/>
      <c r="N10681" s="1054"/>
      <c r="O10681" s="1207"/>
      <c r="Q10681" s="1207"/>
    </row>
    <row r="10682" spans="3:17" s="700" customFormat="1" ht="70.5" hidden="1" customHeight="1">
      <c r="C10682" s="701"/>
      <c r="D10682" s="811"/>
      <c r="E10682" s="1276">
        <f>[11]building!Y11013</f>
        <v>0</v>
      </c>
      <c r="F10682" s="748">
        <f t="shared" si="405"/>
        <v>0</v>
      </c>
      <c r="G10682" s="1205"/>
      <c r="H10682" s="1055"/>
      <c r="I10682" s="1055"/>
      <c r="J10682" s="1055"/>
      <c r="K10682" s="1205"/>
      <c r="L10682" s="1055"/>
      <c r="M10682" s="1205"/>
      <c r="N10682" s="1054"/>
      <c r="O10682" s="1207"/>
      <c r="Q10682" s="1207"/>
    </row>
    <row r="10683" spans="3:17" s="700" customFormat="1" ht="70.5" hidden="1" customHeight="1">
      <c r="C10683" s="701"/>
      <c r="D10683" s="811"/>
      <c r="E10683" s="1276">
        <f>[11]building!Y11014</f>
        <v>0</v>
      </c>
      <c r="F10683" s="748">
        <f t="shared" si="405"/>
        <v>0</v>
      </c>
      <c r="G10683" s="1205"/>
      <c r="H10683" s="1055"/>
      <c r="I10683" s="1055"/>
      <c r="J10683" s="1055"/>
      <c r="K10683" s="1205"/>
      <c r="L10683" s="1055"/>
      <c r="M10683" s="1205"/>
      <c r="N10683" s="1054"/>
      <c r="O10683" s="1207"/>
      <c r="Q10683" s="1207"/>
    </row>
    <row r="10684" spans="3:17" s="700" customFormat="1" ht="70.5" hidden="1" customHeight="1">
      <c r="C10684" s="701"/>
      <c r="D10684" s="811"/>
      <c r="E10684" s="1276">
        <f>[11]building!Y11015</f>
        <v>0</v>
      </c>
      <c r="F10684" s="748">
        <f t="shared" si="405"/>
        <v>0</v>
      </c>
      <c r="G10684" s="1205"/>
      <c r="H10684" s="1055"/>
      <c r="I10684" s="1055"/>
      <c r="J10684" s="1055"/>
      <c r="K10684" s="1205"/>
      <c r="L10684" s="1055"/>
      <c r="M10684" s="1205"/>
      <c r="N10684" s="1054"/>
      <c r="O10684" s="1207"/>
      <c r="Q10684" s="1207"/>
    </row>
    <row r="10685" spans="3:17" s="700" customFormat="1" ht="70.5" hidden="1" customHeight="1">
      <c r="C10685" s="701"/>
      <c r="D10685" s="811"/>
      <c r="E10685" s="1276">
        <f>[11]building!Y11016</f>
        <v>0</v>
      </c>
      <c r="F10685" s="748">
        <f t="shared" si="405"/>
        <v>0</v>
      </c>
      <c r="G10685" s="1205"/>
      <c r="H10685" s="1055"/>
      <c r="I10685" s="1055"/>
      <c r="J10685" s="1055"/>
      <c r="K10685" s="1205"/>
      <c r="L10685" s="1055"/>
      <c r="M10685" s="1205"/>
      <c r="N10685" s="1054"/>
      <c r="O10685" s="1207"/>
      <c r="Q10685" s="1207"/>
    </row>
    <row r="10686" spans="3:17" s="700" customFormat="1" ht="70.5" hidden="1" customHeight="1">
      <c r="C10686" s="701"/>
      <c r="D10686" s="811"/>
      <c r="E10686" s="1276">
        <f>[11]building!Y11017</f>
        <v>0</v>
      </c>
      <c r="F10686" s="748">
        <f t="shared" si="405"/>
        <v>0</v>
      </c>
      <c r="G10686" s="1205"/>
      <c r="H10686" s="1055"/>
      <c r="I10686" s="1055"/>
      <c r="J10686" s="1055"/>
      <c r="K10686" s="1205"/>
      <c r="L10686" s="1055"/>
      <c r="M10686" s="1205"/>
      <c r="N10686" s="1054"/>
      <c r="O10686" s="1207"/>
      <c r="Q10686" s="1207"/>
    </row>
    <row r="10687" spans="3:17" s="700" customFormat="1" ht="70.5" hidden="1" customHeight="1">
      <c r="C10687" s="701"/>
      <c r="D10687" s="811"/>
      <c r="E10687" s="1276">
        <f>[11]building!Y11018</f>
        <v>0</v>
      </c>
      <c r="F10687" s="748">
        <f t="shared" si="405"/>
        <v>0</v>
      </c>
      <c r="G10687" s="1205"/>
      <c r="H10687" s="1055"/>
      <c r="I10687" s="1055"/>
      <c r="J10687" s="1055"/>
      <c r="K10687" s="1205"/>
      <c r="L10687" s="1055"/>
      <c r="M10687" s="1205"/>
      <c r="N10687" s="1054"/>
      <c r="O10687" s="1207"/>
      <c r="Q10687" s="1207"/>
    </row>
    <row r="10688" spans="3:17" s="700" customFormat="1" ht="70.5" hidden="1" customHeight="1">
      <c r="C10688" s="701"/>
      <c r="D10688" s="811"/>
      <c r="E10688" s="1276">
        <f>[11]building!Y11019</f>
        <v>0</v>
      </c>
      <c r="F10688" s="748">
        <f t="shared" ref="F10688:F10751" si="406">E10688*C10688</f>
        <v>0</v>
      </c>
      <c r="G10688" s="1205"/>
      <c r="H10688" s="1055"/>
      <c r="I10688" s="1055"/>
      <c r="J10688" s="1055"/>
      <c r="K10688" s="1205"/>
      <c r="L10688" s="1055"/>
      <c r="M10688" s="1205"/>
      <c r="N10688" s="1054"/>
      <c r="O10688" s="1207"/>
      <c r="Q10688" s="1207"/>
    </row>
    <row r="10689" spans="3:17" s="700" customFormat="1" ht="70.5" hidden="1" customHeight="1">
      <c r="C10689" s="701"/>
      <c r="D10689" s="811"/>
      <c r="E10689" s="1276">
        <f>[11]building!Y11020</f>
        <v>0</v>
      </c>
      <c r="F10689" s="748">
        <f t="shared" si="406"/>
        <v>0</v>
      </c>
      <c r="G10689" s="1205"/>
      <c r="H10689" s="1055"/>
      <c r="I10689" s="1055"/>
      <c r="J10689" s="1055"/>
      <c r="K10689" s="1205"/>
      <c r="L10689" s="1055"/>
      <c r="M10689" s="1205"/>
      <c r="N10689" s="1054"/>
      <c r="O10689" s="1207"/>
      <c r="Q10689" s="1207"/>
    </row>
    <row r="10690" spans="3:17" s="700" customFormat="1" ht="70.5" hidden="1" customHeight="1">
      <c r="C10690" s="701"/>
      <c r="D10690" s="811"/>
      <c r="E10690" s="1276">
        <f>[11]building!Y11021</f>
        <v>0</v>
      </c>
      <c r="F10690" s="748">
        <f t="shared" si="406"/>
        <v>0</v>
      </c>
      <c r="G10690" s="1205"/>
      <c r="H10690" s="1055"/>
      <c r="I10690" s="1055"/>
      <c r="J10690" s="1055"/>
      <c r="K10690" s="1205"/>
      <c r="L10690" s="1055"/>
      <c r="M10690" s="1205"/>
      <c r="N10690" s="1054"/>
      <c r="O10690" s="1207"/>
      <c r="Q10690" s="1207"/>
    </row>
    <row r="10691" spans="3:17" s="700" customFormat="1" ht="70.5" hidden="1" customHeight="1">
      <c r="C10691" s="701"/>
      <c r="D10691" s="811"/>
      <c r="E10691" s="1276">
        <f>[11]building!Y11022</f>
        <v>0</v>
      </c>
      <c r="F10691" s="748">
        <f t="shared" si="406"/>
        <v>0</v>
      </c>
      <c r="G10691" s="1205"/>
      <c r="H10691" s="1055"/>
      <c r="I10691" s="1055"/>
      <c r="J10691" s="1055"/>
      <c r="K10691" s="1205"/>
      <c r="L10691" s="1055"/>
      <c r="M10691" s="1205"/>
      <c r="N10691" s="1054"/>
      <c r="O10691" s="1207"/>
      <c r="Q10691" s="1207"/>
    </row>
    <row r="10692" spans="3:17" s="700" customFormat="1" ht="70.5" hidden="1" customHeight="1">
      <c r="C10692" s="701"/>
      <c r="D10692" s="811"/>
      <c r="E10692" s="1276">
        <f>[11]building!Y11023</f>
        <v>0</v>
      </c>
      <c r="F10692" s="748">
        <f t="shared" si="406"/>
        <v>0</v>
      </c>
      <c r="G10692" s="1205"/>
      <c r="H10692" s="1055"/>
      <c r="I10692" s="1055"/>
      <c r="J10692" s="1055"/>
      <c r="K10692" s="1205"/>
      <c r="L10692" s="1055"/>
      <c r="M10692" s="1205"/>
      <c r="N10692" s="1054"/>
      <c r="O10692" s="1207"/>
      <c r="Q10692" s="1207"/>
    </row>
    <row r="10693" spans="3:17" s="700" customFormat="1" ht="70.5" hidden="1" customHeight="1">
      <c r="C10693" s="701"/>
      <c r="D10693" s="811"/>
      <c r="E10693" s="1276">
        <f>[11]building!Y11024</f>
        <v>0</v>
      </c>
      <c r="F10693" s="748">
        <f t="shared" si="406"/>
        <v>0</v>
      </c>
      <c r="G10693" s="1205"/>
      <c r="H10693" s="1055"/>
      <c r="I10693" s="1055"/>
      <c r="J10693" s="1055"/>
      <c r="K10693" s="1205"/>
      <c r="L10693" s="1055"/>
      <c r="M10693" s="1205"/>
      <c r="N10693" s="1054"/>
      <c r="O10693" s="1207"/>
      <c r="Q10693" s="1207"/>
    </row>
    <row r="10694" spans="3:17" s="700" customFormat="1" ht="70.5" hidden="1" customHeight="1">
      <c r="C10694" s="701"/>
      <c r="D10694" s="811"/>
      <c r="E10694" s="1276">
        <f>[11]building!Y11025</f>
        <v>0</v>
      </c>
      <c r="F10694" s="748">
        <f t="shared" si="406"/>
        <v>0</v>
      </c>
      <c r="G10694" s="1205"/>
      <c r="H10694" s="1055"/>
      <c r="I10694" s="1055"/>
      <c r="J10694" s="1055"/>
      <c r="K10694" s="1205"/>
      <c r="L10694" s="1055"/>
      <c r="M10694" s="1205"/>
      <c r="N10694" s="1054"/>
      <c r="O10694" s="1207"/>
      <c r="Q10694" s="1207"/>
    </row>
    <row r="10695" spans="3:17" s="700" customFormat="1" ht="70.5" hidden="1" customHeight="1">
      <c r="C10695" s="701"/>
      <c r="D10695" s="811"/>
      <c r="E10695" s="1276">
        <f>[11]building!Y11026</f>
        <v>0</v>
      </c>
      <c r="F10695" s="748">
        <f t="shared" si="406"/>
        <v>0</v>
      </c>
      <c r="G10695" s="1205"/>
      <c r="H10695" s="1055"/>
      <c r="I10695" s="1055"/>
      <c r="J10695" s="1055"/>
      <c r="K10695" s="1205"/>
      <c r="L10695" s="1055"/>
      <c r="M10695" s="1205"/>
      <c r="N10695" s="1054"/>
      <c r="O10695" s="1207"/>
      <c r="Q10695" s="1207"/>
    </row>
    <row r="10696" spans="3:17" s="700" customFormat="1" ht="70.5" hidden="1" customHeight="1">
      <c r="C10696" s="701"/>
      <c r="D10696" s="811"/>
      <c r="E10696" s="1276">
        <f>[11]building!Y11027</f>
        <v>0</v>
      </c>
      <c r="F10696" s="748">
        <f t="shared" si="406"/>
        <v>0</v>
      </c>
      <c r="G10696" s="1205"/>
      <c r="H10696" s="1055"/>
      <c r="I10696" s="1055"/>
      <c r="J10696" s="1055"/>
      <c r="K10696" s="1205"/>
      <c r="L10696" s="1055"/>
      <c r="M10696" s="1205"/>
      <c r="N10696" s="1054"/>
      <c r="O10696" s="1207"/>
      <c r="Q10696" s="1207"/>
    </row>
    <row r="10697" spans="3:17" s="700" customFormat="1" ht="70.5" hidden="1" customHeight="1">
      <c r="C10697" s="701"/>
      <c r="D10697" s="811"/>
      <c r="E10697" s="1276">
        <f>[11]building!Y11028</f>
        <v>0</v>
      </c>
      <c r="F10697" s="748">
        <f t="shared" si="406"/>
        <v>0</v>
      </c>
      <c r="G10697" s="1205"/>
      <c r="H10697" s="1055"/>
      <c r="I10697" s="1055"/>
      <c r="J10697" s="1055"/>
      <c r="K10697" s="1205"/>
      <c r="L10697" s="1055"/>
      <c r="M10697" s="1205"/>
      <c r="N10697" s="1054"/>
      <c r="O10697" s="1207"/>
      <c r="Q10697" s="1207"/>
    </row>
    <row r="10698" spans="3:17" s="700" customFormat="1" ht="70.5" hidden="1" customHeight="1">
      <c r="C10698" s="701"/>
      <c r="D10698" s="811"/>
      <c r="E10698" s="1276">
        <f>[11]building!Y11029</f>
        <v>0</v>
      </c>
      <c r="F10698" s="748">
        <f t="shared" si="406"/>
        <v>0</v>
      </c>
      <c r="G10698" s="1205"/>
      <c r="H10698" s="1055"/>
      <c r="I10698" s="1055"/>
      <c r="J10698" s="1055"/>
      <c r="K10698" s="1205"/>
      <c r="L10698" s="1055"/>
      <c r="M10698" s="1205"/>
      <c r="N10698" s="1054"/>
      <c r="O10698" s="1207"/>
      <c r="Q10698" s="1207"/>
    </row>
    <row r="10699" spans="3:17" s="700" customFormat="1" ht="70.5" hidden="1" customHeight="1">
      <c r="C10699" s="701"/>
      <c r="D10699" s="811"/>
      <c r="E10699" s="1276">
        <f>[11]building!Y11030</f>
        <v>0</v>
      </c>
      <c r="F10699" s="748">
        <f t="shared" si="406"/>
        <v>0</v>
      </c>
      <c r="G10699" s="1205"/>
      <c r="H10699" s="1055"/>
      <c r="I10699" s="1055"/>
      <c r="J10699" s="1055"/>
      <c r="K10699" s="1205"/>
      <c r="L10699" s="1055"/>
      <c r="M10699" s="1205"/>
      <c r="N10699" s="1054"/>
      <c r="O10699" s="1207"/>
      <c r="Q10699" s="1207"/>
    </row>
    <row r="10700" spans="3:17" s="700" customFormat="1" ht="70.5" hidden="1" customHeight="1">
      <c r="C10700" s="701"/>
      <c r="D10700" s="811"/>
      <c r="E10700" s="1276">
        <f>[11]building!Y11031</f>
        <v>0</v>
      </c>
      <c r="F10700" s="748">
        <f t="shared" si="406"/>
        <v>0</v>
      </c>
      <c r="G10700" s="1205"/>
      <c r="H10700" s="1055"/>
      <c r="I10700" s="1055"/>
      <c r="J10700" s="1055"/>
      <c r="K10700" s="1205"/>
      <c r="L10700" s="1055"/>
      <c r="M10700" s="1205"/>
      <c r="N10700" s="1054"/>
      <c r="O10700" s="1207"/>
      <c r="Q10700" s="1207"/>
    </row>
    <row r="10701" spans="3:17" s="700" customFormat="1" ht="70.5" hidden="1" customHeight="1">
      <c r="C10701" s="701"/>
      <c r="D10701" s="811"/>
      <c r="E10701" s="1276">
        <f>[11]building!Y11032</f>
        <v>0</v>
      </c>
      <c r="F10701" s="748">
        <f t="shared" si="406"/>
        <v>0</v>
      </c>
      <c r="G10701" s="1205"/>
      <c r="H10701" s="1055"/>
      <c r="I10701" s="1055"/>
      <c r="J10701" s="1055"/>
      <c r="K10701" s="1205"/>
      <c r="L10701" s="1055"/>
      <c r="M10701" s="1205"/>
      <c r="N10701" s="1054"/>
      <c r="O10701" s="1207"/>
      <c r="Q10701" s="1207"/>
    </row>
    <row r="10702" spans="3:17" s="700" customFormat="1" ht="70.5" hidden="1" customHeight="1">
      <c r="C10702" s="701"/>
      <c r="D10702" s="811"/>
      <c r="E10702" s="1276">
        <f>[11]building!Y11033</f>
        <v>0</v>
      </c>
      <c r="F10702" s="748">
        <f t="shared" si="406"/>
        <v>0</v>
      </c>
      <c r="G10702" s="1205"/>
      <c r="H10702" s="1055"/>
      <c r="I10702" s="1055"/>
      <c r="J10702" s="1055"/>
      <c r="K10702" s="1205"/>
      <c r="L10702" s="1055"/>
      <c r="M10702" s="1205"/>
      <c r="N10702" s="1054"/>
      <c r="O10702" s="1207"/>
      <c r="Q10702" s="1207"/>
    </row>
    <row r="10703" spans="3:17" s="700" customFormat="1" ht="70.5" hidden="1" customHeight="1">
      <c r="C10703" s="701"/>
      <c r="D10703" s="811"/>
      <c r="E10703" s="1276">
        <f>[11]building!Y11034</f>
        <v>0</v>
      </c>
      <c r="F10703" s="748">
        <f t="shared" si="406"/>
        <v>0</v>
      </c>
      <c r="G10703" s="1205"/>
      <c r="H10703" s="1055"/>
      <c r="I10703" s="1055"/>
      <c r="J10703" s="1055"/>
      <c r="K10703" s="1205"/>
      <c r="L10703" s="1055"/>
      <c r="M10703" s="1205"/>
      <c r="N10703" s="1054"/>
      <c r="O10703" s="1207"/>
      <c r="Q10703" s="1207"/>
    </row>
    <row r="10704" spans="3:17" s="700" customFormat="1" ht="70.5" hidden="1" customHeight="1">
      <c r="C10704" s="701"/>
      <c r="D10704" s="811"/>
      <c r="E10704" s="1276">
        <f>[11]building!Y11035</f>
        <v>0</v>
      </c>
      <c r="F10704" s="748">
        <f t="shared" si="406"/>
        <v>0</v>
      </c>
      <c r="G10704" s="1205"/>
      <c r="H10704" s="1055"/>
      <c r="I10704" s="1055"/>
      <c r="J10704" s="1055"/>
      <c r="K10704" s="1205"/>
      <c r="L10704" s="1055"/>
      <c r="M10704" s="1205"/>
      <c r="N10704" s="1054"/>
      <c r="O10704" s="1207"/>
      <c r="Q10704" s="1207"/>
    </row>
    <row r="10705" spans="3:17" s="700" customFormat="1" ht="70.5" hidden="1" customHeight="1">
      <c r="C10705" s="701"/>
      <c r="D10705" s="811"/>
      <c r="E10705" s="1276">
        <f>[11]building!Y11036</f>
        <v>0</v>
      </c>
      <c r="F10705" s="748">
        <f t="shared" si="406"/>
        <v>0</v>
      </c>
      <c r="G10705" s="1205"/>
      <c r="H10705" s="1055"/>
      <c r="I10705" s="1055"/>
      <c r="J10705" s="1055"/>
      <c r="K10705" s="1205"/>
      <c r="L10705" s="1055"/>
      <c r="M10705" s="1205"/>
      <c r="N10705" s="1054"/>
      <c r="O10705" s="1207"/>
      <c r="Q10705" s="1207"/>
    </row>
    <row r="10706" spans="3:17" s="700" customFormat="1" ht="70.5" hidden="1" customHeight="1">
      <c r="C10706" s="701"/>
      <c r="D10706" s="811"/>
      <c r="E10706" s="1276">
        <f>[11]building!Y11037</f>
        <v>0</v>
      </c>
      <c r="F10706" s="748">
        <f t="shared" si="406"/>
        <v>0</v>
      </c>
      <c r="G10706" s="1205"/>
      <c r="H10706" s="1055"/>
      <c r="I10706" s="1055"/>
      <c r="J10706" s="1055"/>
      <c r="K10706" s="1205"/>
      <c r="L10706" s="1055"/>
      <c r="M10706" s="1205"/>
      <c r="N10706" s="1054"/>
      <c r="O10706" s="1207"/>
      <c r="Q10706" s="1207"/>
    </row>
    <row r="10707" spans="3:17" s="700" customFormat="1" ht="70.5" hidden="1" customHeight="1">
      <c r="C10707" s="701"/>
      <c r="D10707" s="811"/>
      <c r="E10707" s="1276">
        <f>[11]building!Y11038</f>
        <v>0</v>
      </c>
      <c r="F10707" s="748">
        <f t="shared" si="406"/>
        <v>0</v>
      </c>
      <c r="G10707" s="1205"/>
      <c r="H10707" s="1055"/>
      <c r="I10707" s="1055"/>
      <c r="J10707" s="1055"/>
      <c r="K10707" s="1205"/>
      <c r="L10707" s="1055"/>
      <c r="M10707" s="1205"/>
      <c r="N10707" s="1054"/>
      <c r="O10707" s="1207"/>
      <c r="Q10707" s="1207"/>
    </row>
    <row r="10708" spans="3:17" s="700" customFormat="1" ht="70.5" hidden="1" customHeight="1">
      <c r="C10708" s="701"/>
      <c r="D10708" s="811"/>
      <c r="E10708" s="1276">
        <f>[11]building!Y11039</f>
        <v>0</v>
      </c>
      <c r="F10708" s="748">
        <f t="shared" si="406"/>
        <v>0</v>
      </c>
      <c r="G10708" s="1205"/>
      <c r="H10708" s="1055"/>
      <c r="I10708" s="1055"/>
      <c r="J10708" s="1055"/>
      <c r="K10708" s="1205"/>
      <c r="L10708" s="1055"/>
      <c r="M10708" s="1205"/>
      <c r="N10708" s="1054"/>
      <c r="O10708" s="1207"/>
      <c r="Q10708" s="1207"/>
    </row>
    <row r="10709" spans="3:17" s="700" customFormat="1" ht="70.5" hidden="1" customHeight="1">
      <c r="C10709" s="701"/>
      <c r="D10709" s="811"/>
      <c r="E10709" s="1276">
        <f>[11]building!Y11040</f>
        <v>0</v>
      </c>
      <c r="F10709" s="748">
        <f t="shared" si="406"/>
        <v>0</v>
      </c>
      <c r="G10709" s="1205"/>
      <c r="H10709" s="1055"/>
      <c r="I10709" s="1055"/>
      <c r="J10709" s="1055"/>
      <c r="K10709" s="1205"/>
      <c r="L10709" s="1055"/>
      <c r="M10709" s="1205"/>
      <c r="N10709" s="1054"/>
      <c r="O10709" s="1207"/>
      <c r="Q10709" s="1207"/>
    </row>
    <row r="10710" spans="3:17" s="700" customFormat="1" ht="70.5" hidden="1" customHeight="1">
      <c r="C10710" s="701"/>
      <c r="D10710" s="811"/>
      <c r="E10710" s="1276">
        <f>[11]building!Y11041</f>
        <v>0</v>
      </c>
      <c r="F10710" s="748">
        <f t="shared" si="406"/>
        <v>0</v>
      </c>
      <c r="G10710" s="1205"/>
      <c r="H10710" s="1055"/>
      <c r="I10710" s="1055"/>
      <c r="J10710" s="1055"/>
      <c r="K10710" s="1205"/>
      <c r="L10710" s="1055"/>
      <c r="M10710" s="1205"/>
      <c r="N10710" s="1054"/>
      <c r="O10710" s="1207"/>
      <c r="Q10710" s="1207"/>
    </row>
    <row r="10711" spans="3:17" s="700" customFormat="1" ht="70.5" hidden="1" customHeight="1">
      <c r="C10711" s="701"/>
      <c r="D10711" s="811"/>
      <c r="E10711" s="1276">
        <f>[11]building!Y11042</f>
        <v>0</v>
      </c>
      <c r="F10711" s="748">
        <f t="shared" si="406"/>
        <v>0</v>
      </c>
      <c r="G10711" s="1205"/>
      <c r="H10711" s="1055"/>
      <c r="I10711" s="1055"/>
      <c r="J10711" s="1055"/>
      <c r="K10711" s="1205"/>
      <c r="L10711" s="1055"/>
      <c r="M10711" s="1205"/>
      <c r="N10711" s="1054"/>
      <c r="O10711" s="1207"/>
      <c r="Q10711" s="1207"/>
    </row>
    <row r="10712" spans="3:17" s="700" customFormat="1" ht="70.5" hidden="1" customHeight="1">
      <c r="C10712" s="701"/>
      <c r="D10712" s="811"/>
      <c r="E10712" s="1276">
        <f>[11]building!Y11043</f>
        <v>0</v>
      </c>
      <c r="F10712" s="748">
        <f t="shared" si="406"/>
        <v>0</v>
      </c>
      <c r="G10712" s="1205"/>
      <c r="H10712" s="1055"/>
      <c r="I10712" s="1055"/>
      <c r="J10712" s="1055"/>
      <c r="K10712" s="1205"/>
      <c r="L10712" s="1055"/>
      <c r="M10712" s="1205"/>
      <c r="N10712" s="1054"/>
      <c r="O10712" s="1207"/>
      <c r="Q10712" s="1207"/>
    </row>
    <row r="10713" spans="3:17" s="700" customFormat="1" ht="70.5" hidden="1" customHeight="1">
      <c r="C10713" s="701"/>
      <c r="D10713" s="811"/>
      <c r="E10713" s="1276">
        <f>[11]building!Y11044</f>
        <v>0</v>
      </c>
      <c r="F10713" s="748">
        <f t="shared" si="406"/>
        <v>0</v>
      </c>
      <c r="G10713" s="1205"/>
      <c r="H10713" s="1055"/>
      <c r="I10713" s="1055"/>
      <c r="J10713" s="1055"/>
      <c r="K10713" s="1205"/>
      <c r="L10713" s="1055"/>
      <c r="M10713" s="1205"/>
      <c r="N10713" s="1054"/>
      <c r="O10713" s="1207"/>
      <c r="Q10713" s="1207"/>
    </row>
    <row r="10714" spans="3:17" s="700" customFormat="1" ht="70.5" hidden="1" customHeight="1">
      <c r="C10714" s="701"/>
      <c r="D10714" s="811"/>
      <c r="E10714" s="1276">
        <f>[11]building!Y11045</f>
        <v>0</v>
      </c>
      <c r="F10714" s="748">
        <f t="shared" si="406"/>
        <v>0</v>
      </c>
      <c r="G10714" s="1205"/>
      <c r="H10714" s="1055"/>
      <c r="I10714" s="1055"/>
      <c r="J10714" s="1055"/>
      <c r="K10714" s="1205"/>
      <c r="L10714" s="1055"/>
      <c r="M10714" s="1205"/>
      <c r="N10714" s="1054"/>
      <c r="O10714" s="1207"/>
      <c r="Q10714" s="1207"/>
    </row>
    <row r="10715" spans="3:17" s="700" customFormat="1" ht="70.5" hidden="1" customHeight="1">
      <c r="C10715" s="701"/>
      <c r="D10715" s="811"/>
      <c r="E10715" s="1276">
        <f>[11]building!Y11046</f>
        <v>0</v>
      </c>
      <c r="F10715" s="748">
        <f t="shared" si="406"/>
        <v>0</v>
      </c>
      <c r="G10715" s="1205"/>
      <c r="H10715" s="1055"/>
      <c r="I10715" s="1055"/>
      <c r="J10715" s="1055"/>
      <c r="K10715" s="1205"/>
      <c r="L10715" s="1055"/>
      <c r="M10715" s="1205"/>
      <c r="N10715" s="1054"/>
      <c r="O10715" s="1207"/>
      <c r="Q10715" s="1207"/>
    </row>
    <row r="10716" spans="3:17" s="700" customFormat="1" ht="70.5" hidden="1" customHeight="1">
      <c r="C10716" s="701"/>
      <c r="D10716" s="811"/>
      <c r="E10716" s="1276">
        <f>[11]building!Y11047</f>
        <v>0</v>
      </c>
      <c r="F10716" s="748">
        <f t="shared" si="406"/>
        <v>0</v>
      </c>
      <c r="G10716" s="1205"/>
      <c r="H10716" s="1055"/>
      <c r="I10716" s="1055"/>
      <c r="J10716" s="1055"/>
      <c r="K10716" s="1205"/>
      <c r="L10716" s="1055"/>
      <c r="M10716" s="1205"/>
      <c r="N10716" s="1054"/>
      <c r="O10716" s="1207"/>
      <c r="Q10716" s="1207"/>
    </row>
    <row r="10717" spans="3:17" s="700" customFormat="1" ht="70.5" hidden="1" customHeight="1">
      <c r="C10717" s="701"/>
      <c r="D10717" s="811"/>
      <c r="E10717" s="1276">
        <f>[11]building!Y11048</f>
        <v>0</v>
      </c>
      <c r="F10717" s="748">
        <f t="shared" si="406"/>
        <v>0</v>
      </c>
      <c r="G10717" s="1205"/>
      <c r="H10717" s="1055"/>
      <c r="I10717" s="1055"/>
      <c r="J10717" s="1055"/>
      <c r="K10717" s="1205"/>
      <c r="L10717" s="1055"/>
      <c r="M10717" s="1205"/>
      <c r="N10717" s="1054"/>
      <c r="O10717" s="1207"/>
      <c r="Q10717" s="1207"/>
    </row>
    <row r="10718" spans="3:17" s="700" customFormat="1" ht="70.5" hidden="1" customHeight="1">
      <c r="C10718" s="701"/>
      <c r="D10718" s="811"/>
      <c r="E10718" s="1276">
        <f>[11]building!Y11049</f>
        <v>0</v>
      </c>
      <c r="F10718" s="748">
        <f t="shared" si="406"/>
        <v>0</v>
      </c>
      <c r="G10718" s="1205"/>
      <c r="H10718" s="1055"/>
      <c r="I10718" s="1055"/>
      <c r="J10718" s="1055"/>
      <c r="K10718" s="1205"/>
      <c r="L10718" s="1055"/>
      <c r="M10718" s="1205"/>
      <c r="N10718" s="1054"/>
      <c r="O10718" s="1207"/>
      <c r="Q10718" s="1207"/>
    </row>
    <row r="10719" spans="3:17" s="700" customFormat="1" ht="70.5" hidden="1" customHeight="1">
      <c r="C10719" s="701"/>
      <c r="D10719" s="811"/>
      <c r="E10719" s="1276">
        <f>[11]building!Y11050</f>
        <v>0</v>
      </c>
      <c r="F10719" s="748">
        <f t="shared" si="406"/>
        <v>0</v>
      </c>
      <c r="G10719" s="1205"/>
      <c r="H10719" s="1055"/>
      <c r="I10719" s="1055"/>
      <c r="J10719" s="1055"/>
      <c r="K10719" s="1205"/>
      <c r="L10719" s="1055"/>
      <c r="M10719" s="1205"/>
      <c r="N10719" s="1054"/>
      <c r="O10719" s="1207"/>
      <c r="Q10719" s="1207"/>
    </row>
    <row r="10720" spans="3:17" s="700" customFormat="1" ht="70.5" hidden="1" customHeight="1">
      <c r="C10720" s="701"/>
      <c r="D10720" s="811"/>
      <c r="E10720" s="1276">
        <f>[11]building!Y11051</f>
        <v>0</v>
      </c>
      <c r="F10720" s="748">
        <f t="shared" si="406"/>
        <v>0</v>
      </c>
      <c r="G10720" s="1205"/>
      <c r="H10720" s="1055"/>
      <c r="I10720" s="1055"/>
      <c r="J10720" s="1055"/>
      <c r="K10720" s="1205"/>
      <c r="L10720" s="1055"/>
      <c r="M10720" s="1205"/>
      <c r="N10720" s="1054"/>
      <c r="O10720" s="1207"/>
      <c r="Q10720" s="1207"/>
    </row>
    <row r="10721" spans="3:17" s="700" customFormat="1" ht="70.5" hidden="1" customHeight="1">
      <c r="C10721" s="701"/>
      <c r="D10721" s="811"/>
      <c r="E10721" s="1276">
        <f>[11]building!Y11052</f>
        <v>0</v>
      </c>
      <c r="F10721" s="748">
        <f t="shared" si="406"/>
        <v>0</v>
      </c>
      <c r="G10721" s="1205"/>
      <c r="H10721" s="1055"/>
      <c r="I10721" s="1055"/>
      <c r="J10721" s="1055"/>
      <c r="K10721" s="1205"/>
      <c r="L10721" s="1055"/>
      <c r="M10721" s="1205"/>
      <c r="N10721" s="1054"/>
      <c r="O10721" s="1207"/>
      <c r="Q10721" s="1207"/>
    </row>
    <row r="10722" spans="3:17" s="700" customFormat="1" ht="70.5" hidden="1" customHeight="1">
      <c r="C10722" s="701"/>
      <c r="D10722" s="811"/>
      <c r="E10722" s="1276">
        <f>[11]building!Y11053</f>
        <v>0</v>
      </c>
      <c r="F10722" s="748">
        <f t="shared" si="406"/>
        <v>0</v>
      </c>
      <c r="G10722" s="1205"/>
      <c r="H10722" s="1055"/>
      <c r="I10722" s="1055"/>
      <c r="J10722" s="1055"/>
      <c r="K10722" s="1205"/>
      <c r="L10722" s="1055"/>
      <c r="M10722" s="1205"/>
      <c r="N10722" s="1054"/>
      <c r="O10722" s="1207"/>
      <c r="Q10722" s="1207"/>
    </row>
    <row r="10723" spans="3:17" s="700" customFormat="1" ht="70.5" hidden="1" customHeight="1">
      <c r="C10723" s="701"/>
      <c r="D10723" s="811"/>
      <c r="E10723" s="1276">
        <f>[11]building!Y11054</f>
        <v>0</v>
      </c>
      <c r="F10723" s="748">
        <f t="shared" si="406"/>
        <v>0</v>
      </c>
      <c r="G10723" s="1205"/>
      <c r="H10723" s="1055"/>
      <c r="I10723" s="1055"/>
      <c r="J10723" s="1055"/>
      <c r="K10723" s="1205"/>
      <c r="L10723" s="1055"/>
      <c r="M10723" s="1205"/>
      <c r="N10723" s="1054"/>
      <c r="O10723" s="1207"/>
      <c r="Q10723" s="1207"/>
    </row>
    <row r="10724" spans="3:17" s="700" customFormat="1" ht="70.5" hidden="1" customHeight="1">
      <c r="C10724" s="701"/>
      <c r="D10724" s="811"/>
      <c r="E10724" s="1276">
        <f>[11]building!Y11055</f>
        <v>0</v>
      </c>
      <c r="F10724" s="748">
        <f t="shared" si="406"/>
        <v>0</v>
      </c>
      <c r="G10724" s="1205"/>
      <c r="H10724" s="1055"/>
      <c r="I10724" s="1055"/>
      <c r="J10724" s="1055"/>
      <c r="K10724" s="1205"/>
      <c r="L10724" s="1055"/>
      <c r="M10724" s="1205"/>
      <c r="N10724" s="1054"/>
      <c r="O10724" s="1207"/>
      <c r="Q10724" s="1207"/>
    </row>
    <row r="10725" spans="3:17" s="700" customFormat="1" ht="70.5" hidden="1" customHeight="1">
      <c r="C10725" s="701"/>
      <c r="D10725" s="811"/>
      <c r="E10725" s="1276">
        <f>[11]building!Y11056</f>
        <v>0</v>
      </c>
      <c r="F10725" s="748">
        <f t="shared" si="406"/>
        <v>0</v>
      </c>
      <c r="G10725" s="1205"/>
      <c r="H10725" s="1055"/>
      <c r="I10725" s="1055"/>
      <c r="J10725" s="1055"/>
      <c r="K10725" s="1205"/>
      <c r="L10725" s="1055"/>
      <c r="M10725" s="1205"/>
      <c r="N10725" s="1054"/>
      <c r="O10725" s="1207"/>
      <c r="Q10725" s="1207"/>
    </row>
    <row r="10726" spans="3:17" s="700" customFormat="1" ht="70.5" hidden="1" customHeight="1">
      <c r="C10726" s="701"/>
      <c r="D10726" s="811"/>
      <c r="E10726" s="1276">
        <f>[11]building!Y11057</f>
        <v>0</v>
      </c>
      <c r="F10726" s="748">
        <f t="shared" si="406"/>
        <v>0</v>
      </c>
      <c r="G10726" s="1205"/>
      <c r="H10726" s="1055"/>
      <c r="I10726" s="1055"/>
      <c r="J10726" s="1055"/>
      <c r="K10726" s="1205"/>
      <c r="L10726" s="1055"/>
      <c r="M10726" s="1205"/>
      <c r="N10726" s="1054"/>
      <c r="O10726" s="1207"/>
      <c r="Q10726" s="1207"/>
    </row>
    <row r="10727" spans="3:17" s="700" customFormat="1" ht="70.5" hidden="1" customHeight="1">
      <c r="C10727" s="701"/>
      <c r="D10727" s="811"/>
      <c r="E10727" s="1276">
        <f>[11]building!Y11058</f>
        <v>0</v>
      </c>
      <c r="F10727" s="748">
        <f t="shared" si="406"/>
        <v>0</v>
      </c>
      <c r="G10727" s="1205"/>
      <c r="H10727" s="1055"/>
      <c r="I10727" s="1055"/>
      <c r="J10727" s="1055"/>
      <c r="K10727" s="1205"/>
      <c r="L10727" s="1055"/>
      <c r="M10727" s="1205"/>
      <c r="N10727" s="1054"/>
      <c r="O10727" s="1207"/>
      <c r="Q10727" s="1207"/>
    </row>
    <row r="10728" spans="3:17" s="700" customFormat="1" ht="70.5" hidden="1" customHeight="1">
      <c r="C10728" s="701"/>
      <c r="D10728" s="811"/>
      <c r="E10728" s="1276">
        <f>[11]building!Y11059</f>
        <v>0</v>
      </c>
      <c r="F10728" s="748">
        <f t="shared" si="406"/>
        <v>0</v>
      </c>
      <c r="G10728" s="1205"/>
      <c r="H10728" s="1055"/>
      <c r="I10728" s="1055"/>
      <c r="J10728" s="1055"/>
      <c r="K10728" s="1205"/>
      <c r="L10728" s="1055"/>
      <c r="M10728" s="1205"/>
      <c r="N10728" s="1054"/>
      <c r="O10728" s="1207"/>
      <c r="Q10728" s="1207"/>
    </row>
    <row r="10729" spans="3:17" s="700" customFormat="1" ht="70.5" hidden="1" customHeight="1">
      <c r="C10729" s="701"/>
      <c r="D10729" s="811"/>
      <c r="E10729" s="1276">
        <f>[11]building!Y11060</f>
        <v>0</v>
      </c>
      <c r="F10729" s="748">
        <f t="shared" si="406"/>
        <v>0</v>
      </c>
      <c r="G10729" s="1205"/>
      <c r="H10729" s="1055"/>
      <c r="I10729" s="1055"/>
      <c r="J10729" s="1055"/>
      <c r="K10729" s="1205"/>
      <c r="L10729" s="1055"/>
      <c r="M10729" s="1205"/>
      <c r="N10729" s="1054"/>
      <c r="O10729" s="1207"/>
      <c r="Q10729" s="1207"/>
    </row>
    <row r="10730" spans="3:17" s="700" customFormat="1" ht="70.5" hidden="1" customHeight="1">
      <c r="C10730" s="701"/>
      <c r="D10730" s="811"/>
      <c r="E10730" s="1276">
        <f>[11]building!Y11061</f>
        <v>0</v>
      </c>
      <c r="F10730" s="748">
        <f t="shared" si="406"/>
        <v>0</v>
      </c>
      <c r="G10730" s="1205"/>
      <c r="H10730" s="1055"/>
      <c r="I10730" s="1055"/>
      <c r="J10730" s="1055"/>
      <c r="K10730" s="1205"/>
      <c r="L10730" s="1055"/>
      <c r="M10730" s="1205"/>
      <c r="N10730" s="1054"/>
      <c r="O10730" s="1207"/>
      <c r="Q10730" s="1207"/>
    </row>
    <row r="10731" spans="3:17" s="700" customFormat="1" ht="70.5" hidden="1" customHeight="1">
      <c r="C10731" s="701"/>
      <c r="D10731" s="811"/>
      <c r="E10731" s="1276">
        <f>[11]building!Y11062</f>
        <v>0</v>
      </c>
      <c r="F10731" s="748">
        <f t="shared" si="406"/>
        <v>0</v>
      </c>
      <c r="G10731" s="1205"/>
      <c r="H10731" s="1055"/>
      <c r="I10731" s="1055"/>
      <c r="J10731" s="1055"/>
      <c r="K10731" s="1205"/>
      <c r="L10731" s="1055"/>
      <c r="M10731" s="1205"/>
      <c r="N10731" s="1054"/>
      <c r="O10731" s="1207"/>
      <c r="Q10731" s="1207"/>
    </row>
    <row r="10732" spans="3:17" s="700" customFormat="1" ht="70.5" hidden="1" customHeight="1">
      <c r="C10732" s="701"/>
      <c r="D10732" s="811"/>
      <c r="E10732" s="1276">
        <f>[11]building!Y11063</f>
        <v>0</v>
      </c>
      <c r="F10732" s="748">
        <f t="shared" si="406"/>
        <v>0</v>
      </c>
      <c r="G10732" s="1205"/>
      <c r="H10732" s="1055"/>
      <c r="I10732" s="1055"/>
      <c r="J10732" s="1055"/>
      <c r="K10732" s="1205"/>
      <c r="L10732" s="1055"/>
      <c r="M10732" s="1205"/>
      <c r="N10732" s="1054"/>
      <c r="O10732" s="1207"/>
      <c r="Q10732" s="1207"/>
    </row>
    <row r="10733" spans="3:17" s="700" customFormat="1" ht="70.5" hidden="1" customHeight="1">
      <c r="C10733" s="701"/>
      <c r="D10733" s="811"/>
      <c r="E10733" s="1276">
        <f>[11]building!Y11064</f>
        <v>0</v>
      </c>
      <c r="F10733" s="748">
        <f t="shared" si="406"/>
        <v>0</v>
      </c>
      <c r="G10733" s="1205"/>
      <c r="H10733" s="1055"/>
      <c r="I10733" s="1055"/>
      <c r="J10733" s="1055"/>
      <c r="K10733" s="1205"/>
      <c r="L10733" s="1055"/>
      <c r="M10733" s="1205"/>
      <c r="N10733" s="1054"/>
      <c r="O10733" s="1207"/>
      <c r="Q10733" s="1207"/>
    </row>
    <row r="10734" spans="3:17" s="700" customFormat="1" ht="70.5" hidden="1" customHeight="1">
      <c r="C10734" s="701"/>
      <c r="D10734" s="811"/>
      <c r="E10734" s="1276">
        <f>[11]building!Y11065</f>
        <v>0</v>
      </c>
      <c r="F10734" s="748">
        <f t="shared" si="406"/>
        <v>0</v>
      </c>
      <c r="G10734" s="1205"/>
      <c r="H10734" s="1055"/>
      <c r="I10734" s="1055"/>
      <c r="J10734" s="1055"/>
      <c r="K10734" s="1205"/>
      <c r="L10734" s="1055"/>
      <c r="M10734" s="1205"/>
      <c r="N10734" s="1054"/>
      <c r="O10734" s="1207"/>
      <c r="Q10734" s="1207"/>
    </row>
    <row r="10735" spans="3:17" s="700" customFormat="1" ht="70.5" hidden="1" customHeight="1">
      <c r="C10735" s="701"/>
      <c r="D10735" s="811"/>
      <c r="E10735" s="1276">
        <f>[11]building!Y11066</f>
        <v>0</v>
      </c>
      <c r="F10735" s="748">
        <f t="shared" si="406"/>
        <v>0</v>
      </c>
      <c r="G10735" s="1205"/>
      <c r="H10735" s="1055"/>
      <c r="I10735" s="1055"/>
      <c r="J10735" s="1055"/>
      <c r="K10735" s="1205"/>
      <c r="L10735" s="1055"/>
      <c r="M10735" s="1205"/>
      <c r="N10735" s="1054"/>
      <c r="O10735" s="1207"/>
      <c r="Q10735" s="1207"/>
    </row>
    <row r="10736" spans="3:17" s="700" customFormat="1" ht="70.5" hidden="1" customHeight="1">
      <c r="C10736" s="701"/>
      <c r="D10736" s="811"/>
      <c r="E10736" s="1276">
        <f>[11]building!Y11067</f>
        <v>0</v>
      </c>
      <c r="F10736" s="748">
        <f t="shared" si="406"/>
        <v>0</v>
      </c>
      <c r="G10736" s="1205"/>
      <c r="H10736" s="1055"/>
      <c r="I10736" s="1055"/>
      <c r="J10736" s="1055"/>
      <c r="K10736" s="1205"/>
      <c r="L10736" s="1055"/>
      <c r="M10736" s="1205"/>
      <c r="N10736" s="1054"/>
      <c r="O10736" s="1207"/>
      <c r="Q10736" s="1207"/>
    </row>
    <row r="10737" spans="3:17" s="700" customFormat="1" ht="70.5" hidden="1" customHeight="1">
      <c r="C10737" s="701"/>
      <c r="D10737" s="811"/>
      <c r="E10737" s="1276">
        <f>[11]building!Y11068</f>
        <v>0</v>
      </c>
      <c r="F10737" s="748">
        <f t="shared" si="406"/>
        <v>0</v>
      </c>
      <c r="G10737" s="1205"/>
      <c r="H10737" s="1055"/>
      <c r="I10737" s="1055"/>
      <c r="J10737" s="1055"/>
      <c r="K10737" s="1205"/>
      <c r="L10737" s="1055"/>
      <c r="M10737" s="1205"/>
      <c r="N10737" s="1054"/>
      <c r="O10737" s="1207"/>
      <c r="Q10737" s="1207"/>
    </row>
    <row r="10738" spans="3:17" s="700" customFormat="1" ht="70.5" hidden="1" customHeight="1">
      <c r="C10738" s="701"/>
      <c r="D10738" s="811"/>
      <c r="E10738" s="1276">
        <f>[11]building!Y11069</f>
        <v>0</v>
      </c>
      <c r="F10738" s="748">
        <f t="shared" si="406"/>
        <v>0</v>
      </c>
      <c r="G10738" s="1205"/>
      <c r="H10738" s="1055"/>
      <c r="I10738" s="1055"/>
      <c r="J10738" s="1055"/>
      <c r="K10738" s="1205"/>
      <c r="L10738" s="1055"/>
      <c r="M10738" s="1205"/>
      <c r="N10738" s="1054"/>
      <c r="O10738" s="1207"/>
      <c r="Q10738" s="1207"/>
    </row>
    <row r="10739" spans="3:17" s="700" customFormat="1" ht="70.5" hidden="1" customHeight="1">
      <c r="C10739" s="701"/>
      <c r="D10739" s="811"/>
      <c r="E10739" s="1276">
        <f>[11]building!Y11070</f>
        <v>0</v>
      </c>
      <c r="F10739" s="748">
        <f t="shared" si="406"/>
        <v>0</v>
      </c>
      <c r="G10739" s="1205"/>
      <c r="H10739" s="1055"/>
      <c r="I10739" s="1055"/>
      <c r="J10739" s="1055"/>
      <c r="K10739" s="1205"/>
      <c r="L10739" s="1055"/>
      <c r="M10739" s="1205"/>
      <c r="N10739" s="1054"/>
      <c r="O10739" s="1207"/>
      <c r="Q10739" s="1207"/>
    </row>
    <row r="10740" spans="3:17" s="700" customFormat="1" ht="70.5" hidden="1" customHeight="1">
      <c r="C10740" s="701"/>
      <c r="D10740" s="811"/>
      <c r="E10740" s="1276">
        <f>[11]building!Y11071</f>
        <v>0</v>
      </c>
      <c r="F10740" s="748">
        <f t="shared" si="406"/>
        <v>0</v>
      </c>
      <c r="G10740" s="1205"/>
      <c r="H10740" s="1055"/>
      <c r="I10740" s="1055"/>
      <c r="J10740" s="1055"/>
      <c r="K10740" s="1205"/>
      <c r="L10740" s="1055"/>
      <c r="M10740" s="1205"/>
      <c r="N10740" s="1054"/>
      <c r="O10740" s="1207"/>
      <c r="Q10740" s="1207"/>
    </row>
    <row r="10741" spans="3:17" s="700" customFormat="1" ht="70.5" hidden="1" customHeight="1">
      <c r="C10741" s="701"/>
      <c r="D10741" s="811"/>
      <c r="E10741" s="1276">
        <f>[11]building!Y11072</f>
        <v>0</v>
      </c>
      <c r="F10741" s="748">
        <f t="shared" si="406"/>
        <v>0</v>
      </c>
      <c r="G10741" s="1205"/>
      <c r="H10741" s="1055"/>
      <c r="I10741" s="1055"/>
      <c r="J10741" s="1055"/>
      <c r="K10741" s="1205"/>
      <c r="L10741" s="1055"/>
      <c r="M10741" s="1205"/>
      <c r="N10741" s="1054"/>
      <c r="O10741" s="1207"/>
      <c r="Q10741" s="1207"/>
    </row>
    <row r="10742" spans="3:17" s="700" customFormat="1" ht="70.5" hidden="1" customHeight="1">
      <c r="C10742" s="701"/>
      <c r="D10742" s="811"/>
      <c r="E10742" s="1276">
        <f>[11]building!Y11073</f>
        <v>0</v>
      </c>
      <c r="F10742" s="748">
        <f t="shared" si="406"/>
        <v>0</v>
      </c>
      <c r="G10742" s="1205"/>
      <c r="H10742" s="1055"/>
      <c r="I10742" s="1055"/>
      <c r="J10742" s="1055"/>
      <c r="K10742" s="1205"/>
      <c r="L10742" s="1055"/>
      <c r="M10742" s="1205"/>
      <c r="N10742" s="1054"/>
      <c r="O10742" s="1207"/>
      <c r="Q10742" s="1207"/>
    </row>
    <row r="10743" spans="3:17" s="700" customFormat="1" ht="70.5" hidden="1" customHeight="1">
      <c r="C10743" s="701"/>
      <c r="D10743" s="811"/>
      <c r="E10743" s="1276">
        <f>[11]building!Y11074</f>
        <v>0</v>
      </c>
      <c r="F10743" s="748">
        <f t="shared" si="406"/>
        <v>0</v>
      </c>
      <c r="G10743" s="1205"/>
      <c r="H10743" s="1055"/>
      <c r="I10743" s="1055"/>
      <c r="J10743" s="1055"/>
      <c r="K10743" s="1205"/>
      <c r="L10743" s="1055"/>
      <c r="M10743" s="1205"/>
      <c r="N10743" s="1054"/>
      <c r="O10743" s="1207"/>
      <c r="Q10743" s="1207"/>
    </row>
    <row r="10744" spans="3:17" s="700" customFormat="1" ht="70.5" hidden="1" customHeight="1">
      <c r="C10744" s="701"/>
      <c r="D10744" s="811"/>
      <c r="E10744" s="1276">
        <f>[11]building!Y11075</f>
        <v>0</v>
      </c>
      <c r="F10744" s="748">
        <f t="shared" si="406"/>
        <v>0</v>
      </c>
      <c r="G10744" s="1205"/>
      <c r="H10744" s="1055"/>
      <c r="I10744" s="1055"/>
      <c r="J10744" s="1055"/>
      <c r="K10744" s="1205"/>
      <c r="L10744" s="1055"/>
      <c r="M10744" s="1205"/>
      <c r="N10744" s="1054"/>
      <c r="O10744" s="1207"/>
      <c r="Q10744" s="1207"/>
    </row>
    <row r="10745" spans="3:17" s="700" customFormat="1" ht="70.5" hidden="1" customHeight="1">
      <c r="C10745" s="701"/>
      <c r="D10745" s="811"/>
      <c r="E10745" s="1276">
        <f>[11]building!Y11076</f>
        <v>0</v>
      </c>
      <c r="F10745" s="748">
        <f t="shared" si="406"/>
        <v>0</v>
      </c>
      <c r="G10745" s="1205"/>
      <c r="H10745" s="1055"/>
      <c r="I10745" s="1055"/>
      <c r="J10745" s="1055"/>
      <c r="K10745" s="1205"/>
      <c r="L10745" s="1055"/>
      <c r="M10745" s="1205"/>
      <c r="N10745" s="1054"/>
      <c r="O10745" s="1207"/>
      <c r="Q10745" s="1207"/>
    </row>
    <row r="10746" spans="3:17" s="700" customFormat="1" ht="70.5" hidden="1" customHeight="1">
      <c r="C10746" s="701"/>
      <c r="D10746" s="811"/>
      <c r="E10746" s="1276">
        <f>[11]building!Y11077</f>
        <v>0</v>
      </c>
      <c r="F10746" s="748">
        <f t="shared" si="406"/>
        <v>0</v>
      </c>
      <c r="G10746" s="1205"/>
      <c r="H10746" s="1055"/>
      <c r="I10746" s="1055"/>
      <c r="J10746" s="1055"/>
      <c r="K10746" s="1205"/>
      <c r="L10746" s="1055"/>
      <c r="M10746" s="1205"/>
      <c r="N10746" s="1054"/>
      <c r="O10746" s="1207"/>
      <c r="Q10746" s="1207"/>
    </row>
    <row r="10747" spans="3:17" s="700" customFormat="1" ht="70.5" hidden="1" customHeight="1">
      <c r="C10747" s="701"/>
      <c r="D10747" s="811"/>
      <c r="E10747" s="1276">
        <f>[11]building!Y11078</f>
        <v>0</v>
      </c>
      <c r="F10747" s="748">
        <f t="shared" si="406"/>
        <v>0</v>
      </c>
      <c r="G10747" s="1205"/>
      <c r="H10747" s="1055"/>
      <c r="I10747" s="1055"/>
      <c r="J10747" s="1055"/>
      <c r="K10747" s="1205"/>
      <c r="L10747" s="1055"/>
      <c r="M10747" s="1205"/>
      <c r="N10747" s="1054"/>
      <c r="O10747" s="1207"/>
      <c r="Q10747" s="1207"/>
    </row>
    <row r="10748" spans="3:17" s="700" customFormat="1" ht="70.5" hidden="1" customHeight="1">
      <c r="C10748" s="701"/>
      <c r="D10748" s="811"/>
      <c r="E10748" s="1276">
        <f>[11]building!Y11079</f>
        <v>0</v>
      </c>
      <c r="F10748" s="748">
        <f t="shared" si="406"/>
        <v>0</v>
      </c>
      <c r="G10748" s="1205"/>
      <c r="H10748" s="1055"/>
      <c r="I10748" s="1055"/>
      <c r="J10748" s="1055"/>
      <c r="K10748" s="1205"/>
      <c r="L10748" s="1055"/>
      <c r="M10748" s="1205"/>
      <c r="N10748" s="1054"/>
      <c r="O10748" s="1207"/>
      <c r="Q10748" s="1207"/>
    </row>
    <row r="10749" spans="3:17" s="700" customFormat="1" ht="70.5" hidden="1" customHeight="1">
      <c r="C10749" s="701"/>
      <c r="D10749" s="811"/>
      <c r="E10749" s="1276">
        <f>[11]building!Y11080</f>
        <v>0</v>
      </c>
      <c r="F10749" s="748">
        <f t="shared" si="406"/>
        <v>0</v>
      </c>
      <c r="G10749" s="1205"/>
      <c r="H10749" s="1055"/>
      <c r="I10749" s="1055"/>
      <c r="J10749" s="1055"/>
      <c r="K10749" s="1205"/>
      <c r="L10749" s="1055"/>
      <c r="M10749" s="1205"/>
      <c r="N10749" s="1054"/>
      <c r="O10749" s="1207"/>
      <c r="Q10749" s="1207"/>
    </row>
    <row r="10750" spans="3:17" s="700" customFormat="1" ht="70.5" hidden="1" customHeight="1">
      <c r="C10750" s="701"/>
      <c r="D10750" s="811"/>
      <c r="E10750" s="1276">
        <f>[11]building!Y11081</f>
        <v>0</v>
      </c>
      <c r="F10750" s="748">
        <f t="shared" si="406"/>
        <v>0</v>
      </c>
      <c r="G10750" s="1205"/>
      <c r="H10750" s="1055"/>
      <c r="I10750" s="1055"/>
      <c r="J10750" s="1055"/>
      <c r="K10750" s="1205"/>
      <c r="L10750" s="1055"/>
      <c r="M10750" s="1205"/>
      <c r="N10750" s="1054"/>
      <c r="O10750" s="1207"/>
      <c r="Q10750" s="1207"/>
    </row>
    <row r="10751" spans="3:17" s="700" customFormat="1" ht="70.5" hidden="1" customHeight="1">
      <c r="C10751" s="701"/>
      <c r="D10751" s="811"/>
      <c r="E10751" s="1276">
        <f>[11]building!Y11082</f>
        <v>0</v>
      </c>
      <c r="F10751" s="748">
        <f t="shared" si="406"/>
        <v>0</v>
      </c>
      <c r="G10751" s="1205"/>
      <c r="H10751" s="1055"/>
      <c r="I10751" s="1055"/>
      <c r="J10751" s="1055"/>
      <c r="K10751" s="1205"/>
      <c r="L10751" s="1055"/>
      <c r="M10751" s="1205"/>
      <c r="N10751" s="1054"/>
      <c r="O10751" s="1207"/>
      <c r="Q10751" s="1207"/>
    </row>
    <row r="10752" spans="3:17" s="700" customFormat="1" ht="70.5" hidden="1" customHeight="1">
      <c r="C10752" s="701"/>
      <c r="D10752" s="811"/>
      <c r="E10752" s="1276">
        <f>[11]building!Y11083</f>
        <v>0</v>
      </c>
      <c r="F10752" s="748">
        <f t="shared" ref="F10752:F10815" si="407">E10752*C10752</f>
        <v>0</v>
      </c>
      <c r="G10752" s="1205"/>
      <c r="H10752" s="1055"/>
      <c r="I10752" s="1055"/>
      <c r="J10752" s="1055"/>
      <c r="K10752" s="1205"/>
      <c r="L10752" s="1055"/>
      <c r="M10752" s="1205"/>
      <c r="N10752" s="1054"/>
      <c r="O10752" s="1207"/>
      <c r="Q10752" s="1207"/>
    </row>
    <row r="10753" spans="3:17" s="700" customFormat="1" ht="70.5" hidden="1" customHeight="1">
      <c r="C10753" s="701"/>
      <c r="D10753" s="811"/>
      <c r="E10753" s="1276">
        <f>[11]building!Y11084</f>
        <v>0</v>
      </c>
      <c r="F10753" s="748">
        <f t="shared" si="407"/>
        <v>0</v>
      </c>
      <c r="G10753" s="1205"/>
      <c r="H10753" s="1055"/>
      <c r="I10753" s="1055"/>
      <c r="J10753" s="1055"/>
      <c r="K10753" s="1205"/>
      <c r="L10753" s="1055"/>
      <c r="M10753" s="1205"/>
      <c r="N10753" s="1054"/>
      <c r="O10753" s="1207"/>
      <c r="Q10753" s="1207"/>
    </row>
    <row r="10754" spans="3:17" s="700" customFormat="1" ht="70.5" hidden="1" customHeight="1">
      <c r="C10754" s="701"/>
      <c r="D10754" s="811"/>
      <c r="E10754" s="1276">
        <f>[11]building!Y11085</f>
        <v>0</v>
      </c>
      <c r="F10754" s="748">
        <f t="shared" si="407"/>
        <v>0</v>
      </c>
      <c r="G10754" s="1205"/>
      <c r="H10754" s="1055"/>
      <c r="I10754" s="1055"/>
      <c r="J10754" s="1055"/>
      <c r="K10754" s="1205"/>
      <c r="L10754" s="1055"/>
      <c r="M10754" s="1205"/>
      <c r="N10754" s="1054"/>
      <c r="O10754" s="1207"/>
      <c r="Q10754" s="1207"/>
    </row>
    <row r="10755" spans="3:17" s="700" customFormat="1" ht="70.5" hidden="1" customHeight="1">
      <c r="C10755" s="701"/>
      <c r="D10755" s="811"/>
      <c r="E10755" s="1276">
        <f>[11]building!Y11086</f>
        <v>0</v>
      </c>
      <c r="F10755" s="748">
        <f t="shared" si="407"/>
        <v>0</v>
      </c>
      <c r="G10755" s="1205"/>
      <c r="H10755" s="1055"/>
      <c r="I10755" s="1055"/>
      <c r="J10755" s="1055"/>
      <c r="K10755" s="1205"/>
      <c r="L10755" s="1055"/>
      <c r="M10755" s="1205"/>
      <c r="N10755" s="1054"/>
      <c r="O10755" s="1207"/>
      <c r="Q10755" s="1207"/>
    </row>
    <row r="10756" spans="3:17" s="700" customFormat="1" ht="70.5" hidden="1" customHeight="1">
      <c r="C10756" s="701"/>
      <c r="D10756" s="811"/>
      <c r="E10756" s="1276">
        <f>[11]building!Y11087</f>
        <v>0</v>
      </c>
      <c r="F10756" s="748">
        <f t="shared" si="407"/>
        <v>0</v>
      </c>
      <c r="G10756" s="1205"/>
      <c r="H10756" s="1055"/>
      <c r="I10756" s="1055"/>
      <c r="J10756" s="1055"/>
      <c r="K10756" s="1205"/>
      <c r="L10756" s="1055"/>
      <c r="M10756" s="1205"/>
      <c r="N10756" s="1054"/>
      <c r="O10756" s="1207"/>
      <c r="Q10756" s="1207"/>
    </row>
    <row r="10757" spans="3:17" s="700" customFormat="1" ht="70.5" hidden="1" customHeight="1">
      <c r="C10757" s="701"/>
      <c r="D10757" s="811"/>
      <c r="E10757" s="1276">
        <f>[11]building!Y11088</f>
        <v>0</v>
      </c>
      <c r="F10757" s="748">
        <f t="shared" si="407"/>
        <v>0</v>
      </c>
      <c r="G10757" s="1205"/>
      <c r="H10757" s="1055"/>
      <c r="I10757" s="1055"/>
      <c r="J10757" s="1055"/>
      <c r="K10757" s="1205"/>
      <c r="L10757" s="1055"/>
      <c r="M10757" s="1205"/>
      <c r="N10757" s="1054"/>
      <c r="O10757" s="1207"/>
      <c r="Q10757" s="1207"/>
    </row>
    <row r="10758" spans="3:17" s="700" customFormat="1" ht="70.5" hidden="1" customHeight="1">
      <c r="C10758" s="701"/>
      <c r="D10758" s="811"/>
      <c r="E10758" s="1276">
        <f>[11]building!Y11089</f>
        <v>0</v>
      </c>
      <c r="F10758" s="748">
        <f t="shared" si="407"/>
        <v>0</v>
      </c>
      <c r="G10758" s="1205"/>
      <c r="H10758" s="1055"/>
      <c r="I10758" s="1055"/>
      <c r="J10758" s="1055"/>
      <c r="K10758" s="1205"/>
      <c r="L10758" s="1055"/>
      <c r="M10758" s="1205"/>
      <c r="N10758" s="1054"/>
      <c r="O10758" s="1207"/>
      <c r="Q10758" s="1207"/>
    </row>
    <row r="10759" spans="3:17" s="700" customFormat="1" ht="70.5" hidden="1" customHeight="1">
      <c r="C10759" s="701"/>
      <c r="D10759" s="811"/>
      <c r="E10759" s="1276">
        <f>[11]building!Y11090</f>
        <v>0</v>
      </c>
      <c r="F10759" s="748">
        <f t="shared" si="407"/>
        <v>0</v>
      </c>
      <c r="G10759" s="1205"/>
      <c r="H10759" s="1055"/>
      <c r="I10759" s="1055"/>
      <c r="J10759" s="1055"/>
      <c r="K10759" s="1205"/>
      <c r="L10759" s="1055"/>
      <c r="M10759" s="1205"/>
      <c r="N10759" s="1054"/>
      <c r="O10759" s="1207"/>
      <c r="Q10759" s="1207"/>
    </row>
    <row r="10760" spans="3:17" s="700" customFormat="1" ht="70.5" hidden="1" customHeight="1">
      <c r="C10760" s="701"/>
      <c r="D10760" s="811"/>
      <c r="E10760" s="1276">
        <f>[11]building!Y11091</f>
        <v>0</v>
      </c>
      <c r="F10760" s="748">
        <f t="shared" si="407"/>
        <v>0</v>
      </c>
      <c r="G10760" s="1205"/>
      <c r="H10760" s="1055"/>
      <c r="I10760" s="1055"/>
      <c r="J10760" s="1055"/>
      <c r="K10760" s="1205"/>
      <c r="L10760" s="1055"/>
      <c r="M10760" s="1205"/>
      <c r="N10760" s="1054"/>
      <c r="O10760" s="1207"/>
      <c r="Q10760" s="1207"/>
    </row>
    <row r="10761" spans="3:17" s="700" customFormat="1" ht="70.5" hidden="1" customHeight="1">
      <c r="C10761" s="701"/>
      <c r="D10761" s="811"/>
      <c r="E10761" s="1276">
        <f>[11]building!Y11092</f>
        <v>0</v>
      </c>
      <c r="F10761" s="748">
        <f t="shared" si="407"/>
        <v>0</v>
      </c>
      <c r="G10761" s="1205"/>
      <c r="H10761" s="1055"/>
      <c r="I10761" s="1055"/>
      <c r="J10761" s="1055"/>
      <c r="K10761" s="1205"/>
      <c r="L10761" s="1055"/>
      <c r="M10761" s="1205"/>
      <c r="N10761" s="1054"/>
      <c r="O10761" s="1207"/>
      <c r="Q10761" s="1207"/>
    </row>
    <row r="10762" spans="3:17" s="700" customFormat="1" ht="70.5" hidden="1" customHeight="1">
      <c r="C10762" s="701"/>
      <c r="D10762" s="811"/>
      <c r="E10762" s="1276">
        <f>[11]building!Y11093</f>
        <v>0</v>
      </c>
      <c r="F10762" s="748">
        <f t="shared" si="407"/>
        <v>0</v>
      </c>
      <c r="G10762" s="1205"/>
      <c r="H10762" s="1055"/>
      <c r="I10762" s="1055"/>
      <c r="J10762" s="1055"/>
      <c r="K10762" s="1205"/>
      <c r="L10762" s="1055"/>
      <c r="M10762" s="1205"/>
      <c r="N10762" s="1054"/>
      <c r="O10762" s="1207"/>
      <c r="Q10762" s="1207"/>
    </row>
    <row r="10763" spans="3:17" s="700" customFormat="1" ht="70.5" hidden="1" customHeight="1">
      <c r="C10763" s="701"/>
      <c r="D10763" s="811"/>
      <c r="E10763" s="1276">
        <f>[11]building!Y11094</f>
        <v>0</v>
      </c>
      <c r="F10763" s="748">
        <f t="shared" si="407"/>
        <v>0</v>
      </c>
      <c r="G10763" s="1205"/>
      <c r="H10763" s="1055"/>
      <c r="I10763" s="1055"/>
      <c r="J10763" s="1055"/>
      <c r="K10763" s="1205"/>
      <c r="L10763" s="1055"/>
      <c r="M10763" s="1205"/>
      <c r="N10763" s="1054"/>
      <c r="O10763" s="1207"/>
      <c r="Q10763" s="1207"/>
    </row>
    <row r="10764" spans="3:17" s="700" customFormat="1" ht="70.5" hidden="1" customHeight="1">
      <c r="C10764" s="701"/>
      <c r="D10764" s="811"/>
      <c r="E10764" s="1276">
        <f>[11]building!Y11095</f>
        <v>0</v>
      </c>
      <c r="F10764" s="748">
        <f t="shared" si="407"/>
        <v>0</v>
      </c>
      <c r="G10764" s="1205"/>
      <c r="H10764" s="1055"/>
      <c r="I10764" s="1055"/>
      <c r="J10764" s="1055"/>
      <c r="K10764" s="1205"/>
      <c r="L10764" s="1055"/>
      <c r="M10764" s="1205"/>
      <c r="N10764" s="1054"/>
      <c r="O10764" s="1207"/>
      <c r="Q10764" s="1207"/>
    </row>
    <row r="10765" spans="3:17" s="700" customFormat="1" ht="70.5" hidden="1" customHeight="1">
      <c r="C10765" s="701"/>
      <c r="D10765" s="811"/>
      <c r="E10765" s="1276">
        <f>[11]building!Y11096</f>
        <v>0</v>
      </c>
      <c r="F10765" s="748">
        <f t="shared" si="407"/>
        <v>0</v>
      </c>
      <c r="G10765" s="1205"/>
      <c r="H10765" s="1055"/>
      <c r="I10765" s="1055"/>
      <c r="J10765" s="1055"/>
      <c r="K10765" s="1205"/>
      <c r="L10765" s="1055"/>
      <c r="M10765" s="1205"/>
      <c r="N10765" s="1054"/>
      <c r="O10765" s="1207"/>
      <c r="Q10765" s="1207"/>
    </row>
    <row r="10766" spans="3:17" s="700" customFormat="1" ht="70.5" hidden="1" customHeight="1">
      <c r="C10766" s="701"/>
      <c r="D10766" s="811"/>
      <c r="E10766" s="1276">
        <f>[11]building!Y11097</f>
        <v>0</v>
      </c>
      <c r="F10766" s="748">
        <f t="shared" si="407"/>
        <v>0</v>
      </c>
      <c r="G10766" s="1205"/>
      <c r="H10766" s="1055"/>
      <c r="I10766" s="1055"/>
      <c r="J10766" s="1055"/>
      <c r="K10766" s="1205"/>
      <c r="L10766" s="1055"/>
      <c r="M10766" s="1205"/>
      <c r="N10766" s="1054"/>
      <c r="O10766" s="1207"/>
      <c r="Q10766" s="1207"/>
    </row>
    <row r="10767" spans="3:17" s="700" customFormat="1" ht="70.5" hidden="1" customHeight="1">
      <c r="C10767" s="701"/>
      <c r="D10767" s="811"/>
      <c r="E10767" s="1276">
        <f>[11]building!Y11098</f>
        <v>0</v>
      </c>
      <c r="F10767" s="748">
        <f t="shared" si="407"/>
        <v>0</v>
      </c>
      <c r="G10767" s="1205"/>
      <c r="H10767" s="1055"/>
      <c r="I10767" s="1055"/>
      <c r="J10767" s="1055"/>
      <c r="K10767" s="1205"/>
      <c r="L10767" s="1055"/>
      <c r="M10767" s="1205"/>
      <c r="N10767" s="1054"/>
      <c r="O10767" s="1207"/>
      <c r="Q10767" s="1207"/>
    </row>
    <row r="10768" spans="3:17" s="700" customFormat="1" ht="70.5" hidden="1" customHeight="1">
      <c r="C10768" s="701"/>
      <c r="D10768" s="811"/>
      <c r="E10768" s="1276">
        <f>[11]building!Y11099</f>
        <v>0</v>
      </c>
      <c r="F10768" s="748">
        <f t="shared" si="407"/>
        <v>0</v>
      </c>
      <c r="G10768" s="1205"/>
      <c r="H10768" s="1055"/>
      <c r="I10768" s="1055"/>
      <c r="J10768" s="1055"/>
      <c r="K10768" s="1205"/>
      <c r="L10768" s="1055"/>
      <c r="M10768" s="1205"/>
      <c r="N10768" s="1054"/>
      <c r="O10768" s="1207"/>
      <c r="Q10768" s="1207"/>
    </row>
    <row r="10769" spans="3:17" s="700" customFormat="1" ht="70.5" hidden="1" customHeight="1">
      <c r="C10769" s="701"/>
      <c r="D10769" s="811"/>
      <c r="E10769" s="1276">
        <f>[11]building!Y11100</f>
        <v>0</v>
      </c>
      <c r="F10769" s="748">
        <f t="shared" si="407"/>
        <v>0</v>
      </c>
      <c r="G10769" s="1205"/>
      <c r="H10769" s="1055"/>
      <c r="I10769" s="1055"/>
      <c r="J10769" s="1055"/>
      <c r="K10769" s="1205"/>
      <c r="L10769" s="1055"/>
      <c r="M10769" s="1205"/>
      <c r="N10769" s="1054"/>
      <c r="O10769" s="1207"/>
      <c r="Q10769" s="1207"/>
    </row>
    <row r="10770" spans="3:17" s="700" customFormat="1" ht="70.5" hidden="1" customHeight="1">
      <c r="C10770" s="701"/>
      <c r="D10770" s="811"/>
      <c r="E10770" s="1276">
        <f>[11]building!Y11101</f>
        <v>0</v>
      </c>
      <c r="F10770" s="748">
        <f t="shared" si="407"/>
        <v>0</v>
      </c>
      <c r="G10770" s="1205"/>
      <c r="H10770" s="1055"/>
      <c r="I10770" s="1055"/>
      <c r="J10770" s="1055"/>
      <c r="K10770" s="1205"/>
      <c r="L10770" s="1055"/>
      <c r="M10770" s="1205"/>
      <c r="N10770" s="1054"/>
      <c r="O10770" s="1207"/>
      <c r="Q10770" s="1207"/>
    </row>
    <row r="10771" spans="3:17" s="700" customFormat="1" ht="70.5" hidden="1" customHeight="1">
      <c r="C10771" s="701"/>
      <c r="D10771" s="811"/>
      <c r="E10771" s="1276">
        <f>[11]building!Y11102</f>
        <v>0</v>
      </c>
      <c r="F10771" s="748">
        <f t="shared" si="407"/>
        <v>0</v>
      </c>
      <c r="G10771" s="1205"/>
      <c r="H10771" s="1055"/>
      <c r="I10771" s="1055"/>
      <c r="J10771" s="1055"/>
      <c r="K10771" s="1205"/>
      <c r="L10771" s="1055"/>
      <c r="M10771" s="1205"/>
      <c r="N10771" s="1054"/>
      <c r="O10771" s="1207"/>
      <c r="Q10771" s="1207"/>
    </row>
    <row r="10772" spans="3:17" s="700" customFormat="1" ht="70.5" hidden="1" customHeight="1">
      <c r="C10772" s="701"/>
      <c r="D10772" s="811"/>
      <c r="E10772" s="1276">
        <f>[11]building!Y11103</f>
        <v>0</v>
      </c>
      <c r="F10772" s="748">
        <f t="shared" si="407"/>
        <v>0</v>
      </c>
      <c r="G10772" s="1205"/>
      <c r="H10772" s="1055"/>
      <c r="I10772" s="1055"/>
      <c r="J10772" s="1055"/>
      <c r="K10772" s="1205"/>
      <c r="L10772" s="1055"/>
      <c r="M10772" s="1205"/>
      <c r="N10772" s="1054"/>
      <c r="O10772" s="1207"/>
      <c r="Q10772" s="1207"/>
    </row>
    <row r="10773" spans="3:17" s="700" customFormat="1" ht="70.5" hidden="1" customHeight="1">
      <c r="C10773" s="701"/>
      <c r="D10773" s="811"/>
      <c r="E10773" s="1276">
        <f>[11]building!Y11104</f>
        <v>0</v>
      </c>
      <c r="F10773" s="748">
        <f t="shared" si="407"/>
        <v>0</v>
      </c>
      <c r="G10773" s="1205"/>
      <c r="H10773" s="1055"/>
      <c r="I10773" s="1055"/>
      <c r="J10773" s="1055"/>
      <c r="K10773" s="1205"/>
      <c r="L10773" s="1055"/>
      <c r="M10773" s="1205"/>
      <c r="N10773" s="1054"/>
      <c r="O10773" s="1207"/>
      <c r="Q10773" s="1207"/>
    </row>
    <row r="10774" spans="3:17" s="700" customFormat="1" ht="70.5" hidden="1" customHeight="1">
      <c r="C10774" s="701"/>
      <c r="D10774" s="811"/>
      <c r="E10774" s="1276">
        <f>[11]building!Y11105</f>
        <v>0</v>
      </c>
      <c r="F10774" s="748">
        <f t="shared" si="407"/>
        <v>0</v>
      </c>
      <c r="G10774" s="1205"/>
      <c r="H10774" s="1055"/>
      <c r="I10774" s="1055"/>
      <c r="J10774" s="1055"/>
      <c r="K10774" s="1205"/>
      <c r="L10774" s="1055"/>
      <c r="M10774" s="1205"/>
      <c r="N10774" s="1054"/>
      <c r="O10774" s="1207"/>
      <c r="Q10774" s="1207"/>
    </row>
    <row r="10775" spans="3:17" s="700" customFormat="1" ht="70.5" hidden="1" customHeight="1">
      <c r="C10775" s="701"/>
      <c r="D10775" s="811"/>
      <c r="E10775" s="1276">
        <f>[11]building!Y11106</f>
        <v>0</v>
      </c>
      <c r="F10775" s="748">
        <f t="shared" si="407"/>
        <v>0</v>
      </c>
      <c r="G10775" s="1205"/>
      <c r="H10775" s="1055"/>
      <c r="I10775" s="1055"/>
      <c r="J10775" s="1055"/>
      <c r="K10775" s="1205"/>
      <c r="L10775" s="1055"/>
      <c r="M10775" s="1205"/>
      <c r="N10775" s="1054"/>
      <c r="O10775" s="1207"/>
      <c r="Q10775" s="1207"/>
    </row>
    <row r="10776" spans="3:17" s="700" customFormat="1" ht="70.5" hidden="1" customHeight="1">
      <c r="C10776" s="701"/>
      <c r="D10776" s="811"/>
      <c r="E10776" s="1276">
        <f>[11]building!Y11107</f>
        <v>0</v>
      </c>
      <c r="F10776" s="748">
        <f t="shared" si="407"/>
        <v>0</v>
      </c>
      <c r="G10776" s="1205"/>
      <c r="H10776" s="1055"/>
      <c r="I10776" s="1055"/>
      <c r="J10776" s="1055"/>
      <c r="K10776" s="1205"/>
      <c r="L10776" s="1055"/>
      <c r="M10776" s="1205"/>
      <c r="N10776" s="1054"/>
      <c r="O10776" s="1207"/>
      <c r="Q10776" s="1207"/>
    </row>
    <row r="10777" spans="3:17" s="700" customFormat="1" ht="70.5" hidden="1" customHeight="1">
      <c r="C10777" s="701"/>
      <c r="D10777" s="811"/>
      <c r="E10777" s="1276">
        <f>[11]building!Y11108</f>
        <v>0</v>
      </c>
      <c r="F10777" s="748">
        <f t="shared" si="407"/>
        <v>0</v>
      </c>
      <c r="G10777" s="1205"/>
      <c r="H10777" s="1055"/>
      <c r="I10777" s="1055"/>
      <c r="J10777" s="1055"/>
      <c r="K10777" s="1205"/>
      <c r="L10777" s="1055"/>
      <c r="M10777" s="1205"/>
      <c r="N10777" s="1054"/>
      <c r="O10777" s="1207"/>
      <c r="Q10777" s="1207"/>
    </row>
    <row r="10778" spans="3:17" s="700" customFormat="1" ht="70.5" hidden="1" customHeight="1">
      <c r="C10778" s="701"/>
      <c r="D10778" s="811"/>
      <c r="E10778" s="1276">
        <f>[11]building!Y11109</f>
        <v>0</v>
      </c>
      <c r="F10778" s="748">
        <f t="shared" si="407"/>
        <v>0</v>
      </c>
      <c r="G10778" s="1205"/>
      <c r="H10778" s="1055"/>
      <c r="I10778" s="1055"/>
      <c r="J10778" s="1055"/>
      <c r="K10778" s="1205"/>
      <c r="L10778" s="1055"/>
      <c r="M10778" s="1205"/>
      <c r="N10778" s="1054"/>
      <c r="O10778" s="1207"/>
      <c r="Q10778" s="1207"/>
    </row>
    <row r="10779" spans="3:17" s="700" customFormat="1" ht="70.5" hidden="1" customHeight="1">
      <c r="C10779" s="701"/>
      <c r="D10779" s="811"/>
      <c r="E10779" s="1276">
        <f>[11]building!Y11110</f>
        <v>0</v>
      </c>
      <c r="F10779" s="748">
        <f t="shared" si="407"/>
        <v>0</v>
      </c>
      <c r="G10779" s="1205"/>
      <c r="H10779" s="1055"/>
      <c r="I10779" s="1055"/>
      <c r="J10779" s="1055"/>
      <c r="K10779" s="1205"/>
      <c r="L10779" s="1055"/>
      <c r="M10779" s="1205"/>
      <c r="N10779" s="1054"/>
      <c r="O10779" s="1207"/>
      <c r="Q10779" s="1207"/>
    </row>
    <row r="10780" spans="3:17" s="700" customFormat="1" ht="70.5" hidden="1" customHeight="1">
      <c r="C10780" s="701"/>
      <c r="D10780" s="811"/>
      <c r="E10780" s="1276">
        <f>[11]building!Y11111</f>
        <v>0</v>
      </c>
      <c r="F10780" s="748">
        <f t="shared" si="407"/>
        <v>0</v>
      </c>
      <c r="G10780" s="1205"/>
      <c r="H10780" s="1055"/>
      <c r="I10780" s="1055"/>
      <c r="J10780" s="1055"/>
      <c r="K10780" s="1205"/>
      <c r="L10780" s="1055"/>
      <c r="M10780" s="1205"/>
      <c r="N10780" s="1054"/>
      <c r="O10780" s="1207"/>
      <c r="Q10780" s="1207"/>
    </row>
    <row r="10781" spans="3:17" s="700" customFormat="1" ht="70.5" hidden="1" customHeight="1">
      <c r="C10781" s="701"/>
      <c r="D10781" s="811"/>
      <c r="E10781" s="1276">
        <f>[11]building!Y11112</f>
        <v>0</v>
      </c>
      <c r="F10781" s="748">
        <f t="shared" si="407"/>
        <v>0</v>
      </c>
      <c r="G10781" s="1205"/>
      <c r="H10781" s="1055"/>
      <c r="I10781" s="1055"/>
      <c r="J10781" s="1055"/>
      <c r="K10781" s="1205"/>
      <c r="L10781" s="1055"/>
      <c r="M10781" s="1205"/>
      <c r="N10781" s="1054"/>
      <c r="O10781" s="1207"/>
      <c r="Q10781" s="1207"/>
    </row>
    <row r="10782" spans="3:17" s="700" customFormat="1" ht="70.5" hidden="1" customHeight="1">
      <c r="C10782" s="701"/>
      <c r="D10782" s="811"/>
      <c r="E10782" s="1276">
        <f>[11]building!Y11113</f>
        <v>0</v>
      </c>
      <c r="F10782" s="748">
        <f t="shared" si="407"/>
        <v>0</v>
      </c>
      <c r="G10782" s="1205"/>
      <c r="H10782" s="1055"/>
      <c r="I10782" s="1055"/>
      <c r="J10782" s="1055"/>
      <c r="K10782" s="1205"/>
      <c r="L10782" s="1055"/>
      <c r="M10782" s="1205"/>
      <c r="N10782" s="1054"/>
      <c r="O10782" s="1207"/>
      <c r="Q10782" s="1207"/>
    </row>
    <row r="10783" spans="3:17" s="700" customFormat="1" ht="70.5" hidden="1" customHeight="1">
      <c r="C10783" s="701"/>
      <c r="D10783" s="811"/>
      <c r="E10783" s="1276">
        <f>[11]building!Y11114</f>
        <v>0</v>
      </c>
      <c r="F10783" s="748">
        <f t="shared" si="407"/>
        <v>0</v>
      </c>
      <c r="G10783" s="1205"/>
      <c r="H10783" s="1055"/>
      <c r="I10783" s="1055"/>
      <c r="J10783" s="1055"/>
      <c r="K10783" s="1205"/>
      <c r="L10783" s="1055"/>
      <c r="M10783" s="1205"/>
      <c r="N10783" s="1054"/>
      <c r="O10783" s="1207"/>
      <c r="Q10783" s="1207"/>
    </row>
    <row r="10784" spans="3:17" s="700" customFormat="1" ht="70.5" hidden="1" customHeight="1">
      <c r="C10784" s="701"/>
      <c r="D10784" s="811"/>
      <c r="E10784" s="1276">
        <f>[11]building!Y11115</f>
        <v>0</v>
      </c>
      <c r="F10784" s="748">
        <f t="shared" si="407"/>
        <v>0</v>
      </c>
      <c r="G10784" s="1205"/>
      <c r="H10784" s="1055"/>
      <c r="I10784" s="1055"/>
      <c r="J10784" s="1055"/>
      <c r="K10784" s="1205"/>
      <c r="L10784" s="1055"/>
      <c r="M10784" s="1205"/>
      <c r="N10784" s="1054"/>
      <c r="O10784" s="1207"/>
      <c r="Q10784" s="1207"/>
    </row>
    <row r="10785" spans="3:17" s="700" customFormat="1" ht="70.5" hidden="1" customHeight="1">
      <c r="C10785" s="701"/>
      <c r="D10785" s="811"/>
      <c r="E10785" s="1276">
        <f>[11]building!Y11116</f>
        <v>0</v>
      </c>
      <c r="F10785" s="748">
        <f t="shared" si="407"/>
        <v>0</v>
      </c>
      <c r="G10785" s="1205"/>
      <c r="H10785" s="1055"/>
      <c r="I10785" s="1055"/>
      <c r="J10785" s="1055"/>
      <c r="K10785" s="1205"/>
      <c r="L10785" s="1055"/>
      <c r="M10785" s="1205"/>
      <c r="N10785" s="1054"/>
      <c r="O10785" s="1207"/>
      <c r="Q10785" s="1207"/>
    </row>
    <row r="10786" spans="3:17" s="700" customFormat="1" ht="70.5" hidden="1" customHeight="1">
      <c r="C10786" s="701"/>
      <c r="D10786" s="811"/>
      <c r="E10786" s="1276">
        <f>[11]building!Y11117</f>
        <v>0</v>
      </c>
      <c r="F10786" s="748">
        <f t="shared" si="407"/>
        <v>0</v>
      </c>
      <c r="G10786" s="1205"/>
      <c r="H10786" s="1055"/>
      <c r="I10786" s="1055"/>
      <c r="J10786" s="1055"/>
      <c r="K10786" s="1205"/>
      <c r="L10786" s="1055"/>
      <c r="M10786" s="1205"/>
      <c r="N10786" s="1054"/>
      <c r="O10786" s="1207"/>
      <c r="Q10786" s="1207"/>
    </row>
    <row r="10787" spans="3:17" s="700" customFormat="1" ht="70.5" hidden="1" customHeight="1">
      <c r="C10787" s="701"/>
      <c r="D10787" s="811"/>
      <c r="E10787" s="1276">
        <f>[11]building!Y11118</f>
        <v>0</v>
      </c>
      <c r="F10787" s="748">
        <f t="shared" si="407"/>
        <v>0</v>
      </c>
      <c r="G10787" s="1205"/>
      <c r="H10787" s="1055"/>
      <c r="I10787" s="1055"/>
      <c r="J10787" s="1055"/>
      <c r="K10787" s="1205"/>
      <c r="L10787" s="1055"/>
      <c r="M10787" s="1205"/>
      <c r="N10787" s="1054"/>
      <c r="O10787" s="1207"/>
      <c r="Q10787" s="1207"/>
    </row>
    <row r="10788" spans="3:17" s="700" customFormat="1" ht="70.5" hidden="1" customHeight="1">
      <c r="C10788" s="701"/>
      <c r="D10788" s="811"/>
      <c r="E10788" s="1276">
        <f>[11]building!Y11119</f>
        <v>0</v>
      </c>
      <c r="F10788" s="748">
        <f t="shared" si="407"/>
        <v>0</v>
      </c>
      <c r="G10788" s="1205"/>
      <c r="H10788" s="1055"/>
      <c r="I10788" s="1055"/>
      <c r="J10788" s="1055"/>
      <c r="K10788" s="1205"/>
      <c r="L10788" s="1055"/>
      <c r="M10788" s="1205"/>
      <c r="N10788" s="1054"/>
      <c r="O10788" s="1207"/>
      <c r="Q10788" s="1207"/>
    </row>
    <row r="10789" spans="3:17" s="700" customFormat="1" ht="70.5" hidden="1" customHeight="1">
      <c r="C10789" s="701"/>
      <c r="D10789" s="811"/>
      <c r="E10789" s="1276">
        <f>[11]building!Y11120</f>
        <v>0</v>
      </c>
      <c r="F10789" s="748">
        <f t="shared" si="407"/>
        <v>0</v>
      </c>
      <c r="G10789" s="1205"/>
      <c r="H10789" s="1055"/>
      <c r="I10789" s="1055"/>
      <c r="J10789" s="1055"/>
      <c r="K10789" s="1205"/>
      <c r="L10789" s="1055"/>
      <c r="M10789" s="1205"/>
      <c r="N10789" s="1054"/>
      <c r="O10789" s="1207"/>
      <c r="Q10789" s="1207"/>
    </row>
    <row r="10790" spans="3:17" s="700" customFormat="1" ht="70.5" hidden="1" customHeight="1">
      <c r="C10790" s="701"/>
      <c r="D10790" s="811"/>
      <c r="E10790" s="1276">
        <f>[11]building!Y11121</f>
        <v>0</v>
      </c>
      <c r="F10790" s="748">
        <f t="shared" si="407"/>
        <v>0</v>
      </c>
      <c r="G10790" s="1205"/>
      <c r="H10790" s="1055"/>
      <c r="I10790" s="1055"/>
      <c r="J10790" s="1055"/>
      <c r="K10790" s="1205"/>
      <c r="L10790" s="1055"/>
      <c r="M10790" s="1205"/>
      <c r="N10790" s="1054"/>
      <c r="O10790" s="1207"/>
      <c r="Q10790" s="1207"/>
    </row>
    <row r="10791" spans="3:17" s="700" customFormat="1" ht="70.5" hidden="1" customHeight="1">
      <c r="C10791" s="701"/>
      <c r="D10791" s="811"/>
      <c r="E10791" s="1276">
        <f>[11]building!Y11122</f>
        <v>0</v>
      </c>
      <c r="F10791" s="748">
        <f t="shared" si="407"/>
        <v>0</v>
      </c>
      <c r="G10791" s="1205"/>
      <c r="H10791" s="1055"/>
      <c r="I10791" s="1055"/>
      <c r="J10791" s="1055"/>
      <c r="K10791" s="1205"/>
      <c r="L10791" s="1055"/>
      <c r="M10791" s="1205"/>
      <c r="N10791" s="1054"/>
      <c r="O10791" s="1207"/>
      <c r="Q10791" s="1207"/>
    </row>
    <row r="10792" spans="3:17" s="700" customFormat="1" ht="70.5" hidden="1" customHeight="1">
      <c r="C10792" s="701"/>
      <c r="D10792" s="811"/>
      <c r="E10792" s="1276">
        <f>[11]building!Y11123</f>
        <v>0</v>
      </c>
      <c r="F10792" s="748">
        <f t="shared" si="407"/>
        <v>0</v>
      </c>
      <c r="G10792" s="1205"/>
      <c r="H10792" s="1055"/>
      <c r="I10792" s="1055"/>
      <c r="J10792" s="1055"/>
      <c r="K10792" s="1205"/>
      <c r="L10792" s="1055"/>
      <c r="M10792" s="1205"/>
      <c r="N10792" s="1054"/>
      <c r="O10792" s="1207"/>
      <c r="Q10792" s="1207"/>
    </row>
    <row r="10793" spans="3:17" s="700" customFormat="1" ht="70.5" hidden="1" customHeight="1">
      <c r="C10793" s="701"/>
      <c r="D10793" s="811"/>
      <c r="E10793" s="1276">
        <f>[11]building!Y11124</f>
        <v>0</v>
      </c>
      <c r="F10793" s="748">
        <f t="shared" si="407"/>
        <v>0</v>
      </c>
      <c r="G10793" s="1205"/>
      <c r="H10793" s="1055"/>
      <c r="I10793" s="1055"/>
      <c r="J10793" s="1055"/>
      <c r="K10793" s="1205"/>
      <c r="L10793" s="1055"/>
      <c r="M10793" s="1205"/>
      <c r="N10793" s="1054"/>
      <c r="O10793" s="1207"/>
      <c r="Q10793" s="1207"/>
    </row>
    <row r="10794" spans="3:17" s="700" customFormat="1" ht="70.5" hidden="1" customHeight="1">
      <c r="C10794" s="701"/>
      <c r="D10794" s="811"/>
      <c r="E10794" s="1276">
        <f>[11]building!Y11125</f>
        <v>0</v>
      </c>
      <c r="F10794" s="748">
        <f t="shared" si="407"/>
        <v>0</v>
      </c>
      <c r="G10794" s="1205"/>
      <c r="H10794" s="1055"/>
      <c r="I10794" s="1055"/>
      <c r="J10794" s="1055"/>
      <c r="K10794" s="1205"/>
      <c r="L10794" s="1055"/>
      <c r="M10794" s="1205"/>
      <c r="N10794" s="1054"/>
      <c r="O10794" s="1207"/>
      <c r="Q10794" s="1207"/>
    </row>
    <row r="10795" spans="3:17" s="700" customFormat="1" ht="70.5" hidden="1" customHeight="1">
      <c r="C10795" s="701"/>
      <c r="D10795" s="811"/>
      <c r="E10795" s="1276">
        <f>[11]building!Y11126</f>
        <v>0</v>
      </c>
      <c r="F10795" s="748">
        <f t="shared" si="407"/>
        <v>0</v>
      </c>
      <c r="G10795" s="1205"/>
      <c r="H10795" s="1055"/>
      <c r="I10795" s="1055"/>
      <c r="J10795" s="1055"/>
      <c r="K10795" s="1205"/>
      <c r="L10795" s="1055"/>
      <c r="M10795" s="1205"/>
      <c r="N10795" s="1054"/>
      <c r="O10795" s="1207"/>
      <c r="Q10795" s="1207"/>
    </row>
    <row r="10796" spans="3:17" s="700" customFormat="1" ht="70.5" hidden="1" customHeight="1">
      <c r="C10796" s="701"/>
      <c r="D10796" s="811"/>
      <c r="E10796" s="1276">
        <f>[11]building!Y11127</f>
        <v>0</v>
      </c>
      <c r="F10796" s="748">
        <f t="shared" si="407"/>
        <v>0</v>
      </c>
      <c r="G10796" s="1205"/>
      <c r="H10796" s="1055"/>
      <c r="I10796" s="1055"/>
      <c r="J10796" s="1055"/>
      <c r="K10796" s="1205"/>
      <c r="L10796" s="1055"/>
      <c r="M10796" s="1205"/>
      <c r="N10796" s="1054"/>
      <c r="O10796" s="1207"/>
      <c r="Q10796" s="1207"/>
    </row>
    <row r="10797" spans="3:17" s="700" customFormat="1" ht="70.5" hidden="1" customHeight="1">
      <c r="C10797" s="701"/>
      <c r="D10797" s="811"/>
      <c r="E10797" s="1276">
        <f>[11]building!Y11128</f>
        <v>0</v>
      </c>
      <c r="F10797" s="748">
        <f t="shared" si="407"/>
        <v>0</v>
      </c>
      <c r="G10797" s="1205"/>
      <c r="H10797" s="1055"/>
      <c r="I10797" s="1055"/>
      <c r="J10797" s="1055"/>
      <c r="K10797" s="1205"/>
      <c r="L10797" s="1055"/>
      <c r="M10797" s="1205"/>
      <c r="N10797" s="1054"/>
      <c r="O10797" s="1207"/>
      <c r="Q10797" s="1207"/>
    </row>
    <row r="10798" spans="3:17" s="700" customFormat="1" ht="70.5" hidden="1" customHeight="1">
      <c r="C10798" s="701"/>
      <c r="D10798" s="811"/>
      <c r="E10798" s="1276">
        <f>[11]building!Y11129</f>
        <v>0</v>
      </c>
      <c r="F10798" s="748">
        <f t="shared" si="407"/>
        <v>0</v>
      </c>
      <c r="G10798" s="1205"/>
      <c r="H10798" s="1055"/>
      <c r="I10798" s="1055"/>
      <c r="J10798" s="1055"/>
      <c r="K10798" s="1205"/>
      <c r="L10798" s="1055"/>
      <c r="M10798" s="1205"/>
      <c r="N10798" s="1054"/>
      <c r="O10798" s="1207"/>
      <c r="Q10798" s="1207"/>
    </row>
    <row r="10799" spans="3:17" s="700" customFormat="1" ht="70.5" hidden="1" customHeight="1">
      <c r="C10799" s="701"/>
      <c r="D10799" s="811"/>
      <c r="E10799" s="1276">
        <f>[11]building!Y11130</f>
        <v>0</v>
      </c>
      <c r="F10799" s="748">
        <f t="shared" si="407"/>
        <v>0</v>
      </c>
      <c r="G10799" s="1205"/>
      <c r="H10799" s="1055"/>
      <c r="I10799" s="1055"/>
      <c r="J10799" s="1055"/>
      <c r="K10799" s="1205"/>
      <c r="L10799" s="1055"/>
      <c r="M10799" s="1205"/>
      <c r="N10799" s="1054"/>
      <c r="O10799" s="1207"/>
      <c r="Q10799" s="1207"/>
    </row>
    <row r="10800" spans="3:17" s="700" customFormat="1" ht="70.5" hidden="1" customHeight="1">
      <c r="C10800" s="701"/>
      <c r="D10800" s="811"/>
      <c r="E10800" s="1276">
        <f>[11]building!Y11131</f>
        <v>0</v>
      </c>
      <c r="F10800" s="748">
        <f t="shared" si="407"/>
        <v>0</v>
      </c>
      <c r="G10800" s="1205"/>
      <c r="H10800" s="1055"/>
      <c r="I10800" s="1055"/>
      <c r="J10800" s="1055"/>
      <c r="K10800" s="1205"/>
      <c r="L10800" s="1055"/>
      <c r="M10800" s="1205"/>
      <c r="N10800" s="1054"/>
      <c r="O10800" s="1207"/>
      <c r="Q10800" s="1207"/>
    </row>
    <row r="10801" spans="3:17" s="700" customFormat="1" ht="70.5" hidden="1" customHeight="1">
      <c r="C10801" s="701"/>
      <c r="D10801" s="811"/>
      <c r="E10801" s="1276">
        <f>[11]building!Y11132</f>
        <v>0</v>
      </c>
      <c r="F10801" s="748">
        <f t="shared" si="407"/>
        <v>0</v>
      </c>
      <c r="G10801" s="1205"/>
      <c r="H10801" s="1055"/>
      <c r="I10801" s="1055"/>
      <c r="J10801" s="1055"/>
      <c r="K10801" s="1205"/>
      <c r="L10801" s="1055"/>
      <c r="M10801" s="1205"/>
      <c r="N10801" s="1054"/>
      <c r="O10801" s="1207"/>
      <c r="Q10801" s="1207"/>
    </row>
    <row r="10802" spans="3:17" s="700" customFormat="1" ht="70.5" hidden="1" customHeight="1">
      <c r="C10802" s="701"/>
      <c r="D10802" s="811"/>
      <c r="E10802" s="1276">
        <f>[11]building!Y11133</f>
        <v>0</v>
      </c>
      <c r="F10802" s="748">
        <f t="shared" si="407"/>
        <v>0</v>
      </c>
      <c r="G10802" s="1205"/>
      <c r="H10802" s="1055"/>
      <c r="I10802" s="1055"/>
      <c r="J10802" s="1055"/>
      <c r="K10802" s="1205"/>
      <c r="L10802" s="1055"/>
      <c r="M10802" s="1205"/>
      <c r="N10802" s="1054"/>
      <c r="O10802" s="1207"/>
      <c r="Q10802" s="1207"/>
    </row>
    <row r="10803" spans="3:17" s="700" customFormat="1" ht="70.5" hidden="1" customHeight="1">
      <c r="C10803" s="701"/>
      <c r="D10803" s="811"/>
      <c r="E10803" s="1276">
        <f>[11]building!Y11134</f>
        <v>0</v>
      </c>
      <c r="F10803" s="748">
        <f t="shared" si="407"/>
        <v>0</v>
      </c>
      <c r="G10803" s="1205"/>
      <c r="H10803" s="1055"/>
      <c r="I10803" s="1055"/>
      <c r="J10803" s="1055"/>
      <c r="K10803" s="1205"/>
      <c r="L10803" s="1055"/>
      <c r="M10803" s="1205"/>
      <c r="N10803" s="1054"/>
      <c r="O10803" s="1207"/>
      <c r="Q10803" s="1207"/>
    </row>
    <row r="10804" spans="3:17" s="700" customFormat="1" ht="70.5" hidden="1" customHeight="1">
      <c r="C10804" s="701"/>
      <c r="D10804" s="811"/>
      <c r="E10804" s="1276">
        <f>[11]building!Y11135</f>
        <v>0</v>
      </c>
      <c r="F10804" s="748">
        <f t="shared" si="407"/>
        <v>0</v>
      </c>
      <c r="G10804" s="1205"/>
      <c r="H10804" s="1055"/>
      <c r="I10804" s="1055"/>
      <c r="J10804" s="1055"/>
      <c r="K10804" s="1205"/>
      <c r="L10804" s="1055"/>
      <c r="M10804" s="1205"/>
      <c r="N10804" s="1054"/>
      <c r="O10804" s="1207"/>
      <c r="Q10804" s="1207"/>
    </row>
    <row r="10805" spans="3:17" s="700" customFormat="1" ht="70.5" hidden="1" customHeight="1">
      <c r="C10805" s="701"/>
      <c r="D10805" s="811"/>
      <c r="E10805" s="1276">
        <f>[11]building!Y11136</f>
        <v>0</v>
      </c>
      <c r="F10805" s="748">
        <f t="shared" si="407"/>
        <v>0</v>
      </c>
      <c r="G10805" s="1205"/>
      <c r="H10805" s="1055"/>
      <c r="I10805" s="1055"/>
      <c r="J10805" s="1055"/>
      <c r="K10805" s="1205"/>
      <c r="L10805" s="1055"/>
      <c r="M10805" s="1205"/>
      <c r="N10805" s="1054"/>
      <c r="O10805" s="1207"/>
      <c r="Q10805" s="1207"/>
    </row>
    <row r="10806" spans="3:17" s="700" customFormat="1" ht="70.5" hidden="1" customHeight="1">
      <c r="C10806" s="701"/>
      <c r="D10806" s="811"/>
      <c r="E10806" s="1276">
        <f>[11]building!Y11137</f>
        <v>0</v>
      </c>
      <c r="F10806" s="748">
        <f t="shared" si="407"/>
        <v>0</v>
      </c>
      <c r="G10806" s="1205"/>
      <c r="H10806" s="1055"/>
      <c r="I10806" s="1055"/>
      <c r="J10806" s="1055"/>
      <c r="K10806" s="1205"/>
      <c r="L10806" s="1055"/>
      <c r="M10806" s="1205"/>
      <c r="N10806" s="1054"/>
      <c r="O10806" s="1207"/>
      <c r="Q10806" s="1207"/>
    </row>
    <row r="10807" spans="3:17" s="700" customFormat="1" ht="70.5" hidden="1" customHeight="1">
      <c r="C10807" s="701"/>
      <c r="D10807" s="811"/>
      <c r="E10807" s="1276">
        <f>[11]building!Y11138</f>
        <v>0</v>
      </c>
      <c r="F10807" s="748">
        <f t="shared" si="407"/>
        <v>0</v>
      </c>
      <c r="G10807" s="1205"/>
      <c r="H10807" s="1055"/>
      <c r="I10807" s="1055"/>
      <c r="J10807" s="1055"/>
      <c r="K10807" s="1205"/>
      <c r="L10807" s="1055"/>
      <c r="M10807" s="1205"/>
      <c r="N10807" s="1054"/>
      <c r="O10807" s="1207"/>
      <c r="Q10807" s="1207"/>
    </row>
    <row r="10808" spans="3:17" s="700" customFormat="1" ht="70.5" hidden="1" customHeight="1">
      <c r="C10808" s="701"/>
      <c r="D10808" s="811"/>
      <c r="E10808" s="1276">
        <f>[11]building!Y11139</f>
        <v>0</v>
      </c>
      <c r="F10808" s="748">
        <f t="shared" si="407"/>
        <v>0</v>
      </c>
      <c r="G10808" s="1205"/>
      <c r="H10808" s="1055"/>
      <c r="I10808" s="1055"/>
      <c r="J10808" s="1055"/>
      <c r="K10808" s="1205"/>
      <c r="L10808" s="1055"/>
      <c r="M10808" s="1205"/>
      <c r="N10808" s="1054"/>
      <c r="O10808" s="1207"/>
      <c r="Q10808" s="1207"/>
    </row>
    <row r="10809" spans="3:17" s="700" customFormat="1" ht="70.5" hidden="1" customHeight="1">
      <c r="C10809" s="701"/>
      <c r="D10809" s="811"/>
      <c r="E10809" s="1276">
        <f>[11]building!Y11140</f>
        <v>0</v>
      </c>
      <c r="F10809" s="748">
        <f t="shared" si="407"/>
        <v>0</v>
      </c>
      <c r="G10809" s="1205"/>
      <c r="H10809" s="1055"/>
      <c r="I10809" s="1055"/>
      <c r="J10809" s="1055"/>
      <c r="K10809" s="1205"/>
      <c r="L10809" s="1055"/>
      <c r="M10809" s="1205"/>
      <c r="N10809" s="1054"/>
      <c r="O10809" s="1207"/>
      <c r="Q10809" s="1207"/>
    </row>
    <row r="10810" spans="3:17" s="700" customFormat="1" ht="70.5" hidden="1" customHeight="1">
      <c r="C10810" s="701"/>
      <c r="D10810" s="811"/>
      <c r="E10810" s="1276">
        <f>[11]building!Y11141</f>
        <v>0</v>
      </c>
      <c r="F10810" s="748">
        <f t="shared" si="407"/>
        <v>0</v>
      </c>
      <c r="G10810" s="1205"/>
      <c r="H10810" s="1055"/>
      <c r="I10810" s="1055"/>
      <c r="J10810" s="1055"/>
      <c r="K10810" s="1205"/>
      <c r="L10810" s="1055"/>
      <c r="M10810" s="1205"/>
      <c r="N10810" s="1054"/>
      <c r="O10810" s="1207"/>
      <c r="Q10810" s="1207"/>
    </row>
    <row r="10811" spans="3:17" s="700" customFormat="1" ht="70.5" hidden="1" customHeight="1">
      <c r="C10811" s="701"/>
      <c r="D10811" s="811"/>
      <c r="E10811" s="1276">
        <f>[11]building!Y11142</f>
        <v>0</v>
      </c>
      <c r="F10811" s="748">
        <f t="shared" si="407"/>
        <v>0</v>
      </c>
      <c r="G10811" s="1205"/>
      <c r="H10811" s="1055"/>
      <c r="I10811" s="1055"/>
      <c r="J10811" s="1055"/>
      <c r="K10811" s="1205"/>
      <c r="L10811" s="1055"/>
      <c r="M10811" s="1205"/>
      <c r="N10811" s="1054"/>
      <c r="O10811" s="1207"/>
      <c r="Q10811" s="1207"/>
    </row>
    <row r="10812" spans="3:17" s="700" customFormat="1" ht="70.5" hidden="1" customHeight="1">
      <c r="C10812" s="701"/>
      <c r="D10812" s="811"/>
      <c r="E10812" s="1276">
        <f>[11]building!Y11143</f>
        <v>0</v>
      </c>
      <c r="F10812" s="748">
        <f t="shared" si="407"/>
        <v>0</v>
      </c>
      <c r="G10812" s="1205"/>
      <c r="H10812" s="1055"/>
      <c r="I10812" s="1055"/>
      <c r="J10812" s="1055"/>
      <c r="K10812" s="1205"/>
      <c r="L10812" s="1055"/>
      <c r="M10812" s="1205"/>
      <c r="N10812" s="1054"/>
      <c r="O10812" s="1207"/>
      <c r="Q10812" s="1207"/>
    </row>
    <row r="10813" spans="3:17" s="700" customFormat="1" ht="70.5" hidden="1" customHeight="1">
      <c r="C10813" s="701"/>
      <c r="D10813" s="811"/>
      <c r="E10813" s="1276">
        <f>[11]building!Y11144</f>
        <v>0</v>
      </c>
      <c r="F10813" s="748">
        <f t="shared" si="407"/>
        <v>0</v>
      </c>
      <c r="G10813" s="1205"/>
      <c r="H10813" s="1055"/>
      <c r="I10813" s="1055"/>
      <c r="J10813" s="1055"/>
      <c r="K10813" s="1205"/>
      <c r="L10813" s="1055"/>
      <c r="M10813" s="1205"/>
      <c r="N10813" s="1054"/>
      <c r="O10813" s="1207"/>
      <c r="Q10813" s="1207"/>
    </row>
    <row r="10814" spans="3:17" s="700" customFormat="1" ht="70.5" hidden="1" customHeight="1">
      <c r="C10814" s="701"/>
      <c r="D10814" s="811"/>
      <c r="E10814" s="1276">
        <f>[11]building!Y11145</f>
        <v>0</v>
      </c>
      <c r="F10814" s="748">
        <f t="shared" si="407"/>
        <v>0</v>
      </c>
      <c r="G10814" s="1205"/>
      <c r="H10814" s="1055"/>
      <c r="I10814" s="1055"/>
      <c r="J10814" s="1055"/>
      <c r="K10814" s="1205"/>
      <c r="L10814" s="1055"/>
      <c r="M10814" s="1205"/>
      <c r="N10814" s="1054"/>
      <c r="O10814" s="1207"/>
      <c r="Q10814" s="1207"/>
    </row>
    <row r="10815" spans="3:17" s="700" customFormat="1" ht="70.5" hidden="1" customHeight="1">
      <c r="C10815" s="701"/>
      <c r="D10815" s="811"/>
      <c r="E10815" s="1276">
        <f>[11]building!Y11146</f>
        <v>0</v>
      </c>
      <c r="F10815" s="748">
        <f t="shared" si="407"/>
        <v>0</v>
      </c>
      <c r="G10815" s="1205"/>
      <c r="H10815" s="1055"/>
      <c r="I10815" s="1055"/>
      <c r="J10815" s="1055"/>
      <c r="K10815" s="1205"/>
      <c r="L10815" s="1055"/>
      <c r="M10815" s="1205"/>
      <c r="N10815" s="1054"/>
      <c r="O10815" s="1207"/>
      <c r="Q10815" s="1207"/>
    </row>
    <row r="10816" spans="3:17" s="700" customFormat="1" ht="70.5" hidden="1" customHeight="1">
      <c r="C10816" s="701"/>
      <c r="D10816" s="811"/>
      <c r="E10816" s="1276">
        <f>[11]building!Y11147</f>
        <v>0</v>
      </c>
      <c r="F10816" s="748">
        <f t="shared" ref="F10816:F10879" si="408">E10816*C10816</f>
        <v>0</v>
      </c>
      <c r="G10816" s="1205"/>
      <c r="H10816" s="1055"/>
      <c r="I10816" s="1055"/>
      <c r="J10816" s="1055"/>
      <c r="K10816" s="1205"/>
      <c r="L10816" s="1055"/>
      <c r="M10816" s="1205"/>
      <c r="N10816" s="1054"/>
      <c r="O10816" s="1207"/>
      <c r="Q10816" s="1207"/>
    </row>
    <row r="10817" spans="3:17" s="700" customFormat="1" ht="70.5" hidden="1" customHeight="1">
      <c r="C10817" s="701"/>
      <c r="D10817" s="811"/>
      <c r="E10817" s="1276">
        <f>[11]building!Y11148</f>
        <v>0</v>
      </c>
      <c r="F10817" s="748">
        <f t="shared" si="408"/>
        <v>0</v>
      </c>
      <c r="G10817" s="1205"/>
      <c r="H10817" s="1055"/>
      <c r="I10817" s="1055"/>
      <c r="J10817" s="1055"/>
      <c r="K10817" s="1205"/>
      <c r="L10817" s="1055"/>
      <c r="M10817" s="1205"/>
      <c r="N10817" s="1054"/>
      <c r="O10817" s="1207"/>
      <c r="Q10817" s="1207"/>
    </row>
    <row r="10818" spans="3:17" s="700" customFormat="1" ht="70.5" hidden="1" customHeight="1">
      <c r="C10818" s="701"/>
      <c r="D10818" s="811"/>
      <c r="E10818" s="1276">
        <f>[11]building!Y11149</f>
        <v>0</v>
      </c>
      <c r="F10818" s="748">
        <f t="shared" si="408"/>
        <v>0</v>
      </c>
      <c r="G10818" s="1205"/>
      <c r="H10818" s="1055"/>
      <c r="I10818" s="1055"/>
      <c r="J10818" s="1055"/>
      <c r="K10818" s="1205"/>
      <c r="L10818" s="1055"/>
      <c r="M10818" s="1205"/>
      <c r="N10818" s="1054"/>
      <c r="O10818" s="1207"/>
      <c r="Q10818" s="1207"/>
    </row>
    <row r="10819" spans="3:17" s="700" customFormat="1" ht="70.5" hidden="1" customHeight="1">
      <c r="C10819" s="701"/>
      <c r="D10819" s="811"/>
      <c r="E10819" s="1276">
        <f>[11]building!Y11150</f>
        <v>0</v>
      </c>
      <c r="F10819" s="748">
        <f t="shared" si="408"/>
        <v>0</v>
      </c>
      <c r="G10819" s="1205"/>
      <c r="H10819" s="1055"/>
      <c r="I10819" s="1055"/>
      <c r="J10819" s="1055"/>
      <c r="K10819" s="1205"/>
      <c r="L10819" s="1055"/>
      <c r="M10819" s="1205"/>
      <c r="N10819" s="1054"/>
      <c r="O10819" s="1207"/>
      <c r="Q10819" s="1207"/>
    </row>
    <row r="10820" spans="3:17" s="700" customFormat="1" ht="70.5" hidden="1" customHeight="1">
      <c r="C10820" s="701"/>
      <c r="D10820" s="811"/>
      <c r="E10820" s="1276">
        <f>[11]building!Y11151</f>
        <v>0</v>
      </c>
      <c r="F10820" s="748">
        <f t="shared" si="408"/>
        <v>0</v>
      </c>
      <c r="G10820" s="1205"/>
      <c r="H10820" s="1055"/>
      <c r="I10820" s="1055"/>
      <c r="J10820" s="1055"/>
      <c r="K10820" s="1205"/>
      <c r="L10820" s="1055"/>
      <c r="M10820" s="1205"/>
      <c r="N10820" s="1054"/>
      <c r="O10820" s="1207"/>
      <c r="Q10820" s="1207"/>
    </row>
    <row r="10821" spans="3:17" s="700" customFormat="1" ht="70.5" hidden="1" customHeight="1">
      <c r="C10821" s="701"/>
      <c r="D10821" s="811"/>
      <c r="E10821" s="1276">
        <f>[11]building!Y11152</f>
        <v>0</v>
      </c>
      <c r="F10821" s="748">
        <f t="shared" si="408"/>
        <v>0</v>
      </c>
      <c r="G10821" s="1205"/>
      <c r="H10821" s="1055"/>
      <c r="I10821" s="1055"/>
      <c r="J10821" s="1055"/>
      <c r="K10821" s="1205"/>
      <c r="L10821" s="1055"/>
      <c r="M10821" s="1205"/>
      <c r="N10821" s="1054"/>
      <c r="O10821" s="1207"/>
      <c r="Q10821" s="1207"/>
    </row>
    <row r="10822" spans="3:17" s="700" customFormat="1" ht="70.5" hidden="1" customHeight="1">
      <c r="C10822" s="701"/>
      <c r="D10822" s="811"/>
      <c r="E10822" s="1276">
        <f>[11]building!Y11153</f>
        <v>0</v>
      </c>
      <c r="F10822" s="748">
        <f t="shared" si="408"/>
        <v>0</v>
      </c>
      <c r="G10822" s="1205"/>
      <c r="H10822" s="1055"/>
      <c r="I10822" s="1055"/>
      <c r="J10822" s="1055"/>
      <c r="K10822" s="1205"/>
      <c r="L10822" s="1055"/>
      <c r="M10822" s="1205"/>
      <c r="N10822" s="1054"/>
      <c r="O10822" s="1207"/>
      <c r="Q10822" s="1207"/>
    </row>
    <row r="10823" spans="3:17" s="700" customFormat="1" ht="70.5" hidden="1" customHeight="1">
      <c r="C10823" s="701"/>
      <c r="D10823" s="811"/>
      <c r="E10823" s="1276">
        <f>[11]building!Y11154</f>
        <v>0</v>
      </c>
      <c r="F10823" s="748">
        <f t="shared" si="408"/>
        <v>0</v>
      </c>
      <c r="G10823" s="1205"/>
      <c r="H10823" s="1055"/>
      <c r="I10823" s="1055"/>
      <c r="J10823" s="1055"/>
      <c r="K10823" s="1205"/>
      <c r="L10823" s="1055"/>
      <c r="M10823" s="1205"/>
      <c r="N10823" s="1054"/>
      <c r="O10823" s="1207"/>
      <c r="Q10823" s="1207"/>
    </row>
    <row r="10824" spans="3:17" s="700" customFormat="1" ht="70.5" hidden="1" customHeight="1">
      <c r="C10824" s="701"/>
      <c r="D10824" s="811"/>
      <c r="E10824" s="1276">
        <f>[11]building!Y11155</f>
        <v>0</v>
      </c>
      <c r="F10824" s="748">
        <f t="shared" si="408"/>
        <v>0</v>
      </c>
      <c r="G10824" s="1205"/>
      <c r="H10824" s="1055"/>
      <c r="I10824" s="1055"/>
      <c r="J10824" s="1055"/>
      <c r="K10824" s="1205"/>
      <c r="L10824" s="1055"/>
      <c r="M10824" s="1205"/>
      <c r="N10824" s="1054"/>
      <c r="O10824" s="1207"/>
      <c r="Q10824" s="1207"/>
    </row>
    <row r="10825" spans="3:17" s="700" customFormat="1" ht="70.5" hidden="1" customHeight="1">
      <c r="C10825" s="701"/>
      <c r="D10825" s="811"/>
      <c r="E10825" s="1276">
        <f>[11]building!Y11156</f>
        <v>0</v>
      </c>
      <c r="F10825" s="748">
        <f t="shared" si="408"/>
        <v>0</v>
      </c>
      <c r="G10825" s="1205"/>
      <c r="H10825" s="1055"/>
      <c r="I10825" s="1055"/>
      <c r="J10825" s="1055"/>
      <c r="K10825" s="1205"/>
      <c r="L10825" s="1055"/>
      <c r="M10825" s="1205"/>
      <c r="N10825" s="1054"/>
      <c r="O10825" s="1207"/>
      <c r="Q10825" s="1207"/>
    </row>
    <row r="10826" spans="3:17" s="700" customFormat="1" ht="70.5" hidden="1" customHeight="1">
      <c r="C10826" s="701"/>
      <c r="D10826" s="811"/>
      <c r="E10826" s="1276">
        <f>[11]building!Y11157</f>
        <v>0</v>
      </c>
      <c r="F10826" s="748">
        <f t="shared" si="408"/>
        <v>0</v>
      </c>
      <c r="G10826" s="1205"/>
      <c r="H10826" s="1055"/>
      <c r="I10826" s="1055"/>
      <c r="J10826" s="1055"/>
      <c r="K10826" s="1205"/>
      <c r="L10826" s="1055"/>
      <c r="M10826" s="1205"/>
      <c r="N10826" s="1054"/>
      <c r="O10826" s="1207"/>
      <c r="Q10826" s="1207"/>
    </row>
    <row r="10827" spans="3:17" s="700" customFormat="1" ht="70.5" hidden="1" customHeight="1">
      <c r="C10827" s="701"/>
      <c r="D10827" s="811"/>
      <c r="E10827" s="1276">
        <f>[11]building!Y11158</f>
        <v>0</v>
      </c>
      <c r="F10827" s="748">
        <f t="shared" si="408"/>
        <v>0</v>
      </c>
      <c r="G10827" s="1205"/>
      <c r="H10827" s="1055"/>
      <c r="I10827" s="1055"/>
      <c r="J10827" s="1055"/>
      <c r="K10827" s="1205"/>
      <c r="L10827" s="1055"/>
      <c r="M10827" s="1205"/>
      <c r="N10827" s="1054"/>
      <c r="O10827" s="1207"/>
      <c r="Q10827" s="1207"/>
    </row>
    <row r="10828" spans="3:17" s="700" customFormat="1" ht="70.5" hidden="1" customHeight="1">
      <c r="C10828" s="701"/>
      <c r="D10828" s="811"/>
      <c r="E10828" s="1276">
        <f>[11]building!Y11159</f>
        <v>0</v>
      </c>
      <c r="F10828" s="748">
        <f t="shared" si="408"/>
        <v>0</v>
      </c>
      <c r="G10828" s="1205"/>
      <c r="H10828" s="1055"/>
      <c r="I10828" s="1055"/>
      <c r="J10828" s="1055"/>
      <c r="K10828" s="1205"/>
      <c r="L10828" s="1055"/>
      <c r="M10828" s="1205"/>
      <c r="N10828" s="1054"/>
      <c r="O10828" s="1207"/>
      <c r="Q10828" s="1207"/>
    </row>
    <row r="10829" spans="3:17" s="700" customFormat="1" ht="70.5" hidden="1" customHeight="1">
      <c r="C10829" s="701"/>
      <c r="D10829" s="811"/>
      <c r="E10829" s="1276">
        <f>[11]building!Y11160</f>
        <v>0</v>
      </c>
      <c r="F10829" s="748">
        <f t="shared" si="408"/>
        <v>0</v>
      </c>
      <c r="G10829" s="1205"/>
      <c r="H10829" s="1055"/>
      <c r="I10829" s="1055"/>
      <c r="J10829" s="1055"/>
      <c r="K10829" s="1205"/>
      <c r="L10829" s="1055"/>
      <c r="M10829" s="1205"/>
      <c r="N10829" s="1054"/>
      <c r="O10829" s="1207"/>
      <c r="Q10829" s="1207"/>
    </row>
    <row r="10830" spans="3:17" s="700" customFormat="1" ht="70.5" hidden="1" customHeight="1">
      <c r="C10830" s="701"/>
      <c r="D10830" s="811"/>
      <c r="E10830" s="1276">
        <f>[11]building!Y11161</f>
        <v>0</v>
      </c>
      <c r="F10830" s="748">
        <f t="shared" si="408"/>
        <v>0</v>
      </c>
      <c r="G10830" s="1205"/>
      <c r="H10830" s="1055"/>
      <c r="I10830" s="1055"/>
      <c r="J10830" s="1055"/>
      <c r="K10830" s="1205"/>
      <c r="L10830" s="1055"/>
      <c r="M10830" s="1205"/>
      <c r="N10830" s="1054"/>
      <c r="O10830" s="1207"/>
      <c r="Q10830" s="1207"/>
    </row>
    <row r="10831" spans="3:17" s="700" customFormat="1" ht="70.5" hidden="1" customHeight="1">
      <c r="C10831" s="701"/>
      <c r="D10831" s="811"/>
      <c r="E10831" s="1276">
        <f>[11]building!Y11162</f>
        <v>0</v>
      </c>
      <c r="F10831" s="748">
        <f t="shared" si="408"/>
        <v>0</v>
      </c>
      <c r="G10831" s="1205"/>
      <c r="H10831" s="1055"/>
      <c r="I10831" s="1055"/>
      <c r="J10831" s="1055"/>
      <c r="K10831" s="1205"/>
      <c r="L10831" s="1055"/>
      <c r="M10831" s="1205"/>
      <c r="N10831" s="1054"/>
      <c r="O10831" s="1207"/>
      <c r="Q10831" s="1207"/>
    </row>
    <row r="10832" spans="3:17" s="700" customFormat="1" ht="70.5" hidden="1" customHeight="1">
      <c r="C10832" s="701"/>
      <c r="D10832" s="811"/>
      <c r="E10832" s="1276">
        <f>[11]building!Y11163</f>
        <v>0</v>
      </c>
      <c r="F10832" s="748">
        <f t="shared" si="408"/>
        <v>0</v>
      </c>
      <c r="G10832" s="1205"/>
      <c r="H10832" s="1055"/>
      <c r="I10832" s="1055"/>
      <c r="J10832" s="1055"/>
      <c r="K10832" s="1205"/>
      <c r="L10832" s="1055"/>
      <c r="M10832" s="1205"/>
      <c r="N10832" s="1054"/>
      <c r="O10832" s="1207"/>
      <c r="Q10832" s="1207"/>
    </row>
    <row r="10833" spans="3:17" s="700" customFormat="1" ht="70.5" hidden="1" customHeight="1">
      <c r="C10833" s="701"/>
      <c r="D10833" s="811"/>
      <c r="E10833" s="1276">
        <f>[11]building!Y11164</f>
        <v>0</v>
      </c>
      <c r="F10833" s="748">
        <f t="shared" si="408"/>
        <v>0</v>
      </c>
      <c r="G10833" s="1205"/>
      <c r="H10833" s="1055"/>
      <c r="I10833" s="1055"/>
      <c r="J10833" s="1055"/>
      <c r="K10833" s="1205"/>
      <c r="L10833" s="1055"/>
      <c r="M10833" s="1205"/>
      <c r="N10833" s="1054"/>
      <c r="O10833" s="1207"/>
      <c r="Q10833" s="1207"/>
    </row>
    <row r="10834" spans="3:17" s="700" customFormat="1" ht="70.5" hidden="1" customHeight="1">
      <c r="C10834" s="701"/>
      <c r="D10834" s="811"/>
      <c r="E10834" s="1276">
        <f>[11]building!Y11165</f>
        <v>0</v>
      </c>
      <c r="F10834" s="748">
        <f t="shared" si="408"/>
        <v>0</v>
      </c>
      <c r="G10834" s="1205"/>
      <c r="H10834" s="1055"/>
      <c r="I10834" s="1055"/>
      <c r="J10834" s="1055"/>
      <c r="K10834" s="1205"/>
      <c r="L10834" s="1055"/>
      <c r="M10834" s="1205"/>
      <c r="N10834" s="1054"/>
      <c r="O10834" s="1207"/>
      <c r="Q10834" s="1207"/>
    </row>
    <row r="10835" spans="3:17" s="700" customFormat="1" ht="70.5" hidden="1" customHeight="1">
      <c r="C10835" s="701"/>
      <c r="D10835" s="811"/>
      <c r="E10835" s="1276">
        <f>[11]building!Y11166</f>
        <v>0</v>
      </c>
      <c r="F10835" s="748">
        <f t="shared" si="408"/>
        <v>0</v>
      </c>
      <c r="G10835" s="1205"/>
      <c r="H10835" s="1055"/>
      <c r="I10835" s="1055"/>
      <c r="J10835" s="1055"/>
      <c r="K10835" s="1205"/>
      <c r="L10835" s="1055"/>
      <c r="M10835" s="1205"/>
      <c r="N10835" s="1054"/>
      <c r="O10835" s="1207"/>
      <c r="Q10835" s="1207"/>
    </row>
    <row r="10836" spans="3:17" s="700" customFormat="1" ht="70.5" hidden="1" customHeight="1">
      <c r="C10836" s="701"/>
      <c r="D10836" s="811"/>
      <c r="E10836" s="1276">
        <f>[11]building!Y11167</f>
        <v>0</v>
      </c>
      <c r="F10836" s="748">
        <f t="shared" si="408"/>
        <v>0</v>
      </c>
      <c r="G10836" s="1205"/>
      <c r="H10836" s="1055"/>
      <c r="I10836" s="1055"/>
      <c r="J10836" s="1055"/>
      <c r="K10836" s="1205"/>
      <c r="L10836" s="1055"/>
      <c r="M10836" s="1205"/>
      <c r="N10836" s="1054"/>
      <c r="O10836" s="1207"/>
      <c r="Q10836" s="1207"/>
    </row>
    <row r="10837" spans="3:17" s="700" customFormat="1" ht="70.5" hidden="1" customHeight="1">
      <c r="C10837" s="701"/>
      <c r="D10837" s="811"/>
      <c r="E10837" s="1276">
        <f>[11]building!Y11168</f>
        <v>0</v>
      </c>
      <c r="F10837" s="748">
        <f t="shared" si="408"/>
        <v>0</v>
      </c>
      <c r="G10837" s="1205"/>
      <c r="H10837" s="1055"/>
      <c r="I10837" s="1055"/>
      <c r="J10837" s="1055"/>
      <c r="K10837" s="1205"/>
      <c r="L10837" s="1055"/>
      <c r="M10837" s="1205"/>
      <c r="N10837" s="1054"/>
      <c r="O10837" s="1207"/>
      <c r="Q10837" s="1207"/>
    </row>
    <row r="10838" spans="3:17" s="700" customFormat="1" ht="70.5" hidden="1" customHeight="1">
      <c r="C10838" s="701"/>
      <c r="D10838" s="811"/>
      <c r="E10838" s="1276">
        <f>[11]building!Y11169</f>
        <v>0</v>
      </c>
      <c r="F10838" s="748">
        <f t="shared" si="408"/>
        <v>0</v>
      </c>
      <c r="G10838" s="1205"/>
      <c r="H10838" s="1055"/>
      <c r="I10838" s="1055"/>
      <c r="J10838" s="1055"/>
      <c r="K10838" s="1205"/>
      <c r="L10838" s="1055"/>
      <c r="M10838" s="1205"/>
      <c r="N10838" s="1054"/>
      <c r="O10838" s="1207"/>
      <c r="Q10838" s="1207"/>
    </row>
    <row r="10839" spans="3:17" s="700" customFormat="1" ht="70.5" hidden="1" customHeight="1">
      <c r="C10839" s="701"/>
      <c r="D10839" s="811"/>
      <c r="E10839" s="1276">
        <f>[11]building!Y11170</f>
        <v>0</v>
      </c>
      <c r="F10839" s="748">
        <f t="shared" si="408"/>
        <v>0</v>
      </c>
      <c r="G10839" s="1205"/>
      <c r="H10839" s="1055"/>
      <c r="I10839" s="1055"/>
      <c r="J10839" s="1055"/>
      <c r="K10839" s="1205"/>
      <c r="L10839" s="1055"/>
      <c r="M10839" s="1205"/>
      <c r="N10839" s="1054"/>
      <c r="O10839" s="1207"/>
      <c r="Q10839" s="1207"/>
    </row>
    <row r="10840" spans="3:17" s="700" customFormat="1" ht="70.5" hidden="1" customHeight="1">
      <c r="C10840" s="701"/>
      <c r="D10840" s="811"/>
      <c r="E10840" s="1276">
        <f>[11]building!Y11171</f>
        <v>0</v>
      </c>
      <c r="F10840" s="748">
        <f t="shared" si="408"/>
        <v>0</v>
      </c>
      <c r="G10840" s="1205"/>
      <c r="H10840" s="1055"/>
      <c r="I10840" s="1055"/>
      <c r="J10840" s="1055"/>
      <c r="K10840" s="1205"/>
      <c r="L10840" s="1055"/>
      <c r="M10840" s="1205"/>
      <c r="N10840" s="1054"/>
      <c r="O10840" s="1207"/>
      <c r="Q10840" s="1207"/>
    </row>
    <row r="10841" spans="3:17" s="700" customFormat="1" ht="70.5" hidden="1" customHeight="1">
      <c r="C10841" s="701"/>
      <c r="D10841" s="811"/>
      <c r="E10841" s="1276">
        <f>[11]building!Y11172</f>
        <v>0</v>
      </c>
      <c r="F10841" s="748">
        <f t="shared" si="408"/>
        <v>0</v>
      </c>
      <c r="G10841" s="1205"/>
      <c r="H10841" s="1055"/>
      <c r="I10841" s="1055"/>
      <c r="J10841" s="1055"/>
      <c r="K10841" s="1205"/>
      <c r="L10841" s="1055"/>
      <c r="M10841" s="1205"/>
      <c r="N10841" s="1054"/>
      <c r="O10841" s="1207"/>
      <c r="Q10841" s="1207"/>
    </row>
    <row r="10842" spans="3:17" s="700" customFormat="1" ht="70.5" hidden="1" customHeight="1">
      <c r="C10842" s="701"/>
      <c r="D10842" s="811"/>
      <c r="E10842" s="1276">
        <f>[11]building!Y11173</f>
        <v>0</v>
      </c>
      <c r="F10842" s="748">
        <f t="shared" si="408"/>
        <v>0</v>
      </c>
      <c r="G10842" s="1205"/>
      <c r="H10842" s="1055"/>
      <c r="I10842" s="1055"/>
      <c r="J10842" s="1055"/>
      <c r="K10842" s="1205"/>
      <c r="L10842" s="1055"/>
      <c r="M10842" s="1205"/>
      <c r="N10842" s="1054"/>
      <c r="O10842" s="1207"/>
      <c r="Q10842" s="1207"/>
    </row>
    <row r="10843" spans="3:17" s="700" customFormat="1" ht="70.5" hidden="1" customHeight="1">
      <c r="C10843" s="701"/>
      <c r="D10843" s="811"/>
      <c r="E10843" s="1276">
        <f>[11]building!Y11174</f>
        <v>0</v>
      </c>
      <c r="F10843" s="748">
        <f t="shared" si="408"/>
        <v>0</v>
      </c>
      <c r="G10843" s="1205"/>
      <c r="H10843" s="1055"/>
      <c r="I10843" s="1055"/>
      <c r="J10843" s="1055"/>
      <c r="K10843" s="1205"/>
      <c r="L10843" s="1055"/>
      <c r="M10843" s="1205"/>
      <c r="N10843" s="1054"/>
      <c r="O10843" s="1207"/>
      <c r="Q10843" s="1207"/>
    </row>
    <row r="10844" spans="3:17" s="700" customFormat="1" ht="70.5" hidden="1" customHeight="1">
      <c r="C10844" s="701"/>
      <c r="D10844" s="811"/>
      <c r="E10844" s="1276">
        <f>[11]building!Y11175</f>
        <v>0</v>
      </c>
      <c r="F10844" s="748">
        <f t="shared" si="408"/>
        <v>0</v>
      </c>
      <c r="G10844" s="1205"/>
      <c r="H10844" s="1055"/>
      <c r="I10844" s="1055"/>
      <c r="J10844" s="1055"/>
      <c r="K10844" s="1205"/>
      <c r="L10844" s="1055"/>
      <c r="M10844" s="1205"/>
      <c r="N10844" s="1054"/>
      <c r="O10844" s="1207"/>
      <c r="Q10844" s="1207"/>
    </row>
    <row r="10845" spans="3:17" s="700" customFormat="1" ht="70.5" hidden="1" customHeight="1">
      <c r="C10845" s="701"/>
      <c r="D10845" s="811"/>
      <c r="E10845" s="1276">
        <f>[11]building!Y11176</f>
        <v>0</v>
      </c>
      <c r="F10845" s="748">
        <f t="shared" si="408"/>
        <v>0</v>
      </c>
      <c r="G10845" s="1205"/>
      <c r="H10845" s="1055"/>
      <c r="I10845" s="1055"/>
      <c r="J10845" s="1055"/>
      <c r="K10845" s="1205"/>
      <c r="L10845" s="1055"/>
      <c r="M10845" s="1205"/>
      <c r="N10845" s="1054"/>
      <c r="O10845" s="1207"/>
      <c r="Q10845" s="1207"/>
    </row>
    <row r="10846" spans="3:17" s="700" customFormat="1" ht="70.5" hidden="1" customHeight="1">
      <c r="C10846" s="701"/>
      <c r="D10846" s="811"/>
      <c r="E10846" s="1276">
        <f>[11]building!Y11177</f>
        <v>0</v>
      </c>
      <c r="F10846" s="748">
        <f t="shared" si="408"/>
        <v>0</v>
      </c>
      <c r="G10846" s="1205"/>
      <c r="H10846" s="1055"/>
      <c r="I10846" s="1055"/>
      <c r="J10846" s="1055"/>
      <c r="K10846" s="1205"/>
      <c r="L10846" s="1055"/>
      <c r="M10846" s="1205"/>
      <c r="N10846" s="1054"/>
      <c r="O10846" s="1207"/>
      <c r="Q10846" s="1207"/>
    </row>
    <row r="10847" spans="3:17" s="700" customFormat="1" ht="70.5" hidden="1" customHeight="1">
      <c r="C10847" s="701"/>
      <c r="D10847" s="811"/>
      <c r="E10847" s="1276">
        <f>[11]building!Y11178</f>
        <v>0</v>
      </c>
      <c r="F10847" s="748">
        <f t="shared" si="408"/>
        <v>0</v>
      </c>
      <c r="G10847" s="1205"/>
      <c r="H10847" s="1055"/>
      <c r="I10847" s="1055"/>
      <c r="J10847" s="1055"/>
      <c r="K10847" s="1205"/>
      <c r="L10847" s="1055"/>
      <c r="M10847" s="1205"/>
      <c r="N10847" s="1054"/>
      <c r="O10847" s="1207"/>
      <c r="Q10847" s="1207"/>
    </row>
    <row r="10848" spans="3:17" s="700" customFormat="1" ht="70.5" hidden="1" customHeight="1">
      <c r="C10848" s="701"/>
      <c r="D10848" s="811"/>
      <c r="E10848" s="1276">
        <f>[11]building!Y11179</f>
        <v>0</v>
      </c>
      <c r="F10848" s="748">
        <f t="shared" si="408"/>
        <v>0</v>
      </c>
      <c r="G10848" s="1205"/>
      <c r="H10848" s="1055"/>
      <c r="I10848" s="1055"/>
      <c r="J10848" s="1055"/>
      <c r="K10848" s="1205"/>
      <c r="L10848" s="1055"/>
      <c r="M10848" s="1205"/>
      <c r="N10848" s="1054"/>
      <c r="O10848" s="1207"/>
      <c r="Q10848" s="1207"/>
    </row>
    <row r="10849" spans="3:17" s="700" customFormat="1" ht="70.5" hidden="1" customHeight="1">
      <c r="C10849" s="701"/>
      <c r="D10849" s="811"/>
      <c r="E10849" s="1276">
        <f>[11]building!Y11180</f>
        <v>0</v>
      </c>
      <c r="F10849" s="748">
        <f t="shared" si="408"/>
        <v>0</v>
      </c>
      <c r="G10849" s="1205"/>
      <c r="H10849" s="1055"/>
      <c r="I10849" s="1055"/>
      <c r="J10849" s="1055"/>
      <c r="K10849" s="1205"/>
      <c r="L10849" s="1055"/>
      <c r="M10849" s="1205"/>
      <c r="N10849" s="1054"/>
      <c r="O10849" s="1207"/>
      <c r="Q10849" s="1207"/>
    </row>
    <row r="10850" spans="3:17" s="700" customFormat="1" ht="70.5" hidden="1" customHeight="1">
      <c r="C10850" s="701"/>
      <c r="D10850" s="811"/>
      <c r="E10850" s="1276">
        <f>[11]building!Y11181</f>
        <v>0</v>
      </c>
      <c r="F10850" s="748">
        <f t="shared" si="408"/>
        <v>0</v>
      </c>
      <c r="G10850" s="1205"/>
      <c r="H10850" s="1055"/>
      <c r="I10850" s="1055"/>
      <c r="J10850" s="1055"/>
      <c r="K10850" s="1205"/>
      <c r="L10850" s="1055"/>
      <c r="M10850" s="1205"/>
      <c r="N10850" s="1054"/>
      <c r="O10850" s="1207"/>
      <c r="Q10850" s="1207"/>
    </row>
    <row r="10851" spans="3:17" s="700" customFormat="1" ht="70.5" hidden="1" customHeight="1">
      <c r="C10851" s="701"/>
      <c r="D10851" s="811"/>
      <c r="E10851" s="1276">
        <f>[11]building!Y11182</f>
        <v>0</v>
      </c>
      <c r="F10851" s="748">
        <f t="shared" si="408"/>
        <v>0</v>
      </c>
      <c r="G10851" s="1205"/>
      <c r="H10851" s="1055"/>
      <c r="I10851" s="1055"/>
      <c r="J10851" s="1055"/>
      <c r="K10851" s="1205"/>
      <c r="L10851" s="1055"/>
      <c r="M10851" s="1205"/>
      <c r="N10851" s="1054"/>
      <c r="O10851" s="1207"/>
      <c r="Q10851" s="1207"/>
    </row>
    <row r="10852" spans="3:17" s="700" customFormat="1" ht="70.5" hidden="1" customHeight="1">
      <c r="C10852" s="701"/>
      <c r="D10852" s="811"/>
      <c r="E10852" s="1276">
        <f>[11]building!Y11183</f>
        <v>0</v>
      </c>
      <c r="F10852" s="748">
        <f t="shared" si="408"/>
        <v>0</v>
      </c>
      <c r="G10852" s="1205"/>
      <c r="H10852" s="1055"/>
      <c r="I10852" s="1055"/>
      <c r="J10852" s="1055"/>
      <c r="K10852" s="1205"/>
      <c r="L10852" s="1055"/>
      <c r="M10852" s="1205"/>
      <c r="N10852" s="1054"/>
      <c r="O10852" s="1207"/>
      <c r="Q10852" s="1207"/>
    </row>
    <row r="10853" spans="3:17" s="700" customFormat="1" ht="70.5" hidden="1" customHeight="1">
      <c r="C10853" s="701"/>
      <c r="D10853" s="811"/>
      <c r="E10853" s="1276">
        <f>[11]building!Y11184</f>
        <v>0</v>
      </c>
      <c r="F10853" s="748">
        <f t="shared" si="408"/>
        <v>0</v>
      </c>
      <c r="G10853" s="1205"/>
      <c r="H10853" s="1055"/>
      <c r="I10853" s="1055"/>
      <c r="J10853" s="1055"/>
      <c r="K10853" s="1205"/>
      <c r="L10853" s="1055"/>
      <c r="M10853" s="1205"/>
      <c r="N10853" s="1054"/>
      <c r="O10853" s="1207"/>
      <c r="Q10853" s="1207"/>
    </row>
    <row r="10854" spans="3:17" s="700" customFormat="1" ht="70.5" hidden="1" customHeight="1">
      <c r="C10854" s="701"/>
      <c r="D10854" s="811"/>
      <c r="E10854" s="1276">
        <f>[11]building!Y11185</f>
        <v>0</v>
      </c>
      <c r="F10854" s="748">
        <f t="shared" si="408"/>
        <v>0</v>
      </c>
      <c r="G10854" s="1205"/>
      <c r="H10854" s="1055"/>
      <c r="I10854" s="1055"/>
      <c r="J10854" s="1055"/>
      <c r="K10854" s="1205"/>
      <c r="L10854" s="1055"/>
      <c r="M10854" s="1205"/>
      <c r="N10854" s="1054"/>
      <c r="O10854" s="1207"/>
      <c r="Q10854" s="1207"/>
    </row>
    <row r="10855" spans="3:17" s="700" customFormat="1" ht="70.5" hidden="1" customHeight="1">
      <c r="C10855" s="701"/>
      <c r="D10855" s="811"/>
      <c r="E10855" s="1276">
        <f>[11]building!Y11186</f>
        <v>0</v>
      </c>
      <c r="F10855" s="748">
        <f t="shared" si="408"/>
        <v>0</v>
      </c>
      <c r="G10855" s="1205"/>
      <c r="H10855" s="1055"/>
      <c r="I10855" s="1055"/>
      <c r="J10855" s="1055"/>
      <c r="K10855" s="1205"/>
      <c r="L10855" s="1055"/>
      <c r="M10855" s="1205"/>
      <c r="N10855" s="1054"/>
      <c r="O10855" s="1207"/>
      <c r="Q10855" s="1207"/>
    </row>
    <row r="10856" spans="3:17" s="700" customFormat="1" ht="70.5" hidden="1" customHeight="1">
      <c r="C10856" s="701"/>
      <c r="D10856" s="811"/>
      <c r="E10856" s="1276">
        <f>[11]building!Y11187</f>
        <v>0</v>
      </c>
      <c r="F10856" s="748">
        <f t="shared" si="408"/>
        <v>0</v>
      </c>
      <c r="G10856" s="1205"/>
      <c r="H10856" s="1055"/>
      <c r="I10856" s="1055"/>
      <c r="J10856" s="1055"/>
      <c r="K10856" s="1205"/>
      <c r="L10856" s="1055"/>
      <c r="M10856" s="1205"/>
      <c r="N10856" s="1054"/>
      <c r="O10856" s="1207"/>
      <c r="Q10856" s="1207"/>
    </row>
    <row r="10857" spans="3:17" s="700" customFormat="1" ht="70.5" hidden="1" customHeight="1">
      <c r="C10857" s="701"/>
      <c r="D10857" s="811"/>
      <c r="E10857" s="1276">
        <f>[11]building!Y11188</f>
        <v>0</v>
      </c>
      <c r="F10857" s="748">
        <f t="shared" si="408"/>
        <v>0</v>
      </c>
      <c r="G10857" s="1205"/>
      <c r="H10857" s="1055"/>
      <c r="I10857" s="1055"/>
      <c r="J10857" s="1055"/>
      <c r="K10857" s="1205"/>
      <c r="L10857" s="1055"/>
      <c r="M10857" s="1205"/>
      <c r="N10857" s="1054"/>
      <c r="O10857" s="1207"/>
      <c r="Q10857" s="1207"/>
    </row>
    <row r="10858" spans="3:17" s="700" customFormat="1" ht="70.5" hidden="1" customHeight="1">
      <c r="C10858" s="701"/>
      <c r="D10858" s="811"/>
      <c r="E10858" s="1276">
        <f>[11]building!Y11189</f>
        <v>0</v>
      </c>
      <c r="F10858" s="748">
        <f t="shared" si="408"/>
        <v>0</v>
      </c>
      <c r="G10858" s="1205"/>
      <c r="H10858" s="1055"/>
      <c r="I10858" s="1055"/>
      <c r="J10858" s="1055"/>
      <c r="K10858" s="1205"/>
      <c r="L10858" s="1055"/>
      <c r="M10858" s="1205"/>
      <c r="N10858" s="1054"/>
      <c r="O10858" s="1207"/>
      <c r="Q10858" s="1207"/>
    </row>
    <row r="10859" spans="3:17" s="700" customFormat="1" ht="70.5" hidden="1" customHeight="1">
      <c r="C10859" s="701"/>
      <c r="D10859" s="811"/>
      <c r="E10859" s="1276">
        <f>[11]building!Y11190</f>
        <v>0</v>
      </c>
      <c r="F10859" s="748">
        <f t="shared" si="408"/>
        <v>0</v>
      </c>
      <c r="G10859" s="1205"/>
      <c r="H10859" s="1055"/>
      <c r="I10859" s="1055"/>
      <c r="J10859" s="1055"/>
      <c r="K10859" s="1205"/>
      <c r="L10859" s="1055"/>
      <c r="M10859" s="1205"/>
      <c r="N10859" s="1054"/>
      <c r="O10859" s="1207"/>
      <c r="Q10859" s="1207"/>
    </row>
    <row r="10860" spans="3:17" s="700" customFormat="1" ht="70.5" hidden="1" customHeight="1">
      <c r="C10860" s="701"/>
      <c r="D10860" s="811"/>
      <c r="E10860" s="1276">
        <f>[11]building!Y11191</f>
        <v>0</v>
      </c>
      <c r="F10860" s="748">
        <f t="shared" si="408"/>
        <v>0</v>
      </c>
      <c r="G10860" s="1205"/>
      <c r="H10860" s="1055"/>
      <c r="I10860" s="1055"/>
      <c r="J10860" s="1055"/>
      <c r="K10860" s="1205"/>
      <c r="L10860" s="1055"/>
      <c r="M10860" s="1205"/>
      <c r="N10860" s="1054"/>
      <c r="O10860" s="1207"/>
      <c r="Q10860" s="1207"/>
    </row>
    <row r="10861" spans="3:17" s="700" customFormat="1" ht="70.5" hidden="1" customHeight="1">
      <c r="C10861" s="701"/>
      <c r="D10861" s="811"/>
      <c r="E10861" s="1276">
        <f>[11]building!Y11192</f>
        <v>0</v>
      </c>
      <c r="F10861" s="748">
        <f t="shared" si="408"/>
        <v>0</v>
      </c>
      <c r="G10861" s="1205"/>
      <c r="H10861" s="1055"/>
      <c r="I10861" s="1055"/>
      <c r="J10861" s="1055"/>
      <c r="K10861" s="1205"/>
      <c r="L10861" s="1055"/>
      <c r="M10861" s="1205"/>
      <c r="N10861" s="1054"/>
      <c r="O10861" s="1207"/>
      <c r="Q10861" s="1207"/>
    </row>
    <row r="10862" spans="3:17" s="700" customFormat="1" ht="70.5" hidden="1" customHeight="1">
      <c r="C10862" s="701"/>
      <c r="D10862" s="811"/>
      <c r="E10862" s="1276">
        <f>[11]building!Y11193</f>
        <v>0</v>
      </c>
      <c r="F10862" s="748">
        <f t="shared" si="408"/>
        <v>0</v>
      </c>
      <c r="G10862" s="1205"/>
      <c r="H10862" s="1055"/>
      <c r="I10862" s="1055"/>
      <c r="J10862" s="1055"/>
      <c r="K10862" s="1205"/>
      <c r="L10862" s="1055"/>
      <c r="M10862" s="1205"/>
      <c r="N10862" s="1054"/>
      <c r="O10862" s="1207"/>
      <c r="Q10862" s="1207"/>
    </row>
    <row r="10863" spans="3:17" s="700" customFormat="1" ht="70.5" hidden="1" customHeight="1">
      <c r="C10863" s="701"/>
      <c r="D10863" s="811"/>
      <c r="E10863" s="1276">
        <f>[11]building!Y11194</f>
        <v>0</v>
      </c>
      <c r="F10863" s="748">
        <f t="shared" si="408"/>
        <v>0</v>
      </c>
      <c r="G10863" s="1205"/>
      <c r="H10863" s="1055"/>
      <c r="I10863" s="1055"/>
      <c r="J10863" s="1055"/>
      <c r="K10863" s="1205"/>
      <c r="L10863" s="1055"/>
      <c r="M10863" s="1205"/>
      <c r="N10863" s="1054"/>
      <c r="O10863" s="1207"/>
      <c r="Q10863" s="1207"/>
    </row>
    <row r="10864" spans="3:17" s="700" customFormat="1" ht="70.5" hidden="1" customHeight="1">
      <c r="C10864" s="701"/>
      <c r="D10864" s="811"/>
      <c r="E10864" s="1276">
        <f>[11]building!Y11195</f>
        <v>0</v>
      </c>
      <c r="F10864" s="748">
        <f t="shared" si="408"/>
        <v>0</v>
      </c>
      <c r="G10864" s="1205"/>
      <c r="H10864" s="1055"/>
      <c r="I10864" s="1055"/>
      <c r="J10864" s="1055"/>
      <c r="K10864" s="1205"/>
      <c r="L10864" s="1055"/>
      <c r="M10864" s="1205"/>
      <c r="N10864" s="1054"/>
      <c r="O10864" s="1207"/>
      <c r="Q10864" s="1207"/>
    </row>
    <row r="10865" spans="3:17" s="700" customFormat="1" ht="70.5" hidden="1" customHeight="1">
      <c r="C10865" s="701"/>
      <c r="D10865" s="811"/>
      <c r="E10865" s="1276">
        <f>[11]building!Y11196</f>
        <v>0</v>
      </c>
      <c r="F10865" s="748">
        <f t="shared" si="408"/>
        <v>0</v>
      </c>
      <c r="G10865" s="1205"/>
      <c r="H10865" s="1055"/>
      <c r="I10865" s="1055"/>
      <c r="J10865" s="1055"/>
      <c r="K10865" s="1205"/>
      <c r="L10865" s="1055"/>
      <c r="M10865" s="1205"/>
      <c r="N10865" s="1054"/>
      <c r="O10865" s="1207"/>
      <c r="Q10865" s="1207"/>
    </row>
    <row r="10866" spans="3:17" s="700" customFormat="1" ht="70.5" hidden="1" customHeight="1">
      <c r="C10866" s="701"/>
      <c r="D10866" s="811"/>
      <c r="E10866" s="1276">
        <f>[11]building!Y11197</f>
        <v>0</v>
      </c>
      <c r="F10866" s="748">
        <f t="shared" si="408"/>
        <v>0</v>
      </c>
      <c r="G10866" s="1205"/>
      <c r="H10866" s="1055"/>
      <c r="I10866" s="1055"/>
      <c r="J10866" s="1055"/>
      <c r="K10866" s="1205"/>
      <c r="L10866" s="1055"/>
      <c r="M10866" s="1205"/>
      <c r="N10866" s="1054"/>
      <c r="O10866" s="1207"/>
      <c r="Q10866" s="1207"/>
    </row>
    <row r="10867" spans="3:17" s="700" customFormat="1" ht="70.5" hidden="1" customHeight="1">
      <c r="C10867" s="701"/>
      <c r="D10867" s="811"/>
      <c r="E10867" s="1276">
        <f>[11]building!Y11198</f>
        <v>0</v>
      </c>
      <c r="F10867" s="748">
        <f t="shared" si="408"/>
        <v>0</v>
      </c>
      <c r="G10867" s="1205"/>
      <c r="H10867" s="1055"/>
      <c r="I10867" s="1055"/>
      <c r="J10867" s="1055"/>
      <c r="K10867" s="1205"/>
      <c r="L10867" s="1055"/>
      <c r="M10867" s="1205"/>
      <c r="N10867" s="1054"/>
      <c r="O10867" s="1207"/>
      <c r="Q10867" s="1207"/>
    </row>
    <row r="10868" spans="3:17" s="700" customFormat="1" ht="70.5" hidden="1" customHeight="1">
      <c r="C10868" s="701"/>
      <c r="D10868" s="811"/>
      <c r="E10868" s="1276">
        <f>[11]building!Y11199</f>
        <v>0</v>
      </c>
      <c r="F10868" s="748">
        <f t="shared" si="408"/>
        <v>0</v>
      </c>
      <c r="G10868" s="1205"/>
      <c r="H10868" s="1055"/>
      <c r="I10868" s="1055"/>
      <c r="J10868" s="1055"/>
      <c r="K10868" s="1205"/>
      <c r="L10868" s="1055"/>
      <c r="M10868" s="1205"/>
      <c r="N10868" s="1054"/>
      <c r="O10868" s="1207"/>
      <c r="Q10868" s="1207"/>
    </row>
    <row r="10869" spans="3:17" s="700" customFormat="1" ht="70.5" hidden="1" customHeight="1">
      <c r="C10869" s="701"/>
      <c r="D10869" s="811"/>
      <c r="E10869" s="1276">
        <f>[11]building!Y11200</f>
        <v>0</v>
      </c>
      <c r="F10869" s="748">
        <f t="shared" si="408"/>
        <v>0</v>
      </c>
      <c r="G10869" s="1205"/>
      <c r="H10869" s="1055"/>
      <c r="I10869" s="1055"/>
      <c r="J10869" s="1055"/>
      <c r="K10869" s="1205"/>
      <c r="L10869" s="1055"/>
      <c r="M10869" s="1205"/>
      <c r="N10869" s="1054"/>
      <c r="O10869" s="1207"/>
      <c r="Q10869" s="1207"/>
    </row>
    <row r="10870" spans="3:17" s="700" customFormat="1" ht="70.5" hidden="1" customHeight="1">
      <c r="C10870" s="701"/>
      <c r="D10870" s="811"/>
      <c r="E10870" s="1276">
        <f>[11]building!Y11201</f>
        <v>0</v>
      </c>
      <c r="F10870" s="748">
        <f t="shared" si="408"/>
        <v>0</v>
      </c>
      <c r="G10870" s="1205"/>
      <c r="H10870" s="1055"/>
      <c r="I10870" s="1055"/>
      <c r="J10870" s="1055"/>
      <c r="K10870" s="1205"/>
      <c r="L10870" s="1055"/>
      <c r="M10870" s="1205"/>
      <c r="N10870" s="1054"/>
      <c r="O10870" s="1207"/>
      <c r="Q10870" s="1207"/>
    </row>
    <row r="10871" spans="3:17" s="700" customFormat="1" ht="70.5" hidden="1" customHeight="1">
      <c r="C10871" s="701"/>
      <c r="D10871" s="811"/>
      <c r="E10871" s="1276">
        <f>[11]building!Y11202</f>
        <v>0</v>
      </c>
      <c r="F10871" s="748">
        <f t="shared" si="408"/>
        <v>0</v>
      </c>
      <c r="G10871" s="1205"/>
      <c r="H10871" s="1055"/>
      <c r="I10871" s="1055"/>
      <c r="J10871" s="1055"/>
      <c r="K10871" s="1205"/>
      <c r="L10871" s="1055"/>
      <c r="M10871" s="1205"/>
      <c r="N10871" s="1054"/>
      <c r="O10871" s="1207"/>
      <c r="Q10871" s="1207"/>
    </row>
    <row r="10872" spans="3:17" s="700" customFormat="1" ht="70.5" hidden="1" customHeight="1">
      <c r="C10872" s="701"/>
      <c r="D10872" s="811"/>
      <c r="E10872" s="1276">
        <f>[11]building!Y11203</f>
        <v>0</v>
      </c>
      <c r="F10872" s="748">
        <f t="shared" si="408"/>
        <v>0</v>
      </c>
      <c r="G10872" s="1205"/>
      <c r="H10872" s="1055"/>
      <c r="I10872" s="1055"/>
      <c r="J10872" s="1055"/>
      <c r="K10872" s="1205"/>
      <c r="L10872" s="1055"/>
      <c r="M10872" s="1205"/>
      <c r="N10872" s="1054"/>
      <c r="O10872" s="1207"/>
      <c r="Q10872" s="1207"/>
    </row>
    <row r="10873" spans="3:17" s="700" customFormat="1" ht="70.5" hidden="1" customHeight="1">
      <c r="C10873" s="701"/>
      <c r="D10873" s="811"/>
      <c r="E10873" s="1276">
        <f>[11]building!Y11204</f>
        <v>0</v>
      </c>
      <c r="F10873" s="748">
        <f t="shared" si="408"/>
        <v>0</v>
      </c>
      <c r="G10873" s="1205"/>
      <c r="H10873" s="1055"/>
      <c r="I10873" s="1055"/>
      <c r="J10873" s="1055"/>
      <c r="K10873" s="1205"/>
      <c r="L10873" s="1055"/>
      <c r="M10873" s="1205"/>
      <c r="N10873" s="1054"/>
      <c r="O10873" s="1207"/>
      <c r="Q10873" s="1207"/>
    </row>
    <row r="10874" spans="3:17" s="700" customFormat="1" ht="70.5" hidden="1" customHeight="1">
      <c r="C10874" s="701"/>
      <c r="D10874" s="811"/>
      <c r="E10874" s="1276">
        <f>[11]building!Y11205</f>
        <v>0</v>
      </c>
      <c r="F10874" s="748">
        <f t="shared" si="408"/>
        <v>0</v>
      </c>
      <c r="G10874" s="1205"/>
      <c r="H10874" s="1055"/>
      <c r="I10874" s="1055"/>
      <c r="J10874" s="1055"/>
      <c r="K10874" s="1205"/>
      <c r="L10874" s="1055"/>
      <c r="M10874" s="1205"/>
      <c r="N10874" s="1054"/>
      <c r="O10874" s="1207"/>
      <c r="Q10874" s="1207"/>
    </row>
    <row r="10875" spans="3:17" s="700" customFormat="1" ht="70.5" hidden="1" customHeight="1">
      <c r="C10875" s="701"/>
      <c r="D10875" s="811"/>
      <c r="E10875" s="1276">
        <f>[11]building!Y11206</f>
        <v>0</v>
      </c>
      <c r="F10875" s="748">
        <f t="shared" si="408"/>
        <v>0</v>
      </c>
      <c r="G10875" s="1205"/>
      <c r="H10875" s="1055"/>
      <c r="I10875" s="1055"/>
      <c r="J10875" s="1055"/>
      <c r="K10875" s="1205"/>
      <c r="L10875" s="1055"/>
      <c r="M10875" s="1205"/>
      <c r="N10875" s="1054"/>
      <c r="O10875" s="1207"/>
      <c r="Q10875" s="1207"/>
    </row>
    <row r="10876" spans="3:17" s="700" customFormat="1" ht="70.5" hidden="1" customHeight="1">
      <c r="C10876" s="701"/>
      <c r="D10876" s="811"/>
      <c r="E10876" s="1276">
        <f>[11]building!Y11207</f>
        <v>0</v>
      </c>
      <c r="F10876" s="748">
        <f t="shared" si="408"/>
        <v>0</v>
      </c>
      <c r="G10876" s="1205"/>
      <c r="H10876" s="1055"/>
      <c r="I10876" s="1055"/>
      <c r="J10876" s="1055"/>
      <c r="K10876" s="1205"/>
      <c r="L10876" s="1055"/>
      <c r="M10876" s="1205"/>
      <c r="N10876" s="1054"/>
      <c r="O10876" s="1207"/>
      <c r="Q10876" s="1207"/>
    </row>
    <row r="10877" spans="3:17" s="700" customFormat="1" ht="70.5" hidden="1" customHeight="1">
      <c r="C10877" s="701"/>
      <c r="D10877" s="811"/>
      <c r="E10877" s="1276">
        <f>[11]building!Y11208</f>
        <v>0</v>
      </c>
      <c r="F10877" s="748">
        <f t="shared" si="408"/>
        <v>0</v>
      </c>
      <c r="G10877" s="1205"/>
      <c r="H10877" s="1055"/>
      <c r="I10877" s="1055"/>
      <c r="J10877" s="1055"/>
      <c r="K10877" s="1205"/>
      <c r="L10877" s="1055"/>
      <c r="M10877" s="1205"/>
      <c r="N10877" s="1054"/>
      <c r="O10877" s="1207"/>
      <c r="Q10877" s="1207"/>
    </row>
    <row r="10878" spans="3:17" s="700" customFormat="1" ht="70.5" hidden="1" customHeight="1">
      <c r="C10878" s="701"/>
      <c r="D10878" s="811"/>
      <c r="E10878" s="1276">
        <f>[11]building!Y11209</f>
        <v>0</v>
      </c>
      <c r="F10878" s="748">
        <f t="shared" si="408"/>
        <v>0</v>
      </c>
      <c r="G10878" s="1205"/>
      <c r="H10878" s="1055"/>
      <c r="I10878" s="1055"/>
      <c r="J10878" s="1055"/>
      <c r="K10878" s="1205"/>
      <c r="L10878" s="1055"/>
      <c r="M10878" s="1205"/>
      <c r="N10878" s="1054"/>
      <c r="O10878" s="1207"/>
      <c r="Q10878" s="1207"/>
    </row>
    <row r="10879" spans="3:17" s="700" customFormat="1" ht="70.5" hidden="1" customHeight="1">
      <c r="C10879" s="701"/>
      <c r="D10879" s="811"/>
      <c r="E10879" s="1276">
        <f>[11]building!Y11210</f>
        <v>0</v>
      </c>
      <c r="F10879" s="748">
        <f t="shared" si="408"/>
        <v>0</v>
      </c>
      <c r="G10879" s="1205"/>
      <c r="H10879" s="1055"/>
      <c r="I10879" s="1055"/>
      <c r="J10879" s="1055"/>
      <c r="K10879" s="1205"/>
      <c r="L10879" s="1055"/>
      <c r="M10879" s="1205"/>
      <c r="N10879" s="1054"/>
      <c r="O10879" s="1207"/>
      <c r="Q10879" s="1207"/>
    </row>
    <row r="10880" spans="3:17" s="700" customFormat="1" ht="70.5" hidden="1" customHeight="1">
      <c r="C10880" s="701"/>
      <c r="D10880" s="811"/>
      <c r="E10880" s="1276">
        <f>[11]building!Y11211</f>
        <v>0</v>
      </c>
      <c r="F10880" s="748">
        <f t="shared" ref="F10880:F10943" si="409">E10880*C10880</f>
        <v>0</v>
      </c>
      <c r="G10880" s="1205"/>
      <c r="H10880" s="1055"/>
      <c r="I10880" s="1055"/>
      <c r="J10880" s="1055"/>
      <c r="K10880" s="1205"/>
      <c r="L10880" s="1055"/>
      <c r="M10880" s="1205"/>
      <c r="N10880" s="1054"/>
      <c r="O10880" s="1207"/>
      <c r="Q10880" s="1207"/>
    </row>
    <row r="10881" spans="3:17" s="700" customFormat="1" ht="70.5" hidden="1" customHeight="1">
      <c r="C10881" s="701"/>
      <c r="D10881" s="811"/>
      <c r="E10881" s="1276">
        <f>[11]building!Y11212</f>
        <v>0</v>
      </c>
      <c r="F10881" s="748">
        <f t="shared" si="409"/>
        <v>0</v>
      </c>
      <c r="G10881" s="1205"/>
      <c r="H10881" s="1055"/>
      <c r="I10881" s="1055"/>
      <c r="J10881" s="1055"/>
      <c r="K10881" s="1205"/>
      <c r="L10881" s="1055"/>
      <c r="M10881" s="1205"/>
      <c r="N10881" s="1054"/>
      <c r="O10881" s="1207"/>
      <c r="Q10881" s="1207"/>
    </row>
    <row r="10882" spans="3:17" s="700" customFormat="1" ht="70.5" hidden="1" customHeight="1">
      <c r="C10882" s="701"/>
      <c r="D10882" s="811"/>
      <c r="E10882" s="1276">
        <f>[11]building!Y11213</f>
        <v>0</v>
      </c>
      <c r="F10882" s="748">
        <f t="shared" si="409"/>
        <v>0</v>
      </c>
      <c r="G10882" s="1205"/>
      <c r="H10882" s="1055"/>
      <c r="I10882" s="1055"/>
      <c r="J10882" s="1055"/>
      <c r="K10882" s="1205"/>
      <c r="L10882" s="1055"/>
      <c r="M10882" s="1205"/>
      <c r="N10882" s="1054"/>
      <c r="O10882" s="1207"/>
      <c r="Q10882" s="1207"/>
    </row>
    <row r="10883" spans="3:17" s="700" customFormat="1" ht="70.5" hidden="1" customHeight="1">
      <c r="C10883" s="701"/>
      <c r="D10883" s="811"/>
      <c r="E10883" s="1276">
        <f>[11]building!Y11214</f>
        <v>0</v>
      </c>
      <c r="F10883" s="748">
        <f t="shared" si="409"/>
        <v>0</v>
      </c>
      <c r="G10883" s="1205"/>
      <c r="H10883" s="1055"/>
      <c r="I10883" s="1055"/>
      <c r="J10883" s="1055"/>
      <c r="K10883" s="1205"/>
      <c r="L10883" s="1055"/>
      <c r="M10883" s="1205"/>
      <c r="N10883" s="1054"/>
      <c r="O10883" s="1207"/>
      <c r="Q10883" s="1207"/>
    </row>
    <row r="10884" spans="3:17" s="700" customFormat="1" ht="70.5" hidden="1" customHeight="1">
      <c r="C10884" s="701"/>
      <c r="D10884" s="811"/>
      <c r="E10884" s="1276">
        <f>[11]building!Y11215</f>
        <v>0</v>
      </c>
      <c r="F10884" s="748">
        <f t="shared" si="409"/>
        <v>0</v>
      </c>
      <c r="G10884" s="1205"/>
      <c r="H10884" s="1055"/>
      <c r="I10884" s="1055"/>
      <c r="J10884" s="1055"/>
      <c r="K10884" s="1205"/>
      <c r="L10884" s="1055"/>
      <c r="M10884" s="1205"/>
      <c r="N10884" s="1054"/>
      <c r="O10884" s="1207"/>
      <c r="Q10884" s="1207"/>
    </row>
    <row r="10885" spans="3:17" s="700" customFormat="1" ht="70.5" hidden="1" customHeight="1">
      <c r="C10885" s="701"/>
      <c r="D10885" s="811"/>
      <c r="E10885" s="1276">
        <f>[11]building!Y11216</f>
        <v>0</v>
      </c>
      <c r="F10885" s="748">
        <f t="shared" si="409"/>
        <v>0</v>
      </c>
      <c r="G10885" s="1205"/>
      <c r="H10885" s="1055"/>
      <c r="I10885" s="1055"/>
      <c r="J10885" s="1055"/>
      <c r="K10885" s="1205"/>
      <c r="L10885" s="1055"/>
      <c r="M10885" s="1205"/>
      <c r="N10885" s="1054"/>
      <c r="O10885" s="1207"/>
      <c r="Q10885" s="1207"/>
    </row>
    <row r="10886" spans="3:17" s="700" customFormat="1" ht="70.5" hidden="1" customHeight="1">
      <c r="C10886" s="701"/>
      <c r="D10886" s="811"/>
      <c r="E10886" s="1276">
        <f>[11]building!Y11217</f>
        <v>0</v>
      </c>
      <c r="F10886" s="748">
        <f t="shared" si="409"/>
        <v>0</v>
      </c>
      <c r="G10886" s="1205"/>
      <c r="H10886" s="1055"/>
      <c r="I10886" s="1055"/>
      <c r="J10886" s="1055"/>
      <c r="K10886" s="1205"/>
      <c r="L10886" s="1055"/>
      <c r="M10886" s="1205"/>
      <c r="N10886" s="1054"/>
      <c r="O10886" s="1207"/>
      <c r="Q10886" s="1207"/>
    </row>
    <row r="10887" spans="3:17" s="700" customFormat="1" ht="70.5" hidden="1" customHeight="1">
      <c r="C10887" s="701"/>
      <c r="D10887" s="811"/>
      <c r="E10887" s="1276">
        <f>[11]building!Y11218</f>
        <v>0</v>
      </c>
      <c r="F10887" s="748">
        <f t="shared" si="409"/>
        <v>0</v>
      </c>
      <c r="G10887" s="1205"/>
      <c r="H10887" s="1055"/>
      <c r="I10887" s="1055"/>
      <c r="J10887" s="1055"/>
      <c r="K10887" s="1205"/>
      <c r="L10887" s="1055"/>
      <c r="M10887" s="1205"/>
      <c r="N10887" s="1054"/>
      <c r="O10887" s="1207"/>
      <c r="Q10887" s="1207"/>
    </row>
    <row r="10888" spans="3:17" s="700" customFormat="1" ht="70.5" hidden="1" customHeight="1">
      <c r="C10888" s="701"/>
      <c r="D10888" s="811"/>
      <c r="E10888" s="1276">
        <f>[11]building!Y11219</f>
        <v>0</v>
      </c>
      <c r="F10888" s="748">
        <f t="shared" si="409"/>
        <v>0</v>
      </c>
      <c r="G10888" s="1205"/>
      <c r="H10888" s="1055"/>
      <c r="I10888" s="1055"/>
      <c r="J10888" s="1055"/>
      <c r="K10888" s="1205"/>
      <c r="L10888" s="1055"/>
      <c r="M10888" s="1205"/>
      <c r="N10888" s="1054"/>
      <c r="O10888" s="1207"/>
      <c r="Q10888" s="1207"/>
    </row>
    <row r="10889" spans="3:17" s="700" customFormat="1" ht="70.5" hidden="1" customHeight="1">
      <c r="C10889" s="701"/>
      <c r="D10889" s="811"/>
      <c r="E10889" s="1276">
        <f>[11]building!Y11220</f>
        <v>0</v>
      </c>
      <c r="F10889" s="748">
        <f t="shared" si="409"/>
        <v>0</v>
      </c>
      <c r="G10889" s="1205"/>
      <c r="H10889" s="1055"/>
      <c r="I10889" s="1055"/>
      <c r="J10889" s="1055"/>
      <c r="K10889" s="1205"/>
      <c r="L10889" s="1055"/>
      <c r="M10889" s="1205"/>
      <c r="N10889" s="1054"/>
      <c r="O10889" s="1207"/>
      <c r="Q10889" s="1207"/>
    </row>
    <row r="10890" spans="3:17" s="700" customFormat="1" ht="70.5" hidden="1" customHeight="1">
      <c r="C10890" s="701"/>
      <c r="D10890" s="811"/>
      <c r="E10890" s="1276">
        <f>[11]building!Y11221</f>
        <v>0</v>
      </c>
      <c r="F10890" s="748">
        <f t="shared" si="409"/>
        <v>0</v>
      </c>
      <c r="G10890" s="1205"/>
      <c r="H10890" s="1055"/>
      <c r="I10890" s="1055"/>
      <c r="J10890" s="1055"/>
      <c r="K10890" s="1205"/>
      <c r="L10890" s="1055"/>
      <c r="M10890" s="1205"/>
      <c r="N10890" s="1054"/>
      <c r="O10890" s="1207"/>
      <c r="Q10890" s="1207"/>
    </row>
    <row r="10891" spans="3:17" s="700" customFormat="1" ht="70.5" hidden="1" customHeight="1">
      <c r="C10891" s="701"/>
      <c r="D10891" s="811"/>
      <c r="E10891" s="1276">
        <f>[11]building!Y11222</f>
        <v>0</v>
      </c>
      <c r="F10891" s="748">
        <f t="shared" si="409"/>
        <v>0</v>
      </c>
      <c r="G10891" s="1205"/>
      <c r="H10891" s="1055"/>
      <c r="I10891" s="1055"/>
      <c r="J10891" s="1055"/>
      <c r="K10891" s="1205"/>
      <c r="L10891" s="1055"/>
      <c r="M10891" s="1205"/>
      <c r="N10891" s="1054"/>
      <c r="O10891" s="1207"/>
      <c r="Q10891" s="1207"/>
    </row>
    <row r="10892" spans="3:17" s="700" customFormat="1" ht="70.5" hidden="1" customHeight="1">
      <c r="C10892" s="701"/>
      <c r="D10892" s="811"/>
      <c r="E10892" s="1276">
        <f>[11]building!Y11223</f>
        <v>0</v>
      </c>
      <c r="F10892" s="748">
        <f t="shared" si="409"/>
        <v>0</v>
      </c>
      <c r="G10892" s="1205"/>
      <c r="H10892" s="1055"/>
      <c r="I10892" s="1055"/>
      <c r="J10892" s="1055"/>
      <c r="K10892" s="1205"/>
      <c r="L10892" s="1055"/>
      <c r="M10892" s="1205"/>
      <c r="N10892" s="1054"/>
      <c r="O10892" s="1207"/>
      <c r="Q10892" s="1207"/>
    </row>
    <row r="10893" spans="3:17" s="700" customFormat="1" ht="70.5" hidden="1" customHeight="1">
      <c r="C10893" s="701"/>
      <c r="D10893" s="811"/>
      <c r="E10893" s="1276">
        <f>[11]building!Y11224</f>
        <v>0</v>
      </c>
      <c r="F10893" s="748">
        <f t="shared" si="409"/>
        <v>0</v>
      </c>
      <c r="G10893" s="1205"/>
      <c r="H10893" s="1055"/>
      <c r="I10893" s="1055"/>
      <c r="J10893" s="1055"/>
      <c r="K10893" s="1205"/>
      <c r="L10893" s="1055"/>
      <c r="M10893" s="1205"/>
      <c r="N10893" s="1054"/>
      <c r="O10893" s="1207"/>
      <c r="Q10893" s="1207"/>
    </row>
    <row r="10894" spans="3:17" s="700" customFormat="1" ht="70.5" hidden="1" customHeight="1">
      <c r="C10894" s="701"/>
      <c r="D10894" s="811"/>
      <c r="E10894" s="1276">
        <f>[11]building!Y11225</f>
        <v>0</v>
      </c>
      <c r="F10894" s="748">
        <f t="shared" si="409"/>
        <v>0</v>
      </c>
      <c r="G10894" s="1205"/>
      <c r="H10894" s="1055"/>
      <c r="I10894" s="1055"/>
      <c r="J10894" s="1055"/>
      <c r="K10894" s="1205"/>
      <c r="L10894" s="1055"/>
      <c r="M10894" s="1205"/>
      <c r="N10894" s="1054"/>
      <c r="O10894" s="1207"/>
      <c r="Q10894" s="1207"/>
    </row>
    <row r="10895" spans="3:17" s="700" customFormat="1" ht="70.5" hidden="1" customHeight="1">
      <c r="C10895" s="701"/>
      <c r="D10895" s="811"/>
      <c r="E10895" s="1276">
        <f>[11]building!Y11226</f>
        <v>0</v>
      </c>
      <c r="F10895" s="748">
        <f t="shared" si="409"/>
        <v>0</v>
      </c>
      <c r="G10895" s="1205"/>
      <c r="H10895" s="1055"/>
      <c r="I10895" s="1055"/>
      <c r="J10895" s="1055"/>
      <c r="K10895" s="1205"/>
      <c r="L10895" s="1055"/>
      <c r="M10895" s="1205"/>
      <c r="N10895" s="1054"/>
      <c r="O10895" s="1207"/>
      <c r="Q10895" s="1207"/>
    </row>
    <row r="10896" spans="3:17" s="700" customFormat="1" ht="70.5" hidden="1" customHeight="1">
      <c r="C10896" s="701"/>
      <c r="D10896" s="811"/>
      <c r="E10896" s="1276">
        <f>[11]building!Y11227</f>
        <v>0</v>
      </c>
      <c r="F10896" s="748">
        <f t="shared" si="409"/>
        <v>0</v>
      </c>
      <c r="G10896" s="1205"/>
      <c r="H10896" s="1055"/>
      <c r="I10896" s="1055"/>
      <c r="J10896" s="1055"/>
      <c r="K10896" s="1205"/>
      <c r="L10896" s="1055"/>
      <c r="M10896" s="1205"/>
      <c r="N10896" s="1054"/>
      <c r="O10896" s="1207"/>
      <c r="Q10896" s="1207"/>
    </row>
    <row r="10897" spans="3:17" s="700" customFormat="1" ht="70.5" hidden="1" customHeight="1">
      <c r="C10897" s="701"/>
      <c r="D10897" s="811"/>
      <c r="E10897" s="1276">
        <f>[11]building!Y11228</f>
        <v>0</v>
      </c>
      <c r="F10897" s="748">
        <f t="shared" si="409"/>
        <v>0</v>
      </c>
      <c r="G10897" s="1205"/>
      <c r="H10897" s="1055"/>
      <c r="I10897" s="1055"/>
      <c r="J10897" s="1055"/>
      <c r="K10897" s="1205"/>
      <c r="L10897" s="1055"/>
      <c r="M10897" s="1205"/>
      <c r="N10897" s="1054"/>
      <c r="O10897" s="1207"/>
      <c r="Q10897" s="1207"/>
    </row>
    <row r="10898" spans="3:17" s="700" customFormat="1" ht="70.5" hidden="1" customHeight="1">
      <c r="C10898" s="701"/>
      <c r="D10898" s="811"/>
      <c r="E10898" s="1276">
        <f>[11]building!Y11229</f>
        <v>0</v>
      </c>
      <c r="F10898" s="748">
        <f t="shared" si="409"/>
        <v>0</v>
      </c>
      <c r="G10898" s="1205"/>
      <c r="H10898" s="1055"/>
      <c r="I10898" s="1055"/>
      <c r="J10898" s="1055"/>
      <c r="K10898" s="1205"/>
      <c r="L10898" s="1055"/>
      <c r="M10898" s="1205"/>
      <c r="N10898" s="1054"/>
      <c r="O10898" s="1207"/>
      <c r="Q10898" s="1207"/>
    </row>
    <row r="10899" spans="3:17" s="700" customFormat="1" ht="70.5" hidden="1" customHeight="1">
      <c r="C10899" s="701"/>
      <c r="D10899" s="811"/>
      <c r="E10899" s="1276">
        <f>[11]building!Y11230</f>
        <v>0</v>
      </c>
      <c r="F10899" s="748">
        <f t="shared" si="409"/>
        <v>0</v>
      </c>
      <c r="G10899" s="1205"/>
      <c r="H10899" s="1055"/>
      <c r="I10899" s="1055"/>
      <c r="J10899" s="1055"/>
      <c r="K10899" s="1205"/>
      <c r="L10899" s="1055"/>
      <c r="M10899" s="1205"/>
      <c r="N10899" s="1054"/>
      <c r="O10899" s="1207"/>
      <c r="Q10899" s="1207"/>
    </row>
    <row r="10900" spans="3:17" s="700" customFormat="1" ht="70.5" hidden="1" customHeight="1">
      <c r="C10900" s="701"/>
      <c r="D10900" s="811"/>
      <c r="E10900" s="1276">
        <f>[11]building!Y11231</f>
        <v>0</v>
      </c>
      <c r="F10900" s="748">
        <f t="shared" si="409"/>
        <v>0</v>
      </c>
      <c r="G10900" s="1205"/>
      <c r="H10900" s="1055"/>
      <c r="I10900" s="1055"/>
      <c r="J10900" s="1055"/>
      <c r="K10900" s="1205"/>
      <c r="L10900" s="1055"/>
      <c r="M10900" s="1205"/>
      <c r="N10900" s="1054"/>
      <c r="O10900" s="1207"/>
      <c r="Q10900" s="1207"/>
    </row>
    <row r="10901" spans="3:17" s="700" customFormat="1" ht="70.5" hidden="1" customHeight="1">
      <c r="C10901" s="701"/>
      <c r="D10901" s="811"/>
      <c r="E10901" s="1276">
        <f>[11]building!Y11232</f>
        <v>0</v>
      </c>
      <c r="F10901" s="748">
        <f t="shared" si="409"/>
        <v>0</v>
      </c>
      <c r="G10901" s="1205"/>
      <c r="H10901" s="1055"/>
      <c r="I10901" s="1055"/>
      <c r="J10901" s="1055"/>
      <c r="K10901" s="1205"/>
      <c r="L10901" s="1055"/>
      <c r="M10901" s="1205"/>
      <c r="N10901" s="1054"/>
      <c r="O10901" s="1207"/>
      <c r="Q10901" s="1207"/>
    </row>
    <row r="10902" spans="3:17" s="700" customFormat="1" ht="70.5" hidden="1" customHeight="1">
      <c r="C10902" s="701"/>
      <c r="D10902" s="811"/>
      <c r="E10902" s="1276">
        <f>[11]building!Y11233</f>
        <v>0</v>
      </c>
      <c r="F10902" s="748">
        <f t="shared" si="409"/>
        <v>0</v>
      </c>
      <c r="G10902" s="1205"/>
      <c r="H10902" s="1055"/>
      <c r="I10902" s="1055"/>
      <c r="J10902" s="1055"/>
      <c r="K10902" s="1205"/>
      <c r="L10902" s="1055"/>
      <c r="M10902" s="1205"/>
      <c r="N10902" s="1054"/>
      <c r="O10902" s="1207"/>
      <c r="Q10902" s="1207"/>
    </row>
    <row r="10903" spans="3:17" s="700" customFormat="1" ht="70.5" hidden="1" customHeight="1">
      <c r="C10903" s="701"/>
      <c r="D10903" s="811"/>
      <c r="E10903" s="1276">
        <f>[11]building!Y11234</f>
        <v>0</v>
      </c>
      <c r="F10903" s="748">
        <f t="shared" si="409"/>
        <v>0</v>
      </c>
      <c r="G10903" s="1205"/>
      <c r="H10903" s="1055"/>
      <c r="I10903" s="1055"/>
      <c r="J10903" s="1055"/>
      <c r="K10903" s="1205"/>
      <c r="L10903" s="1055"/>
      <c r="M10903" s="1205"/>
      <c r="N10903" s="1054"/>
      <c r="O10903" s="1207"/>
      <c r="Q10903" s="1207"/>
    </row>
    <row r="10904" spans="3:17" s="700" customFormat="1" ht="70.5" hidden="1" customHeight="1">
      <c r="C10904" s="701"/>
      <c r="D10904" s="811"/>
      <c r="E10904" s="1276">
        <f>[11]building!Y11235</f>
        <v>0</v>
      </c>
      <c r="F10904" s="748">
        <f t="shared" si="409"/>
        <v>0</v>
      </c>
      <c r="G10904" s="1205"/>
      <c r="H10904" s="1055"/>
      <c r="I10904" s="1055"/>
      <c r="J10904" s="1055"/>
      <c r="K10904" s="1205"/>
      <c r="L10904" s="1055"/>
      <c r="M10904" s="1205"/>
      <c r="N10904" s="1054"/>
      <c r="O10904" s="1207"/>
      <c r="Q10904" s="1207"/>
    </row>
    <row r="10905" spans="3:17" s="700" customFormat="1" ht="70.5" hidden="1" customHeight="1">
      <c r="C10905" s="701"/>
      <c r="D10905" s="811"/>
      <c r="E10905" s="1276">
        <f>[11]building!Y11236</f>
        <v>0</v>
      </c>
      <c r="F10905" s="748">
        <f t="shared" si="409"/>
        <v>0</v>
      </c>
      <c r="G10905" s="1205"/>
      <c r="H10905" s="1055"/>
      <c r="I10905" s="1055"/>
      <c r="J10905" s="1055"/>
      <c r="K10905" s="1205"/>
      <c r="L10905" s="1055"/>
      <c r="M10905" s="1205"/>
      <c r="N10905" s="1054"/>
      <c r="O10905" s="1207"/>
      <c r="Q10905" s="1207"/>
    </row>
    <row r="10906" spans="3:17" s="700" customFormat="1" ht="70.5" hidden="1" customHeight="1">
      <c r="C10906" s="701"/>
      <c r="D10906" s="811"/>
      <c r="E10906" s="1276">
        <f>[11]building!Y11237</f>
        <v>0</v>
      </c>
      <c r="F10906" s="748">
        <f t="shared" si="409"/>
        <v>0</v>
      </c>
      <c r="G10906" s="1205"/>
      <c r="H10906" s="1055"/>
      <c r="I10906" s="1055"/>
      <c r="J10906" s="1055"/>
      <c r="K10906" s="1205"/>
      <c r="L10906" s="1055"/>
      <c r="M10906" s="1205"/>
      <c r="N10906" s="1054"/>
      <c r="O10906" s="1207"/>
      <c r="Q10906" s="1207"/>
    </row>
    <row r="10907" spans="3:17" s="700" customFormat="1" ht="70.5" hidden="1" customHeight="1">
      <c r="C10907" s="701"/>
      <c r="D10907" s="811"/>
      <c r="E10907" s="1276">
        <f>[11]building!Y11238</f>
        <v>0</v>
      </c>
      <c r="F10907" s="748">
        <f t="shared" si="409"/>
        <v>0</v>
      </c>
      <c r="G10907" s="1205"/>
      <c r="H10907" s="1055"/>
      <c r="I10907" s="1055"/>
      <c r="J10907" s="1055"/>
      <c r="K10907" s="1205"/>
      <c r="L10907" s="1055"/>
      <c r="M10907" s="1205"/>
      <c r="N10907" s="1054"/>
      <c r="O10907" s="1207"/>
      <c r="Q10907" s="1207"/>
    </row>
    <row r="10908" spans="3:17" s="700" customFormat="1" ht="70.5" hidden="1" customHeight="1">
      <c r="C10908" s="701"/>
      <c r="D10908" s="811"/>
      <c r="E10908" s="1276">
        <f>[11]building!Y11239</f>
        <v>0</v>
      </c>
      <c r="F10908" s="748">
        <f t="shared" si="409"/>
        <v>0</v>
      </c>
      <c r="G10908" s="1205"/>
      <c r="H10908" s="1055"/>
      <c r="I10908" s="1055"/>
      <c r="J10908" s="1055"/>
      <c r="K10908" s="1205"/>
      <c r="L10908" s="1055"/>
      <c r="M10908" s="1205"/>
      <c r="N10908" s="1054"/>
      <c r="O10908" s="1207"/>
      <c r="Q10908" s="1207"/>
    </row>
    <row r="10909" spans="3:17" s="700" customFormat="1" ht="70.5" hidden="1" customHeight="1">
      <c r="C10909" s="701"/>
      <c r="D10909" s="811"/>
      <c r="E10909" s="1276">
        <f>[11]building!Y11240</f>
        <v>0</v>
      </c>
      <c r="F10909" s="748">
        <f t="shared" si="409"/>
        <v>0</v>
      </c>
      <c r="G10909" s="1205"/>
      <c r="H10909" s="1055"/>
      <c r="I10909" s="1055"/>
      <c r="J10909" s="1055"/>
      <c r="K10909" s="1205"/>
      <c r="L10909" s="1055"/>
      <c r="M10909" s="1205"/>
      <c r="N10909" s="1054"/>
      <c r="O10909" s="1207"/>
      <c r="Q10909" s="1207"/>
    </row>
    <row r="10910" spans="3:17" s="700" customFormat="1" ht="70.5" hidden="1" customHeight="1">
      <c r="C10910" s="701"/>
      <c r="D10910" s="811"/>
      <c r="E10910" s="1276">
        <f>[11]building!Y11241</f>
        <v>0</v>
      </c>
      <c r="F10910" s="748">
        <f t="shared" si="409"/>
        <v>0</v>
      </c>
      <c r="G10910" s="1205"/>
      <c r="H10910" s="1055"/>
      <c r="I10910" s="1055"/>
      <c r="J10910" s="1055"/>
      <c r="K10910" s="1205"/>
      <c r="L10910" s="1055"/>
      <c r="M10910" s="1205"/>
      <c r="N10910" s="1054"/>
      <c r="O10910" s="1207"/>
      <c r="Q10910" s="1207"/>
    </row>
    <row r="10911" spans="3:17" s="700" customFormat="1" ht="70.5" hidden="1" customHeight="1">
      <c r="C10911" s="701"/>
      <c r="D10911" s="811"/>
      <c r="E10911" s="1276">
        <f>[11]building!Y11242</f>
        <v>0</v>
      </c>
      <c r="F10911" s="748">
        <f t="shared" si="409"/>
        <v>0</v>
      </c>
      <c r="G10911" s="1205"/>
      <c r="H10911" s="1055"/>
      <c r="I10911" s="1055"/>
      <c r="J10911" s="1055"/>
      <c r="K10911" s="1205"/>
      <c r="L10911" s="1055"/>
      <c r="M10911" s="1205"/>
      <c r="N10911" s="1054"/>
      <c r="O10911" s="1207"/>
      <c r="Q10911" s="1207"/>
    </row>
    <row r="10912" spans="3:17" s="700" customFormat="1" ht="70.5" hidden="1" customHeight="1">
      <c r="C10912" s="701"/>
      <c r="D10912" s="811"/>
      <c r="E10912" s="1276">
        <f>[11]building!Y11243</f>
        <v>0</v>
      </c>
      <c r="F10912" s="748">
        <f t="shared" si="409"/>
        <v>0</v>
      </c>
      <c r="G10912" s="1205"/>
      <c r="H10912" s="1055"/>
      <c r="I10912" s="1055"/>
      <c r="J10912" s="1055"/>
      <c r="K10912" s="1205"/>
      <c r="L10912" s="1055"/>
      <c r="M10912" s="1205"/>
      <c r="N10912" s="1054"/>
      <c r="O10912" s="1207"/>
      <c r="Q10912" s="1207"/>
    </row>
    <row r="10913" spans="3:17" s="700" customFormat="1" ht="70.5" hidden="1" customHeight="1">
      <c r="C10913" s="701"/>
      <c r="D10913" s="811"/>
      <c r="E10913" s="1276">
        <f>[11]building!Y11244</f>
        <v>0</v>
      </c>
      <c r="F10913" s="748">
        <f t="shared" si="409"/>
        <v>0</v>
      </c>
      <c r="G10913" s="1205"/>
      <c r="H10913" s="1055"/>
      <c r="I10913" s="1055"/>
      <c r="J10913" s="1055"/>
      <c r="K10913" s="1205"/>
      <c r="L10913" s="1055"/>
      <c r="M10913" s="1205"/>
      <c r="N10913" s="1054"/>
      <c r="O10913" s="1207"/>
      <c r="Q10913" s="1207"/>
    </row>
    <row r="10914" spans="3:17" s="700" customFormat="1" ht="70.5" hidden="1" customHeight="1">
      <c r="C10914" s="701"/>
      <c r="D10914" s="811"/>
      <c r="E10914" s="1276">
        <f>[11]building!Y11245</f>
        <v>0</v>
      </c>
      <c r="F10914" s="748">
        <f t="shared" si="409"/>
        <v>0</v>
      </c>
      <c r="G10914" s="1205"/>
      <c r="H10914" s="1055"/>
      <c r="I10914" s="1055"/>
      <c r="J10914" s="1055"/>
      <c r="K10914" s="1205"/>
      <c r="L10914" s="1055"/>
      <c r="M10914" s="1205"/>
      <c r="N10914" s="1054"/>
      <c r="O10914" s="1207"/>
      <c r="Q10914" s="1207"/>
    </row>
    <row r="10915" spans="3:17" s="700" customFormat="1" ht="70.5" hidden="1" customHeight="1">
      <c r="C10915" s="701"/>
      <c r="D10915" s="811"/>
      <c r="E10915" s="1276">
        <f>[11]building!Y11246</f>
        <v>0</v>
      </c>
      <c r="F10915" s="748">
        <f t="shared" si="409"/>
        <v>0</v>
      </c>
      <c r="G10915" s="1205"/>
      <c r="H10915" s="1055"/>
      <c r="I10915" s="1055"/>
      <c r="J10915" s="1055"/>
      <c r="K10915" s="1205"/>
      <c r="L10915" s="1055"/>
      <c r="M10915" s="1205"/>
      <c r="N10915" s="1054"/>
      <c r="O10915" s="1207"/>
      <c r="Q10915" s="1207"/>
    </row>
    <row r="10916" spans="3:17" s="700" customFormat="1" ht="70.5" hidden="1" customHeight="1">
      <c r="C10916" s="701"/>
      <c r="D10916" s="811"/>
      <c r="E10916" s="1276">
        <f>[11]building!Y11247</f>
        <v>0</v>
      </c>
      <c r="F10916" s="748">
        <f t="shared" si="409"/>
        <v>0</v>
      </c>
      <c r="G10916" s="1205"/>
      <c r="H10916" s="1055"/>
      <c r="I10916" s="1055"/>
      <c r="J10916" s="1055"/>
      <c r="K10916" s="1205"/>
      <c r="L10916" s="1055"/>
      <c r="M10916" s="1205"/>
      <c r="N10916" s="1054"/>
      <c r="O10916" s="1207"/>
      <c r="Q10916" s="1207"/>
    </row>
    <row r="10917" spans="3:17" s="700" customFormat="1" ht="70.5" hidden="1" customHeight="1">
      <c r="C10917" s="701"/>
      <c r="D10917" s="811"/>
      <c r="E10917" s="1276">
        <f>[11]building!Y11248</f>
        <v>0</v>
      </c>
      <c r="F10917" s="748">
        <f t="shared" si="409"/>
        <v>0</v>
      </c>
      <c r="G10917" s="1205"/>
      <c r="H10917" s="1055"/>
      <c r="I10917" s="1055"/>
      <c r="J10917" s="1055"/>
      <c r="K10917" s="1205"/>
      <c r="L10917" s="1055"/>
      <c r="M10917" s="1205"/>
      <c r="N10917" s="1054"/>
      <c r="O10917" s="1207"/>
      <c r="Q10917" s="1207"/>
    </row>
    <row r="10918" spans="3:17" s="700" customFormat="1" ht="70.5" hidden="1" customHeight="1">
      <c r="C10918" s="701"/>
      <c r="D10918" s="811"/>
      <c r="E10918" s="1276">
        <f>[11]building!Y11249</f>
        <v>0</v>
      </c>
      <c r="F10918" s="748">
        <f t="shared" si="409"/>
        <v>0</v>
      </c>
      <c r="G10918" s="1205"/>
      <c r="H10918" s="1055"/>
      <c r="I10918" s="1055"/>
      <c r="J10918" s="1055"/>
      <c r="K10918" s="1205"/>
      <c r="L10918" s="1055"/>
      <c r="M10918" s="1205"/>
      <c r="N10918" s="1054"/>
      <c r="O10918" s="1207"/>
      <c r="Q10918" s="1207"/>
    </row>
    <row r="10919" spans="3:17" s="700" customFormat="1" ht="70.5" hidden="1" customHeight="1">
      <c r="C10919" s="701"/>
      <c r="D10919" s="811"/>
      <c r="E10919" s="1276">
        <f>[11]building!Y11250</f>
        <v>0</v>
      </c>
      <c r="F10919" s="748">
        <f t="shared" si="409"/>
        <v>0</v>
      </c>
      <c r="G10919" s="1205"/>
      <c r="H10919" s="1055"/>
      <c r="I10919" s="1055"/>
      <c r="J10919" s="1055"/>
      <c r="K10919" s="1205"/>
      <c r="L10919" s="1055"/>
      <c r="M10919" s="1205"/>
      <c r="N10919" s="1054"/>
      <c r="O10919" s="1207"/>
      <c r="Q10919" s="1207"/>
    </row>
    <row r="10920" spans="3:17" s="700" customFormat="1" ht="70.5" hidden="1" customHeight="1">
      <c r="C10920" s="701"/>
      <c r="D10920" s="811"/>
      <c r="E10920" s="1276">
        <f>[11]building!Y11251</f>
        <v>0</v>
      </c>
      <c r="F10920" s="748">
        <f t="shared" si="409"/>
        <v>0</v>
      </c>
      <c r="G10920" s="1205"/>
      <c r="H10920" s="1055"/>
      <c r="I10920" s="1055"/>
      <c r="J10920" s="1055"/>
      <c r="K10920" s="1205"/>
      <c r="L10920" s="1055"/>
      <c r="M10920" s="1205"/>
      <c r="N10920" s="1054"/>
      <c r="O10920" s="1207"/>
      <c r="Q10920" s="1207"/>
    </row>
    <row r="10921" spans="3:17" s="700" customFormat="1" ht="70.5" hidden="1" customHeight="1">
      <c r="C10921" s="701"/>
      <c r="D10921" s="811"/>
      <c r="E10921" s="1276">
        <f>[11]building!Y11252</f>
        <v>0</v>
      </c>
      <c r="F10921" s="748">
        <f t="shared" si="409"/>
        <v>0</v>
      </c>
      <c r="G10921" s="1205"/>
      <c r="H10921" s="1055"/>
      <c r="I10921" s="1055"/>
      <c r="J10921" s="1055"/>
      <c r="K10921" s="1205"/>
      <c r="L10921" s="1055"/>
      <c r="M10921" s="1205"/>
      <c r="N10921" s="1054"/>
      <c r="O10921" s="1207"/>
      <c r="Q10921" s="1207"/>
    </row>
    <row r="10922" spans="3:17" s="700" customFormat="1" ht="70.5" hidden="1" customHeight="1">
      <c r="C10922" s="701"/>
      <c r="D10922" s="811"/>
      <c r="E10922" s="1276">
        <f>[11]building!Y11253</f>
        <v>0</v>
      </c>
      <c r="F10922" s="748">
        <f t="shared" si="409"/>
        <v>0</v>
      </c>
      <c r="G10922" s="1205"/>
      <c r="H10922" s="1055"/>
      <c r="I10922" s="1055"/>
      <c r="J10922" s="1055"/>
      <c r="K10922" s="1205"/>
      <c r="L10922" s="1055"/>
      <c r="M10922" s="1205"/>
      <c r="N10922" s="1054"/>
      <c r="O10922" s="1207"/>
      <c r="Q10922" s="1207"/>
    </row>
    <row r="10923" spans="3:17" s="700" customFormat="1" ht="70.5" hidden="1" customHeight="1">
      <c r="C10923" s="701"/>
      <c r="D10923" s="811"/>
      <c r="E10923" s="1276">
        <f>[11]building!Y11254</f>
        <v>0</v>
      </c>
      <c r="F10923" s="748">
        <f t="shared" si="409"/>
        <v>0</v>
      </c>
      <c r="G10923" s="1205"/>
      <c r="H10923" s="1055"/>
      <c r="I10923" s="1055"/>
      <c r="J10923" s="1055"/>
      <c r="K10923" s="1205"/>
      <c r="L10923" s="1055"/>
      <c r="M10923" s="1205"/>
      <c r="N10923" s="1054"/>
      <c r="O10923" s="1207"/>
      <c r="Q10923" s="1207"/>
    </row>
    <row r="10924" spans="3:17" s="700" customFormat="1" ht="70.5" hidden="1" customHeight="1">
      <c r="C10924" s="701"/>
      <c r="D10924" s="811"/>
      <c r="E10924" s="1276">
        <f>[11]building!Y11255</f>
        <v>0</v>
      </c>
      <c r="F10924" s="748">
        <f t="shared" si="409"/>
        <v>0</v>
      </c>
      <c r="G10924" s="1205"/>
      <c r="H10924" s="1055"/>
      <c r="I10924" s="1055"/>
      <c r="J10924" s="1055"/>
      <c r="K10924" s="1205"/>
      <c r="L10924" s="1055"/>
      <c r="M10924" s="1205"/>
      <c r="N10924" s="1054"/>
      <c r="O10924" s="1207"/>
      <c r="Q10924" s="1207"/>
    </row>
    <row r="10925" spans="3:17" s="700" customFormat="1" ht="70.5" hidden="1" customHeight="1">
      <c r="C10925" s="701"/>
      <c r="D10925" s="811"/>
      <c r="E10925" s="1276">
        <f>[11]building!Y11256</f>
        <v>0</v>
      </c>
      <c r="F10925" s="748">
        <f t="shared" si="409"/>
        <v>0</v>
      </c>
      <c r="G10925" s="1205"/>
      <c r="H10925" s="1055"/>
      <c r="I10925" s="1055"/>
      <c r="J10925" s="1055"/>
      <c r="K10925" s="1205"/>
      <c r="L10925" s="1055"/>
      <c r="M10925" s="1205"/>
      <c r="N10925" s="1054"/>
      <c r="O10925" s="1207"/>
      <c r="Q10925" s="1207"/>
    </row>
    <row r="10926" spans="3:17" s="700" customFormat="1" ht="70.5" hidden="1" customHeight="1">
      <c r="C10926" s="701"/>
      <c r="D10926" s="811"/>
      <c r="E10926" s="1276">
        <f>[11]building!Y11257</f>
        <v>0</v>
      </c>
      <c r="F10926" s="748">
        <f t="shared" si="409"/>
        <v>0</v>
      </c>
      <c r="G10926" s="1205"/>
      <c r="H10926" s="1055"/>
      <c r="I10926" s="1055"/>
      <c r="J10926" s="1055"/>
      <c r="K10926" s="1205"/>
      <c r="L10926" s="1055"/>
      <c r="M10926" s="1205"/>
      <c r="N10926" s="1054"/>
      <c r="O10926" s="1207"/>
      <c r="Q10926" s="1207"/>
    </row>
    <row r="10927" spans="3:17" s="700" customFormat="1" ht="70.5" hidden="1" customHeight="1">
      <c r="C10927" s="701"/>
      <c r="D10927" s="811"/>
      <c r="E10927" s="1276">
        <f>[11]building!Y11258</f>
        <v>0</v>
      </c>
      <c r="F10927" s="748">
        <f t="shared" si="409"/>
        <v>0</v>
      </c>
      <c r="G10927" s="1205"/>
      <c r="H10927" s="1055"/>
      <c r="I10927" s="1055"/>
      <c r="J10927" s="1055"/>
      <c r="K10927" s="1205"/>
      <c r="L10927" s="1055"/>
      <c r="M10927" s="1205"/>
      <c r="N10927" s="1054"/>
      <c r="O10927" s="1207"/>
      <c r="Q10927" s="1207"/>
    </row>
    <row r="10928" spans="3:17" s="700" customFormat="1" ht="70.5" hidden="1" customHeight="1">
      <c r="C10928" s="701"/>
      <c r="D10928" s="811"/>
      <c r="E10928" s="1276">
        <f>[11]building!Y11259</f>
        <v>0</v>
      </c>
      <c r="F10928" s="748">
        <f t="shared" si="409"/>
        <v>0</v>
      </c>
      <c r="G10928" s="1205"/>
      <c r="H10928" s="1055"/>
      <c r="I10928" s="1055"/>
      <c r="J10928" s="1055"/>
      <c r="K10928" s="1205"/>
      <c r="L10928" s="1055"/>
      <c r="M10928" s="1205"/>
      <c r="N10928" s="1054"/>
      <c r="O10928" s="1207"/>
      <c r="Q10928" s="1207"/>
    </row>
    <row r="10929" spans="3:17" s="700" customFormat="1" ht="70.5" hidden="1" customHeight="1">
      <c r="C10929" s="701"/>
      <c r="D10929" s="811"/>
      <c r="E10929" s="1276">
        <f>[11]building!Y11260</f>
        <v>0</v>
      </c>
      <c r="F10929" s="748">
        <f t="shared" si="409"/>
        <v>0</v>
      </c>
      <c r="G10929" s="1205"/>
      <c r="H10929" s="1055"/>
      <c r="I10929" s="1055"/>
      <c r="J10929" s="1055"/>
      <c r="K10929" s="1205"/>
      <c r="L10929" s="1055"/>
      <c r="M10929" s="1205"/>
      <c r="N10929" s="1054"/>
      <c r="O10929" s="1207"/>
      <c r="Q10929" s="1207"/>
    </row>
    <row r="10930" spans="3:17" s="700" customFormat="1" ht="70.5" hidden="1" customHeight="1">
      <c r="C10930" s="701"/>
      <c r="D10930" s="811"/>
      <c r="E10930" s="1276">
        <f>[11]building!Y11261</f>
        <v>0</v>
      </c>
      <c r="F10930" s="748">
        <f t="shared" si="409"/>
        <v>0</v>
      </c>
      <c r="G10930" s="1205"/>
      <c r="H10930" s="1055"/>
      <c r="I10930" s="1055"/>
      <c r="J10930" s="1055"/>
      <c r="K10930" s="1205"/>
      <c r="L10930" s="1055"/>
      <c r="M10930" s="1205"/>
      <c r="N10930" s="1054"/>
      <c r="O10930" s="1207"/>
      <c r="Q10930" s="1207"/>
    </row>
    <row r="10931" spans="3:17" s="700" customFormat="1" ht="70.5" hidden="1" customHeight="1">
      <c r="C10931" s="701"/>
      <c r="D10931" s="811"/>
      <c r="E10931" s="1276">
        <f>[11]building!Y11262</f>
        <v>0</v>
      </c>
      <c r="F10931" s="748">
        <f t="shared" si="409"/>
        <v>0</v>
      </c>
      <c r="G10931" s="1205"/>
      <c r="H10931" s="1055"/>
      <c r="I10931" s="1055"/>
      <c r="J10931" s="1055"/>
      <c r="K10931" s="1205"/>
      <c r="L10931" s="1055"/>
      <c r="M10931" s="1205"/>
      <c r="N10931" s="1054"/>
      <c r="O10931" s="1207"/>
      <c r="Q10931" s="1207"/>
    </row>
    <row r="10932" spans="3:17" s="700" customFormat="1" ht="70.5" hidden="1" customHeight="1">
      <c r="C10932" s="701"/>
      <c r="D10932" s="811"/>
      <c r="E10932" s="1276">
        <f>[11]building!Y11263</f>
        <v>0</v>
      </c>
      <c r="F10932" s="748">
        <f t="shared" si="409"/>
        <v>0</v>
      </c>
      <c r="G10932" s="1205"/>
      <c r="H10932" s="1055"/>
      <c r="I10932" s="1055"/>
      <c r="J10932" s="1055"/>
      <c r="K10932" s="1205"/>
      <c r="L10932" s="1055"/>
      <c r="M10932" s="1205"/>
      <c r="N10932" s="1054"/>
      <c r="O10932" s="1207"/>
      <c r="Q10932" s="1207"/>
    </row>
    <row r="10933" spans="3:17" s="700" customFormat="1" ht="70.5" hidden="1" customHeight="1">
      <c r="C10933" s="701"/>
      <c r="D10933" s="811"/>
      <c r="E10933" s="1276">
        <f>[11]building!Y11264</f>
        <v>0</v>
      </c>
      <c r="F10933" s="748">
        <f t="shared" si="409"/>
        <v>0</v>
      </c>
      <c r="G10933" s="1205"/>
      <c r="H10933" s="1055"/>
      <c r="I10933" s="1055"/>
      <c r="J10933" s="1055"/>
      <c r="K10933" s="1205"/>
      <c r="L10933" s="1055"/>
      <c r="M10933" s="1205"/>
      <c r="N10933" s="1054"/>
      <c r="O10933" s="1207"/>
      <c r="Q10933" s="1207"/>
    </row>
    <row r="10934" spans="3:17" s="700" customFormat="1" ht="70.5" hidden="1" customHeight="1">
      <c r="C10934" s="701"/>
      <c r="D10934" s="811"/>
      <c r="E10934" s="1276">
        <f>[11]building!Y11265</f>
        <v>0</v>
      </c>
      <c r="F10934" s="748">
        <f t="shared" si="409"/>
        <v>0</v>
      </c>
      <c r="G10934" s="1205"/>
      <c r="H10934" s="1055"/>
      <c r="I10934" s="1055"/>
      <c r="J10934" s="1055"/>
      <c r="K10934" s="1205"/>
      <c r="L10934" s="1055"/>
      <c r="M10934" s="1205"/>
      <c r="N10934" s="1054"/>
      <c r="O10934" s="1207"/>
      <c r="Q10934" s="1207"/>
    </row>
    <row r="10935" spans="3:17" s="700" customFormat="1" ht="70.5" hidden="1" customHeight="1">
      <c r="C10935" s="701"/>
      <c r="D10935" s="811"/>
      <c r="E10935" s="1276">
        <f>[11]building!Y11266</f>
        <v>0</v>
      </c>
      <c r="F10935" s="748">
        <f t="shared" si="409"/>
        <v>0</v>
      </c>
      <c r="G10935" s="1205"/>
      <c r="H10935" s="1055"/>
      <c r="I10935" s="1055"/>
      <c r="J10935" s="1055"/>
      <c r="K10935" s="1205"/>
      <c r="L10935" s="1055"/>
      <c r="M10935" s="1205"/>
      <c r="N10935" s="1054"/>
      <c r="O10935" s="1207"/>
      <c r="Q10935" s="1207"/>
    </row>
    <row r="10936" spans="3:17" s="700" customFormat="1" ht="70.5" hidden="1" customHeight="1">
      <c r="C10936" s="701"/>
      <c r="D10936" s="811"/>
      <c r="E10936" s="1276">
        <f>[11]building!Y11267</f>
        <v>0</v>
      </c>
      <c r="F10936" s="748">
        <f t="shared" si="409"/>
        <v>0</v>
      </c>
      <c r="G10936" s="1205"/>
      <c r="H10936" s="1055"/>
      <c r="I10936" s="1055"/>
      <c r="J10936" s="1055"/>
      <c r="K10936" s="1205"/>
      <c r="L10936" s="1055"/>
      <c r="M10936" s="1205"/>
      <c r="N10936" s="1054"/>
      <c r="O10936" s="1207"/>
      <c r="Q10936" s="1207"/>
    </row>
    <row r="10937" spans="3:17" s="700" customFormat="1" ht="70.5" hidden="1" customHeight="1">
      <c r="C10937" s="701"/>
      <c r="D10937" s="811"/>
      <c r="E10937" s="1276">
        <f>[11]building!Y11268</f>
        <v>0</v>
      </c>
      <c r="F10937" s="748">
        <f t="shared" si="409"/>
        <v>0</v>
      </c>
      <c r="G10937" s="1205"/>
      <c r="H10937" s="1055"/>
      <c r="I10937" s="1055"/>
      <c r="J10937" s="1055"/>
      <c r="K10937" s="1205"/>
      <c r="L10937" s="1055"/>
      <c r="M10937" s="1205"/>
      <c r="N10937" s="1054"/>
      <c r="O10937" s="1207"/>
      <c r="Q10937" s="1207"/>
    </row>
    <row r="10938" spans="3:17" s="700" customFormat="1" ht="70.5" hidden="1" customHeight="1">
      <c r="C10938" s="701"/>
      <c r="D10938" s="811"/>
      <c r="E10938" s="1276">
        <f>[11]building!Y11269</f>
        <v>0</v>
      </c>
      <c r="F10938" s="748">
        <f t="shared" si="409"/>
        <v>0</v>
      </c>
      <c r="G10938" s="1205"/>
      <c r="H10938" s="1055"/>
      <c r="I10938" s="1055"/>
      <c r="J10938" s="1055"/>
      <c r="K10938" s="1205"/>
      <c r="L10938" s="1055"/>
      <c r="M10938" s="1205"/>
      <c r="N10938" s="1054"/>
      <c r="O10938" s="1207"/>
      <c r="Q10938" s="1207"/>
    </row>
    <row r="10939" spans="3:17" s="700" customFormat="1" ht="70.5" hidden="1" customHeight="1">
      <c r="C10939" s="701"/>
      <c r="D10939" s="811"/>
      <c r="E10939" s="1276">
        <f>[11]building!Y11270</f>
        <v>0</v>
      </c>
      <c r="F10939" s="748">
        <f t="shared" si="409"/>
        <v>0</v>
      </c>
      <c r="G10939" s="1205"/>
      <c r="H10939" s="1055"/>
      <c r="I10939" s="1055"/>
      <c r="J10939" s="1055"/>
      <c r="K10939" s="1205"/>
      <c r="L10939" s="1055"/>
      <c r="M10939" s="1205"/>
      <c r="N10939" s="1054"/>
      <c r="O10939" s="1207"/>
      <c r="Q10939" s="1207"/>
    </row>
    <row r="10940" spans="3:17" s="700" customFormat="1" ht="70.5" hidden="1" customHeight="1">
      <c r="C10940" s="701"/>
      <c r="D10940" s="811"/>
      <c r="E10940" s="1276">
        <f>[11]building!Y11271</f>
        <v>0</v>
      </c>
      <c r="F10940" s="748">
        <f t="shared" si="409"/>
        <v>0</v>
      </c>
      <c r="G10940" s="1205"/>
      <c r="H10940" s="1055"/>
      <c r="I10940" s="1055"/>
      <c r="J10940" s="1055"/>
      <c r="K10940" s="1205"/>
      <c r="L10940" s="1055"/>
      <c r="M10940" s="1205"/>
      <c r="N10940" s="1054"/>
      <c r="O10940" s="1207"/>
      <c r="Q10940" s="1207"/>
    </row>
    <row r="10941" spans="3:17" s="700" customFormat="1" ht="70.5" hidden="1" customHeight="1">
      <c r="C10941" s="701"/>
      <c r="D10941" s="811"/>
      <c r="E10941" s="1276">
        <f>[11]building!Y11272</f>
        <v>0</v>
      </c>
      <c r="F10941" s="748">
        <f t="shared" si="409"/>
        <v>0</v>
      </c>
      <c r="G10941" s="1205"/>
      <c r="H10941" s="1055"/>
      <c r="I10941" s="1055"/>
      <c r="J10941" s="1055"/>
      <c r="K10941" s="1205"/>
      <c r="L10941" s="1055"/>
      <c r="M10941" s="1205"/>
      <c r="N10941" s="1054"/>
      <c r="O10941" s="1207"/>
      <c r="Q10941" s="1207"/>
    </row>
    <row r="10942" spans="3:17" s="700" customFormat="1" ht="70.5" hidden="1" customHeight="1">
      <c r="C10942" s="701"/>
      <c r="D10942" s="811"/>
      <c r="E10942" s="1276">
        <f>[11]building!Y11273</f>
        <v>0</v>
      </c>
      <c r="F10942" s="748">
        <f t="shared" si="409"/>
        <v>0</v>
      </c>
      <c r="G10942" s="1205"/>
      <c r="H10942" s="1055"/>
      <c r="I10942" s="1055"/>
      <c r="J10942" s="1055"/>
      <c r="K10942" s="1205"/>
      <c r="L10942" s="1055"/>
      <c r="M10942" s="1205"/>
      <c r="N10942" s="1054"/>
      <c r="O10942" s="1207"/>
      <c r="Q10942" s="1207"/>
    </row>
    <row r="10943" spans="3:17" s="700" customFormat="1" ht="70.5" hidden="1" customHeight="1">
      <c r="C10943" s="701"/>
      <c r="D10943" s="811"/>
      <c r="E10943" s="1276">
        <f>[11]building!Y11274</f>
        <v>0</v>
      </c>
      <c r="F10943" s="748">
        <f t="shared" si="409"/>
        <v>0</v>
      </c>
      <c r="G10943" s="1205"/>
      <c r="H10943" s="1055"/>
      <c r="I10943" s="1055"/>
      <c r="J10943" s="1055"/>
      <c r="K10943" s="1205"/>
      <c r="L10943" s="1055"/>
      <c r="M10943" s="1205"/>
      <c r="N10943" s="1054"/>
      <c r="O10943" s="1207"/>
      <c r="Q10943" s="1207"/>
    </row>
    <row r="10944" spans="3:17" s="700" customFormat="1" ht="70.5" hidden="1" customHeight="1">
      <c r="C10944" s="701"/>
      <c r="D10944" s="811"/>
      <c r="E10944" s="1276">
        <f>[11]building!Y11275</f>
        <v>0</v>
      </c>
      <c r="F10944" s="748">
        <f t="shared" ref="F10944:F11007" si="410">E10944*C10944</f>
        <v>0</v>
      </c>
      <c r="G10944" s="1205"/>
      <c r="H10944" s="1055"/>
      <c r="I10944" s="1055"/>
      <c r="J10944" s="1055"/>
      <c r="K10944" s="1205"/>
      <c r="L10944" s="1055"/>
      <c r="M10944" s="1205"/>
      <c r="N10944" s="1054"/>
      <c r="O10944" s="1207"/>
      <c r="Q10944" s="1207"/>
    </row>
    <row r="10945" spans="3:17" s="700" customFormat="1" ht="70.5" hidden="1" customHeight="1">
      <c r="C10945" s="701"/>
      <c r="D10945" s="811"/>
      <c r="E10945" s="1276">
        <f>[11]building!Y11276</f>
        <v>0</v>
      </c>
      <c r="F10945" s="748">
        <f t="shared" si="410"/>
        <v>0</v>
      </c>
      <c r="G10945" s="1205"/>
      <c r="H10945" s="1055"/>
      <c r="I10945" s="1055"/>
      <c r="J10945" s="1055"/>
      <c r="K10945" s="1205"/>
      <c r="L10945" s="1055"/>
      <c r="M10945" s="1205"/>
      <c r="N10945" s="1054"/>
      <c r="O10945" s="1207"/>
      <c r="Q10945" s="1207"/>
    </row>
    <row r="10946" spans="3:17" s="700" customFormat="1" ht="70.5" hidden="1" customHeight="1">
      <c r="C10946" s="701"/>
      <c r="D10946" s="811"/>
      <c r="E10946" s="1276">
        <f>[11]building!Y11277</f>
        <v>0</v>
      </c>
      <c r="F10946" s="748">
        <f t="shared" si="410"/>
        <v>0</v>
      </c>
      <c r="G10946" s="1205"/>
      <c r="H10946" s="1055"/>
      <c r="I10946" s="1055"/>
      <c r="J10946" s="1055"/>
      <c r="K10946" s="1205"/>
      <c r="L10946" s="1055"/>
      <c r="M10946" s="1205"/>
      <c r="N10946" s="1054"/>
      <c r="O10946" s="1207"/>
      <c r="Q10946" s="1207"/>
    </row>
    <row r="10947" spans="3:17" s="700" customFormat="1" ht="70.5" hidden="1" customHeight="1">
      <c r="C10947" s="701"/>
      <c r="D10947" s="811"/>
      <c r="E10947" s="1276">
        <f>[11]building!Y11278</f>
        <v>0</v>
      </c>
      <c r="F10947" s="748">
        <f t="shared" si="410"/>
        <v>0</v>
      </c>
      <c r="G10947" s="1205"/>
      <c r="H10947" s="1055"/>
      <c r="I10947" s="1055"/>
      <c r="J10947" s="1055"/>
      <c r="K10947" s="1205"/>
      <c r="L10947" s="1055"/>
      <c r="M10947" s="1205"/>
      <c r="N10947" s="1054"/>
      <c r="O10947" s="1207"/>
      <c r="Q10947" s="1207"/>
    </row>
    <row r="10948" spans="3:17" s="700" customFormat="1" ht="70.5" hidden="1" customHeight="1">
      <c r="C10948" s="701"/>
      <c r="D10948" s="811"/>
      <c r="E10948" s="1276">
        <f>[11]building!Y11279</f>
        <v>0</v>
      </c>
      <c r="F10948" s="748">
        <f t="shared" si="410"/>
        <v>0</v>
      </c>
      <c r="G10948" s="1205"/>
      <c r="H10948" s="1055"/>
      <c r="I10948" s="1055"/>
      <c r="J10948" s="1055"/>
      <c r="K10948" s="1205"/>
      <c r="L10948" s="1055"/>
      <c r="M10948" s="1205"/>
      <c r="N10948" s="1054"/>
      <c r="O10948" s="1207"/>
      <c r="Q10948" s="1207"/>
    </row>
    <row r="10949" spans="3:17" s="700" customFormat="1" ht="70.5" hidden="1" customHeight="1">
      <c r="C10949" s="701"/>
      <c r="D10949" s="811"/>
      <c r="E10949" s="1276">
        <f>[11]building!Y11280</f>
        <v>0</v>
      </c>
      <c r="F10949" s="748">
        <f t="shared" si="410"/>
        <v>0</v>
      </c>
      <c r="G10949" s="1205"/>
      <c r="H10949" s="1055"/>
      <c r="I10949" s="1055"/>
      <c r="J10949" s="1055"/>
      <c r="K10949" s="1205"/>
      <c r="L10949" s="1055"/>
      <c r="M10949" s="1205"/>
      <c r="N10949" s="1054"/>
      <c r="O10949" s="1207"/>
      <c r="Q10949" s="1207"/>
    </row>
    <row r="10950" spans="3:17" s="700" customFormat="1" ht="70.5" hidden="1" customHeight="1">
      <c r="C10950" s="701"/>
      <c r="D10950" s="811"/>
      <c r="E10950" s="1276">
        <f>[11]building!Y11281</f>
        <v>0</v>
      </c>
      <c r="F10950" s="748">
        <f t="shared" si="410"/>
        <v>0</v>
      </c>
      <c r="G10950" s="1205"/>
      <c r="H10950" s="1055"/>
      <c r="I10950" s="1055"/>
      <c r="J10950" s="1055"/>
      <c r="K10950" s="1205"/>
      <c r="L10950" s="1055"/>
      <c r="M10950" s="1205"/>
      <c r="N10950" s="1054"/>
      <c r="O10950" s="1207"/>
      <c r="Q10950" s="1207"/>
    </row>
    <row r="10951" spans="3:17" s="700" customFormat="1" ht="70.5" hidden="1" customHeight="1">
      <c r="C10951" s="701"/>
      <c r="D10951" s="811"/>
      <c r="E10951" s="1276">
        <f>[11]building!Y11282</f>
        <v>0</v>
      </c>
      <c r="F10951" s="748">
        <f t="shared" si="410"/>
        <v>0</v>
      </c>
      <c r="G10951" s="1205"/>
      <c r="H10951" s="1055"/>
      <c r="I10951" s="1055"/>
      <c r="J10951" s="1055"/>
      <c r="K10951" s="1205"/>
      <c r="L10951" s="1055"/>
      <c r="M10951" s="1205"/>
      <c r="N10951" s="1054"/>
      <c r="O10951" s="1207"/>
      <c r="Q10951" s="1207"/>
    </row>
    <row r="10952" spans="3:17" s="700" customFormat="1" ht="70.5" hidden="1" customHeight="1">
      <c r="C10952" s="701"/>
      <c r="D10952" s="811"/>
      <c r="E10952" s="1276">
        <f>[11]building!Y11283</f>
        <v>0</v>
      </c>
      <c r="F10952" s="748">
        <f t="shared" si="410"/>
        <v>0</v>
      </c>
      <c r="G10952" s="1205"/>
      <c r="H10952" s="1055"/>
      <c r="I10952" s="1055"/>
      <c r="J10952" s="1055"/>
      <c r="K10952" s="1205"/>
      <c r="L10952" s="1055"/>
      <c r="M10952" s="1205"/>
      <c r="N10952" s="1054"/>
      <c r="O10952" s="1207"/>
      <c r="Q10952" s="1207"/>
    </row>
    <row r="10953" spans="3:17" s="700" customFormat="1" ht="70.5" hidden="1" customHeight="1">
      <c r="C10953" s="701"/>
      <c r="D10953" s="811"/>
      <c r="E10953" s="1276">
        <f>[11]building!Y11284</f>
        <v>0</v>
      </c>
      <c r="F10953" s="748">
        <f t="shared" si="410"/>
        <v>0</v>
      </c>
      <c r="G10953" s="1205"/>
      <c r="H10953" s="1055"/>
      <c r="I10953" s="1055"/>
      <c r="J10953" s="1055"/>
      <c r="K10953" s="1205"/>
      <c r="L10953" s="1055"/>
      <c r="M10953" s="1205"/>
      <c r="N10953" s="1054"/>
      <c r="O10953" s="1207"/>
      <c r="Q10953" s="1207"/>
    </row>
    <row r="10954" spans="3:17" s="700" customFormat="1" ht="70.5" hidden="1" customHeight="1">
      <c r="C10954" s="701"/>
      <c r="D10954" s="811"/>
      <c r="E10954" s="1276">
        <f>[11]building!Y11285</f>
        <v>0</v>
      </c>
      <c r="F10954" s="748">
        <f t="shared" si="410"/>
        <v>0</v>
      </c>
      <c r="G10954" s="1205"/>
      <c r="H10954" s="1055"/>
      <c r="I10954" s="1055"/>
      <c r="J10954" s="1055"/>
      <c r="K10954" s="1205"/>
      <c r="L10954" s="1055"/>
      <c r="M10954" s="1205"/>
      <c r="N10954" s="1054"/>
      <c r="O10954" s="1207"/>
      <c r="Q10954" s="1207"/>
    </row>
    <row r="10955" spans="3:17" s="700" customFormat="1" ht="70.5" hidden="1" customHeight="1">
      <c r="C10955" s="701"/>
      <c r="D10955" s="811"/>
      <c r="E10955" s="1276">
        <f>[11]building!Y11286</f>
        <v>0</v>
      </c>
      <c r="F10955" s="748">
        <f t="shared" si="410"/>
        <v>0</v>
      </c>
      <c r="G10955" s="1205"/>
      <c r="H10955" s="1055"/>
      <c r="I10955" s="1055"/>
      <c r="J10955" s="1055"/>
      <c r="K10955" s="1205"/>
      <c r="L10955" s="1055"/>
      <c r="M10955" s="1205"/>
      <c r="N10955" s="1054"/>
      <c r="O10955" s="1207"/>
      <c r="Q10955" s="1207"/>
    </row>
    <row r="10956" spans="3:17" s="700" customFormat="1" ht="70.5" hidden="1" customHeight="1">
      <c r="C10956" s="701"/>
      <c r="D10956" s="811"/>
      <c r="E10956" s="1276">
        <f>[11]building!Y11287</f>
        <v>0</v>
      </c>
      <c r="F10956" s="748">
        <f t="shared" si="410"/>
        <v>0</v>
      </c>
      <c r="G10956" s="1205"/>
      <c r="H10956" s="1055"/>
      <c r="I10956" s="1055"/>
      <c r="J10956" s="1055"/>
      <c r="K10956" s="1205"/>
      <c r="L10956" s="1055"/>
      <c r="M10956" s="1205"/>
      <c r="N10956" s="1054"/>
      <c r="O10956" s="1207"/>
      <c r="Q10956" s="1207"/>
    </row>
    <row r="10957" spans="3:17" s="700" customFormat="1" ht="70.5" hidden="1" customHeight="1">
      <c r="C10957" s="701"/>
      <c r="D10957" s="811"/>
      <c r="E10957" s="1276">
        <f>[11]building!Y11288</f>
        <v>0</v>
      </c>
      <c r="F10957" s="748">
        <f t="shared" si="410"/>
        <v>0</v>
      </c>
      <c r="G10957" s="1205"/>
      <c r="H10957" s="1055"/>
      <c r="I10957" s="1055"/>
      <c r="J10957" s="1055"/>
      <c r="K10957" s="1205"/>
      <c r="L10957" s="1055"/>
      <c r="M10957" s="1205"/>
      <c r="N10957" s="1054"/>
      <c r="O10957" s="1207"/>
      <c r="Q10957" s="1207"/>
    </row>
    <row r="10958" spans="3:17" s="700" customFormat="1" ht="70.5" hidden="1" customHeight="1">
      <c r="C10958" s="701"/>
      <c r="D10958" s="811"/>
      <c r="E10958" s="1276">
        <f>[11]building!Y11289</f>
        <v>0</v>
      </c>
      <c r="F10958" s="748">
        <f t="shared" si="410"/>
        <v>0</v>
      </c>
      <c r="G10958" s="1205"/>
      <c r="H10958" s="1055"/>
      <c r="I10958" s="1055"/>
      <c r="J10958" s="1055"/>
      <c r="K10958" s="1205"/>
      <c r="L10958" s="1055"/>
      <c r="M10958" s="1205"/>
      <c r="N10958" s="1054"/>
      <c r="O10958" s="1207"/>
      <c r="Q10958" s="1207"/>
    </row>
    <row r="10959" spans="3:17" s="700" customFormat="1" ht="70.5" hidden="1" customHeight="1">
      <c r="C10959" s="701"/>
      <c r="D10959" s="811"/>
      <c r="E10959" s="1276">
        <f>[11]building!Y11290</f>
        <v>0</v>
      </c>
      <c r="F10959" s="748">
        <f t="shared" si="410"/>
        <v>0</v>
      </c>
      <c r="G10959" s="1205"/>
      <c r="H10959" s="1055"/>
      <c r="I10959" s="1055"/>
      <c r="J10959" s="1055"/>
      <c r="K10959" s="1205"/>
      <c r="L10959" s="1055"/>
      <c r="M10959" s="1205"/>
      <c r="N10959" s="1054"/>
      <c r="O10959" s="1207"/>
      <c r="Q10959" s="1207"/>
    </row>
    <row r="10960" spans="3:17" s="700" customFormat="1" ht="70.5" hidden="1" customHeight="1">
      <c r="C10960" s="701"/>
      <c r="D10960" s="811"/>
      <c r="E10960" s="1276">
        <f>[11]building!Y11291</f>
        <v>0</v>
      </c>
      <c r="F10960" s="748">
        <f t="shared" si="410"/>
        <v>0</v>
      </c>
      <c r="G10960" s="1205"/>
      <c r="H10960" s="1055"/>
      <c r="I10960" s="1055"/>
      <c r="J10960" s="1055"/>
      <c r="K10960" s="1205"/>
      <c r="L10960" s="1055"/>
      <c r="M10960" s="1205"/>
      <c r="N10960" s="1054"/>
      <c r="O10960" s="1207"/>
      <c r="Q10960" s="1207"/>
    </row>
    <row r="10961" spans="3:17" s="700" customFormat="1" ht="70.5" hidden="1" customHeight="1">
      <c r="C10961" s="701"/>
      <c r="D10961" s="811"/>
      <c r="E10961" s="1276">
        <f>[11]building!Y11292</f>
        <v>0</v>
      </c>
      <c r="F10961" s="748">
        <f t="shared" si="410"/>
        <v>0</v>
      </c>
      <c r="G10961" s="1205"/>
      <c r="H10961" s="1055"/>
      <c r="I10961" s="1055"/>
      <c r="J10961" s="1055"/>
      <c r="K10961" s="1205"/>
      <c r="L10961" s="1055"/>
      <c r="M10961" s="1205"/>
      <c r="N10961" s="1054"/>
      <c r="O10961" s="1207"/>
      <c r="Q10961" s="1207"/>
    </row>
    <row r="10962" spans="3:17" s="700" customFormat="1" ht="70.5" hidden="1" customHeight="1">
      <c r="C10962" s="701"/>
      <c r="D10962" s="811"/>
      <c r="E10962" s="1276">
        <f>[11]building!Y11293</f>
        <v>0</v>
      </c>
      <c r="F10962" s="748">
        <f t="shared" si="410"/>
        <v>0</v>
      </c>
      <c r="G10962" s="1205"/>
      <c r="H10962" s="1055"/>
      <c r="I10962" s="1055"/>
      <c r="J10962" s="1055"/>
      <c r="K10962" s="1205"/>
      <c r="L10962" s="1055"/>
      <c r="M10962" s="1205"/>
      <c r="N10962" s="1054"/>
      <c r="O10962" s="1207"/>
      <c r="Q10962" s="1207"/>
    </row>
    <row r="10963" spans="3:17" s="700" customFormat="1" ht="70.5" hidden="1" customHeight="1">
      <c r="C10963" s="701"/>
      <c r="D10963" s="811"/>
      <c r="E10963" s="1276">
        <f>[11]building!Y11294</f>
        <v>0</v>
      </c>
      <c r="F10963" s="748">
        <f t="shared" si="410"/>
        <v>0</v>
      </c>
      <c r="G10963" s="1205"/>
      <c r="H10963" s="1055"/>
      <c r="I10963" s="1055"/>
      <c r="J10963" s="1055"/>
      <c r="K10963" s="1205"/>
      <c r="L10963" s="1055"/>
      <c r="M10963" s="1205"/>
      <c r="N10963" s="1054"/>
      <c r="O10963" s="1207"/>
      <c r="Q10963" s="1207"/>
    </row>
    <row r="10964" spans="3:17" s="700" customFormat="1" ht="70.5" hidden="1" customHeight="1">
      <c r="C10964" s="701"/>
      <c r="D10964" s="811"/>
      <c r="E10964" s="1276">
        <f>[11]building!Y11295</f>
        <v>0</v>
      </c>
      <c r="F10964" s="748">
        <f t="shared" si="410"/>
        <v>0</v>
      </c>
      <c r="G10964" s="1205"/>
      <c r="H10964" s="1055"/>
      <c r="I10964" s="1055"/>
      <c r="J10964" s="1055"/>
      <c r="K10964" s="1205"/>
      <c r="L10964" s="1055"/>
      <c r="M10964" s="1205"/>
      <c r="N10964" s="1054"/>
      <c r="O10964" s="1207"/>
      <c r="Q10964" s="1207"/>
    </row>
    <row r="10965" spans="3:17" s="700" customFormat="1" ht="70.5" hidden="1" customHeight="1">
      <c r="C10965" s="701"/>
      <c r="D10965" s="811"/>
      <c r="E10965" s="1276">
        <f>[11]building!Y11296</f>
        <v>0</v>
      </c>
      <c r="F10965" s="748">
        <f t="shared" si="410"/>
        <v>0</v>
      </c>
      <c r="G10965" s="1205"/>
      <c r="H10965" s="1055"/>
      <c r="I10965" s="1055"/>
      <c r="J10965" s="1055"/>
      <c r="K10965" s="1205"/>
      <c r="L10965" s="1055"/>
      <c r="M10965" s="1205"/>
      <c r="N10965" s="1054"/>
      <c r="O10965" s="1207"/>
      <c r="Q10965" s="1207"/>
    </row>
    <row r="10966" spans="3:17" s="700" customFormat="1" ht="70.5" hidden="1" customHeight="1">
      <c r="C10966" s="701"/>
      <c r="D10966" s="811"/>
      <c r="E10966" s="1276">
        <f>[11]building!Y11297</f>
        <v>0</v>
      </c>
      <c r="F10966" s="748">
        <f t="shared" si="410"/>
        <v>0</v>
      </c>
      <c r="G10966" s="1205"/>
      <c r="H10966" s="1055"/>
      <c r="I10966" s="1055"/>
      <c r="J10966" s="1055"/>
      <c r="K10966" s="1205"/>
      <c r="L10966" s="1055"/>
      <c r="M10966" s="1205"/>
      <c r="N10966" s="1054"/>
      <c r="O10966" s="1207"/>
      <c r="Q10966" s="1207"/>
    </row>
    <row r="10967" spans="3:17" s="700" customFormat="1" ht="70.5" hidden="1" customHeight="1">
      <c r="C10967" s="701"/>
      <c r="D10967" s="811"/>
      <c r="E10967" s="1276">
        <f>[11]building!Y11298</f>
        <v>0</v>
      </c>
      <c r="F10967" s="748">
        <f t="shared" si="410"/>
        <v>0</v>
      </c>
      <c r="G10967" s="1205"/>
      <c r="H10967" s="1055"/>
      <c r="I10967" s="1055"/>
      <c r="J10967" s="1055"/>
      <c r="K10967" s="1205"/>
      <c r="L10967" s="1055"/>
      <c r="M10967" s="1205"/>
      <c r="N10967" s="1054"/>
      <c r="O10967" s="1207"/>
      <c r="Q10967" s="1207"/>
    </row>
    <row r="10968" spans="3:17" s="700" customFormat="1" ht="70.5" hidden="1" customHeight="1">
      <c r="C10968" s="701"/>
      <c r="D10968" s="811"/>
      <c r="E10968" s="1276">
        <f>[11]building!Y11299</f>
        <v>0</v>
      </c>
      <c r="F10968" s="748">
        <f t="shared" si="410"/>
        <v>0</v>
      </c>
      <c r="G10968" s="1205"/>
      <c r="H10968" s="1055"/>
      <c r="I10968" s="1055"/>
      <c r="J10968" s="1055"/>
      <c r="K10968" s="1205"/>
      <c r="L10968" s="1055"/>
      <c r="M10968" s="1205"/>
      <c r="N10968" s="1054"/>
      <c r="O10968" s="1207"/>
      <c r="Q10968" s="1207"/>
    </row>
    <row r="10969" spans="3:17" s="700" customFormat="1" ht="70.5" hidden="1" customHeight="1">
      <c r="C10969" s="701"/>
      <c r="D10969" s="811"/>
      <c r="E10969" s="1276">
        <f>[11]building!Y11300</f>
        <v>0</v>
      </c>
      <c r="F10969" s="748">
        <f t="shared" si="410"/>
        <v>0</v>
      </c>
      <c r="G10969" s="1205"/>
      <c r="H10969" s="1055"/>
      <c r="I10969" s="1055"/>
      <c r="J10969" s="1055"/>
      <c r="K10969" s="1205"/>
      <c r="L10969" s="1055"/>
      <c r="M10969" s="1205"/>
      <c r="N10969" s="1054"/>
      <c r="O10969" s="1207"/>
      <c r="Q10969" s="1207"/>
    </row>
    <row r="10970" spans="3:17" s="700" customFormat="1" ht="70.5" hidden="1" customHeight="1">
      <c r="C10970" s="701"/>
      <c r="D10970" s="811"/>
      <c r="E10970" s="1276">
        <f>[11]building!Y11301</f>
        <v>0</v>
      </c>
      <c r="F10970" s="748">
        <f t="shared" si="410"/>
        <v>0</v>
      </c>
      <c r="G10970" s="1205"/>
      <c r="H10970" s="1055"/>
      <c r="I10970" s="1055"/>
      <c r="J10970" s="1055"/>
      <c r="K10970" s="1205"/>
      <c r="L10970" s="1055"/>
      <c r="M10970" s="1205"/>
      <c r="N10970" s="1054"/>
      <c r="O10970" s="1207"/>
      <c r="Q10970" s="1207"/>
    </row>
    <row r="10971" spans="3:17" s="700" customFormat="1" ht="70.5" hidden="1" customHeight="1">
      <c r="C10971" s="701"/>
      <c r="D10971" s="811"/>
      <c r="E10971" s="1276">
        <f>[11]building!Y11302</f>
        <v>0</v>
      </c>
      <c r="F10971" s="748">
        <f t="shared" si="410"/>
        <v>0</v>
      </c>
      <c r="G10971" s="1205"/>
      <c r="H10971" s="1055"/>
      <c r="I10971" s="1055"/>
      <c r="J10971" s="1055"/>
      <c r="K10971" s="1205"/>
      <c r="L10971" s="1055"/>
      <c r="M10971" s="1205"/>
      <c r="N10971" s="1054"/>
      <c r="O10971" s="1207"/>
      <c r="Q10971" s="1207"/>
    </row>
    <row r="10972" spans="3:17" s="700" customFormat="1" ht="70.5" hidden="1" customHeight="1">
      <c r="C10972" s="701"/>
      <c r="D10972" s="811"/>
      <c r="E10972" s="1276">
        <f>[11]building!Y11303</f>
        <v>0</v>
      </c>
      <c r="F10972" s="748">
        <f t="shared" si="410"/>
        <v>0</v>
      </c>
      <c r="G10972" s="1205"/>
      <c r="H10972" s="1055"/>
      <c r="I10972" s="1055"/>
      <c r="J10972" s="1055"/>
      <c r="K10972" s="1205"/>
      <c r="L10972" s="1055"/>
      <c r="M10972" s="1205"/>
      <c r="N10972" s="1054"/>
      <c r="O10972" s="1207"/>
      <c r="Q10972" s="1207"/>
    </row>
    <row r="10973" spans="3:17" s="700" customFormat="1" ht="70.5" hidden="1" customHeight="1">
      <c r="C10973" s="701"/>
      <c r="D10973" s="811"/>
      <c r="E10973" s="1276">
        <f>[11]building!Y11304</f>
        <v>0</v>
      </c>
      <c r="F10973" s="748">
        <f t="shared" si="410"/>
        <v>0</v>
      </c>
      <c r="G10973" s="1205"/>
      <c r="H10973" s="1055"/>
      <c r="I10973" s="1055"/>
      <c r="J10973" s="1055"/>
      <c r="K10973" s="1205"/>
      <c r="L10973" s="1055"/>
      <c r="M10973" s="1205"/>
      <c r="N10973" s="1054"/>
      <c r="O10973" s="1207"/>
      <c r="Q10973" s="1207"/>
    </row>
    <row r="10974" spans="3:17" s="700" customFormat="1" ht="70.5" hidden="1" customHeight="1">
      <c r="C10974" s="701"/>
      <c r="D10974" s="811"/>
      <c r="E10974" s="1276">
        <f>[11]building!Y11305</f>
        <v>0</v>
      </c>
      <c r="F10974" s="748">
        <f t="shared" si="410"/>
        <v>0</v>
      </c>
      <c r="G10974" s="1205"/>
      <c r="H10974" s="1055"/>
      <c r="I10974" s="1055"/>
      <c r="J10974" s="1055"/>
      <c r="K10974" s="1205"/>
      <c r="L10974" s="1055"/>
      <c r="M10974" s="1205"/>
      <c r="N10974" s="1054"/>
      <c r="O10974" s="1207"/>
      <c r="Q10974" s="1207"/>
    </row>
    <row r="10975" spans="3:17" s="700" customFormat="1" ht="70.5" hidden="1" customHeight="1">
      <c r="C10975" s="701"/>
      <c r="D10975" s="811"/>
      <c r="E10975" s="1276">
        <f>[11]building!Y11306</f>
        <v>0</v>
      </c>
      <c r="F10975" s="748">
        <f t="shared" si="410"/>
        <v>0</v>
      </c>
      <c r="G10975" s="1205"/>
      <c r="H10975" s="1055"/>
      <c r="I10975" s="1055"/>
      <c r="J10975" s="1055"/>
      <c r="K10975" s="1205"/>
      <c r="L10975" s="1055"/>
      <c r="M10975" s="1205"/>
      <c r="N10975" s="1054"/>
      <c r="O10975" s="1207"/>
      <c r="Q10975" s="1207"/>
    </row>
    <row r="10976" spans="3:17" s="700" customFormat="1" ht="70.5" hidden="1" customHeight="1">
      <c r="C10976" s="701"/>
      <c r="D10976" s="811"/>
      <c r="E10976" s="1276">
        <f>[11]building!Y11307</f>
        <v>0</v>
      </c>
      <c r="F10976" s="748">
        <f t="shared" si="410"/>
        <v>0</v>
      </c>
      <c r="G10976" s="1205"/>
      <c r="H10976" s="1055"/>
      <c r="I10976" s="1055"/>
      <c r="J10976" s="1055"/>
      <c r="K10976" s="1205"/>
      <c r="L10976" s="1055"/>
      <c r="M10976" s="1205"/>
      <c r="N10976" s="1054"/>
      <c r="O10976" s="1207"/>
      <c r="Q10976" s="1207"/>
    </row>
    <row r="10977" spans="3:17" s="700" customFormat="1" ht="70.5" hidden="1" customHeight="1">
      <c r="C10977" s="701"/>
      <c r="D10977" s="811"/>
      <c r="E10977" s="1276">
        <f>[11]building!Y11308</f>
        <v>0</v>
      </c>
      <c r="F10977" s="748">
        <f t="shared" si="410"/>
        <v>0</v>
      </c>
      <c r="G10977" s="1205"/>
      <c r="H10977" s="1055"/>
      <c r="I10977" s="1055"/>
      <c r="J10977" s="1055"/>
      <c r="K10977" s="1205"/>
      <c r="L10977" s="1055"/>
      <c r="M10977" s="1205"/>
      <c r="N10977" s="1054"/>
      <c r="O10977" s="1207"/>
      <c r="Q10977" s="1207"/>
    </row>
    <row r="10978" spans="3:17" s="700" customFormat="1" ht="70.5" hidden="1" customHeight="1">
      <c r="C10978" s="701"/>
      <c r="D10978" s="811"/>
      <c r="E10978" s="1276">
        <f>[11]building!Y11309</f>
        <v>0</v>
      </c>
      <c r="F10978" s="748">
        <f t="shared" si="410"/>
        <v>0</v>
      </c>
      <c r="G10978" s="1205"/>
      <c r="H10978" s="1055"/>
      <c r="I10978" s="1055"/>
      <c r="J10978" s="1055"/>
      <c r="K10978" s="1205"/>
      <c r="L10978" s="1055"/>
      <c r="M10978" s="1205"/>
      <c r="N10978" s="1054"/>
      <c r="O10978" s="1207"/>
      <c r="Q10978" s="1207"/>
    </row>
    <row r="10979" spans="3:17" s="700" customFormat="1" ht="70.5" hidden="1" customHeight="1">
      <c r="C10979" s="701"/>
      <c r="D10979" s="811"/>
      <c r="E10979" s="1276">
        <f>[11]building!Y11310</f>
        <v>0</v>
      </c>
      <c r="F10979" s="748">
        <f t="shared" si="410"/>
        <v>0</v>
      </c>
      <c r="G10979" s="1205"/>
      <c r="H10979" s="1055"/>
      <c r="I10979" s="1055"/>
      <c r="J10979" s="1055"/>
      <c r="K10979" s="1205"/>
      <c r="L10979" s="1055"/>
      <c r="M10979" s="1205"/>
      <c r="N10979" s="1054"/>
      <c r="O10979" s="1207"/>
      <c r="Q10979" s="1207"/>
    </row>
    <row r="10980" spans="3:17" s="700" customFormat="1" ht="70.5" hidden="1" customHeight="1">
      <c r="C10980" s="701"/>
      <c r="D10980" s="811"/>
      <c r="E10980" s="1276">
        <f>[11]building!Y11311</f>
        <v>0</v>
      </c>
      <c r="F10980" s="748">
        <f t="shared" si="410"/>
        <v>0</v>
      </c>
      <c r="G10980" s="1205"/>
      <c r="H10980" s="1055"/>
      <c r="I10980" s="1055"/>
      <c r="J10980" s="1055"/>
      <c r="K10980" s="1205"/>
      <c r="L10980" s="1055"/>
      <c r="M10980" s="1205"/>
      <c r="N10980" s="1054"/>
      <c r="O10980" s="1207"/>
      <c r="Q10980" s="1207"/>
    </row>
    <row r="10981" spans="3:17" s="700" customFormat="1" ht="70.5" hidden="1" customHeight="1">
      <c r="C10981" s="701"/>
      <c r="D10981" s="811"/>
      <c r="E10981" s="1276">
        <f>[11]building!Y11312</f>
        <v>0</v>
      </c>
      <c r="F10981" s="748">
        <f t="shared" si="410"/>
        <v>0</v>
      </c>
      <c r="G10981" s="1205"/>
      <c r="H10981" s="1055"/>
      <c r="I10981" s="1055"/>
      <c r="J10981" s="1055"/>
      <c r="K10981" s="1205"/>
      <c r="L10981" s="1055"/>
      <c r="M10981" s="1205"/>
      <c r="N10981" s="1054"/>
      <c r="O10981" s="1207"/>
      <c r="Q10981" s="1207"/>
    </row>
    <row r="10982" spans="3:17" s="700" customFormat="1" ht="70.5" hidden="1" customHeight="1">
      <c r="C10982" s="701"/>
      <c r="D10982" s="811"/>
      <c r="E10982" s="1276">
        <f>[11]building!Y11313</f>
        <v>0</v>
      </c>
      <c r="F10982" s="748">
        <f t="shared" si="410"/>
        <v>0</v>
      </c>
      <c r="G10982" s="1205"/>
      <c r="H10982" s="1055"/>
      <c r="I10982" s="1055"/>
      <c r="J10982" s="1055"/>
      <c r="K10982" s="1205"/>
      <c r="L10982" s="1055"/>
      <c r="M10982" s="1205"/>
      <c r="N10982" s="1054"/>
      <c r="O10982" s="1207"/>
      <c r="Q10982" s="1207"/>
    </row>
    <row r="10983" spans="3:17" s="700" customFormat="1" ht="70.5" hidden="1" customHeight="1">
      <c r="C10983" s="701"/>
      <c r="D10983" s="811"/>
      <c r="E10983" s="1276">
        <f>[11]building!Y11314</f>
        <v>0</v>
      </c>
      <c r="F10983" s="748">
        <f t="shared" si="410"/>
        <v>0</v>
      </c>
      <c r="G10983" s="1205"/>
      <c r="H10983" s="1055"/>
      <c r="I10983" s="1055"/>
      <c r="J10983" s="1055"/>
      <c r="K10983" s="1205"/>
      <c r="L10983" s="1055"/>
      <c r="M10983" s="1205"/>
      <c r="N10983" s="1054"/>
      <c r="O10983" s="1207"/>
      <c r="Q10983" s="1207"/>
    </row>
    <row r="10984" spans="3:17" s="700" customFormat="1" ht="70.5" hidden="1" customHeight="1">
      <c r="C10984" s="701"/>
      <c r="D10984" s="811"/>
      <c r="E10984" s="1276">
        <f>[11]building!Y11315</f>
        <v>0</v>
      </c>
      <c r="F10984" s="748">
        <f t="shared" si="410"/>
        <v>0</v>
      </c>
      <c r="G10984" s="1205"/>
      <c r="H10984" s="1055"/>
      <c r="I10984" s="1055"/>
      <c r="J10984" s="1055"/>
      <c r="K10984" s="1205"/>
      <c r="L10984" s="1055"/>
      <c r="M10984" s="1205"/>
      <c r="N10984" s="1054"/>
      <c r="O10984" s="1207"/>
      <c r="Q10984" s="1207"/>
    </row>
    <row r="10985" spans="3:17" s="700" customFormat="1" ht="70.5" hidden="1" customHeight="1">
      <c r="C10985" s="701"/>
      <c r="D10985" s="811"/>
      <c r="E10985" s="1276">
        <f>[11]building!Y11316</f>
        <v>0</v>
      </c>
      <c r="F10985" s="748">
        <f t="shared" si="410"/>
        <v>0</v>
      </c>
      <c r="G10985" s="1205"/>
      <c r="H10985" s="1055"/>
      <c r="I10985" s="1055"/>
      <c r="J10985" s="1055"/>
      <c r="K10985" s="1205"/>
      <c r="L10985" s="1055"/>
      <c r="M10985" s="1205"/>
      <c r="N10985" s="1054"/>
      <c r="O10985" s="1207"/>
      <c r="Q10985" s="1207"/>
    </row>
    <row r="10986" spans="3:17" s="700" customFormat="1" ht="70.5" hidden="1" customHeight="1">
      <c r="C10986" s="701"/>
      <c r="D10986" s="811"/>
      <c r="E10986" s="1276">
        <f>[11]building!Y11317</f>
        <v>0</v>
      </c>
      <c r="F10986" s="748">
        <f t="shared" si="410"/>
        <v>0</v>
      </c>
      <c r="G10986" s="1205"/>
      <c r="H10986" s="1055"/>
      <c r="I10986" s="1055"/>
      <c r="J10986" s="1055"/>
      <c r="K10986" s="1205"/>
      <c r="L10986" s="1055"/>
      <c r="M10986" s="1205"/>
      <c r="N10986" s="1054"/>
      <c r="O10986" s="1207"/>
      <c r="Q10986" s="1207"/>
    </row>
    <row r="10987" spans="3:17" s="700" customFormat="1" ht="70.5" hidden="1" customHeight="1">
      <c r="C10987" s="701"/>
      <c r="D10987" s="811"/>
      <c r="E10987" s="1276">
        <f>[11]building!Y11318</f>
        <v>0</v>
      </c>
      <c r="F10987" s="748">
        <f t="shared" si="410"/>
        <v>0</v>
      </c>
      <c r="G10987" s="1205"/>
      <c r="H10987" s="1055"/>
      <c r="I10987" s="1055"/>
      <c r="J10987" s="1055"/>
      <c r="K10987" s="1205"/>
      <c r="L10987" s="1055"/>
      <c r="M10987" s="1205"/>
      <c r="N10987" s="1054"/>
      <c r="O10987" s="1207"/>
      <c r="Q10987" s="1207"/>
    </row>
    <row r="10988" spans="3:17" s="700" customFormat="1" ht="70.5" hidden="1" customHeight="1">
      <c r="C10988" s="701"/>
      <c r="D10988" s="811"/>
      <c r="E10988" s="1276">
        <f>[11]building!Y11319</f>
        <v>0</v>
      </c>
      <c r="F10988" s="748">
        <f t="shared" si="410"/>
        <v>0</v>
      </c>
      <c r="G10988" s="1205"/>
      <c r="H10988" s="1055"/>
      <c r="I10988" s="1055"/>
      <c r="J10988" s="1055"/>
      <c r="K10988" s="1205"/>
      <c r="L10988" s="1055"/>
      <c r="M10988" s="1205"/>
      <c r="N10988" s="1054"/>
      <c r="O10988" s="1207"/>
      <c r="Q10988" s="1207"/>
    </row>
    <row r="10989" spans="3:17" s="700" customFormat="1" ht="70.5" hidden="1" customHeight="1">
      <c r="C10989" s="701"/>
      <c r="D10989" s="811"/>
      <c r="E10989" s="1276">
        <f>[11]building!Y11320</f>
        <v>0</v>
      </c>
      <c r="F10989" s="748">
        <f t="shared" si="410"/>
        <v>0</v>
      </c>
      <c r="G10989" s="1205"/>
      <c r="H10989" s="1055"/>
      <c r="I10989" s="1055"/>
      <c r="J10989" s="1055"/>
      <c r="K10989" s="1205"/>
      <c r="L10989" s="1055"/>
      <c r="M10989" s="1205"/>
      <c r="N10989" s="1054"/>
      <c r="O10989" s="1207"/>
      <c r="Q10989" s="1207"/>
    </row>
    <row r="10990" spans="3:17" s="700" customFormat="1" ht="70.5" hidden="1" customHeight="1">
      <c r="C10990" s="701"/>
      <c r="D10990" s="811"/>
      <c r="E10990" s="1276">
        <f>[11]building!Y11321</f>
        <v>0</v>
      </c>
      <c r="F10990" s="748">
        <f t="shared" si="410"/>
        <v>0</v>
      </c>
      <c r="G10990" s="1205"/>
      <c r="H10990" s="1055"/>
      <c r="I10990" s="1055"/>
      <c r="J10990" s="1055"/>
      <c r="K10990" s="1205"/>
      <c r="L10990" s="1055"/>
      <c r="M10990" s="1205"/>
      <c r="N10990" s="1054"/>
      <c r="O10990" s="1207"/>
      <c r="Q10990" s="1207"/>
    </row>
    <row r="10991" spans="3:17" s="700" customFormat="1" ht="70.5" hidden="1" customHeight="1">
      <c r="C10991" s="701"/>
      <c r="D10991" s="811"/>
      <c r="E10991" s="1276">
        <f>[11]building!Y11322</f>
        <v>0</v>
      </c>
      <c r="F10991" s="748">
        <f t="shared" si="410"/>
        <v>0</v>
      </c>
      <c r="G10991" s="1205"/>
      <c r="H10991" s="1055"/>
      <c r="I10991" s="1055"/>
      <c r="J10991" s="1055"/>
      <c r="K10991" s="1205"/>
      <c r="L10991" s="1055"/>
      <c r="M10991" s="1205"/>
      <c r="N10991" s="1054"/>
      <c r="O10991" s="1207"/>
      <c r="Q10991" s="1207"/>
    </row>
    <row r="10992" spans="3:17" s="700" customFormat="1" ht="70.5" hidden="1" customHeight="1">
      <c r="C10992" s="701"/>
      <c r="D10992" s="811"/>
      <c r="E10992" s="1276">
        <f>[11]building!Y11323</f>
        <v>0</v>
      </c>
      <c r="F10992" s="748">
        <f t="shared" si="410"/>
        <v>0</v>
      </c>
      <c r="G10992" s="1205"/>
      <c r="H10992" s="1055"/>
      <c r="I10992" s="1055"/>
      <c r="J10992" s="1055"/>
      <c r="K10992" s="1205"/>
      <c r="L10992" s="1055"/>
      <c r="M10992" s="1205"/>
      <c r="N10992" s="1054"/>
      <c r="O10992" s="1207"/>
      <c r="Q10992" s="1207"/>
    </row>
    <row r="10993" spans="3:17" s="700" customFormat="1" ht="70.5" hidden="1" customHeight="1">
      <c r="C10993" s="701"/>
      <c r="D10993" s="811"/>
      <c r="E10993" s="1276">
        <f>[11]building!Y11324</f>
        <v>0</v>
      </c>
      <c r="F10993" s="748">
        <f t="shared" si="410"/>
        <v>0</v>
      </c>
      <c r="G10993" s="1205"/>
      <c r="H10993" s="1055"/>
      <c r="I10993" s="1055"/>
      <c r="J10993" s="1055"/>
      <c r="K10993" s="1205"/>
      <c r="L10993" s="1055"/>
      <c r="M10993" s="1205"/>
      <c r="N10993" s="1054"/>
      <c r="O10993" s="1207"/>
      <c r="Q10993" s="1207"/>
    </row>
    <row r="10994" spans="3:17" s="700" customFormat="1" ht="70.5" hidden="1" customHeight="1">
      <c r="C10994" s="701"/>
      <c r="D10994" s="811"/>
      <c r="E10994" s="1276">
        <f>[11]building!Y11325</f>
        <v>0</v>
      </c>
      <c r="F10994" s="748">
        <f t="shared" si="410"/>
        <v>0</v>
      </c>
      <c r="G10994" s="1205"/>
      <c r="H10994" s="1055"/>
      <c r="I10994" s="1055"/>
      <c r="J10994" s="1055"/>
      <c r="K10994" s="1205"/>
      <c r="L10994" s="1055"/>
      <c r="M10994" s="1205"/>
      <c r="N10994" s="1054"/>
      <c r="O10994" s="1207"/>
      <c r="Q10994" s="1207"/>
    </row>
    <row r="10995" spans="3:17" s="700" customFormat="1" ht="70.5" hidden="1" customHeight="1">
      <c r="C10995" s="701"/>
      <c r="D10995" s="811"/>
      <c r="E10995" s="1276">
        <f>[11]building!Y11326</f>
        <v>0</v>
      </c>
      <c r="F10995" s="748">
        <f t="shared" si="410"/>
        <v>0</v>
      </c>
      <c r="G10995" s="1205"/>
      <c r="H10995" s="1055"/>
      <c r="I10995" s="1055"/>
      <c r="J10995" s="1055"/>
      <c r="K10995" s="1205"/>
      <c r="L10995" s="1055"/>
      <c r="M10995" s="1205"/>
      <c r="N10995" s="1054"/>
      <c r="O10995" s="1207"/>
      <c r="Q10995" s="1207"/>
    </row>
    <row r="10996" spans="3:17" s="700" customFormat="1" ht="70.5" hidden="1" customHeight="1">
      <c r="C10996" s="701"/>
      <c r="D10996" s="811"/>
      <c r="E10996" s="1276">
        <f>[11]building!Y11327</f>
        <v>0</v>
      </c>
      <c r="F10996" s="748">
        <f t="shared" si="410"/>
        <v>0</v>
      </c>
      <c r="G10996" s="1205"/>
      <c r="H10996" s="1055"/>
      <c r="I10996" s="1055"/>
      <c r="J10996" s="1055"/>
      <c r="K10996" s="1205"/>
      <c r="L10996" s="1055"/>
      <c r="M10996" s="1205"/>
      <c r="N10996" s="1054"/>
      <c r="O10996" s="1207"/>
      <c r="Q10996" s="1207"/>
    </row>
    <row r="10997" spans="3:17" s="700" customFormat="1" ht="70.5" hidden="1" customHeight="1">
      <c r="C10997" s="701"/>
      <c r="D10997" s="811"/>
      <c r="E10997" s="1276">
        <f>[11]building!Y11328</f>
        <v>0</v>
      </c>
      <c r="F10997" s="748">
        <f t="shared" si="410"/>
        <v>0</v>
      </c>
      <c r="G10997" s="1205"/>
      <c r="H10997" s="1055"/>
      <c r="I10997" s="1055"/>
      <c r="J10997" s="1055"/>
      <c r="K10997" s="1205"/>
      <c r="L10997" s="1055"/>
      <c r="M10997" s="1205"/>
      <c r="N10997" s="1054"/>
      <c r="O10997" s="1207"/>
      <c r="Q10997" s="1207"/>
    </row>
    <row r="10998" spans="3:17" s="700" customFormat="1" ht="70.5" hidden="1" customHeight="1">
      <c r="C10998" s="701"/>
      <c r="D10998" s="811"/>
      <c r="E10998" s="1276">
        <f>[11]building!Y11329</f>
        <v>0</v>
      </c>
      <c r="F10998" s="748">
        <f t="shared" si="410"/>
        <v>0</v>
      </c>
      <c r="G10998" s="1205"/>
      <c r="H10998" s="1055"/>
      <c r="I10998" s="1055"/>
      <c r="J10998" s="1055"/>
      <c r="K10998" s="1205"/>
      <c r="L10998" s="1055"/>
      <c r="M10998" s="1205"/>
      <c r="N10998" s="1054"/>
      <c r="O10998" s="1207"/>
      <c r="Q10998" s="1207"/>
    </row>
    <row r="10999" spans="3:17" s="700" customFormat="1" ht="70.5" hidden="1" customHeight="1">
      <c r="C10999" s="701"/>
      <c r="D10999" s="811"/>
      <c r="E10999" s="1276">
        <f>[11]building!Y11330</f>
        <v>0</v>
      </c>
      <c r="F10999" s="748">
        <f t="shared" si="410"/>
        <v>0</v>
      </c>
      <c r="G10999" s="1205"/>
      <c r="H10999" s="1055"/>
      <c r="I10999" s="1055"/>
      <c r="J10999" s="1055"/>
      <c r="K10999" s="1205"/>
      <c r="L10999" s="1055"/>
      <c r="M10999" s="1205"/>
      <c r="N10999" s="1054"/>
      <c r="O10999" s="1207"/>
      <c r="Q10999" s="1207"/>
    </row>
    <row r="11000" spans="3:17" s="700" customFormat="1" ht="70.5" hidden="1" customHeight="1">
      <c r="C11000" s="701"/>
      <c r="D11000" s="811"/>
      <c r="E11000" s="1276">
        <f>[11]building!Y11331</f>
        <v>0</v>
      </c>
      <c r="F11000" s="748">
        <f t="shared" si="410"/>
        <v>0</v>
      </c>
      <c r="G11000" s="1205"/>
      <c r="H11000" s="1055"/>
      <c r="I11000" s="1055"/>
      <c r="J11000" s="1055"/>
      <c r="K11000" s="1205"/>
      <c r="L11000" s="1055"/>
      <c r="M11000" s="1205"/>
      <c r="N11000" s="1054"/>
      <c r="O11000" s="1207"/>
      <c r="Q11000" s="1207"/>
    </row>
    <row r="11001" spans="3:17" s="700" customFormat="1" ht="70.5" hidden="1" customHeight="1">
      <c r="C11001" s="701"/>
      <c r="D11001" s="811"/>
      <c r="E11001" s="1276">
        <f>[11]building!Y11332</f>
        <v>0</v>
      </c>
      <c r="F11001" s="748">
        <f t="shared" si="410"/>
        <v>0</v>
      </c>
      <c r="G11001" s="1205"/>
      <c r="H11001" s="1055"/>
      <c r="I11001" s="1055"/>
      <c r="J11001" s="1055"/>
      <c r="K11001" s="1205"/>
      <c r="L11001" s="1055"/>
      <c r="M11001" s="1205"/>
      <c r="N11001" s="1054"/>
      <c r="O11001" s="1207"/>
      <c r="Q11001" s="1207"/>
    </row>
    <row r="11002" spans="3:17" s="700" customFormat="1" ht="70.5" hidden="1" customHeight="1">
      <c r="C11002" s="701"/>
      <c r="D11002" s="811"/>
      <c r="E11002" s="1276">
        <f>[11]building!Y11333</f>
        <v>0</v>
      </c>
      <c r="F11002" s="748">
        <f t="shared" si="410"/>
        <v>0</v>
      </c>
      <c r="G11002" s="1205"/>
      <c r="H11002" s="1055"/>
      <c r="I11002" s="1055"/>
      <c r="J11002" s="1055"/>
      <c r="K11002" s="1205"/>
      <c r="L11002" s="1055"/>
      <c r="M11002" s="1205"/>
      <c r="N11002" s="1054"/>
      <c r="O11002" s="1207"/>
      <c r="Q11002" s="1207"/>
    </row>
    <row r="11003" spans="3:17" s="700" customFormat="1" ht="70.5" hidden="1" customHeight="1">
      <c r="C11003" s="701"/>
      <c r="D11003" s="811"/>
      <c r="E11003" s="1276">
        <f>[11]building!Y11334</f>
        <v>0</v>
      </c>
      <c r="F11003" s="748">
        <f t="shared" si="410"/>
        <v>0</v>
      </c>
      <c r="G11003" s="1205"/>
      <c r="H11003" s="1055"/>
      <c r="I11003" s="1055"/>
      <c r="J11003" s="1055"/>
      <c r="K11003" s="1205"/>
      <c r="L11003" s="1055"/>
      <c r="M11003" s="1205"/>
      <c r="N11003" s="1054"/>
      <c r="O11003" s="1207"/>
      <c r="Q11003" s="1207"/>
    </row>
    <row r="11004" spans="3:17" s="700" customFormat="1" ht="70.5" hidden="1" customHeight="1">
      <c r="C11004" s="701"/>
      <c r="D11004" s="811"/>
      <c r="E11004" s="1276">
        <f>[11]building!Y11335</f>
        <v>0</v>
      </c>
      <c r="F11004" s="748">
        <f t="shared" si="410"/>
        <v>0</v>
      </c>
      <c r="G11004" s="1205"/>
      <c r="H11004" s="1055"/>
      <c r="I11004" s="1055"/>
      <c r="J11004" s="1055"/>
      <c r="K11004" s="1205"/>
      <c r="L11004" s="1055"/>
      <c r="M11004" s="1205"/>
      <c r="N11004" s="1054"/>
      <c r="O11004" s="1207"/>
      <c r="Q11004" s="1207"/>
    </row>
    <row r="11005" spans="3:17" s="700" customFormat="1" ht="70.5" hidden="1" customHeight="1">
      <c r="C11005" s="701"/>
      <c r="D11005" s="811"/>
      <c r="E11005" s="1276">
        <f>[11]building!Y11336</f>
        <v>0</v>
      </c>
      <c r="F11005" s="748">
        <f t="shared" si="410"/>
        <v>0</v>
      </c>
      <c r="G11005" s="1205"/>
      <c r="H11005" s="1055"/>
      <c r="I11005" s="1055"/>
      <c r="J11005" s="1055"/>
      <c r="K11005" s="1205"/>
      <c r="L11005" s="1055"/>
      <c r="M11005" s="1205"/>
      <c r="N11005" s="1054"/>
      <c r="O11005" s="1207"/>
      <c r="Q11005" s="1207"/>
    </row>
    <row r="11006" spans="3:17" s="700" customFormat="1" ht="70.5" hidden="1" customHeight="1">
      <c r="C11006" s="701"/>
      <c r="D11006" s="811"/>
      <c r="E11006" s="1276">
        <f>[11]building!Y11337</f>
        <v>0</v>
      </c>
      <c r="F11006" s="748">
        <f t="shared" si="410"/>
        <v>0</v>
      </c>
      <c r="G11006" s="1205"/>
      <c r="H11006" s="1055"/>
      <c r="I11006" s="1055"/>
      <c r="J11006" s="1055"/>
      <c r="K11006" s="1205"/>
      <c r="L11006" s="1055"/>
      <c r="M11006" s="1205"/>
      <c r="N11006" s="1054"/>
      <c r="O11006" s="1207"/>
      <c r="Q11006" s="1207"/>
    </row>
    <row r="11007" spans="3:17" s="700" customFormat="1" ht="70.5" hidden="1" customHeight="1">
      <c r="C11007" s="701"/>
      <c r="D11007" s="811"/>
      <c r="E11007" s="1276">
        <f>[11]building!Y11338</f>
        <v>0</v>
      </c>
      <c r="F11007" s="748">
        <f t="shared" si="410"/>
        <v>0</v>
      </c>
      <c r="G11007" s="1205"/>
      <c r="H11007" s="1055"/>
      <c r="I11007" s="1055"/>
      <c r="J11007" s="1055"/>
      <c r="K11007" s="1205"/>
      <c r="L11007" s="1055"/>
      <c r="M11007" s="1205"/>
      <c r="N11007" s="1054"/>
      <c r="O11007" s="1207"/>
      <c r="Q11007" s="1207"/>
    </row>
    <row r="11008" spans="3:17" s="700" customFormat="1" ht="70.5" hidden="1" customHeight="1">
      <c r="C11008" s="701"/>
      <c r="D11008" s="811"/>
      <c r="E11008" s="1276">
        <f>[11]building!Y11339</f>
        <v>0</v>
      </c>
      <c r="F11008" s="748">
        <f t="shared" ref="F11008:F11071" si="411">E11008*C11008</f>
        <v>0</v>
      </c>
      <c r="G11008" s="1205"/>
      <c r="H11008" s="1055"/>
      <c r="I11008" s="1055"/>
      <c r="J11008" s="1055"/>
      <c r="K11008" s="1205"/>
      <c r="L11008" s="1055"/>
      <c r="M11008" s="1205"/>
      <c r="N11008" s="1054"/>
      <c r="O11008" s="1207"/>
      <c r="Q11008" s="1207"/>
    </row>
    <row r="11009" spans="3:17" s="700" customFormat="1" ht="70.5" hidden="1" customHeight="1">
      <c r="C11009" s="701"/>
      <c r="D11009" s="811"/>
      <c r="E11009" s="1276">
        <f>[11]building!Y11340</f>
        <v>0</v>
      </c>
      <c r="F11009" s="748">
        <f t="shared" si="411"/>
        <v>0</v>
      </c>
      <c r="G11009" s="1205"/>
      <c r="H11009" s="1055"/>
      <c r="I11009" s="1055"/>
      <c r="J11009" s="1055"/>
      <c r="K11009" s="1205"/>
      <c r="L11009" s="1055"/>
      <c r="M11009" s="1205"/>
      <c r="N11009" s="1054"/>
      <c r="O11009" s="1207"/>
      <c r="Q11009" s="1207"/>
    </row>
    <row r="11010" spans="3:17" s="700" customFormat="1" ht="70.5" hidden="1" customHeight="1">
      <c r="C11010" s="701"/>
      <c r="D11010" s="811"/>
      <c r="E11010" s="1276">
        <f>[11]building!Y11341</f>
        <v>0</v>
      </c>
      <c r="F11010" s="748">
        <f t="shared" si="411"/>
        <v>0</v>
      </c>
      <c r="G11010" s="1205"/>
      <c r="H11010" s="1055"/>
      <c r="I11010" s="1055"/>
      <c r="J11010" s="1055"/>
      <c r="K11010" s="1205"/>
      <c r="L11010" s="1055"/>
      <c r="M11010" s="1205"/>
      <c r="N11010" s="1054"/>
      <c r="O11010" s="1207"/>
      <c r="Q11010" s="1207"/>
    </row>
    <row r="11011" spans="3:17" s="700" customFormat="1" ht="70.5" hidden="1" customHeight="1">
      <c r="C11011" s="701"/>
      <c r="D11011" s="811"/>
      <c r="E11011" s="1276">
        <f>[11]building!Y11342</f>
        <v>0</v>
      </c>
      <c r="F11011" s="748">
        <f t="shared" si="411"/>
        <v>0</v>
      </c>
      <c r="G11011" s="1205"/>
      <c r="H11011" s="1055"/>
      <c r="I11011" s="1055"/>
      <c r="J11011" s="1055"/>
      <c r="K11011" s="1205"/>
      <c r="L11011" s="1055"/>
      <c r="M11011" s="1205"/>
      <c r="N11011" s="1054"/>
      <c r="O11011" s="1207"/>
      <c r="Q11011" s="1207"/>
    </row>
    <row r="11012" spans="3:17" s="700" customFormat="1" ht="70.5" hidden="1" customHeight="1">
      <c r="C11012" s="701"/>
      <c r="D11012" s="811"/>
      <c r="E11012" s="1276">
        <f>[11]building!Y11343</f>
        <v>0</v>
      </c>
      <c r="F11012" s="748">
        <f t="shared" si="411"/>
        <v>0</v>
      </c>
      <c r="G11012" s="1205"/>
      <c r="H11012" s="1055"/>
      <c r="I11012" s="1055"/>
      <c r="J11012" s="1055"/>
      <c r="K11012" s="1205"/>
      <c r="L11012" s="1055"/>
      <c r="M11012" s="1205"/>
      <c r="N11012" s="1054"/>
      <c r="O11012" s="1207"/>
      <c r="Q11012" s="1207"/>
    </row>
    <row r="11013" spans="3:17" s="700" customFormat="1" ht="70.5" hidden="1" customHeight="1">
      <c r="C11013" s="701"/>
      <c r="D11013" s="811"/>
      <c r="E11013" s="1276">
        <f>[11]building!Y11344</f>
        <v>0</v>
      </c>
      <c r="F11013" s="748">
        <f t="shared" si="411"/>
        <v>0</v>
      </c>
      <c r="G11013" s="1205"/>
      <c r="H11013" s="1055"/>
      <c r="I11013" s="1055"/>
      <c r="J11013" s="1055"/>
      <c r="K11013" s="1205"/>
      <c r="L11013" s="1055"/>
      <c r="M11013" s="1205"/>
      <c r="N11013" s="1054"/>
      <c r="O11013" s="1207"/>
      <c r="Q11013" s="1207"/>
    </row>
    <row r="11014" spans="3:17" s="700" customFormat="1" ht="70.5" hidden="1" customHeight="1">
      <c r="C11014" s="701"/>
      <c r="D11014" s="811"/>
      <c r="E11014" s="1276">
        <f>[11]building!Y11345</f>
        <v>0</v>
      </c>
      <c r="F11014" s="748">
        <f t="shared" si="411"/>
        <v>0</v>
      </c>
      <c r="G11014" s="1205"/>
      <c r="H11014" s="1055"/>
      <c r="I11014" s="1055"/>
      <c r="J11014" s="1055"/>
      <c r="K11014" s="1205"/>
      <c r="L11014" s="1055"/>
      <c r="M11014" s="1205"/>
      <c r="N11014" s="1054"/>
      <c r="O11014" s="1207"/>
      <c r="Q11014" s="1207"/>
    </row>
    <row r="11015" spans="3:17" s="700" customFormat="1" ht="70.5" hidden="1" customHeight="1">
      <c r="C11015" s="701"/>
      <c r="D11015" s="811"/>
      <c r="E11015" s="1276">
        <f>[11]building!Y11346</f>
        <v>0</v>
      </c>
      <c r="F11015" s="748">
        <f t="shared" si="411"/>
        <v>0</v>
      </c>
      <c r="G11015" s="1205"/>
      <c r="H11015" s="1055"/>
      <c r="I11015" s="1055"/>
      <c r="J11015" s="1055"/>
      <c r="K11015" s="1205"/>
      <c r="L11015" s="1055"/>
      <c r="M11015" s="1205"/>
      <c r="N11015" s="1054"/>
      <c r="O11015" s="1207"/>
      <c r="Q11015" s="1207"/>
    </row>
    <row r="11016" spans="3:17" s="700" customFormat="1" ht="70.5" hidden="1" customHeight="1">
      <c r="C11016" s="701"/>
      <c r="D11016" s="811"/>
      <c r="E11016" s="1276">
        <f>[11]building!Y11347</f>
        <v>0</v>
      </c>
      <c r="F11016" s="748">
        <f t="shared" si="411"/>
        <v>0</v>
      </c>
      <c r="G11016" s="1205"/>
      <c r="H11016" s="1055"/>
      <c r="I11016" s="1055"/>
      <c r="J11016" s="1055"/>
      <c r="K11016" s="1205"/>
      <c r="L11016" s="1055"/>
      <c r="M11016" s="1205"/>
      <c r="N11016" s="1054"/>
      <c r="O11016" s="1207"/>
      <c r="Q11016" s="1207"/>
    </row>
    <row r="11017" spans="3:17" s="700" customFormat="1" ht="70.5" hidden="1" customHeight="1">
      <c r="C11017" s="701"/>
      <c r="D11017" s="811"/>
      <c r="E11017" s="1276">
        <f>[11]building!Y11348</f>
        <v>0</v>
      </c>
      <c r="F11017" s="748">
        <f t="shared" si="411"/>
        <v>0</v>
      </c>
      <c r="G11017" s="1205"/>
      <c r="H11017" s="1055"/>
      <c r="I11017" s="1055"/>
      <c r="J11017" s="1055"/>
      <c r="K11017" s="1205"/>
      <c r="L11017" s="1055"/>
      <c r="M11017" s="1205"/>
      <c r="N11017" s="1054"/>
      <c r="O11017" s="1207"/>
      <c r="Q11017" s="1207"/>
    </row>
    <row r="11018" spans="3:17" s="700" customFormat="1" ht="70.5" hidden="1" customHeight="1">
      <c r="C11018" s="701"/>
      <c r="D11018" s="811"/>
      <c r="E11018" s="1276">
        <f>[11]building!Y11349</f>
        <v>0</v>
      </c>
      <c r="F11018" s="748">
        <f t="shared" si="411"/>
        <v>0</v>
      </c>
      <c r="G11018" s="1205"/>
      <c r="H11018" s="1055"/>
      <c r="I11018" s="1055"/>
      <c r="J11018" s="1055"/>
      <c r="K11018" s="1205"/>
      <c r="L11018" s="1055"/>
      <c r="M11018" s="1205"/>
      <c r="N11018" s="1054"/>
      <c r="O11018" s="1207"/>
      <c r="Q11018" s="1207"/>
    </row>
    <row r="11019" spans="3:17" s="700" customFormat="1" ht="70.5" hidden="1" customHeight="1">
      <c r="C11019" s="701"/>
      <c r="D11019" s="811"/>
      <c r="E11019" s="1276">
        <f>[11]building!Y11350</f>
        <v>0</v>
      </c>
      <c r="F11019" s="748">
        <f t="shared" si="411"/>
        <v>0</v>
      </c>
      <c r="G11019" s="1205"/>
      <c r="H11019" s="1055"/>
      <c r="I11019" s="1055"/>
      <c r="J11019" s="1055"/>
      <c r="K11019" s="1205"/>
      <c r="L11019" s="1055"/>
      <c r="M11019" s="1205"/>
      <c r="N11019" s="1054"/>
      <c r="O11019" s="1207"/>
      <c r="Q11019" s="1207"/>
    </row>
    <row r="11020" spans="3:17" s="700" customFormat="1" ht="70.5" hidden="1" customHeight="1">
      <c r="C11020" s="701"/>
      <c r="D11020" s="811"/>
      <c r="E11020" s="1276">
        <f>[11]building!Y11351</f>
        <v>0</v>
      </c>
      <c r="F11020" s="748">
        <f t="shared" si="411"/>
        <v>0</v>
      </c>
      <c r="G11020" s="1205"/>
      <c r="H11020" s="1055"/>
      <c r="I11020" s="1055"/>
      <c r="J11020" s="1055"/>
      <c r="K11020" s="1205"/>
      <c r="L11020" s="1055"/>
      <c r="M11020" s="1205"/>
      <c r="N11020" s="1054"/>
      <c r="O11020" s="1207"/>
      <c r="Q11020" s="1207"/>
    </row>
    <row r="11021" spans="3:17" s="700" customFormat="1" ht="70.5" hidden="1" customHeight="1">
      <c r="C11021" s="701"/>
      <c r="D11021" s="811"/>
      <c r="E11021" s="1276">
        <f>[11]building!Y11352</f>
        <v>0</v>
      </c>
      <c r="F11021" s="748">
        <f t="shared" si="411"/>
        <v>0</v>
      </c>
      <c r="G11021" s="1205"/>
      <c r="H11021" s="1055"/>
      <c r="I11021" s="1055"/>
      <c r="J11021" s="1055"/>
      <c r="K11021" s="1205"/>
      <c r="L11021" s="1055"/>
      <c r="M11021" s="1205"/>
      <c r="N11021" s="1054"/>
      <c r="O11021" s="1207"/>
      <c r="Q11021" s="1207"/>
    </row>
    <row r="11022" spans="3:17" s="700" customFormat="1" ht="70.5" hidden="1" customHeight="1">
      <c r="C11022" s="701"/>
      <c r="D11022" s="811"/>
      <c r="E11022" s="1276">
        <f>[11]building!Y11353</f>
        <v>0</v>
      </c>
      <c r="F11022" s="748">
        <f t="shared" si="411"/>
        <v>0</v>
      </c>
      <c r="G11022" s="1205"/>
      <c r="H11022" s="1055"/>
      <c r="I11022" s="1055"/>
      <c r="J11022" s="1055"/>
      <c r="K11022" s="1205"/>
      <c r="L11022" s="1055"/>
      <c r="M11022" s="1205"/>
      <c r="N11022" s="1054"/>
      <c r="O11022" s="1207"/>
      <c r="Q11022" s="1207"/>
    </row>
    <row r="11023" spans="3:17" s="700" customFormat="1" ht="70.5" hidden="1" customHeight="1">
      <c r="C11023" s="701"/>
      <c r="D11023" s="811"/>
      <c r="E11023" s="1276">
        <f>[11]building!Y11354</f>
        <v>0</v>
      </c>
      <c r="F11023" s="748">
        <f t="shared" si="411"/>
        <v>0</v>
      </c>
      <c r="G11023" s="1205"/>
      <c r="H11023" s="1055"/>
      <c r="I11023" s="1055"/>
      <c r="J11023" s="1055"/>
      <c r="K11023" s="1205"/>
      <c r="L11023" s="1055"/>
      <c r="M11023" s="1205"/>
      <c r="N11023" s="1054"/>
      <c r="O11023" s="1207"/>
      <c r="Q11023" s="1207"/>
    </row>
    <row r="11024" spans="3:17" s="700" customFormat="1" ht="70.5" hidden="1" customHeight="1">
      <c r="C11024" s="701"/>
      <c r="D11024" s="811"/>
      <c r="E11024" s="1276">
        <f>[11]building!Y11355</f>
        <v>0</v>
      </c>
      <c r="F11024" s="748">
        <f t="shared" si="411"/>
        <v>0</v>
      </c>
      <c r="G11024" s="1205"/>
      <c r="H11024" s="1055"/>
      <c r="I11024" s="1055"/>
      <c r="J11024" s="1055"/>
      <c r="K11024" s="1205"/>
      <c r="L11024" s="1055"/>
      <c r="M11024" s="1205"/>
      <c r="N11024" s="1054"/>
      <c r="O11024" s="1207"/>
      <c r="Q11024" s="1207"/>
    </row>
    <row r="11025" spans="3:17" s="700" customFormat="1" ht="70.5" hidden="1" customHeight="1">
      <c r="C11025" s="701"/>
      <c r="D11025" s="811"/>
      <c r="E11025" s="1276">
        <f>[11]building!Y11356</f>
        <v>0</v>
      </c>
      <c r="F11025" s="748">
        <f t="shared" si="411"/>
        <v>0</v>
      </c>
      <c r="G11025" s="1205"/>
      <c r="H11025" s="1055"/>
      <c r="I11025" s="1055"/>
      <c r="J11025" s="1055"/>
      <c r="K11025" s="1205"/>
      <c r="L11025" s="1055"/>
      <c r="M11025" s="1205"/>
      <c r="N11025" s="1054"/>
      <c r="O11025" s="1207"/>
      <c r="Q11025" s="1207"/>
    </row>
    <row r="11026" spans="3:17" s="700" customFormat="1" ht="70.5" hidden="1" customHeight="1">
      <c r="C11026" s="701"/>
      <c r="D11026" s="811"/>
      <c r="E11026" s="1276">
        <f>[11]building!Y11357</f>
        <v>0</v>
      </c>
      <c r="F11026" s="748">
        <f t="shared" si="411"/>
        <v>0</v>
      </c>
      <c r="G11026" s="1205"/>
      <c r="H11026" s="1055"/>
      <c r="I11026" s="1055"/>
      <c r="J11026" s="1055"/>
      <c r="K11026" s="1205"/>
      <c r="L11026" s="1055"/>
      <c r="M11026" s="1205"/>
      <c r="N11026" s="1054"/>
      <c r="O11026" s="1207"/>
      <c r="Q11026" s="1207"/>
    </row>
    <row r="11027" spans="3:17" s="700" customFormat="1" ht="70.5" hidden="1" customHeight="1">
      <c r="C11027" s="701"/>
      <c r="D11027" s="811"/>
      <c r="E11027" s="1276">
        <f>[11]building!Y11358</f>
        <v>0</v>
      </c>
      <c r="F11027" s="748">
        <f t="shared" si="411"/>
        <v>0</v>
      </c>
      <c r="G11027" s="1205"/>
      <c r="H11027" s="1055"/>
      <c r="I11027" s="1055"/>
      <c r="J11027" s="1055"/>
      <c r="K11027" s="1205"/>
      <c r="L11027" s="1055"/>
      <c r="M11027" s="1205"/>
      <c r="N11027" s="1054"/>
      <c r="O11027" s="1207"/>
      <c r="Q11027" s="1207"/>
    </row>
    <row r="11028" spans="3:17" s="700" customFormat="1" ht="70.5" hidden="1" customHeight="1">
      <c r="C11028" s="701"/>
      <c r="D11028" s="811"/>
      <c r="E11028" s="1276">
        <f>[11]building!Y11359</f>
        <v>0</v>
      </c>
      <c r="F11028" s="748">
        <f t="shared" si="411"/>
        <v>0</v>
      </c>
      <c r="G11028" s="1205"/>
      <c r="H11028" s="1055"/>
      <c r="I11028" s="1055"/>
      <c r="J11028" s="1055"/>
      <c r="K11028" s="1205"/>
      <c r="L11028" s="1055"/>
      <c r="M11028" s="1205"/>
      <c r="N11028" s="1054"/>
      <c r="O11028" s="1207"/>
      <c r="Q11028" s="1207"/>
    </row>
    <row r="11029" spans="3:17" s="700" customFormat="1" ht="70.5" hidden="1" customHeight="1">
      <c r="C11029" s="701"/>
      <c r="D11029" s="811"/>
      <c r="E11029" s="1276">
        <f>[11]building!Y11360</f>
        <v>0</v>
      </c>
      <c r="F11029" s="748">
        <f t="shared" si="411"/>
        <v>0</v>
      </c>
      <c r="G11029" s="1205"/>
      <c r="H11029" s="1055"/>
      <c r="I11029" s="1055"/>
      <c r="J11029" s="1055"/>
      <c r="K11029" s="1205"/>
      <c r="L11029" s="1055"/>
      <c r="M11029" s="1205"/>
      <c r="N11029" s="1054"/>
      <c r="O11029" s="1207"/>
      <c r="Q11029" s="1207"/>
    </row>
    <row r="11030" spans="3:17" s="700" customFormat="1" ht="70.5" hidden="1" customHeight="1">
      <c r="C11030" s="701"/>
      <c r="D11030" s="811"/>
      <c r="E11030" s="1276">
        <f>[11]building!Y11361</f>
        <v>0</v>
      </c>
      <c r="F11030" s="748">
        <f t="shared" si="411"/>
        <v>0</v>
      </c>
      <c r="G11030" s="1205"/>
      <c r="H11030" s="1055"/>
      <c r="I11030" s="1055"/>
      <c r="J11030" s="1055"/>
      <c r="K11030" s="1205"/>
      <c r="L11030" s="1055"/>
      <c r="M11030" s="1205"/>
      <c r="N11030" s="1054"/>
      <c r="O11030" s="1207"/>
      <c r="Q11030" s="1207"/>
    </row>
    <row r="11031" spans="3:17" s="700" customFormat="1" ht="70.5" hidden="1" customHeight="1">
      <c r="C11031" s="701"/>
      <c r="D11031" s="811"/>
      <c r="E11031" s="1276">
        <f>[11]building!Y11362</f>
        <v>0</v>
      </c>
      <c r="F11031" s="748">
        <f t="shared" si="411"/>
        <v>0</v>
      </c>
      <c r="G11031" s="1205"/>
      <c r="H11031" s="1055"/>
      <c r="I11031" s="1055"/>
      <c r="J11031" s="1055"/>
      <c r="K11031" s="1205"/>
      <c r="L11031" s="1055"/>
      <c r="M11031" s="1205"/>
      <c r="N11031" s="1054"/>
      <c r="O11031" s="1207"/>
      <c r="Q11031" s="1207"/>
    </row>
    <row r="11032" spans="3:17" s="700" customFormat="1" ht="70.5" hidden="1" customHeight="1">
      <c r="C11032" s="701"/>
      <c r="D11032" s="811"/>
      <c r="E11032" s="1276">
        <f>[11]building!Y11363</f>
        <v>0</v>
      </c>
      <c r="F11032" s="748">
        <f t="shared" si="411"/>
        <v>0</v>
      </c>
      <c r="G11032" s="1205"/>
      <c r="H11032" s="1055"/>
      <c r="I11032" s="1055"/>
      <c r="J11032" s="1055"/>
      <c r="K11032" s="1205"/>
      <c r="L11032" s="1055"/>
      <c r="M11032" s="1205"/>
      <c r="N11032" s="1054"/>
      <c r="O11032" s="1207"/>
      <c r="Q11032" s="1207"/>
    </row>
    <row r="11033" spans="3:17" s="700" customFormat="1" ht="70.5" hidden="1" customHeight="1">
      <c r="C11033" s="701"/>
      <c r="D11033" s="811"/>
      <c r="E11033" s="1276">
        <f>[11]building!Y11364</f>
        <v>0</v>
      </c>
      <c r="F11033" s="748">
        <f t="shared" si="411"/>
        <v>0</v>
      </c>
      <c r="G11033" s="1205"/>
      <c r="H11033" s="1055"/>
      <c r="I11033" s="1055"/>
      <c r="J11033" s="1055"/>
      <c r="K11033" s="1205"/>
      <c r="L11033" s="1055"/>
      <c r="M11033" s="1205"/>
      <c r="N11033" s="1054"/>
      <c r="O11033" s="1207"/>
      <c r="Q11033" s="1207"/>
    </row>
    <row r="11034" spans="3:17" s="700" customFormat="1" ht="70.5" hidden="1" customHeight="1">
      <c r="C11034" s="701"/>
      <c r="D11034" s="811"/>
      <c r="E11034" s="1276">
        <f>[11]building!Y11365</f>
        <v>0</v>
      </c>
      <c r="F11034" s="748">
        <f t="shared" si="411"/>
        <v>0</v>
      </c>
      <c r="G11034" s="1205"/>
      <c r="H11034" s="1055"/>
      <c r="I11034" s="1055"/>
      <c r="J11034" s="1055"/>
      <c r="K11034" s="1205"/>
      <c r="L11034" s="1055"/>
      <c r="M11034" s="1205"/>
      <c r="N11034" s="1054"/>
      <c r="O11034" s="1207"/>
      <c r="Q11034" s="1207"/>
    </row>
    <row r="11035" spans="3:17" s="700" customFormat="1" ht="70.5" hidden="1" customHeight="1">
      <c r="C11035" s="701"/>
      <c r="D11035" s="811"/>
      <c r="E11035" s="1276">
        <f>[11]building!Y11366</f>
        <v>0</v>
      </c>
      <c r="F11035" s="748">
        <f t="shared" si="411"/>
        <v>0</v>
      </c>
      <c r="G11035" s="1205"/>
      <c r="H11035" s="1055"/>
      <c r="I11035" s="1055"/>
      <c r="J11035" s="1055"/>
      <c r="K11035" s="1205"/>
      <c r="L11035" s="1055"/>
      <c r="M11035" s="1205"/>
      <c r="N11035" s="1054"/>
      <c r="O11035" s="1207"/>
      <c r="Q11035" s="1207"/>
    </row>
    <row r="11036" spans="3:17" s="700" customFormat="1" ht="70.5" hidden="1" customHeight="1">
      <c r="C11036" s="701"/>
      <c r="D11036" s="811"/>
      <c r="E11036" s="1276">
        <f>[11]building!Y11367</f>
        <v>0</v>
      </c>
      <c r="F11036" s="748">
        <f t="shared" si="411"/>
        <v>0</v>
      </c>
      <c r="G11036" s="1205"/>
      <c r="H11036" s="1055"/>
      <c r="I11036" s="1055"/>
      <c r="J11036" s="1055"/>
      <c r="K11036" s="1205"/>
      <c r="L11036" s="1055"/>
      <c r="M11036" s="1205"/>
      <c r="N11036" s="1054"/>
      <c r="O11036" s="1207"/>
      <c r="Q11036" s="1207"/>
    </row>
    <row r="11037" spans="3:17" s="700" customFormat="1" ht="70.5" hidden="1" customHeight="1">
      <c r="C11037" s="701"/>
      <c r="D11037" s="811"/>
      <c r="E11037" s="1276">
        <f>[11]building!Y11368</f>
        <v>0</v>
      </c>
      <c r="F11037" s="748">
        <f t="shared" si="411"/>
        <v>0</v>
      </c>
      <c r="G11037" s="1205"/>
      <c r="H11037" s="1055"/>
      <c r="I11037" s="1055"/>
      <c r="J11037" s="1055"/>
      <c r="K11037" s="1205"/>
      <c r="L11037" s="1055"/>
      <c r="M11037" s="1205"/>
      <c r="N11037" s="1054"/>
      <c r="O11037" s="1207"/>
      <c r="Q11037" s="1207"/>
    </row>
    <row r="11038" spans="3:17" s="700" customFormat="1" ht="70.5" hidden="1" customHeight="1">
      <c r="C11038" s="701"/>
      <c r="D11038" s="811"/>
      <c r="E11038" s="1276">
        <f>[11]building!Y11369</f>
        <v>0</v>
      </c>
      <c r="F11038" s="748">
        <f t="shared" si="411"/>
        <v>0</v>
      </c>
      <c r="G11038" s="1205"/>
      <c r="H11038" s="1055"/>
      <c r="I11038" s="1055"/>
      <c r="J11038" s="1055"/>
      <c r="K11038" s="1205"/>
      <c r="L11038" s="1055"/>
      <c r="M11038" s="1205"/>
      <c r="N11038" s="1054"/>
      <c r="O11038" s="1207"/>
      <c r="Q11038" s="1207"/>
    </row>
    <row r="11039" spans="3:17" s="700" customFormat="1" ht="70.5" hidden="1" customHeight="1">
      <c r="C11039" s="701"/>
      <c r="D11039" s="811"/>
      <c r="E11039" s="1276">
        <f>[11]building!Y11370</f>
        <v>0</v>
      </c>
      <c r="F11039" s="748">
        <f t="shared" si="411"/>
        <v>0</v>
      </c>
      <c r="G11039" s="1205"/>
      <c r="H11039" s="1055"/>
      <c r="I11039" s="1055"/>
      <c r="J11039" s="1055"/>
      <c r="K11039" s="1205"/>
      <c r="L11039" s="1055"/>
      <c r="M11039" s="1205"/>
      <c r="N11039" s="1054"/>
      <c r="O11039" s="1207"/>
      <c r="Q11039" s="1207"/>
    </row>
    <row r="11040" spans="3:17" s="700" customFormat="1" ht="70.5" hidden="1" customHeight="1">
      <c r="C11040" s="701"/>
      <c r="D11040" s="811"/>
      <c r="E11040" s="1276">
        <f>[11]building!Y11371</f>
        <v>0</v>
      </c>
      <c r="F11040" s="748">
        <f t="shared" si="411"/>
        <v>0</v>
      </c>
      <c r="G11040" s="1205"/>
      <c r="H11040" s="1055"/>
      <c r="I11040" s="1055"/>
      <c r="J11040" s="1055"/>
      <c r="K11040" s="1205"/>
      <c r="L11040" s="1055"/>
      <c r="M11040" s="1205"/>
      <c r="N11040" s="1054"/>
      <c r="O11040" s="1207"/>
      <c r="Q11040" s="1207"/>
    </row>
    <row r="11041" spans="3:17" s="700" customFormat="1" ht="70.5" hidden="1" customHeight="1">
      <c r="C11041" s="701"/>
      <c r="D11041" s="811"/>
      <c r="E11041" s="1276">
        <f>[11]building!Y11372</f>
        <v>0</v>
      </c>
      <c r="F11041" s="748">
        <f t="shared" si="411"/>
        <v>0</v>
      </c>
      <c r="G11041" s="1205"/>
      <c r="H11041" s="1055"/>
      <c r="I11041" s="1055"/>
      <c r="J11041" s="1055"/>
      <c r="K11041" s="1205"/>
      <c r="L11041" s="1055"/>
      <c r="M11041" s="1205"/>
      <c r="N11041" s="1054"/>
      <c r="O11041" s="1207"/>
      <c r="Q11041" s="1207"/>
    </row>
    <row r="11042" spans="3:17" s="700" customFormat="1" ht="70.5" hidden="1" customHeight="1">
      <c r="C11042" s="701"/>
      <c r="D11042" s="811"/>
      <c r="E11042" s="1276">
        <f>[11]building!Y11373</f>
        <v>0</v>
      </c>
      <c r="F11042" s="748">
        <f t="shared" si="411"/>
        <v>0</v>
      </c>
      <c r="G11042" s="1205"/>
      <c r="H11042" s="1055"/>
      <c r="I11042" s="1055"/>
      <c r="J11042" s="1055"/>
      <c r="K11042" s="1205"/>
      <c r="L11042" s="1055"/>
      <c r="M11042" s="1205"/>
      <c r="N11042" s="1054"/>
      <c r="O11042" s="1207"/>
      <c r="Q11042" s="1207"/>
    </row>
    <row r="11043" spans="3:17" s="700" customFormat="1" ht="70.5" hidden="1" customHeight="1">
      <c r="C11043" s="701"/>
      <c r="D11043" s="811"/>
      <c r="E11043" s="1276">
        <f>[11]building!Y11374</f>
        <v>0</v>
      </c>
      <c r="F11043" s="748">
        <f t="shared" si="411"/>
        <v>0</v>
      </c>
      <c r="G11043" s="1205"/>
      <c r="H11043" s="1055"/>
      <c r="I11043" s="1055"/>
      <c r="J11043" s="1055"/>
      <c r="K11043" s="1205"/>
      <c r="L11043" s="1055"/>
      <c r="M11043" s="1205"/>
      <c r="N11043" s="1054"/>
      <c r="O11043" s="1207"/>
      <c r="Q11043" s="1207"/>
    </row>
    <row r="11044" spans="3:17" s="700" customFormat="1" ht="70.5" hidden="1" customHeight="1">
      <c r="C11044" s="701"/>
      <c r="D11044" s="811"/>
      <c r="E11044" s="1276">
        <f>[11]building!Y11375</f>
        <v>0</v>
      </c>
      <c r="F11044" s="748">
        <f t="shared" si="411"/>
        <v>0</v>
      </c>
      <c r="G11044" s="1205"/>
      <c r="H11044" s="1055"/>
      <c r="I11044" s="1055"/>
      <c r="J11044" s="1055"/>
      <c r="K11044" s="1205"/>
      <c r="L11044" s="1055"/>
      <c r="M11044" s="1205"/>
      <c r="N11044" s="1054"/>
      <c r="O11044" s="1207"/>
      <c r="Q11044" s="1207"/>
    </row>
    <row r="11045" spans="3:17" s="700" customFormat="1" ht="70.5" hidden="1" customHeight="1">
      <c r="C11045" s="701"/>
      <c r="D11045" s="811"/>
      <c r="E11045" s="1276">
        <f>[11]building!Y11376</f>
        <v>0</v>
      </c>
      <c r="F11045" s="748">
        <f t="shared" si="411"/>
        <v>0</v>
      </c>
      <c r="G11045" s="1205"/>
      <c r="H11045" s="1055"/>
      <c r="I11045" s="1055"/>
      <c r="J11045" s="1055"/>
      <c r="K11045" s="1205"/>
      <c r="L11045" s="1055"/>
      <c r="M11045" s="1205"/>
      <c r="N11045" s="1054"/>
      <c r="O11045" s="1207"/>
      <c r="Q11045" s="1207"/>
    </row>
    <row r="11046" spans="3:17" s="700" customFormat="1" ht="70.5" hidden="1" customHeight="1">
      <c r="C11046" s="701"/>
      <c r="D11046" s="811"/>
      <c r="E11046" s="1276">
        <f>[11]building!Y11377</f>
        <v>0</v>
      </c>
      <c r="F11046" s="748">
        <f t="shared" si="411"/>
        <v>0</v>
      </c>
      <c r="G11046" s="1205"/>
      <c r="H11046" s="1055"/>
      <c r="I11046" s="1055"/>
      <c r="J11046" s="1055"/>
      <c r="K11046" s="1205"/>
      <c r="L11046" s="1055"/>
      <c r="M11046" s="1205"/>
      <c r="N11046" s="1054"/>
      <c r="O11046" s="1207"/>
      <c r="Q11046" s="1207"/>
    </row>
    <row r="11047" spans="3:17" s="700" customFormat="1" ht="70.5" hidden="1" customHeight="1">
      <c r="C11047" s="701"/>
      <c r="D11047" s="811"/>
      <c r="E11047" s="1276">
        <f>[11]building!Y11378</f>
        <v>0</v>
      </c>
      <c r="F11047" s="748">
        <f t="shared" si="411"/>
        <v>0</v>
      </c>
      <c r="G11047" s="1205"/>
      <c r="H11047" s="1055"/>
      <c r="I11047" s="1055"/>
      <c r="J11047" s="1055"/>
      <c r="K11047" s="1205"/>
      <c r="L11047" s="1055"/>
      <c r="M11047" s="1205"/>
      <c r="N11047" s="1054"/>
      <c r="O11047" s="1207"/>
      <c r="Q11047" s="1207"/>
    </row>
    <row r="11048" spans="3:17" s="700" customFormat="1" ht="70.5" hidden="1" customHeight="1">
      <c r="C11048" s="701"/>
      <c r="D11048" s="811"/>
      <c r="E11048" s="1276">
        <f>[11]building!Y11379</f>
        <v>0</v>
      </c>
      <c r="F11048" s="748">
        <f t="shared" si="411"/>
        <v>0</v>
      </c>
      <c r="G11048" s="1205"/>
      <c r="H11048" s="1055"/>
      <c r="I11048" s="1055"/>
      <c r="J11048" s="1055"/>
      <c r="K11048" s="1205"/>
      <c r="L11048" s="1055"/>
      <c r="M11048" s="1205"/>
      <c r="N11048" s="1054"/>
      <c r="O11048" s="1207"/>
      <c r="Q11048" s="1207"/>
    </row>
    <row r="11049" spans="3:17" s="700" customFormat="1" ht="70.5" hidden="1" customHeight="1">
      <c r="C11049" s="701"/>
      <c r="D11049" s="811"/>
      <c r="E11049" s="1276">
        <f>[11]building!Y11380</f>
        <v>0</v>
      </c>
      <c r="F11049" s="748">
        <f t="shared" si="411"/>
        <v>0</v>
      </c>
      <c r="G11049" s="1205"/>
      <c r="H11049" s="1055"/>
      <c r="I11049" s="1055"/>
      <c r="J11049" s="1055"/>
      <c r="K11049" s="1205"/>
      <c r="L11049" s="1055"/>
      <c r="M11049" s="1205"/>
      <c r="N11049" s="1054"/>
      <c r="O11049" s="1207"/>
      <c r="Q11049" s="1207"/>
    </row>
    <row r="11050" spans="3:17" s="700" customFormat="1" ht="70.5" hidden="1" customHeight="1">
      <c r="C11050" s="701"/>
      <c r="D11050" s="811"/>
      <c r="E11050" s="1276">
        <f>[11]building!Y11381</f>
        <v>0</v>
      </c>
      <c r="F11050" s="748">
        <f t="shared" si="411"/>
        <v>0</v>
      </c>
      <c r="G11050" s="1205"/>
      <c r="H11050" s="1055"/>
      <c r="I11050" s="1055"/>
      <c r="J11050" s="1055"/>
      <c r="K11050" s="1205"/>
      <c r="L11050" s="1055"/>
      <c r="M11050" s="1205"/>
      <c r="N11050" s="1054"/>
      <c r="O11050" s="1207"/>
      <c r="Q11050" s="1207"/>
    </row>
    <row r="11051" spans="3:17" s="700" customFormat="1" ht="70.5" hidden="1" customHeight="1">
      <c r="C11051" s="701"/>
      <c r="D11051" s="811"/>
      <c r="E11051" s="1276">
        <f>[11]building!Y11382</f>
        <v>0</v>
      </c>
      <c r="F11051" s="748">
        <f t="shared" si="411"/>
        <v>0</v>
      </c>
      <c r="G11051" s="1205"/>
      <c r="H11051" s="1055"/>
      <c r="I11051" s="1055"/>
      <c r="J11051" s="1055"/>
      <c r="K11051" s="1205"/>
      <c r="L11051" s="1055"/>
      <c r="M11051" s="1205"/>
      <c r="N11051" s="1054"/>
      <c r="O11051" s="1207"/>
      <c r="Q11051" s="1207"/>
    </row>
    <row r="11052" spans="3:17" s="700" customFormat="1" ht="70.5" hidden="1" customHeight="1">
      <c r="C11052" s="701"/>
      <c r="D11052" s="811"/>
      <c r="E11052" s="1276">
        <f>[11]building!Y11383</f>
        <v>0</v>
      </c>
      <c r="F11052" s="748">
        <f t="shared" si="411"/>
        <v>0</v>
      </c>
      <c r="G11052" s="1205"/>
      <c r="H11052" s="1055"/>
      <c r="I11052" s="1055"/>
      <c r="J11052" s="1055"/>
      <c r="K11052" s="1205"/>
      <c r="L11052" s="1055"/>
      <c r="M11052" s="1205"/>
      <c r="N11052" s="1054"/>
      <c r="O11052" s="1207"/>
      <c r="Q11052" s="1207"/>
    </row>
    <row r="11053" spans="3:17" s="700" customFormat="1" ht="70.5" hidden="1" customHeight="1">
      <c r="C11053" s="701"/>
      <c r="D11053" s="811"/>
      <c r="E11053" s="1276">
        <f>[11]building!Y11384</f>
        <v>0</v>
      </c>
      <c r="F11053" s="748">
        <f t="shared" si="411"/>
        <v>0</v>
      </c>
      <c r="G11053" s="1205"/>
      <c r="H11053" s="1055"/>
      <c r="I11053" s="1055"/>
      <c r="J11053" s="1055"/>
      <c r="K11053" s="1205"/>
      <c r="L11053" s="1055"/>
      <c r="M11053" s="1205"/>
      <c r="N11053" s="1054"/>
      <c r="O11053" s="1207"/>
      <c r="Q11053" s="1207"/>
    </row>
    <row r="11054" spans="3:17" s="700" customFormat="1" ht="70.5" hidden="1" customHeight="1">
      <c r="C11054" s="701"/>
      <c r="D11054" s="811"/>
      <c r="E11054" s="1276">
        <f>[11]building!Y11385</f>
        <v>0</v>
      </c>
      <c r="F11054" s="748">
        <f t="shared" si="411"/>
        <v>0</v>
      </c>
      <c r="G11054" s="1205"/>
      <c r="H11054" s="1055"/>
      <c r="I11054" s="1055"/>
      <c r="J11054" s="1055"/>
      <c r="K11054" s="1205"/>
      <c r="L11054" s="1055"/>
      <c r="M11054" s="1205"/>
      <c r="N11054" s="1054"/>
      <c r="O11054" s="1207"/>
      <c r="Q11054" s="1207"/>
    </row>
    <row r="11055" spans="3:17" s="700" customFormat="1" ht="70.5" hidden="1" customHeight="1">
      <c r="C11055" s="701"/>
      <c r="D11055" s="811"/>
      <c r="E11055" s="1276">
        <f>[11]building!Y11386</f>
        <v>0</v>
      </c>
      <c r="F11055" s="748">
        <f t="shared" si="411"/>
        <v>0</v>
      </c>
      <c r="G11055" s="1205"/>
      <c r="H11055" s="1055"/>
      <c r="I11055" s="1055"/>
      <c r="J11055" s="1055"/>
      <c r="K11055" s="1205"/>
      <c r="L11055" s="1055"/>
      <c r="M11055" s="1205"/>
      <c r="N11055" s="1054"/>
      <c r="O11055" s="1207"/>
      <c r="Q11055" s="1207"/>
    </row>
    <row r="11056" spans="3:17" s="700" customFormat="1" ht="70.5" hidden="1" customHeight="1">
      <c r="C11056" s="701"/>
      <c r="D11056" s="811"/>
      <c r="E11056" s="1276">
        <f>[11]building!Y11387</f>
        <v>0</v>
      </c>
      <c r="F11056" s="748">
        <f t="shared" si="411"/>
        <v>0</v>
      </c>
      <c r="G11056" s="1205"/>
      <c r="H11056" s="1055"/>
      <c r="I11056" s="1055"/>
      <c r="J11056" s="1055"/>
      <c r="K11056" s="1205"/>
      <c r="L11056" s="1055"/>
      <c r="M11056" s="1205"/>
      <c r="N11056" s="1054"/>
      <c r="O11056" s="1207"/>
      <c r="Q11056" s="1207"/>
    </row>
    <row r="11057" spans="3:17" s="700" customFormat="1" ht="70.5" hidden="1" customHeight="1">
      <c r="C11057" s="701"/>
      <c r="D11057" s="811"/>
      <c r="E11057" s="1276">
        <f>[11]building!Y11388</f>
        <v>0</v>
      </c>
      <c r="F11057" s="748">
        <f t="shared" si="411"/>
        <v>0</v>
      </c>
      <c r="G11057" s="1205"/>
      <c r="H11057" s="1055"/>
      <c r="I11057" s="1055"/>
      <c r="J11057" s="1055"/>
      <c r="K11057" s="1205"/>
      <c r="L11057" s="1055"/>
      <c r="M11057" s="1205"/>
      <c r="N11057" s="1054"/>
      <c r="O11057" s="1207"/>
      <c r="Q11057" s="1207"/>
    </row>
    <row r="11058" spans="3:17" s="700" customFormat="1" ht="70.5" hidden="1" customHeight="1">
      <c r="C11058" s="701"/>
      <c r="D11058" s="811"/>
      <c r="E11058" s="1276">
        <f>[11]building!Y11389</f>
        <v>0</v>
      </c>
      <c r="F11058" s="748">
        <f t="shared" si="411"/>
        <v>0</v>
      </c>
      <c r="G11058" s="1205"/>
      <c r="H11058" s="1055"/>
      <c r="I11058" s="1055"/>
      <c r="J11058" s="1055"/>
      <c r="K11058" s="1205"/>
      <c r="L11058" s="1055"/>
      <c r="M11058" s="1205"/>
      <c r="N11058" s="1054"/>
      <c r="O11058" s="1207"/>
      <c r="Q11058" s="1207"/>
    </row>
    <row r="11059" spans="3:17" s="700" customFormat="1" ht="70.5" hidden="1" customHeight="1">
      <c r="C11059" s="701"/>
      <c r="D11059" s="811"/>
      <c r="E11059" s="1276">
        <f>[11]building!Y11390</f>
        <v>0</v>
      </c>
      <c r="F11059" s="748">
        <f t="shared" si="411"/>
        <v>0</v>
      </c>
      <c r="G11059" s="1205"/>
      <c r="H11059" s="1055"/>
      <c r="I11059" s="1055"/>
      <c r="J11059" s="1055"/>
      <c r="K11059" s="1205"/>
      <c r="L11059" s="1055"/>
      <c r="M11059" s="1205"/>
      <c r="N11059" s="1054"/>
      <c r="O11059" s="1207"/>
      <c r="Q11059" s="1207"/>
    </row>
    <row r="11060" spans="3:17" s="700" customFormat="1" ht="70.5" hidden="1" customHeight="1">
      <c r="C11060" s="701"/>
      <c r="D11060" s="811"/>
      <c r="E11060" s="1276">
        <f>[11]building!Y11391</f>
        <v>0</v>
      </c>
      <c r="F11060" s="748">
        <f t="shared" si="411"/>
        <v>0</v>
      </c>
      <c r="G11060" s="1205"/>
      <c r="H11060" s="1055"/>
      <c r="I11060" s="1055"/>
      <c r="J11060" s="1055"/>
      <c r="K11060" s="1205"/>
      <c r="L11060" s="1055"/>
      <c r="M11060" s="1205"/>
      <c r="N11060" s="1054"/>
      <c r="O11060" s="1207"/>
      <c r="Q11060" s="1207"/>
    </row>
    <row r="11061" spans="3:17" s="700" customFormat="1" ht="70.5" hidden="1" customHeight="1">
      <c r="C11061" s="701"/>
      <c r="D11061" s="811"/>
      <c r="E11061" s="1276">
        <f>[11]building!Y11392</f>
        <v>0</v>
      </c>
      <c r="F11061" s="748">
        <f t="shared" si="411"/>
        <v>0</v>
      </c>
      <c r="G11061" s="1205"/>
      <c r="H11061" s="1055"/>
      <c r="I11061" s="1055"/>
      <c r="J11061" s="1055"/>
      <c r="K11061" s="1205"/>
      <c r="L11061" s="1055"/>
      <c r="M11061" s="1205"/>
      <c r="N11061" s="1054"/>
      <c r="O11061" s="1207"/>
      <c r="Q11061" s="1207"/>
    </row>
    <row r="11062" spans="3:17" s="700" customFormat="1" ht="70.5" hidden="1" customHeight="1">
      <c r="C11062" s="701"/>
      <c r="D11062" s="811"/>
      <c r="E11062" s="1276">
        <f>[11]building!Y11393</f>
        <v>0</v>
      </c>
      <c r="F11062" s="748">
        <f t="shared" si="411"/>
        <v>0</v>
      </c>
      <c r="G11062" s="1205"/>
      <c r="H11062" s="1055"/>
      <c r="I11062" s="1055"/>
      <c r="J11062" s="1055"/>
      <c r="K11062" s="1205"/>
      <c r="L11062" s="1055"/>
      <c r="M11062" s="1205"/>
      <c r="N11062" s="1054"/>
      <c r="O11062" s="1207"/>
      <c r="Q11062" s="1207"/>
    </row>
    <row r="11063" spans="3:17" s="700" customFormat="1" ht="70.5" hidden="1" customHeight="1">
      <c r="C11063" s="701"/>
      <c r="D11063" s="811"/>
      <c r="E11063" s="1276">
        <f>[11]building!Y11394</f>
        <v>0</v>
      </c>
      <c r="F11063" s="748">
        <f t="shared" si="411"/>
        <v>0</v>
      </c>
      <c r="G11063" s="1205"/>
      <c r="H11063" s="1055"/>
      <c r="I11063" s="1055"/>
      <c r="J11063" s="1055"/>
      <c r="K11063" s="1205"/>
      <c r="L11063" s="1055"/>
      <c r="M11063" s="1205"/>
      <c r="N11063" s="1054"/>
      <c r="O11063" s="1207"/>
      <c r="Q11063" s="1207"/>
    </row>
    <row r="11064" spans="3:17" s="700" customFormat="1" ht="70.5" hidden="1" customHeight="1">
      <c r="C11064" s="701"/>
      <c r="D11064" s="811"/>
      <c r="E11064" s="1276">
        <f>[11]building!Y11395</f>
        <v>0</v>
      </c>
      <c r="F11064" s="748">
        <f t="shared" si="411"/>
        <v>0</v>
      </c>
      <c r="G11064" s="1205"/>
      <c r="H11064" s="1055"/>
      <c r="I11064" s="1055"/>
      <c r="J11064" s="1055"/>
      <c r="K11064" s="1205"/>
      <c r="L11064" s="1055"/>
      <c r="M11064" s="1205"/>
      <c r="N11064" s="1054"/>
      <c r="O11064" s="1207"/>
      <c r="Q11064" s="1207"/>
    </row>
    <row r="11065" spans="3:17" s="700" customFormat="1" ht="70.5" hidden="1" customHeight="1">
      <c r="C11065" s="701"/>
      <c r="D11065" s="811"/>
      <c r="E11065" s="1276">
        <f>[11]building!Y11396</f>
        <v>0</v>
      </c>
      <c r="F11065" s="748">
        <f t="shared" si="411"/>
        <v>0</v>
      </c>
      <c r="G11065" s="1205"/>
      <c r="H11065" s="1055"/>
      <c r="I11065" s="1055"/>
      <c r="J11065" s="1055"/>
      <c r="K11065" s="1205"/>
      <c r="L11065" s="1055"/>
      <c r="M11065" s="1205"/>
      <c r="N11065" s="1054"/>
      <c r="O11065" s="1207"/>
      <c r="Q11065" s="1207"/>
    </row>
    <row r="11066" spans="3:17" s="700" customFormat="1" ht="70.5" hidden="1" customHeight="1">
      <c r="C11066" s="701"/>
      <c r="D11066" s="811"/>
      <c r="E11066" s="1276">
        <f>[11]building!Y11397</f>
        <v>0</v>
      </c>
      <c r="F11066" s="748">
        <f t="shared" si="411"/>
        <v>0</v>
      </c>
      <c r="G11066" s="1205"/>
      <c r="H11066" s="1055"/>
      <c r="I11066" s="1055"/>
      <c r="J11066" s="1055"/>
      <c r="K11066" s="1205"/>
      <c r="L11066" s="1055"/>
      <c r="M11066" s="1205"/>
      <c r="N11066" s="1054"/>
      <c r="O11066" s="1207"/>
      <c r="Q11066" s="1207"/>
    </row>
    <row r="11067" spans="3:17" s="700" customFormat="1" ht="70.5" hidden="1" customHeight="1">
      <c r="C11067" s="701"/>
      <c r="D11067" s="811"/>
      <c r="E11067" s="1276">
        <f>[11]building!Y11398</f>
        <v>0</v>
      </c>
      <c r="F11067" s="748">
        <f t="shared" si="411"/>
        <v>0</v>
      </c>
      <c r="G11067" s="1205"/>
      <c r="H11067" s="1055"/>
      <c r="I11067" s="1055"/>
      <c r="J11067" s="1055"/>
      <c r="K11067" s="1205"/>
      <c r="L11067" s="1055"/>
      <c r="M11067" s="1205"/>
      <c r="N11067" s="1054"/>
      <c r="O11067" s="1207"/>
      <c r="Q11067" s="1207"/>
    </row>
    <row r="11068" spans="3:17" s="700" customFormat="1" ht="70.5" hidden="1" customHeight="1">
      <c r="C11068" s="701"/>
      <c r="D11068" s="811"/>
      <c r="E11068" s="1276">
        <f>[11]building!Y11399</f>
        <v>0</v>
      </c>
      <c r="F11068" s="748">
        <f t="shared" si="411"/>
        <v>0</v>
      </c>
      <c r="G11068" s="1205"/>
      <c r="H11068" s="1055"/>
      <c r="I11068" s="1055"/>
      <c r="J11068" s="1055"/>
      <c r="K11068" s="1205"/>
      <c r="L11068" s="1055"/>
      <c r="M11068" s="1205"/>
      <c r="N11068" s="1054"/>
      <c r="O11068" s="1207"/>
      <c r="Q11068" s="1207"/>
    </row>
    <row r="11069" spans="3:17" s="700" customFormat="1" ht="70.5" hidden="1" customHeight="1">
      <c r="C11069" s="701"/>
      <c r="D11069" s="811"/>
      <c r="E11069" s="1276">
        <f>[11]building!Y11400</f>
        <v>0</v>
      </c>
      <c r="F11069" s="748">
        <f t="shared" si="411"/>
        <v>0</v>
      </c>
      <c r="G11069" s="1205"/>
      <c r="H11069" s="1055"/>
      <c r="I11069" s="1055"/>
      <c r="J11069" s="1055"/>
      <c r="K11069" s="1205"/>
      <c r="L11069" s="1055"/>
      <c r="M11069" s="1205"/>
      <c r="N11069" s="1054"/>
      <c r="O11069" s="1207"/>
      <c r="Q11069" s="1207"/>
    </row>
    <row r="11070" spans="3:17" s="700" customFormat="1" ht="70.5" hidden="1" customHeight="1">
      <c r="C11070" s="701"/>
      <c r="D11070" s="811"/>
      <c r="E11070" s="1276">
        <f>[11]building!Y11401</f>
        <v>0</v>
      </c>
      <c r="F11070" s="748">
        <f t="shared" si="411"/>
        <v>0</v>
      </c>
      <c r="G11070" s="1205"/>
      <c r="H11070" s="1055"/>
      <c r="I11070" s="1055"/>
      <c r="J11070" s="1055"/>
      <c r="K11070" s="1205"/>
      <c r="L11070" s="1055"/>
      <c r="M11070" s="1205"/>
      <c r="N11070" s="1054"/>
      <c r="O11070" s="1207"/>
      <c r="Q11070" s="1207"/>
    </row>
    <row r="11071" spans="3:17" s="700" customFormat="1" ht="70.5" hidden="1" customHeight="1">
      <c r="C11071" s="701"/>
      <c r="D11071" s="811"/>
      <c r="E11071" s="1276">
        <f>[11]building!Y11402</f>
        <v>0</v>
      </c>
      <c r="F11071" s="748">
        <f t="shared" si="411"/>
        <v>0</v>
      </c>
      <c r="G11071" s="1205"/>
      <c r="H11071" s="1055"/>
      <c r="I11071" s="1055"/>
      <c r="J11071" s="1055"/>
      <c r="K11071" s="1205"/>
      <c r="L11071" s="1055"/>
      <c r="M11071" s="1205"/>
      <c r="N11071" s="1054"/>
      <c r="O11071" s="1207"/>
      <c r="Q11071" s="1207"/>
    </row>
    <row r="11072" spans="3:17" s="700" customFormat="1" ht="70.5" hidden="1" customHeight="1">
      <c r="C11072" s="701"/>
      <c r="D11072" s="811"/>
      <c r="E11072" s="1276">
        <f>[11]building!Y11403</f>
        <v>0</v>
      </c>
      <c r="F11072" s="748">
        <f t="shared" ref="F11072:F11135" si="412">E11072*C11072</f>
        <v>0</v>
      </c>
      <c r="G11072" s="1205"/>
      <c r="H11072" s="1055"/>
      <c r="I11072" s="1055"/>
      <c r="J11072" s="1055"/>
      <c r="K11072" s="1205"/>
      <c r="L11072" s="1055"/>
      <c r="M11072" s="1205"/>
      <c r="N11072" s="1054"/>
      <c r="O11072" s="1207"/>
      <c r="Q11072" s="1207"/>
    </row>
    <row r="11073" spans="3:17" s="700" customFormat="1" ht="70.5" hidden="1" customHeight="1">
      <c r="C11073" s="701"/>
      <c r="D11073" s="811"/>
      <c r="E11073" s="1276">
        <f>[11]building!Y11404</f>
        <v>0</v>
      </c>
      <c r="F11073" s="748">
        <f t="shared" si="412"/>
        <v>0</v>
      </c>
      <c r="G11073" s="1205"/>
      <c r="H11073" s="1055"/>
      <c r="I11073" s="1055"/>
      <c r="J11073" s="1055"/>
      <c r="K11073" s="1205"/>
      <c r="L11073" s="1055"/>
      <c r="M11073" s="1205"/>
      <c r="N11073" s="1054"/>
      <c r="O11073" s="1207"/>
      <c r="Q11073" s="1207"/>
    </row>
    <row r="11074" spans="3:17" s="700" customFormat="1" ht="70.5" hidden="1" customHeight="1">
      <c r="C11074" s="701"/>
      <c r="D11074" s="811"/>
      <c r="E11074" s="1276">
        <f>[11]building!Y11405</f>
        <v>0</v>
      </c>
      <c r="F11074" s="748">
        <f t="shared" si="412"/>
        <v>0</v>
      </c>
      <c r="G11074" s="1205"/>
      <c r="H11074" s="1055"/>
      <c r="I11074" s="1055"/>
      <c r="J11074" s="1055"/>
      <c r="K11074" s="1205"/>
      <c r="L11074" s="1055"/>
      <c r="M11074" s="1205"/>
      <c r="N11074" s="1054"/>
      <c r="O11074" s="1207"/>
      <c r="Q11074" s="1207"/>
    </row>
    <row r="11075" spans="3:17" s="700" customFormat="1" ht="70.5" hidden="1" customHeight="1">
      <c r="C11075" s="701"/>
      <c r="D11075" s="811"/>
      <c r="E11075" s="1276">
        <f>[11]building!Y11406</f>
        <v>0</v>
      </c>
      <c r="F11075" s="748">
        <f t="shared" si="412"/>
        <v>0</v>
      </c>
      <c r="G11075" s="1205"/>
      <c r="H11075" s="1055"/>
      <c r="I11075" s="1055"/>
      <c r="J11075" s="1055"/>
      <c r="K11075" s="1205"/>
      <c r="L11075" s="1055"/>
      <c r="M11075" s="1205"/>
      <c r="N11075" s="1054"/>
      <c r="O11075" s="1207"/>
      <c r="Q11075" s="1207"/>
    </row>
    <row r="11076" spans="3:17" s="700" customFormat="1" ht="70.5" hidden="1" customHeight="1">
      <c r="C11076" s="701"/>
      <c r="D11076" s="811"/>
      <c r="E11076" s="1276">
        <f>[11]building!Y11407</f>
        <v>0</v>
      </c>
      <c r="F11076" s="748">
        <f t="shared" si="412"/>
        <v>0</v>
      </c>
      <c r="G11076" s="1205"/>
      <c r="H11076" s="1055"/>
      <c r="I11076" s="1055"/>
      <c r="J11076" s="1055"/>
      <c r="K11076" s="1205"/>
      <c r="L11076" s="1055"/>
      <c r="M11076" s="1205"/>
      <c r="N11076" s="1054"/>
      <c r="O11076" s="1207"/>
      <c r="Q11076" s="1207"/>
    </row>
    <row r="11077" spans="3:17" s="700" customFormat="1" ht="70.5" hidden="1" customHeight="1">
      <c r="C11077" s="701"/>
      <c r="D11077" s="811"/>
      <c r="E11077" s="1276">
        <f>[11]building!Y11408</f>
        <v>0</v>
      </c>
      <c r="F11077" s="748">
        <f t="shared" si="412"/>
        <v>0</v>
      </c>
      <c r="G11077" s="1205"/>
      <c r="H11077" s="1055"/>
      <c r="I11077" s="1055"/>
      <c r="J11077" s="1055"/>
      <c r="K11077" s="1205"/>
      <c r="L11077" s="1055"/>
      <c r="M11077" s="1205"/>
      <c r="N11077" s="1054"/>
      <c r="O11077" s="1207"/>
      <c r="Q11077" s="1207"/>
    </row>
    <row r="11078" spans="3:17" s="700" customFormat="1" ht="70.5" hidden="1" customHeight="1">
      <c r="C11078" s="701"/>
      <c r="D11078" s="811"/>
      <c r="E11078" s="1276">
        <f>[11]building!Y11409</f>
        <v>0</v>
      </c>
      <c r="F11078" s="748">
        <f t="shared" si="412"/>
        <v>0</v>
      </c>
      <c r="G11078" s="1205"/>
      <c r="H11078" s="1055"/>
      <c r="I11078" s="1055"/>
      <c r="J11078" s="1055"/>
      <c r="K11078" s="1205"/>
      <c r="L11078" s="1055"/>
      <c r="M11078" s="1205"/>
      <c r="N11078" s="1054"/>
      <c r="O11078" s="1207"/>
      <c r="Q11078" s="1207"/>
    </row>
    <row r="11079" spans="3:17" s="700" customFormat="1" ht="70.5" hidden="1" customHeight="1">
      <c r="C11079" s="701"/>
      <c r="D11079" s="811"/>
      <c r="E11079" s="1276">
        <f>[11]building!Y11410</f>
        <v>0</v>
      </c>
      <c r="F11079" s="748">
        <f t="shared" si="412"/>
        <v>0</v>
      </c>
      <c r="G11079" s="1205"/>
      <c r="H11079" s="1055"/>
      <c r="I11079" s="1055"/>
      <c r="J11079" s="1055"/>
      <c r="K11079" s="1205"/>
      <c r="L11079" s="1055"/>
      <c r="M11079" s="1205"/>
      <c r="N11079" s="1054"/>
      <c r="O11079" s="1207"/>
      <c r="Q11079" s="1207"/>
    </row>
    <row r="11080" spans="3:17" s="700" customFormat="1" ht="70.5" hidden="1" customHeight="1">
      <c r="C11080" s="701"/>
      <c r="D11080" s="811"/>
      <c r="E11080" s="1276">
        <f>[11]building!Y11411</f>
        <v>0</v>
      </c>
      <c r="F11080" s="748">
        <f t="shared" si="412"/>
        <v>0</v>
      </c>
      <c r="G11080" s="1205"/>
      <c r="H11080" s="1055"/>
      <c r="I11080" s="1055"/>
      <c r="J11080" s="1055"/>
      <c r="K11080" s="1205"/>
      <c r="L11080" s="1055"/>
      <c r="M11080" s="1205"/>
      <c r="N11080" s="1054"/>
      <c r="O11080" s="1207"/>
      <c r="Q11080" s="1207"/>
    </row>
    <row r="11081" spans="3:17" s="700" customFormat="1" ht="70.5" hidden="1" customHeight="1">
      <c r="C11081" s="701"/>
      <c r="D11081" s="811"/>
      <c r="E11081" s="1276">
        <f>[11]building!Y11412</f>
        <v>0</v>
      </c>
      <c r="F11081" s="748">
        <f t="shared" si="412"/>
        <v>0</v>
      </c>
      <c r="G11081" s="1205"/>
      <c r="H11081" s="1055"/>
      <c r="I11081" s="1055"/>
      <c r="J11081" s="1055"/>
      <c r="K11081" s="1205"/>
      <c r="L11081" s="1055"/>
      <c r="M11081" s="1205"/>
      <c r="N11081" s="1054"/>
      <c r="O11081" s="1207"/>
      <c r="Q11081" s="1207"/>
    </row>
    <row r="11082" spans="3:17" s="700" customFormat="1" ht="70.5" hidden="1" customHeight="1">
      <c r="C11082" s="701"/>
      <c r="D11082" s="811"/>
      <c r="E11082" s="1276">
        <f>[11]building!Y11413</f>
        <v>0</v>
      </c>
      <c r="F11082" s="748">
        <f t="shared" si="412"/>
        <v>0</v>
      </c>
      <c r="G11082" s="1205"/>
      <c r="H11082" s="1055"/>
      <c r="I11082" s="1055"/>
      <c r="J11082" s="1055"/>
      <c r="K11082" s="1205"/>
      <c r="L11082" s="1055"/>
      <c r="M11082" s="1205"/>
      <c r="N11082" s="1054"/>
      <c r="O11082" s="1207"/>
      <c r="Q11082" s="1207"/>
    </row>
    <row r="11083" spans="3:17" s="700" customFormat="1" ht="70.5" hidden="1" customHeight="1">
      <c r="C11083" s="701"/>
      <c r="D11083" s="811"/>
      <c r="E11083" s="1276">
        <f>[11]building!Y11414</f>
        <v>0</v>
      </c>
      <c r="F11083" s="748">
        <f t="shared" si="412"/>
        <v>0</v>
      </c>
      <c r="G11083" s="1205"/>
      <c r="H11083" s="1055"/>
      <c r="I11083" s="1055"/>
      <c r="J11083" s="1055"/>
      <c r="K11083" s="1205"/>
      <c r="L11083" s="1055"/>
      <c r="M11083" s="1205"/>
      <c r="N11083" s="1054"/>
      <c r="O11083" s="1207"/>
      <c r="Q11083" s="1207"/>
    </row>
    <row r="11084" spans="3:17" s="700" customFormat="1" ht="70.5" hidden="1" customHeight="1">
      <c r="C11084" s="701"/>
      <c r="D11084" s="811"/>
      <c r="E11084" s="1276">
        <f>[11]building!Y11415</f>
        <v>0</v>
      </c>
      <c r="F11084" s="748">
        <f t="shared" si="412"/>
        <v>0</v>
      </c>
      <c r="G11084" s="1205"/>
      <c r="H11084" s="1055"/>
      <c r="I11084" s="1055"/>
      <c r="J11084" s="1055"/>
      <c r="K11084" s="1205"/>
      <c r="L11084" s="1055"/>
      <c r="M11084" s="1205"/>
      <c r="N11084" s="1054"/>
      <c r="O11084" s="1207"/>
      <c r="Q11084" s="1207"/>
    </row>
    <row r="11085" spans="3:17" s="700" customFormat="1" ht="70.5" hidden="1" customHeight="1">
      <c r="C11085" s="701"/>
      <c r="D11085" s="811"/>
      <c r="E11085" s="1276">
        <f>[11]building!Y11416</f>
        <v>0</v>
      </c>
      <c r="F11085" s="748">
        <f t="shared" si="412"/>
        <v>0</v>
      </c>
      <c r="G11085" s="1205"/>
      <c r="H11085" s="1055"/>
      <c r="I11085" s="1055"/>
      <c r="J11085" s="1055"/>
      <c r="K11085" s="1205"/>
      <c r="L11085" s="1055"/>
      <c r="M11085" s="1205"/>
      <c r="N11085" s="1054"/>
      <c r="O11085" s="1207"/>
      <c r="Q11085" s="1207"/>
    </row>
    <row r="11086" spans="3:17" s="700" customFormat="1" ht="70.5" hidden="1" customHeight="1">
      <c r="C11086" s="701"/>
      <c r="D11086" s="811"/>
      <c r="E11086" s="1276">
        <f>[11]building!Y11417</f>
        <v>0</v>
      </c>
      <c r="F11086" s="748">
        <f t="shared" si="412"/>
        <v>0</v>
      </c>
      <c r="G11086" s="1205"/>
      <c r="H11086" s="1055"/>
      <c r="I11086" s="1055"/>
      <c r="J11086" s="1055"/>
      <c r="K11086" s="1205"/>
      <c r="L11086" s="1055"/>
      <c r="M11086" s="1205"/>
      <c r="N11086" s="1054"/>
      <c r="O11086" s="1207"/>
      <c r="Q11086" s="1207"/>
    </row>
    <row r="11087" spans="3:17" s="700" customFormat="1" ht="70.5" hidden="1" customHeight="1">
      <c r="C11087" s="701"/>
      <c r="D11087" s="811"/>
      <c r="E11087" s="1276">
        <f>[11]building!Y11418</f>
        <v>0</v>
      </c>
      <c r="F11087" s="748">
        <f t="shared" si="412"/>
        <v>0</v>
      </c>
      <c r="G11087" s="1205"/>
      <c r="H11087" s="1055"/>
      <c r="I11087" s="1055"/>
      <c r="J11087" s="1055"/>
      <c r="K11087" s="1205"/>
      <c r="L11087" s="1055"/>
      <c r="M11087" s="1205"/>
      <c r="N11087" s="1054"/>
      <c r="O11087" s="1207"/>
      <c r="Q11087" s="1207"/>
    </row>
    <row r="11088" spans="3:17" s="700" customFormat="1" ht="70.5" hidden="1" customHeight="1">
      <c r="C11088" s="701"/>
      <c r="D11088" s="811"/>
      <c r="E11088" s="1276">
        <f>[11]building!Y11419</f>
        <v>0</v>
      </c>
      <c r="F11088" s="748">
        <f t="shared" si="412"/>
        <v>0</v>
      </c>
      <c r="G11088" s="1205"/>
      <c r="H11088" s="1055"/>
      <c r="I11088" s="1055"/>
      <c r="J11088" s="1055"/>
      <c r="K11088" s="1205"/>
      <c r="L11088" s="1055"/>
      <c r="M11088" s="1205"/>
      <c r="N11088" s="1054"/>
      <c r="O11088" s="1207"/>
      <c r="Q11088" s="1207"/>
    </row>
    <row r="11089" spans="3:17" s="700" customFormat="1" ht="70.5" hidden="1" customHeight="1">
      <c r="C11089" s="701"/>
      <c r="D11089" s="811"/>
      <c r="E11089" s="1276">
        <f>[11]building!Y11420</f>
        <v>0</v>
      </c>
      <c r="F11089" s="748">
        <f t="shared" si="412"/>
        <v>0</v>
      </c>
      <c r="G11089" s="1205"/>
      <c r="H11089" s="1055"/>
      <c r="I11089" s="1055"/>
      <c r="J11089" s="1055"/>
      <c r="K11089" s="1205"/>
      <c r="L11089" s="1055"/>
      <c r="M11089" s="1205"/>
      <c r="N11089" s="1054"/>
      <c r="O11089" s="1207"/>
      <c r="Q11089" s="1207"/>
    </row>
    <row r="11090" spans="3:17" s="700" customFormat="1" ht="70.5" hidden="1" customHeight="1">
      <c r="C11090" s="701"/>
      <c r="D11090" s="811"/>
      <c r="E11090" s="1276">
        <f>[11]building!Y11421</f>
        <v>0</v>
      </c>
      <c r="F11090" s="748">
        <f t="shared" si="412"/>
        <v>0</v>
      </c>
      <c r="G11090" s="1205"/>
      <c r="H11090" s="1055"/>
      <c r="I11090" s="1055"/>
      <c r="J11090" s="1055"/>
      <c r="K11090" s="1205"/>
      <c r="L11090" s="1055"/>
      <c r="M11090" s="1205"/>
      <c r="N11090" s="1054"/>
      <c r="O11090" s="1207"/>
      <c r="Q11090" s="1207"/>
    </row>
    <row r="11091" spans="3:17" s="700" customFormat="1" ht="70.5" hidden="1" customHeight="1">
      <c r="C11091" s="701"/>
      <c r="D11091" s="811"/>
      <c r="E11091" s="1276">
        <f>[11]building!Y11422</f>
        <v>0</v>
      </c>
      <c r="F11091" s="748">
        <f t="shared" si="412"/>
        <v>0</v>
      </c>
      <c r="G11091" s="1205"/>
      <c r="H11091" s="1055"/>
      <c r="I11091" s="1055"/>
      <c r="J11091" s="1055"/>
      <c r="K11091" s="1205"/>
      <c r="L11091" s="1055"/>
      <c r="M11091" s="1205"/>
      <c r="N11091" s="1054"/>
      <c r="O11091" s="1207"/>
      <c r="Q11091" s="1207"/>
    </row>
    <row r="11092" spans="3:17" s="700" customFormat="1" ht="70.5" hidden="1" customHeight="1">
      <c r="C11092" s="701"/>
      <c r="D11092" s="811"/>
      <c r="E11092" s="1276">
        <f>[11]building!Y11423</f>
        <v>0</v>
      </c>
      <c r="F11092" s="748">
        <f t="shared" si="412"/>
        <v>0</v>
      </c>
      <c r="G11092" s="1205"/>
      <c r="H11092" s="1055"/>
      <c r="I11092" s="1055"/>
      <c r="J11092" s="1055"/>
      <c r="K11092" s="1205"/>
      <c r="L11092" s="1055"/>
      <c r="M11092" s="1205"/>
      <c r="N11092" s="1054"/>
      <c r="O11092" s="1207"/>
      <c r="Q11092" s="1207"/>
    </row>
    <row r="11093" spans="3:17" s="700" customFormat="1" ht="70.5" hidden="1" customHeight="1">
      <c r="C11093" s="701"/>
      <c r="D11093" s="811"/>
      <c r="E11093" s="1276">
        <f>[11]building!Y11424</f>
        <v>0</v>
      </c>
      <c r="F11093" s="748">
        <f t="shared" si="412"/>
        <v>0</v>
      </c>
      <c r="G11093" s="1205"/>
      <c r="H11093" s="1055"/>
      <c r="I11093" s="1055"/>
      <c r="J11093" s="1055"/>
      <c r="K11093" s="1205"/>
      <c r="L11093" s="1055"/>
      <c r="M11093" s="1205"/>
      <c r="N11093" s="1054"/>
      <c r="O11093" s="1207"/>
      <c r="Q11093" s="1207"/>
    </row>
    <row r="11094" spans="3:17" s="700" customFormat="1" ht="70.5" hidden="1" customHeight="1">
      <c r="C11094" s="701"/>
      <c r="D11094" s="811"/>
      <c r="E11094" s="1276">
        <f>[11]building!Y11425</f>
        <v>0</v>
      </c>
      <c r="F11094" s="748">
        <f t="shared" si="412"/>
        <v>0</v>
      </c>
      <c r="G11094" s="1205"/>
      <c r="H11094" s="1055"/>
      <c r="I11094" s="1055"/>
      <c r="J11094" s="1055"/>
      <c r="K11094" s="1205"/>
      <c r="L11094" s="1055"/>
      <c r="M11094" s="1205"/>
      <c r="N11094" s="1054"/>
      <c r="O11094" s="1207"/>
      <c r="Q11094" s="1207"/>
    </row>
    <row r="11095" spans="3:17" s="700" customFormat="1" ht="70.5" hidden="1" customHeight="1">
      <c r="C11095" s="701"/>
      <c r="D11095" s="811"/>
      <c r="E11095" s="1276">
        <f>[11]building!Y11426</f>
        <v>0</v>
      </c>
      <c r="F11095" s="748">
        <f t="shared" si="412"/>
        <v>0</v>
      </c>
      <c r="G11095" s="1205"/>
      <c r="H11095" s="1055"/>
      <c r="I11095" s="1055"/>
      <c r="J11095" s="1055"/>
      <c r="K11095" s="1205"/>
      <c r="L11095" s="1055"/>
      <c r="M11095" s="1205"/>
      <c r="N11095" s="1054"/>
      <c r="O11095" s="1207"/>
      <c r="Q11095" s="1207"/>
    </row>
    <row r="11096" spans="3:17" s="700" customFormat="1" ht="70.5" hidden="1" customHeight="1">
      <c r="C11096" s="701"/>
      <c r="D11096" s="811"/>
      <c r="E11096" s="1276">
        <f>[11]building!Y11427</f>
        <v>0</v>
      </c>
      <c r="F11096" s="748">
        <f t="shared" si="412"/>
        <v>0</v>
      </c>
      <c r="G11096" s="1205"/>
      <c r="H11096" s="1055"/>
      <c r="I11096" s="1055"/>
      <c r="J11096" s="1055"/>
      <c r="K11096" s="1205"/>
      <c r="L11096" s="1055"/>
      <c r="M11096" s="1205"/>
      <c r="N11096" s="1054"/>
      <c r="O11096" s="1207"/>
      <c r="Q11096" s="1207"/>
    </row>
    <row r="11097" spans="3:17" s="700" customFormat="1" ht="70.5" hidden="1" customHeight="1">
      <c r="C11097" s="701"/>
      <c r="D11097" s="811"/>
      <c r="E11097" s="1276">
        <f>[11]building!Y11428</f>
        <v>0</v>
      </c>
      <c r="F11097" s="748">
        <f t="shared" si="412"/>
        <v>0</v>
      </c>
      <c r="G11097" s="1205"/>
      <c r="H11097" s="1055"/>
      <c r="I11097" s="1055"/>
      <c r="J11097" s="1055"/>
      <c r="K11097" s="1205"/>
      <c r="L11097" s="1055"/>
      <c r="M11097" s="1205"/>
      <c r="N11097" s="1054"/>
      <c r="O11097" s="1207"/>
      <c r="Q11097" s="1207"/>
    </row>
    <row r="11098" spans="3:17" s="700" customFormat="1" ht="70.5" hidden="1" customHeight="1">
      <c r="C11098" s="701"/>
      <c r="D11098" s="811"/>
      <c r="E11098" s="1276">
        <f>[11]building!Y11429</f>
        <v>0</v>
      </c>
      <c r="F11098" s="748">
        <f t="shared" si="412"/>
        <v>0</v>
      </c>
      <c r="G11098" s="1205"/>
      <c r="H11098" s="1055"/>
      <c r="I11098" s="1055"/>
      <c r="J11098" s="1055"/>
      <c r="K11098" s="1205"/>
      <c r="L11098" s="1055"/>
      <c r="M11098" s="1205"/>
      <c r="N11098" s="1054"/>
      <c r="O11098" s="1207"/>
      <c r="Q11098" s="1207"/>
    </row>
    <row r="11099" spans="3:17" s="700" customFormat="1" ht="70.5" hidden="1" customHeight="1">
      <c r="C11099" s="701"/>
      <c r="D11099" s="811"/>
      <c r="E11099" s="1276">
        <f>[11]building!Y11430</f>
        <v>0</v>
      </c>
      <c r="F11099" s="748">
        <f t="shared" si="412"/>
        <v>0</v>
      </c>
      <c r="G11099" s="1205"/>
      <c r="H11099" s="1055"/>
      <c r="I11099" s="1055"/>
      <c r="J11099" s="1055"/>
      <c r="K11099" s="1205"/>
      <c r="L11099" s="1055"/>
      <c r="M11099" s="1205"/>
      <c r="N11099" s="1054"/>
      <c r="O11099" s="1207"/>
      <c r="Q11099" s="1207"/>
    </row>
    <row r="11100" spans="3:17" s="700" customFormat="1" ht="70.5" hidden="1" customHeight="1">
      <c r="C11100" s="701"/>
      <c r="D11100" s="811"/>
      <c r="E11100" s="1276">
        <f>[11]building!Y11431</f>
        <v>0</v>
      </c>
      <c r="F11100" s="748">
        <f t="shared" si="412"/>
        <v>0</v>
      </c>
      <c r="G11100" s="1205"/>
      <c r="H11100" s="1055"/>
      <c r="I11100" s="1055"/>
      <c r="J11100" s="1055"/>
      <c r="K11100" s="1205"/>
      <c r="L11100" s="1055"/>
      <c r="M11100" s="1205"/>
      <c r="N11100" s="1054"/>
      <c r="O11100" s="1207"/>
      <c r="Q11100" s="1207"/>
    </row>
    <row r="11101" spans="3:17" s="700" customFormat="1" ht="70.5" hidden="1" customHeight="1">
      <c r="C11101" s="701"/>
      <c r="D11101" s="811"/>
      <c r="E11101" s="1276">
        <f>[11]building!Y11432</f>
        <v>0</v>
      </c>
      <c r="F11101" s="748">
        <f t="shared" si="412"/>
        <v>0</v>
      </c>
      <c r="G11101" s="1205"/>
      <c r="H11101" s="1055"/>
      <c r="I11101" s="1055"/>
      <c r="J11101" s="1055"/>
      <c r="K11101" s="1205"/>
      <c r="L11101" s="1055"/>
      <c r="M11101" s="1205"/>
      <c r="N11101" s="1054"/>
      <c r="O11101" s="1207"/>
      <c r="Q11101" s="1207"/>
    </row>
    <row r="11102" spans="3:17" s="700" customFormat="1" ht="70.5" hidden="1" customHeight="1">
      <c r="C11102" s="701"/>
      <c r="D11102" s="811"/>
      <c r="E11102" s="1276">
        <f>[11]building!Y11433</f>
        <v>0</v>
      </c>
      <c r="F11102" s="748">
        <f t="shared" si="412"/>
        <v>0</v>
      </c>
      <c r="G11102" s="1205"/>
      <c r="H11102" s="1055"/>
      <c r="I11102" s="1055"/>
      <c r="J11102" s="1055"/>
      <c r="K11102" s="1205"/>
      <c r="L11102" s="1055"/>
      <c r="M11102" s="1205"/>
      <c r="N11102" s="1054"/>
      <c r="O11102" s="1207"/>
      <c r="Q11102" s="1207"/>
    </row>
    <row r="11103" spans="3:17" s="700" customFormat="1" ht="70.5" hidden="1" customHeight="1">
      <c r="C11103" s="701"/>
      <c r="D11103" s="811"/>
      <c r="E11103" s="1276">
        <f>[11]building!Y11434</f>
        <v>0</v>
      </c>
      <c r="F11103" s="748">
        <f t="shared" si="412"/>
        <v>0</v>
      </c>
      <c r="G11103" s="1205"/>
      <c r="H11103" s="1055"/>
      <c r="I11103" s="1055"/>
      <c r="J11103" s="1055"/>
      <c r="K11103" s="1205"/>
      <c r="L11103" s="1055"/>
      <c r="M11103" s="1205"/>
      <c r="N11103" s="1054"/>
      <c r="O11103" s="1207"/>
      <c r="Q11103" s="1207"/>
    </row>
    <row r="11104" spans="3:17" s="700" customFormat="1" ht="70.5" hidden="1" customHeight="1">
      <c r="C11104" s="701"/>
      <c r="D11104" s="811"/>
      <c r="E11104" s="1276">
        <f>[11]building!Y11435</f>
        <v>0</v>
      </c>
      <c r="F11104" s="748">
        <f t="shared" si="412"/>
        <v>0</v>
      </c>
      <c r="G11104" s="1205"/>
      <c r="H11104" s="1055"/>
      <c r="I11104" s="1055"/>
      <c r="J11104" s="1055"/>
      <c r="K11104" s="1205"/>
      <c r="L11104" s="1055"/>
      <c r="M11104" s="1205"/>
      <c r="N11104" s="1054"/>
      <c r="O11104" s="1207"/>
      <c r="Q11104" s="1207"/>
    </row>
    <row r="11105" spans="3:17" s="700" customFormat="1" ht="70.5" hidden="1" customHeight="1">
      <c r="C11105" s="701"/>
      <c r="D11105" s="811"/>
      <c r="E11105" s="1276">
        <f>[11]building!Y11436</f>
        <v>0</v>
      </c>
      <c r="F11105" s="748">
        <f t="shared" si="412"/>
        <v>0</v>
      </c>
      <c r="G11105" s="1205"/>
      <c r="H11105" s="1055"/>
      <c r="I11105" s="1055"/>
      <c r="J11105" s="1055"/>
      <c r="K11105" s="1205"/>
      <c r="L11105" s="1055"/>
      <c r="M11105" s="1205"/>
      <c r="N11105" s="1054"/>
      <c r="O11105" s="1207"/>
      <c r="Q11105" s="1207"/>
    </row>
    <row r="11106" spans="3:17" s="700" customFormat="1" ht="70.5" hidden="1" customHeight="1">
      <c r="C11106" s="701"/>
      <c r="D11106" s="811"/>
      <c r="E11106" s="1276">
        <f>[11]building!Y11437</f>
        <v>0</v>
      </c>
      <c r="F11106" s="748">
        <f t="shared" si="412"/>
        <v>0</v>
      </c>
      <c r="G11106" s="1205"/>
      <c r="H11106" s="1055"/>
      <c r="I11106" s="1055"/>
      <c r="J11106" s="1055"/>
      <c r="K11106" s="1205"/>
      <c r="L11106" s="1055"/>
      <c r="M11106" s="1205"/>
      <c r="N11106" s="1054"/>
      <c r="O11106" s="1207"/>
      <c r="Q11106" s="1207"/>
    </row>
    <row r="11107" spans="3:17" s="700" customFormat="1" ht="70.5" hidden="1" customHeight="1">
      <c r="C11107" s="701"/>
      <c r="D11107" s="811"/>
      <c r="E11107" s="1276">
        <f>[11]building!Y11438</f>
        <v>0</v>
      </c>
      <c r="F11107" s="748">
        <f t="shared" si="412"/>
        <v>0</v>
      </c>
      <c r="G11107" s="1205"/>
      <c r="H11107" s="1055"/>
      <c r="I11107" s="1055"/>
      <c r="J11107" s="1055"/>
      <c r="K11107" s="1205"/>
      <c r="L11107" s="1055"/>
      <c r="M11107" s="1205"/>
      <c r="N11107" s="1054"/>
      <c r="O11107" s="1207"/>
      <c r="Q11107" s="1207"/>
    </row>
    <row r="11108" spans="3:17" s="700" customFormat="1" ht="70.5" hidden="1" customHeight="1">
      <c r="C11108" s="701"/>
      <c r="D11108" s="811"/>
      <c r="E11108" s="1276">
        <f>[11]building!Y11439</f>
        <v>0</v>
      </c>
      <c r="F11108" s="748">
        <f t="shared" si="412"/>
        <v>0</v>
      </c>
      <c r="G11108" s="1205"/>
      <c r="H11108" s="1055"/>
      <c r="I11108" s="1055"/>
      <c r="J11108" s="1055"/>
      <c r="K11108" s="1205"/>
      <c r="L11108" s="1055"/>
      <c r="M11108" s="1205"/>
      <c r="N11108" s="1054"/>
      <c r="O11108" s="1207"/>
      <c r="Q11108" s="1207"/>
    </row>
    <row r="11109" spans="3:17" s="700" customFormat="1" ht="70.5" hidden="1" customHeight="1">
      <c r="C11109" s="701"/>
      <c r="D11109" s="811"/>
      <c r="E11109" s="1276">
        <f>[11]building!Y11440</f>
        <v>0</v>
      </c>
      <c r="F11109" s="748">
        <f t="shared" si="412"/>
        <v>0</v>
      </c>
      <c r="G11109" s="1205"/>
      <c r="H11109" s="1055"/>
      <c r="I11109" s="1055"/>
      <c r="J11109" s="1055"/>
      <c r="K11109" s="1205"/>
      <c r="L11109" s="1055"/>
      <c r="M11109" s="1205"/>
      <c r="N11109" s="1054"/>
      <c r="O11109" s="1207"/>
      <c r="Q11109" s="1207"/>
    </row>
    <row r="11110" spans="3:17" s="700" customFormat="1" ht="70.5" hidden="1" customHeight="1">
      <c r="C11110" s="701"/>
      <c r="D11110" s="811"/>
      <c r="E11110" s="1276">
        <f>[11]building!Y11441</f>
        <v>0</v>
      </c>
      <c r="F11110" s="748">
        <f t="shared" si="412"/>
        <v>0</v>
      </c>
      <c r="G11110" s="1205"/>
      <c r="H11110" s="1055"/>
      <c r="I11110" s="1055"/>
      <c r="J11110" s="1055"/>
      <c r="K11110" s="1205"/>
      <c r="L11110" s="1055"/>
      <c r="M11110" s="1205"/>
      <c r="N11110" s="1054"/>
      <c r="O11110" s="1207"/>
      <c r="Q11110" s="1207"/>
    </row>
    <row r="11111" spans="3:17" s="700" customFormat="1" ht="70.5" hidden="1" customHeight="1">
      <c r="C11111" s="701"/>
      <c r="D11111" s="811"/>
      <c r="E11111" s="1276">
        <f>[11]building!Y11442</f>
        <v>0</v>
      </c>
      <c r="F11111" s="748">
        <f t="shared" si="412"/>
        <v>0</v>
      </c>
      <c r="G11111" s="1205"/>
      <c r="H11111" s="1055"/>
      <c r="I11111" s="1055"/>
      <c r="J11111" s="1055"/>
      <c r="K11111" s="1205"/>
      <c r="L11111" s="1055"/>
      <c r="M11111" s="1205"/>
      <c r="N11111" s="1054"/>
      <c r="O11111" s="1207"/>
      <c r="Q11111" s="1207"/>
    </row>
    <row r="11112" spans="3:17" s="700" customFormat="1" ht="70.5" hidden="1" customHeight="1">
      <c r="C11112" s="701"/>
      <c r="D11112" s="811"/>
      <c r="E11112" s="1276">
        <f>[11]building!Y11443</f>
        <v>0</v>
      </c>
      <c r="F11112" s="748">
        <f t="shared" si="412"/>
        <v>0</v>
      </c>
      <c r="G11112" s="1205"/>
      <c r="H11112" s="1055"/>
      <c r="I11112" s="1055"/>
      <c r="J11112" s="1055"/>
      <c r="K11112" s="1205"/>
      <c r="L11112" s="1055"/>
      <c r="M11112" s="1205"/>
      <c r="N11112" s="1054"/>
      <c r="O11112" s="1207"/>
      <c r="Q11112" s="1207"/>
    </row>
    <row r="11113" spans="3:17" s="700" customFormat="1" ht="70.5" hidden="1" customHeight="1">
      <c r="C11113" s="701"/>
      <c r="D11113" s="811"/>
      <c r="E11113" s="1276">
        <f>[11]building!Y11444</f>
        <v>0</v>
      </c>
      <c r="F11113" s="748">
        <f t="shared" si="412"/>
        <v>0</v>
      </c>
      <c r="G11113" s="1205"/>
      <c r="H11113" s="1055"/>
      <c r="I11113" s="1055"/>
      <c r="J11113" s="1055"/>
      <c r="K11113" s="1205"/>
      <c r="L11113" s="1055"/>
      <c r="M11113" s="1205"/>
      <c r="N11113" s="1054"/>
      <c r="O11113" s="1207"/>
      <c r="Q11113" s="1207"/>
    </row>
    <row r="11114" spans="3:17" s="700" customFormat="1" ht="70.5" hidden="1" customHeight="1">
      <c r="C11114" s="701"/>
      <c r="D11114" s="811"/>
      <c r="E11114" s="1276">
        <f>[11]building!Y11445</f>
        <v>0</v>
      </c>
      <c r="F11114" s="748">
        <f t="shared" si="412"/>
        <v>0</v>
      </c>
      <c r="G11114" s="1205"/>
      <c r="H11114" s="1055"/>
      <c r="I11114" s="1055"/>
      <c r="J11114" s="1055"/>
      <c r="K11114" s="1205"/>
      <c r="L11114" s="1055"/>
      <c r="M11114" s="1205"/>
      <c r="N11114" s="1054"/>
      <c r="O11114" s="1207"/>
      <c r="Q11114" s="1207"/>
    </row>
    <row r="11115" spans="3:17" s="700" customFormat="1" ht="70.5" hidden="1" customHeight="1">
      <c r="C11115" s="701"/>
      <c r="D11115" s="811"/>
      <c r="E11115" s="1276">
        <f>[11]building!Y11446</f>
        <v>0</v>
      </c>
      <c r="F11115" s="748">
        <f t="shared" si="412"/>
        <v>0</v>
      </c>
      <c r="G11115" s="1205"/>
      <c r="H11115" s="1055"/>
      <c r="I11115" s="1055"/>
      <c r="J11115" s="1055"/>
      <c r="K11115" s="1205"/>
      <c r="L11115" s="1055"/>
      <c r="M11115" s="1205"/>
      <c r="N11115" s="1054"/>
      <c r="O11115" s="1207"/>
      <c r="Q11115" s="1207"/>
    </row>
    <row r="11116" spans="3:17" s="700" customFormat="1" ht="70.5" hidden="1" customHeight="1">
      <c r="C11116" s="701"/>
      <c r="D11116" s="811"/>
      <c r="E11116" s="1276">
        <f>[11]building!Y11447</f>
        <v>0</v>
      </c>
      <c r="F11116" s="748">
        <f t="shared" si="412"/>
        <v>0</v>
      </c>
      <c r="G11116" s="1205"/>
      <c r="H11116" s="1055"/>
      <c r="I11116" s="1055"/>
      <c r="J11116" s="1055"/>
      <c r="K11116" s="1205"/>
      <c r="L11116" s="1055"/>
      <c r="M11116" s="1205"/>
      <c r="N11116" s="1054"/>
      <c r="O11116" s="1207"/>
      <c r="Q11116" s="1207"/>
    </row>
    <row r="11117" spans="3:17" s="700" customFormat="1" ht="70.5" hidden="1" customHeight="1">
      <c r="C11117" s="701"/>
      <c r="D11117" s="811"/>
      <c r="E11117" s="1276">
        <f>[11]building!Y11448</f>
        <v>0</v>
      </c>
      <c r="F11117" s="748">
        <f t="shared" si="412"/>
        <v>0</v>
      </c>
      <c r="G11117" s="1205"/>
      <c r="H11117" s="1055"/>
      <c r="I11117" s="1055"/>
      <c r="J11117" s="1055"/>
      <c r="K11117" s="1205"/>
      <c r="L11117" s="1055"/>
      <c r="M11117" s="1205"/>
      <c r="N11117" s="1054"/>
      <c r="O11117" s="1207"/>
      <c r="Q11117" s="1207"/>
    </row>
    <row r="11118" spans="3:17" s="700" customFormat="1" ht="70.5" hidden="1" customHeight="1">
      <c r="C11118" s="701"/>
      <c r="D11118" s="811"/>
      <c r="E11118" s="1276">
        <f>[11]building!Y11449</f>
        <v>0</v>
      </c>
      <c r="F11118" s="748">
        <f t="shared" si="412"/>
        <v>0</v>
      </c>
      <c r="G11118" s="1205"/>
      <c r="H11118" s="1055"/>
      <c r="I11118" s="1055"/>
      <c r="J11118" s="1055"/>
      <c r="K11118" s="1205"/>
      <c r="L11118" s="1055"/>
      <c r="M11118" s="1205"/>
      <c r="N11118" s="1054"/>
      <c r="O11118" s="1207"/>
      <c r="Q11118" s="1207"/>
    </row>
    <row r="11119" spans="3:17" s="700" customFormat="1" ht="70.5" hidden="1" customHeight="1">
      <c r="C11119" s="701"/>
      <c r="D11119" s="811"/>
      <c r="E11119" s="1276">
        <f>[11]building!Y11450</f>
        <v>0</v>
      </c>
      <c r="F11119" s="748">
        <f t="shared" si="412"/>
        <v>0</v>
      </c>
      <c r="G11119" s="1205"/>
      <c r="H11119" s="1055"/>
      <c r="I11119" s="1055"/>
      <c r="J11119" s="1055"/>
      <c r="K11119" s="1205"/>
      <c r="L11119" s="1055"/>
      <c r="M11119" s="1205"/>
      <c r="N11119" s="1054"/>
      <c r="O11119" s="1207"/>
      <c r="Q11119" s="1207"/>
    </row>
    <row r="11120" spans="3:17" s="700" customFormat="1" ht="70.5" hidden="1" customHeight="1">
      <c r="C11120" s="701"/>
      <c r="D11120" s="811"/>
      <c r="E11120" s="1276">
        <f>[11]building!Y11451</f>
        <v>0</v>
      </c>
      <c r="F11120" s="748">
        <f t="shared" si="412"/>
        <v>0</v>
      </c>
      <c r="G11120" s="1205"/>
      <c r="H11120" s="1055"/>
      <c r="I11120" s="1055"/>
      <c r="J11120" s="1055"/>
      <c r="K11120" s="1205"/>
      <c r="L11120" s="1055"/>
      <c r="M11120" s="1205"/>
      <c r="N11120" s="1054"/>
      <c r="O11120" s="1207"/>
      <c r="Q11120" s="1207"/>
    </row>
    <row r="11121" spans="3:17" s="700" customFormat="1" ht="70.5" hidden="1" customHeight="1">
      <c r="C11121" s="701"/>
      <c r="D11121" s="811"/>
      <c r="E11121" s="1276">
        <f>[11]building!Y11452</f>
        <v>0</v>
      </c>
      <c r="F11121" s="748">
        <f t="shared" si="412"/>
        <v>0</v>
      </c>
      <c r="G11121" s="1205"/>
      <c r="H11121" s="1055"/>
      <c r="I11121" s="1055"/>
      <c r="J11121" s="1055"/>
      <c r="K11121" s="1205"/>
      <c r="L11121" s="1055"/>
      <c r="M11121" s="1205"/>
      <c r="N11121" s="1054"/>
      <c r="O11121" s="1207"/>
      <c r="Q11121" s="1207"/>
    </row>
    <row r="11122" spans="3:17" s="700" customFormat="1" ht="70.5" hidden="1" customHeight="1">
      <c r="C11122" s="701"/>
      <c r="D11122" s="811"/>
      <c r="E11122" s="1276">
        <f>[11]building!Y11453</f>
        <v>0</v>
      </c>
      <c r="F11122" s="748">
        <f t="shared" si="412"/>
        <v>0</v>
      </c>
      <c r="G11122" s="1205"/>
      <c r="H11122" s="1055"/>
      <c r="I11122" s="1055"/>
      <c r="J11122" s="1055"/>
      <c r="K11122" s="1205"/>
      <c r="L11122" s="1055"/>
      <c r="M11122" s="1205"/>
      <c r="N11122" s="1054"/>
      <c r="O11122" s="1207"/>
      <c r="Q11122" s="1207"/>
    </row>
    <row r="11123" spans="3:17" s="700" customFormat="1" ht="70.5" hidden="1" customHeight="1">
      <c r="C11123" s="701"/>
      <c r="D11123" s="811"/>
      <c r="E11123" s="1276">
        <f>[11]building!Y11454</f>
        <v>0</v>
      </c>
      <c r="F11123" s="748">
        <f t="shared" si="412"/>
        <v>0</v>
      </c>
      <c r="G11123" s="1205"/>
      <c r="H11123" s="1055"/>
      <c r="I11123" s="1055"/>
      <c r="J11123" s="1055"/>
      <c r="K11123" s="1205"/>
      <c r="L11123" s="1055"/>
      <c r="M11123" s="1205"/>
      <c r="N11123" s="1054"/>
      <c r="O11123" s="1207"/>
      <c r="Q11123" s="1207"/>
    </row>
    <row r="11124" spans="3:17" s="700" customFormat="1" ht="70.5" hidden="1" customHeight="1">
      <c r="C11124" s="701"/>
      <c r="D11124" s="811"/>
      <c r="E11124" s="1276">
        <f>[11]building!Y11455</f>
        <v>0</v>
      </c>
      <c r="F11124" s="748">
        <f t="shared" si="412"/>
        <v>0</v>
      </c>
      <c r="G11124" s="1205"/>
      <c r="H11124" s="1055"/>
      <c r="I11124" s="1055"/>
      <c r="J11124" s="1055"/>
      <c r="K11124" s="1205"/>
      <c r="L11124" s="1055"/>
      <c r="M11124" s="1205"/>
      <c r="N11124" s="1054"/>
      <c r="O11124" s="1207"/>
      <c r="Q11124" s="1207"/>
    </row>
    <row r="11125" spans="3:17" s="700" customFormat="1" ht="70.5" hidden="1" customHeight="1">
      <c r="C11125" s="701"/>
      <c r="D11125" s="811"/>
      <c r="E11125" s="1276">
        <f>[11]building!Y11456</f>
        <v>0</v>
      </c>
      <c r="F11125" s="748">
        <f t="shared" si="412"/>
        <v>0</v>
      </c>
      <c r="G11125" s="1205"/>
      <c r="H11125" s="1055"/>
      <c r="I11125" s="1055"/>
      <c r="J11125" s="1055"/>
      <c r="K11125" s="1205"/>
      <c r="L11125" s="1055"/>
      <c r="M11125" s="1205"/>
      <c r="N11125" s="1054"/>
      <c r="O11125" s="1207"/>
      <c r="Q11125" s="1207"/>
    </row>
    <row r="11126" spans="3:17" s="700" customFormat="1" ht="70.5" hidden="1" customHeight="1">
      <c r="C11126" s="701"/>
      <c r="D11126" s="811"/>
      <c r="E11126" s="1276">
        <f>[11]building!Y11457</f>
        <v>0</v>
      </c>
      <c r="F11126" s="748">
        <f t="shared" si="412"/>
        <v>0</v>
      </c>
      <c r="G11126" s="1205"/>
      <c r="H11126" s="1055"/>
      <c r="I11126" s="1055"/>
      <c r="J11126" s="1055"/>
      <c r="K11126" s="1205"/>
      <c r="L11126" s="1055"/>
      <c r="M11126" s="1205"/>
      <c r="N11126" s="1054"/>
      <c r="O11126" s="1207"/>
      <c r="Q11126" s="1207"/>
    </row>
    <row r="11127" spans="3:17" s="700" customFormat="1" ht="70.5" hidden="1" customHeight="1">
      <c r="C11127" s="701"/>
      <c r="D11127" s="811"/>
      <c r="E11127" s="1276">
        <f>[11]building!Y11458</f>
        <v>0</v>
      </c>
      <c r="F11127" s="748">
        <f t="shared" si="412"/>
        <v>0</v>
      </c>
      <c r="G11127" s="1205"/>
      <c r="H11127" s="1055"/>
      <c r="I11127" s="1055"/>
      <c r="J11127" s="1055"/>
      <c r="K11127" s="1205"/>
      <c r="L11127" s="1055"/>
      <c r="M11127" s="1205"/>
      <c r="N11127" s="1054"/>
      <c r="O11127" s="1207"/>
      <c r="Q11127" s="1207"/>
    </row>
    <row r="11128" spans="3:17" s="700" customFormat="1" ht="70.5" hidden="1" customHeight="1">
      <c r="C11128" s="701"/>
      <c r="D11128" s="811"/>
      <c r="E11128" s="1276">
        <f>[11]building!Y11459</f>
        <v>0</v>
      </c>
      <c r="F11128" s="748">
        <f t="shared" si="412"/>
        <v>0</v>
      </c>
      <c r="G11128" s="1205"/>
      <c r="H11128" s="1055"/>
      <c r="I11128" s="1055"/>
      <c r="J11128" s="1055"/>
      <c r="K11128" s="1205"/>
      <c r="L11128" s="1055"/>
      <c r="M11128" s="1205"/>
      <c r="N11128" s="1054"/>
      <c r="O11128" s="1207"/>
      <c r="Q11128" s="1207"/>
    </row>
    <row r="11129" spans="3:17" s="700" customFormat="1" ht="70.5" hidden="1" customHeight="1">
      <c r="C11129" s="701"/>
      <c r="D11129" s="811"/>
      <c r="E11129" s="1276">
        <f>[11]building!Y11460</f>
        <v>0</v>
      </c>
      <c r="F11129" s="748">
        <f t="shared" si="412"/>
        <v>0</v>
      </c>
      <c r="G11129" s="1205"/>
      <c r="H11129" s="1055"/>
      <c r="I11129" s="1055"/>
      <c r="J11129" s="1055"/>
      <c r="K11129" s="1205"/>
      <c r="L11129" s="1055"/>
      <c r="M11129" s="1205"/>
      <c r="N11129" s="1054"/>
      <c r="O11129" s="1207"/>
      <c r="Q11129" s="1207"/>
    </row>
    <row r="11130" spans="3:17" s="700" customFormat="1" ht="70.5" hidden="1" customHeight="1">
      <c r="C11130" s="701"/>
      <c r="D11130" s="811"/>
      <c r="E11130" s="1276">
        <f>[11]building!Y11461</f>
        <v>0</v>
      </c>
      <c r="F11130" s="748">
        <f t="shared" si="412"/>
        <v>0</v>
      </c>
      <c r="G11130" s="1205"/>
      <c r="H11130" s="1055"/>
      <c r="I11130" s="1055"/>
      <c r="J11130" s="1055"/>
      <c r="K11130" s="1205"/>
      <c r="L11130" s="1055"/>
      <c r="M11130" s="1205"/>
      <c r="N11130" s="1054"/>
      <c r="O11130" s="1207"/>
      <c r="Q11130" s="1207"/>
    </row>
    <row r="11131" spans="3:17" s="700" customFormat="1" ht="70.5" hidden="1" customHeight="1">
      <c r="C11131" s="701"/>
      <c r="D11131" s="811"/>
      <c r="E11131" s="1276">
        <f>[11]building!Y11462</f>
        <v>0</v>
      </c>
      <c r="F11131" s="748">
        <f t="shared" si="412"/>
        <v>0</v>
      </c>
      <c r="G11131" s="1205"/>
      <c r="H11131" s="1055"/>
      <c r="I11131" s="1055"/>
      <c r="J11131" s="1055"/>
      <c r="K11131" s="1205"/>
      <c r="L11131" s="1055"/>
      <c r="M11131" s="1205"/>
      <c r="N11131" s="1054"/>
      <c r="O11131" s="1207"/>
      <c r="Q11131" s="1207"/>
    </row>
    <row r="11132" spans="3:17" s="700" customFormat="1" ht="70.5" hidden="1" customHeight="1">
      <c r="C11132" s="701"/>
      <c r="D11132" s="811"/>
      <c r="E11132" s="1276">
        <f>[11]building!Y11463</f>
        <v>0</v>
      </c>
      <c r="F11132" s="748">
        <f t="shared" si="412"/>
        <v>0</v>
      </c>
      <c r="G11132" s="1205"/>
      <c r="H11132" s="1055"/>
      <c r="I11132" s="1055"/>
      <c r="J11132" s="1055"/>
      <c r="K11132" s="1205"/>
      <c r="L11132" s="1055"/>
      <c r="M11132" s="1205"/>
      <c r="N11132" s="1054"/>
      <c r="O11132" s="1207"/>
      <c r="Q11132" s="1207"/>
    </row>
    <row r="11133" spans="3:17" s="700" customFormat="1" ht="70.5" hidden="1" customHeight="1">
      <c r="C11133" s="701"/>
      <c r="D11133" s="811"/>
      <c r="E11133" s="1276">
        <f>[11]building!Y11464</f>
        <v>0</v>
      </c>
      <c r="F11133" s="748">
        <f t="shared" si="412"/>
        <v>0</v>
      </c>
      <c r="G11133" s="1205"/>
      <c r="H11133" s="1055"/>
      <c r="I11133" s="1055"/>
      <c r="J11133" s="1055"/>
      <c r="K11133" s="1205"/>
      <c r="L11133" s="1055"/>
      <c r="M11133" s="1205"/>
      <c r="N11133" s="1054"/>
      <c r="O11133" s="1207"/>
      <c r="Q11133" s="1207"/>
    </row>
    <row r="11134" spans="3:17" s="700" customFormat="1" ht="70.5" hidden="1" customHeight="1">
      <c r="C11134" s="701"/>
      <c r="D11134" s="811"/>
      <c r="E11134" s="1276">
        <f>[11]building!Y11465</f>
        <v>0</v>
      </c>
      <c r="F11134" s="748">
        <f t="shared" si="412"/>
        <v>0</v>
      </c>
      <c r="G11134" s="1205"/>
      <c r="H11134" s="1055"/>
      <c r="I11134" s="1055"/>
      <c r="J11134" s="1055"/>
      <c r="K11134" s="1205"/>
      <c r="L11134" s="1055"/>
      <c r="M11134" s="1205"/>
      <c r="N11134" s="1054"/>
      <c r="O11134" s="1207"/>
      <c r="Q11134" s="1207"/>
    </row>
    <row r="11135" spans="3:17" s="700" customFormat="1" ht="70.5" hidden="1" customHeight="1">
      <c r="C11135" s="701"/>
      <c r="D11135" s="811"/>
      <c r="E11135" s="1276">
        <f>[11]building!Y11466</f>
        <v>0</v>
      </c>
      <c r="F11135" s="748">
        <f t="shared" si="412"/>
        <v>0</v>
      </c>
      <c r="G11135" s="1205"/>
      <c r="H11135" s="1055"/>
      <c r="I11135" s="1055"/>
      <c r="J11135" s="1055"/>
      <c r="K11135" s="1205"/>
      <c r="L11135" s="1055"/>
      <c r="M11135" s="1205"/>
      <c r="N11135" s="1054"/>
      <c r="O11135" s="1207"/>
      <c r="Q11135" s="1207"/>
    </row>
    <row r="11136" spans="3:17" s="700" customFormat="1" ht="70.5" hidden="1" customHeight="1">
      <c r="C11136" s="701"/>
      <c r="D11136" s="811"/>
      <c r="E11136" s="1276">
        <f>[11]building!Y11467</f>
        <v>0</v>
      </c>
      <c r="F11136" s="748">
        <f t="shared" ref="F11136:F11199" si="413">E11136*C11136</f>
        <v>0</v>
      </c>
      <c r="G11136" s="1205"/>
      <c r="H11136" s="1055"/>
      <c r="I11136" s="1055"/>
      <c r="J11136" s="1055"/>
      <c r="K11136" s="1205"/>
      <c r="L11136" s="1055"/>
      <c r="M11136" s="1205"/>
      <c r="N11136" s="1054"/>
      <c r="O11136" s="1207"/>
      <c r="Q11136" s="1207"/>
    </row>
    <row r="11137" spans="3:17" s="700" customFormat="1" ht="70.5" hidden="1" customHeight="1">
      <c r="C11137" s="701"/>
      <c r="D11137" s="811"/>
      <c r="E11137" s="1276">
        <f>[11]building!Y11468</f>
        <v>0</v>
      </c>
      <c r="F11137" s="748">
        <f t="shared" si="413"/>
        <v>0</v>
      </c>
      <c r="G11137" s="1205"/>
      <c r="H11137" s="1055"/>
      <c r="I11137" s="1055"/>
      <c r="J11137" s="1055"/>
      <c r="K11137" s="1205"/>
      <c r="L11137" s="1055"/>
      <c r="M11137" s="1205"/>
      <c r="N11137" s="1054"/>
      <c r="O11137" s="1207"/>
      <c r="Q11137" s="1207"/>
    </row>
    <row r="11138" spans="3:17" s="700" customFormat="1" ht="70.5" hidden="1" customHeight="1">
      <c r="C11138" s="701"/>
      <c r="D11138" s="811"/>
      <c r="E11138" s="1276">
        <f>[11]building!Y11469</f>
        <v>0</v>
      </c>
      <c r="F11138" s="748">
        <f t="shared" si="413"/>
        <v>0</v>
      </c>
      <c r="G11138" s="1205"/>
      <c r="H11138" s="1055"/>
      <c r="I11138" s="1055"/>
      <c r="J11138" s="1055"/>
      <c r="K11138" s="1205"/>
      <c r="L11138" s="1055"/>
      <c r="M11138" s="1205"/>
      <c r="N11138" s="1054"/>
      <c r="O11138" s="1207"/>
      <c r="Q11138" s="1207"/>
    </row>
    <row r="11139" spans="3:17" s="700" customFormat="1" ht="70.5" hidden="1" customHeight="1">
      <c r="C11139" s="701"/>
      <c r="D11139" s="811"/>
      <c r="E11139" s="1276">
        <f>[11]building!Y11470</f>
        <v>0</v>
      </c>
      <c r="F11139" s="748">
        <f t="shared" si="413"/>
        <v>0</v>
      </c>
      <c r="G11139" s="1205"/>
      <c r="H11139" s="1055"/>
      <c r="I11139" s="1055"/>
      <c r="J11139" s="1055"/>
      <c r="K11139" s="1205"/>
      <c r="L11139" s="1055"/>
      <c r="M11139" s="1205"/>
      <c r="N11139" s="1054"/>
      <c r="O11139" s="1207"/>
      <c r="Q11139" s="1207"/>
    </row>
    <row r="11140" spans="3:17" s="700" customFormat="1" ht="70.5" hidden="1" customHeight="1">
      <c r="C11140" s="701"/>
      <c r="D11140" s="811"/>
      <c r="E11140" s="1276">
        <f>[11]building!Y11471</f>
        <v>0</v>
      </c>
      <c r="F11140" s="748">
        <f t="shared" si="413"/>
        <v>0</v>
      </c>
      <c r="G11140" s="1205"/>
      <c r="H11140" s="1055"/>
      <c r="I11140" s="1055"/>
      <c r="J11140" s="1055"/>
      <c r="K11140" s="1205"/>
      <c r="L11140" s="1055"/>
      <c r="M11140" s="1205"/>
      <c r="N11140" s="1054"/>
      <c r="O11140" s="1207"/>
      <c r="Q11140" s="1207"/>
    </row>
    <row r="11141" spans="3:17" s="700" customFormat="1" ht="70.5" hidden="1" customHeight="1">
      <c r="C11141" s="701"/>
      <c r="D11141" s="811"/>
      <c r="E11141" s="1276">
        <f>[11]building!Y11472</f>
        <v>0</v>
      </c>
      <c r="F11141" s="748">
        <f t="shared" si="413"/>
        <v>0</v>
      </c>
      <c r="G11141" s="1205"/>
      <c r="H11141" s="1055"/>
      <c r="I11141" s="1055"/>
      <c r="J11141" s="1055"/>
      <c r="K11141" s="1205"/>
      <c r="L11141" s="1055"/>
      <c r="M11141" s="1205"/>
      <c r="N11141" s="1054"/>
      <c r="O11141" s="1207"/>
      <c r="Q11141" s="1207"/>
    </row>
    <row r="11142" spans="3:17" s="700" customFormat="1" ht="70.5" hidden="1" customHeight="1">
      <c r="C11142" s="701"/>
      <c r="D11142" s="811"/>
      <c r="E11142" s="1276">
        <f>[11]building!Y11473</f>
        <v>0</v>
      </c>
      <c r="F11142" s="748">
        <f t="shared" si="413"/>
        <v>0</v>
      </c>
      <c r="G11142" s="1205"/>
      <c r="H11142" s="1055"/>
      <c r="I11142" s="1055"/>
      <c r="J11142" s="1055"/>
      <c r="K11142" s="1205"/>
      <c r="L11142" s="1055"/>
      <c r="M11142" s="1205"/>
      <c r="N11142" s="1054"/>
      <c r="O11142" s="1207"/>
      <c r="Q11142" s="1207"/>
    </row>
    <row r="11143" spans="3:17" s="700" customFormat="1" ht="70.5" hidden="1" customHeight="1">
      <c r="C11143" s="701"/>
      <c r="D11143" s="811"/>
      <c r="E11143" s="1276">
        <f>[11]building!Y11474</f>
        <v>0</v>
      </c>
      <c r="F11143" s="748">
        <f t="shared" si="413"/>
        <v>0</v>
      </c>
      <c r="G11143" s="1205"/>
      <c r="H11143" s="1055"/>
      <c r="I11143" s="1055"/>
      <c r="J11143" s="1055"/>
      <c r="K11143" s="1205"/>
      <c r="L11143" s="1055"/>
      <c r="M11143" s="1205"/>
      <c r="N11143" s="1054"/>
      <c r="O11143" s="1207"/>
      <c r="Q11143" s="1207"/>
    </row>
    <row r="11144" spans="3:17" s="700" customFormat="1" ht="70.5" hidden="1" customHeight="1">
      <c r="C11144" s="701"/>
      <c r="D11144" s="811"/>
      <c r="E11144" s="1276">
        <f>[11]building!Y11475</f>
        <v>0</v>
      </c>
      <c r="F11144" s="748">
        <f t="shared" si="413"/>
        <v>0</v>
      </c>
      <c r="G11144" s="1205"/>
      <c r="H11144" s="1055"/>
      <c r="I11144" s="1055"/>
      <c r="J11144" s="1055"/>
      <c r="K11144" s="1205"/>
      <c r="L11144" s="1055"/>
      <c r="M11144" s="1205"/>
      <c r="N11144" s="1054"/>
      <c r="O11144" s="1207"/>
      <c r="Q11144" s="1207"/>
    </row>
    <row r="11145" spans="3:17" s="700" customFormat="1" ht="70.5" hidden="1" customHeight="1">
      <c r="C11145" s="701"/>
      <c r="D11145" s="811"/>
      <c r="E11145" s="1276">
        <f>[11]building!Y11476</f>
        <v>0</v>
      </c>
      <c r="F11145" s="748">
        <f t="shared" si="413"/>
        <v>0</v>
      </c>
      <c r="G11145" s="1205"/>
      <c r="H11145" s="1055"/>
      <c r="I11145" s="1055"/>
      <c r="J11145" s="1055"/>
      <c r="K11145" s="1205"/>
      <c r="L11145" s="1055"/>
      <c r="M11145" s="1205"/>
      <c r="N11145" s="1054"/>
      <c r="O11145" s="1207"/>
      <c r="Q11145" s="1207"/>
    </row>
    <row r="11146" spans="3:17" s="700" customFormat="1" ht="70.5" hidden="1" customHeight="1">
      <c r="C11146" s="701"/>
      <c r="D11146" s="811"/>
      <c r="E11146" s="1276">
        <f>[11]building!Y11477</f>
        <v>0</v>
      </c>
      <c r="F11146" s="748">
        <f t="shared" si="413"/>
        <v>0</v>
      </c>
      <c r="G11146" s="1205"/>
      <c r="H11146" s="1055"/>
      <c r="I11146" s="1055"/>
      <c r="J11146" s="1055"/>
      <c r="K11146" s="1205"/>
      <c r="L11146" s="1055"/>
      <c r="M11146" s="1205"/>
      <c r="N11146" s="1054"/>
      <c r="O11146" s="1207"/>
      <c r="Q11146" s="1207"/>
    </row>
    <row r="11147" spans="3:17" s="700" customFormat="1" ht="70.5" hidden="1" customHeight="1">
      <c r="C11147" s="701"/>
      <c r="D11147" s="811"/>
      <c r="E11147" s="1276">
        <f>[11]building!Y11478</f>
        <v>0</v>
      </c>
      <c r="F11147" s="748">
        <f t="shared" si="413"/>
        <v>0</v>
      </c>
      <c r="G11147" s="1205"/>
      <c r="H11147" s="1055"/>
      <c r="I11147" s="1055"/>
      <c r="J11147" s="1055"/>
      <c r="K11147" s="1205"/>
      <c r="L11147" s="1055"/>
      <c r="M11147" s="1205"/>
      <c r="N11147" s="1054"/>
      <c r="O11147" s="1207"/>
      <c r="Q11147" s="1207"/>
    </row>
    <row r="11148" spans="3:17" s="700" customFormat="1" ht="70.5" hidden="1" customHeight="1">
      <c r="C11148" s="701"/>
      <c r="D11148" s="811"/>
      <c r="E11148" s="1276">
        <f>[11]building!Y11479</f>
        <v>0</v>
      </c>
      <c r="F11148" s="748">
        <f t="shared" si="413"/>
        <v>0</v>
      </c>
      <c r="G11148" s="1205"/>
      <c r="H11148" s="1055"/>
      <c r="I11148" s="1055"/>
      <c r="J11148" s="1055"/>
      <c r="K11148" s="1205"/>
      <c r="L11148" s="1055"/>
      <c r="M11148" s="1205"/>
      <c r="N11148" s="1054"/>
      <c r="O11148" s="1207"/>
      <c r="Q11148" s="1207"/>
    </row>
    <row r="11149" spans="3:17" s="700" customFormat="1" ht="70.5" hidden="1" customHeight="1">
      <c r="C11149" s="701"/>
      <c r="D11149" s="811"/>
      <c r="E11149" s="1276">
        <f>[11]building!Y11480</f>
        <v>0</v>
      </c>
      <c r="F11149" s="748">
        <f t="shared" si="413"/>
        <v>0</v>
      </c>
      <c r="G11149" s="1205"/>
      <c r="H11149" s="1055"/>
      <c r="I11149" s="1055"/>
      <c r="J11149" s="1055"/>
      <c r="K11149" s="1205"/>
      <c r="L11149" s="1055"/>
      <c r="M11149" s="1205"/>
      <c r="N11149" s="1054"/>
      <c r="O11149" s="1207"/>
      <c r="Q11149" s="1207"/>
    </row>
    <row r="11150" spans="3:17" s="700" customFormat="1" ht="70.5" hidden="1" customHeight="1">
      <c r="C11150" s="701"/>
      <c r="D11150" s="811"/>
      <c r="E11150" s="1276">
        <f>[11]building!Y11481</f>
        <v>0</v>
      </c>
      <c r="F11150" s="748">
        <f t="shared" si="413"/>
        <v>0</v>
      </c>
      <c r="G11150" s="1205"/>
      <c r="H11150" s="1055"/>
      <c r="I11150" s="1055"/>
      <c r="J11150" s="1055"/>
      <c r="K11150" s="1205"/>
      <c r="L11150" s="1055"/>
      <c r="M11150" s="1205"/>
      <c r="N11150" s="1054"/>
      <c r="O11150" s="1207"/>
      <c r="Q11150" s="1207"/>
    </row>
    <row r="11151" spans="3:17" s="700" customFormat="1" ht="70.5" hidden="1" customHeight="1">
      <c r="C11151" s="701"/>
      <c r="D11151" s="811"/>
      <c r="E11151" s="1276">
        <f>[11]building!Y11482</f>
        <v>0</v>
      </c>
      <c r="F11151" s="748">
        <f t="shared" si="413"/>
        <v>0</v>
      </c>
      <c r="G11151" s="1205"/>
      <c r="H11151" s="1055"/>
      <c r="I11151" s="1055"/>
      <c r="J11151" s="1055"/>
      <c r="K11151" s="1205"/>
      <c r="L11151" s="1055"/>
      <c r="M11151" s="1205"/>
      <c r="N11151" s="1054"/>
      <c r="O11151" s="1207"/>
      <c r="Q11151" s="1207"/>
    </row>
    <row r="11152" spans="3:17" s="700" customFormat="1" ht="70.5" hidden="1" customHeight="1">
      <c r="C11152" s="701"/>
      <c r="D11152" s="811"/>
      <c r="E11152" s="1276">
        <f>[11]building!Y11483</f>
        <v>0</v>
      </c>
      <c r="F11152" s="748">
        <f t="shared" si="413"/>
        <v>0</v>
      </c>
      <c r="G11152" s="1205"/>
      <c r="H11152" s="1055"/>
      <c r="I11152" s="1055"/>
      <c r="J11152" s="1055"/>
      <c r="K11152" s="1205"/>
      <c r="L11152" s="1055"/>
      <c r="M11152" s="1205"/>
      <c r="N11152" s="1054"/>
      <c r="O11152" s="1207"/>
      <c r="Q11152" s="1207"/>
    </row>
    <row r="11153" spans="3:17" s="700" customFormat="1" ht="70.5" hidden="1" customHeight="1">
      <c r="C11153" s="701"/>
      <c r="D11153" s="811"/>
      <c r="E11153" s="1276">
        <f>[11]building!Y11484</f>
        <v>0</v>
      </c>
      <c r="F11153" s="748">
        <f t="shared" si="413"/>
        <v>0</v>
      </c>
      <c r="G11153" s="1205"/>
      <c r="H11153" s="1055"/>
      <c r="I11153" s="1055"/>
      <c r="J11153" s="1055"/>
      <c r="K11153" s="1205"/>
      <c r="L11153" s="1055"/>
      <c r="M11153" s="1205"/>
      <c r="N11153" s="1054"/>
      <c r="O11153" s="1207"/>
      <c r="Q11153" s="1207"/>
    </row>
    <row r="11154" spans="3:17" s="700" customFormat="1" ht="70.5" hidden="1" customHeight="1">
      <c r="C11154" s="701"/>
      <c r="D11154" s="811"/>
      <c r="E11154" s="1276">
        <f>[11]building!Y11485</f>
        <v>0</v>
      </c>
      <c r="F11154" s="748">
        <f t="shared" si="413"/>
        <v>0</v>
      </c>
      <c r="G11154" s="1205"/>
      <c r="H11154" s="1055"/>
      <c r="I11154" s="1055"/>
      <c r="J11154" s="1055"/>
      <c r="K11154" s="1205"/>
      <c r="L11154" s="1055"/>
      <c r="M11154" s="1205"/>
      <c r="N11154" s="1054"/>
      <c r="O11154" s="1207"/>
      <c r="Q11154" s="1207"/>
    </row>
    <row r="11155" spans="3:17" s="700" customFormat="1" ht="70.5" hidden="1" customHeight="1">
      <c r="C11155" s="701"/>
      <c r="D11155" s="811"/>
      <c r="E11155" s="1276">
        <f>[11]building!Y11486</f>
        <v>0</v>
      </c>
      <c r="F11155" s="748">
        <f t="shared" si="413"/>
        <v>0</v>
      </c>
      <c r="G11155" s="1205"/>
      <c r="H11155" s="1055"/>
      <c r="I11155" s="1055"/>
      <c r="J11155" s="1055"/>
      <c r="K11155" s="1205"/>
      <c r="L11155" s="1055"/>
      <c r="M11155" s="1205"/>
      <c r="N11155" s="1054"/>
      <c r="O11155" s="1207"/>
      <c r="Q11155" s="1207"/>
    </row>
    <row r="11156" spans="3:17" s="700" customFormat="1" ht="70.5" hidden="1" customHeight="1">
      <c r="C11156" s="701"/>
      <c r="D11156" s="811"/>
      <c r="E11156" s="1276">
        <f>[11]building!Y11487</f>
        <v>0</v>
      </c>
      <c r="F11156" s="748">
        <f t="shared" si="413"/>
        <v>0</v>
      </c>
      <c r="G11156" s="1205"/>
      <c r="H11156" s="1055"/>
      <c r="I11156" s="1055"/>
      <c r="J11156" s="1055"/>
      <c r="K11156" s="1205"/>
      <c r="L11156" s="1055"/>
      <c r="M11156" s="1205"/>
      <c r="N11156" s="1054"/>
      <c r="O11156" s="1207"/>
      <c r="Q11156" s="1207"/>
    </row>
    <row r="11157" spans="3:17" s="700" customFormat="1" ht="70.5" hidden="1" customHeight="1">
      <c r="C11157" s="701"/>
      <c r="D11157" s="811"/>
      <c r="E11157" s="1276">
        <f>[11]building!Y11488</f>
        <v>0</v>
      </c>
      <c r="F11157" s="748">
        <f t="shared" si="413"/>
        <v>0</v>
      </c>
      <c r="G11157" s="1205"/>
      <c r="H11157" s="1055"/>
      <c r="I11157" s="1055"/>
      <c r="J11157" s="1055"/>
      <c r="K11157" s="1205"/>
      <c r="L11157" s="1055"/>
      <c r="M11157" s="1205"/>
      <c r="N11157" s="1054"/>
      <c r="O11157" s="1207"/>
      <c r="Q11157" s="1207"/>
    </row>
    <row r="11158" spans="3:17" s="700" customFormat="1" ht="70.5" hidden="1" customHeight="1">
      <c r="C11158" s="701"/>
      <c r="D11158" s="811"/>
      <c r="E11158" s="1276">
        <f>[11]building!Y11489</f>
        <v>0</v>
      </c>
      <c r="F11158" s="748">
        <f t="shared" si="413"/>
        <v>0</v>
      </c>
      <c r="G11158" s="1205"/>
      <c r="H11158" s="1055"/>
      <c r="I11158" s="1055"/>
      <c r="J11158" s="1055"/>
      <c r="K11158" s="1205"/>
      <c r="L11158" s="1055"/>
      <c r="M11158" s="1205"/>
      <c r="N11158" s="1054"/>
      <c r="O11158" s="1207"/>
      <c r="Q11158" s="1207"/>
    </row>
    <row r="11159" spans="3:17" s="700" customFormat="1" ht="70.5" hidden="1" customHeight="1">
      <c r="C11159" s="701"/>
      <c r="D11159" s="811"/>
      <c r="E11159" s="1276">
        <f>[11]building!Y11490</f>
        <v>0</v>
      </c>
      <c r="F11159" s="748">
        <f t="shared" si="413"/>
        <v>0</v>
      </c>
      <c r="G11159" s="1205"/>
      <c r="H11159" s="1055"/>
      <c r="I11159" s="1055"/>
      <c r="J11159" s="1055"/>
      <c r="K11159" s="1205"/>
      <c r="L11159" s="1055"/>
      <c r="M11159" s="1205"/>
      <c r="N11159" s="1054"/>
      <c r="O11159" s="1207"/>
      <c r="Q11159" s="1207"/>
    </row>
    <row r="11160" spans="3:17" s="700" customFormat="1" ht="70.5" hidden="1" customHeight="1">
      <c r="C11160" s="701"/>
      <c r="D11160" s="811"/>
      <c r="E11160" s="1276">
        <f>[11]building!Y11491</f>
        <v>0</v>
      </c>
      <c r="F11160" s="748">
        <f t="shared" si="413"/>
        <v>0</v>
      </c>
      <c r="G11160" s="1205"/>
      <c r="H11160" s="1055"/>
      <c r="I11160" s="1055"/>
      <c r="J11160" s="1055"/>
      <c r="K11160" s="1205"/>
      <c r="L11160" s="1055"/>
      <c r="M11160" s="1205"/>
      <c r="N11160" s="1054"/>
      <c r="O11160" s="1207"/>
      <c r="Q11160" s="1207"/>
    </row>
    <row r="11161" spans="3:17" s="700" customFormat="1" ht="70.5" hidden="1" customHeight="1">
      <c r="C11161" s="701"/>
      <c r="D11161" s="811"/>
      <c r="E11161" s="1276">
        <f>[11]building!Y11492</f>
        <v>0</v>
      </c>
      <c r="F11161" s="748">
        <f t="shared" si="413"/>
        <v>0</v>
      </c>
      <c r="G11161" s="1205"/>
      <c r="H11161" s="1055"/>
      <c r="I11161" s="1055"/>
      <c r="J11161" s="1055"/>
      <c r="K11161" s="1205"/>
      <c r="L11161" s="1055"/>
      <c r="M11161" s="1205"/>
      <c r="N11161" s="1054"/>
      <c r="O11161" s="1207"/>
      <c r="Q11161" s="1207"/>
    </row>
    <row r="11162" spans="3:17" s="700" customFormat="1" ht="70.5" hidden="1" customHeight="1">
      <c r="C11162" s="701"/>
      <c r="D11162" s="811"/>
      <c r="E11162" s="1276">
        <f>[11]building!Y11493</f>
        <v>0</v>
      </c>
      <c r="F11162" s="748">
        <f t="shared" si="413"/>
        <v>0</v>
      </c>
      <c r="G11162" s="1205"/>
      <c r="H11162" s="1055"/>
      <c r="I11162" s="1055"/>
      <c r="J11162" s="1055"/>
      <c r="K11162" s="1205"/>
      <c r="L11162" s="1055"/>
      <c r="M11162" s="1205"/>
      <c r="N11162" s="1054"/>
      <c r="O11162" s="1207"/>
      <c r="Q11162" s="1207"/>
    </row>
    <row r="11163" spans="3:17" s="700" customFormat="1" ht="70.5" hidden="1" customHeight="1">
      <c r="C11163" s="701"/>
      <c r="D11163" s="811"/>
      <c r="E11163" s="1276">
        <f>[11]building!Y11494</f>
        <v>0</v>
      </c>
      <c r="F11163" s="748">
        <f t="shared" si="413"/>
        <v>0</v>
      </c>
      <c r="G11163" s="1205"/>
      <c r="H11163" s="1055"/>
      <c r="I11163" s="1055"/>
      <c r="J11163" s="1055"/>
      <c r="K11163" s="1205"/>
      <c r="L11163" s="1055"/>
      <c r="M11163" s="1205"/>
      <c r="N11163" s="1054"/>
      <c r="O11163" s="1207"/>
      <c r="Q11163" s="1207"/>
    </row>
    <row r="11164" spans="3:17" s="700" customFormat="1" ht="70.5" hidden="1" customHeight="1">
      <c r="C11164" s="701"/>
      <c r="D11164" s="811"/>
      <c r="E11164" s="1276">
        <f>[11]building!Y11495</f>
        <v>0</v>
      </c>
      <c r="F11164" s="748">
        <f t="shared" si="413"/>
        <v>0</v>
      </c>
      <c r="G11164" s="1205"/>
      <c r="H11164" s="1055"/>
      <c r="I11164" s="1055"/>
      <c r="J11164" s="1055"/>
      <c r="K11164" s="1205"/>
      <c r="L11164" s="1055"/>
      <c r="M11164" s="1205"/>
      <c r="N11164" s="1054"/>
      <c r="O11164" s="1207"/>
      <c r="Q11164" s="1207"/>
    </row>
    <row r="11165" spans="3:17" s="700" customFormat="1" ht="70.5" hidden="1" customHeight="1">
      <c r="C11165" s="701"/>
      <c r="D11165" s="811"/>
      <c r="E11165" s="1276">
        <f>[11]building!Y11496</f>
        <v>0</v>
      </c>
      <c r="F11165" s="748">
        <f t="shared" si="413"/>
        <v>0</v>
      </c>
      <c r="G11165" s="1205"/>
      <c r="H11165" s="1055"/>
      <c r="I11165" s="1055"/>
      <c r="J11165" s="1055"/>
      <c r="K11165" s="1205"/>
      <c r="L11165" s="1055"/>
      <c r="M11165" s="1205"/>
      <c r="N11165" s="1054"/>
      <c r="O11165" s="1207"/>
      <c r="Q11165" s="1207"/>
    </row>
    <row r="11166" spans="3:17" s="700" customFormat="1" ht="70.5" hidden="1" customHeight="1">
      <c r="C11166" s="701"/>
      <c r="D11166" s="811"/>
      <c r="E11166" s="1276">
        <f>[11]building!Y11497</f>
        <v>0</v>
      </c>
      <c r="F11166" s="748">
        <f t="shared" si="413"/>
        <v>0</v>
      </c>
      <c r="G11166" s="1205"/>
      <c r="H11166" s="1055"/>
      <c r="I11166" s="1055"/>
      <c r="J11166" s="1055"/>
      <c r="K11166" s="1205"/>
      <c r="L11166" s="1055"/>
      <c r="M11166" s="1205"/>
      <c r="N11166" s="1054"/>
      <c r="O11166" s="1207"/>
      <c r="Q11166" s="1207"/>
    </row>
    <row r="11167" spans="3:17" s="700" customFormat="1" ht="70.5" hidden="1" customHeight="1">
      <c r="C11167" s="701"/>
      <c r="D11167" s="811"/>
      <c r="E11167" s="1276">
        <f>[11]building!Y11498</f>
        <v>0</v>
      </c>
      <c r="F11167" s="748">
        <f t="shared" si="413"/>
        <v>0</v>
      </c>
      <c r="G11167" s="1205"/>
      <c r="H11167" s="1055"/>
      <c r="I11167" s="1055"/>
      <c r="J11167" s="1055"/>
      <c r="K11167" s="1205"/>
      <c r="L11167" s="1055"/>
      <c r="M11167" s="1205"/>
      <c r="N11167" s="1054"/>
      <c r="O11167" s="1207"/>
      <c r="Q11167" s="1207"/>
    </row>
    <row r="11168" spans="3:17" s="700" customFormat="1" ht="70.5" hidden="1" customHeight="1">
      <c r="C11168" s="701"/>
      <c r="D11168" s="811"/>
      <c r="E11168" s="1276">
        <f>[11]building!Y11499</f>
        <v>0</v>
      </c>
      <c r="F11168" s="748">
        <f t="shared" si="413"/>
        <v>0</v>
      </c>
      <c r="G11168" s="1205"/>
      <c r="H11168" s="1055"/>
      <c r="I11168" s="1055"/>
      <c r="J11168" s="1055"/>
      <c r="K11168" s="1205"/>
      <c r="L11168" s="1055"/>
      <c r="M11168" s="1205"/>
      <c r="N11168" s="1054"/>
      <c r="O11168" s="1207"/>
      <c r="Q11168" s="1207"/>
    </row>
    <row r="11169" spans="3:17" s="700" customFormat="1" ht="70.5" hidden="1" customHeight="1">
      <c r="C11169" s="701"/>
      <c r="D11169" s="811"/>
      <c r="E11169" s="1276">
        <f>[11]building!Y11500</f>
        <v>0</v>
      </c>
      <c r="F11169" s="748">
        <f t="shared" si="413"/>
        <v>0</v>
      </c>
      <c r="G11169" s="1205"/>
      <c r="H11169" s="1055"/>
      <c r="I11169" s="1055"/>
      <c r="J11169" s="1055"/>
      <c r="K11169" s="1205"/>
      <c r="L11169" s="1055"/>
      <c r="M11169" s="1205"/>
      <c r="N11169" s="1054"/>
      <c r="O11169" s="1207"/>
      <c r="Q11169" s="1207"/>
    </row>
    <row r="11170" spans="3:17" s="700" customFormat="1" ht="70.5" hidden="1" customHeight="1">
      <c r="C11170" s="701"/>
      <c r="D11170" s="811"/>
      <c r="E11170" s="1276">
        <f>[11]building!Y11501</f>
        <v>0</v>
      </c>
      <c r="F11170" s="748">
        <f t="shared" si="413"/>
        <v>0</v>
      </c>
      <c r="G11170" s="1205"/>
      <c r="H11170" s="1055"/>
      <c r="I11170" s="1055"/>
      <c r="J11170" s="1055"/>
      <c r="K11170" s="1205"/>
      <c r="L11170" s="1055"/>
      <c r="M11170" s="1205"/>
      <c r="N11170" s="1054"/>
      <c r="O11170" s="1207"/>
      <c r="Q11170" s="1207"/>
    </row>
    <row r="11171" spans="3:17" s="700" customFormat="1" ht="70.5" hidden="1" customHeight="1">
      <c r="C11171" s="701"/>
      <c r="D11171" s="811"/>
      <c r="E11171" s="1276">
        <f>[11]building!Y11502</f>
        <v>0</v>
      </c>
      <c r="F11171" s="748">
        <f t="shared" si="413"/>
        <v>0</v>
      </c>
      <c r="G11171" s="1205"/>
      <c r="H11171" s="1055"/>
      <c r="I11171" s="1055"/>
      <c r="J11171" s="1055"/>
      <c r="K11171" s="1205"/>
      <c r="L11171" s="1055"/>
      <c r="M11171" s="1205"/>
      <c r="N11171" s="1054"/>
      <c r="O11171" s="1207"/>
      <c r="Q11171" s="1207"/>
    </row>
    <row r="11172" spans="3:17" s="700" customFormat="1" ht="70.5" hidden="1" customHeight="1">
      <c r="C11172" s="701"/>
      <c r="D11172" s="811"/>
      <c r="E11172" s="1276">
        <f>[11]building!Y11503</f>
        <v>0</v>
      </c>
      <c r="F11172" s="748">
        <f t="shared" si="413"/>
        <v>0</v>
      </c>
      <c r="G11172" s="1205"/>
      <c r="H11172" s="1055"/>
      <c r="I11172" s="1055"/>
      <c r="J11172" s="1055"/>
      <c r="K11172" s="1205"/>
      <c r="L11172" s="1055"/>
      <c r="M11172" s="1205"/>
      <c r="N11172" s="1054"/>
      <c r="O11172" s="1207"/>
      <c r="Q11172" s="1207"/>
    </row>
    <row r="11173" spans="3:17" s="700" customFormat="1" ht="70.5" hidden="1" customHeight="1">
      <c r="C11173" s="701"/>
      <c r="D11173" s="811"/>
      <c r="E11173" s="1276">
        <f>[11]building!Y11504</f>
        <v>0</v>
      </c>
      <c r="F11173" s="748">
        <f t="shared" si="413"/>
        <v>0</v>
      </c>
      <c r="G11173" s="1205"/>
      <c r="H11173" s="1055"/>
      <c r="I11173" s="1055"/>
      <c r="J11173" s="1055"/>
      <c r="K11173" s="1205"/>
      <c r="L11173" s="1055"/>
      <c r="M11173" s="1205"/>
      <c r="N11173" s="1054"/>
      <c r="O11173" s="1207"/>
      <c r="Q11173" s="1207"/>
    </row>
    <row r="11174" spans="3:17" s="700" customFormat="1" ht="70.5" hidden="1" customHeight="1">
      <c r="C11174" s="701"/>
      <c r="D11174" s="811"/>
      <c r="E11174" s="1276">
        <f>[11]building!Y11505</f>
        <v>0</v>
      </c>
      <c r="F11174" s="748">
        <f t="shared" si="413"/>
        <v>0</v>
      </c>
      <c r="G11174" s="1205"/>
      <c r="H11174" s="1055"/>
      <c r="I11174" s="1055"/>
      <c r="J11174" s="1055"/>
      <c r="K11174" s="1205"/>
      <c r="L11174" s="1055"/>
      <c r="M11174" s="1205"/>
      <c r="N11174" s="1054"/>
      <c r="O11174" s="1207"/>
      <c r="Q11174" s="1207"/>
    </row>
    <row r="11175" spans="3:17" s="700" customFormat="1" ht="70.5" hidden="1" customHeight="1">
      <c r="C11175" s="701"/>
      <c r="D11175" s="811"/>
      <c r="E11175" s="1276">
        <f>[11]building!Y11506</f>
        <v>0</v>
      </c>
      <c r="F11175" s="748">
        <f t="shared" si="413"/>
        <v>0</v>
      </c>
      <c r="G11175" s="1205"/>
      <c r="H11175" s="1055"/>
      <c r="I11175" s="1055"/>
      <c r="J11175" s="1055"/>
      <c r="K11175" s="1205"/>
      <c r="L11175" s="1055"/>
      <c r="M11175" s="1205"/>
      <c r="N11175" s="1054"/>
      <c r="O11175" s="1207"/>
      <c r="Q11175" s="1207"/>
    </row>
    <row r="11176" spans="3:17" s="700" customFormat="1" ht="70.5" hidden="1" customHeight="1">
      <c r="C11176" s="701"/>
      <c r="D11176" s="811"/>
      <c r="E11176" s="1276">
        <f>[11]building!Y11507</f>
        <v>0</v>
      </c>
      <c r="F11176" s="748">
        <f t="shared" si="413"/>
        <v>0</v>
      </c>
      <c r="G11176" s="1205"/>
      <c r="H11176" s="1055"/>
      <c r="I11176" s="1055"/>
      <c r="J11176" s="1055"/>
      <c r="K11176" s="1205"/>
      <c r="L11176" s="1055"/>
      <c r="M11176" s="1205"/>
      <c r="N11176" s="1054"/>
      <c r="O11176" s="1207"/>
      <c r="Q11176" s="1207"/>
    </row>
    <row r="11177" spans="3:17" s="700" customFormat="1" ht="70.5" hidden="1" customHeight="1">
      <c r="C11177" s="701"/>
      <c r="D11177" s="811"/>
      <c r="E11177" s="1276">
        <f>[11]building!Y11508</f>
        <v>0</v>
      </c>
      <c r="F11177" s="748">
        <f t="shared" si="413"/>
        <v>0</v>
      </c>
      <c r="G11177" s="1205"/>
      <c r="H11177" s="1055"/>
      <c r="I11177" s="1055"/>
      <c r="J11177" s="1055"/>
      <c r="K11177" s="1205"/>
      <c r="L11177" s="1055"/>
      <c r="M11177" s="1205"/>
      <c r="N11177" s="1054"/>
      <c r="O11177" s="1207"/>
      <c r="Q11177" s="1207"/>
    </row>
    <row r="11178" spans="3:17" s="700" customFormat="1" ht="70.5" hidden="1" customHeight="1">
      <c r="C11178" s="701"/>
      <c r="D11178" s="811"/>
      <c r="E11178" s="1276">
        <f>[11]building!Y11509</f>
        <v>0</v>
      </c>
      <c r="F11178" s="748">
        <f t="shared" si="413"/>
        <v>0</v>
      </c>
      <c r="G11178" s="1205"/>
      <c r="H11178" s="1055"/>
      <c r="I11178" s="1055"/>
      <c r="J11178" s="1055"/>
      <c r="K11178" s="1205"/>
      <c r="L11178" s="1055"/>
      <c r="M11178" s="1205"/>
      <c r="N11178" s="1054"/>
      <c r="O11178" s="1207"/>
      <c r="Q11178" s="1207"/>
    </row>
    <row r="11179" spans="3:17" s="700" customFormat="1" ht="70.5" hidden="1" customHeight="1">
      <c r="C11179" s="701"/>
      <c r="D11179" s="811"/>
      <c r="E11179" s="1276">
        <f>[11]building!Y11510</f>
        <v>0</v>
      </c>
      <c r="F11179" s="748">
        <f t="shared" si="413"/>
        <v>0</v>
      </c>
      <c r="G11179" s="1205"/>
      <c r="H11179" s="1055"/>
      <c r="I11179" s="1055"/>
      <c r="J11179" s="1055"/>
      <c r="K11179" s="1205"/>
      <c r="L11179" s="1055"/>
      <c r="M11179" s="1205"/>
      <c r="N11179" s="1054"/>
      <c r="O11179" s="1207"/>
      <c r="Q11179" s="1207"/>
    </row>
    <row r="11180" spans="3:17" s="700" customFormat="1" ht="70.5" hidden="1" customHeight="1">
      <c r="C11180" s="701"/>
      <c r="D11180" s="811"/>
      <c r="E11180" s="1276">
        <f>[11]building!Y11511</f>
        <v>0</v>
      </c>
      <c r="F11180" s="748">
        <f t="shared" si="413"/>
        <v>0</v>
      </c>
      <c r="G11180" s="1205"/>
      <c r="H11180" s="1055"/>
      <c r="I11180" s="1055"/>
      <c r="J11180" s="1055"/>
      <c r="K11180" s="1205"/>
      <c r="L11180" s="1055"/>
      <c r="M11180" s="1205"/>
      <c r="N11180" s="1054"/>
      <c r="O11180" s="1207"/>
      <c r="Q11180" s="1207"/>
    </row>
    <row r="11181" spans="3:17" s="700" customFormat="1" ht="70.5" hidden="1" customHeight="1">
      <c r="C11181" s="701"/>
      <c r="D11181" s="811"/>
      <c r="E11181" s="1276">
        <f>[11]building!Y11512</f>
        <v>0</v>
      </c>
      <c r="F11181" s="748">
        <f t="shared" si="413"/>
        <v>0</v>
      </c>
      <c r="G11181" s="1205"/>
      <c r="H11181" s="1055"/>
      <c r="I11181" s="1055"/>
      <c r="J11181" s="1055"/>
      <c r="K11181" s="1205"/>
      <c r="L11181" s="1055"/>
      <c r="M11181" s="1205"/>
      <c r="N11181" s="1054"/>
      <c r="O11181" s="1207"/>
      <c r="Q11181" s="1207"/>
    </row>
    <row r="11182" spans="3:17" s="700" customFormat="1" ht="70.5" hidden="1" customHeight="1">
      <c r="C11182" s="701"/>
      <c r="D11182" s="811"/>
      <c r="E11182" s="1276">
        <f>[11]building!Y11513</f>
        <v>0</v>
      </c>
      <c r="F11182" s="748">
        <f t="shared" si="413"/>
        <v>0</v>
      </c>
      <c r="G11182" s="1205"/>
      <c r="H11182" s="1055"/>
      <c r="I11182" s="1055"/>
      <c r="J11182" s="1055"/>
      <c r="K11182" s="1205"/>
      <c r="L11182" s="1055"/>
      <c r="M11182" s="1205"/>
      <c r="N11182" s="1054"/>
      <c r="O11182" s="1207"/>
      <c r="Q11182" s="1207"/>
    </row>
    <row r="11183" spans="3:17" s="700" customFormat="1" ht="70.5" hidden="1" customHeight="1">
      <c r="C11183" s="701"/>
      <c r="D11183" s="811"/>
      <c r="E11183" s="1276">
        <f>[11]building!Y11514</f>
        <v>0</v>
      </c>
      <c r="F11183" s="748">
        <f t="shared" si="413"/>
        <v>0</v>
      </c>
      <c r="G11183" s="1205"/>
      <c r="H11183" s="1055"/>
      <c r="I11183" s="1055"/>
      <c r="J11183" s="1055"/>
      <c r="K11183" s="1205"/>
      <c r="L11183" s="1055"/>
      <c r="M11183" s="1205"/>
      <c r="N11183" s="1054"/>
      <c r="O11183" s="1207"/>
      <c r="Q11183" s="1207"/>
    </row>
    <row r="11184" spans="3:17" s="700" customFormat="1" ht="70.5" hidden="1" customHeight="1">
      <c r="C11184" s="701"/>
      <c r="D11184" s="811"/>
      <c r="E11184" s="1276">
        <f>[11]building!Y11515</f>
        <v>0</v>
      </c>
      <c r="F11184" s="748">
        <f t="shared" si="413"/>
        <v>0</v>
      </c>
      <c r="G11184" s="1205"/>
      <c r="H11184" s="1055"/>
      <c r="I11184" s="1055"/>
      <c r="J11184" s="1055"/>
      <c r="K11184" s="1205"/>
      <c r="L11184" s="1055"/>
      <c r="M11184" s="1205"/>
      <c r="N11184" s="1054"/>
      <c r="O11184" s="1207"/>
      <c r="Q11184" s="1207"/>
    </row>
    <row r="11185" spans="3:17" s="700" customFormat="1" ht="70.5" hidden="1" customHeight="1">
      <c r="C11185" s="701"/>
      <c r="D11185" s="811"/>
      <c r="E11185" s="1276">
        <f>[11]building!Y11516</f>
        <v>0</v>
      </c>
      <c r="F11185" s="748">
        <f t="shared" si="413"/>
        <v>0</v>
      </c>
      <c r="G11185" s="1205"/>
      <c r="H11185" s="1055"/>
      <c r="I11185" s="1055"/>
      <c r="J11185" s="1055"/>
      <c r="K11185" s="1205"/>
      <c r="L11185" s="1055"/>
      <c r="M11185" s="1205"/>
      <c r="N11185" s="1054"/>
      <c r="O11185" s="1207"/>
      <c r="Q11185" s="1207"/>
    </row>
    <row r="11186" spans="3:17" s="700" customFormat="1" ht="70.5" hidden="1" customHeight="1">
      <c r="C11186" s="701"/>
      <c r="D11186" s="811"/>
      <c r="E11186" s="1276">
        <f>[11]building!Y11517</f>
        <v>0</v>
      </c>
      <c r="F11186" s="748">
        <f t="shared" si="413"/>
        <v>0</v>
      </c>
      <c r="G11186" s="1205"/>
      <c r="H11186" s="1055"/>
      <c r="I11186" s="1055"/>
      <c r="J11186" s="1055"/>
      <c r="K11186" s="1205"/>
      <c r="L11186" s="1055"/>
      <c r="M11186" s="1205"/>
      <c r="N11186" s="1054"/>
      <c r="O11186" s="1207"/>
      <c r="Q11186" s="1207"/>
    </row>
    <row r="11187" spans="3:17" s="700" customFormat="1" ht="70.5" hidden="1" customHeight="1">
      <c r="C11187" s="701"/>
      <c r="D11187" s="811"/>
      <c r="E11187" s="1276">
        <f>[11]building!Y11518</f>
        <v>0</v>
      </c>
      <c r="F11187" s="748">
        <f t="shared" si="413"/>
        <v>0</v>
      </c>
      <c r="G11187" s="1205"/>
      <c r="H11187" s="1055"/>
      <c r="I11187" s="1055"/>
      <c r="J11187" s="1055"/>
      <c r="K11187" s="1205"/>
      <c r="L11187" s="1055"/>
      <c r="M11187" s="1205"/>
      <c r="N11187" s="1054"/>
      <c r="O11187" s="1207"/>
      <c r="Q11187" s="1207"/>
    </row>
    <row r="11188" spans="3:17" s="700" customFormat="1" ht="70.5" hidden="1" customHeight="1">
      <c r="C11188" s="701"/>
      <c r="D11188" s="811"/>
      <c r="E11188" s="1276">
        <f>[11]building!Y11519</f>
        <v>0</v>
      </c>
      <c r="F11188" s="748">
        <f t="shared" si="413"/>
        <v>0</v>
      </c>
      <c r="G11188" s="1205"/>
      <c r="H11188" s="1055"/>
      <c r="I11188" s="1055"/>
      <c r="J11188" s="1055"/>
      <c r="K11188" s="1205"/>
      <c r="L11188" s="1055"/>
      <c r="M11188" s="1205"/>
      <c r="N11188" s="1054"/>
      <c r="O11188" s="1207"/>
      <c r="Q11188" s="1207"/>
    </row>
    <row r="11189" spans="3:17" s="700" customFormat="1" ht="70.5" hidden="1" customHeight="1">
      <c r="C11189" s="701"/>
      <c r="D11189" s="811"/>
      <c r="E11189" s="1276">
        <f>[11]building!Y11520</f>
        <v>0</v>
      </c>
      <c r="F11189" s="748">
        <f t="shared" si="413"/>
        <v>0</v>
      </c>
      <c r="G11189" s="1205"/>
      <c r="H11189" s="1055"/>
      <c r="I11189" s="1055"/>
      <c r="J11189" s="1055"/>
      <c r="K11189" s="1205"/>
      <c r="L11189" s="1055"/>
      <c r="M11189" s="1205"/>
      <c r="N11189" s="1054"/>
      <c r="O11189" s="1207"/>
      <c r="Q11189" s="1207"/>
    </row>
    <row r="11190" spans="3:17" s="700" customFormat="1" ht="70.5" hidden="1" customHeight="1">
      <c r="C11190" s="701"/>
      <c r="D11190" s="811"/>
      <c r="E11190" s="1276">
        <f>[11]building!Y11521</f>
        <v>0</v>
      </c>
      <c r="F11190" s="748">
        <f t="shared" si="413"/>
        <v>0</v>
      </c>
      <c r="G11190" s="1205"/>
      <c r="H11190" s="1055"/>
      <c r="I11190" s="1055"/>
      <c r="J11190" s="1055"/>
      <c r="K11190" s="1205"/>
      <c r="L11190" s="1055"/>
      <c r="M11190" s="1205"/>
      <c r="N11190" s="1054"/>
      <c r="O11190" s="1207"/>
      <c r="Q11190" s="1207"/>
    </row>
    <row r="11191" spans="3:17" s="700" customFormat="1" ht="70.5" hidden="1" customHeight="1">
      <c r="C11191" s="701"/>
      <c r="D11191" s="811"/>
      <c r="E11191" s="1276">
        <f>[11]building!Y11522</f>
        <v>0</v>
      </c>
      <c r="F11191" s="748">
        <f t="shared" si="413"/>
        <v>0</v>
      </c>
      <c r="G11191" s="1205"/>
      <c r="H11191" s="1055"/>
      <c r="I11191" s="1055"/>
      <c r="J11191" s="1055"/>
      <c r="K11191" s="1205"/>
      <c r="L11191" s="1055"/>
      <c r="M11191" s="1205"/>
      <c r="N11191" s="1054"/>
      <c r="O11191" s="1207"/>
      <c r="Q11191" s="1207"/>
    </row>
    <row r="11192" spans="3:17" s="700" customFormat="1" ht="70.5" hidden="1" customHeight="1">
      <c r="C11192" s="701"/>
      <c r="D11192" s="811"/>
      <c r="E11192" s="1276">
        <f>[11]building!Y11523</f>
        <v>0</v>
      </c>
      <c r="F11192" s="748">
        <f t="shared" si="413"/>
        <v>0</v>
      </c>
      <c r="G11192" s="1205"/>
      <c r="H11192" s="1055"/>
      <c r="I11192" s="1055"/>
      <c r="J11192" s="1055"/>
      <c r="K11192" s="1205"/>
      <c r="L11192" s="1055"/>
      <c r="M11192" s="1205"/>
      <c r="N11192" s="1054"/>
      <c r="O11192" s="1207"/>
      <c r="Q11192" s="1207"/>
    </row>
    <row r="11193" spans="3:17" s="700" customFormat="1" ht="70.5" hidden="1" customHeight="1">
      <c r="C11193" s="701"/>
      <c r="D11193" s="811"/>
      <c r="E11193" s="1276">
        <f>[11]building!Y11524</f>
        <v>0</v>
      </c>
      <c r="F11193" s="748">
        <f t="shared" si="413"/>
        <v>0</v>
      </c>
      <c r="G11193" s="1205"/>
      <c r="H11193" s="1055"/>
      <c r="I11193" s="1055"/>
      <c r="J11193" s="1055"/>
      <c r="K11193" s="1205"/>
      <c r="L11193" s="1055"/>
      <c r="M11193" s="1205"/>
      <c r="N11193" s="1054"/>
      <c r="O11193" s="1207"/>
      <c r="Q11193" s="1207"/>
    </row>
    <row r="11194" spans="3:17" s="700" customFormat="1" ht="70.5" hidden="1" customHeight="1">
      <c r="C11194" s="701"/>
      <c r="D11194" s="811"/>
      <c r="E11194" s="1276">
        <f>[11]building!Y11525</f>
        <v>0</v>
      </c>
      <c r="F11194" s="748">
        <f t="shared" si="413"/>
        <v>0</v>
      </c>
      <c r="G11194" s="1205"/>
      <c r="H11194" s="1055"/>
      <c r="I11194" s="1055"/>
      <c r="J11194" s="1055"/>
      <c r="K11194" s="1205"/>
      <c r="L11194" s="1055"/>
      <c r="M11194" s="1205"/>
      <c r="N11194" s="1054"/>
      <c r="O11194" s="1207"/>
      <c r="Q11194" s="1207"/>
    </row>
    <row r="11195" spans="3:17" s="700" customFormat="1" ht="70.5" hidden="1" customHeight="1">
      <c r="C11195" s="701"/>
      <c r="D11195" s="811"/>
      <c r="E11195" s="1276">
        <f>[11]building!Y11526</f>
        <v>0</v>
      </c>
      <c r="F11195" s="748">
        <f t="shared" si="413"/>
        <v>0</v>
      </c>
      <c r="G11195" s="1205"/>
      <c r="H11195" s="1055"/>
      <c r="I11195" s="1055"/>
      <c r="J11195" s="1055"/>
      <c r="K11195" s="1205"/>
      <c r="L11195" s="1055"/>
      <c r="M11195" s="1205"/>
      <c r="N11195" s="1054"/>
      <c r="O11195" s="1207"/>
      <c r="Q11195" s="1207"/>
    </row>
    <row r="11196" spans="3:17" s="700" customFormat="1" ht="70.5" hidden="1" customHeight="1">
      <c r="C11196" s="701"/>
      <c r="D11196" s="811"/>
      <c r="E11196" s="1276">
        <f>[11]building!Y11527</f>
        <v>0</v>
      </c>
      <c r="F11196" s="748">
        <f t="shared" si="413"/>
        <v>0</v>
      </c>
      <c r="G11196" s="1205"/>
      <c r="H11196" s="1055"/>
      <c r="I11196" s="1055"/>
      <c r="J11196" s="1055"/>
      <c r="K11196" s="1205"/>
      <c r="L11196" s="1055"/>
      <c r="M11196" s="1205"/>
      <c r="N11196" s="1054"/>
      <c r="O11196" s="1207"/>
      <c r="Q11196" s="1207"/>
    </row>
    <row r="11197" spans="3:17" s="700" customFormat="1" ht="70.5" hidden="1" customHeight="1">
      <c r="C11197" s="701"/>
      <c r="D11197" s="811"/>
      <c r="E11197" s="1276">
        <f>[11]building!Y11528</f>
        <v>0</v>
      </c>
      <c r="F11197" s="748">
        <f t="shared" si="413"/>
        <v>0</v>
      </c>
      <c r="G11197" s="1205"/>
      <c r="H11197" s="1055"/>
      <c r="I11197" s="1055"/>
      <c r="J11197" s="1055"/>
      <c r="K11197" s="1205"/>
      <c r="L11197" s="1055"/>
      <c r="M11197" s="1205"/>
      <c r="N11197" s="1054"/>
      <c r="O11197" s="1207"/>
      <c r="Q11197" s="1207"/>
    </row>
    <row r="11198" spans="3:17" s="700" customFormat="1" ht="70.5" hidden="1" customHeight="1">
      <c r="C11198" s="701"/>
      <c r="D11198" s="811"/>
      <c r="E11198" s="1276">
        <f>[11]building!Y11529</f>
        <v>0</v>
      </c>
      <c r="F11198" s="748">
        <f t="shared" si="413"/>
        <v>0</v>
      </c>
      <c r="G11198" s="1205"/>
      <c r="H11198" s="1055"/>
      <c r="I11198" s="1055"/>
      <c r="J11198" s="1055"/>
      <c r="K11198" s="1205"/>
      <c r="L11198" s="1055"/>
      <c r="M11198" s="1205"/>
      <c r="N11198" s="1054"/>
      <c r="O11198" s="1207"/>
      <c r="Q11198" s="1207"/>
    </row>
    <row r="11199" spans="3:17" s="700" customFormat="1" ht="70.5" hidden="1" customHeight="1">
      <c r="C11199" s="701"/>
      <c r="D11199" s="811"/>
      <c r="E11199" s="1276">
        <f>[11]building!Y11530</f>
        <v>0</v>
      </c>
      <c r="F11199" s="748">
        <f t="shared" si="413"/>
        <v>0</v>
      </c>
      <c r="G11199" s="1205"/>
      <c r="H11199" s="1055"/>
      <c r="I11199" s="1055"/>
      <c r="J11199" s="1055"/>
      <c r="K11199" s="1205"/>
      <c r="L11199" s="1055"/>
      <c r="M11199" s="1205"/>
      <c r="N11199" s="1054"/>
      <c r="O11199" s="1207"/>
      <c r="Q11199" s="1207"/>
    </row>
    <row r="11200" spans="3:17" s="700" customFormat="1" ht="70.5" hidden="1" customHeight="1">
      <c r="C11200" s="701"/>
      <c r="D11200" s="811"/>
      <c r="E11200" s="1276">
        <f>[11]building!Y11531</f>
        <v>0</v>
      </c>
      <c r="F11200" s="748">
        <f t="shared" ref="F11200:F11263" si="414">E11200*C11200</f>
        <v>0</v>
      </c>
      <c r="G11200" s="1205"/>
      <c r="H11200" s="1055"/>
      <c r="I11200" s="1055"/>
      <c r="J11200" s="1055"/>
      <c r="K11200" s="1205"/>
      <c r="L11200" s="1055"/>
      <c r="M11200" s="1205"/>
      <c r="N11200" s="1054"/>
      <c r="O11200" s="1207"/>
      <c r="Q11200" s="1207"/>
    </row>
    <row r="11201" spans="3:17" s="700" customFormat="1" ht="70.5" hidden="1" customHeight="1">
      <c r="C11201" s="701"/>
      <c r="D11201" s="811"/>
      <c r="E11201" s="1276">
        <f>[11]building!Y11532</f>
        <v>0</v>
      </c>
      <c r="F11201" s="748">
        <f t="shared" si="414"/>
        <v>0</v>
      </c>
      <c r="G11201" s="1205"/>
      <c r="H11201" s="1055"/>
      <c r="I11201" s="1055"/>
      <c r="J11201" s="1055"/>
      <c r="K11201" s="1205"/>
      <c r="L11201" s="1055"/>
      <c r="M11201" s="1205"/>
      <c r="N11201" s="1054"/>
      <c r="O11201" s="1207"/>
      <c r="Q11201" s="1207"/>
    </row>
    <row r="11202" spans="3:17" s="700" customFormat="1" ht="70.5" hidden="1" customHeight="1">
      <c r="C11202" s="701"/>
      <c r="D11202" s="811"/>
      <c r="E11202" s="1276">
        <f>[11]building!Y11533</f>
        <v>0</v>
      </c>
      <c r="F11202" s="748">
        <f t="shared" si="414"/>
        <v>0</v>
      </c>
      <c r="G11202" s="1205"/>
      <c r="H11202" s="1055"/>
      <c r="I11202" s="1055"/>
      <c r="J11202" s="1055"/>
      <c r="K11202" s="1205"/>
      <c r="L11202" s="1055"/>
      <c r="M11202" s="1205"/>
      <c r="N11202" s="1054"/>
      <c r="O11202" s="1207"/>
      <c r="Q11202" s="1207"/>
    </row>
    <row r="11203" spans="3:17" s="700" customFormat="1" ht="70.5" hidden="1" customHeight="1">
      <c r="C11203" s="701"/>
      <c r="D11203" s="811"/>
      <c r="E11203" s="1276">
        <f>[11]building!Y11534</f>
        <v>0</v>
      </c>
      <c r="F11203" s="748">
        <f t="shared" si="414"/>
        <v>0</v>
      </c>
      <c r="G11203" s="1205"/>
      <c r="H11203" s="1055"/>
      <c r="I11203" s="1055"/>
      <c r="J11203" s="1055"/>
      <c r="K11203" s="1205"/>
      <c r="L11203" s="1055"/>
      <c r="M11203" s="1205"/>
      <c r="N11203" s="1054"/>
      <c r="O11203" s="1207"/>
      <c r="Q11203" s="1207"/>
    </row>
    <row r="11204" spans="3:17" s="700" customFormat="1" ht="70.5" hidden="1" customHeight="1">
      <c r="C11204" s="701"/>
      <c r="D11204" s="811"/>
      <c r="E11204" s="1276">
        <f>[11]building!Y11535</f>
        <v>0</v>
      </c>
      <c r="F11204" s="748">
        <f t="shared" si="414"/>
        <v>0</v>
      </c>
      <c r="G11204" s="1205"/>
      <c r="H11204" s="1055"/>
      <c r="I11204" s="1055"/>
      <c r="J11204" s="1055"/>
      <c r="K11204" s="1205"/>
      <c r="L11204" s="1055"/>
      <c r="M11204" s="1205"/>
      <c r="N11204" s="1054"/>
      <c r="O11204" s="1207"/>
      <c r="Q11204" s="1207"/>
    </row>
    <row r="11205" spans="3:17" s="700" customFormat="1" ht="70.5" hidden="1" customHeight="1">
      <c r="C11205" s="701"/>
      <c r="D11205" s="811"/>
      <c r="E11205" s="1276">
        <f>[11]building!Y11536</f>
        <v>0</v>
      </c>
      <c r="F11205" s="748">
        <f t="shared" si="414"/>
        <v>0</v>
      </c>
      <c r="G11205" s="1205"/>
      <c r="H11205" s="1055"/>
      <c r="I11205" s="1055"/>
      <c r="J11205" s="1055"/>
      <c r="K11205" s="1205"/>
      <c r="L11205" s="1055"/>
      <c r="M11205" s="1205"/>
      <c r="N11205" s="1054"/>
      <c r="O11205" s="1207"/>
      <c r="Q11205" s="1207"/>
    </row>
    <row r="11206" spans="3:17" s="700" customFormat="1" ht="70.5" hidden="1" customHeight="1">
      <c r="C11206" s="701"/>
      <c r="D11206" s="811"/>
      <c r="E11206" s="1276">
        <f>[11]building!Y11537</f>
        <v>0</v>
      </c>
      <c r="F11206" s="748">
        <f t="shared" si="414"/>
        <v>0</v>
      </c>
      <c r="G11206" s="1205"/>
      <c r="H11206" s="1055"/>
      <c r="I11206" s="1055"/>
      <c r="J11206" s="1055"/>
      <c r="K11206" s="1205"/>
      <c r="L11206" s="1055"/>
      <c r="M11206" s="1205"/>
      <c r="N11206" s="1054"/>
      <c r="O11206" s="1207"/>
      <c r="Q11206" s="1207"/>
    </row>
    <row r="11207" spans="3:17" s="700" customFormat="1" ht="70.5" hidden="1" customHeight="1">
      <c r="C11207" s="701"/>
      <c r="D11207" s="811"/>
      <c r="E11207" s="1276">
        <f>[11]building!Y11538</f>
        <v>0</v>
      </c>
      <c r="F11207" s="748">
        <f t="shared" si="414"/>
        <v>0</v>
      </c>
      <c r="G11207" s="1205"/>
      <c r="H11207" s="1055"/>
      <c r="I11207" s="1055"/>
      <c r="J11207" s="1055"/>
      <c r="K11207" s="1205"/>
      <c r="L11207" s="1055"/>
      <c r="M11207" s="1205"/>
      <c r="N11207" s="1054"/>
      <c r="O11207" s="1207"/>
      <c r="Q11207" s="1207"/>
    </row>
    <row r="11208" spans="3:17" s="700" customFormat="1" ht="70.5" hidden="1" customHeight="1">
      <c r="C11208" s="701"/>
      <c r="D11208" s="811"/>
      <c r="E11208" s="1276">
        <f>[11]building!Y11539</f>
        <v>0</v>
      </c>
      <c r="F11208" s="748">
        <f t="shared" si="414"/>
        <v>0</v>
      </c>
      <c r="G11208" s="1205"/>
      <c r="H11208" s="1055"/>
      <c r="I11208" s="1055"/>
      <c r="J11208" s="1055"/>
      <c r="K11208" s="1205"/>
      <c r="L11208" s="1055"/>
      <c r="M11208" s="1205"/>
      <c r="N11208" s="1054"/>
      <c r="O11208" s="1207"/>
      <c r="Q11208" s="1207"/>
    </row>
    <row r="11209" spans="3:17" s="700" customFormat="1" ht="70.5" hidden="1" customHeight="1">
      <c r="C11209" s="701"/>
      <c r="D11209" s="811"/>
      <c r="E11209" s="1276">
        <f>[11]building!Y11540</f>
        <v>0</v>
      </c>
      <c r="F11209" s="748">
        <f t="shared" si="414"/>
        <v>0</v>
      </c>
      <c r="G11209" s="1205"/>
      <c r="H11209" s="1055"/>
      <c r="I11209" s="1055"/>
      <c r="J11209" s="1055"/>
      <c r="K11209" s="1205"/>
      <c r="L11209" s="1055"/>
      <c r="M11209" s="1205"/>
      <c r="N11209" s="1054"/>
      <c r="O11209" s="1207"/>
      <c r="Q11209" s="1207"/>
    </row>
    <row r="11210" spans="3:17" s="700" customFormat="1" ht="70.5" hidden="1" customHeight="1">
      <c r="C11210" s="701"/>
      <c r="D11210" s="811"/>
      <c r="E11210" s="1276">
        <f>[11]building!Y11541</f>
        <v>0</v>
      </c>
      <c r="F11210" s="748">
        <f t="shared" si="414"/>
        <v>0</v>
      </c>
      <c r="G11210" s="1205"/>
      <c r="H11210" s="1055"/>
      <c r="I11210" s="1055"/>
      <c r="J11210" s="1055"/>
      <c r="K11210" s="1205"/>
      <c r="L11210" s="1055"/>
      <c r="M11210" s="1205"/>
      <c r="N11210" s="1054"/>
      <c r="O11210" s="1207"/>
      <c r="Q11210" s="1207"/>
    </row>
    <row r="11211" spans="3:17" s="700" customFormat="1" ht="70.5" hidden="1" customHeight="1">
      <c r="C11211" s="701"/>
      <c r="D11211" s="811"/>
      <c r="E11211" s="1276">
        <f>[11]building!Y11542</f>
        <v>0</v>
      </c>
      <c r="F11211" s="748">
        <f t="shared" si="414"/>
        <v>0</v>
      </c>
      <c r="G11211" s="1205"/>
      <c r="H11211" s="1055"/>
      <c r="I11211" s="1055"/>
      <c r="J11211" s="1055"/>
      <c r="K11211" s="1205"/>
      <c r="L11211" s="1055"/>
      <c r="M11211" s="1205"/>
      <c r="N11211" s="1054"/>
      <c r="O11211" s="1207"/>
      <c r="Q11211" s="1207"/>
    </row>
    <row r="11212" spans="3:17" s="700" customFormat="1" ht="70.5" hidden="1" customHeight="1">
      <c r="C11212" s="701"/>
      <c r="D11212" s="811"/>
      <c r="E11212" s="1276">
        <f>[11]building!Y11543</f>
        <v>0</v>
      </c>
      <c r="F11212" s="748">
        <f t="shared" si="414"/>
        <v>0</v>
      </c>
      <c r="G11212" s="1205"/>
      <c r="H11212" s="1055"/>
      <c r="I11212" s="1055"/>
      <c r="J11212" s="1055"/>
      <c r="K11212" s="1205"/>
      <c r="L11212" s="1055"/>
      <c r="M11212" s="1205"/>
      <c r="N11212" s="1054"/>
      <c r="O11212" s="1207"/>
      <c r="Q11212" s="1207"/>
    </row>
    <row r="11213" spans="3:17" s="700" customFormat="1" ht="70.5" hidden="1" customHeight="1">
      <c r="C11213" s="701"/>
      <c r="D11213" s="811"/>
      <c r="E11213" s="1276">
        <f>[11]building!Y11544</f>
        <v>0</v>
      </c>
      <c r="F11213" s="748">
        <f t="shared" si="414"/>
        <v>0</v>
      </c>
      <c r="G11213" s="1205"/>
      <c r="H11213" s="1055"/>
      <c r="I11213" s="1055"/>
      <c r="J11213" s="1055"/>
      <c r="K11213" s="1205"/>
      <c r="L11213" s="1055"/>
      <c r="M11213" s="1205"/>
      <c r="N11213" s="1054"/>
      <c r="O11213" s="1207"/>
      <c r="Q11213" s="1207"/>
    </row>
    <row r="11214" spans="3:17" s="700" customFormat="1" ht="70.5" hidden="1" customHeight="1">
      <c r="C11214" s="701"/>
      <c r="D11214" s="811"/>
      <c r="E11214" s="1276">
        <f>[11]building!Y11545</f>
        <v>0</v>
      </c>
      <c r="F11214" s="748">
        <f t="shared" si="414"/>
        <v>0</v>
      </c>
      <c r="G11214" s="1205"/>
      <c r="H11214" s="1055"/>
      <c r="I11214" s="1055"/>
      <c r="J11214" s="1055"/>
      <c r="K11214" s="1205"/>
      <c r="L11214" s="1055"/>
      <c r="M11214" s="1205"/>
      <c r="N11214" s="1054"/>
      <c r="O11214" s="1207"/>
      <c r="Q11214" s="1207"/>
    </row>
    <row r="11215" spans="3:17" s="700" customFormat="1" ht="70.5" hidden="1" customHeight="1">
      <c r="C11215" s="701"/>
      <c r="D11215" s="811"/>
      <c r="E11215" s="1276">
        <f>[11]building!Y11546</f>
        <v>0</v>
      </c>
      <c r="F11215" s="748">
        <f t="shared" si="414"/>
        <v>0</v>
      </c>
      <c r="G11215" s="1205"/>
      <c r="H11215" s="1055"/>
      <c r="I11215" s="1055"/>
      <c r="J11215" s="1055"/>
      <c r="K11215" s="1205"/>
      <c r="L11215" s="1055"/>
      <c r="M11215" s="1205"/>
      <c r="N11215" s="1054"/>
      <c r="O11215" s="1207"/>
      <c r="Q11215" s="1207"/>
    </row>
    <row r="11216" spans="3:17" s="700" customFormat="1" ht="70.5" hidden="1" customHeight="1">
      <c r="C11216" s="701"/>
      <c r="D11216" s="811"/>
      <c r="E11216" s="1276">
        <f>[11]building!Y11547</f>
        <v>0</v>
      </c>
      <c r="F11216" s="748">
        <f t="shared" si="414"/>
        <v>0</v>
      </c>
      <c r="G11216" s="1205"/>
      <c r="H11216" s="1055"/>
      <c r="I11216" s="1055"/>
      <c r="J11216" s="1055"/>
      <c r="K11216" s="1205"/>
      <c r="L11216" s="1055"/>
      <c r="M11216" s="1205"/>
      <c r="N11216" s="1054"/>
      <c r="O11216" s="1207"/>
      <c r="Q11216" s="1207"/>
    </row>
    <row r="11217" spans="3:17" s="700" customFormat="1" ht="70.5" hidden="1" customHeight="1">
      <c r="C11217" s="701"/>
      <c r="D11217" s="811"/>
      <c r="E11217" s="1276">
        <f>[11]building!Y11548</f>
        <v>0</v>
      </c>
      <c r="F11217" s="748">
        <f t="shared" si="414"/>
        <v>0</v>
      </c>
      <c r="G11217" s="1205"/>
      <c r="H11217" s="1055"/>
      <c r="I11217" s="1055"/>
      <c r="J11217" s="1055"/>
      <c r="K11217" s="1205"/>
      <c r="L11217" s="1055"/>
      <c r="M11217" s="1205"/>
      <c r="N11217" s="1054"/>
      <c r="O11217" s="1207"/>
      <c r="Q11217" s="1207"/>
    </row>
    <row r="11218" spans="3:17" s="700" customFormat="1" ht="70.5" hidden="1" customHeight="1">
      <c r="C11218" s="701"/>
      <c r="D11218" s="811"/>
      <c r="E11218" s="1276">
        <f>[11]building!Y11549</f>
        <v>0</v>
      </c>
      <c r="F11218" s="748">
        <f t="shared" si="414"/>
        <v>0</v>
      </c>
      <c r="G11218" s="1205"/>
      <c r="H11218" s="1055"/>
      <c r="I11218" s="1055"/>
      <c r="J11218" s="1055"/>
      <c r="K11218" s="1205"/>
      <c r="L11218" s="1055"/>
      <c r="M11218" s="1205"/>
      <c r="N11218" s="1054"/>
      <c r="O11218" s="1207"/>
      <c r="Q11218" s="1207"/>
    </row>
    <row r="11219" spans="3:17" s="700" customFormat="1" ht="70.5" hidden="1" customHeight="1">
      <c r="C11219" s="701"/>
      <c r="D11219" s="811"/>
      <c r="E11219" s="1276">
        <f>[11]building!Y11550</f>
        <v>0</v>
      </c>
      <c r="F11219" s="748">
        <f t="shared" si="414"/>
        <v>0</v>
      </c>
      <c r="G11219" s="1205"/>
      <c r="H11219" s="1055"/>
      <c r="I11219" s="1055"/>
      <c r="J11219" s="1055"/>
      <c r="K11219" s="1205"/>
      <c r="L11219" s="1055"/>
      <c r="M11219" s="1205"/>
      <c r="N11219" s="1054"/>
      <c r="O11219" s="1207"/>
      <c r="Q11219" s="1207"/>
    </row>
    <row r="11220" spans="3:17" s="700" customFormat="1" ht="70.5" hidden="1" customHeight="1">
      <c r="C11220" s="701"/>
      <c r="D11220" s="811"/>
      <c r="E11220" s="1276">
        <f>[11]building!Y11551</f>
        <v>0</v>
      </c>
      <c r="F11220" s="748">
        <f t="shared" si="414"/>
        <v>0</v>
      </c>
      <c r="G11220" s="1205"/>
      <c r="H11220" s="1055"/>
      <c r="I11220" s="1055"/>
      <c r="J11220" s="1055"/>
      <c r="K11220" s="1205"/>
      <c r="L11220" s="1055"/>
      <c r="M11220" s="1205"/>
      <c r="N11220" s="1054"/>
      <c r="O11220" s="1207"/>
      <c r="Q11220" s="1207"/>
    </row>
    <row r="11221" spans="3:17" s="700" customFormat="1" ht="70.5" hidden="1" customHeight="1">
      <c r="C11221" s="701"/>
      <c r="D11221" s="811"/>
      <c r="E11221" s="1276">
        <f>[11]building!Y11552</f>
        <v>0</v>
      </c>
      <c r="F11221" s="748">
        <f t="shared" si="414"/>
        <v>0</v>
      </c>
      <c r="G11221" s="1205"/>
      <c r="H11221" s="1055"/>
      <c r="I11221" s="1055"/>
      <c r="J11221" s="1055"/>
      <c r="K11221" s="1205"/>
      <c r="L11221" s="1055"/>
      <c r="M11221" s="1205"/>
      <c r="N11221" s="1054"/>
      <c r="O11221" s="1207"/>
      <c r="Q11221" s="1207"/>
    </row>
    <row r="11222" spans="3:17" s="700" customFormat="1" ht="70.5" hidden="1" customHeight="1">
      <c r="C11222" s="701"/>
      <c r="D11222" s="811"/>
      <c r="E11222" s="1276">
        <f>[11]building!Y11553</f>
        <v>0</v>
      </c>
      <c r="F11222" s="748">
        <f t="shared" si="414"/>
        <v>0</v>
      </c>
      <c r="G11222" s="1205"/>
      <c r="H11222" s="1055"/>
      <c r="I11222" s="1055"/>
      <c r="J11222" s="1055"/>
      <c r="K11222" s="1205"/>
      <c r="L11222" s="1055"/>
      <c r="M11222" s="1205"/>
      <c r="N11222" s="1054"/>
      <c r="O11222" s="1207"/>
      <c r="Q11222" s="1207"/>
    </row>
    <row r="11223" spans="3:17" s="700" customFormat="1" ht="70.5" hidden="1" customHeight="1">
      <c r="C11223" s="701"/>
      <c r="D11223" s="811"/>
      <c r="E11223" s="1276">
        <f>[11]building!Y11554</f>
        <v>0</v>
      </c>
      <c r="F11223" s="748">
        <f t="shared" si="414"/>
        <v>0</v>
      </c>
      <c r="G11223" s="1205"/>
      <c r="H11223" s="1055"/>
      <c r="I11223" s="1055"/>
      <c r="J11223" s="1055"/>
      <c r="K11223" s="1205"/>
      <c r="L11223" s="1055"/>
      <c r="M11223" s="1205"/>
      <c r="N11223" s="1054"/>
      <c r="O11223" s="1207"/>
      <c r="Q11223" s="1207"/>
    </row>
    <row r="11224" spans="3:17" s="700" customFormat="1" ht="70.5" hidden="1" customHeight="1">
      <c r="C11224" s="701"/>
      <c r="D11224" s="811"/>
      <c r="E11224" s="1276">
        <f>[11]building!Y11555</f>
        <v>0</v>
      </c>
      <c r="F11224" s="748">
        <f t="shared" si="414"/>
        <v>0</v>
      </c>
      <c r="G11224" s="1205"/>
      <c r="H11224" s="1055"/>
      <c r="I11224" s="1055"/>
      <c r="J11224" s="1055"/>
      <c r="K11224" s="1205"/>
      <c r="L11224" s="1055"/>
      <c r="M11224" s="1205"/>
      <c r="N11224" s="1054"/>
      <c r="O11224" s="1207"/>
      <c r="Q11224" s="1207"/>
    </row>
    <row r="11225" spans="3:17" s="700" customFormat="1" ht="70.5" hidden="1" customHeight="1">
      <c r="C11225" s="701"/>
      <c r="D11225" s="811"/>
      <c r="E11225" s="1276">
        <f>[11]building!Y11556</f>
        <v>0</v>
      </c>
      <c r="F11225" s="748">
        <f t="shared" si="414"/>
        <v>0</v>
      </c>
      <c r="G11225" s="1205"/>
      <c r="H11225" s="1055"/>
      <c r="I11225" s="1055"/>
      <c r="J11225" s="1055"/>
      <c r="K11225" s="1205"/>
      <c r="L11225" s="1055"/>
      <c r="M11225" s="1205"/>
      <c r="N11225" s="1054"/>
      <c r="O11225" s="1207"/>
      <c r="Q11225" s="1207"/>
    </row>
    <row r="11226" spans="3:17" s="700" customFormat="1" ht="70.5" hidden="1" customHeight="1">
      <c r="C11226" s="701"/>
      <c r="D11226" s="811"/>
      <c r="E11226" s="1276">
        <f>[11]building!Y11557</f>
        <v>0</v>
      </c>
      <c r="F11226" s="748">
        <f t="shared" si="414"/>
        <v>0</v>
      </c>
      <c r="G11226" s="1205"/>
      <c r="H11226" s="1055"/>
      <c r="I11226" s="1055"/>
      <c r="J11226" s="1055"/>
      <c r="K11226" s="1205"/>
      <c r="L11226" s="1055"/>
      <c r="M11226" s="1205"/>
      <c r="N11226" s="1054"/>
      <c r="O11226" s="1207"/>
      <c r="Q11226" s="1207"/>
    </row>
    <row r="11227" spans="3:17" s="700" customFormat="1" ht="70.5" hidden="1" customHeight="1">
      <c r="C11227" s="701"/>
      <c r="D11227" s="811"/>
      <c r="E11227" s="1276">
        <f>[11]building!Y11558</f>
        <v>0</v>
      </c>
      <c r="F11227" s="748">
        <f t="shared" si="414"/>
        <v>0</v>
      </c>
      <c r="G11227" s="1205"/>
      <c r="H11227" s="1055"/>
      <c r="I11227" s="1055"/>
      <c r="J11227" s="1055"/>
      <c r="K11227" s="1205"/>
      <c r="L11227" s="1055"/>
      <c r="M11227" s="1205"/>
      <c r="N11227" s="1054"/>
      <c r="O11227" s="1207"/>
      <c r="Q11227" s="1207"/>
    </row>
    <row r="11228" spans="3:17" s="700" customFormat="1" ht="70.5" hidden="1" customHeight="1">
      <c r="C11228" s="701"/>
      <c r="D11228" s="811"/>
      <c r="E11228" s="1276">
        <f>[11]building!Y11559</f>
        <v>0</v>
      </c>
      <c r="F11228" s="748">
        <f t="shared" si="414"/>
        <v>0</v>
      </c>
      <c r="G11228" s="1205"/>
      <c r="H11228" s="1055"/>
      <c r="I11228" s="1055"/>
      <c r="J11228" s="1055"/>
      <c r="K11228" s="1205"/>
      <c r="L11228" s="1055"/>
      <c r="M11228" s="1205"/>
      <c r="N11228" s="1054"/>
      <c r="O11228" s="1207"/>
      <c r="Q11228" s="1207"/>
    </row>
    <row r="11229" spans="3:17" s="700" customFormat="1" ht="70.5" hidden="1" customHeight="1">
      <c r="C11229" s="701"/>
      <c r="D11229" s="811"/>
      <c r="E11229" s="1276">
        <f>[11]building!Y11560</f>
        <v>0</v>
      </c>
      <c r="F11229" s="748">
        <f t="shared" si="414"/>
        <v>0</v>
      </c>
      <c r="G11229" s="1205"/>
      <c r="H11229" s="1055"/>
      <c r="I11229" s="1055"/>
      <c r="J11229" s="1055"/>
      <c r="K11229" s="1205"/>
      <c r="L11229" s="1055"/>
      <c r="M11229" s="1205"/>
      <c r="N11229" s="1054"/>
      <c r="O11229" s="1207"/>
      <c r="Q11229" s="1207"/>
    </row>
    <row r="11230" spans="3:17" s="700" customFormat="1" ht="70.5" hidden="1" customHeight="1">
      <c r="C11230" s="701"/>
      <c r="D11230" s="811"/>
      <c r="E11230" s="1276">
        <f>[11]building!Y11561</f>
        <v>0</v>
      </c>
      <c r="F11230" s="748">
        <f t="shared" si="414"/>
        <v>0</v>
      </c>
      <c r="G11230" s="1205"/>
      <c r="H11230" s="1055"/>
      <c r="I11230" s="1055"/>
      <c r="J11230" s="1055"/>
      <c r="K11230" s="1205"/>
      <c r="L11230" s="1055"/>
      <c r="M11230" s="1205"/>
      <c r="N11230" s="1054"/>
      <c r="O11230" s="1207"/>
      <c r="Q11230" s="1207"/>
    </row>
    <row r="11231" spans="3:17" s="700" customFormat="1" ht="70.5" hidden="1" customHeight="1">
      <c r="C11231" s="701"/>
      <c r="D11231" s="811"/>
      <c r="E11231" s="1276">
        <f>[11]building!Y11562</f>
        <v>0</v>
      </c>
      <c r="F11231" s="748">
        <f t="shared" si="414"/>
        <v>0</v>
      </c>
      <c r="G11231" s="1205"/>
      <c r="H11231" s="1055"/>
      <c r="I11231" s="1055"/>
      <c r="J11231" s="1055"/>
      <c r="K11231" s="1205"/>
      <c r="L11231" s="1055"/>
      <c r="M11231" s="1205"/>
      <c r="N11231" s="1054"/>
      <c r="O11231" s="1207"/>
      <c r="Q11231" s="1207"/>
    </row>
    <row r="11232" spans="3:17" s="700" customFormat="1" ht="70.5" hidden="1" customHeight="1">
      <c r="C11232" s="701"/>
      <c r="D11232" s="811"/>
      <c r="E11232" s="1276">
        <f>[11]building!Y11563</f>
        <v>0</v>
      </c>
      <c r="F11232" s="748">
        <f t="shared" si="414"/>
        <v>0</v>
      </c>
      <c r="G11232" s="1205"/>
      <c r="H11232" s="1055"/>
      <c r="I11232" s="1055"/>
      <c r="J11232" s="1055"/>
      <c r="K11232" s="1205"/>
      <c r="L11232" s="1055"/>
      <c r="M11232" s="1205"/>
      <c r="N11232" s="1054"/>
      <c r="O11232" s="1207"/>
      <c r="Q11232" s="1207"/>
    </row>
    <row r="11233" spans="3:17" s="700" customFormat="1" ht="70.5" hidden="1" customHeight="1">
      <c r="C11233" s="701"/>
      <c r="D11233" s="811"/>
      <c r="E11233" s="1276">
        <f>[11]building!Y11564</f>
        <v>0</v>
      </c>
      <c r="F11233" s="748">
        <f t="shared" si="414"/>
        <v>0</v>
      </c>
      <c r="G11233" s="1205"/>
      <c r="H11233" s="1055"/>
      <c r="I11233" s="1055"/>
      <c r="J11233" s="1055"/>
      <c r="K11233" s="1205"/>
      <c r="L11233" s="1055"/>
      <c r="M11233" s="1205"/>
      <c r="N11233" s="1054"/>
      <c r="O11233" s="1207"/>
      <c r="Q11233" s="1207"/>
    </row>
    <row r="11234" spans="3:17" s="700" customFormat="1" ht="70.5" hidden="1" customHeight="1">
      <c r="C11234" s="701"/>
      <c r="D11234" s="811"/>
      <c r="E11234" s="1276">
        <f>[11]building!Y11565</f>
        <v>0</v>
      </c>
      <c r="F11234" s="748">
        <f t="shared" si="414"/>
        <v>0</v>
      </c>
      <c r="G11234" s="1205"/>
      <c r="H11234" s="1055"/>
      <c r="I11234" s="1055"/>
      <c r="J11234" s="1055"/>
      <c r="K11234" s="1205"/>
      <c r="L11234" s="1055"/>
      <c r="M11234" s="1205"/>
      <c r="N11234" s="1054"/>
      <c r="O11234" s="1207"/>
      <c r="Q11234" s="1207"/>
    </row>
    <row r="11235" spans="3:17" s="700" customFormat="1" ht="70.5" hidden="1" customHeight="1">
      <c r="C11235" s="701"/>
      <c r="D11235" s="811"/>
      <c r="E11235" s="1276">
        <f>[11]building!Y11566</f>
        <v>0</v>
      </c>
      <c r="F11235" s="748">
        <f t="shared" si="414"/>
        <v>0</v>
      </c>
      <c r="G11235" s="1205"/>
      <c r="H11235" s="1055"/>
      <c r="I11235" s="1055"/>
      <c r="J11235" s="1055"/>
      <c r="K11235" s="1205"/>
      <c r="L11235" s="1055"/>
      <c r="M11235" s="1205"/>
      <c r="N11235" s="1054"/>
      <c r="O11235" s="1207"/>
      <c r="Q11235" s="1207"/>
    </row>
    <row r="11236" spans="3:17" s="700" customFormat="1" ht="70.5" hidden="1" customHeight="1">
      <c r="C11236" s="701"/>
      <c r="D11236" s="811"/>
      <c r="E11236" s="1276">
        <f>[11]building!Y11567</f>
        <v>0</v>
      </c>
      <c r="F11236" s="748">
        <f t="shared" si="414"/>
        <v>0</v>
      </c>
      <c r="G11236" s="1205"/>
      <c r="H11236" s="1055"/>
      <c r="I11236" s="1055"/>
      <c r="J11236" s="1055"/>
      <c r="K11236" s="1205"/>
      <c r="L11236" s="1055"/>
      <c r="M11236" s="1205"/>
      <c r="N11236" s="1054"/>
      <c r="O11236" s="1207"/>
      <c r="Q11236" s="1207"/>
    </row>
    <row r="11237" spans="3:17" s="700" customFormat="1" ht="70.5" hidden="1" customHeight="1">
      <c r="C11237" s="701"/>
      <c r="D11237" s="811"/>
      <c r="E11237" s="1276">
        <f>[11]building!Y11568</f>
        <v>0</v>
      </c>
      <c r="F11237" s="748">
        <f t="shared" si="414"/>
        <v>0</v>
      </c>
      <c r="G11237" s="1205"/>
      <c r="H11237" s="1055"/>
      <c r="I11237" s="1055"/>
      <c r="J11237" s="1055"/>
      <c r="K11237" s="1205"/>
      <c r="L11237" s="1055"/>
      <c r="M11237" s="1205"/>
      <c r="N11237" s="1054"/>
      <c r="O11237" s="1207"/>
      <c r="Q11237" s="1207"/>
    </row>
    <row r="11238" spans="3:17" s="700" customFormat="1" ht="70.5" hidden="1" customHeight="1">
      <c r="C11238" s="701"/>
      <c r="D11238" s="811"/>
      <c r="E11238" s="1276">
        <f>[11]building!Y11569</f>
        <v>0</v>
      </c>
      <c r="F11238" s="748">
        <f t="shared" si="414"/>
        <v>0</v>
      </c>
      <c r="G11238" s="1205"/>
      <c r="H11238" s="1055"/>
      <c r="I11238" s="1055"/>
      <c r="J11238" s="1055"/>
      <c r="K11238" s="1205"/>
      <c r="L11238" s="1055"/>
      <c r="M11238" s="1205"/>
      <c r="N11238" s="1054"/>
      <c r="O11238" s="1207"/>
      <c r="Q11238" s="1207"/>
    </row>
    <row r="11239" spans="3:17" s="700" customFormat="1" ht="70.5" hidden="1" customHeight="1">
      <c r="C11239" s="701"/>
      <c r="D11239" s="811"/>
      <c r="E11239" s="1276">
        <f>[11]building!Y11570</f>
        <v>0</v>
      </c>
      <c r="F11239" s="748">
        <f t="shared" si="414"/>
        <v>0</v>
      </c>
      <c r="G11239" s="1205"/>
      <c r="H11239" s="1055"/>
      <c r="I11239" s="1055"/>
      <c r="J11239" s="1055"/>
      <c r="K11239" s="1205"/>
      <c r="L11239" s="1055"/>
      <c r="M11239" s="1205"/>
      <c r="N11239" s="1054"/>
      <c r="O11239" s="1207"/>
      <c r="Q11239" s="1207"/>
    </row>
    <row r="11240" spans="3:17" s="700" customFormat="1" ht="70.5" hidden="1" customHeight="1">
      <c r="C11240" s="701"/>
      <c r="D11240" s="811"/>
      <c r="E11240" s="1276">
        <f>[11]building!Y11571</f>
        <v>0</v>
      </c>
      <c r="F11240" s="748">
        <f t="shared" si="414"/>
        <v>0</v>
      </c>
      <c r="G11240" s="1205"/>
      <c r="H11240" s="1055"/>
      <c r="I11240" s="1055"/>
      <c r="J11240" s="1055"/>
      <c r="K11240" s="1205"/>
      <c r="L11240" s="1055"/>
      <c r="M11240" s="1205"/>
      <c r="N11240" s="1054"/>
      <c r="O11240" s="1207"/>
      <c r="Q11240" s="1207"/>
    </row>
    <row r="11241" spans="3:17" s="700" customFormat="1" ht="70.5" hidden="1" customHeight="1">
      <c r="C11241" s="701"/>
      <c r="D11241" s="811"/>
      <c r="E11241" s="1276">
        <f>[11]building!Y11572</f>
        <v>0</v>
      </c>
      <c r="F11241" s="748">
        <f t="shared" si="414"/>
        <v>0</v>
      </c>
      <c r="G11241" s="1205"/>
      <c r="H11241" s="1055"/>
      <c r="I11241" s="1055"/>
      <c r="J11241" s="1055"/>
      <c r="K11241" s="1205"/>
      <c r="L11241" s="1055"/>
      <c r="M11241" s="1205"/>
      <c r="N11241" s="1054"/>
      <c r="O11241" s="1207"/>
      <c r="Q11241" s="1207"/>
    </row>
    <row r="11242" spans="3:17" s="700" customFormat="1" ht="70.5" hidden="1" customHeight="1">
      <c r="C11242" s="701"/>
      <c r="D11242" s="811"/>
      <c r="E11242" s="1276">
        <f>[11]building!Y11573</f>
        <v>0</v>
      </c>
      <c r="F11242" s="748">
        <f t="shared" si="414"/>
        <v>0</v>
      </c>
      <c r="G11242" s="1205"/>
      <c r="H11242" s="1055"/>
      <c r="I11242" s="1055"/>
      <c r="J11242" s="1055"/>
      <c r="K11242" s="1205"/>
      <c r="L11242" s="1055"/>
      <c r="M11242" s="1205"/>
      <c r="N11242" s="1054"/>
      <c r="O11242" s="1207"/>
      <c r="Q11242" s="1207"/>
    </row>
    <row r="11243" spans="3:17" s="700" customFormat="1" ht="70.5" hidden="1" customHeight="1">
      <c r="C11243" s="701"/>
      <c r="D11243" s="811"/>
      <c r="E11243" s="1276">
        <f>[11]building!Y11574</f>
        <v>0</v>
      </c>
      <c r="F11243" s="748">
        <f t="shared" si="414"/>
        <v>0</v>
      </c>
      <c r="G11243" s="1205"/>
      <c r="H11243" s="1055"/>
      <c r="I11243" s="1055"/>
      <c r="J11243" s="1055"/>
      <c r="K11243" s="1205"/>
      <c r="L11243" s="1055"/>
      <c r="M11243" s="1205"/>
      <c r="N11243" s="1054"/>
      <c r="O11243" s="1207"/>
      <c r="Q11243" s="1207"/>
    </row>
    <row r="11244" spans="3:17" s="700" customFormat="1" ht="70.5" hidden="1" customHeight="1">
      <c r="C11244" s="701"/>
      <c r="D11244" s="811"/>
      <c r="E11244" s="1276">
        <f>[11]building!Y11575</f>
        <v>0</v>
      </c>
      <c r="F11244" s="748">
        <f t="shared" si="414"/>
        <v>0</v>
      </c>
      <c r="G11244" s="1205"/>
      <c r="H11244" s="1055"/>
      <c r="I11244" s="1055"/>
      <c r="J11244" s="1055"/>
      <c r="K11244" s="1205"/>
      <c r="L11244" s="1055"/>
      <c r="M11244" s="1205"/>
      <c r="N11244" s="1054"/>
      <c r="O11244" s="1207"/>
      <c r="Q11244" s="1207"/>
    </row>
    <row r="11245" spans="3:17" s="700" customFormat="1" ht="70.5" hidden="1" customHeight="1">
      <c r="C11245" s="701"/>
      <c r="D11245" s="811"/>
      <c r="E11245" s="1276">
        <f>[11]building!Y11576</f>
        <v>0</v>
      </c>
      <c r="F11245" s="748">
        <f t="shared" si="414"/>
        <v>0</v>
      </c>
      <c r="G11245" s="1205"/>
      <c r="H11245" s="1055"/>
      <c r="I11245" s="1055"/>
      <c r="J11245" s="1055"/>
      <c r="K11245" s="1205"/>
      <c r="L11245" s="1055"/>
      <c r="M11245" s="1205"/>
      <c r="N11245" s="1054"/>
      <c r="O11245" s="1207"/>
      <c r="Q11245" s="1207"/>
    </row>
    <row r="11246" spans="3:17" s="700" customFormat="1" ht="70.5" hidden="1" customHeight="1">
      <c r="C11246" s="701"/>
      <c r="D11246" s="811"/>
      <c r="E11246" s="1276">
        <f>[11]building!Y11577</f>
        <v>0</v>
      </c>
      <c r="F11246" s="748">
        <f t="shared" si="414"/>
        <v>0</v>
      </c>
      <c r="G11246" s="1205"/>
      <c r="H11246" s="1055"/>
      <c r="I11246" s="1055"/>
      <c r="J11246" s="1055"/>
      <c r="K11246" s="1205"/>
      <c r="L11246" s="1055"/>
      <c r="M11246" s="1205"/>
      <c r="N11246" s="1054"/>
      <c r="O11246" s="1207"/>
      <c r="Q11246" s="1207"/>
    </row>
    <row r="11247" spans="3:17" s="700" customFormat="1" ht="70.5" hidden="1" customHeight="1">
      <c r="C11247" s="701"/>
      <c r="D11247" s="811"/>
      <c r="E11247" s="1276">
        <f>[11]building!Y11578</f>
        <v>0</v>
      </c>
      <c r="F11247" s="748">
        <f t="shared" si="414"/>
        <v>0</v>
      </c>
      <c r="G11247" s="1205"/>
      <c r="H11247" s="1055"/>
      <c r="I11247" s="1055"/>
      <c r="J11247" s="1055"/>
      <c r="K11247" s="1205"/>
      <c r="L11247" s="1055"/>
      <c r="M11247" s="1205"/>
      <c r="N11247" s="1054"/>
      <c r="O11247" s="1207"/>
      <c r="Q11247" s="1207"/>
    </row>
    <row r="11248" spans="3:17" s="700" customFormat="1" ht="70.5" hidden="1" customHeight="1">
      <c r="C11248" s="701"/>
      <c r="D11248" s="811"/>
      <c r="E11248" s="1276">
        <f>[11]building!Y11579</f>
        <v>0</v>
      </c>
      <c r="F11248" s="748">
        <f t="shared" si="414"/>
        <v>0</v>
      </c>
      <c r="G11248" s="1205"/>
      <c r="H11248" s="1055"/>
      <c r="I11248" s="1055"/>
      <c r="J11248" s="1055"/>
      <c r="K11248" s="1205"/>
      <c r="L11248" s="1055"/>
      <c r="M11248" s="1205"/>
      <c r="N11248" s="1054"/>
      <c r="O11248" s="1207"/>
      <c r="Q11248" s="1207"/>
    </row>
    <row r="11249" spans="3:17" s="700" customFormat="1" ht="70.5" hidden="1" customHeight="1">
      <c r="C11249" s="701"/>
      <c r="D11249" s="811"/>
      <c r="E11249" s="1276">
        <f>[11]building!Y11580</f>
        <v>0</v>
      </c>
      <c r="F11249" s="748">
        <f t="shared" si="414"/>
        <v>0</v>
      </c>
      <c r="G11249" s="1205"/>
      <c r="H11249" s="1055"/>
      <c r="I11249" s="1055"/>
      <c r="J11249" s="1055"/>
      <c r="K11249" s="1205"/>
      <c r="L11249" s="1055"/>
      <c r="M11249" s="1205"/>
      <c r="N11249" s="1054"/>
      <c r="O11249" s="1207"/>
      <c r="Q11249" s="1207"/>
    </row>
    <row r="11250" spans="3:17" s="700" customFormat="1" ht="70.5" hidden="1" customHeight="1">
      <c r="C11250" s="701"/>
      <c r="D11250" s="811"/>
      <c r="E11250" s="1276">
        <f>[11]building!Y11581</f>
        <v>0</v>
      </c>
      <c r="F11250" s="748">
        <f t="shared" si="414"/>
        <v>0</v>
      </c>
      <c r="G11250" s="1205"/>
      <c r="H11250" s="1055"/>
      <c r="I11250" s="1055"/>
      <c r="J11250" s="1055"/>
      <c r="K11250" s="1205"/>
      <c r="L11250" s="1055"/>
      <c r="M11250" s="1205"/>
      <c r="N11250" s="1054"/>
      <c r="O11250" s="1207"/>
      <c r="Q11250" s="1207"/>
    </row>
    <row r="11251" spans="3:17" s="700" customFormat="1" ht="70.5" hidden="1" customHeight="1">
      <c r="C11251" s="701"/>
      <c r="D11251" s="811"/>
      <c r="E11251" s="1276">
        <f>[11]building!Y11582</f>
        <v>0</v>
      </c>
      <c r="F11251" s="748">
        <f t="shared" si="414"/>
        <v>0</v>
      </c>
      <c r="G11251" s="1205"/>
      <c r="H11251" s="1055"/>
      <c r="I11251" s="1055"/>
      <c r="J11251" s="1055"/>
      <c r="K11251" s="1205"/>
      <c r="L11251" s="1055"/>
      <c r="M11251" s="1205"/>
      <c r="N11251" s="1054"/>
      <c r="O11251" s="1207"/>
      <c r="Q11251" s="1207"/>
    </row>
    <row r="11252" spans="3:17" s="700" customFormat="1" ht="70.5" hidden="1" customHeight="1">
      <c r="C11252" s="701"/>
      <c r="D11252" s="811"/>
      <c r="E11252" s="1276">
        <f>[11]building!Y11583</f>
        <v>0</v>
      </c>
      <c r="F11252" s="748">
        <f t="shared" si="414"/>
        <v>0</v>
      </c>
      <c r="G11252" s="1205"/>
      <c r="H11252" s="1055"/>
      <c r="I11252" s="1055"/>
      <c r="J11252" s="1055"/>
      <c r="K11252" s="1205"/>
      <c r="L11252" s="1055"/>
      <c r="M11252" s="1205"/>
      <c r="N11252" s="1054"/>
      <c r="O11252" s="1207"/>
      <c r="Q11252" s="1207"/>
    </row>
    <row r="11253" spans="3:17" s="700" customFormat="1" ht="70.5" hidden="1" customHeight="1">
      <c r="C11253" s="701"/>
      <c r="D11253" s="811"/>
      <c r="E11253" s="1276">
        <f>[11]building!Y11584</f>
        <v>0</v>
      </c>
      <c r="F11253" s="748">
        <f t="shared" si="414"/>
        <v>0</v>
      </c>
      <c r="G11253" s="1205"/>
      <c r="H11253" s="1055"/>
      <c r="I11253" s="1055"/>
      <c r="J11253" s="1055"/>
      <c r="K11253" s="1205"/>
      <c r="L11253" s="1055"/>
      <c r="M11253" s="1205"/>
      <c r="N11253" s="1054"/>
      <c r="O11253" s="1207"/>
      <c r="Q11253" s="1207"/>
    </row>
    <row r="11254" spans="3:17" s="700" customFormat="1" ht="70.5" hidden="1" customHeight="1">
      <c r="C11254" s="701"/>
      <c r="D11254" s="811"/>
      <c r="E11254" s="1276">
        <f>[11]building!Y11585</f>
        <v>0</v>
      </c>
      <c r="F11254" s="748">
        <f t="shared" si="414"/>
        <v>0</v>
      </c>
      <c r="G11254" s="1205"/>
      <c r="H11254" s="1055"/>
      <c r="I11254" s="1055"/>
      <c r="J11254" s="1055"/>
      <c r="K11254" s="1205"/>
      <c r="L11254" s="1055"/>
      <c r="M11254" s="1205"/>
      <c r="N11254" s="1054"/>
      <c r="O11254" s="1207"/>
      <c r="Q11254" s="1207"/>
    </row>
    <row r="11255" spans="3:17" s="700" customFormat="1" ht="70.5" hidden="1" customHeight="1">
      <c r="C11255" s="701"/>
      <c r="D11255" s="811"/>
      <c r="E11255" s="1276">
        <f>[11]building!Y11586</f>
        <v>0</v>
      </c>
      <c r="F11255" s="748">
        <f t="shared" si="414"/>
        <v>0</v>
      </c>
      <c r="G11255" s="1205"/>
      <c r="H11255" s="1055"/>
      <c r="I11255" s="1055"/>
      <c r="J11255" s="1055"/>
      <c r="K11255" s="1205"/>
      <c r="L11255" s="1055"/>
      <c r="M11255" s="1205"/>
      <c r="N11255" s="1054"/>
      <c r="O11255" s="1207"/>
      <c r="Q11255" s="1207"/>
    </row>
    <row r="11256" spans="3:17" s="700" customFormat="1" ht="70.5" hidden="1" customHeight="1">
      <c r="C11256" s="701"/>
      <c r="D11256" s="811"/>
      <c r="E11256" s="1276">
        <f>[11]building!Y11587</f>
        <v>0</v>
      </c>
      <c r="F11256" s="748">
        <f t="shared" si="414"/>
        <v>0</v>
      </c>
      <c r="G11256" s="1205"/>
      <c r="H11256" s="1055"/>
      <c r="I11256" s="1055"/>
      <c r="J11256" s="1055"/>
      <c r="K11256" s="1205"/>
      <c r="L11256" s="1055"/>
      <c r="M11256" s="1205"/>
      <c r="N11256" s="1054"/>
      <c r="O11256" s="1207"/>
      <c r="Q11256" s="1207"/>
    </row>
    <row r="11257" spans="3:17" s="700" customFormat="1" ht="70.5" hidden="1" customHeight="1">
      <c r="C11257" s="701"/>
      <c r="D11257" s="811"/>
      <c r="E11257" s="1276">
        <f>[11]building!Y11588</f>
        <v>0</v>
      </c>
      <c r="F11257" s="748">
        <f t="shared" si="414"/>
        <v>0</v>
      </c>
      <c r="G11257" s="1205"/>
      <c r="H11257" s="1055"/>
      <c r="I11257" s="1055"/>
      <c r="J11257" s="1055"/>
      <c r="K11257" s="1205"/>
      <c r="L11257" s="1055"/>
      <c r="M11257" s="1205"/>
      <c r="N11257" s="1054"/>
      <c r="O11257" s="1207"/>
      <c r="Q11257" s="1207"/>
    </row>
    <row r="11258" spans="3:17" s="700" customFormat="1" ht="70.5" hidden="1" customHeight="1">
      <c r="C11258" s="701"/>
      <c r="D11258" s="811"/>
      <c r="E11258" s="1276">
        <f>[11]building!Y11589</f>
        <v>0</v>
      </c>
      <c r="F11258" s="748">
        <f t="shared" si="414"/>
        <v>0</v>
      </c>
      <c r="G11258" s="1205"/>
      <c r="H11258" s="1055"/>
      <c r="I11258" s="1055"/>
      <c r="J11258" s="1055"/>
      <c r="K11258" s="1205"/>
      <c r="L11258" s="1055"/>
      <c r="M11258" s="1205"/>
      <c r="N11258" s="1054"/>
      <c r="O11258" s="1207"/>
      <c r="Q11258" s="1207"/>
    </row>
    <row r="11259" spans="3:17" s="700" customFormat="1" ht="70.5" hidden="1" customHeight="1">
      <c r="C11259" s="701"/>
      <c r="D11259" s="811"/>
      <c r="E11259" s="1276">
        <f>[11]building!Y11590</f>
        <v>0</v>
      </c>
      <c r="F11259" s="748">
        <f t="shared" si="414"/>
        <v>0</v>
      </c>
      <c r="G11259" s="1205"/>
      <c r="H11259" s="1055"/>
      <c r="I11259" s="1055"/>
      <c r="J11259" s="1055"/>
      <c r="K11259" s="1205"/>
      <c r="L11259" s="1055"/>
      <c r="M11259" s="1205"/>
      <c r="N11259" s="1054"/>
      <c r="O11259" s="1207"/>
      <c r="Q11259" s="1207"/>
    </row>
    <row r="11260" spans="3:17" s="700" customFormat="1" ht="70.5" hidden="1" customHeight="1">
      <c r="C11260" s="701"/>
      <c r="D11260" s="811"/>
      <c r="E11260" s="1276">
        <f>[11]building!Y11591</f>
        <v>0</v>
      </c>
      <c r="F11260" s="748">
        <f t="shared" si="414"/>
        <v>0</v>
      </c>
      <c r="G11260" s="1205"/>
      <c r="H11260" s="1055"/>
      <c r="I11260" s="1055"/>
      <c r="J11260" s="1055"/>
      <c r="K11260" s="1205"/>
      <c r="L11260" s="1055"/>
      <c r="M11260" s="1205"/>
      <c r="N11260" s="1054"/>
      <c r="O11260" s="1207"/>
      <c r="Q11260" s="1207"/>
    </row>
    <row r="11261" spans="3:17" s="700" customFormat="1" ht="70.5" hidden="1" customHeight="1">
      <c r="C11261" s="701"/>
      <c r="D11261" s="811"/>
      <c r="E11261" s="1276">
        <f>[11]building!Y11592</f>
        <v>0</v>
      </c>
      <c r="F11261" s="748">
        <f t="shared" si="414"/>
        <v>0</v>
      </c>
      <c r="G11261" s="1205"/>
      <c r="H11261" s="1055"/>
      <c r="I11261" s="1055"/>
      <c r="J11261" s="1055"/>
      <c r="K11261" s="1205"/>
      <c r="L11261" s="1055"/>
      <c r="M11261" s="1205"/>
      <c r="N11261" s="1054"/>
      <c r="O11261" s="1207"/>
      <c r="Q11261" s="1207"/>
    </row>
    <row r="11262" spans="3:17" s="700" customFormat="1" ht="70.5" hidden="1" customHeight="1">
      <c r="C11262" s="701"/>
      <c r="D11262" s="811"/>
      <c r="E11262" s="1276">
        <f>[11]building!Y11593</f>
        <v>0</v>
      </c>
      <c r="F11262" s="748">
        <f t="shared" si="414"/>
        <v>0</v>
      </c>
      <c r="G11262" s="1205"/>
      <c r="H11262" s="1055"/>
      <c r="I11262" s="1055"/>
      <c r="J11262" s="1055"/>
      <c r="K11262" s="1205"/>
      <c r="L11262" s="1055"/>
      <c r="M11262" s="1205"/>
      <c r="N11262" s="1054"/>
      <c r="O11262" s="1207"/>
      <c r="Q11262" s="1207"/>
    </row>
    <row r="11263" spans="3:17" s="700" customFormat="1" ht="70.5" hidden="1" customHeight="1">
      <c r="C11263" s="701"/>
      <c r="D11263" s="811"/>
      <c r="E11263" s="1276">
        <f>[11]building!Y11594</f>
        <v>0</v>
      </c>
      <c r="F11263" s="748">
        <f t="shared" si="414"/>
        <v>0</v>
      </c>
      <c r="G11263" s="1205"/>
      <c r="H11263" s="1055"/>
      <c r="I11263" s="1055"/>
      <c r="J11263" s="1055"/>
      <c r="K11263" s="1205"/>
      <c r="L11263" s="1055"/>
      <c r="M11263" s="1205"/>
      <c r="N11263" s="1054"/>
      <c r="O11263" s="1207"/>
      <c r="Q11263" s="1207"/>
    </row>
    <row r="11264" spans="3:17" s="700" customFormat="1" ht="70.5" hidden="1" customHeight="1">
      <c r="C11264" s="701"/>
      <c r="D11264" s="811"/>
      <c r="E11264" s="1276">
        <f>[11]building!Y11595</f>
        <v>0</v>
      </c>
      <c r="F11264" s="748">
        <f t="shared" ref="F11264:F11327" si="415">E11264*C11264</f>
        <v>0</v>
      </c>
      <c r="G11264" s="1205"/>
      <c r="H11264" s="1055"/>
      <c r="I11264" s="1055"/>
      <c r="J11264" s="1055"/>
      <c r="K11264" s="1205"/>
      <c r="L11264" s="1055"/>
      <c r="M11264" s="1205"/>
      <c r="N11264" s="1054"/>
      <c r="O11264" s="1207"/>
      <c r="Q11264" s="1207"/>
    </row>
    <row r="11265" spans="3:17" s="700" customFormat="1" ht="70.5" hidden="1" customHeight="1">
      <c r="C11265" s="701"/>
      <c r="D11265" s="811"/>
      <c r="E11265" s="1276">
        <f>[11]building!Y11596</f>
        <v>0</v>
      </c>
      <c r="F11265" s="748">
        <f t="shared" si="415"/>
        <v>0</v>
      </c>
      <c r="G11265" s="1205"/>
      <c r="H11265" s="1055"/>
      <c r="I11265" s="1055"/>
      <c r="J11265" s="1055"/>
      <c r="K11265" s="1205"/>
      <c r="L11265" s="1055"/>
      <c r="M11265" s="1205"/>
      <c r="N11265" s="1054"/>
      <c r="O11265" s="1207"/>
      <c r="Q11265" s="1207"/>
    </row>
    <row r="11266" spans="3:17" s="700" customFormat="1" ht="70.5" hidden="1" customHeight="1">
      <c r="C11266" s="701"/>
      <c r="D11266" s="811"/>
      <c r="E11266" s="1276">
        <f>[11]building!Y11597</f>
        <v>0</v>
      </c>
      <c r="F11266" s="748">
        <f t="shared" si="415"/>
        <v>0</v>
      </c>
      <c r="G11266" s="1205"/>
      <c r="H11266" s="1055"/>
      <c r="I11266" s="1055"/>
      <c r="J11266" s="1055"/>
      <c r="K11266" s="1205"/>
      <c r="L11266" s="1055"/>
      <c r="M11266" s="1205"/>
      <c r="N11266" s="1054"/>
      <c r="O11266" s="1207"/>
      <c r="Q11266" s="1207"/>
    </row>
    <row r="11267" spans="3:17" s="700" customFormat="1" ht="70.5" hidden="1" customHeight="1">
      <c r="C11267" s="701"/>
      <c r="D11267" s="811"/>
      <c r="E11267" s="1276">
        <f>[11]building!Y11598</f>
        <v>0</v>
      </c>
      <c r="F11267" s="748">
        <f t="shared" si="415"/>
        <v>0</v>
      </c>
      <c r="G11267" s="1205"/>
      <c r="H11267" s="1055"/>
      <c r="I11267" s="1055"/>
      <c r="J11267" s="1055"/>
      <c r="K11267" s="1205"/>
      <c r="L11267" s="1055"/>
      <c r="M11267" s="1205"/>
      <c r="N11267" s="1054"/>
      <c r="O11267" s="1207"/>
      <c r="Q11267" s="1207"/>
    </row>
    <row r="11268" spans="3:17" s="700" customFormat="1" ht="70.5" hidden="1" customHeight="1">
      <c r="C11268" s="701"/>
      <c r="D11268" s="811"/>
      <c r="E11268" s="1276">
        <f>[11]building!Y11599</f>
        <v>0</v>
      </c>
      <c r="F11268" s="748">
        <f t="shared" si="415"/>
        <v>0</v>
      </c>
      <c r="G11268" s="1205"/>
      <c r="H11268" s="1055"/>
      <c r="I11268" s="1055"/>
      <c r="J11268" s="1055"/>
      <c r="K11268" s="1205"/>
      <c r="L11268" s="1055"/>
      <c r="M11268" s="1205"/>
      <c r="N11268" s="1054"/>
      <c r="O11268" s="1207"/>
      <c r="Q11268" s="1207"/>
    </row>
    <row r="11269" spans="3:17" s="700" customFormat="1" ht="70.5" hidden="1" customHeight="1">
      <c r="C11269" s="701"/>
      <c r="D11269" s="811"/>
      <c r="E11269" s="1276">
        <f>[11]building!Y11600</f>
        <v>0</v>
      </c>
      <c r="F11269" s="748">
        <f t="shared" si="415"/>
        <v>0</v>
      </c>
      <c r="G11269" s="1205"/>
      <c r="H11269" s="1055"/>
      <c r="I11269" s="1055"/>
      <c r="J11269" s="1055"/>
      <c r="K11269" s="1205"/>
      <c r="L11269" s="1055"/>
      <c r="M11269" s="1205"/>
      <c r="N11269" s="1054"/>
      <c r="O11269" s="1207"/>
      <c r="Q11269" s="1207"/>
    </row>
    <row r="11270" spans="3:17" s="700" customFormat="1" ht="70.5" hidden="1" customHeight="1">
      <c r="C11270" s="701"/>
      <c r="D11270" s="811"/>
      <c r="E11270" s="1276">
        <f>[11]building!Y11601</f>
        <v>0</v>
      </c>
      <c r="F11270" s="748">
        <f t="shared" si="415"/>
        <v>0</v>
      </c>
      <c r="G11270" s="1205"/>
      <c r="H11270" s="1055"/>
      <c r="I11270" s="1055"/>
      <c r="J11270" s="1055"/>
      <c r="K11270" s="1205"/>
      <c r="L11270" s="1055"/>
      <c r="M11270" s="1205"/>
      <c r="N11270" s="1054"/>
      <c r="O11270" s="1207"/>
      <c r="Q11270" s="1207"/>
    </row>
    <row r="11271" spans="3:17" s="700" customFormat="1" ht="70.5" hidden="1" customHeight="1">
      <c r="C11271" s="701"/>
      <c r="D11271" s="811"/>
      <c r="E11271" s="1276">
        <f>[11]building!Y11602</f>
        <v>0</v>
      </c>
      <c r="F11271" s="748">
        <f t="shared" si="415"/>
        <v>0</v>
      </c>
      <c r="G11271" s="1205"/>
      <c r="H11271" s="1055"/>
      <c r="I11271" s="1055"/>
      <c r="J11271" s="1055"/>
      <c r="K11271" s="1205"/>
      <c r="L11271" s="1055"/>
      <c r="M11271" s="1205"/>
      <c r="N11271" s="1054"/>
      <c r="O11271" s="1207"/>
      <c r="Q11271" s="1207"/>
    </row>
    <row r="11272" spans="3:17" s="700" customFormat="1" ht="70.5" hidden="1" customHeight="1">
      <c r="C11272" s="701"/>
      <c r="D11272" s="811"/>
      <c r="E11272" s="1276">
        <f>[11]building!Y11603</f>
        <v>0</v>
      </c>
      <c r="F11272" s="748">
        <f t="shared" si="415"/>
        <v>0</v>
      </c>
      <c r="G11272" s="1205"/>
      <c r="H11272" s="1055"/>
      <c r="I11272" s="1055"/>
      <c r="J11272" s="1055"/>
      <c r="K11272" s="1205"/>
      <c r="L11272" s="1055"/>
      <c r="M11272" s="1205"/>
      <c r="N11272" s="1054"/>
      <c r="O11272" s="1207"/>
      <c r="Q11272" s="1207"/>
    </row>
    <row r="11273" spans="3:17" s="700" customFormat="1" ht="70.5" hidden="1" customHeight="1">
      <c r="C11273" s="701"/>
      <c r="D11273" s="811"/>
      <c r="E11273" s="1276">
        <f>[11]building!Y11604</f>
        <v>0</v>
      </c>
      <c r="F11273" s="748">
        <f t="shared" si="415"/>
        <v>0</v>
      </c>
      <c r="G11273" s="1205"/>
      <c r="H11273" s="1055"/>
      <c r="I11273" s="1055"/>
      <c r="J11273" s="1055"/>
      <c r="K11273" s="1205"/>
      <c r="L11273" s="1055"/>
      <c r="M11273" s="1205"/>
      <c r="N11273" s="1054"/>
      <c r="O11273" s="1207"/>
      <c r="Q11273" s="1207"/>
    </row>
    <row r="11274" spans="3:17" s="700" customFormat="1" ht="70.5" hidden="1" customHeight="1">
      <c r="C11274" s="701"/>
      <c r="D11274" s="811"/>
      <c r="E11274" s="1276">
        <f>[11]building!Y11605</f>
        <v>0</v>
      </c>
      <c r="F11274" s="748">
        <f t="shared" si="415"/>
        <v>0</v>
      </c>
      <c r="G11274" s="1205"/>
      <c r="H11274" s="1055"/>
      <c r="I11274" s="1055"/>
      <c r="J11274" s="1055"/>
      <c r="K11274" s="1205"/>
      <c r="L11274" s="1055"/>
      <c r="M11274" s="1205"/>
      <c r="N11274" s="1054"/>
      <c r="O11274" s="1207"/>
      <c r="Q11274" s="1207"/>
    </row>
    <row r="11275" spans="3:17" s="700" customFormat="1" ht="70.5" hidden="1" customHeight="1">
      <c r="C11275" s="701"/>
      <c r="D11275" s="811"/>
      <c r="E11275" s="1276">
        <f>[11]building!Y11606</f>
        <v>0</v>
      </c>
      <c r="F11275" s="748">
        <f t="shared" si="415"/>
        <v>0</v>
      </c>
      <c r="G11275" s="1205"/>
      <c r="H11275" s="1055"/>
      <c r="I11275" s="1055"/>
      <c r="J11275" s="1055"/>
      <c r="K11275" s="1205"/>
      <c r="L11275" s="1055"/>
      <c r="M11275" s="1205"/>
      <c r="N11275" s="1054"/>
      <c r="O11275" s="1207"/>
      <c r="Q11275" s="1207"/>
    </row>
    <row r="11276" spans="3:17" s="700" customFormat="1" ht="70.5" hidden="1" customHeight="1">
      <c r="C11276" s="701"/>
      <c r="D11276" s="811"/>
      <c r="E11276" s="1276">
        <f>[11]building!Y11607</f>
        <v>0</v>
      </c>
      <c r="F11276" s="748">
        <f t="shared" si="415"/>
        <v>0</v>
      </c>
      <c r="G11276" s="1205"/>
      <c r="H11276" s="1055"/>
      <c r="I11276" s="1055"/>
      <c r="J11276" s="1055"/>
      <c r="K11276" s="1205"/>
      <c r="L11276" s="1055"/>
      <c r="M11276" s="1205"/>
      <c r="N11276" s="1054"/>
      <c r="O11276" s="1207"/>
      <c r="Q11276" s="1207"/>
    </row>
    <row r="11277" spans="3:17" s="700" customFormat="1" ht="70.5" hidden="1" customHeight="1">
      <c r="C11277" s="701"/>
      <c r="D11277" s="811"/>
      <c r="E11277" s="1276">
        <f>[11]building!Y11608</f>
        <v>0</v>
      </c>
      <c r="F11277" s="748">
        <f t="shared" si="415"/>
        <v>0</v>
      </c>
      <c r="G11277" s="1205"/>
      <c r="H11277" s="1055"/>
      <c r="I11277" s="1055"/>
      <c r="J11277" s="1055"/>
      <c r="K11277" s="1205"/>
      <c r="L11277" s="1055"/>
      <c r="M11277" s="1205"/>
      <c r="N11277" s="1054"/>
      <c r="O11277" s="1207"/>
      <c r="Q11277" s="1207"/>
    </row>
    <row r="11278" spans="3:17" s="700" customFormat="1" ht="70.5" hidden="1" customHeight="1">
      <c r="C11278" s="701"/>
      <c r="D11278" s="811"/>
      <c r="E11278" s="1276">
        <f>[11]building!Y11609</f>
        <v>0</v>
      </c>
      <c r="F11278" s="748">
        <f t="shared" si="415"/>
        <v>0</v>
      </c>
      <c r="G11278" s="1205"/>
      <c r="H11278" s="1055"/>
      <c r="I11278" s="1055"/>
      <c r="J11278" s="1055"/>
      <c r="K11278" s="1205"/>
      <c r="L11278" s="1055"/>
      <c r="M11278" s="1205"/>
      <c r="N11278" s="1054"/>
      <c r="O11278" s="1207"/>
      <c r="Q11278" s="1207"/>
    </row>
    <row r="11279" spans="3:17" s="700" customFormat="1" ht="70.5" hidden="1" customHeight="1">
      <c r="C11279" s="701"/>
      <c r="D11279" s="811"/>
      <c r="E11279" s="1276">
        <f>[11]building!Y11610</f>
        <v>0</v>
      </c>
      <c r="F11279" s="748">
        <f t="shared" si="415"/>
        <v>0</v>
      </c>
      <c r="G11279" s="1205"/>
      <c r="H11279" s="1055"/>
      <c r="I11279" s="1055"/>
      <c r="J11279" s="1055"/>
      <c r="K11279" s="1205"/>
      <c r="L11279" s="1055"/>
      <c r="M11279" s="1205"/>
      <c r="N11279" s="1054"/>
      <c r="O11279" s="1207"/>
      <c r="Q11279" s="1207"/>
    </row>
    <row r="11280" spans="3:17" s="700" customFormat="1" ht="70.5" hidden="1" customHeight="1">
      <c r="C11280" s="701"/>
      <c r="D11280" s="811"/>
      <c r="E11280" s="1276">
        <f>[11]building!Y11611</f>
        <v>0</v>
      </c>
      <c r="F11280" s="748">
        <f t="shared" si="415"/>
        <v>0</v>
      </c>
      <c r="G11280" s="1205"/>
      <c r="H11280" s="1055"/>
      <c r="I11280" s="1055"/>
      <c r="J11280" s="1055"/>
      <c r="K11280" s="1205"/>
      <c r="L11280" s="1055"/>
      <c r="M11280" s="1205"/>
      <c r="N11280" s="1054"/>
      <c r="O11280" s="1207"/>
      <c r="Q11280" s="1207"/>
    </row>
    <row r="11281" spans="3:17" s="700" customFormat="1" ht="70.5" hidden="1" customHeight="1">
      <c r="C11281" s="701"/>
      <c r="D11281" s="811"/>
      <c r="E11281" s="1276">
        <f>[11]building!Y11612</f>
        <v>0</v>
      </c>
      <c r="F11281" s="748">
        <f t="shared" si="415"/>
        <v>0</v>
      </c>
      <c r="G11281" s="1205"/>
      <c r="H11281" s="1055"/>
      <c r="I11281" s="1055"/>
      <c r="J11281" s="1055"/>
      <c r="K11281" s="1205"/>
      <c r="L11281" s="1055"/>
      <c r="M11281" s="1205"/>
      <c r="N11281" s="1054"/>
      <c r="O11281" s="1207"/>
      <c r="Q11281" s="1207"/>
    </row>
    <row r="11282" spans="3:17" s="700" customFormat="1" ht="70.5" hidden="1" customHeight="1">
      <c r="C11282" s="701"/>
      <c r="D11282" s="811"/>
      <c r="E11282" s="1276">
        <f>[11]building!Y11613</f>
        <v>0</v>
      </c>
      <c r="F11282" s="748">
        <f t="shared" si="415"/>
        <v>0</v>
      </c>
      <c r="G11282" s="1205"/>
      <c r="H11282" s="1055"/>
      <c r="I11282" s="1055"/>
      <c r="J11282" s="1055"/>
      <c r="K11282" s="1205"/>
      <c r="L11282" s="1055"/>
      <c r="M11282" s="1205"/>
      <c r="N11282" s="1054"/>
      <c r="O11282" s="1207"/>
      <c r="Q11282" s="1207"/>
    </row>
    <row r="11283" spans="3:17" s="700" customFormat="1" ht="70.5" hidden="1" customHeight="1">
      <c r="C11283" s="701"/>
      <c r="D11283" s="811"/>
      <c r="E11283" s="1276">
        <f>[11]building!Y11614</f>
        <v>0</v>
      </c>
      <c r="F11283" s="748">
        <f t="shared" si="415"/>
        <v>0</v>
      </c>
      <c r="G11283" s="1205"/>
      <c r="H11283" s="1055"/>
      <c r="I11283" s="1055"/>
      <c r="J11283" s="1055"/>
      <c r="K11283" s="1205"/>
      <c r="L11283" s="1055"/>
      <c r="M11283" s="1205"/>
      <c r="N11283" s="1054"/>
      <c r="O11283" s="1207"/>
      <c r="Q11283" s="1207"/>
    </row>
    <row r="11284" spans="3:17" s="700" customFormat="1" ht="70.5" hidden="1" customHeight="1">
      <c r="C11284" s="701"/>
      <c r="D11284" s="811"/>
      <c r="E11284" s="1276">
        <f>[11]building!Y11615</f>
        <v>0</v>
      </c>
      <c r="F11284" s="748">
        <f t="shared" si="415"/>
        <v>0</v>
      </c>
      <c r="G11284" s="1205"/>
      <c r="H11284" s="1055"/>
      <c r="I11284" s="1055"/>
      <c r="J11284" s="1055"/>
      <c r="K11284" s="1205"/>
      <c r="L11284" s="1055"/>
      <c r="M11284" s="1205"/>
      <c r="N11284" s="1054"/>
      <c r="O11284" s="1207"/>
      <c r="Q11284" s="1207"/>
    </row>
    <row r="11285" spans="3:17" s="700" customFormat="1" ht="70.5" hidden="1" customHeight="1">
      <c r="C11285" s="701"/>
      <c r="D11285" s="811"/>
      <c r="E11285" s="1276">
        <f>[11]building!Y11616</f>
        <v>0</v>
      </c>
      <c r="F11285" s="748">
        <f t="shared" si="415"/>
        <v>0</v>
      </c>
      <c r="G11285" s="1205"/>
      <c r="H11285" s="1055"/>
      <c r="I11285" s="1055"/>
      <c r="J11285" s="1055"/>
      <c r="K11285" s="1205"/>
      <c r="L11285" s="1055"/>
      <c r="M11285" s="1205"/>
      <c r="N11285" s="1054"/>
      <c r="O11285" s="1207"/>
      <c r="Q11285" s="1207"/>
    </row>
    <row r="11286" spans="3:17" s="700" customFormat="1" ht="70.5" hidden="1" customHeight="1">
      <c r="C11286" s="701"/>
      <c r="D11286" s="811"/>
      <c r="E11286" s="1276">
        <f>[11]building!Y11617</f>
        <v>0</v>
      </c>
      <c r="F11286" s="748">
        <f t="shared" si="415"/>
        <v>0</v>
      </c>
      <c r="G11286" s="1205"/>
      <c r="H11286" s="1055"/>
      <c r="I11286" s="1055"/>
      <c r="J11286" s="1055"/>
      <c r="K11286" s="1205"/>
      <c r="L11286" s="1055"/>
      <c r="M11286" s="1205"/>
      <c r="N11286" s="1054"/>
      <c r="O11286" s="1207"/>
      <c r="Q11286" s="1207"/>
    </row>
    <row r="11287" spans="3:17" s="700" customFormat="1" ht="70.5" hidden="1" customHeight="1">
      <c r="C11287" s="701"/>
      <c r="D11287" s="811"/>
      <c r="E11287" s="1276">
        <f>[11]building!Y11618</f>
        <v>0</v>
      </c>
      <c r="F11287" s="748">
        <f t="shared" si="415"/>
        <v>0</v>
      </c>
      <c r="G11287" s="1205"/>
      <c r="H11287" s="1055"/>
      <c r="I11287" s="1055"/>
      <c r="J11287" s="1055"/>
      <c r="K11287" s="1205"/>
      <c r="L11287" s="1055"/>
      <c r="M11287" s="1205"/>
      <c r="N11287" s="1054"/>
      <c r="O11287" s="1207"/>
      <c r="Q11287" s="1207"/>
    </row>
    <row r="11288" spans="3:17" s="700" customFormat="1" ht="70.5" hidden="1" customHeight="1">
      <c r="C11288" s="701"/>
      <c r="D11288" s="811"/>
      <c r="E11288" s="1276">
        <f>[11]building!Y11619</f>
        <v>0</v>
      </c>
      <c r="F11288" s="748">
        <f t="shared" si="415"/>
        <v>0</v>
      </c>
      <c r="G11288" s="1205"/>
      <c r="H11288" s="1055"/>
      <c r="I11288" s="1055"/>
      <c r="J11288" s="1055"/>
      <c r="K11288" s="1205"/>
      <c r="L11288" s="1055"/>
      <c r="M11288" s="1205"/>
      <c r="N11288" s="1054"/>
      <c r="O11288" s="1207"/>
      <c r="Q11288" s="1207"/>
    </row>
    <row r="11289" spans="3:17" s="700" customFormat="1" ht="70.5" hidden="1" customHeight="1">
      <c r="C11289" s="701"/>
      <c r="D11289" s="811"/>
      <c r="E11289" s="1276">
        <f>[11]building!Y11620</f>
        <v>0</v>
      </c>
      <c r="F11289" s="748">
        <f t="shared" si="415"/>
        <v>0</v>
      </c>
      <c r="G11289" s="1205"/>
      <c r="H11289" s="1055"/>
      <c r="I11289" s="1055"/>
      <c r="J11289" s="1055"/>
      <c r="K11289" s="1205"/>
      <c r="L11289" s="1055"/>
      <c r="M11289" s="1205"/>
      <c r="N11289" s="1054"/>
      <c r="O11289" s="1207"/>
      <c r="Q11289" s="1207"/>
    </row>
    <row r="11290" spans="3:17" s="700" customFormat="1" ht="70.5" hidden="1" customHeight="1">
      <c r="C11290" s="701"/>
      <c r="D11290" s="811"/>
      <c r="E11290" s="1276">
        <f>[11]building!Y11621</f>
        <v>0</v>
      </c>
      <c r="F11290" s="748">
        <f t="shared" si="415"/>
        <v>0</v>
      </c>
      <c r="G11290" s="1205"/>
      <c r="H11290" s="1055"/>
      <c r="I11290" s="1055"/>
      <c r="J11290" s="1055"/>
      <c r="K11290" s="1205"/>
      <c r="L11290" s="1055"/>
      <c r="M11290" s="1205"/>
      <c r="N11290" s="1054"/>
      <c r="O11290" s="1207"/>
      <c r="Q11290" s="1207"/>
    </row>
    <row r="11291" spans="3:17" s="700" customFormat="1" ht="70.5" hidden="1" customHeight="1">
      <c r="C11291" s="701"/>
      <c r="D11291" s="811"/>
      <c r="E11291" s="1276">
        <f>[11]building!Y11622</f>
        <v>0</v>
      </c>
      <c r="F11291" s="748">
        <f t="shared" si="415"/>
        <v>0</v>
      </c>
      <c r="G11291" s="1205"/>
      <c r="H11291" s="1055"/>
      <c r="I11291" s="1055"/>
      <c r="J11291" s="1055"/>
      <c r="K11291" s="1205"/>
      <c r="L11291" s="1055"/>
      <c r="M11291" s="1205"/>
      <c r="N11291" s="1054"/>
      <c r="O11291" s="1207"/>
      <c r="Q11291" s="1207"/>
    </row>
    <row r="11292" spans="3:17" s="700" customFormat="1" ht="70.5" hidden="1" customHeight="1">
      <c r="C11292" s="701"/>
      <c r="D11292" s="811"/>
      <c r="E11292" s="1276">
        <f>[11]building!Y11623</f>
        <v>0</v>
      </c>
      <c r="F11292" s="748">
        <f t="shared" si="415"/>
        <v>0</v>
      </c>
      <c r="G11292" s="1205"/>
      <c r="H11292" s="1055"/>
      <c r="I11292" s="1055"/>
      <c r="J11292" s="1055"/>
      <c r="K11292" s="1205"/>
      <c r="L11292" s="1055"/>
      <c r="M11292" s="1205"/>
      <c r="N11292" s="1054"/>
      <c r="O11292" s="1207"/>
      <c r="Q11292" s="1207"/>
    </row>
    <row r="11293" spans="3:17" s="700" customFormat="1" ht="70.5" hidden="1" customHeight="1">
      <c r="C11293" s="701"/>
      <c r="D11293" s="811"/>
      <c r="E11293" s="1276">
        <f>[11]building!Y11624</f>
        <v>0</v>
      </c>
      <c r="F11293" s="748">
        <f t="shared" si="415"/>
        <v>0</v>
      </c>
      <c r="G11293" s="1205"/>
      <c r="H11293" s="1055"/>
      <c r="I11293" s="1055"/>
      <c r="J11293" s="1055"/>
      <c r="K11293" s="1205"/>
      <c r="L11293" s="1055"/>
      <c r="M11293" s="1205"/>
      <c r="N11293" s="1054"/>
      <c r="O11293" s="1207"/>
      <c r="Q11293" s="1207"/>
    </row>
    <row r="11294" spans="3:17" s="700" customFormat="1" ht="70.5" hidden="1" customHeight="1">
      <c r="C11294" s="701"/>
      <c r="D11294" s="811"/>
      <c r="E11294" s="1276">
        <f>[11]building!Y11625</f>
        <v>0</v>
      </c>
      <c r="F11294" s="748">
        <f t="shared" si="415"/>
        <v>0</v>
      </c>
      <c r="G11294" s="1205"/>
      <c r="H11294" s="1055"/>
      <c r="I11294" s="1055"/>
      <c r="J11294" s="1055"/>
      <c r="K11294" s="1205"/>
      <c r="L11294" s="1055"/>
      <c r="M11294" s="1205"/>
      <c r="N11294" s="1054"/>
      <c r="O11294" s="1207"/>
      <c r="Q11294" s="1207"/>
    </row>
    <row r="11295" spans="3:17" s="700" customFormat="1" ht="70.5" hidden="1" customHeight="1">
      <c r="C11295" s="701"/>
      <c r="D11295" s="811"/>
      <c r="E11295" s="1276">
        <f>[11]building!Y11626</f>
        <v>0</v>
      </c>
      <c r="F11295" s="748">
        <f t="shared" si="415"/>
        <v>0</v>
      </c>
      <c r="G11295" s="1205"/>
      <c r="H11295" s="1055"/>
      <c r="I11295" s="1055"/>
      <c r="J11295" s="1055"/>
      <c r="K11295" s="1205"/>
      <c r="L11295" s="1055"/>
      <c r="M11295" s="1205"/>
      <c r="N11295" s="1054"/>
      <c r="O11295" s="1207"/>
      <c r="Q11295" s="1207"/>
    </row>
    <row r="11296" spans="3:17" s="700" customFormat="1" ht="70.5" hidden="1" customHeight="1">
      <c r="C11296" s="701"/>
      <c r="D11296" s="811"/>
      <c r="E11296" s="1276">
        <f>[11]building!Y11627</f>
        <v>0</v>
      </c>
      <c r="F11296" s="748">
        <f t="shared" si="415"/>
        <v>0</v>
      </c>
      <c r="G11296" s="1205"/>
      <c r="H11296" s="1055"/>
      <c r="I11296" s="1055"/>
      <c r="J11296" s="1055"/>
      <c r="K11296" s="1205"/>
      <c r="L11296" s="1055"/>
      <c r="M11296" s="1205"/>
      <c r="N11296" s="1054"/>
      <c r="O11296" s="1207"/>
      <c r="Q11296" s="1207"/>
    </row>
    <row r="11297" spans="3:17" s="700" customFormat="1" ht="70.5" hidden="1" customHeight="1">
      <c r="C11297" s="701"/>
      <c r="D11297" s="811"/>
      <c r="E11297" s="1276">
        <f>[11]building!Y11628</f>
        <v>0</v>
      </c>
      <c r="F11297" s="748">
        <f t="shared" si="415"/>
        <v>0</v>
      </c>
      <c r="G11297" s="1205"/>
      <c r="H11297" s="1055"/>
      <c r="I11297" s="1055"/>
      <c r="J11297" s="1055"/>
      <c r="K11297" s="1205"/>
      <c r="L11297" s="1055"/>
      <c r="M11297" s="1205"/>
      <c r="N11297" s="1054"/>
      <c r="O11297" s="1207"/>
      <c r="Q11297" s="1207"/>
    </row>
    <row r="11298" spans="3:17" s="700" customFormat="1" ht="70.5" hidden="1" customHeight="1">
      <c r="C11298" s="701"/>
      <c r="D11298" s="811"/>
      <c r="E11298" s="1276">
        <f>[11]building!Y11629</f>
        <v>0</v>
      </c>
      <c r="F11298" s="748">
        <f t="shared" si="415"/>
        <v>0</v>
      </c>
      <c r="G11298" s="1205"/>
      <c r="H11298" s="1055"/>
      <c r="I11298" s="1055"/>
      <c r="J11298" s="1055"/>
      <c r="K11298" s="1205"/>
      <c r="L11298" s="1055"/>
      <c r="M11298" s="1205"/>
      <c r="N11298" s="1054"/>
      <c r="O11298" s="1207"/>
      <c r="Q11298" s="1207"/>
    </row>
    <row r="11299" spans="3:17" s="700" customFormat="1" ht="70.5" hidden="1" customHeight="1">
      <c r="C11299" s="701"/>
      <c r="D11299" s="811"/>
      <c r="E11299" s="1276">
        <f>[11]building!Y11630</f>
        <v>0</v>
      </c>
      <c r="F11299" s="748">
        <f t="shared" si="415"/>
        <v>0</v>
      </c>
      <c r="G11299" s="1205"/>
      <c r="H11299" s="1055"/>
      <c r="I11299" s="1055"/>
      <c r="J11299" s="1055"/>
      <c r="K11299" s="1205"/>
      <c r="L11299" s="1055"/>
      <c r="M11299" s="1205"/>
      <c r="N11299" s="1054"/>
      <c r="O11299" s="1207"/>
      <c r="Q11299" s="1207"/>
    </row>
    <row r="11300" spans="3:17" s="700" customFormat="1" ht="70.5" hidden="1" customHeight="1">
      <c r="C11300" s="701"/>
      <c r="D11300" s="811"/>
      <c r="E11300" s="1276">
        <f>[11]building!Y11631</f>
        <v>0</v>
      </c>
      <c r="F11300" s="748">
        <f t="shared" si="415"/>
        <v>0</v>
      </c>
      <c r="G11300" s="1205"/>
      <c r="H11300" s="1055"/>
      <c r="I11300" s="1055"/>
      <c r="J11300" s="1055"/>
      <c r="K11300" s="1205"/>
      <c r="L11300" s="1055"/>
      <c r="M11300" s="1205"/>
      <c r="N11300" s="1054"/>
      <c r="O11300" s="1207"/>
      <c r="Q11300" s="1207"/>
    </row>
    <row r="11301" spans="3:17" s="700" customFormat="1" ht="70.5" hidden="1" customHeight="1">
      <c r="C11301" s="701"/>
      <c r="D11301" s="811"/>
      <c r="E11301" s="1276">
        <f>[11]building!Y11632</f>
        <v>0</v>
      </c>
      <c r="F11301" s="748">
        <f t="shared" si="415"/>
        <v>0</v>
      </c>
      <c r="G11301" s="1205"/>
      <c r="H11301" s="1055"/>
      <c r="I11301" s="1055"/>
      <c r="J11301" s="1055"/>
      <c r="K11301" s="1205"/>
      <c r="L11301" s="1055"/>
      <c r="M11301" s="1205"/>
      <c r="N11301" s="1054"/>
      <c r="O11301" s="1207"/>
      <c r="Q11301" s="1207"/>
    </row>
    <row r="11302" spans="3:17" s="700" customFormat="1" ht="70.5" hidden="1" customHeight="1">
      <c r="C11302" s="701"/>
      <c r="D11302" s="811"/>
      <c r="E11302" s="1276">
        <f>[11]building!Y11633</f>
        <v>0</v>
      </c>
      <c r="F11302" s="748">
        <f t="shared" si="415"/>
        <v>0</v>
      </c>
      <c r="G11302" s="1205"/>
      <c r="H11302" s="1055"/>
      <c r="I11302" s="1055"/>
      <c r="J11302" s="1055"/>
      <c r="K11302" s="1205"/>
      <c r="L11302" s="1055"/>
      <c r="M11302" s="1205"/>
      <c r="N11302" s="1054"/>
      <c r="O11302" s="1207"/>
      <c r="Q11302" s="1207"/>
    </row>
    <row r="11303" spans="3:17" s="700" customFormat="1" ht="70.5" hidden="1" customHeight="1">
      <c r="C11303" s="701"/>
      <c r="D11303" s="811"/>
      <c r="E11303" s="1276">
        <f>[11]building!Y11634</f>
        <v>0</v>
      </c>
      <c r="F11303" s="748">
        <f t="shared" si="415"/>
        <v>0</v>
      </c>
      <c r="G11303" s="1205"/>
      <c r="H11303" s="1055"/>
      <c r="I11303" s="1055"/>
      <c r="J11303" s="1055"/>
      <c r="K11303" s="1205"/>
      <c r="L11303" s="1055"/>
      <c r="M11303" s="1205"/>
      <c r="N11303" s="1054"/>
      <c r="O11303" s="1207"/>
      <c r="Q11303" s="1207"/>
    </row>
    <row r="11304" spans="3:17" s="700" customFormat="1" ht="70.5" hidden="1" customHeight="1">
      <c r="C11304" s="701"/>
      <c r="D11304" s="811"/>
      <c r="E11304" s="1276">
        <f>[11]building!Y11635</f>
        <v>0</v>
      </c>
      <c r="F11304" s="748">
        <f t="shared" si="415"/>
        <v>0</v>
      </c>
      <c r="G11304" s="1205"/>
      <c r="H11304" s="1055"/>
      <c r="I11304" s="1055"/>
      <c r="J11304" s="1055"/>
      <c r="K11304" s="1205"/>
      <c r="L11304" s="1055"/>
      <c r="M11304" s="1205"/>
      <c r="N11304" s="1054"/>
      <c r="O11304" s="1207"/>
      <c r="Q11304" s="1207"/>
    </row>
    <row r="11305" spans="3:17" s="700" customFormat="1" ht="70.5" hidden="1" customHeight="1">
      <c r="C11305" s="701"/>
      <c r="D11305" s="811"/>
      <c r="E11305" s="1276">
        <f>[11]building!Y11636</f>
        <v>0</v>
      </c>
      <c r="F11305" s="748">
        <f t="shared" si="415"/>
        <v>0</v>
      </c>
      <c r="G11305" s="1205"/>
      <c r="H11305" s="1055"/>
      <c r="I11305" s="1055"/>
      <c r="J11305" s="1055"/>
      <c r="K11305" s="1205"/>
      <c r="L11305" s="1055"/>
      <c r="M11305" s="1205"/>
      <c r="N11305" s="1054"/>
      <c r="O11305" s="1207"/>
      <c r="Q11305" s="1207"/>
    </row>
    <row r="11306" spans="3:17" s="700" customFormat="1" ht="70.5" hidden="1" customHeight="1">
      <c r="C11306" s="701"/>
      <c r="D11306" s="811"/>
      <c r="E11306" s="1276">
        <f>[11]building!Y11637</f>
        <v>0</v>
      </c>
      <c r="F11306" s="748">
        <f t="shared" si="415"/>
        <v>0</v>
      </c>
      <c r="G11306" s="1205"/>
      <c r="H11306" s="1055"/>
      <c r="I11306" s="1055"/>
      <c r="J11306" s="1055"/>
      <c r="K11306" s="1205"/>
      <c r="L11306" s="1055"/>
      <c r="M11306" s="1205"/>
      <c r="N11306" s="1054"/>
      <c r="O11306" s="1207"/>
      <c r="Q11306" s="1207"/>
    </row>
    <row r="11307" spans="3:17" s="700" customFormat="1" ht="70.5" hidden="1" customHeight="1">
      <c r="C11307" s="701"/>
      <c r="D11307" s="811"/>
      <c r="E11307" s="1276">
        <f>[11]building!Y11638</f>
        <v>0</v>
      </c>
      <c r="F11307" s="748">
        <f t="shared" si="415"/>
        <v>0</v>
      </c>
      <c r="G11307" s="1205"/>
      <c r="H11307" s="1055"/>
      <c r="I11307" s="1055"/>
      <c r="J11307" s="1055"/>
      <c r="K11307" s="1205"/>
      <c r="L11307" s="1055"/>
      <c r="M11307" s="1205"/>
      <c r="N11307" s="1054"/>
      <c r="O11307" s="1207"/>
      <c r="Q11307" s="1207"/>
    </row>
    <row r="11308" spans="3:17" s="700" customFormat="1" ht="70.5" hidden="1" customHeight="1">
      <c r="C11308" s="701"/>
      <c r="D11308" s="811"/>
      <c r="E11308" s="1276">
        <f>[11]building!Y11639</f>
        <v>0</v>
      </c>
      <c r="F11308" s="748">
        <f t="shared" si="415"/>
        <v>0</v>
      </c>
      <c r="G11308" s="1205"/>
      <c r="H11308" s="1055"/>
      <c r="I11308" s="1055"/>
      <c r="J11308" s="1055"/>
      <c r="K11308" s="1205"/>
      <c r="L11308" s="1055"/>
      <c r="M11308" s="1205"/>
      <c r="N11308" s="1054"/>
      <c r="O11308" s="1207"/>
      <c r="Q11308" s="1207"/>
    </row>
    <row r="11309" spans="3:17" s="700" customFormat="1" ht="70.5" hidden="1" customHeight="1">
      <c r="C11309" s="701"/>
      <c r="D11309" s="811"/>
      <c r="E11309" s="1276">
        <f>[11]building!Y11640</f>
        <v>0</v>
      </c>
      <c r="F11309" s="748">
        <f t="shared" si="415"/>
        <v>0</v>
      </c>
      <c r="G11309" s="1205"/>
      <c r="H11309" s="1055"/>
      <c r="I11309" s="1055"/>
      <c r="J11309" s="1055"/>
      <c r="K11309" s="1205"/>
      <c r="L11309" s="1055"/>
      <c r="M11309" s="1205"/>
      <c r="N11309" s="1054"/>
      <c r="O11309" s="1207"/>
      <c r="Q11309" s="1207"/>
    </row>
    <row r="11310" spans="3:17" s="700" customFormat="1" ht="70.5" hidden="1" customHeight="1">
      <c r="C11310" s="701"/>
      <c r="D11310" s="811"/>
      <c r="E11310" s="1276">
        <f>[11]building!Y11641</f>
        <v>0</v>
      </c>
      <c r="F11310" s="748">
        <f t="shared" si="415"/>
        <v>0</v>
      </c>
      <c r="G11310" s="1205"/>
      <c r="H11310" s="1055"/>
      <c r="I11310" s="1055"/>
      <c r="J11310" s="1055"/>
      <c r="K11310" s="1205"/>
      <c r="L11310" s="1055"/>
      <c r="M11310" s="1205"/>
      <c r="N11310" s="1054"/>
      <c r="O11310" s="1207"/>
      <c r="Q11310" s="1207"/>
    </row>
    <row r="11311" spans="3:17" s="700" customFormat="1" ht="70.5" hidden="1" customHeight="1">
      <c r="C11311" s="701"/>
      <c r="D11311" s="811"/>
      <c r="E11311" s="1276">
        <f>[11]building!Y11642</f>
        <v>0</v>
      </c>
      <c r="F11311" s="748">
        <f t="shared" si="415"/>
        <v>0</v>
      </c>
      <c r="G11311" s="1205"/>
      <c r="H11311" s="1055"/>
      <c r="I11311" s="1055"/>
      <c r="J11311" s="1055"/>
      <c r="K11311" s="1205"/>
      <c r="L11311" s="1055"/>
      <c r="M11311" s="1205"/>
      <c r="N11311" s="1054"/>
      <c r="O11311" s="1207"/>
      <c r="Q11311" s="1207"/>
    </row>
    <row r="11312" spans="3:17" s="700" customFormat="1" ht="70.5" hidden="1" customHeight="1">
      <c r="C11312" s="701"/>
      <c r="D11312" s="811"/>
      <c r="E11312" s="1276">
        <f>[11]building!Y11643</f>
        <v>0</v>
      </c>
      <c r="F11312" s="748">
        <f t="shared" si="415"/>
        <v>0</v>
      </c>
      <c r="G11312" s="1205"/>
      <c r="H11312" s="1055"/>
      <c r="I11312" s="1055"/>
      <c r="J11312" s="1055"/>
      <c r="K11312" s="1205"/>
      <c r="L11312" s="1055"/>
      <c r="M11312" s="1205"/>
      <c r="N11312" s="1054"/>
      <c r="O11312" s="1207"/>
      <c r="Q11312" s="1207"/>
    </row>
    <row r="11313" spans="3:17" s="700" customFormat="1" ht="70.5" hidden="1" customHeight="1">
      <c r="C11313" s="701"/>
      <c r="D11313" s="811"/>
      <c r="E11313" s="1276">
        <f>[11]building!Y11644</f>
        <v>0</v>
      </c>
      <c r="F11313" s="748">
        <f t="shared" si="415"/>
        <v>0</v>
      </c>
      <c r="G11313" s="1205"/>
      <c r="H11313" s="1055"/>
      <c r="I11313" s="1055"/>
      <c r="J11313" s="1055"/>
      <c r="K11313" s="1205"/>
      <c r="L11313" s="1055"/>
      <c r="M11313" s="1205"/>
      <c r="N11313" s="1054"/>
      <c r="O11313" s="1207"/>
      <c r="Q11313" s="1207"/>
    </row>
    <row r="11314" spans="3:17" s="700" customFormat="1" ht="70.5" hidden="1" customHeight="1">
      <c r="C11314" s="701"/>
      <c r="D11314" s="811"/>
      <c r="E11314" s="1276">
        <f>[11]building!Y11645</f>
        <v>0</v>
      </c>
      <c r="F11314" s="748">
        <f t="shared" si="415"/>
        <v>0</v>
      </c>
      <c r="G11314" s="1205"/>
      <c r="H11314" s="1055"/>
      <c r="I11314" s="1055"/>
      <c r="J11314" s="1055"/>
      <c r="K11314" s="1205"/>
      <c r="L11314" s="1055"/>
      <c r="M11314" s="1205"/>
      <c r="N11314" s="1054"/>
      <c r="O11314" s="1207"/>
      <c r="Q11314" s="1207"/>
    </row>
    <row r="11315" spans="3:17" s="700" customFormat="1" ht="70.5" hidden="1" customHeight="1">
      <c r="C11315" s="701"/>
      <c r="D11315" s="811"/>
      <c r="E11315" s="1276">
        <f>[11]building!Y11646</f>
        <v>0</v>
      </c>
      <c r="F11315" s="748">
        <f t="shared" si="415"/>
        <v>0</v>
      </c>
      <c r="G11315" s="1205"/>
      <c r="H11315" s="1055"/>
      <c r="I11315" s="1055"/>
      <c r="J11315" s="1055"/>
      <c r="K11315" s="1205"/>
      <c r="L11315" s="1055"/>
      <c r="M11315" s="1205"/>
      <c r="N11315" s="1054"/>
      <c r="O11315" s="1207"/>
      <c r="Q11315" s="1207"/>
    </row>
    <row r="11316" spans="3:17" s="700" customFormat="1" ht="70.5" hidden="1" customHeight="1">
      <c r="C11316" s="701"/>
      <c r="D11316" s="811"/>
      <c r="E11316" s="1276">
        <f>[11]building!Y11647</f>
        <v>0</v>
      </c>
      <c r="F11316" s="748">
        <f t="shared" si="415"/>
        <v>0</v>
      </c>
      <c r="G11316" s="1205"/>
      <c r="H11316" s="1055"/>
      <c r="I11316" s="1055"/>
      <c r="J11316" s="1055"/>
      <c r="K11316" s="1205"/>
      <c r="L11316" s="1055"/>
      <c r="M11316" s="1205"/>
      <c r="N11316" s="1054"/>
      <c r="O11316" s="1207"/>
      <c r="Q11316" s="1207"/>
    </row>
    <row r="11317" spans="3:17" s="700" customFormat="1" ht="70.5" hidden="1" customHeight="1">
      <c r="C11317" s="701"/>
      <c r="D11317" s="811"/>
      <c r="E11317" s="1276">
        <f>[11]building!Y11648</f>
        <v>0</v>
      </c>
      <c r="F11317" s="748">
        <f t="shared" si="415"/>
        <v>0</v>
      </c>
      <c r="G11317" s="1205"/>
      <c r="H11317" s="1055"/>
      <c r="I11317" s="1055"/>
      <c r="J11317" s="1055"/>
      <c r="K11317" s="1205"/>
      <c r="L11317" s="1055"/>
      <c r="M11317" s="1205"/>
      <c r="N11317" s="1054"/>
      <c r="O11317" s="1207"/>
      <c r="Q11317" s="1207"/>
    </row>
    <row r="11318" spans="3:17" s="700" customFormat="1" ht="70.5" hidden="1" customHeight="1">
      <c r="C11318" s="701"/>
      <c r="D11318" s="811"/>
      <c r="E11318" s="1276">
        <f>[11]building!Y11649</f>
        <v>0</v>
      </c>
      <c r="F11318" s="748">
        <f t="shared" si="415"/>
        <v>0</v>
      </c>
      <c r="G11318" s="1205"/>
      <c r="H11318" s="1055"/>
      <c r="I11318" s="1055"/>
      <c r="J11318" s="1055"/>
      <c r="K11318" s="1205"/>
      <c r="L11318" s="1055"/>
      <c r="M11318" s="1205"/>
      <c r="N11318" s="1054"/>
      <c r="O11318" s="1207"/>
      <c r="Q11318" s="1207"/>
    </row>
    <row r="11319" spans="3:17" s="700" customFormat="1" ht="70.5" hidden="1" customHeight="1">
      <c r="C11319" s="701"/>
      <c r="D11319" s="811"/>
      <c r="E11319" s="1276">
        <f>[11]building!Y11650</f>
        <v>0</v>
      </c>
      <c r="F11319" s="748">
        <f t="shared" si="415"/>
        <v>0</v>
      </c>
      <c r="G11319" s="1205"/>
      <c r="H11319" s="1055"/>
      <c r="I11319" s="1055"/>
      <c r="J11319" s="1055"/>
      <c r="K11319" s="1205"/>
      <c r="L11319" s="1055"/>
      <c r="M11319" s="1205"/>
      <c r="N11319" s="1054"/>
      <c r="O11319" s="1207"/>
      <c r="Q11319" s="1207"/>
    </row>
    <row r="11320" spans="3:17" s="700" customFormat="1" ht="70.5" hidden="1" customHeight="1">
      <c r="C11320" s="701"/>
      <c r="D11320" s="811"/>
      <c r="E11320" s="1276">
        <f>[11]building!Y11651</f>
        <v>0</v>
      </c>
      <c r="F11320" s="748">
        <f t="shared" si="415"/>
        <v>0</v>
      </c>
      <c r="G11320" s="1205"/>
      <c r="H11320" s="1055"/>
      <c r="I11320" s="1055"/>
      <c r="J11320" s="1055"/>
      <c r="K11320" s="1205"/>
      <c r="L11320" s="1055"/>
      <c r="M11320" s="1205"/>
      <c r="N11320" s="1054"/>
      <c r="O11320" s="1207"/>
      <c r="Q11320" s="1207"/>
    </row>
    <row r="11321" spans="3:17" s="700" customFormat="1" ht="70.5" hidden="1" customHeight="1">
      <c r="C11321" s="701"/>
      <c r="D11321" s="811"/>
      <c r="E11321" s="1276">
        <f>[11]building!Y11652</f>
        <v>0</v>
      </c>
      <c r="F11321" s="748">
        <f t="shared" si="415"/>
        <v>0</v>
      </c>
      <c r="G11321" s="1205"/>
      <c r="H11321" s="1055"/>
      <c r="I11321" s="1055"/>
      <c r="J11321" s="1055"/>
      <c r="K11321" s="1205"/>
      <c r="L11321" s="1055"/>
      <c r="M11321" s="1205"/>
      <c r="N11321" s="1054"/>
      <c r="O11321" s="1207"/>
      <c r="Q11321" s="1207"/>
    </row>
    <row r="11322" spans="3:17" s="700" customFormat="1" ht="70.5" hidden="1" customHeight="1">
      <c r="C11322" s="701"/>
      <c r="D11322" s="811"/>
      <c r="E11322" s="1276">
        <f>[11]building!Y11653</f>
        <v>0</v>
      </c>
      <c r="F11322" s="748">
        <f t="shared" si="415"/>
        <v>0</v>
      </c>
      <c r="G11322" s="1205"/>
      <c r="H11322" s="1055"/>
      <c r="I11322" s="1055"/>
      <c r="J11322" s="1055"/>
      <c r="K11322" s="1205"/>
      <c r="L11322" s="1055"/>
      <c r="M11322" s="1205"/>
      <c r="N11322" s="1054"/>
      <c r="O11322" s="1207"/>
      <c r="Q11322" s="1207"/>
    </row>
    <row r="11323" spans="3:17" s="700" customFormat="1" ht="70.5" hidden="1" customHeight="1">
      <c r="C11323" s="701"/>
      <c r="D11323" s="811"/>
      <c r="E11323" s="1276">
        <f>[11]building!Y11654</f>
        <v>0</v>
      </c>
      <c r="F11323" s="748">
        <f t="shared" si="415"/>
        <v>0</v>
      </c>
      <c r="G11323" s="1205"/>
      <c r="H11323" s="1055"/>
      <c r="I11323" s="1055"/>
      <c r="J11323" s="1055"/>
      <c r="K11323" s="1205"/>
      <c r="L11323" s="1055"/>
      <c r="M11323" s="1205"/>
      <c r="N11323" s="1054"/>
      <c r="O11323" s="1207"/>
      <c r="Q11323" s="1207"/>
    </row>
    <row r="11324" spans="3:17" s="700" customFormat="1" ht="70.5" hidden="1" customHeight="1">
      <c r="C11324" s="701"/>
      <c r="D11324" s="811"/>
      <c r="E11324" s="1276">
        <f>[11]building!Y11655</f>
        <v>0</v>
      </c>
      <c r="F11324" s="748">
        <f t="shared" si="415"/>
        <v>0</v>
      </c>
      <c r="G11324" s="1205"/>
      <c r="H11324" s="1055"/>
      <c r="I11324" s="1055"/>
      <c r="J11324" s="1055"/>
      <c r="K11324" s="1205"/>
      <c r="L11324" s="1055"/>
      <c r="M11324" s="1205"/>
      <c r="N11324" s="1054"/>
      <c r="O11324" s="1207"/>
      <c r="Q11324" s="1207"/>
    </row>
    <row r="11325" spans="3:17" s="700" customFormat="1" ht="70.5" hidden="1" customHeight="1">
      <c r="C11325" s="701"/>
      <c r="D11325" s="811"/>
      <c r="E11325" s="1276">
        <f>[11]building!Y11656</f>
        <v>0</v>
      </c>
      <c r="F11325" s="748">
        <f t="shared" si="415"/>
        <v>0</v>
      </c>
      <c r="G11325" s="1205"/>
      <c r="H11325" s="1055"/>
      <c r="I11325" s="1055"/>
      <c r="J11325" s="1055"/>
      <c r="K11325" s="1205"/>
      <c r="L11325" s="1055"/>
      <c r="M11325" s="1205"/>
      <c r="N11325" s="1054"/>
      <c r="O11325" s="1207"/>
      <c r="Q11325" s="1207"/>
    </row>
    <row r="11326" spans="3:17" s="700" customFormat="1" ht="70.5" hidden="1" customHeight="1">
      <c r="C11326" s="701"/>
      <c r="D11326" s="811"/>
      <c r="E11326" s="1276">
        <f>[11]building!Y11657</f>
        <v>0</v>
      </c>
      <c r="F11326" s="748">
        <f t="shared" si="415"/>
        <v>0</v>
      </c>
      <c r="G11326" s="1205"/>
      <c r="H11326" s="1055"/>
      <c r="I11326" s="1055"/>
      <c r="J11326" s="1055"/>
      <c r="K11326" s="1205"/>
      <c r="L11326" s="1055"/>
      <c r="M11326" s="1205"/>
      <c r="N11326" s="1054"/>
      <c r="O11326" s="1207"/>
      <c r="Q11326" s="1207"/>
    </row>
    <row r="11327" spans="3:17" s="700" customFormat="1" ht="70.5" hidden="1" customHeight="1">
      <c r="C11327" s="701"/>
      <c r="D11327" s="811"/>
      <c r="E11327" s="1276">
        <f>[11]building!Y11658</f>
        <v>0</v>
      </c>
      <c r="F11327" s="748">
        <f t="shared" si="415"/>
        <v>0</v>
      </c>
      <c r="G11327" s="1205"/>
      <c r="H11327" s="1055"/>
      <c r="I11327" s="1055"/>
      <c r="J11327" s="1055"/>
      <c r="K11327" s="1205"/>
      <c r="L11327" s="1055"/>
      <c r="M11327" s="1205"/>
      <c r="N11327" s="1054"/>
      <c r="O11327" s="1207"/>
      <c r="Q11327" s="1207"/>
    </row>
    <row r="11328" spans="3:17" s="700" customFormat="1" ht="70.5" hidden="1" customHeight="1">
      <c r="C11328" s="701"/>
      <c r="D11328" s="811"/>
      <c r="E11328" s="1276">
        <f>[11]building!Y11659</f>
        <v>0</v>
      </c>
      <c r="F11328" s="748">
        <f t="shared" ref="F11328:F11391" si="416">E11328*C11328</f>
        <v>0</v>
      </c>
      <c r="G11328" s="1205"/>
      <c r="H11328" s="1055"/>
      <c r="I11328" s="1055"/>
      <c r="J11328" s="1055"/>
      <c r="K11328" s="1205"/>
      <c r="L11328" s="1055"/>
      <c r="M11328" s="1205"/>
      <c r="N11328" s="1054"/>
      <c r="O11328" s="1207"/>
      <c r="Q11328" s="1207"/>
    </row>
    <row r="11329" spans="3:17" s="700" customFormat="1" ht="70.5" hidden="1" customHeight="1">
      <c r="C11329" s="701"/>
      <c r="D11329" s="811"/>
      <c r="E11329" s="1276">
        <f>[11]building!Y11660</f>
        <v>0</v>
      </c>
      <c r="F11329" s="748">
        <f t="shared" si="416"/>
        <v>0</v>
      </c>
      <c r="G11329" s="1205"/>
      <c r="H11329" s="1055"/>
      <c r="I11329" s="1055"/>
      <c r="J11329" s="1055"/>
      <c r="K11329" s="1205"/>
      <c r="L11329" s="1055"/>
      <c r="M11329" s="1205"/>
      <c r="N11329" s="1054"/>
      <c r="O11329" s="1207"/>
      <c r="Q11329" s="1207"/>
    </row>
    <row r="11330" spans="3:17" s="700" customFormat="1" ht="70.5" hidden="1" customHeight="1">
      <c r="C11330" s="701"/>
      <c r="D11330" s="811"/>
      <c r="E11330" s="1276">
        <f>[11]building!Y11661</f>
        <v>0</v>
      </c>
      <c r="F11330" s="748">
        <f t="shared" si="416"/>
        <v>0</v>
      </c>
      <c r="G11330" s="1205"/>
      <c r="H11330" s="1055"/>
      <c r="I11330" s="1055"/>
      <c r="J11330" s="1055"/>
      <c r="K11330" s="1205"/>
      <c r="L11330" s="1055"/>
      <c r="M11330" s="1205"/>
      <c r="N11330" s="1054"/>
      <c r="O11330" s="1207"/>
      <c r="Q11330" s="1207"/>
    </row>
    <row r="11331" spans="3:17" s="700" customFormat="1" ht="70.5" hidden="1" customHeight="1">
      <c r="C11331" s="701"/>
      <c r="D11331" s="811"/>
      <c r="E11331" s="1276">
        <f>[11]building!Y11662</f>
        <v>0</v>
      </c>
      <c r="F11331" s="748">
        <f t="shared" si="416"/>
        <v>0</v>
      </c>
      <c r="G11331" s="1205"/>
      <c r="H11331" s="1055"/>
      <c r="I11331" s="1055"/>
      <c r="J11331" s="1055"/>
      <c r="K11331" s="1205"/>
      <c r="L11331" s="1055"/>
      <c r="M11331" s="1205"/>
      <c r="N11331" s="1054"/>
      <c r="O11331" s="1207"/>
      <c r="Q11331" s="1207"/>
    </row>
    <row r="11332" spans="3:17" s="700" customFormat="1" ht="70.5" hidden="1" customHeight="1">
      <c r="C11332" s="701"/>
      <c r="D11332" s="811"/>
      <c r="E11332" s="1276">
        <f>[11]building!Y11663</f>
        <v>0</v>
      </c>
      <c r="F11332" s="748">
        <f t="shared" si="416"/>
        <v>0</v>
      </c>
      <c r="G11332" s="1205"/>
      <c r="H11332" s="1055"/>
      <c r="I11332" s="1055"/>
      <c r="J11332" s="1055"/>
      <c r="K11332" s="1205"/>
      <c r="L11332" s="1055"/>
      <c r="M11332" s="1205"/>
      <c r="N11332" s="1054"/>
      <c r="O11332" s="1207"/>
      <c r="Q11332" s="1207"/>
    </row>
    <row r="11333" spans="3:17" s="700" customFormat="1" ht="70.5" hidden="1" customHeight="1">
      <c r="C11333" s="701"/>
      <c r="D11333" s="811"/>
      <c r="E11333" s="1276">
        <f>[11]building!Y11664</f>
        <v>0</v>
      </c>
      <c r="F11333" s="748">
        <f t="shared" si="416"/>
        <v>0</v>
      </c>
      <c r="G11333" s="1205"/>
      <c r="H11333" s="1055"/>
      <c r="I11333" s="1055"/>
      <c r="J11333" s="1055"/>
      <c r="K11333" s="1205"/>
      <c r="L11333" s="1055"/>
      <c r="M11333" s="1205"/>
      <c r="N11333" s="1054"/>
      <c r="O11333" s="1207"/>
      <c r="Q11333" s="1207"/>
    </row>
    <row r="11334" spans="3:17" s="700" customFormat="1" ht="70.5" hidden="1" customHeight="1">
      <c r="C11334" s="701"/>
      <c r="D11334" s="811"/>
      <c r="E11334" s="1276">
        <f>[11]building!Y11665</f>
        <v>0</v>
      </c>
      <c r="F11334" s="748">
        <f t="shared" si="416"/>
        <v>0</v>
      </c>
      <c r="G11334" s="1205"/>
      <c r="H11334" s="1055"/>
      <c r="I11334" s="1055"/>
      <c r="J11334" s="1055"/>
      <c r="K11334" s="1205"/>
      <c r="L11334" s="1055"/>
      <c r="M11334" s="1205"/>
      <c r="N11334" s="1054"/>
      <c r="O11334" s="1207"/>
      <c r="Q11334" s="1207"/>
    </row>
    <row r="11335" spans="3:17" s="700" customFormat="1" ht="70.5" hidden="1" customHeight="1">
      <c r="C11335" s="701"/>
      <c r="D11335" s="811"/>
      <c r="E11335" s="1276">
        <f>[11]building!Y11666</f>
        <v>0</v>
      </c>
      <c r="F11335" s="748">
        <f t="shared" si="416"/>
        <v>0</v>
      </c>
      <c r="G11335" s="1205"/>
      <c r="H11335" s="1055"/>
      <c r="I11335" s="1055"/>
      <c r="J11335" s="1055"/>
      <c r="K11335" s="1205"/>
      <c r="L11335" s="1055"/>
      <c r="M11335" s="1205"/>
      <c r="N11335" s="1054"/>
      <c r="O11335" s="1207"/>
      <c r="Q11335" s="1207"/>
    </row>
    <row r="11336" spans="3:17" s="700" customFormat="1" ht="70.5" hidden="1" customHeight="1">
      <c r="C11336" s="701"/>
      <c r="D11336" s="811"/>
      <c r="E11336" s="1276">
        <f>[11]building!Y11667</f>
        <v>0</v>
      </c>
      <c r="F11336" s="748">
        <f t="shared" si="416"/>
        <v>0</v>
      </c>
      <c r="G11336" s="1205"/>
      <c r="H11336" s="1055"/>
      <c r="I11336" s="1055"/>
      <c r="J11336" s="1055"/>
      <c r="K11336" s="1205"/>
      <c r="L11336" s="1055"/>
      <c r="M11336" s="1205"/>
      <c r="N11336" s="1054"/>
      <c r="O11336" s="1207"/>
      <c r="Q11336" s="1207"/>
    </row>
    <row r="11337" spans="3:17" s="700" customFormat="1" ht="70.5" hidden="1" customHeight="1">
      <c r="C11337" s="701"/>
      <c r="D11337" s="811"/>
      <c r="E11337" s="1276">
        <f>[11]building!Y11668</f>
        <v>0</v>
      </c>
      <c r="F11337" s="748">
        <f t="shared" si="416"/>
        <v>0</v>
      </c>
      <c r="G11337" s="1205"/>
      <c r="H11337" s="1055"/>
      <c r="I11337" s="1055"/>
      <c r="J11337" s="1055"/>
      <c r="K11337" s="1205"/>
      <c r="L11337" s="1055"/>
      <c r="M11337" s="1205"/>
      <c r="N11337" s="1054"/>
      <c r="O11337" s="1207"/>
      <c r="Q11337" s="1207"/>
    </row>
    <row r="11338" spans="3:17" s="700" customFormat="1" ht="70.5" hidden="1" customHeight="1">
      <c r="C11338" s="701"/>
      <c r="D11338" s="811"/>
      <c r="E11338" s="1276">
        <f>[11]building!Y11669</f>
        <v>0</v>
      </c>
      <c r="F11338" s="748">
        <f t="shared" si="416"/>
        <v>0</v>
      </c>
      <c r="G11338" s="1205"/>
      <c r="H11338" s="1055"/>
      <c r="I11338" s="1055"/>
      <c r="J11338" s="1055"/>
      <c r="K11338" s="1205"/>
      <c r="L11338" s="1055"/>
      <c r="M11338" s="1205"/>
      <c r="N11338" s="1054"/>
      <c r="O11338" s="1207"/>
      <c r="Q11338" s="1207"/>
    </row>
    <row r="11339" spans="3:17" s="700" customFormat="1" ht="70.5" hidden="1" customHeight="1">
      <c r="C11339" s="701"/>
      <c r="D11339" s="811"/>
      <c r="E11339" s="1276">
        <f>[11]building!Y11670</f>
        <v>0</v>
      </c>
      <c r="F11339" s="748">
        <f t="shared" si="416"/>
        <v>0</v>
      </c>
      <c r="G11339" s="1205"/>
      <c r="H11339" s="1055"/>
      <c r="I11339" s="1055"/>
      <c r="J11339" s="1055"/>
      <c r="K11339" s="1205"/>
      <c r="L11339" s="1055"/>
      <c r="M11339" s="1205"/>
      <c r="N11339" s="1054"/>
      <c r="O11339" s="1207"/>
      <c r="Q11339" s="1207"/>
    </row>
    <row r="11340" spans="3:17" s="700" customFormat="1" ht="70.5" hidden="1" customHeight="1">
      <c r="C11340" s="701"/>
      <c r="D11340" s="811"/>
      <c r="E11340" s="1276">
        <f>[11]building!Y11671</f>
        <v>0</v>
      </c>
      <c r="F11340" s="748">
        <f t="shared" si="416"/>
        <v>0</v>
      </c>
      <c r="G11340" s="1205"/>
      <c r="H11340" s="1055"/>
      <c r="I11340" s="1055"/>
      <c r="J11340" s="1055"/>
      <c r="K11340" s="1205"/>
      <c r="L11340" s="1055"/>
      <c r="M11340" s="1205"/>
      <c r="N11340" s="1054"/>
      <c r="O11340" s="1207"/>
      <c r="Q11340" s="1207"/>
    </row>
    <row r="11341" spans="3:17" s="700" customFormat="1" ht="70.5" hidden="1" customHeight="1">
      <c r="C11341" s="701"/>
      <c r="D11341" s="811"/>
      <c r="E11341" s="1276">
        <f>[11]building!Y11672</f>
        <v>0</v>
      </c>
      <c r="F11341" s="748">
        <f t="shared" si="416"/>
        <v>0</v>
      </c>
      <c r="G11341" s="1205"/>
      <c r="H11341" s="1055"/>
      <c r="I11341" s="1055"/>
      <c r="J11341" s="1055"/>
      <c r="K11341" s="1205"/>
      <c r="L11341" s="1055"/>
      <c r="M11341" s="1205"/>
      <c r="N11341" s="1054"/>
      <c r="O11341" s="1207"/>
      <c r="Q11341" s="1207"/>
    </row>
    <row r="11342" spans="3:17" s="700" customFormat="1" ht="70.5" hidden="1" customHeight="1">
      <c r="C11342" s="701"/>
      <c r="D11342" s="811"/>
      <c r="E11342" s="1276">
        <f>[11]building!Y11673</f>
        <v>0</v>
      </c>
      <c r="F11342" s="748">
        <f t="shared" si="416"/>
        <v>0</v>
      </c>
      <c r="G11342" s="1205"/>
      <c r="H11342" s="1055"/>
      <c r="I11342" s="1055"/>
      <c r="J11342" s="1055"/>
      <c r="K11342" s="1205"/>
      <c r="L11342" s="1055"/>
      <c r="M11342" s="1205"/>
      <c r="N11342" s="1054"/>
      <c r="O11342" s="1207"/>
      <c r="Q11342" s="1207"/>
    </row>
    <row r="11343" spans="3:17" s="700" customFormat="1" ht="70.5" hidden="1" customHeight="1">
      <c r="C11343" s="701"/>
      <c r="D11343" s="811"/>
      <c r="E11343" s="1276">
        <f>[11]building!Y11674</f>
        <v>0</v>
      </c>
      <c r="F11343" s="748">
        <f t="shared" si="416"/>
        <v>0</v>
      </c>
      <c r="G11343" s="1205"/>
      <c r="H11343" s="1055"/>
      <c r="I11343" s="1055"/>
      <c r="J11343" s="1055"/>
      <c r="K11343" s="1205"/>
      <c r="L11343" s="1055"/>
      <c r="M11343" s="1205"/>
      <c r="N11343" s="1054"/>
      <c r="O11343" s="1207"/>
      <c r="Q11343" s="1207"/>
    </row>
    <row r="11344" spans="3:17" s="700" customFormat="1" ht="70.5" hidden="1" customHeight="1">
      <c r="C11344" s="701"/>
      <c r="D11344" s="811"/>
      <c r="E11344" s="1276">
        <f>[11]building!Y11675</f>
        <v>0</v>
      </c>
      <c r="F11344" s="748">
        <f t="shared" si="416"/>
        <v>0</v>
      </c>
      <c r="G11344" s="1205"/>
      <c r="H11344" s="1055"/>
      <c r="I11344" s="1055"/>
      <c r="J11344" s="1055"/>
      <c r="K11344" s="1205"/>
      <c r="L11344" s="1055"/>
      <c r="M11344" s="1205"/>
      <c r="N11344" s="1054"/>
      <c r="O11344" s="1207"/>
      <c r="Q11344" s="1207"/>
    </row>
    <row r="11345" spans="3:17" s="700" customFormat="1" ht="70.5" hidden="1" customHeight="1">
      <c r="C11345" s="701"/>
      <c r="D11345" s="811"/>
      <c r="E11345" s="1276">
        <f>[11]building!Y11676</f>
        <v>0</v>
      </c>
      <c r="F11345" s="748">
        <f t="shared" si="416"/>
        <v>0</v>
      </c>
      <c r="G11345" s="1205"/>
      <c r="H11345" s="1055"/>
      <c r="I11345" s="1055"/>
      <c r="J11345" s="1055"/>
      <c r="K11345" s="1205"/>
      <c r="L11345" s="1055"/>
      <c r="M11345" s="1205"/>
      <c r="N11345" s="1054"/>
      <c r="O11345" s="1207"/>
      <c r="Q11345" s="1207"/>
    </row>
    <row r="11346" spans="3:17" s="700" customFormat="1" ht="70.5" hidden="1" customHeight="1">
      <c r="C11346" s="701"/>
      <c r="D11346" s="811"/>
      <c r="E11346" s="1276">
        <f>[11]building!Y11677</f>
        <v>0</v>
      </c>
      <c r="F11346" s="748">
        <f t="shared" si="416"/>
        <v>0</v>
      </c>
      <c r="G11346" s="1205"/>
      <c r="H11346" s="1055"/>
      <c r="I11346" s="1055"/>
      <c r="J11346" s="1055"/>
      <c r="K11346" s="1205"/>
      <c r="L11346" s="1055"/>
      <c r="M11346" s="1205"/>
      <c r="N11346" s="1054"/>
      <c r="O11346" s="1207"/>
      <c r="Q11346" s="1207"/>
    </row>
    <row r="11347" spans="3:17" s="700" customFormat="1" ht="70.5" hidden="1" customHeight="1">
      <c r="C11347" s="701"/>
      <c r="D11347" s="811"/>
      <c r="E11347" s="1276">
        <f>[11]building!Y11678</f>
        <v>0</v>
      </c>
      <c r="F11347" s="748">
        <f t="shared" si="416"/>
        <v>0</v>
      </c>
      <c r="G11347" s="1205"/>
      <c r="H11347" s="1055"/>
      <c r="I11347" s="1055"/>
      <c r="J11347" s="1055"/>
      <c r="K11347" s="1205"/>
      <c r="L11347" s="1055"/>
      <c r="M11347" s="1205"/>
      <c r="N11347" s="1054"/>
      <c r="O11347" s="1207"/>
      <c r="Q11347" s="1207"/>
    </row>
    <row r="11348" spans="3:17" s="700" customFormat="1" ht="70.5" hidden="1" customHeight="1">
      <c r="C11348" s="701"/>
      <c r="D11348" s="811"/>
      <c r="E11348" s="1276">
        <f>[11]building!Y11679</f>
        <v>0</v>
      </c>
      <c r="F11348" s="748">
        <f t="shared" si="416"/>
        <v>0</v>
      </c>
      <c r="G11348" s="1205"/>
      <c r="H11348" s="1055"/>
      <c r="I11348" s="1055"/>
      <c r="J11348" s="1055"/>
      <c r="K11348" s="1205"/>
      <c r="L11348" s="1055"/>
      <c r="M11348" s="1205"/>
      <c r="N11348" s="1054"/>
      <c r="O11348" s="1207"/>
      <c r="Q11348" s="1207"/>
    </row>
    <row r="11349" spans="3:17" s="700" customFormat="1" ht="70.5" hidden="1" customHeight="1">
      <c r="C11349" s="701"/>
      <c r="D11349" s="811"/>
      <c r="E11349" s="1276">
        <f>[11]building!Y11680</f>
        <v>0</v>
      </c>
      <c r="F11349" s="748">
        <f t="shared" si="416"/>
        <v>0</v>
      </c>
      <c r="G11349" s="1205"/>
      <c r="H11349" s="1055"/>
      <c r="I11349" s="1055"/>
      <c r="J11349" s="1055"/>
      <c r="K11349" s="1205"/>
      <c r="L11349" s="1055"/>
      <c r="M11349" s="1205"/>
      <c r="N11349" s="1054"/>
      <c r="O11349" s="1207"/>
      <c r="Q11349" s="1207"/>
    </row>
    <row r="11350" spans="3:17" s="700" customFormat="1" ht="70.5" hidden="1" customHeight="1">
      <c r="C11350" s="701"/>
      <c r="D11350" s="811"/>
      <c r="E11350" s="1276">
        <f>[11]building!Y11681</f>
        <v>0</v>
      </c>
      <c r="F11350" s="748">
        <f t="shared" si="416"/>
        <v>0</v>
      </c>
      <c r="G11350" s="1205"/>
      <c r="H11350" s="1055"/>
      <c r="I11350" s="1055"/>
      <c r="J11350" s="1055"/>
      <c r="K11350" s="1205"/>
      <c r="L11350" s="1055"/>
      <c r="M11350" s="1205"/>
      <c r="N11350" s="1054"/>
      <c r="O11350" s="1207"/>
      <c r="Q11350" s="1207"/>
    </row>
    <row r="11351" spans="3:17" s="700" customFormat="1" ht="70.5" hidden="1" customHeight="1">
      <c r="C11351" s="701"/>
      <c r="D11351" s="811"/>
      <c r="E11351" s="1276">
        <f>[11]building!Y11682</f>
        <v>0</v>
      </c>
      <c r="F11351" s="748">
        <f t="shared" si="416"/>
        <v>0</v>
      </c>
      <c r="G11351" s="1205"/>
      <c r="H11351" s="1055"/>
      <c r="I11351" s="1055"/>
      <c r="J11351" s="1055"/>
      <c r="K11351" s="1205"/>
      <c r="L11351" s="1055"/>
      <c r="M11351" s="1205"/>
      <c r="N11351" s="1054"/>
      <c r="O11351" s="1207"/>
      <c r="Q11351" s="1207"/>
    </row>
    <row r="11352" spans="3:17" s="700" customFormat="1" ht="70.5" hidden="1" customHeight="1">
      <c r="C11352" s="701"/>
      <c r="D11352" s="811"/>
      <c r="E11352" s="1276">
        <f>[11]building!Y11683</f>
        <v>0</v>
      </c>
      <c r="F11352" s="748">
        <f t="shared" si="416"/>
        <v>0</v>
      </c>
      <c r="G11352" s="1205"/>
      <c r="H11352" s="1055"/>
      <c r="I11352" s="1055"/>
      <c r="J11352" s="1055"/>
      <c r="K11352" s="1205"/>
      <c r="L11352" s="1055"/>
      <c r="M11352" s="1205"/>
      <c r="N11352" s="1054"/>
      <c r="O11352" s="1207"/>
      <c r="Q11352" s="1207"/>
    </row>
    <row r="11353" spans="3:17" s="700" customFormat="1" ht="70.5" hidden="1" customHeight="1">
      <c r="C11353" s="701"/>
      <c r="D11353" s="811"/>
      <c r="E11353" s="1276">
        <f>[11]building!Y11684</f>
        <v>0</v>
      </c>
      <c r="F11353" s="748">
        <f t="shared" si="416"/>
        <v>0</v>
      </c>
      <c r="G11353" s="1205"/>
      <c r="H11353" s="1055"/>
      <c r="I11353" s="1055"/>
      <c r="J11353" s="1055"/>
      <c r="K11353" s="1205"/>
      <c r="L11353" s="1055"/>
      <c r="M11353" s="1205"/>
      <c r="N11353" s="1054"/>
      <c r="O11353" s="1207"/>
      <c r="Q11353" s="1207"/>
    </row>
    <row r="11354" spans="3:17" s="700" customFormat="1" ht="70.5" hidden="1" customHeight="1">
      <c r="C11354" s="701"/>
      <c r="D11354" s="811"/>
      <c r="E11354" s="1276">
        <f>[11]building!Y11685</f>
        <v>0</v>
      </c>
      <c r="F11354" s="748">
        <f t="shared" si="416"/>
        <v>0</v>
      </c>
      <c r="G11354" s="1205"/>
      <c r="H11354" s="1055"/>
      <c r="I11354" s="1055"/>
      <c r="J11354" s="1055"/>
      <c r="K11354" s="1205"/>
      <c r="L11354" s="1055"/>
      <c r="M11354" s="1205"/>
      <c r="N11354" s="1054"/>
      <c r="O11354" s="1207"/>
      <c r="Q11354" s="1207"/>
    </row>
    <row r="11355" spans="3:17" s="700" customFormat="1" ht="70.5" hidden="1" customHeight="1">
      <c r="C11355" s="701"/>
      <c r="D11355" s="811"/>
      <c r="E11355" s="1276">
        <f>[11]building!Y11686</f>
        <v>0</v>
      </c>
      <c r="F11355" s="748">
        <f t="shared" si="416"/>
        <v>0</v>
      </c>
      <c r="G11355" s="1205"/>
      <c r="H11355" s="1055"/>
      <c r="I11355" s="1055"/>
      <c r="J11355" s="1055"/>
      <c r="K11355" s="1205"/>
      <c r="L11355" s="1055"/>
      <c r="M11355" s="1205"/>
      <c r="N11355" s="1054"/>
      <c r="O11355" s="1207"/>
      <c r="Q11355" s="1207"/>
    </row>
    <row r="11356" spans="3:17" s="700" customFormat="1" ht="70.5" hidden="1" customHeight="1">
      <c r="C11356" s="701"/>
      <c r="D11356" s="811"/>
      <c r="E11356" s="1276">
        <f>[11]building!Y11687</f>
        <v>0</v>
      </c>
      <c r="F11356" s="748">
        <f t="shared" si="416"/>
        <v>0</v>
      </c>
      <c r="G11356" s="1205"/>
      <c r="H11356" s="1055"/>
      <c r="I11356" s="1055"/>
      <c r="J11356" s="1055"/>
      <c r="K11356" s="1205"/>
      <c r="L11356" s="1055"/>
      <c r="M11356" s="1205"/>
      <c r="N11356" s="1054"/>
      <c r="O11356" s="1207"/>
      <c r="Q11356" s="1207"/>
    </row>
    <row r="11357" spans="3:17" s="700" customFormat="1" ht="70.5" hidden="1" customHeight="1">
      <c r="C11357" s="701"/>
      <c r="D11357" s="811"/>
      <c r="E11357" s="1276">
        <f>[11]building!Y11688</f>
        <v>0</v>
      </c>
      <c r="F11357" s="748">
        <f t="shared" si="416"/>
        <v>0</v>
      </c>
      <c r="G11357" s="1205"/>
      <c r="H11357" s="1055"/>
      <c r="I11357" s="1055"/>
      <c r="J11357" s="1055"/>
      <c r="K11357" s="1205"/>
      <c r="L11357" s="1055"/>
      <c r="M11357" s="1205"/>
      <c r="N11357" s="1054"/>
      <c r="O11357" s="1207"/>
      <c r="Q11357" s="1207"/>
    </row>
    <row r="11358" spans="3:17" s="700" customFormat="1" ht="70.5" hidden="1" customHeight="1">
      <c r="C11358" s="701"/>
      <c r="D11358" s="811"/>
      <c r="E11358" s="1276">
        <f>[11]building!Y11689</f>
        <v>0</v>
      </c>
      <c r="F11358" s="748">
        <f t="shared" si="416"/>
        <v>0</v>
      </c>
      <c r="G11358" s="1205"/>
      <c r="H11358" s="1055"/>
      <c r="I11358" s="1055"/>
      <c r="J11358" s="1055"/>
      <c r="K11358" s="1205"/>
      <c r="L11358" s="1055"/>
      <c r="M11358" s="1205"/>
      <c r="N11358" s="1054"/>
      <c r="O11358" s="1207"/>
      <c r="Q11358" s="1207"/>
    </row>
    <row r="11359" spans="3:17" s="700" customFormat="1" ht="70.5" hidden="1" customHeight="1">
      <c r="C11359" s="701"/>
      <c r="D11359" s="811"/>
      <c r="E11359" s="1276">
        <f>[11]building!Y11690</f>
        <v>0</v>
      </c>
      <c r="F11359" s="748">
        <f t="shared" si="416"/>
        <v>0</v>
      </c>
      <c r="G11359" s="1205"/>
      <c r="H11359" s="1055"/>
      <c r="I11359" s="1055"/>
      <c r="J11359" s="1055"/>
      <c r="K11359" s="1205"/>
      <c r="L11359" s="1055"/>
      <c r="M11359" s="1205"/>
      <c r="N11359" s="1054"/>
      <c r="O11359" s="1207"/>
      <c r="Q11359" s="1207"/>
    </row>
    <row r="11360" spans="3:17" s="700" customFormat="1" ht="70.5" hidden="1" customHeight="1">
      <c r="C11360" s="701"/>
      <c r="D11360" s="811"/>
      <c r="E11360" s="1276">
        <f>[11]building!Y11691</f>
        <v>0</v>
      </c>
      <c r="F11360" s="748">
        <f t="shared" si="416"/>
        <v>0</v>
      </c>
      <c r="G11360" s="1205"/>
      <c r="H11360" s="1055"/>
      <c r="I11360" s="1055"/>
      <c r="J11360" s="1055"/>
      <c r="K11360" s="1205"/>
      <c r="L11360" s="1055"/>
      <c r="M11360" s="1205"/>
      <c r="N11360" s="1054"/>
      <c r="O11360" s="1207"/>
      <c r="Q11360" s="1207"/>
    </row>
    <row r="11361" spans="3:17" s="700" customFormat="1" ht="70.5" hidden="1" customHeight="1">
      <c r="C11361" s="701"/>
      <c r="D11361" s="811"/>
      <c r="E11361" s="1276">
        <f>[11]building!Y11692</f>
        <v>0</v>
      </c>
      <c r="F11361" s="748">
        <f t="shared" si="416"/>
        <v>0</v>
      </c>
      <c r="G11361" s="1205"/>
      <c r="H11361" s="1055"/>
      <c r="I11361" s="1055"/>
      <c r="J11361" s="1055"/>
      <c r="K11361" s="1205"/>
      <c r="L11361" s="1055"/>
      <c r="M11361" s="1205"/>
      <c r="N11361" s="1054"/>
      <c r="O11361" s="1207"/>
      <c r="Q11361" s="1207"/>
    </row>
    <row r="11362" spans="3:17" s="700" customFormat="1" ht="70.5" hidden="1" customHeight="1">
      <c r="C11362" s="701"/>
      <c r="D11362" s="811"/>
      <c r="E11362" s="1276">
        <f>[11]building!Y11693</f>
        <v>0</v>
      </c>
      <c r="F11362" s="748">
        <f t="shared" si="416"/>
        <v>0</v>
      </c>
      <c r="G11362" s="1205"/>
      <c r="H11362" s="1055"/>
      <c r="I11362" s="1055"/>
      <c r="J11362" s="1055"/>
      <c r="K11362" s="1205"/>
      <c r="L11362" s="1055"/>
      <c r="M11362" s="1205"/>
      <c r="N11362" s="1054"/>
      <c r="O11362" s="1207"/>
      <c r="Q11362" s="1207"/>
    </row>
    <row r="11363" spans="3:17" s="700" customFormat="1" ht="70.5" hidden="1" customHeight="1">
      <c r="C11363" s="701"/>
      <c r="D11363" s="811"/>
      <c r="E11363" s="1276">
        <f>[11]building!Y11694</f>
        <v>0</v>
      </c>
      <c r="F11363" s="748">
        <f t="shared" si="416"/>
        <v>0</v>
      </c>
      <c r="G11363" s="1205"/>
      <c r="H11363" s="1055"/>
      <c r="I11363" s="1055"/>
      <c r="J11363" s="1055"/>
      <c r="K11363" s="1205"/>
      <c r="L11363" s="1055"/>
      <c r="M11363" s="1205"/>
      <c r="N11363" s="1054"/>
      <c r="O11363" s="1207"/>
      <c r="Q11363" s="1207"/>
    </row>
    <row r="11364" spans="3:17" s="700" customFormat="1" ht="70.5" hidden="1" customHeight="1">
      <c r="C11364" s="701"/>
      <c r="D11364" s="811"/>
      <c r="E11364" s="1276">
        <f>[11]building!Y11695</f>
        <v>0</v>
      </c>
      <c r="F11364" s="748">
        <f t="shared" si="416"/>
        <v>0</v>
      </c>
      <c r="G11364" s="1205"/>
      <c r="H11364" s="1055"/>
      <c r="I11364" s="1055"/>
      <c r="J11364" s="1055"/>
      <c r="K11364" s="1205"/>
      <c r="L11364" s="1055"/>
      <c r="M11364" s="1205"/>
      <c r="N11364" s="1054"/>
      <c r="O11364" s="1207"/>
      <c r="Q11364" s="1207"/>
    </row>
    <row r="11365" spans="3:17" s="700" customFormat="1" ht="70.5" hidden="1" customHeight="1">
      <c r="C11365" s="701"/>
      <c r="D11365" s="811"/>
      <c r="E11365" s="1276">
        <f>[11]building!Y11696</f>
        <v>0</v>
      </c>
      <c r="F11365" s="748">
        <f t="shared" si="416"/>
        <v>0</v>
      </c>
      <c r="G11365" s="1205"/>
      <c r="H11365" s="1055"/>
      <c r="I11365" s="1055"/>
      <c r="J11365" s="1055"/>
      <c r="K11365" s="1205"/>
      <c r="L11365" s="1055"/>
      <c r="M11365" s="1205"/>
      <c r="N11365" s="1054"/>
      <c r="O11365" s="1207"/>
      <c r="Q11365" s="1207"/>
    </row>
    <row r="11366" spans="3:17" s="700" customFormat="1" ht="70.5" hidden="1" customHeight="1">
      <c r="C11366" s="701"/>
      <c r="D11366" s="811"/>
      <c r="E11366" s="1276">
        <f>[11]building!Y11697</f>
        <v>0</v>
      </c>
      <c r="F11366" s="748">
        <f t="shared" si="416"/>
        <v>0</v>
      </c>
      <c r="G11366" s="1205"/>
      <c r="H11366" s="1055"/>
      <c r="I11366" s="1055"/>
      <c r="J11366" s="1055"/>
      <c r="K11366" s="1205"/>
      <c r="L11366" s="1055"/>
      <c r="M11366" s="1205"/>
      <c r="N11366" s="1054"/>
      <c r="O11366" s="1207"/>
      <c r="Q11366" s="1207"/>
    </row>
    <row r="11367" spans="3:17" s="700" customFormat="1" ht="70.5" hidden="1" customHeight="1">
      <c r="C11367" s="701"/>
      <c r="D11367" s="811"/>
      <c r="E11367" s="1276">
        <f>[11]building!Y11698</f>
        <v>0</v>
      </c>
      <c r="F11367" s="748">
        <f t="shared" si="416"/>
        <v>0</v>
      </c>
      <c r="G11367" s="1205"/>
      <c r="H11367" s="1055"/>
      <c r="I11367" s="1055"/>
      <c r="J11367" s="1055"/>
      <c r="K11367" s="1205"/>
      <c r="L11367" s="1055"/>
      <c r="M11367" s="1205"/>
      <c r="N11367" s="1054"/>
      <c r="O11367" s="1207"/>
      <c r="Q11367" s="1207"/>
    </row>
    <row r="11368" spans="3:17" s="700" customFormat="1" ht="70.5" hidden="1" customHeight="1">
      <c r="C11368" s="701"/>
      <c r="D11368" s="811"/>
      <c r="E11368" s="1276">
        <f>[11]building!Y11699</f>
        <v>0</v>
      </c>
      <c r="F11368" s="748">
        <f t="shared" si="416"/>
        <v>0</v>
      </c>
      <c r="G11368" s="1205"/>
      <c r="H11368" s="1055"/>
      <c r="I11368" s="1055"/>
      <c r="J11368" s="1055"/>
      <c r="K11368" s="1205"/>
      <c r="L11368" s="1055"/>
      <c r="M11368" s="1205"/>
      <c r="N11368" s="1054"/>
      <c r="O11368" s="1207"/>
      <c r="Q11368" s="1207"/>
    </row>
    <row r="11369" spans="3:17" s="700" customFormat="1" ht="70.5" hidden="1" customHeight="1">
      <c r="C11369" s="701"/>
      <c r="D11369" s="811"/>
      <c r="E11369" s="1276">
        <f>[11]building!Y11700</f>
        <v>0</v>
      </c>
      <c r="F11369" s="748">
        <f t="shared" si="416"/>
        <v>0</v>
      </c>
      <c r="G11369" s="1205"/>
      <c r="H11369" s="1055"/>
      <c r="I11369" s="1055"/>
      <c r="J11369" s="1055"/>
      <c r="K11369" s="1205"/>
      <c r="L11369" s="1055"/>
      <c r="M11369" s="1205"/>
      <c r="N11369" s="1054"/>
      <c r="O11369" s="1207"/>
      <c r="Q11369" s="1207"/>
    </row>
    <row r="11370" spans="3:17" s="700" customFormat="1" ht="70.5" hidden="1" customHeight="1">
      <c r="C11370" s="701"/>
      <c r="D11370" s="811"/>
      <c r="E11370" s="1276">
        <f>[11]building!Y11701</f>
        <v>0</v>
      </c>
      <c r="F11370" s="748">
        <f t="shared" si="416"/>
        <v>0</v>
      </c>
      <c r="G11370" s="1205"/>
      <c r="H11370" s="1055"/>
      <c r="I11370" s="1055"/>
      <c r="J11370" s="1055"/>
      <c r="K11370" s="1205"/>
      <c r="L11370" s="1055"/>
      <c r="M11370" s="1205"/>
      <c r="N11370" s="1054"/>
      <c r="O11370" s="1207"/>
      <c r="Q11370" s="1207"/>
    </row>
    <row r="11371" spans="3:17" s="700" customFormat="1" ht="70.5" hidden="1" customHeight="1">
      <c r="C11371" s="701"/>
      <c r="D11371" s="811"/>
      <c r="E11371" s="1276">
        <f>[11]building!Y11702</f>
        <v>0</v>
      </c>
      <c r="F11371" s="748">
        <f t="shared" si="416"/>
        <v>0</v>
      </c>
      <c r="G11371" s="1205"/>
      <c r="H11371" s="1055"/>
      <c r="I11371" s="1055"/>
      <c r="J11371" s="1055"/>
      <c r="K11371" s="1205"/>
      <c r="L11371" s="1055"/>
      <c r="M11371" s="1205"/>
      <c r="N11371" s="1054"/>
      <c r="O11371" s="1207"/>
      <c r="Q11371" s="1207"/>
    </row>
    <row r="11372" spans="3:17" s="700" customFormat="1" ht="70.5" hidden="1" customHeight="1">
      <c r="C11372" s="701"/>
      <c r="D11372" s="811"/>
      <c r="E11372" s="1276">
        <f>[11]building!Y11703</f>
        <v>0</v>
      </c>
      <c r="F11372" s="748">
        <f t="shared" si="416"/>
        <v>0</v>
      </c>
      <c r="G11372" s="1205"/>
      <c r="H11372" s="1055"/>
      <c r="I11372" s="1055"/>
      <c r="J11372" s="1055"/>
      <c r="K11372" s="1205"/>
      <c r="L11372" s="1055"/>
      <c r="M11372" s="1205"/>
      <c r="N11372" s="1054"/>
      <c r="O11372" s="1207"/>
      <c r="Q11372" s="1207"/>
    </row>
    <row r="11373" spans="3:17" s="700" customFormat="1" ht="70.5" hidden="1" customHeight="1">
      <c r="C11373" s="701"/>
      <c r="D11373" s="811"/>
      <c r="E11373" s="1276">
        <f>[11]building!Y11704</f>
        <v>0</v>
      </c>
      <c r="F11373" s="748">
        <f t="shared" si="416"/>
        <v>0</v>
      </c>
      <c r="G11373" s="1205"/>
      <c r="H11373" s="1055"/>
      <c r="I11373" s="1055"/>
      <c r="J11373" s="1055"/>
      <c r="K11373" s="1205"/>
      <c r="L11373" s="1055"/>
      <c r="M11373" s="1205"/>
      <c r="N11373" s="1054"/>
      <c r="O11373" s="1207"/>
      <c r="Q11373" s="1207"/>
    </row>
    <row r="11374" spans="3:17" s="700" customFormat="1" ht="70.5" hidden="1" customHeight="1">
      <c r="C11374" s="701"/>
      <c r="D11374" s="811"/>
      <c r="E11374" s="1276">
        <f>[11]building!Y11705</f>
        <v>0</v>
      </c>
      <c r="F11374" s="748">
        <f t="shared" si="416"/>
        <v>0</v>
      </c>
      <c r="G11374" s="1205"/>
      <c r="H11374" s="1055"/>
      <c r="I11374" s="1055"/>
      <c r="J11374" s="1055"/>
      <c r="K11374" s="1205"/>
      <c r="L11374" s="1055"/>
      <c r="M11374" s="1205"/>
      <c r="N11374" s="1054"/>
      <c r="O11374" s="1207"/>
      <c r="Q11374" s="1207"/>
    </row>
    <row r="11375" spans="3:17" s="700" customFormat="1" ht="70.5" hidden="1" customHeight="1">
      <c r="C11375" s="701"/>
      <c r="D11375" s="811"/>
      <c r="E11375" s="1276">
        <f>[11]building!Y11706</f>
        <v>0</v>
      </c>
      <c r="F11375" s="748">
        <f t="shared" si="416"/>
        <v>0</v>
      </c>
      <c r="G11375" s="1205"/>
      <c r="H11375" s="1055"/>
      <c r="I11375" s="1055"/>
      <c r="J11375" s="1055"/>
      <c r="K11375" s="1205"/>
      <c r="L11375" s="1055"/>
      <c r="M11375" s="1205"/>
      <c r="N11375" s="1054"/>
      <c r="O11375" s="1207"/>
      <c r="Q11375" s="1207"/>
    </row>
    <row r="11376" spans="3:17" s="700" customFormat="1" ht="70.5" hidden="1" customHeight="1">
      <c r="C11376" s="701"/>
      <c r="D11376" s="811"/>
      <c r="E11376" s="1276">
        <f>[11]building!Y11707</f>
        <v>0</v>
      </c>
      <c r="F11376" s="748">
        <f t="shared" si="416"/>
        <v>0</v>
      </c>
      <c r="G11376" s="1205"/>
      <c r="H11376" s="1055"/>
      <c r="I11376" s="1055"/>
      <c r="J11376" s="1055"/>
      <c r="K11376" s="1205"/>
      <c r="L11376" s="1055"/>
      <c r="M11376" s="1205"/>
      <c r="N11376" s="1054"/>
      <c r="O11376" s="1207"/>
      <c r="Q11376" s="1207"/>
    </row>
    <row r="11377" spans="3:17" s="700" customFormat="1" ht="70.5" hidden="1" customHeight="1">
      <c r="C11377" s="701"/>
      <c r="D11377" s="811"/>
      <c r="E11377" s="1276">
        <f>[11]building!Y11708</f>
        <v>0</v>
      </c>
      <c r="F11377" s="748">
        <f t="shared" si="416"/>
        <v>0</v>
      </c>
      <c r="G11377" s="1205"/>
      <c r="H11377" s="1055"/>
      <c r="I11377" s="1055"/>
      <c r="J11377" s="1055"/>
      <c r="K11377" s="1205"/>
      <c r="L11377" s="1055"/>
      <c r="M11377" s="1205"/>
      <c r="N11377" s="1054"/>
      <c r="O11377" s="1207"/>
      <c r="Q11377" s="1207"/>
    </row>
    <row r="11378" spans="3:17" s="700" customFormat="1" ht="70.5" hidden="1" customHeight="1">
      <c r="C11378" s="701"/>
      <c r="D11378" s="811"/>
      <c r="E11378" s="1276">
        <f>[11]building!Y11709</f>
        <v>0</v>
      </c>
      <c r="F11378" s="748">
        <f t="shared" si="416"/>
        <v>0</v>
      </c>
      <c r="G11378" s="1205"/>
      <c r="H11378" s="1055"/>
      <c r="I11378" s="1055"/>
      <c r="J11378" s="1055"/>
      <c r="K11378" s="1205"/>
      <c r="L11378" s="1055"/>
      <c r="M11378" s="1205"/>
      <c r="N11378" s="1054"/>
      <c r="O11378" s="1207"/>
      <c r="Q11378" s="1207"/>
    </row>
    <row r="11379" spans="3:17" s="700" customFormat="1" ht="70.5" hidden="1" customHeight="1">
      <c r="C11379" s="701"/>
      <c r="D11379" s="811"/>
      <c r="E11379" s="1276">
        <f>[11]building!Y11710</f>
        <v>0</v>
      </c>
      <c r="F11379" s="748">
        <f t="shared" si="416"/>
        <v>0</v>
      </c>
      <c r="G11379" s="1205"/>
      <c r="H11379" s="1055"/>
      <c r="I11379" s="1055"/>
      <c r="J11379" s="1055"/>
      <c r="K11379" s="1205"/>
      <c r="L11379" s="1055"/>
      <c r="M11379" s="1205"/>
      <c r="N11379" s="1054"/>
      <c r="O11379" s="1207"/>
      <c r="Q11379" s="1207"/>
    </row>
    <row r="11380" spans="3:17" s="700" customFormat="1" ht="70.5" hidden="1" customHeight="1">
      <c r="C11380" s="701"/>
      <c r="D11380" s="811"/>
      <c r="E11380" s="1276">
        <f>[11]building!Y11711</f>
        <v>0</v>
      </c>
      <c r="F11380" s="748">
        <f t="shared" si="416"/>
        <v>0</v>
      </c>
      <c r="G11380" s="1205"/>
      <c r="H11380" s="1055"/>
      <c r="I11380" s="1055"/>
      <c r="J11380" s="1055"/>
      <c r="K11380" s="1205"/>
      <c r="L11380" s="1055"/>
      <c r="M11380" s="1205"/>
      <c r="N11380" s="1054"/>
      <c r="O11380" s="1207"/>
      <c r="Q11380" s="1207"/>
    </row>
    <row r="11381" spans="3:17" s="700" customFormat="1" ht="70.5" hidden="1" customHeight="1">
      <c r="C11381" s="701"/>
      <c r="D11381" s="811"/>
      <c r="E11381" s="1276">
        <f>[11]building!Y11712</f>
        <v>0</v>
      </c>
      <c r="F11381" s="748">
        <f t="shared" si="416"/>
        <v>0</v>
      </c>
      <c r="G11381" s="1205"/>
      <c r="H11381" s="1055"/>
      <c r="I11381" s="1055"/>
      <c r="J11381" s="1055"/>
      <c r="K11381" s="1205"/>
      <c r="L11381" s="1055"/>
      <c r="M11381" s="1205"/>
      <c r="N11381" s="1054"/>
      <c r="O11381" s="1207"/>
      <c r="Q11381" s="1207"/>
    </row>
    <row r="11382" spans="3:17" s="700" customFormat="1" ht="70.5" hidden="1" customHeight="1">
      <c r="C11382" s="701"/>
      <c r="D11382" s="811"/>
      <c r="E11382" s="1276">
        <f>[11]building!Y11713</f>
        <v>0</v>
      </c>
      <c r="F11382" s="748">
        <f t="shared" si="416"/>
        <v>0</v>
      </c>
      <c r="G11382" s="1205"/>
      <c r="H11382" s="1055"/>
      <c r="I11382" s="1055"/>
      <c r="J11382" s="1055"/>
      <c r="K11382" s="1205"/>
      <c r="L11382" s="1055"/>
      <c r="M11382" s="1205"/>
      <c r="N11382" s="1054"/>
      <c r="O11382" s="1207"/>
      <c r="Q11382" s="1207"/>
    </row>
    <row r="11383" spans="3:17" s="700" customFormat="1" ht="70.5" hidden="1" customHeight="1">
      <c r="C11383" s="701"/>
      <c r="D11383" s="811"/>
      <c r="E11383" s="1276">
        <f>[11]building!Y11714</f>
        <v>0</v>
      </c>
      <c r="F11383" s="748">
        <f t="shared" si="416"/>
        <v>0</v>
      </c>
      <c r="G11383" s="1205"/>
      <c r="H11383" s="1055"/>
      <c r="I11383" s="1055"/>
      <c r="J11383" s="1055"/>
      <c r="K11383" s="1205"/>
      <c r="L11383" s="1055"/>
      <c r="M11383" s="1205"/>
      <c r="N11383" s="1054"/>
      <c r="O11383" s="1207"/>
      <c r="Q11383" s="1207"/>
    </row>
    <row r="11384" spans="3:17" s="700" customFormat="1" ht="70.5" hidden="1" customHeight="1">
      <c r="C11384" s="701"/>
      <c r="D11384" s="811"/>
      <c r="E11384" s="1276">
        <f>[11]building!Y11715</f>
        <v>0</v>
      </c>
      <c r="F11384" s="748">
        <f t="shared" si="416"/>
        <v>0</v>
      </c>
      <c r="G11384" s="1205"/>
      <c r="H11384" s="1055"/>
      <c r="I11384" s="1055"/>
      <c r="J11384" s="1055"/>
      <c r="K11384" s="1205"/>
      <c r="L11384" s="1055"/>
      <c r="M11384" s="1205"/>
      <c r="N11384" s="1054"/>
      <c r="O11384" s="1207"/>
      <c r="Q11384" s="1207"/>
    </row>
    <row r="11385" spans="3:17" s="700" customFormat="1" ht="70.5" hidden="1" customHeight="1">
      <c r="C11385" s="701"/>
      <c r="D11385" s="811"/>
      <c r="E11385" s="1276">
        <f>[11]building!Y11716</f>
        <v>0</v>
      </c>
      <c r="F11385" s="748">
        <f t="shared" si="416"/>
        <v>0</v>
      </c>
      <c r="G11385" s="1205"/>
      <c r="H11385" s="1055"/>
      <c r="I11385" s="1055"/>
      <c r="J11385" s="1055"/>
      <c r="K11385" s="1205"/>
      <c r="L11385" s="1055"/>
      <c r="M11385" s="1205"/>
      <c r="N11385" s="1054"/>
      <c r="O11385" s="1207"/>
      <c r="Q11385" s="1207"/>
    </row>
    <row r="11386" spans="3:17" s="700" customFormat="1" ht="70.5" hidden="1" customHeight="1">
      <c r="C11386" s="701"/>
      <c r="D11386" s="811"/>
      <c r="E11386" s="1276">
        <f>[11]building!Y11717</f>
        <v>0</v>
      </c>
      <c r="F11386" s="748">
        <f t="shared" si="416"/>
        <v>0</v>
      </c>
      <c r="G11386" s="1205"/>
      <c r="H11386" s="1055"/>
      <c r="I11386" s="1055"/>
      <c r="J11386" s="1055"/>
      <c r="K11386" s="1205"/>
      <c r="L11386" s="1055"/>
      <c r="M11386" s="1205"/>
      <c r="N11386" s="1054"/>
      <c r="O11386" s="1207"/>
      <c r="Q11386" s="1207"/>
    </row>
    <row r="11387" spans="3:17" s="700" customFormat="1" ht="70.5" hidden="1" customHeight="1">
      <c r="C11387" s="701"/>
      <c r="D11387" s="811"/>
      <c r="E11387" s="1276">
        <f>[11]building!Y11718</f>
        <v>0</v>
      </c>
      <c r="F11387" s="748">
        <f t="shared" si="416"/>
        <v>0</v>
      </c>
      <c r="G11387" s="1205"/>
      <c r="H11387" s="1055"/>
      <c r="I11387" s="1055"/>
      <c r="J11387" s="1055"/>
      <c r="K11387" s="1205"/>
      <c r="L11387" s="1055"/>
      <c r="M11387" s="1205"/>
      <c r="N11387" s="1054"/>
      <c r="O11387" s="1207"/>
      <c r="Q11387" s="1207"/>
    </row>
    <row r="11388" spans="3:17" s="700" customFormat="1" ht="70.5" hidden="1" customHeight="1">
      <c r="C11388" s="701"/>
      <c r="D11388" s="811"/>
      <c r="E11388" s="1276">
        <f>[11]building!Y11719</f>
        <v>0</v>
      </c>
      <c r="F11388" s="748">
        <f t="shared" si="416"/>
        <v>0</v>
      </c>
      <c r="G11388" s="1205"/>
      <c r="H11388" s="1055"/>
      <c r="I11388" s="1055"/>
      <c r="J11388" s="1055"/>
      <c r="K11388" s="1205"/>
      <c r="L11388" s="1055"/>
      <c r="M11388" s="1205"/>
      <c r="N11388" s="1054"/>
      <c r="O11388" s="1207"/>
      <c r="Q11388" s="1207"/>
    </row>
    <row r="11389" spans="3:17" s="700" customFormat="1" ht="70.5" hidden="1" customHeight="1">
      <c r="C11389" s="701"/>
      <c r="D11389" s="811"/>
      <c r="E11389" s="1276">
        <f>[11]building!Y11720</f>
        <v>0</v>
      </c>
      <c r="F11389" s="748">
        <f t="shared" si="416"/>
        <v>0</v>
      </c>
      <c r="G11389" s="1205"/>
      <c r="H11389" s="1055"/>
      <c r="I11389" s="1055"/>
      <c r="J11389" s="1055"/>
      <c r="K11389" s="1205"/>
      <c r="L11389" s="1055"/>
      <c r="M11389" s="1205"/>
      <c r="N11389" s="1054"/>
      <c r="O11389" s="1207"/>
      <c r="Q11389" s="1207"/>
    </row>
    <row r="11390" spans="3:17" s="700" customFormat="1" ht="70.5" hidden="1" customHeight="1">
      <c r="C11390" s="701"/>
      <c r="D11390" s="811"/>
      <c r="E11390" s="1276">
        <f>[11]building!Y11721</f>
        <v>0</v>
      </c>
      <c r="F11390" s="748">
        <f t="shared" si="416"/>
        <v>0</v>
      </c>
      <c r="G11390" s="1205"/>
      <c r="H11390" s="1055"/>
      <c r="I11390" s="1055"/>
      <c r="J11390" s="1055"/>
      <c r="K11390" s="1205"/>
      <c r="L11390" s="1055"/>
      <c r="M11390" s="1205"/>
      <c r="N11390" s="1054"/>
      <c r="O11390" s="1207"/>
      <c r="Q11390" s="1207"/>
    </row>
    <row r="11391" spans="3:17" s="700" customFormat="1" ht="70.5" hidden="1" customHeight="1">
      <c r="C11391" s="701"/>
      <c r="D11391" s="811"/>
      <c r="E11391" s="1276">
        <f>[11]building!Y11722</f>
        <v>0</v>
      </c>
      <c r="F11391" s="748">
        <f t="shared" si="416"/>
        <v>0</v>
      </c>
      <c r="G11391" s="1205"/>
      <c r="H11391" s="1055"/>
      <c r="I11391" s="1055"/>
      <c r="J11391" s="1055"/>
      <c r="K11391" s="1205"/>
      <c r="L11391" s="1055"/>
      <c r="M11391" s="1205"/>
      <c r="N11391" s="1054"/>
      <c r="O11391" s="1207"/>
      <c r="Q11391" s="1207"/>
    </row>
    <row r="11392" spans="3:17" s="700" customFormat="1" ht="70.5" hidden="1" customHeight="1">
      <c r="C11392" s="701"/>
      <c r="D11392" s="811"/>
      <c r="E11392" s="1276">
        <f>[11]building!Y11723</f>
        <v>0</v>
      </c>
      <c r="F11392" s="748">
        <f t="shared" ref="F11392:F11455" si="417">E11392*C11392</f>
        <v>0</v>
      </c>
      <c r="G11392" s="1205"/>
      <c r="H11392" s="1055"/>
      <c r="I11392" s="1055"/>
      <c r="J11392" s="1055"/>
      <c r="K11392" s="1205"/>
      <c r="L11392" s="1055"/>
      <c r="M11392" s="1205"/>
      <c r="N11392" s="1054"/>
      <c r="O11392" s="1207"/>
      <c r="Q11392" s="1207"/>
    </row>
    <row r="11393" spans="3:17" s="700" customFormat="1" ht="70.5" hidden="1" customHeight="1">
      <c r="C11393" s="701"/>
      <c r="D11393" s="811"/>
      <c r="E11393" s="1276">
        <f>[11]building!Y11724</f>
        <v>0</v>
      </c>
      <c r="F11393" s="748">
        <f t="shared" si="417"/>
        <v>0</v>
      </c>
      <c r="G11393" s="1205"/>
      <c r="H11393" s="1055"/>
      <c r="I11393" s="1055"/>
      <c r="J11393" s="1055"/>
      <c r="K11393" s="1205"/>
      <c r="L11393" s="1055"/>
      <c r="M11393" s="1205"/>
      <c r="N11393" s="1054"/>
      <c r="O11393" s="1207"/>
      <c r="Q11393" s="1207"/>
    </row>
    <row r="11394" spans="3:17" s="700" customFormat="1" ht="70.5" hidden="1" customHeight="1">
      <c r="C11394" s="701"/>
      <c r="D11394" s="811"/>
      <c r="E11394" s="1276">
        <f>[11]building!Y11725</f>
        <v>0</v>
      </c>
      <c r="F11394" s="748">
        <f t="shared" si="417"/>
        <v>0</v>
      </c>
      <c r="G11394" s="1205"/>
      <c r="H11394" s="1055"/>
      <c r="I11394" s="1055"/>
      <c r="J11394" s="1055"/>
      <c r="K11394" s="1205"/>
      <c r="L11394" s="1055"/>
      <c r="M11394" s="1205"/>
      <c r="N11394" s="1054"/>
      <c r="O11394" s="1207"/>
      <c r="Q11394" s="1207"/>
    </row>
    <row r="11395" spans="3:17" s="700" customFormat="1" ht="70.5" hidden="1" customHeight="1">
      <c r="C11395" s="701"/>
      <c r="D11395" s="811"/>
      <c r="E11395" s="1276">
        <f>[11]building!Y11726</f>
        <v>0</v>
      </c>
      <c r="F11395" s="748">
        <f t="shared" si="417"/>
        <v>0</v>
      </c>
      <c r="G11395" s="1205"/>
      <c r="H11395" s="1055"/>
      <c r="I11395" s="1055"/>
      <c r="J11395" s="1055"/>
      <c r="K11395" s="1205"/>
      <c r="L11395" s="1055"/>
      <c r="M11395" s="1205"/>
      <c r="N11395" s="1054"/>
      <c r="O11395" s="1207"/>
      <c r="Q11395" s="1207"/>
    </row>
    <row r="11396" spans="3:17" s="700" customFormat="1" ht="70.5" hidden="1" customHeight="1">
      <c r="C11396" s="701"/>
      <c r="D11396" s="811"/>
      <c r="E11396" s="1276">
        <f>[11]building!Y11727</f>
        <v>0</v>
      </c>
      <c r="F11396" s="748">
        <f t="shared" si="417"/>
        <v>0</v>
      </c>
      <c r="G11396" s="1205"/>
      <c r="H11396" s="1055"/>
      <c r="I11396" s="1055"/>
      <c r="J11396" s="1055"/>
      <c r="K11396" s="1205"/>
      <c r="L11396" s="1055"/>
      <c r="M11396" s="1205"/>
      <c r="N11396" s="1054"/>
      <c r="O11396" s="1207"/>
      <c r="Q11396" s="1207"/>
    </row>
    <row r="11397" spans="3:17" s="700" customFormat="1" ht="70.5" hidden="1" customHeight="1">
      <c r="C11397" s="701"/>
      <c r="D11397" s="811"/>
      <c r="E11397" s="1276">
        <f>[11]building!Y11728</f>
        <v>0</v>
      </c>
      <c r="F11397" s="748">
        <f t="shared" si="417"/>
        <v>0</v>
      </c>
      <c r="G11397" s="1205"/>
      <c r="H11397" s="1055"/>
      <c r="I11397" s="1055"/>
      <c r="J11397" s="1055"/>
      <c r="K11397" s="1205"/>
      <c r="L11397" s="1055"/>
      <c r="M11397" s="1205"/>
      <c r="N11397" s="1054"/>
      <c r="O11397" s="1207"/>
      <c r="Q11397" s="1207"/>
    </row>
    <row r="11398" spans="3:17" s="700" customFormat="1" ht="70.5" hidden="1" customHeight="1">
      <c r="C11398" s="701"/>
      <c r="D11398" s="811"/>
      <c r="E11398" s="1276">
        <f>[11]building!Y11729</f>
        <v>0</v>
      </c>
      <c r="F11398" s="748">
        <f t="shared" si="417"/>
        <v>0</v>
      </c>
      <c r="G11398" s="1205"/>
      <c r="H11398" s="1055"/>
      <c r="I11398" s="1055"/>
      <c r="J11398" s="1055"/>
      <c r="K11398" s="1205"/>
      <c r="L11398" s="1055"/>
      <c r="M11398" s="1205"/>
      <c r="N11398" s="1054"/>
      <c r="O11398" s="1207"/>
      <c r="Q11398" s="1207"/>
    </row>
    <row r="11399" spans="3:17" s="700" customFormat="1" ht="70.5" hidden="1" customHeight="1">
      <c r="C11399" s="701"/>
      <c r="D11399" s="811"/>
      <c r="E11399" s="1276">
        <f>[11]building!Y11730</f>
        <v>0</v>
      </c>
      <c r="F11399" s="748">
        <f t="shared" si="417"/>
        <v>0</v>
      </c>
      <c r="G11399" s="1205"/>
      <c r="H11399" s="1055"/>
      <c r="I11399" s="1055"/>
      <c r="J11399" s="1055"/>
      <c r="K11399" s="1205"/>
      <c r="L11399" s="1055"/>
      <c r="M11399" s="1205"/>
      <c r="N11399" s="1054"/>
      <c r="O11399" s="1207"/>
      <c r="Q11399" s="1207"/>
    </row>
    <row r="11400" spans="3:17" s="700" customFormat="1" ht="70.5" hidden="1" customHeight="1">
      <c r="C11400" s="701"/>
      <c r="D11400" s="811"/>
      <c r="E11400" s="1276">
        <f>[11]building!Y11731</f>
        <v>0</v>
      </c>
      <c r="F11400" s="748">
        <f t="shared" si="417"/>
        <v>0</v>
      </c>
      <c r="G11400" s="1205"/>
      <c r="H11400" s="1055"/>
      <c r="I11400" s="1055"/>
      <c r="J11400" s="1055"/>
      <c r="K11400" s="1205"/>
      <c r="L11400" s="1055"/>
      <c r="M11400" s="1205"/>
      <c r="N11400" s="1054"/>
      <c r="O11400" s="1207"/>
      <c r="Q11400" s="1207"/>
    </row>
    <row r="11401" spans="3:17" s="700" customFormat="1" ht="70.5" hidden="1" customHeight="1">
      <c r="C11401" s="701"/>
      <c r="D11401" s="811"/>
      <c r="E11401" s="1276">
        <f>[11]building!Y11732</f>
        <v>0</v>
      </c>
      <c r="F11401" s="748">
        <f t="shared" si="417"/>
        <v>0</v>
      </c>
      <c r="G11401" s="1205"/>
      <c r="H11401" s="1055"/>
      <c r="I11401" s="1055"/>
      <c r="J11401" s="1055"/>
      <c r="K11401" s="1205"/>
      <c r="L11401" s="1055"/>
      <c r="M11401" s="1205"/>
      <c r="N11401" s="1054"/>
      <c r="O11401" s="1207"/>
      <c r="Q11401" s="1207"/>
    </row>
    <row r="11402" spans="3:17" s="700" customFormat="1" ht="70.5" hidden="1" customHeight="1">
      <c r="C11402" s="701"/>
      <c r="D11402" s="811"/>
      <c r="E11402" s="1276">
        <f>[11]building!Y11733</f>
        <v>0</v>
      </c>
      <c r="F11402" s="748">
        <f t="shared" si="417"/>
        <v>0</v>
      </c>
      <c r="G11402" s="1205"/>
      <c r="H11402" s="1055"/>
      <c r="I11402" s="1055"/>
      <c r="J11402" s="1055"/>
      <c r="K11402" s="1205"/>
      <c r="L11402" s="1055"/>
      <c r="M11402" s="1205"/>
      <c r="N11402" s="1054"/>
      <c r="O11402" s="1207"/>
      <c r="Q11402" s="1207"/>
    </row>
    <row r="11403" spans="3:17" s="700" customFormat="1" ht="70.5" hidden="1" customHeight="1">
      <c r="C11403" s="701"/>
      <c r="D11403" s="811"/>
      <c r="E11403" s="1276">
        <f>[11]building!Y11734</f>
        <v>0</v>
      </c>
      <c r="F11403" s="748">
        <f t="shared" si="417"/>
        <v>0</v>
      </c>
      <c r="G11403" s="1205"/>
      <c r="H11403" s="1055"/>
      <c r="I11403" s="1055"/>
      <c r="J11403" s="1055"/>
      <c r="K11403" s="1205"/>
      <c r="L11403" s="1055"/>
      <c r="M11403" s="1205"/>
      <c r="N11403" s="1054"/>
      <c r="O11403" s="1207"/>
      <c r="Q11403" s="1207"/>
    </row>
    <row r="11404" spans="3:17" s="700" customFormat="1" ht="70.5" hidden="1" customHeight="1">
      <c r="C11404" s="701"/>
      <c r="D11404" s="811"/>
      <c r="E11404" s="1276">
        <f>[11]building!Y11735</f>
        <v>0</v>
      </c>
      <c r="F11404" s="748">
        <f t="shared" si="417"/>
        <v>0</v>
      </c>
      <c r="G11404" s="1205"/>
      <c r="H11404" s="1055"/>
      <c r="I11404" s="1055"/>
      <c r="J11404" s="1055"/>
      <c r="K11404" s="1205"/>
      <c r="L11404" s="1055"/>
      <c r="M11404" s="1205"/>
      <c r="N11404" s="1054"/>
      <c r="O11404" s="1207"/>
      <c r="Q11404" s="1207"/>
    </row>
    <row r="11405" spans="3:17" s="700" customFormat="1" ht="70.5" hidden="1" customHeight="1">
      <c r="C11405" s="701"/>
      <c r="D11405" s="811"/>
      <c r="E11405" s="1276">
        <f>[11]building!Y11736</f>
        <v>0</v>
      </c>
      <c r="F11405" s="748">
        <f t="shared" si="417"/>
        <v>0</v>
      </c>
      <c r="G11405" s="1205"/>
      <c r="H11405" s="1055"/>
      <c r="I11405" s="1055"/>
      <c r="J11405" s="1055"/>
      <c r="K11405" s="1205"/>
      <c r="L11405" s="1055"/>
      <c r="M11405" s="1205"/>
      <c r="N11405" s="1054"/>
      <c r="O11405" s="1207"/>
      <c r="Q11405" s="1207"/>
    </row>
    <row r="11406" spans="3:17" s="700" customFormat="1" ht="70.5" hidden="1" customHeight="1">
      <c r="C11406" s="701"/>
      <c r="D11406" s="811"/>
      <c r="E11406" s="1276">
        <f>[11]building!Y11737</f>
        <v>0</v>
      </c>
      <c r="F11406" s="748">
        <f t="shared" si="417"/>
        <v>0</v>
      </c>
      <c r="G11406" s="1205"/>
      <c r="H11406" s="1055"/>
      <c r="I11406" s="1055"/>
      <c r="J11406" s="1055"/>
      <c r="K11406" s="1205"/>
      <c r="L11406" s="1055"/>
      <c r="M11406" s="1205"/>
      <c r="N11406" s="1054"/>
      <c r="O11406" s="1207"/>
      <c r="Q11406" s="1207"/>
    </row>
    <row r="11407" spans="3:17" s="700" customFormat="1" ht="70.5" hidden="1" customHeight="1">
      <c r="C11407" s="701"/>
      <c r="D11407" s="811"/>
      <c r="E11407" s="1276">
        <f>[11]building!Y11738</f>
        <v>0</v>
      </c>
      <c r="F11407" s="748">
        <f t="shared" si="417"/>
        <v>0</v>
      </c>
      <c r="G11407" s="1205"/>
      <c r="H11407" s="1055"/>
      <c r="I11407" s="1055"/>
      <c r="J11407" s="1055"/>
      <c r="K11407" s="1205"/>
      <c r="L11407" s="1055"/>
      <c r="M11407" s="1205"/>
      <c r="N11407" s="1054"/>
      <c r="O11407" s="1207"/>
      <c r="Q11407" s="1207"/>
    </row>
    <row r="11408" spans="3:17" s="700" customFormat="1" ht="70.5" hidden="1" customHeight="1">
      <c r="C11408" s="701"/>
      <c r="D11408" s="811"/>
      <c r="E11408" s="1276">
        <f>[11]building!Y11739</f>
        <v>0</v>
      </c>
      <c r="F11408" s="748">
        <f t="shared" si="417"/>
        <v>0</v>
      </c>
      <c r="G11408" s="1205"/>
      <c r="H11408" s="1055"/>
      <c r="I11408" s="1055"/>
      <c r="J11408" s="1055"/>
      <c r="K11408" s="1205"/>
      <c r="L11408" s="1055"/>
      <c r="M11408" s="1205"/>
      <c r="N11408" s="1054"/>
      <c r="O11408" s="1207"/>
      <c r="Q11408" s="1207"/>
    </row>
    <row r="11409" spans="3:17" s="700" customFormat="1" ht="70.5" hidden="1" customHeight="1">
      <c r="C11409" s="701"/>
      <c r="D11409" s="811"/>
      <c r="E11409" s="1276">
        <f>[11]building!Y11740</f>
        <v>0</v>
      </c>
      <c r="F11409" s="748">
        <f t="shared" si="417"/>
        <v>0</v>
      </c>
      <c r="G11409" s="1205"/>
      <c r="H11409" s="1055"/>
      <c r="I11409" s="1055"/>
      <c r="J11409" s="1055"/>
      <c r="K11409" s="1205"/>
      <c r="L11409" s="1055"/>
      <c r="M11409" s="1205"/>
      <c r="N11409" s="1054"/>
      <c r="O11409" s="1207"/>
      <c r="Q11409" s="1207"/>
    </row>
    <row r="11410" spans="3:17" s="700" customFormat="1" ht="70.5" hidden="1" customHeight="1">
      <c r="C11410" s="701"/>
      <c r="D11410" s="811"/>
      <c r="E11410" s="1276">
        <f>[11]building!Y11741</f>
        <v>0</v>
      </c>
      <c r="F11410" s="748">
        <f t="shared" si="417"/>
        <v>0</v>
      </c>
      <c r="G11410" s="1205"/>
      <c r="H11410" s="1055"/>
      <c r="I11410" s="1055"/>
      <c r="J11410" s="1055"/>
      <c r="K11410" s="1205"/>
      <c r="L11410" s="1055"/>
      <c r="M11410" s="1205"/>
      <c r="N11410" s="1054"/>
      <c r="O11410" s="1207"/>
      <c r="Q11410" s="1207"/>
    </row>
    <row r="11411" spans="3:17" s="700" customFormat="1" ht="70.5" hidden="1" customHeight="1">
      <c r="C11411" s="701"/>
      <c r="D11411" s="811"/>
      <c r="E11411" s="1276">
        <f>[11]building!Y11742</f>
        <v>0</v>
      </c>
      <c r="F11411" s="748">
        <f t="shared" si="417"/>
        <v>0</v>
      </c>
      <c r="G11411" s="1205"/>
      <c r="H11411" s="1055"/>
      <c r="I11411" s="1055"/>
      <c r="J11411" s="1055"/>
      <c r="K11411" s="1205"/>
      <c r="L11411" s="1055"/>
      <c r="M11411" s="1205"/>
      <c r="N11411" s="1054"/>
      <c r="O11411" s="1207"/>
      <c r="Q11411" s="1207"/>
    </row>
    <row r="11412" spans="3:17" s="700" customFormat="1" ht="70.5" hidden="1" customHeight="1">
      <c r="C11412" s="701"/>
      <c r="D11412" s="811"/>
      <c r="E11412" s="1276">
        <f>[11]building!Y11743</f>
        <v>0</v>
      </c>
      <c r="F11412" s="748">
        <f t="shared" si="417"/>
        <v>0</v>
      </c>
      <c r="G11412" s="1205"/>
      <c r="H11412" s="1055"/>
      <c r="I11412" s="1055"/>
      <c r="J11412" s="1055"/>
      <c r="K11412" s="1205"/>
      <c r="L11412" s="1055"/>
      <c r="M11412" s="1205"/>
      <c r="N11412" s="1054"/>
      <c r="O11412" s="1207"/>
      <c r="Q11412" s="1207"/>
    </row>
    <row r="11413" spans="3:17" s="700" customFormat="1" ht="70.5" hidden="1" customHeight="1">
      <c r="C11413" s="701"/>
      <c r="D11413" s="811"/>
      <c r="E11413" s="1276">
        <f>[11]building!Y11744</f>
        <v>0</v>
      </c>
      <c r="F11413" s="748">
        <f t="shared" si="417"/>
        <v>0</v>
      </c>
      <c r="G11413" s="1205"/>
      <c r="H11413" s="1055"/>
      <c r="I11413" s="1055"/>
      <c r="J11413" s="1055"/>
      <c r="K11413" s="1205"/>
      <c r="L11413" s="1055"/>
      <c r="M11413" s="1205"/>
      <c r="N11413" s="1054"/>
      <c r="O11413" s="1207"/>
      <c r="Q11413" s="1207"/>
    </row>
    <row r="11414" spans="3:17" s="700" customFormat="1" ht="70.5" hidden="1" customHeight="1">
      <c r="C11414" s="701"/>
      <c r="D11414" s="811"/>
      <c r="E11414" s="1276">
        <f>[11]building!Y11745</f>
        <v>0</v>
      </c>
      <c r="F11414" s="748">
        <f t="shared" si="417"/>
        <v>0</v>
      </c>
      <c r="G11414" s="1205"/>
      <c r="H11414" s="1055"/>
      <c r="I11414" s="1055"/>
      <c r="J11414" s="1055"/>
      <c r="K11414" s="1205"/>
      <c r="L11414" s="1055"/>
      <c r="M11414" s="1205"/>
      <c r="N11414" s="1054"/>
      <c r="O11414" s="1207"/>
      <c r="Q11414" s="1207"/>
    </row>
    <row r="11415" spans="3:17" s="700" customFormat="1" ht="70.5" hidden="1" customHeight="1">
      <c r="C11415" s="701"/>
      <c r="D11415" s="811"/>
      <c r="E11415" s="1276">
        <f>[11]building!Y11746</f>
        <v>0</v>
      </c>
      <c r="F11415" s="748">
        <f t="shared" si="417"/>
        <v>0</v>
      </c>
      <c r="G11415" s="1205"/>
      <c r="H11415" s="1055"/>
      <c r="I11415" s="1055"/>
      <c r="J11415" s="1055"/>
      <c r="K11415" s="1205"/>
      <c r="L11415" s="1055"/>
      <c r="M11415" s="1205"/>
      <c r="N11415" s="1054"/>
      <c r="O11415" s="1207"/>
      <c r="Q11415" s="1207"/>
    </row>
    <row r="11416" spans="3:17" s="700" customFormat="1" ht="70.5" hidden="1" customHeight="1">
      <c r="C11416" s="701"/>
      <c r="D11416" s="811"/>
      <c r="E11416" s="1276">
        <f>[11]building!Y11747</f>
        <v>0</v>
      </c>
      <c r="F11416" s="748">
        <f t="shared" si="417"/>
        <v>0</v>
      </c>
      <c r="G11416" s="1205"/>
      <c r="H11416" s="1055"/>
      <c r="I11416" s="1055"/>
      <c r="J11416" s="1055"/>
      <c r="K11416" s="1205"/>
      <c r="L11416" s="1055"/>
      <c r="M11416" s="1205"/>
      <c r="N11416" s="1054"/>
      <c r="O11416" s="1207"/>
      <c r="Q11416" s="1207"/>
    </row>
    <row r="11417" spans="3:17" s="700" customFormat="1" ht="70.5" hidden="1" customHeight="1">
      <c r="C11417" s="701"/>
      <c r="D11417" s="811"/>
      <c r="E11417" s="1276">
        <f>[11]building!Y11748</f>
        <v>0</v>
      </c>
      <c r="F11417" s="748">
        <f t="shared" si="417"/>
        <v>0</v>
      </c>
      <c r="G11417" s="1205"/>
      <c r="H11417" s="1055"/>
      <c r="I11417" s="1055"/>
      <c r="J11417" s="1055"/>
      <c r="K11417" s="1205"/>
      <c r="L11417" s="1055"/>
      <c r="M11417" s="1205"/>
      <c r="N11417" s="1054"/>
      <c r="O11417" s="1207"/>
      <c r="Q11417" s="1207"/>
    </row>
    <row r="11418" spans="3:17" s="700" customFormat="1" ht="70.5" hidden="1" customHeight="1">
      <c r="C11418" s="701"/>
      <c r="D11418" s="811"/>
      <c r="E11418" s="1276">
        <f>[11]building!Y11749</f>
        <v>0</v>
      </c>
      <c r="F11418" s="748">
        <f t="shared" si="417"/>
        <v>0</v>
      </c>
      <c r="G11418" s="1205"/>
      <c r="H11418" s="1055"/>
      <c r="I11418" s="1055"/>
      <c r="J11418" s="1055"/>
      <c r="K11418" s="1205"/>
      <c r="L11418" s="1055"/>
      <c r="M11418" s="1205"/>
      <c r="N11418" s="1054"/>
      <c r="O11418" s="1207"/>
      <c r="Q11418" s="1207"/>
    </row>
    <row r="11419" spans="3:17" s="700" customFormat="1" ht="70.5" hidden="1" customHeight="1">
      <c r="C11419" s="701"/>
      <c r="D11419" s="811"/>
      <c r="E11419" s="1276">
        <f>[11]building!Y11750</f>
        <v>0</v>
      </c>
      <c r="F11419" s="748">
        <f t="shared" si="417"/>
        <v>0</v>
      </c>
      <c r="G11419" s="1205"/>
      <c r="H11419" s="1055"/>
      <c r="I11419" s="1055"/>
      <c r="J11419" s="1055"/>
      <c r="K11419" s="1205"/>
      <c r="L11419" s="1055"/>
      <c r="M11419" s="1205"/>
      <c r="N11419" s="1054"/>
      <c r="O11419" s="1207"/>
      <c r="Q11419" s="1207"/>
    </row>
    <row r="11420" spans="3:17" s="700" customFormat="1" ht="70.5" hidden="1" customHeight="1">
      <c r="C11420" s="701"/>
      <c r="D11420" s="811"/>
      <c r="E11420" s="1276">
        <f>[11]building!Y11751</f>
        <v>0</v>
      </c>
      <c r="F11420" s="748">
        <f t="shared" si="417"/>
        <v>0</v>
      </c>
      <c r="G11420" s="1205"/>
      <c r="H11420" s="1055"/>
      <c r="I11420" s="1055"/>
      <c r="J11420" s="1055"/>
      <c r="K11420" s="1205"/>
      <c r="L11420" s="1055"/>
      <c r="M11420" s="1205"/>
      <c r="N11420" s="1054"/>
      <c r="O11420" s="1207"/>
      <c r="Q11420" s="1207"/>
    </row>
    <row r="11421" spans="3:17" s="700" customFormat="1" ht="70.5" hidden="1" customHeight="1">
      <c r="C11421" s="701"/>
      <c r="D11421" s="811"/>
      <c r="E11421" s="1276">
        <f>[11]building!Y11752</f>
        <v>0</v>
      </c>
      <c r="F11421" s="748">
        <f t="shared" si="417"/>
        <v>0</v>
      </c>
      <c r="G11421" s="1205"/>
      <c r="H11421" s="1055"/>
      <c r="I11421" s="1055"/>
      <c r="J11421" s="1055"/>
      <c r="K11421" s="1205"/>
      <c r="L11421" s="1055"/>
      <c r="M11421" s="1205"/>
      <c r="N11421" s="1054"/>
      <c r="O11421" s="1207"/>
      <c r="Q11421" s="1207"/>
    </row>
    <row r="11422" spans="3:17" s="700" customFormat="1" ht="70.5" hidden="1" customHeight="1">
      <c r="C11422" s="701"/>
      <c r="D11422" s="811"/>
      <c r="E11422" s="1276">
        <f>[11]building!Y11753</f>
        <v>0</v>
      </c>
      <c r="F11422" s="748">
        <f t="shared" si="417"/>
        <v>0</v>
      </c>
      <c r="G11422" s="1205"/>
      <c r="H11422" s="1055"/>
      <c r="I11422" s="1055"/>
      <c r="J11422" s="1055"/>
      <c r="K11422" s="1205"/>
      <c r="L11422" s="1055"/>
      <c r="M11422" s="1205"/>
      <c r="N11422" s="1054"/>
      <c r="O11422" s="1207"/>
      <c r="Q11422" s="1207"/>
    </row>
    <row r="11423" spans="3:17" s="700" customFormat="1" ht="70.5" hidden="1" customHeight="1">
      <c r="C11423" s="701"/>
      <c r="D11423" s="811"/>
      <c r="E11423" s="1276">
        <f>[11]building!Y11754</f>
        <v>0</v>
      </c>
      <c r="F11423" s="748">
        <f t="shared" si="417"/>
        <v>0</v>
      </c>
      <c r="G11423" s="1205"/>
      <c r="H11423" s="1055"/>
      <c r="I11423" s="1055"/>
      <c r="J11423" s="1055"/>
      <c r="K11423" s="1205"/>
      <c r="L11423" s="1055"/>
      <c r="M11423" s="1205"/>
      <c r="N11423" s="1054"/>
      <c r="O11423" s="1207"/>
      <c r="Q11423" s="1207"/>
    </row>
    <row r="11424" spans="3:17" s="700" customFormat="1" ht="70.5" hidden="1" customHeight="1">
      <c r="C11424" s="701"/>
      <c r="D11424" s="811"/>
      <c r="E11424" s="1276">
        <f>[11]building!Y11755</f>
        <v>0</v>
      </c>
      <c r="F11424" s="748">
        <f t="shared" si="417"/>
        <v>0</v>
      </c>
      <c r="G11424" s="1205"/>
      <c r="H11424" s="1055"/>
      <c r="I11424" s="1055"/>
      <c r="J11424" s="1055"/>
      <c r="K11424" s="1205"/>
      <c r="L11424" s="1055"/>
      <c r="M11424" s="1205"/>
      <c r="N11424" s="1054"/>
      <c r="O11424" s="1207"/>
      <c r="Q11424" s="1207"/>
    </row>
    <row r="11425" spans="3:17" s="700" customFormat="1" ht="70.5" hidden="1" customHeight="1">
      <c r="C11425" s="701"/>
      <c r="D11425" s="811"/>
      <c r="E11425" s="1276">
        <f>[11]building!Y11756</f>
        <v>0</v>
      </c>
      <c r="F11425" s="748">
        <f t="shared" si="417"/>
        <v>0</v>
      </c>
      <c r="G11425" s="1205"/>
      <c r="H11425" s="1055"/>
      <c r="I11425" s="1055"/>
      <c r="J11425" s="1055"/>
      <c r="K11425" s="1205"/>
      <c r="L11425" s="1055"/>
      <c r="M11425" s="1205"/>
      <c r="N11425" s="1054"/>
      <c r="O11425" s="1207"/>
      <c r="Q11425" s="1207"/>
    </row>
    <row r="11426" spans="3:17" s="700" customFormat="1" ht="70.5" hidden="1" customHeight="1">
      <c r="C11426" s="701"/>
      <c r="D11426" s="811"/>
      <c r="E11426" s="1276">
        <f>[11]building!Y11757</f>
        <v>0</v>
      </c>
      <c r="F11426" s="748">
        <f t="shared" si="417"/>
        <v>0</v>
      </c>
      <c r="G11426" s="1205"/>
      <c r="H11426" s="1055"/>
      <c r="I11426" s="1055"/>
      <c r="J11426" s="1055"/>
      <c r="K11426" s="1205"/>
      <c r="L11426" s="1055"/>
      <c r="M11426" s="1205"/>
      <c r="N11426" s="1054"/>
      <c r="O11426" s="1207"/>
      <c r="Q11426" s="1207"/>
    </row>
    <row r="11427" spans="3:17" s="700" customFormat="1" ht="70.5" hidden="1" customHeight="1">
      <c r="C11427" s="701"/>
      <c r="D11427" s="811"/>
      <c r="E11427" s="1276">
        <f>[11]building!Y11758</f>
        <v>0</v>
      </c>
      <c r="F11427" s="748">
        <f t="shared" si="417"/>
        <v>0</v>
      </c>
      <c r="G11427" s="1205"/>
      <c r="H11427" s="1055"/>
      <c r="I11427" s="1055"/>
      <c r="J11427" s="1055"/>
      <c r="K11427" s="1205"/>
      <c r="L11427" s="1055"/>
      <c r="M11427" s="1205"/>
      <c r="N11427" s="1054"/>
      <c r="O11427" s="1207"/>
      <c r="Q11427" s="1207"/>
    </row>
    <row r="11428" spans="3:17" s="700" customFormat="1" ht="70.5" hidden="1" customHeight="1">
      <c r="C11428" s="701"/>
      <c r="D11428" s="811"/>
      <c r="E11428" s="1276">
        <f>[11]building!Y11759</f>
        <v>0</v>
      </c>
      <c r="F11428" s="748">
        <f t="shared" si="417"/>
        <v>0</v>
      </c>
      <c r="G11428" s="1205"/>
      <c r="H11428" s="1055"/>
      <c r="I11428" s="1055"/>
      <c r="J11428" s="1055"/>
      <c r="K11428" s="1205"/>
      <c r="L11428" s="1055"/>
      <c r="M11428" s="1205"/>
      <c r="N11428" s="1054"/>
      <c r="O11428" s="1207"/>
      <c r="Q11428" s="1207"/>
    </row>
    <row r="11429" spans="3:17" s="700" customFormat="1" ht="70.5" hidden="1" customHeight="1">
      <c r="C11429" s="701"/>
      <c r="D11429" s="811"/>
      <c r="E11429" s="1276">
        <f>[11]building!Y11760</f>
        <v>0</v>
      </c>
      <c r="F11429" s="748">
        <f t="shared" si="417"/>
        <v>0</v>
      </c>
      <c r="G11429" s="1205"/>
      <c r="H11429" s="1055"/>
      <c r="I11429" s="1055"/>
      <c r="J11429" s="1055"/>
      <c r="K11429" s="1205"/>
      <c r="L11429" s="1055"/>
      <c r="M11429" s="1205"/>
      <c r="N11429" s="1054"/>
      <c r="O11429" s="1207"/>
      <c r="Q11429" s="1207"/>
    </row>
    <row r="11430" spans="3:17" s="700" customFormat="1" ht="70.5" hidden="1" customHeight="1">
      <c r="C11430" s="701"/>
      <c r="D11430" s="811"/>
      <c r="E11430" s="1276">
        <f>[11]building!Y11761</f>
        <v>0</v>
      </c>
      <c r="F11430" s="748">
        <f t="shared" si="417"/>
        <v>0</v>
      </c>
      <c r="G11430" s="1205"/>
      <c r="H11430" s="1055"/>
      <c r="I11430" s="1055"/>
      <c r="J11430" s="1055"/>
      <c r="K11430" s="1205"/>
      <c r="L11430" s="1055"/>
      <c r="M11430" s="1205"/>
      <c r="N11430" s="1054"/>
      <c r="O11430" s="1207"/>
      <c r="Q11430" s="1207"/>
    </row>
    <row r="11431" spans="3:17" s="700" customFormat="1" ht="70.5" hidden="1" customHeight="1">
      <c r="C11431" s="701"/>
      <c r="D11431" s="811"/>
      <c r="E11431" s="1276">
        <f>[11]building!Y11762</f>
        <v>0</v>
      </c>
      <c r="F11431" s="748">
        <f t="shared" si="417"/>
        <v>0</v>
      </c>
      <c r="G11431" s="1205"/>
      <c r="H11431" s="1055"/>
      <c r="I11431" s="1055"/>
      <c r="J11431" s="1055"/>
      <c r="K11431" s="1205"/>
      <c r="L11431" s="1055"/>
      <c r="M11431" s="1205"/>
      <c r="N11431" s="1054"/>
      <c r="O11431" s="1207"/>
      <c r="Q11431" s="1207"/>
    </row>
    <row r="11432" spans="3:17" s="700" customFormat="1" ht="70.5" hidden="1" customHeight="1">
      <c r="C11432" s="701"/>
      <c r="D11432" s="811"/>
      <c r="E11432" s="1276">
        <f>[11]building!Y11763</f>
        <v>0</v>
      </c>
      <c r="F11432" s="748">
        <f t="shared" si="417"/>
        <v>0</v>
      </c>
      <c r="G11432" s="1205"/>
      <c r="H11432" s="1055"/>
      <c r="I11432" s="1055"/>
      <c r="J11432" s="1055"/>
      <c r="K11432" s="1205"/>
      <c r="L11432" s="1055"/>
      <c r="M11432" s="1205"/>
      <c r="N11432" s="1054"/>
      <c r="O11432" s="1207"/>
      <c r="Q11432" s="1207"/>
    </row>
    <row r="11433" spans="3:17" s="700" customFormat="1" ht="70.5" hidden="1" customHeight="1">
      <c r="C11433" s="701"/>
      <c r="D11433" s="811"/>
      <c r="E11433" s="1276">
        <f>[11]building!Y11764</f>
        <v>0</v>
      </c>
      <c r="F11433" s="748">
        <f t="shared" si="417"/>
        <v>0</v>
      </c>
      <c r="G11433" s="1205"/>
      <c r="H11433" s="1055"/>
      <c r="I11433" s="1055"/>
      <c r="J11433" s="1055"/>
      <c r="K11433" s="1205"/>
      <c r="L11433" s="1055"/>
      <c r="M11433" s="1205"/>
      <c r="N11433" s="1054"/>
      <c r="O11433" s="1207"/>
      <c r="Q11433" s="1207"/>
    </row>
    <row r="11434" spans="3:17" s="700" customFormat="1" ht="70.5" hidden="1" customHeight="1">
      <c r="C11434" s="701"/>
      <c r="D11434" s="811"/>
      <c r="E11434" s="1276">
        <f>[11]building!Y11765</f>
        <v>0</v>
      </c>
      <c r="F11434" s="748">
        <f t="shared" si="417"/>
        <v>0</v>
      </c>
      <c r="G11434" s="1205"/>
      <c r="H11434" s="1055"/>
      <c r="I11434" s="1055"/>
      <c r="J11434" s="1055"/>
      <c r="K11434" s="1205"/>
      <c r="L11434" s="1055"/>
      <c r="M11434" s="1205"/>
      <c r="N11434" s="1054"/>
      <c r="O11434" s="1207"/>
      <c r="Q11434" s="1207"/>
    </row>
    <row r="11435" spans="3:17" s="700" customFormat="1" ht="70.5" hidden="1" customHeight="1">
      <c r="C11435" s="701"/>
      <c r="D11435" s="811"/>
      <c r="E11435" s="1276">
        <f>[11]building!Y11766</f>
        <v>0</v>
      </c>
      <c r="F11435" s="748">
        <f t="shared" si="417"/>
        <v>0</v>
      </c>
      <c r="G11435" s="1205"/>
      <c r="H11435" s="1055"/>
      <c r="I11435" s="1055"/>
      <c r="J11435" s="1055"/>
      <c r="K11435" s="1205"/>
      <c r="L11435" s="1055"/>
      <c r="M11435" s="1205"/>
      <c r="N11435" s="1054"/>
      <c r="O11435" s="1207"/>
      <c r="Q11435" s="1207"/>
    </row>
    <row r="11436" spans="3:17" s="700" customFormat="1" ht="70.5" hidden="1" customHeight="1">
      <c r="C11436" s="701"/>
      <c r="D11436" s="811"/>
      <c r="E11436" s="1276">
        <f>[11]building!Y11767</f>
        <v>0</v>
      </c>
      <c r="F11436" s="748">
        <f t="shared" si="417"/>
        <v>0</v>
      </c>
      <c r="G11436" s="1205"/>
      <c r="H11436" s="1055"/>
      <c r="I11436" s="1055"/>
      <c r="J11436" s="1055"/>
      <c r="K11436" s="1205"/>
      <c r="L11436" s="1055"/>
      <c r="M11436" s="1205"/>
      <c r="N11436" s="1054"/>
      <c r="O11436" s="1207"/>
      <c r="Q11436" s="1207"/>
    </row>
    <row r="11437" spans="3:17" s="700" customFormat="1" ht="70.5" hidden="1" customHeight="1">
      <c r="C11437" s="701"/>
      <c r="D11437" s="811"/>
      <c r="E11437" s="1276">
        <f>[11]building!Y11768</f>
        <v>0</v>
      </c>
      <c r="F11437" s="748">
        <f t="shared" si="417"/>
        <v>0</v>
      </c>
      <c r="G11437" s="1205"/>
      <c r="H11437" s="1055"/>
      <c r="I11437" s="1055"/>
      <c r="J11437" s="1055"/>
      <c r="K11437" s="1205"/>
      <c r="L11437" s="1055"/>
      <c r="M11437" s="1205"/>
      <c r="N11437" s="1054"/>
      <c r="O11437" s="1207"/>
      <c r="Q11437" s="1207"/>
    </row>
    <row r="11438" spans="3:17" s="700" customFormat="1" ht="70.5" hidden="1" customHeight="1">
      <c r="C11438" s="701"/>
      <c r="D11438" s="811"/>
      <c r="E11438" s="1276">
        <f>[11]building!Y11769</f>
        <v>0</v>
      </c>
      <c r="F11438" s="748">
        <f t="shared" si="417"/>
        <v>0</v>
      </c>
      <c r="G11438" s="1205"/>
      <c r="H11438" s="1055"/>
      <c r="I11438" s="1055"/>
      <c r="J11438" s="1055"/>
      <c r="K11438" s="1205"/>
      <c r="L11438" s="1055"/>
      <c r="M11438" s="1205"/>
      <c r="N11438" s="1054"/>
      <c r="O11438" s="1207"/>
      <c r="Q11438" s="1207"/>
    </row>
    <row r="11439" spans="3:17" s="700" customFormat="1" ht="70.5" hidden="1" customHeight="1">
      <c r="C11439" s="701"/>
      <c r="D11439" s="811"/>
      <c r="E11439" s="1276">
        <f>[11]building!Y11770</f>
        <v>0</v>
      </c>
      <c r="F11439" s="748">
        <f t="shared" si="417"/>
        <v>0</v>
      </c>
      <c r="G11439" s="1205"/>
      <c r="H11439" s="1055"/>
      <c r="I11439" s="1055"/>
      <c r="J11439" s="1055"/>
      <c r="K11439" s="1205"/>
      <c r="L11439" s="1055"/>
      <c r="M11439" s="1205"/>
      <c r="N11439" s="1054"/>
      <c r="O11439" s="1207"/>
      <c r="Q11439" s="1207"/>
    </row>
    <row r="11440" spans="3:17" s="700" customFormat="1" ht="70.5" hidden="1" customHeight="1">
      <c r="C11440" s="701"/>
      <c r="D11440" s="811"/>
      <c r="E11440" s="1276">
        <f>[11]building!Y11771</f>
        <v>0</v>
      </c>
      <c r="F11440" s="748">
        <f t="shared" si="417"/>
        <v>0</v>
      </c>
      <c r="G11440" s="1205"/>
      <c r="H11440" s="1055"/>
      <c r="I11440" s="1055"/>
      <c r="J11440" s="1055"/>
      <c r="K11440" s="1205"/>
      <c r="L11440" s="1055"/>
      <c r="M11440" s="1205"/>
      <c r="N11440" s="1054"/>
      <c r="O11440" s="1207"/>
      <c r="Q11440" s="1207"/>
    </row>
    <row r="11441" spans="3:17" s="700" customFormat="1" ht="70.5" hidden="1" customHeight="1">
      <c r="C11441" s="701"/>
      <c r="D11441" s="811"/>
      <c r="E11441" s="1276">
        <f>[11]building!Y11772</f>
        <v>0</v>
      </c>
      <c r="F11441" s="748">
        <f t="shared" si="417"/>
        <v>0</v>
      </c>
      <c r="G11441" s="1205"/>
      <c r="H11441" s="1055"/>
      <c r="I11441" s="1055"/>
      <c r="J11441" s="1055"/>
      <c r="K11441" s="1205"/>
      <c r="L11441" s="1055"/>
      <c r="M11441" s="1205"/>
      <c r="N11441" s="1054"/>
      <c r="O11441" s="1207"/>
      <c r="Q11441" s="1207"/>
    </row>
    <row r="11442" spans="3:17" s="700" customFormat="1" ht="70.5" hidden="1" customHeight="1">
      <c r="C11442" s="701"/>
      <c r="D11442" s="811"/>
      <c r="E11442" s="1276">
        <f>[11]building!Y11773</f>
        <v>0</v>
      </c>
      <c r="F11442" s="748">
        <f t="shared" si="417"/>
        <v>0</v>
      </c>
      <c r="G11442" s="1205"/>
      <c r="H11442" s="1055"/>
      <c r="I11442" s="1055"/>
      <c r="J11442" s="1055"/>
      <c r="K11442" s="1205"/>
      <c r="L11442" s="1055"/>
      <c r="M11442" s="1205"/>
      <c r="N11442" s="1054"/>
      <c r="O11442" s="1207"/>
      <c r="Q11442" s="1207"/>
    </row>
    <row r="11443" spans="3:17" s="700" customFormat="1" ht="70.5" hidden="1" customHeight="1">
      <c r="C11443" s="701"/>
      <c r="D11443" s="811"/>
      <c r="E11443" s="1276">
        <f>[11]building!Y11774</f>
        <v>0</v>
      </c>
      <c r="F11443" s="748">
        <f t="shared" si="417"/>
        <v>0</v>
      </c>
      <c r="G11443" s="1205"/>
      <c r="H11443" s="1055"/>
      <c r="I11443" s="1055"/>
      <c r="J11443" s="1055"/>
      <c r="K11443" s="1205"/>
      <c r="L11443" s="1055"/>
      <c r="M11443" s="1205"/>
      <c r="N11443" s="1054"/>
      <c r="O11443" s="1207"/>
      <c r="Q11443" s="1207"/>
    </row>
    <row r="11444" spans="3:17" s="700" customFormat="1" ht="70.5" hidden="1" customHeight="1">
      <c r="C11444" s="701"/>
      <c r="D11444" s="811"/>
      <c r="E11444" s="1276">
        <f>[11]building!Y11775</f>
        <v>0</v>
      </c>
      <c r="F11444" s="748">
        <f t="shared" si="417"/>
        <v>0</v>
      </c>
      <c r="G11444" s="1205"/>
      <c r="H11444" s="1055"/>
      <c r="I11444" s="1055"/>
      <c r="J11444" s="1055"/>
      <c r="K11444" s="1205"/>
      <c r="L11444" s="1055"/>
      <c r="M11444" s="1205"/>
      <c r="N11444" s="1054"/>
      <c r="O11444" s="1207"/>
      <c r="Q11444" s="1207"/>
    </row>
    <row r="11445" spans="3:17" s="700" customFormat="1" ht="70.5" hidden="1" customHeight="1">
      <c r="C11445" s="701"/>
      <c r="D11445" s="811"/>
      <c r="E11445" s="1276">
        <f>[11]building!Y11776</f>
        <v>0</v>
      </c>
      <c r="F11445" s="748">
        <f t="shared" si="417"/>
        <v>0</v>
      </c>
      <c r="G11445" s="1205"/>
      <c r="H11445" s="1055"/>
      <c r="I11445" s="1055"/>
      <c r="J11445" s="1055"/>
      <c r="K11445" s="1205"/>
      <c r="L11445" s="1055"/>
      <c r="M11445" s="1205"/>
      <c r="N11445" s="1054"/>
      <c r="O11445" s="1207"/>
      <c r="Q11445" s="1207"/>
    </row>
    <row r="11446" spans="3:17" s="700" customFormat="1" ht="70.5" hidden="1" customHeight="1">
      <c r="C11446" s="701"/>
      <c r="D11446" s="811"/>
      <c r="E11446" s="1276">
        <f>[11]building!Y11777</f>
        <v>0</v>
      </c>
      <c r="F11446" s="748">
        <f t="shared" si="417"/>
        <v>0</v>
      </c>
      <c r="G11446" s="1205"/>
      <c r="H11446" s="1055"/>
      <c r="I11446" s="1055"/>
      <c r="J11446" s="1055"/>
      <c r="K11446" s="1205"/>
      <c r="L11446" s="1055"/>
      <c r="M11446" s="1205"/>
      <c r="N11446" s="1054"/>
      <c r="O11446" s="1207"/>
      <c r="Q11446" s="1207"/>
    </row>
    <row r="11447" spans="3:17" s="700" customFormat="1" ht="70.5" hidden="1" customHeight="1">
      <c r="C11447" s="701"/>
      <c r="D11447" s="811"/>
      <c r="E11447" s="1276">
        <f>[11]building!Y11778</f>
        <v>0</v>
      </c>
      <c r="F11447" s="748">
        <f t="shared" si="417"/>
        <v>0</v>
      </c>
      <c r="G11447" s="1205"/>
      <c r="H11447" s="1055"/>
      <c r="I11447" s="1055"/>
      <c r="J11447" s="1055"/>
      <c r="K11447" s="1205"/>
      <c r="L11447" s="1055"/>
      <c r="M11447" s="1205"/>
      <c r="N11447" s="1054"/>
      <c r="O11447" s="1207"/>
      <c r="Q11447" s="1207"/>
    </row>
    <row r="11448" spans="3:17" s="700" customFormat="1" ht="70.5" hidden="1" customHeight="1">
      <c r="C11448" s="701"/>
      <c r="D11448" s="811"/>
      <c r="E11448" s="1276">
        <f>[11]building!Y11779</f>
        <v>0</v>
      </c>
      <c r="F11448" s="748">
        <f t="shared" si="417"/>
        <v>0</v>
      </c>
      <c r="G11448" s="1205"/>
      <c r="H11448" s="1055"/>
      <c r="I11448" s="1055"/>
      <c r="J11448" s="1055"/>
      <c r="K11448" s="1205"/>
      <c r="L11448" s="1055"/>
      <c r="M11448" s="1205"/>
      <c r="N11448" s="1054"/>
      <c r="O11448" s="1207"/>
      <c r="Q11448" s="1207"/>
    </row>
    <row r="11449" spans="3:17" s="700" customFormat="1" ht="70.5" hidden="1" customHeight="1">
      <c r="C11449" s="701"/>
      <c r="D11449" s="811"/>
      <c r="E11449" s="1276">
        <f>[11]building!Y11780</f>
        <v>0</v>
      </c>
      <c r="F11449" s="748">
        <f t="shared" si="417"/>
        <v>0</v>
      </c>
      <c r="G11449" s="1205"/>
      <c r="H11449" s="1055"/>
      <c r="I11449" s="1055"/>
      <c r="J11449" s="1055"/>
      <c r="K11449" s="1205"/>
      <c r="L11449" s="1055"/>
      <c r="M11449" s="1205"/>
      <c r="N11449" s="1054"/>
      <c r="O11449" s="1207"/>
      <c r="Q11449" s="1207"/>
    </row>
    <row r="11450" spans="3:17" s="700" customFormat="1" ht="70.5" hidden="1" customHeight="1">
      <c r="C11450" s="701"/>
      <c r="D11450" s="811"/>
      <c r="E11450" s="1276">
        <f>[11]building!Y11781</f>
        <v>0</v>
      </c>
      <c r="F11450" s="748">
        <f t="shared" si="417"/>
        <v>0</v>
      </c>
      <c r="G11450" s="1205"/>
      <c r="H11450" s="1055"/>
      <c r="I11450" s="1055"/>
      <c r="J11450" s="1055"/>
      <c r="K11450" s="1205"/>
      <c r="L11450" s="1055"/>
      <c r="M11450" s="1205"/>
      <c r="N11450" s="1054"/>
      <c r="O11450" s="1207"/>
      <c r="Q11450" s="1207"/>
    </row>
    <row r="11451" spans="3:17" s="700" customFormat="1" ht="70.5" hidden="1" customHeight="1">
      <c r="C11451" s="701"/>
      <c r="D11451" s="811"/>
      <c r="E11451" s="1276">
        <f>[11]building!Y11782</f>
        <v>0</v>
      </c>
      <c r="F11451" s="748">
        <f t="shared" si="417"/>
        <v>0</v>
      </c>
      <c r="G11451" s="1205"/>
      <c r="H11451" s="1055"/>
      <c r="I11451" s="1055"/>
      <c r="J11451" s="1055"/>
      <c r="K11451" s="1205"/>
      <c r="L11451" s="1055"/>
      <c r="M11451" s="1205"/>
      <c r="N11451" s="1054"/>
      <c r="O11451" s="1207"/>
      <c r="Q11451" s="1207"/>
    </row>
    <row r="11452" spans="3:17" s="700" customFormat="1" ht="70.5" hidden="1" customHeight="1">
      <c r="C11452" s="701"/>
      <c r="D11452" s="811"/>
      <c r="E11452" s="1276">
        <f>[11]building!Y11783</f>
        <v>0</v>
      </c>
      <c r="F11452" s="748">
        <f t="shared" si="417"/>
        <v>0</v>
      </c>
      <c r="G11452" s="1205"/>
      <c r="H11452" s="1055"/>
      <c r="I11452" s="1055"/>
      <c r="J11452" s="1055"/>
      <c r="K11452" s="1205"/>
      <c r="L11452" s="1055"/>
      <c r="M11452" s="1205"/>
      <c r="N11452" s="1054"/>
      <c r="O11452" s="1207"/>
      <c r="Q11452" s="1207"/>
    </row>
    <row r="11453" spans="3:17" s="700" customFormat="1" ht="70.5" hidden="1" customHeight="1">
      <c r="C11453" s="701"/>
      <c r="D11453" s="811"/>
      <c r="E11453" s="1276">
        <f>[11]building!Y11784</f>
        <v>0</v>
      </c>
      <c r="F11453" s="748">
        <f t="shared" si="417"/>
        <v>0</v>
      </c>
      <c r="G11453" s="1205"/>
      <c r="H11453" s="1055"/>
      <c r="I11453" s="1055"/>
      <c r="J11453" s="1055"/>
      <c r="K11453" s="1205"/>
      <c r="L11453" s="1055"/>
      <c r="M11453" s="1205"/>
      <c r="N11453" s="1054"/>
      <c r="O11453" s="1207"/>
      <c r="Q11453" s="1207"/>
    </row>
    <row r="11454" spans="3:17" s="700" customFormat="1" ht="70.5" hidden="1" customHeight="1">
      <c r="C11454" s="701"/>
      <c r="D11454" s="811"/>
      <c r="E11454" s="1276">
        <f>[11]building!Y11785</f>
        <v>0</v>
      </c>
      <c r="F11454" s="748">
        <f t="shared" si="417"/>
        <v>0</v>
      </c>
      <c r="G11454" s="1205"/>
      <c r="H11454" s="1055"/>
      <c r="I11454" s="1055"/>
      <c r="J11454" s="1055"/>
      <c r="K11454" s="1205"/>
      <c r="L11454" s="1055"/>
      <c r="M11454" s="1205"/>
      <c r="N11454" s="1054"/>
      <c r="O11454" s="1207"/>
      <c r="Q11454" s="1207"/>
    </row>
    <row r="11455" spans="3:17" s="700" customFormat="1" ht="70.5" hidden="1" customHeight="1">
      <c r="C11455" s="701"/>
      <c r="D11455" s="811"/>
      <c r="E11455" s="1276">
        <f>[11]building!Y11786</f>
        <v>0</v>
      </c>
      <c r="F11455" s="748">
        <f t="shared" si="417"/>
        <v>0</v>
      </c>
      <c r="G11455" s="1205"/>
      <c r="H11455" s="1055"/>
      <c r="I11455" s="1055"/>
      <c r="J11455" s="1055"/>
      <c r="K11455" s="1205"/>
      <c r="L11455" s="1055"/>
      <c r="M11455" s="1205"/>
      <c r="N11455" s="1054"/>
      <c r="O11455" s="1207"/>
      <c r="Q11455" s="1207"/>
    </row>
    <row r="11456" spans="3:17" s="700" customFormat="1" ht="70.5" hidden="1" customHeight="1">
      <c r="C11456" s="701"/>
      <c r="D11456" s="811"/>
      <c r="E11456" s="1276">
        <f>[11]building!Y11787</f>
        <v>0</v>
      </c>
      <c r="F11456" s="748">
        <f t="shared" ref="F11456:F11519" si="418">E11456*C11456</f>
        <v>0</v>
      </c>
      <c r="G11456" s="1205"/>
      <c r="H11456" s="1055"/>
      <c r="I11456" s="1055"/>
      <c r="J11456" s="1055"/>
      <c r="K11456" s="1205"/>
      <c r="L11456" s="1055"/>
      <c r="M11456" s="1205"/>
      <c r="N11456" s="1054"/>
      <c r="O11456" s="1207"/>
      <c r="Q11456" s="1207"/>
    </row>
    <row r="11457" spans="3:17" s="700" customFormat="1" ht="70.5" hidden="1" customHeight="1">
      <c r="C11457" s="701"/>
      <c r="D11457" s="811"/>
      <c r="E11457" s="1276">
        <f>[11]building!Y11788</f>
        <v>0</v>
      </c>
      <c r="F11457" s="748">
        <f t="shared" si="418"/>
        <v>0</v>
      </c>
      <c r="G11457" s="1205"/>
      <c r="H11457" s="1055"/>
      <c r="I11457" s="1055"/>
      <c r="J11457" s="1055"/>
      <c r="K11457" s="1205"/>
      <c r="L11457" s="1055"/>
      <c r="M11457" s="1205"/>
      <c r="N11457" s="1054"/>
      <c r="O11457" s="1207"/>
      <c r="Q11457" s="1207"/>
    </row>
    <row r="11458" spans="3:17" s="700" customFormat="1" ht="70.5" hidden="1" customHeight="1">
      <c r="C11458" s="701"/>
      <c r="D11458" s="811"/>
      <c r="E11458" s="1276">
        <f>[11]building!Y11789</f>
        <v>0</v>
      </c>
      <c r="F11458" s="748">
        <f t="shared" si="418"/>
        <v>0</v>
      </c>
      <c r="G11458" s="1205"/>
      <c r="H11458" s="1055"/>
      <c r="I11458" s="1055"/>
      <c r="J11458" s="1055"/>
      <c r="K11458" s="1205"/>
      <c r="L11458" s="1055"/>
      <c r="M11458" s="1205"/>
      <c r="N11458" s="1054"/>
      <c r="O11458" s="1207"/>
      <c r="Q11458" s="1207"/>
    </row>
    <row r="11459" spans="3:17" s="700" customFormat="1" ht="70.5" hidden="1" customHeight="1">
      <c r="C11459" s="701"/>
      <c r="D11459" s="811"/>
      <c r="E11459" s="1276">
        <f>[11]building!Y11790</f>
        <v>0</v>
      </c>
      <c r="F11459" s="748">
        <f t="shared" si="418"/>
        <v>0</v>
      </c>
      <c r="G11459" s="1205"/>
      <c r="H11459" s="1055"/>
      <c r="I11459" s="1055"/>
      <c r="J11459" s="1055"/>
      <c r="K11459" s="1205"/>
      <c r="L11459" s="1055"/>
      <c r="M11459" s="1205"/>
      <c r="N11459" s="1054"/>
      <c r="O11459" s="1207"/>
      <c r="Q11459" s="1207"/>
    </row>
    <row r="11460" spans="3:17" s="700" customFormat="1" ht="70.5" hidden="1" customHeight="1">
      <c r="C11460" s="701"/>
      <c r="D11460" s="811"/>
      <c r="E11460" s="1276">
        <f>[11]building!Y11791</f>
        <v>0</v>
      </c>
      <c r="F11460" s="748">
        <f t="shared" si="418"/>
        <v>0</v>
      </c>
      <c r="G11460" s="1205"/>
      <c r="H11460" s="1055"/>
      <c r="I11460" s="1055"/>
      <c r="J11460" s="1055"/>
      <c r="K11460" s="1205"/>
      <c r="L11460" s="1055"/>
      <c r="M11460" s="1205"/>
      <c r="N11460" s="1054"/>
      <c r="O11460" s="1207"/>
      <c r="Q11460" s="1207"/>
    </row>
    <row r="11461" spans="3:17" s="700" customFormat="1" ht="70.5" hidden="1" customHeight="1">
      <c r="C11461" s="701"/>
      <c r="D11461" s="811"/>
      <c r="E11461" s="1276">
        <f>[11]building!Y11792</f>
        <v>0</v>
      </c>
      <c r="F11461" s="748">
        <f t="shared" si="418"/>
        <v>0</v>
      </c>
      <c r="G11461" s="1205"/>
      <c r="H11461" s="1055"/>
      <c r="I11461" s="1055"/>
      <c r="J11461" s="1055"/>
      <c r="K11461" s="1205"/>
      <c r="L11461" s="1055"/>
      <c r="M11461" s="1205"/>
      <c r="N11461" s="1054"/>
      <c r="O11461" s="1207"/>
      <c r="Q11461" s="1207"/>
    </row>
    <row r="11462" spans="3:17" s="700" customFormat="1" ht="70.5" hidden="1" customHeight="1">
      <c r="C11462" s="701"/>
      <c r="D11462" s="811"/>
      <c r="E11462" s="1276">
        <f>[11]building!Y11793</f>
        <v>0</v>
      </c>
      <c r="F11462" s="748">
        <f t="shared" si="418"/>
        <v>0</v>
      </c>
      <c r="G11462" s="1205"/>
      <c r="H11462" s="1055"/>
      <c r="I11462" s="1055"/>
      <c r="J11462" s="1055"/>
      <c r="K11462" s="1205"/>
      <c r="L11462" s="1055"/>
      <c r="M11462" s="1205"/>
      <c r="N11462" s="1054"/>
      <c r="O11462" s="1207"/>
      <c r="Q11462" s="1207"/>
    </row>
    <row r="11463" spans="3:17" s="700" customFormat="1" ht="70.5" hidden="1" customHeight="1">
      <c r="C11463" s="701"/>
      <c r="D11463" s="811"/>
      <c r="E11463" s="1276">
        <f>[11]building!Y11794</f>
        <v>0</v>
      </c>
      <c r="F11463" s="748">
        <f t="shared" si="418"/>
        <v>0</v>
      </c>
      <c r="G11463" s="1205"/>
      <c r="H11463" s="1055"/>
      <c r="I11463" s="1055"/>
      <c r="J11463" s="1055"/>
      <c r="K11463" s="1205"/>
      <c r="L11463" s="1055"/>
      <c r="M11463" s="1205"/>
      <c r="N11463" s="1054"/>
      <c r="O11463" s="1207"/>
      <c r="Q11463" s="1207"/>
    </row>
    <row r="11464" spans="3:17" s="700" customFormat="1" ht="70.5" hidden="1" customHeight="1">
      <c r="C11464" s="701"/>
      <c r="D11464" s="811"/>
      <c r="E11464" s="1276">
        <f>[11]building!Y11795</f>
        <v>0</v>
      </c>
      <c r="F11464" s="748">
        <f t="shared" si="418"/>
        <v>0</v>
      </c>
      <c r="G11464" s="1205"/>
      <c r="H11464" s="1055"/>
      <c r="I11464" s="1055"/>
      <c r="J11464" s="1055"/>
      <c r="K11464" s="1205"/>
      <c r="L11464" s="1055"/>
      <c r="M11464" s="1205"/>
      <c r="N11464" s="1054"/>
      <c r="O11464" s="1207"/>
      <c r="Q11464" s="1207"/>
    </row>
    <row r="11465" spans="3:17" s="700" customFormat="1" ht="70.5" hidden="1" customHeight="1">
      <c r="C11465" s="701"/>
      <c r="D11465" s="811"/>
      <c r="E11465" s="1276">
        <f>[11]building!Y11796</f>
        <v>0</v>
      </c>
      <c r="F11465" s="748">
        <f t="shared" si="418"/>
        <v>0</v>
      </c>
      <c r="G11465" s="1205"/>
      <c r="H11465" s="1055"/>
      <c r="I11465" s="1055"/>
      <c r="J11465" s="1055"/>
      <c r="K11465" s="1205"/>
      <c r="L11465" s="1055"/>
      <c r="M11465" s="1205"/>
      <c r="N11465" s="1054"/>
      <c r="O11465" s="1207"/>
      <c r="Q11465" s="1207"/>
    </row>
    <row r="11466" spans="3:17" s="700" customFormat="1" ht="70.5" hidden="1" customHeight="1">
      <c r="C11466" s="701"/>
      <c r="D11466" s="811"/>
      <c r="E11466" s="1276">
        <f>[11]building!Y11797</f>
        <v>0</v>
      </c>
      <c r="F11466" s="748">
        <f t="shared" si="418"/>
        <v>0</v>
      </c>
      <c r="G11466" s="1205"/>
      <c r="H11466" s="1055"/>
      <c r="I11466" s="1055"/>
      <c r="J11466" s="1055"/>
      <c r="K11466" s="1205"/>
      <c r="L11466" s="1055"/>
      <c r="M11466" s="1205"/>
      <c r="N11466" s="1054"/>
      <c r="O11466" s="1207"/>
      <c r="Q11466" s="1207"/>
    </row>
    <row r="11467" spans="3:17" s="700" customFormat="1" ht="70.5" hidden="1" customHeight="1">
      <c r="C11467" s="701"/>
      <c r="D11467" s="811"/>
      <c r="E11467" s="1276">
        <f>[11]building!Y11798</f>
        <v>0</v>
      </c>
      <c r="F11467" s="748">
        <f t="shared" si="418"/>
        <v>0</v>
      </c>
      <c r="G11467" s="1205"/>
      <c r="H11467" s="1055"/>
      <c r="I11467" s="1055"/>
      <c r="J11467" s="1055"/>
      <c r="K11467" s="1205"/>
      <c r="L11467" s="1055"/>
      <c r="M11467" s="1205"/>
      <c r="N11467" s="1054"/>
      <c r="O11467" s="1207"/>
      <c r="Q11467" s="1207"/>
    </row>
    <row r="11468" spans="3:17" s="700" customFormat="1" ht="70.5" hidden="1" customHeight="1">
      <c r="C11468" s="701"/>
      <c r="D11468" s="811"/>
      <c r="E11468" s="1276">
        <f>[11]building!Y11799</f>
        <v>0</v>
      </c>
      <c r="F11468" s="748">
        <f t="shared" si="418"/>
        <v>0</v>
      </c>
      <c r="G11468" s="1205"/>
      <c r="H11468" s="1055"/>
      <c r="I11468" s="1055"/>
      <c r="J11468" s="1055"/>
      <c r="K11468" s="1205"/>
      <c r="L11468" s="1055"/>
      <c r="M11468" s="1205"/>
      <c r="N11468" s="1054"/>
      <c r="O11468" s="1207"/>
      <c r="Q11468" s="1207"/>
    </row>
    <row r="11469" spans="3:17" s="700" customFormat="1" ht="70.5" hidden="1" customHeight="1">
      <c r="C11469" s="701"/>
      <c r="D11469" s="811"/>
      <c r="E11469" s="1276">
        <f>[11]building!Y11800</f>
        <v>0</v>
      </c>
      <c r="F11469" s="748">
        <f t="shared" si="418"/>
        <v>0</v>
      </c>
      <c r="G11469" s="1205"/>
      <c r="H11469" s="1055"/>
      <c r="I11469" s="1055"/>
      <c r="J11469" s="1055"/>
      <c r="K11469" s="1205"/>
      <c r="L11469" s="1055"/>
      <c r="M11469" s="1205"/>
      <c r="N11469" s="1054"/>
      <c r="O11469" s="1207"/>
      <c r="Q11469" s="1207"/>
    </row>
    <row r="11470" spans="3:17" s="700" customFormat="1" ht="70.5" hidden="1" customHeight="1">
      <c r="C11470" s="701"/>
      <c r="D11470" s="811"/>
      <c r="E11470" s="1276">
        <f>[11]building!Y11801</f>
        <v>0</v>
      </c>
      <c r="F11470" s="748">
        <f t="shared" si="418"/>
        <v>0</v>
      </c>
      <c r="G11470" s="1205"/>
      <c r="H11470" s="1055"/>
      <c r="I11470" s="1055"/>
      <c r="J11470" s="1055"/>
      <c r="K11470" s="1205"/>
      <c r="L11470" s="1055"/>
      <c r="M11470" s="1205"/>
      <c r="N11470" s="1054"/>
      <c r="O11470" s="1207"/>
      <c r="Q11470" s="1207"/>
    </row>
    <row r="11471" spans="3:17" s="700" customFormat="1" ht="70.5" hidden="1" customHeight="1">
      <c r="C11471" s="701"/>
      <c r="D11471" s="811"/>
      <c r="E11471" s="1276">
        <f>[11]building!Y11802</f>
        <v>0</v>
      </c>
      <c r="F11471" s="748">
        <f t="shared" si="418"/>
        <v>0</v>
      </c>
      <c r="G11471" s="1205"/>
      <c r="H11471" s="1055"/>
      <c r="I11471" s="1055"/>
      <c r="J11471" s="1055"/>
      <c r="K11471" s="1205"/>
      <c r="L11471" s="1055"/>
      <c r="M11471" s="1205"/>
      <c r="N11471" s="1054"/>
      <c r="O11471" s="1207"/>
      <c r="Q11471" s="1207"/>
    </row>
    <row r="11472" spans="3:17" s="700" customFormat="1" ht="70.5" hidden="1" customHeight="1">
      <c r="C11472" s="701"/>
      <c r="D11472" s="811"/>
      <c r="E11472" s="1276">
        <f>[11]building!Y11803</f>
        <v>0</v>
      </c>
      <c r="F11472" s="748">
        <f t="shared" si="418"/>
        <v>0</v>
      </c>
      <c r="G11472" s="1205"/>
      <c r="H11472" s="1055"/>
      <c r="I11472" s="1055"/>
      <c r="J11472" s="1055"/>
      <c r="K11472" s="1205"/>
      <c r="L11472" s="1055"/>
      <c r="M11472" s="1205"/>
      <c r="N11472" s="1054"/>
      <c r="O11472" s="1207"/>
      <c r="Q11472" s="1207"/>
    </row>
    <row r="11473" spans="3:17" s="700" customFormat="1" ht="70.5" hidden="1" customHeight="1">
      <c r="C11473" s="701"/>
      <c r="D11473" s="811"/>
      <c r="E11473" s="1276">
        <f>[11]building!Y11804</f>
        <v>0</v>
      </c>
      <c r="F11473" s="748">
        <f t="shared" si="418"/>
        <v>0</v>
      </c>
      <c r="G11473" s="1205"/>
      <c r="H11473" s="1055"/>
      <c r="I11473" s="1055"/>
      <c r="J11473" s="1055"/>
      <c r="K11473" s="1205"/>
      <c r="L11473" s="1055"/>
      <c r="M11473" s="1205"/>
      <c r="N11473" s="1054"/>
      <c r="O11473" s="1207"/>
      <c r="Q11473" s="1207"/>
    </row>
    <row r="11474" spans="3:17" s="700" customFormat="1" ht="70.5" hidden="1" customHeight="1">
      <c r="C11474" s="701"/>
      <c r="D11474" s="811"/>
      <c r="E11474" s="1276">
        <f>[11]building!Y11805</f>
        <v>0</v>
      </c>
      <c r="F11474" s="748">
        <f t="shared" si="418"/>
        <v>0</v>
      </c>
      <c r="G11474" s="1205"/>
      <c r="H11474" s="1055"/>
      <c r="I11474" s="1055"/>
      <c r="J11474" s="1055"/>
      <c r="K11474" s="1205"/>
      <c r="L11474" s="1055"/>
      <c r="M11474" s="1205"/>
      <c r="N11474" s="1054"/>
      <c r="O11474" s="1207"/>
      <c r="Q11474" s="1207"/>
    </row>
    <row r="11475" spans="3:17" s="700" customFormat="1" ht="70.5" hidden="1" customHeight="1">
      <c r="C11475" s="701"/>
      <c r="D11475" s="811"/>
      <c r="E11475" s="1276">
        <f>[11]building!Y11806</f>
        <v>0</v>
      </c>
      <c r="F11475" s="748">
        <f t="shared" si="418"/>
        <v>0</v>
      </c>
      <c r="G11475" s="1205"/>
      <c r="H11475" s="1055"/>
      <c r="I11475" s="1055"/>
      <c r="J11475" s="1055"/>
      <c r="K11475" s="1205"/>
      <c r="L11475" s="1055"/>
      <c r="M11475" s="1205"/>
      <c r="N11475" s="1054"/>
      <c r="O11475" s="1207"/>
      <c r="Q11475" s="1207"/>
    </row>
    <row r="11476" spans="3:17" s="700" customFormat="1" ht="70.5" hidden="1" customHeight="1">
      <c r="C11476" s="701"/>
      <c r="D11476" s="811"/>
      <c r="E11476" s="1276">
        <f>[11]building!Y11807</f>
        <v>0</v>
      </c>
      <c r="F11476" s="748">
        <f t="shared" si="418"/>
        <v>0</v>
      </c>
      <c r="G11476" s="1205"/>
      <c r="H11476" s="1055"/>
      <c r="I11476" s="1055"/>
      <c r="J11476" s="1055"/>
      <c r="K11476" s="1205"/>
      <c r="L11476" s="1055"/>
      <c r="M11476" s="1205"/>
      <c r="N11476" s="1054"/>
      <c r="O11476" s="1207"/>
      <c r="Q11476" s="1207"/>
    </row>
    <row r="11477" spans="3:17" s="700" customFormat="1" ht="70.5" hidden="1" customHeight="1">
      <c r="C11477" s="701"/>
      <c r="D11477" s="811"/>
      <c r="E11477" s="1276">
        <f>[11]building!Y11808</f>
        <v>0</v>
      </c>
      <c r="F11477" s="748">
        <f t="shared" si="418"/>
        <v>0</v>
      </c>
      <c r="G11477" s="1205"/>
      <c r="H11477" s="1055"/>
      <c r="I11477" s="1055"/>
      <c r="J11477" s="1055"/>
      <c r="K11477" s="1205"/>
      <c r="L11477" s="1055"/>
      <c r="M11477" s="1205"/>
      <c r="N11477" s="1054"/>
      <c r="O11477" s="1207"/>
      <c r="Q11477" s="1207"/>
    </row>
    <row r="11478" spans="3:17" s="700" customFormat="1" ht="70.5" hidden="1" customHeight="1">
      <c r="C11478" s="701"/>
      <c r="D11478" s="811"/>
      <c r="E11478" s="1276">
        <f>[11]building!Y11809</f>
        <v>0</v>
      </c>
      <c r="F11478" s="748">
        <f t="shared" si="418"/>
        <v>0</v>
      </c>
      <c r="G11478" s="1205"/>
      <c r="H11478" s="1055"/>
      <c r="I11478" s="1055"/>
      <c r="J11478" s="1055"/>
      <c r="K11478" s="1205"/>
      <c r="L11478" s="1055"/>
      <c r="M11478" s="1205"/>
      <c r="N11478" s="1054"/>
      <c r="O11478" s="1207"/>
      <c r="Q11478" s="1207"/>
    </row>
    <row r="11479" spans="3:17" s="700" customFormat="1" ht="70.5" hidden="1" customHeight="1">
      <c r="C11479" s="701"/>
      <c r="D11479" s="811"/>
      <c r="E11479" s="1276">
        <f>[11]building!Y11810</f>
        <v>0</v>
      </c>
      <c r="F11479" s="748">
        <f t="shared" si="418"/>
        <v>0</v>
      </c>
      <c r="G11479" s="1205"/>
      <c r="H11479" s="1055"/>
      <c r="I11479" s="1055"/>
      <c r="J11479" s="1055"/>
      <c r="K11479" s="1205"/>
      <c r="L11479" s="1055"/>
      <c r="M11479" s="1205"/>
      <c r="N11479" s="1054"/>
      <c r="O11479" s="1207"/>
      <c r="Q11479" s="1207"/>
    </row>
    <row r="11480" spans="3:17" s="700" customFormat="1" ht="70.5" hidden="1" customHeight="1">
      <c r="C11480" s="701"/>
      <c r="D11480" s="811"/>
      <c r="E11480" s="1276">
        <f>[11]building!Y11811</f>
        <v>0</v>
      </c>
      <c r="F11480" s="748">
        <f t="shared" si="418"/>
        <v>0</v>
      </c>
      <c r="G11480" s="1205"/>
      <c r="H11480" s="1055"/>
      <c r="I11480" s="1055"/>
      <c r="J11480" s="1055"/>
      <c r="K11480" s="1205"/>
      <c r="L11480" s="1055"/>
      <c r="M11480" s="1205"/>
      <c r="N11480" s="1054"/>
      <c r="O11480" s="1207"/>
      <c r="Q11480" s="1207"/>
    </row>
    <row r="11481" spans="3:17" s="700" customFormat="1" ht="70.5" hidden="1" customHeight="1">
      <c r="C11481" s="701"/>
      <c r="D11481" s="811"/>
      <c r="E11481" s="1276">
        <f>[11]building!Y11812</f>
        <v>0</v>
      </c>
      <c r="F11481" s="748">
        <f t="shared" si="418"/>
        <v>0</v>
      </c>
      <c r="G11481" s="1205"/>
      <c r="H11481" s="1055"/>
      <c r="I11481" s="1055"/>
      <c r="J11481" s="1055"/>
      <c r="K11481" s="1205"/>
      <c r="L11481" s="1055"/>
      <c r="M11481" s="1205"/>
      <c r="N11481" s="1054"/>
      <c r="O11481" s="1207"/>
      <c r="Q11481" s="1207"/>
    </row>
    <row r="11482" spans="3:17" s="700" customFormat="1" ht="70.5" hidden="1" customHeight="1">
      <c r="C11482" s="701"/>
      <c r="D11482" s="811"/>
      <c r="E11482" s="1276">
        <f>[11]building!Y11813</f>
        <v>0</v>
      </c>
      <c r="F11482" s="748">
        <f t="shared" si="418"/>
        <v>0</v>
      </c>
      <c r="G11482" s="1205"/>
      <c r="H11482" s="1055"/>
      <c r="I11482" s="1055"/>
      <c r="J11482" s="1055"/>
      <c r="K11482" s="1205"/>
      <c r="L11482" s="1055"/>
      <c r="M11482" s="1205"/>
      <c r="N11482" s="1054"/>
      <c r="O11482" s="1207"/>
      <c r="Q11482" s="1207"/>
    </row>
    <row r="11483" spans="3:17" s="700" customFormat="1" ht="70.5" hidden="1" customHeight="1">
      <c r="C11483" s="701"/>
      <c r="D11483" s="811"/>
      <c r="E11483" s="1276">
        <f>[11]building!Y11814</f>
        <v>0</v>
      </c>
      <c r="F11483" s="748">
        <f t="shared" si="418"/>
        <v>0</v>
      </c>
      <c r="G11483" s="1205"/>
      <c r="H11483" s="1055"/>
      <c r="I11483" s="1055"/>
      <c r="J11483" s="1055"/>
      <c r="K11483" s="1205"/>
      <c r="L11483" s="1055"/>
      <c r="M11483" s="1205"/>
      <c r="N11483" s="1054"/>
      <c r="O11483" s="1207"/>
      <c r="Q11483" s="1207"/>
    </row>
    <row r="11484" spans="3:17" s="700" customFormat="1" ht="70.5" hidden="1" customHeight="1">
      <c r="C11484" s="701"/>
      <c r="D11484" s="811"/>
      <c r="E11484" s="1276">
        <f>[11]building!Y11815</f>
        <v>0</v>
      </c>
      <c r="F11484" s="748">
        <f t="shared" si="418"/>
        <v>0</v>
      </c>
      <c r="G11484" s="1205"/>
      <c r="H11484" s="1055"/>
      <c r="I11484" s="1055"/>
      <c r="J11484" s="1055"/>
      <c r="K11484" s="1205"/>
      <c r="L11484" s="1055"/>
      <c r="M11484" s="1205"/>
      <c r="N11484" s="1054"/>
      <c r="O11484" s="1207"/>
      <c r="Q11484" s="1207"/>
    </row>
    <row r="11485" spans="3:17" s="700" customFormat="1" ht="70.5" hidden="1" customHeight="1">
      <c r="C11485" s="701"/>
      <c r="D11485" s="811"/>
      <c r="E11485" s="1276">
        <f>[11]building!Y11816</f>
        <v>0</v>
      </c>
      <c r="F11485" s="748">
        <f t="shared" si="418"/>
        <v>0</v>
      </c>
      <c r="G11485" s="1205"/>
      <c r="H11485" s="1055"/>
      <c r="I11485" s="1055"/>
      <c r="J11485" s="1055"/>
      <c r="K11485" s="1205"/>
      <c r="L11485" s="1055"/>
      <c r="M11485" s="1205"/>
      <c r="N11485" s="1054"/>
      <c r="O11485" s="1207"/>
      <c r="Q11485" s="1207"/>
    </row>
    <row r="11486" spans="3:17" s="700" customFormat="1" ht="70.5" hidden="1" customHeight="1">
      <c r="C11486" s="701"/>
      <c r="D11486" s="811"/>
      <c r="E11486" s="1276">
        <f>[11]building!Y11817</f>
        <v>0</v>
      </c>
      <c r="F11486" s="748">
        <f t="shared" si="418"/>
        <v>0</v>
      </c>
      <c r="G11486" s="1205"/>
      <c r="H11486" s="1055"/>
      <c r="I11486" s="1055"/>
      <c r="J11486" s="1055"/>
      <c r="K11486" s="1205"/>
      <c r="L11486" s="1055"/>
      <c r="M11486" s="1205"/>
      <c r="N11486" s="1054"/>
      <c r="O11486" s="1207"/>
      <c r="Q11486" s="1207"/>
    </row>
    <row r="11487" spans="3:17" s="700" customFormat="1" ht="70.5" hidden="1" customHeight="1">
      <c r="C11487" s="701"/>
      <c r="D11487" s="811"/>
      <c r="E11487" s="1276">
        <f>[11]building!Y11818</f>
        <v>0</v>
      </c>
      <c r="F11487" s="748">
        <f t="shared" si="418"/>
        <v>0</v>
      </c>
      <c r="G11487" s="1205"/>
      <c r="H11487" s="1055"/>
      <c r="I11487" s="1055"/>
      <c r="J11487" s="1055"/>
      <c r="K11487" s="1205"/>
      <c r="L11487" s="1055"/>
      <c r="M11487" s="1205"/>
      <c r="N11487" s="1054"/>
      <c r="O11487" s="1207"/>
      <c r="Q11487" s="1207"/>
    </row>
    <row r="11488" spans="3:17" s="700" customFormat="1" ht="70.5" hidden="1" customHeight="1">
      <c r="C11488" s="701"/>
      <c r="D11488" s="811"/>
      <c r="E11488" s="1276">
        <f>[11]building!Y11819</f>
        <v>0</v>
      </c>
      <c r="F11488" s="748">
        <f t="shared" si="418"/>
        <v>0</v>
      </c>
      <c r="G11488" s="1205"/>
      <c r="H11488" s="1055"/>
      <c r="I11488" s="1055"/>
      <c r="J11488" s="1055"/>
      <c r="K11488" s="1205"/>
      <c r="L11488" s="1055"/>
      <c r="M11488" s="1205"/>
      <c r="N11488" s="1054"/>
      <c r="O11488" s="1207"/>
      <c r="Q11488" s="1207"/>
    </row>
    <row r="11489" spans="3:17" s="700" customFormat="1" ht="70.5" hidden="1" customHeight="1">
      <c r="C11489" s="701"/>
      <c r="D11489" s="811"/>
      <c r="E11489" s="1276">
        <f>[11]building!Y11820</f>
        <v>0</v>
      </c>
      <c r="F11489" s="748">
        <f t="shared" si="418"/>
        <v>0</v>
      </c>
      <c r="G11489" s="1205"/>
      <c r="H11489" s="1055"/>
      <c r="I11489" s="1055"/>
      <c r="J11489" s="1055"/>
      <c r="K11489" s="1205"/>
      <c r="L11489" s="1055"/>
      <c r="M11489" s="1205"/>
      <c r="N11489" s="1054"/>
      <c r="O11489" s="1207"/>
      <c r="Q11489" s="1207"/>
    </row>
    <row r="11490" spans="3:17" s="700" customFormat="1" ht="70.5" hidden="1" customHeight="1">
      <c r="C11490" s="701"/>
      <c r="D11490" s="811"/>
      <c r="E11490" s="1276">
        <f>[11]building!Y11821</f>
        <v>0</v>
      </c>
      <c r="F11490" s="748">
        <f t="shared" si="418"/>
        <v>0</v>
      </c>
      <c r="G11490" s="1205"/>
      <c r="H11490" s="1055"/>
      <c r="I11490" s="1055"/>
      <c r="J11490" s="1055"/>
      <c r="K11490" s="1205"/>
      <c r="L11490" s="1055"/>
      <c r="M11490" s="1205"/>
      <c r="N11490" s="1054"/>
      <c r="O11490" s="1207"/>
      <c r="Q11490" s="1207"/>
    </row>
    <row r="11491" spans="3:17" s="700" customFormat="1" ht="70.5" hidden="1" customHeight="1">
      <c r="C11491" s="701"/>
      <c r="D11491" s="811"/>
      <c r="E11491" s="1276">
        <f>[11]building!Y11822</f>
        <v>0</v>
      </c>
      <c r="F11491" s="748">
        <f t="shared" si="418"/>
        <v>0</v>
      </c>
      <c r="G11491" s="1205"/>
      <c r="H11491" s="1055"/>
      <c r="I11491" s="1055"/>
      <c r="J11491" s="1055"/>
      <c r="K11491" s="1205"/>
      <c r="L11491" s="1055"/>
      <c r="M11491" s="1205"/>
      <c r="N11491" s="1054"/>
      <c r="O11491" s="1207"/>
      <c r="Q11491" s="1207"/>
    </row>
    <row r="11492" spans="3:17" s="700" customFormat="1" ht="70.5" hidden="1" customHeight="1">
      <c r="C11492" s="701"/>
      <c r="D11492" s="811"/>
      <c r="E11492" s="1276">
        <f>[11]building!Y11823</f>
        <v>0</v>
      </c>
      <c r="F11492" s="748">
        <f t="shared" si="418"/>
        <v>0</v>
      </c>
      <c r="G11492" s="1205"/>
      <c r="H11492" s="1055"/>
      <c r="I11492" s="1055"/>
      <c r="J11492" s="1055"/>
      <c r="K11492" s="1205"/>
      <c r="L11492" s="1055"/>
      <c r="M11492" s="1205"/>
      <c r="N11492" s="1054"/>
      <c r="O11492" s="1207"/>
      <c r="Q11492" s="1207"/>
    </row>
    <row r="11493" spans="3:17" s="700" customFormat="1" ht="70.5" hidden="1" customHeight="1">
      <c r="C11493" s="701"/>
      <c r="D11493" s="811"/>
      <c r="E11493" s="1276">
        <f>[11]building!Y11824</f>
        <v>0</v>
      </c>
      <c r="F11493" s="748">
        <f t="shared" si="418"/>
        <v>0</v>
      </c>
      <c r="G11493" s="1205"/>
      <c r="H11493" s="1055"/>
      <c r="I11493" s="1055"/>
      <c r="J11493" s="1055"/>
      <c r="K11493" s="1205"/>
      <c r="L11493" s="1055"/>
      <c r="M11493" s="1205"/>
      <c r="N11493" s="1054"/>
      <c r="O11493" s="1207"/>
      <c r="Q11493" s="1207"/>
    </row>
    <row r="11494" spans="3:17" s="700" customFormat="1" ht="70.5" hidden="1" customHeight="1">
      <c r="C11494" s="701"/>
      <c r="D11494" s="811"/>
      <c r="E11494" s="1276">
        <f>[11]building!Y11825</f>
        <v>0</v>
      </c>
      <c r="F11494" s="748">
        <f t="shared" si="418"/>
        <v>0</v>
      </c>
      <c r="G11494" s="1205"/>
      <c r="H11494" s="1055"/>
      <c r="I11494" s="1055"/>
      <c r="J11494" s="1055"/>
      <c r="K11494" s="1205"/>
      <c r="L11494" s="1055"/>
      <c r="M11494" s="1205"/>
      <c r="N11494" s="1054"/>
      <c r="O11494" s="1207"/>
      <c r="Q11494" s="1207"/>
    </row>
    <row r="11495" spans="3:17" s="700" customFormat="1" ht="70.5" hidden="1" customHeight="1">
      <c r="C11495" s="701"/>
      <c r="D11495" s="811"/>
      <c r="E11495" s="1276">
        <f>[11]building!Y11826</f>
        <v>0</v>
      </c>
      <c r="F11495" s="748">
        <f t="shared" si="418"/>
        <v>0</v>
      </c>
      <c r="G11495" s="1205"/>
      <c r="H11495" s="1055"/>
      <c r="I11495" s="1055"/>
      <c r="J11495" s="1055"/>
      <c r="K11495" s="1205"/>
      <c r="L11495" s="1055"/>
      <c r="M11495" s="1205"/>
      <c r="N11495" s="1054"/>
      <c r="O11495" s="1207"/>
      <c r="Q11495" s="1207"/>
    </row>
    <row r="11496" spans="3:17" s="700" customFormat="1" ht="70.5" hidden="1" customHeight="1">
      <c r="C11496" s="701"/>
      <c r="D11496" s="811"/>
      <c r="E11496" s="1276">
        <f>[11]building!Y11827</f>
        <v>0</v>
      </c>
      <c r="F11496" s="748">
        <f t="shared" si="418"/>
        <v>0</v>
      </c>
      <c r="G11496" s="1205"/>
      <c r="H11496" s="1055"/>
      <c r="I11496" s="1055"/>
      <c r="J11496" s="1055"/>
      <c r="K11496" s="1205"/>
      <c r="L11496" s="1055"/>
      <c r="M11496" s="1205"/>
      <c r="N11496" s="1054"/>
      <c r="O11496" s="1207"/>
      <c r="Q11496" s="1207"/>
    </row>
    <row r="11497" spans="3:17" s="700" customFormat="1" ht="70.5" hidden="1" customHeight="1">
      <c r="C11497" s="701"/>
      <c r="D11497" s="811"/>
      <c r="E11497" s="1276">
        <f>[11]building!Y11828</f>
        <v>0</v>
      </c>
      <c r="F11497" s="748">
        <f t="shared" si="418"/>
        <v>0</v>
      </c>
      <c r="G11497" s="1205"/>
      <c r="H11497" s="1055"/>
      <c r="I11497" s="1055"/>
      <c r="J11497" s="1055"/>
      <c r="K11497" s="1205"/>
      <c r="L11497" s="1055"/>
      <c r="M11497" s="1205"/>
      <c r="N11497" s="1054"/>
      <c r="O11497" s="1207"/>
      <c r="Q11497" s="1207"/>
    </row>
    <row r="11498" spans="3:17" s="700" customFormat="1" ht="70.5" hidden="1" customHeight="1">
      <c r="C11498" s="701"/>
      <c r="D11498" s="811"/>
      <c r="E11498" s="1276">
        <f>[11]building!Y11829</f>
        <v>0</v>
      </c>
      <c r="F11498" s="748">
        <f t="shared" si="418"/>
        <v>0</v>
      </c>
      <c r="G11498" s="1205"/>
      <c r="H11498" s="1055"/>
      <c r="I11498" s="1055"/>
      <c r="J11498" s="1055"/>
      <c r="K11498" s="1205"/>
      <c r="L11498" s="1055"/>
      <c r="M11498" s="1205"/>
      <c r="N11498" s="1054"/>
      <c r="O11498" s="1207"/>
      <c r="Q11498" s="1207"/>
    </row>
    <row r="11499" spans="3:17" s="700" customFormat="1" ht="70.5" hidden="1" customHeight="1">
      <c r="C11499" s="701"/>
      <c r="D11499" s="811"/>
      <c r="E11499" s="1276">
        <f>[11]building!Y11830</f>
        <v>0</v>
      </c>
      <c r="F11499" s="748">
        <f t="shared" si="418"/>
        <v>0</v>
      </c>
      <c r="G11499" s="1205"/>
      <c r="H11499" s="1055"/>
      <c r="I11499" s="1055"/>
      <c r="J11499" s="1055"/>
      <c r="K11499" s="1205"/>
      <c r="L11499" s="1055"/>
      <c r="M11499" s="1205"/>
      <c r="N11499" s="1054"/>
      <c r="O11499" s="1207"/>
      <c r="Q11499" s="1207"/>
    </row>
    <row r="11500" spans="3:17" s="700" customFormat="1" ht="70.5" hidden="1" customHeight="1">
      <c r="C11500" s="701"/>
      <c r="D11500" s="811"/>
      <c r="E11500" s="1276">
        <f>[11]building!Y11831</f>
        <v>0</v>
      </c>
      <c r="F11500" s="748">
        <f t="shared" si="418"/>
        <v>0</v>
      </c>
      <c r="G11500" s="1205"/>
      <c r="H11500" s="1055"/>
      <c r="I11500" s="1055"/>
      <c r="J11500" s="1055"/>
      <c r="K11500" s="1205"/>
      <c r="L11500" s="1055"/>
      <c r="M11500" s="1205"/>
      <c r="N11500" s="1054"/>
      <c r="O11500" s="1207"/>
      <c r="Q11500" s="1207"/>
    </row>
    <row r="11501" spans="3:17" s="700" customFormat="1" ht="70.5" hidden="1" customHeight="1">
      <c r="C11501" s="701"/>
      <c r="D11501" s="811"/>
      <c r="E11501" s="1276">
        <f>[11]building!Y11832</f>
        <v>0</v>
      </c>
      <c r="F11501" s="748">
        <f t="shared" si="418"/>
        <v>0</v>
      </c>
      <c r="G11501" s="1205"/>
      <c r="H11501" s="1055"/>
      <c r="I11501" s="1055"/>
      <c r="J11501" s="1055"/>
      <c r="K11501" s="1205"/>
      <c r="L11501" s="1055"/>
      <c r="M11501" s="1205"/>
      <c r="N11501" s="1054"/>
      <c r="O11501" s="1207"/>
      <c r="Q11501" s="1207"/>
    </row>
    <row r="11502" spans="3:17" s="700" customFormat="1" ht="70.5" hidden="1" customHeight="1">
      <c r="C11502" s="701"/>
      <c r="D11502" s="811"/>
      <c r="E11502" s="1276">
        <f>[11]building!Y11833</f>
        <v>0</v>
      </c>
      <c r="F11502" s="748">
        <f t="shared" si="418"/>
        <v>0</v>
      </c>
      <c r="G11502" s="1205"/>
      <c r="H11502" s="1055"/>
      <c r="I11502" s="1055"/>
      <c r="J11502" s="1055"/>
      <c r="K11502" s="1205"/>
      <c r="L11502" s="1055"/>
      <c r="M11502" s="1205"/>
      <c r="N11502" s="1054"/>
      <c r="O11502" s="1207"/>
      <c r="Q11502" s="1207"/>
    </row>
    <row r="11503" spans="3:17" s="700" customFormat="1" ht="70.5" hidden="1" customHeight="1">
      <c r="C11503" s="701"/>
      <c r="D11503" s="811"/>
      <c r="E11503" s="1276">
        <f>[11]building!Y11834</f>
        <v>0</v>
      </c>
      <c r="F11503" s="748">
        <f t="shared" si="418"/>
        <v>0</v>
      </c>
      <c r="G11503" s="1205"/>
      <c r="H11503" s="1055"/>
      <c r="I11503" s="1055"/>
      <c r="J11503" s="1055"/>
      <c r="K11503" s="1205"/>
      <c r="L11503" s="1055"/>
      <c r="M11503" s="1205"/>
      <c r="N11503" s="1054"/>
      <c r="O11503" s="1207"/>
      <c r="Q11503" s="1207"/>
    </row>
    <row r="11504" spans="3:17" s="700" customFormat="1" ht="70.5" hidden="1" customHeight="1">
      <c r="C11504" s="701"/>
      <c r="D11504" s="811"/>
      <c r="E11504" s="1276">
        <f>[11]building!Y11835</f>
        <v>0</v>
      </c>
      <c r="F11504" s="748">
        <f t="shared" si="418"/>
        <v>0</v>
      </c>
      <c r="G11504" s="1205"/>
      <c r="H11504" s="1055"/>
      <c r="I11504" s="1055"/>
      <c r="J11504" s="1055"/>
      <c r="K11504" s="1205"/>
      <c r="L11504" s="1055"/>
      <c r="M11504" s="1205"/>
      <c r="N11504" s="1054"/>
      <c r="O11504" s="1207"/>
      <c r="Q11504" s="1207"/>
    </row>
    <row r="11505" spans="3:17" s="700" customFormat="1" ht="70.5" hidden="1" customHeight="1">
      <c r="C11505" s="701"/>
      <c r="D11505" s="811"/>
      <c r="E11505" s="1276">
        <f>[11]building!Y11836</f>
        <v>0</v>
      </c>
      <c r="F11505" s="748">
        <f t="shared" si="418"/>
        <v>0</v>
      </c>
      <c r="G11505" s="1205"/>
      <c r="H11505" s="1055"/>
      <c r="I11505" s="1055"/>
      <c r="J11505" s="1055"/>
      <c r="K11505" s="1205"/>
      <c r="L11505" s="1055"/>
      <c r="M11505" s="1205"/>
      <c r="N11505" s="1054"/>
      <c r="O11505" s="1207"/>
      <c r="Q11505" s="1207"/>
    </row>
    <row r="11506" spans="3:17" s="700" customFormat="1" ht="70.5" hidden="1" customHeight="1">
      <c r="C11506" s="701"/>
      <c r="D11506" s="811"/>
      <c r="E11506" s="1276">
        <f>[11]building!Y11837</f>
        <v>0</v>
      </c>
      <c r="F11506" s="748">
        <f t="shared" si="418"/>
        <v>0</v>
      </c>
      <c r="G11506" s="1205"/>
      <c r="H11506" s="1055"/>
      <c r="I11506" s="1055"/>
      <c r="J11506" s="1055"/>
      <c r="K11506" s="1205"/>
      <c r="L11506" s="1055"/>
      <c r="M11506" s="1205"/>
      <c r="N11506" s="1054"/>
      <c r="O11506" s="1207"/>
      <c r="Q11506" s="1207"/>
    </row>
    <row r="11507" spans="3:17" s="700" customFormat="1" ht="70.5" hidden="1" customHeight="1">
      <c r="C11507" s="701"/>
      <c r="D11507" s="811"/>
      <c r="E11507" s="1276">
        <f>[11]building!Y11838</f>
        <v>0</v>
      </c>
      <c r="F11507" s="748">
        <f t="shared" si="418"/>
        <v>0</v>
      </c>
      <c r="G11507" s="1205"/>
      <c r="H11507" s="1055"/>
      <c r="I11507" s="1055"/>
      <c r="J11507" s="1055"/>
      <c r="K11507" s="1205"/>
      <c r="L11507" s="1055"/>
      <c r="M11507" s="1205"/>
      <c r="N11507" s="1054"/>
      <c r="O11507" s="1207"/>
      <c r="Q11507" s="1207"/>
    </row>
    <row r="11508" spans="3:17" s="700" customFormat="1" ht="70.5" hidden="1" customHeight="1">
      <c r="C11508" s="701"/>
      <c r="D11508" s="811"/>
      <c r="E11508" s="1276">
        <f>[11]building!Y11839</f>
        <v>0</v>
      </c>
      <c r="F11508" s="748">
        <f t="shared" si="418"/>
        <v>0</v>
      </c>
      <c r="G11508" s="1205"/>
      <c r="H11508" s="1055"/>
      <c r="I11508" s="1055"/>
      <c r="J11508" s="1055"/>
      <c r="K11508" s="1205"/>
      <c r="L11508" s="1055"/>
      <c r="M11508" s="1205"/>
      <c r="N11508" s="1054"/>
      <c r="O11508" s="1207"/>
      <c r="Q11508" s="1207"/>
    </row>
    <row r="11509" spans="3:17" s="700" customFormat="1" ht="70.5" hidden="1" customHeight="1">
      <c r="C11509" s="701"/>
      <c r="D11509" s="811"/>
      <c r="E11509" s="1276">
        <f>[11]building!Y11840</f>
        <v>0</v>
      </c>
      <c r="F11509" s="748">
        <f t="shared" si="418"/>
        <v>0</v>
      </c>
      <c r="G11509" s="1205"/>
      <c r="H11509" s="1055"/>
      <c r="I11509" s="1055"/>
      <c r="J11509" s="1055"/>
      <c r="K11509" s="1205"/>
      <c r="L11509" s="1055"/>
      <c r="M11509" s="1205"/>
      <c r="N11509" s="1054"/>
      <c r="O11509" s="1207"/>
      <c r="Q11509" s="1207"/>
    </row>
    <row r="11510" spans="3:17" s="700" customFormat="1" ht="70.5" hidden="1" customHeight="1">
      <c r="C11510" s="701"/>
      <c r="D11510" s="811"/>
      <c r="E11510" s="1276">
        <f>[11]building!Y11841</f>
        <v>0</v>
      </c>
      <c r="F11510" s="748">
        <f t="shared" si="418"/>
        <v>0</v>
      </c>
      <c r="G11510" s="1205"/>
      <c r="H11510" s="1055"/>
      <c r="I11510" s="1055"/>
      <c r="J11510" s="1055"/>
      <c r="K11510" s="1205"/>
      <c r="L11510" s="1055"/>
      <c r="M11510" s="1205"/>
      <c r="N11510" s="1054"/>
      <c r="O11510" s="1207"/>
      <c r="Q11510" s="1207"/>
    </row>
    <row r="11511" spans="3:17" s="700" customFormat="1" ht="70.5" hidden="1" customHeight="1">
      <c r="C11511" s="701"/>
      <c r="D11511" s="811"/>
      <c r="E11511" s="1276">
        <f>[11]building!Y11842</f>
        <v>0</v>
      </c>
      <c r="F11511" s="748">
        <f t="shared" si="418"/>
        <v>0</v>
      </c>
      <c r="G11511" s="1205"/>
      <c r="H11511" s="1055"/>
      <c r="I11511" s="1055"/>
      <c r="J11511" s="1055"/>
      <c r="K11511" s="1205"/>
      <c r="L11511" s="1055"/>
      <c r="M11511" s="1205"/>
      <c r="N11511" s="1054"/>
      <c r="O11511" s="1207"/>
      <c r="Q11511" s="1207"/>
    </row>
    <row r="11512" spans="3:17" s="700" customFormat="1" ht="70.5" hidden="1" customHeight="1">
      <c r="C11512" s="701"/>
      <c r="D11512" s="811"/>
      <c r="E11512" s="1276">
        <f>[11]building!Y11843</f>
        <v>0</v>
      </c>
      <c r="F11512" s="748">
        <f t="shared" si="418"/>
        <v>0</v>
      </c>
      <c r="G11512" s="1205"/>
      <c r="H11512" s="1055"/>
      <c r="I11512" s="1055"/>
      <c r="J11512" s="1055"/>
      <c r="K11512" s="1205"/>
      <c r="L11512" s="1055"/>
      <c r="M11512" s="1205"/>
      <c r="N11512" s="1054"/>
      <c r="O11512" s="1207"/>
      <c r="Q11512" s="1207"/>
    </row>
    <row r="11513" spans="3:17" s="700" customFormat="1" ht="70.5" hidden="1" customHeight="1">
      <c r="C11513" s="701"/>
      <c r="D11513" s="811"/>
      <c r="E11513" s="1276">
        <f>[11]building!Y11844</f>
        <v>0</v>
      </c>
      <c r="F11513" s="748">
        <f t="shared" si="418"/>
        <v>0</v>
      </c>
      <c r="G11513" s="1205"/>
      <c r="H11513" s="1055"/>
      <c r="I11513" s="1055"/>
      <c r="J11513" s="1055"/>
      <c r="K11513" s="1205"/>
      <c r="L11513" s="1055"/>
      <c r="M11513" s="1205"/>
      <c r="N11513" s="1054"/>
      <c r="O11513" s="1207"/>
      <c r="Q11513" s="1207"/>
    </row>
    <row r="11514" spans="3:17" s="700" customFormat="1" ht="70.5" hidden="1" customHeight="1">
      <c r="C11514" s="701"/>
      <c r="D11514" s="811"/>
      <c r="E11514" s="1276">
        <f>[11]building!Y11845</f>
        <v>0</v>
      </c>
      <c r="F11514" s="748">
        <f t="shared" si="418"/>
        <v>0</v>
      </c>
      <c r="G11514" s="1205"/>
      <c r="H11514" s="1055"/>
      <c r="I11514" s="1055"/>
      <c r="J11514" s="1055"/>
      <c r="K11514" s="1205"/>
      <c r="L11514" s="1055"/>
      <c r="M11514" s="1205"/>
      <c r="N11514" s="1054"/>
      <c r="O11514" s="1207"/>
      <c r="Q11514" s="1207"/>
    </row>
    <row r="11515" spans="3:17" s="700" customFormat="1" ht="70.5" hidden="1" customHeight="1">
      <c r="C11515" s="701"/>
      <c r="D11515" s="811"/>
      <c r="E11515" s="1276">
        <f>[11]building!Y11846</f>
        <v>0</v>
      </c>
      <c r="F11515" s="748">
        <f t="shared" si="418"/>
        <v>0</v>
      </c>
      <c r="G11515" s="1205"/>
      <c r="H11515" s="1055"/>
      <c r="I11515" s="1055"/>
      <c r="J11515" s="1055"/>
      <c r="K11515" s="1205"/>
      <c r="L11515" s="1055"/>
      <c r="M11515" s="1205"/>
      <c r="N11515" s="1054"/>
      <c r="O11515" s="1207"/>
      <c r="Q11515" s="1207"/>
    </row>
    <row r="11516" spans="3:17" s="700" customFormat="1" ht="70.5" hidden="1" customHeight="1">
      <c r="C11516" s="701"/>
      <c r="D11516" s="811"/>
      <c r="E11516" s="1276">
        <f>[11]building!Y11847</f>
        <v>0</v>
      </c>
      <c r="F11516" s="748">
        <f t="shared" si="418"/>
        <v>0</v>
      </c>
      <c r="G11516" s="1205"/>
      <c r="H11516" s="1055"/>
      <c r="I11516" s="1055"/>
      <c r="J11516" s="1055"/>
      <c r="K11516" s="1205"/>
      <c r="L11516" s="1055"/>
      <c r="M11516" s="1205"/>
      <c r="N11516" s="1054"/>
      <c r="O11516" s="1207"/>
      <c r="Q11516" s="1207"/>
    </row>
    <row r="11517" spans="3:17" s="700" customFormat="1" ht="70.5" hidden="1" customHeight="1">
      <c r="C11517" s="701"/>
      <c r="D11517" s="811"/>
      <c r="E11517" s="1276">
        <f>[11]building!Y11848</f>
        <v>0</v>
      </c>
      <c r="F11517" s="748">
        <f t="shared" si="418"/>
        <v>0</v>
      </c>
      <c r="G11517" s="1205"/>
      <c r="H11517" s="1055"/>
      <c r="I11517" s="1055"/>
      <c r="J11517" s="1055"/>
      <c r="K11517" s="1205"/>
      <c r="L11517" s="1055"/>
      <c r="M11517" s="1205"/>
      <c r="N11517" s="1054"/>
      <c r="O11517" s="1207"/>
      <c r="Q11517" s="1207"/>
    </row>
    <row r="11518" spans="3:17" s="700" customFormat="1" ht="70.5" hidden="1" customHeight="1">
      <c r="C11518" s="701"/>
      <c r="D11518" s="811"/>
      <c r="E11518" s="1276">
        <f>[11]building!Y11849</f>
        <v>0</v>
      </c>
      <c r="F11518" s="748">
        <f t="shared" si="418"/>
        <v>0</v>
      </c>
      <c r="G11518" s="1205"/>
      <c r="H11518" s="1055"/>
      <c r="I11518" s="1055"/>
      <c r="J11518" s="1055"/>
      <c r="K11518" s="1205"/>
      <c r="L11518" s="1055"/>
      <c r="M11518" s="1205"/>
      <c r="N11518" s="1054"/>
      <c r="O11518" s="1207"/>
      <c r="Q11518" s="1207"/>
    </row>
    <row r="11519" spans="3:17" s="700" customFormat="1" ht="70.5" hidden="1" customHeight="1">
      <c r="C11519" s="701"/>
      <c r="D11519" s="811"/>
      <c r="E11519" s="1276">
        <f>[11]building!Y11850</f>
        <v>0</v>
      </c>
      <c r="F11519" s="748">
        <f t="shared" si="418"/>
        <v>0</v>
      </c>
      <c r="G11519" s="1205"/>
      <c r="H11519" s="1055"/>
      <c r="I11519" s="1055"/>
      <c r="J11519" s="1055"/>
      <c r="K11519" s="1205"/>
      <c r="L11519" s="1055"/>
      <c r="M11519" s="1205"/>
      <c r="N11519" s="1054"/>
      <c r="O11519" s="1207"/>
      <c r="Q11519" s="1207"/>
    </row>
    <row r="11520" spans="3:17" s="700" customFormat="1" ht="70.5" hidden="1" customHeight="1">
      <c r="C11520" s="701"/>
      <c r="D11520" s="811"/>
      <c r="E11520" s="1276">
        <f>[11]building!Y11851</f>
        <v>0</v>
      </c>
      <c r="F11520" s="748">
        <f t="shared" ref="F11520:F11583" si="419">E11520*C11520</f>
        <v>0</v>
      </c>
      <c r="G11520" s="1205"/>
      <c r="H11520" s="1055"/>
      <c r="I11520" s="1055"/>
      <c r="J11520" s="1055"/>
      <c r="K11520" s="1205"/>
      <c r="L11520" s="1055"/>
      <c r="M11520" s="1205"/>
      <c r="N11520" s="1054"/>
      <c r="O11520" s="1207"/>
      <c r="Q11520" s="1207"/>
    </row>
    <row r="11521" spans="3:17" s="700" customFormat="1" ht="70.5" hidden="1" customHeight="1">
      <c r="C11521" s="701"/>
      <c r="D11521" s="811"/>
      <c r="E11521" s="1276">
        <f>[11]building!Y11852</f>
        <v>0</v>
      </c>
      <c r="F11521" s="748">
        <f t="shared" si="419"/>
        <v>0</v>
      </c>
      <c r="G11521" s="1205"/>
      <c r="H11521" s="1055"/>
      <c r="I11521" s="1055"/>
      <c r="J11521" s="1055"/>
      <c r="K11521" s="1205"/>
      <c r="L11521" s="1055"/>
      <c r="M11521" s="1205"/>
      <c r="N11521" s="1054"/>
      <c r="O11521" s="1207"/>
      <c r="Q11521" s="1207"/>
    </row>
    <row r="11522" spans="3:17" s="700" customFormat="1" ht="70.5" hidden="1" customHeight="1">
      <c r="C11522" s="701"/>
      <c r="D11522" s="811"/>
      <c r="E11522" s="1276">
        <f>[11]building!Y11853</f>
        <v>0</v>
      </c>
      <c r="F11522" s="748">
        <f t="shared" si="419"/>
        <v>0</v>
      </c>
      <c r="G11522" s="1205"/>
      <c r="H11522" s="1055"/>
      <c r="I11522" s="1055"/>
      <c r="J11522" s="1055"/>
      <c r="K11522" s="1205"/>
      <c r="L11522" s="1055"/>
      <c r="M11522" s="1205"/>
      <c r="N11522" s="1054"/>
      <c r="O11522" s="1207"/>
      <c r="Q11522" s="1207"/>
    </row>
    <row r="11523" spans="3:17" s="700" customFormat="1" ht="70.5" hidden="1" customHeight="1">
      <c r="C11523" s="701"/>
      <c r="D11523" s="811"/>
      <c r="E11523" s="1276">
        <f>[11]building!Y11854</f>
        <v>0</v>
      </c>
      <c r="F11523" s="748">
        <f t="shared" si="419"/>
        <v>0</v>
      </c>
      <c r="G11523" s="1205"/>
      <c r="H11523" s="1055"/>
      <c r="I11523" s="1055"/>
      <c r="J11523" s="1055"/>
      <c r="K11523" s="1205"/>
      <c r="L11523" s="1055"/>
      <c r="M11523" s="1205"/>
      <c r="N11523" s="1054"/>
      <c r="O11523" s="1207"/>
      <c r="Q11523" s="1207"/>
    </row>
    <row r="11524" spans="3:17" s="700" customFormat="1" ht="70.5" hidden="1" customHeight="1">
      <c r="C11524" s="701"/>
      <c r="D11524" s="811"/>
      <c r="E11524" s="1276">
        <f>[11]building!Y11855</f>
        <v>0</v>
      </c>
      <c r="F11524" s="748">
        <f t="shared" si="419"/>
        <v>0</v>
      </c>
      <c r="G11524" s="1205"/>
      <c r="H11524" s="1055"/>
      <c r="I11524" s="1055"/>
      <c r="J11524" s="1055"/>
      <c r="K11524" s="1205"/>
      <c r="L11524" s="1055"/>
      <c r="M11524" s="1205"/>
      <c r="N11524" s="1054"/>
      <c r="O11524" s="1207"/>
      <c r="Q11524" s="1207"/>
    </row>
    <row r="11525" spans="3:17" s="700" customFormat="1" ht="70.5" hidden="1" customHeight="1">
      <c r="C11525" s="701"/>
      <c r="D11525" s="811"/>
      <c r="E11525" s="1276">
        <f>[11]building!Y11856</f>
        <v>0</v>
      </c>
      <c r="F11525" s="748">
        <f t="shared" si="419"/>
        <v>0</v>
      </c>
      <c r="G11525" s="1205"/>
      <c r="H11525" s="1055"/>
      <c r="I11525" s="1055"/>
      <c r="J11525" s="1055"/>
      <c r="K11525" s="1205"/>
      <c r="L11525" s="1055"/>
      <c r="M11525" s="1205"/>
      <c r="N11525" s="1054"/>
      <c r="O11525" s="1207"/>
      <c r="Q11525" s="1207"/>
    </row>
    <row r="11526" spans="3:17" s="700" customFormat="1" ht="70.5" hidden="1" customHeight="1">
      <c r="C11526" s="701"/>
      <c r="D11526" s="811"/>
      <c r="E11526" s="1276">
        <f>[11]building!Y11857</f>
        <v>0</v>
      </c>
      <c r="F11526" s="748">
        <f t="shared" si="419"/>
        <v>0</v>
      </c>
      <c r="G11526" s="1205"/>
      <c r="H11526" s="1055"/>
      <c r="I11526" s="1055"/>
      <c r="J11526" s="1055"/>
      <c r="K11526" s="1205"/>
      <c r="L11526" s="1055"/>
      <c r="M11526" s="1205"/>
      <c r="N11526" s="1054"/>
      <c r="O11526" s="1207"/>
      <c r="Q11526" s="1207"/>
    </row>
    <row r="11527" spans="3:17" s="700" customFormat="1" ht="70.5" hidden="1" customHeight="1">
      <c r="C11527" s="701"/>
      <c r="D11527" s="811"/>
      <c r="E11527" s="1276">
        <f>[11]building!Y11858</f>
        <v>0</v>
      </c>
      <c r="F11527" s="748">
        <f t="shared" si="419"/>
        <v>0</v>
      </c>
      <c r="G11527" s="1205"/>
      <c r="H11527" s="1055"/>
      <c r="I11527" s="1055"/>
      <c r="J11527" s="1055"/>
      <c r="K11527" s="1205"/>
      <c r="L11527" s="1055"/>
      <c r="M11527" s="1205"/>
      <c r="N11527" s="1054"/>
      <c r="O11527" s="1207"/>
      <c r="Q11527" s="1207"/>
    </row>
    <row r="11528" spans="3:17" s="700" customFormat="1" ht="70.5" hidden="1" customHeight="1">
      <c r="C11528" s="701"/>
      <c r="D11528" s="811"/>
      <c r="E11528" s="1276">
        <f>[11]building!Y11859</f>
        <v>0</v>
      </c>
      <c r="F11528" s="748">
        <f t="shared" si="419"/>
        <v>0</v>
      </c>
      <c r="G11528" s="1205"/>
      <c r="H11528" s="1055"/>
      <c r="I11528" s="1055"/>
      <c r="J11528" s="1055"/>
      <c r="K11528" s="1205"/>
      <c r="L11528" s="1055"/>
      <c r="M11528" s="1205"/>
      <c r="N11528" s="1054"/>
      <c r="O11528" s="1207"/>
      <c r="Q11528" s="1207"/>
    </row>
    <row r="11529" spans="3:17" s="700" customFormat="1" ht="70.5" hidden="1" customHeight="1">
      <c r="C11529" s="701"/>
      <c r="D11529" s="811"/>
      <c r="E11529" s="1276">
        <f>[11]building!Y11860</f>
        <v>0</v>
      </c>
      <c r="F11529" s="748">
        <f t="shared" si="419"/>
        <v>0</v>
      </c>
      <c r="G11529" s="1205"/>
      <c r="H11529" s="1055"/>
      <c r="I11529" s="1055"/>
      <c r="J11529" s="1055"/>
      <c r="K11529" s="1205"/>
      <c r="L11529" s="1055"/>
      <c r="M11529" s="1205"/>
      <c r="N11529" s="1054"/>
      <c r="O11529" s="1207"/>
      <c r="Q11529" s="1207"/>
    </row>
    <row r="11530" spans="3:17" s="700" customFormat="1" ht="70.5" hidden="1" customHeight="1">
      <c r="C11530" s="701"/>
      <c r="D11530" s="811"/>
      <c r="E11530" s="1276">
        <f>[11]building!Y11861</f>
        <v>0</v>
      </c>
      <c r="F11530" s="748">
        <f t="shared" si="419"/>
        <v>0</v>
      </c>
      <c r="G11530" s="1205"/>
      <c r="H11530" s="1055"/>
      <c r="I11530" s="1055"/>
      <c r="J11530" s="1055"/>
      <c r="K11530" s="1205"/>
      <c r="L11530" s="1055"/>
      <c r="M11530" s="1205"/>
      <c r="N11530" s="1054"/>
      <c r="O11530" s="1207"/>
      <c r="Q11530" s="1207"/>
    </row>
    <row r="11531" spans="3:17" s="700" customFormat="1" ht="70.5" hidden="1" customHeight="1">
      <c r="C11531" s="701"/>
      <c r="D11531" s="811"/>
      <c r="E11531" s="1276">
        <f>[11]building!Y11862</f>
        <v>0</v>
      </c>
      <c r="F11531" s="748">
        <f t="shared" si="419"/>
        <v>0</v>
      </c>
      <c r="G11531" s="1205"/>
      <c r="H11531" s="1055"/>
      <c r="I11531" s="1055"/>
      <c r="J11531" s="1055"/>
      <c r="K11531" s="1205"/>
      <c r="L11531" s="1055"/>
      <c r="M11531" s="1205"/>
      <c r="N11531" s="1054"/>
      <c r="O11531" s="1207"/>
      <c r="Q11531" s="1207"/>
    </row>
    <row r="11532" spans="3:17" s="700" customFormat="1" ht="70.5" hidden="1" customHeight="1">
      <c r="C11532" s="701"/>
      <c r="D11532" s="811"/>
      <c r="E11532" s="1276">
        <f>[11]building!Y11863</f>
        <v>0</v>
      </c>
      <c r="F11532" s="748">
        <f t="shared" si="419"/>
        <v>0</v>
      </c>
      <c r="G11532" s="1205"/>
      <c r="H11532" s="1055"/>
      <c r="I11532" s="1055"/>
      <c r="J11532" s="1055"/>
      <c r="K11532" s="1205"/>
      <c r="L11532" s="1055"/>
      <c r="M11532" s="1205"/>
      <c r="N11532" s="1054"/>
      <c r="O11532" s="1207"/>
      <c r="Q11532" s="1207"/>
    </row>
    <row r="11533" spans="3:17" s="700" customFormat="1" ht="70.5" hidden="1" customHeight="1">
      <c r="C11533" s="701"/>
      <c r="D11533" s="811"/>
      <c r="E11533" s="1276">
        <f>[11]building!Y11864</f>
        <v>0</v>
      </c>
      <c r="F11533" s="748">
        <f t="shared" si="419"/>
        <v>0</v>
      </c>
      <c r="G11533" s="1205"/>
      <c r="H11533" s="1055"/>
      <c r="I11533" s="1055"/>
      <c r="J11533" s="1055"/>
      <c r="K11533" s="1205"/>
      <c r="L11533" s="1055"/>
      <c r="M11533" s="1205"/>
      <c r="N11533" s="1054"/>
      <c r="O11533" s="1207"/>
      <c r="Q11533" s="1207"/>
    </row>
    <row r="11534" spans="3:17" s="700" customFormat="1" ht="70.5" hidden="1" customHeight="1">
      <c r="C11534" s="701"/>
      <c r="D11534" s="811"/>
      <c r="E11534" s="1276">
        <f>[11]building!Y11865</f>
        <v>0</v>
      </c>
      <c r="F11534" s="748">
        <f t="shared" si="419"/>
        <v>0</v>
      </c>
      <c r="G11534" s="1205"/>
      <c r="H11534" s="1055"/>
      <c r="I11534" s="1055"/>
      <c r="J11534" s="1055"/>
      <c r="K11534" s="1205"/>
      <c r="L11534" s="1055"/>
      <c r="M11534" s="1205"/>
      <c r="N11534" s="1054"/>
      <c r="O11534" s="1207"/>
      <c r="Q11534" s="1207"/>
    </row>
    <row r="11535" spans="3:17" s="700" customFormat="1" ht="70.5" hidden="1" customHeight="1">
      <c r="C11535" s="701"/>
      <c r="D11535" s="811"/>
      <c r="E11535" s="1276">
        <f>[11]building!Y11866</f>
        <v>0</v>
      </c>
      <c r="F11535" s="748">
        <f t="shared" si="419"/>
        <v>0</v>
      </c>
      <c r="G11535" s="1205"/>
      <c r="H11535" s="1055"/>
      <c r="I11535" s="1055"/>
      <c r="J11535" s="1055"/>
      <c r="K11535" s="1205"/>
      <c r="L11535" s="1055"/>
      <c r="M11535" s="1205"/>
      <c r="N11535" s="1054"/>
      <c r="O11535" s="1207"/>
      <c r="Q11535" s="1207"/>
    </row>
    <row r="11536" spans="3:17" s="700" customFormat="1" ht="70.5" hidden="1" customHeight="1">
      <c r="C11536" s="701"/>
      <c r="D11536" s="811"/>
      <c r="E11536" s="1276">
        <f>[11]building!Y11867</f>
        <v>0</v>
      </c>
      <c r="F11536" s="748">
        <f t="shared" si="419"/>
        <v>0</v>
      </c>
      <c r="G11536" s="1205"/>
      <c r="H11536" s="1055"/>
      <c r="I11536" s="1055"/>
      <c r="J11536" s="1055"/>
      <c r="K11536" s="1205"/>
      <c r="L11536" s="1055"/>
      <c r="M11536" s="1205"/>
      <c r="N11536" s="1054"/>
      <c r="O11536" s="1207"/>
      <c r="Q11536" s="1207"/>
    </row>
    <row r="11537" spans="3:17" s="700" customFormat="1" ht="70.5" hidden="1" customHeight="1">
      <c r="C11537" s="701"/>
      <c r="D11537" s="811"/>
      <c r="E11537" s="1276">
        <f>[11]building!Y11868</f>
        <v>0</v>
      </c>
      <c r="F11537" s="748">
        <f t="shared" si="419"/>
        <v>0</v>
      </c>
      <c r="G11537" s="1205"/>
      <c r="H11537" s="1055"/>
      <c r="I11537" s="1055"/>
      <c r="J11537" s="1055"/>
      <c r="K11537" s="1205"/>
      <c r="L11537" s="1055"/>
      <c r="M11537" s="1205"/>
      <c r="N11537" s="1054"/>
      <c r="O11537" s="1207"/>
      <c r="Q11537" s="1207"/>
    </row>
    <row r="11538" spans="3:17" s="700" customFormat="1" ht="70.5" hidden="1" customHeight="1">
      <c r="C11538" s="701"/>
      <c r="D11538" s="811"/>
      <c r="E11538" s="1276">
        <f>[11]building!Y11869</f>
        <v>0</v>
      </c>
      <c r="F11538" s="748">
        <f t="shared" si="419"/>
        <v>0</v>
      </c>
      <c r="G11538" s="1205"/>
      <c r="H11538" s="1055"/>
      <c r="I11538" s="1055"/>
      <c r="J11538" s="1055"/>
      <c r="K11538" s="1205"/>
      <c r="L11538" s="1055"/>
      <c r="M11538" s="1205"/>
      <c r="N11538" s="1054"/>
      <c r="O11538" s="1207"/>
      <c r="Q11538" s="1207"/>
    </row>
    <row r="11539" spans="3:17" s="700" customFormat="1" ht="70.5" hidden="1" customHeight="1">
      <c r="C11539" s="701"/>
      <c r="D11539" s="811"/>
      <c r="E11539" s="1276">
        <f>[11]building!Y11870</f>
        <v>0</v>
      </c>
      <c r="F11539" s="748">
        <f t="shared" si="419"/>
        <v>0</v>
      </c>
      <c r="G11539" s="1205"/>
      <c r="H11539" s="1055"/>
      <c r="I11539" s="1055"/>
      <c r="J11539" s="1055"/>
      <c r="K11539" s="1205"/>
      <c r="L11539" s="1055"/>
      <c r="M11539" s="1205"/>
      <c r="N11539" s="1054"/>
      <c r="O11539" s="1207"/>
      <c r="Q11539" s="1207"/>
    </row>
    <row r="11540" spans="3:17" s="700" customFormat="1" ht="70.5" hidden="1" customHeight="1">
      <c r="C11540" s="701"/>
      <c r="D11540" s="811"/>
      <c r="E11540" s="1276">
        <f>[11]building!Y11871</f>
        <v>0</v>
      </c>
      <c r="F11540" s="748">
        <f t="shared" si="419"/>
        <v>0</v>
      </c>
      <c r="G11540" s="1205"/>
      <c r="H11540" s="1055"/>
      <c r="I11540" s="1055"/>
      <c r="J11540" s="1055"/>
      <c r="K11540" s="1205"/>
      <c r="L11540" s="1055"/>
      <c r="M11540" s="1205"/>
      <c r="N11540" s="1054"/>
      <c r="O11540" s="1207"/>
      <c r="Q11540" s="1207"/>
    </row>
    <row r="11541" spans="3:17" s="700" customFormat="1" ht="70.5" hidden="1" customHeight="1">
      <c r="C11541" s="701"/>
      <c r="D11541" s="811"/>
      <c r="E11541" s="1276">
        <f>[11]building!Y11872</f>
        <v>0</v>
      </c>
      <c r="F11541" s="748">
        <f t="shared" si="419"/>
        <v>0</v>
      </c>
      <c r="G11541" s="1205"/>
      <c r="H11541" s="1055"/>
      <c r="I11541" s="1055"/>
      <c r="J11541" s="1055"/>
      <c r="K11541" s="1205"/>
      <c r="L11541" s="1055"/>
      <c r="M11541" s="1205"/>
      <c r="N11541" s="1054"/>
      <c r="O11541" s="1207"/>
      <c r="Q11541" s="1207"/>
    </row>
    <row r="11542" spans="3:17" s="700" customFormat="1" ht="70.5" hidden="1" customHeight="1">
      <c r="C11542" s="701"/>
      <c r="D11542" s="811"/>
      <c r="E11542" s="1276">
        <f>[11]building!Y11873</f>
        <v>0</v>
      </c>
      <c r="F11542" s="748">
        <f t="shared" si="419"/>
        <v>0</v>
      </c>
      <c r="G11542" s="1205"/>
      <c r="H11542" s="1055"/>
      <c r="I11542" s="1055"/>
      <c r="J11542" s="1055"/>
      <c r="K11542" s="1205"/>
      <c r="L11542" s="1055"/>
      <c r="M11542" s="1205"/>
      <c r="N11542" s="1054"/>
      <c r="O11542" s="1207"/>
      <c r="Q11542" s="1207"/>
    </row>
    <row r="11543" spans="3:17" s="700" customFormat="1" ht="70.5" hidden="1" customHeight="1">
      <c r="C11543" s="701"/>
      <c r="D11543" s="811"/>
      <c r="E11543" s="1276">
        <f>[11]building!Y11874</f>
        <v>0</v>
      </c>
      <c r="F11543" s="748">
        <f t="shared" si="419"/>
        <v>0</v>
      </c>
      <c r="G11543" s="1205"/>
      <c r="H11543" s="1055"/>
      <c r="I11543" s="1055"/>
      <c r="J11543" s="1055"/>
      <c r="K11543" s="1205"/>
      <c r="L11543" s="1055"/>
      <c r="M11543" s="1205"/>
      <c r="N11543" s="1054"/>
      <c r="O11543" s="1207"/>
      <c r="Q11543" s="1207"/>
    </row>
    <row r="11544" spans="3:17" s="700" customFormat="1" ht="70.5" hidden="1" customHeight="1">
      <c r="C11544" s="701"/>
      <c r="D11544" s="811"/>
      <c r="E11544" s="1276">
        <f>[11]building!Y11875</f>
        <v>0</v>
      </c>
      <c r="F11544" s="748">
        <f t="shared" si="419"/>
        <v>0</v>
      </c>
      <c r="G11544" s="1205"/>
      <c r="H11544" s="1055"/>
      <c r="I11544" s="1055"/>
      <c r="J11544" s="1055"/>
      <c r="K11544" s="1205"/>
      <c r="L11544" s="1055"/>
      <c r="M11544" s="1205"/>
      <c r="N11544" s="1054"/>
      <c r="O11544" s="1207"/>
      <c r="Q11544" s="1207"/>
    </row>
    <row r="11545" spans="3:17" s="700" customFormat="1" ht="70.5" hidden="1" customHeight="1">
      <c r="C11545" s="701"/>
      <c r="D11545" s="811"/>
      <c r="E11545" s="1276">
        <f>[11]building!Y11876</f>
        <v>0</v>
      </c>
      <c r="F11545" s="748">
        <f t="shared" si="419"/>
        <v>0</v>
      </c>
      <c r="G11545" s="1205"/>
      <c r="H11545" s="1055"/>
      <c r="I11545" s="1055"/>
      <c r="J11545" s="1055"/>
      <c r="K11545" s="1205"/>
      <c r="L11545" s="1055"/>
      <c r="M11545" s="1205"/>
      <c r="N11545" s="1054"/>
      <c r="O11545" s="1207"/>
      <c r="Q11545" s="1207"/>
    </row>
    <row r="11546" spans="3:17" s="700" customFormat="1" ht="70.5" hidden="1" customHeight="1">
      <c r="C11546" s="701"/>
      <c r="D11546" s="811"/>
      <c r="E11546" s="1276">
        <f>[11]building!Y11877</f>
        <v>0</v>
      </c>
      <c r="F11546" s="748">
        <f t="shared" si="419"/>
        <v>0</v>
      </c>
      <c r="G11546" s="1205"/>
      <c r="H11546" s="1055"/>
      <c r="I11546" s="1055"/>
      <c r="J11546" s="1055"/>
      <c r="K11546" s="1205"/>
      <c r="L11546" s="1055"/>
      <c r="M11546" s="1205"/>
      <c r="N11546" s="1054"/>
      <c r="O11546" s="1207"/>
      <c r="Q11546" s="1207"/>
    </row>
    <row r="11547" spans="3:17" s="700" customFormat="1" ht="70.5" hidden="1" customHeight="1">
      <c r="C11547" s="701"/>
      <c r="D11547" s="811"/>
      <c r="E11547" s="1276">
        <f>[11]building!Y11878</f>
        <v>0</v>
      </c>
      <c r="F11547" s="748">
        <f t="shared" si="419"/>
        <v>0</v>
      </c>
      <c r="G11547" s="1205"/>
      <c r="H11547" s="1055"/>
      <c r="I11547" s="1055"/>
      <c r="J11547" s="1055"/>
      <c r="K11547" s="1205"/>
      <c r="L11547" s="1055"/>
      <c r="M11547" s="1205"/>
      <c r="N11547" s="1054"/>
      <c r="O11547" s="1207"/>
      <c r="Q11547" s="1207"/>
    </row>
    <row r="11548" spans="3:17" s="700" customFormat="1" ht="70.5" hidden="1" customHeight="1">
      <c r="C11548" s="701"/>
      <c r="D11548" s="811"/>
      <c r="E11548" s="1276">
        <f>[11]building!Y11879</f>
        <v>0</v>
      </c>
      <c r="F11548" s="748">
        <f t="shared" si="419"/>
        <v>0</v>
      </c>
      <c r="G11548" s="1205"/>
      <c r="H11548" s="1055"/>
      <c r="I11548" s="1055"/>
      <c r="J11548" s="1055"/>
      <c r="K11548" s="1205"/>
      <c r="L11548" s="1055"/>
      <c r="M11548" s="1205"/>
      <c r="N11548" s="1054"/>
      <c r="O11548" s="1207"/>
      <c r="Q11548" s="1207"/>
    </row>
    <row r="11549" spans="3:17" s="700" customFormat="1" ht="70.5" hidden="1" customHeight="1">
      <c r="C11549" s="701"/>
      <c r="D11549" s="811"/>
      <c r="E11549" s="1276">
        <f>[11]building!Y11880</f>
        <v>0</v>
      </c>
      <c r="F11549" s="748">
        <f t="shared" si="419"/>
        <v>0</v>
      </c>
      <c r="G11549" s="1205"/>
      <c r="H11549" s="1055"/>
      <c r="I11549" s="1055"/>
      <c r="J11549" s="1055"/>
      <c r="K11549" s="1205"/>
      <c r="L11549" s="1055"/>
      <c r="M11549" s="1205"/>
      <c r="N11549" s="1054"/>
      <c r="O11549" s="1207"/>
      <c r="Q11549" s="1207"/>
    </row>
    <row r="11550" spans="3:17" s="700" customFormat="1" ht="70.5" hidden="1" customHeight="1">
      <c r="C11550" s="701"/>
      <c r="D11550" s="811"/>
      <c r="E11550" s="1276">
        <f>[11]building!Y11881</f>
        <v>0</v>
      </c>
      <c r="F11550" s="748">
        <f t="shared" si="419"/>
        <v>0</v>
      </c>
      <c r="G11550" s="1205"/>
      <c r="H11550" s="1055"/>
      <c r="I11550" s="1055"/>
      <c r="J11550" s="1055"/>
      <c r="K11550" s="1205"/>
      <c r="L11550" s="1055"/>
      <c r="M11550" s="1205"/>
      <c r="N11550" s="1054"/>
      <c r="O11550" s="1207"/>
      <c r="Q11550" s="1207"/>
    </row>
    <row r="11551" spans="3:17" s="700" customFormat="1" ht="70.5" hidden="1" customHeight="1">
      <c r="C11551" s="701"/>
      <c r="D11551" s="811"/>
      <c r="E11551" s="1276">
        <f>[11]building!Y11882</f>
        <v>0</v>
      </c>
      <c r="F11551" s="748">
        <f t="shared" si="419"/>
        <v>0</v>
      </c>
      <c r="G11551" s="1205"/>
      <c r="H11551" s="1055"/>
      <c r="I11551" s="1055"/>
      <c r="J11551" s="1055"/>
      <c r="K11551" s="1205"/>
      <c r="L11551" s="1055"/>
      <c r="M11551" s="1205"/>
      <c r="N11551" s="1054"/>
      <c r="O11551" s="1207"/>
      <c r="Q11551" s="1207"/>
    </row>
    <row r="11552" spans="3:17" s="700" customFormat="1" ht="70.5" hidden="1" customHeight="1">
      <c r="C11552" s="701"/>
      <c r="D11552" s="811"/>
      <c r="E11552" s="1276">
        <f>[11]building!Y11883</f>
        <v>0</v>
      </c>
      <c r="F11552" s="748">
        <f t="shared" si="419"/>
        <v>0</v>
      </c>
      <c r="G11552" s="1205"/>
      <c r="H11552" s="1055"/>
      <c r="I11552" s="1055"/>
      <c r="J11552" s="1055"/>
      <c r="K11552" s="1205"/>
      <c r="L11552" s="1055"/>
      <c r="M11552" s="1205"/>
      <c r="N11552" s="1054"/>
      <c r="O11552" s="1207"/>
      <c r="Q11552" s="1207"/>
    </row>
    <row r="11553" spans="3:17" s="700" customFormat="1" ht="70.5" hidden="1" customHeight="1">
      <c r="C11553" s="701"/>
      <c r="D11553" s="811"/>
      <c r="E11553" s="1276">
        <f>[11]building!Y11884</f>
        <v>0</v>
      </c>
      <c r="F11553" s="748">
        <f t="shared" si="419"/>
        <v>0</v>
      </c>
      <c r="G11553" s="1205"/>
      <c r="H11553" s="1055"/>
      <c r="I11553" s="1055"/>
      <c r="J11553" s="1055"/>
      <c r="K11553" s="1205"/>
      <c r="L11553" s="1055"/>
      <c r="M11553" s="1205"/>
      <c r="N11553" s="1054"/>
      <c r="O11553" s="1207"/>
      <c r="Q11553" s="1207"/>
    </row>
    <row r="11554" spans="3:17" s="700" customFormat="1" ht="70.5" hidden="1" customHeight="1">
      <c r="C11554" s="701"/>
      <c r="D11554" s="811"/>
      <c r="E11554" s="1276">
        <f>[11]building!Y11885</f>
        <v>0</v>
      </c>
      <c r="F11554" s="748">
        <f t="shared" si="419"/>
        <v>0</v>
      </c>
      <c r="G11554" s="1205"/>
      <c r="H11554" s="1055"/>
      <c r="I11554" s="1055"/>
      <c r="J11554" s="1055"/>
      <c r="K11554" s="1205"/>
      <c r="L11554" s="1055"/>
      <c r="M11554" s="1205"/>
      <c r="N11554" s="1054"/>
      <c r="O11554" s="1207"/>
      <c r="Q11554" s="1207"/>
    </row>
    <row r="11555" spans="3:17" s="700" customFormat="1" ht="70.5" hidden="1" customHeight="1">
      <c r="C11555" s="701"/>
      <c r="D11555" s="811"/>
      <c r="E11555" s="1276">
        <f>[11]building!Y11886</f>
        <v>0</v>
      </c>
      <c r="F11555" s="748">
        <f t="shared" si="419"/>
        <v>0</v>
      </c>
      <c r="G11555" s="1205"/>
      <c r="H11555" s="1055"/>
      <c r="I11555" s="1055"/>
      <c r="J11555" s="1055"/>
      <c r="K11555" s="1205"/>
      <c r="L11555" s="1055"/>
      <c r="M11555" s="1205"/>
      <c r="N11555" s="1054"/>
      <c r="O11555" s="1207"/>
      <c r="Q11555" s="1207"/>
    </row>
    <row r="11556" spans="3:17" s="700" customFormat="1" ht="70.5" hidden="1" customHeight="1">
      <c r="C11556" s="701"/>
      <c r="D11556" s="811"/>
      <c r="E11556" s="1276">
        <f>[11]building!Y11887</f>
        <v>0</v>
      </c>
      <c r="F11556" s="748">
        <f t="shared" si="419"/>
        <v>0</v>
      </c>
      <c r="G11556" s="1205"/>
      <c r="H11556" s="1055"/>
      <c r="I11556" s="1055"/>
      <c r="J11556" s="1055"/>
      <c r="K11556" s="1205"/>
      <c r="L11556" s="1055"/>
      <c r="M11556" s="1205"/>
      <c r="N11556" s="1054"/>
      <c r="O11556" s="1207"/>
      <c r="Q11556" s="1207"/>
    </row>
    <row r="11557" spans="3:17" s="700" customFormat="1" ht="70.5" hidden="1" customHeight="1">
      <c r="C11557" s="701"/>
      <c r="D11557" s="811"/>
      <c r="E11557" s="1276">
        <f>[11]building!Y11888</f>
        <v>0</v>
      </c>
      <c r="F11557" s="748">
        <f t="shared" si="419"/>
        <v>0</v>
      </c>
      <c r="G11557" s="1205"/>
      <c r="H11557" s="1055"/>
      <c r="I11557" s="1055"/>
      <c r="J11557" s="1055"/>
      <c r="K11557" s="1205"/>
      <c r="L11557" s="1055"/>
      <c r="M11557" s="1205"/>
      <c r="N11557" s="1054"/>
      <c r="O11557" s="1207"/>
      <c r="Q11557" s="1207"/>
    </row>
    <row r="11558" spans="3:17" s="700" customFormat="1" ht="70.5" hidden="1" customHeight="1">
      <c r="C11558" s="701"/>
      <c r="D11558" s="811"/>
      <c r="E11558" s="1276">
        <f>[11]building!Y11889</f>
        <v>0</v>
      </c>
      <c r="F11558" s="748">
        <f t="shared" si="419"/>
        <v>0</v>
      </c>
      <c r="G11558" s="1205"/>
      <c r="H11558" s="1055"/>
      <c r="I11558" s="1055"/>
      <c r="J11558" s="1055"/>
      <c r="K11558" s="1205"/>
      <c r="L11558" s="1055"/>
      <c r="M11558" s="1205"/>
      <c r="N11558" s="1054"/>
      <c r="O11558" s="1207"/>
      <c r="Q11558" s="1207"/>
    </row>
    <row r="11559" spans="3:17" s="700" customFormat="1" ht="70.5" hidden="1" customHeight="1">
      <c r="C11559" s="701"/>
      <c r="D11559" s="811"/>
      <c r="E11559" s="1276">
        <f>[11]building!Y11890</f>
        <v>0</v>
      </c>
      <c r="F11559" s="748">
        <f t="shared" si="419"/>
        <v>0</v>
      </c>
      <c r="G11559" s="1205"/>
      <c r="H11559" s="1055"/>
      <c r="I11559" s="1055"/>
      <c r="J11559" s="1055"/>
      <c r="K11559" s="1205"/>
      <c r="L11559" s="1055"/>
      <c r="M11559" s="1205"/>
      <c r="N11559" s="1054"/>
      <c r="O11559" s="1207"/>
      <c r="Q11559" s="1207"/>
    </row>
    <row r="11560" spans="3:17" s="700" customFormat="1" ht="70.5" hidden="1" customHeight="1">
      <c r="C11560" s="701"/>
      <c r="D11560" s="811"/>
      <c r="E11560" s="1276">
        <f>[11]building!Y11891</f>
        <v>0</v>
      </c>
      <c r="F11560" s="748">
        <f t="shared" si="419"/>
        <v>0</v>
      </c>
      <c r="G11560" s="1205"/>
      <c r="H11560" s="1055"/>
      <c r="I11560" s="1055"/>
      <c r="J11560" s="1055"/>
      <c r="K11560" s="1205"/>
      <c r="L11560" s="1055"/>
      <c r="M11560" s="1205"/>
      <c r="N11560" s="1054"/>
      <c r="O11560" s="1207"/>
      <c r="Q11560" s="1207"/>
    </row>
    <row r="11561" spans="3:17" s="700" customFormat="1" ht="70.5" hidden="1" customHeight="1">
      <c r="C11561" s="701"/>
      <c r="D11561" s="811"/>
      <c r="E11561" s="1276">
        <f>[11]building!Y11892</f>
        <v>0</v>
      </c>
      <c r="F11561" s="748">
        <f t="shared" si="419"/>
        <v>0</v>
      </c>
      <c r="G11561" s="1205"/>
      <c r="H11561" s="1055"/>
      <c r="I11561" s="1055"/>
      <c r="J11561" s="1055"/>
      <c r="K11561" s="1205"/>
      <c r="L11561" s="1055"/>
      <c r="M11561" s="1205"/>
      <c r="N11561" s="1054"/>
      <c r="O11561" s="1207"/>
      <c r="Q11561" s="1207"/>
    </row>
    <row r="11562" spans="3:17" s="700" customFormat="1" ht="70.5" hidden="1" customHeight="1">
      <c r="C11562" s="701"/>
      <c r="D11562" s="811"/>
      <c r="E11562" s="1276">
        <f>[11]building!Y11893</f>
        <v>0</v>
      </c>
      <c r="F11562" s="748">
        <f t="shared" si="419"/>
        <v>0</v>
      </c>
      <c r="G11562" s="1205"/>
      <c r="H11562" s="1055"/>
      <c r="I11562" s="1055"/>
      <c r="J11562" s="1055"/>
      <c r="K11562" s="1205"/>
      <c r="L11562" s="1055"/>
      <c r="M11562" s="1205"/>
      <c r="N11562" s="1054"/>
      <c r="O11562" s="1207"/>
      <c r="Q11562" s="1207"/>
    </row>
    <row r="11563" spans="3:17" s="700" customFormat="1" ht="70.5" hidden="1" customHeight="1">
      <c r="C11563" s="701"/>
      <c r="D11563" s="811"/>
      <c r="E11563" s="1276">
        <f>[11]building!Y11894</f>
        <v>0</v>
      </c>
      <c r="F11563" s="748">
        <f t="shared" si="419"/>
        <v>0</v>
      </c>
      <c r="G11563" s="1205"/>
      <c r="H11563" s="1055"/>
      <c r="I11563" s="1055"/>
      <c r="J11563" s="1055"/>
      <c r="K11563" s="1205"/>
      <c r="L11563" s="1055"/>
      <c r="M11563" s="1205"/>
      <c r="N11563" s="1054"/>
      <c r="O11563" s="1207"/>
      <c r="Q11563" s="1207"/>
    </row>
    <row r="11564" spans="3:17" s="700" customFormat="1" ht="70.5" hidden="1" customHeight="1">
      <c r="C11564" s="701"/>
      <c r="D11564" s="811"/>
      <c r="E11564" s="1276">
        <f>[11]building!Y11895</f>
        <v>0</v>
      </c>
      <c r="F11564" s="748">
        <f t="shared" si="419"/>
        <v>0</v>
      </c>
      <c r="G11564" s="1205"/>
      <c r="H11564" s="1055"/>
      <c r="I11564" s="1055"/>
      <c r="J11564" s="1055"/>
      <c r="K11564" s="1205"/>
      <c r="L11564" s="1055"/>
      <c r="M11564" s="1205"/>
      <c r="N11564" s="1054"/>
      <c r="O11564" s="1207"/>
      <c r="Q11564" s="1207"/>
    </row>
    <row r="11565" spans="3:17" s="700" customFormat="1" ht="70.5" hidden="1" customHeight="1">
      <c r="C11565" s="701"/>
      <c r="D11565" s="811"/>
      <c r="E11565" s="1276">
        <f>[11]building!Y11896</f>
        <v>0</v>
      </c>
      <c r="F11565" s="748">
        <f t="shared" si="419"/>
        <v>0</v>
      </c>
      <c r="G11565" s="1205"/>
      <c r="H11565" s="1055"/>
      <c r="I11565" s="1055"/>
      <c r="J11565" s="1055"/>
      <c r="K11565" s="1205"/>
      <c r="L11565" s="1055"/>
      <c r="M11565" s="1205"/>
      <c r="N11565" s="1054"/>
      <c r="O11565" s="1207"/>
      <c r="Q11565" s="1207"/>
    </row>
    <row r="11566" spans="3:17" s="700" customFormat="1" ht="70.5" hidden="1" customHeight="1">
      <c r="C11566" s="701"/>
      <c r="D11566" s="811"/>
      <c r="E11566" s="1276">
        <f>[11]building!Y11897</f>
        <v>0</v>
      </c>
      <c r="F11566" s="748">
        <f t="shared" si="419"/>
        <v>0</v>
      </c>
      <c r="G11566" s="1205"/>
      <c r="H11566" s="1055"/>
      <c r="I11566" s="1055"/>
      <c r="J11566" s="1055"/>
      <c r="K11566" s="1205"/>
      <c r="L11566" s="1055"/>
      <c r="M11566" s="1205"/>
      <c r="N11566" s="1054"/>
      <c r="O11566" s="1207"/>
      <c r="Q11566" s="1207"/>
    </row>
    <row r="11567" spans="3:17" s="700" customFormat="1" ht="70.5" hidden="1" customHeight="1">
      <c r="C11567" s="701"/>
      <c r="D11567" s="811"/>
      <c r="E11567" s="1276">
        <f>[11]building!Y11898</f>
        <v>0</v>
      </c>
      <c r="F11567" s="748">
        <f t="shared" si="419"/>
        <v>0</v>
      </c>
      <c r="G11567" s="1205"/>
      <c r="H11567" s="1055"/>
      <c r="I11567" s="1055"/>
      <c r="J11567" s="1055"/>
      <c r="K11567" s="1205"/>
      <c r="L11567" s="1055"/>
      <c r="M11567" s="1205"/>
      <c r="N11567" s="1054"/>
      <c r="O11567" s="1207"/>
      <c r="Q11567" s="1207"/>
    </row>
    <row r="11568" spans="3:17" s="700" customFormat="1" ht="70.5" hidden="1" customHeight="1">
      <c r="C11568" s="701"/>
      <c r="D11568" s="811"/>
      <c r="E11568" s="1276">
        <f>[11]building!Y11899</f>
        <v>0</v>
      </c>
      <c r="F11568" s="748">
        <f t="shared" si="419"/>
        <v>0</v>
      </c>
      <c r="G11568" s="1205"/>
      <c r="H11568" s="1055"/>
      <c r="I11568" s="1055"/>
      <c r="J11568" s="1055"/>
      <c r="K11568" s="1205"/>
      <c r="L11568" s="1055"/>
      <c r="M11568" s="1205"/>
      <c r="N11568" s="1054"/>
      <c r="O11568" s="1207"/>
      <c r="Q11568" s="1207"/>
    </row>
    <row r="11569" spans="3:17" s="700" customFormat="1" ht="70.5" hidden="1" customHeight="1">
      <c r="C11569" s="701"/>
      <c r="D11569" s="811"/>
      <c r="E11569" s="1276">
        <f>[11]building!Y11900</f>
        <v>0</v>
      </c>
      <c r="F11569" s="748">
        <f t="shared" si="419"/>
        <v>0</v>
      </c>
      <c r="G11569" s="1205"/>
      <c r="H11569" s="1055"/>
      <c r="I11569" s="1055"/>
      <c r="J11569" s="1055"/>
      <c r="K11569" s="1205"/>
      <c r="L11569" s="1055"/>
      <c r="M11569" s="1205"/>
      <c r="N11569" s="1054"/>
      <c r="O11569" s="1207"/>
      <c r="Q11569" s="1207"/>
    </row>
    <row r="11570" spans="3:17" s="700" customFormat="1" ht="70.5" hidden="1" customHeight="1">
      <c r="C11570" s="701"/>
      <c r="D11570" s="811"/>
      <c r="E11570" s="1276">
        <f>[11]building!Y11901</f>
        <v>0</v>
      </c>
      <c r="F11570" s="748">
        <f t="shared" si="419"/>
        <v>0</v>
      </c>
      <c r="G11570" s="1205"/>
      <c r="H11570" s="1055"/>
      <c r="I11570" s="1055"/>
      <c r="J11570" s="1055"/>
      <c r="K11570" s="1205"/>
      <c r="L11570" s="1055"/>
      <c r="M11570" s="1205"/>
      <c r="N11570" s="1054"/>
      <c r="O11570" s="1207"/>
      <c r="Q11570" s="1207"/>
    </row>
    <row r="11571" spans="3:17" s="700" customFormat="1" ht="70.5" hidden="1" customHeight="1">
      <c r="C11571" s="701"/>
      <c r="D11571" s="811"/>
      <c r="E11571" s="1276">
        <f>[11]building!Y11902</f>
        <v>0</v>
      </c>
      <c r="F11571" s="748">
        <f t="shared" si="419"/>
        <v>0</v>
      </c>
      <c r="G11571" s="1205"/>
      <c r="H11571" s="1055"/>
      <c r="I11571" s="1055"/>
      <c r="J11571" s="1055"/>
      <c r="K11571" s="1205"/>
      <c r="L11571" s="1055"/>
      <c r="M11571" s="1205"/>
      <c r="N11571" s="1054"/>
      <c r="O11571" s="1207"/>
      <c r="Q11571" s="1207"/>
    </row>
    <row r="11572" spans="3:17" s="700" customFormat="1" ht="70.5" hidden="1" customHeight="1">
      <c r="C11572" s="701"/>
      <c r="D11572" s="811"/>
      <c r="E11572" s="1276">
        <f>[11]building!Y11903</f>
        <v>0</v>
      </c>
      <c r="F11572" s="748">
        <f t="shared" si="419"/>
        <v>0</v>
      </c>
      <c r="G11572" s="1205"/>
      <c r="H11572" s="1055"/>
      <c r="I11572" s="1055"/>
      <c r="J11572" s="1055"/>
      <c r="K11572" s="1205"/>
      <c r="L11572" s="1055"/>
      <c r="M11572" s="1205"/>
      <c r="N11572" s="1054"/>
      <c r="O11572" s="1207"/>
      <c r="Q11572" s="1207"/>
    </row>
    <row r="11573" spans="3:17" s="700" customFormat="1" ht="70.5" hidden="1" customHeight="1">
      <c r="C11573" s="701"/>
      <c r="D11573" s="811"/>
      <c r="E11573" s="1276">
        <f>[11]building!Y11904</f>
        <v>0</v>
      </c>
      <c r="F11573" s="748">
        <f t="shared" si="419"/>
        <v>0</v>
      </c>
      <c r="G11573" s="1205"/>
      <c r="H11573" s="1055"/>
      <c r="I11573" s="1055"/>
      <c r="J11573" s="1055"/>
      <c r="K11573" s="1205"/>
      <c r="L11573" s="1055"/>
      <c r="M11573" s="1205"/>
      <c r="N11573" s="1054"/>
      <c r="O11573" s="1207"/>
      <c r="Q11573" s="1207"/>
    </row>
    <row r="11574" spans="3:17" s="700" customFormat="1" ht="70.5" hidden="1" customHeight="1">
      <c r="C11574" s="701"/>
      <c r="D11574" s="811"/>
      <c r="E11574" s="1276">
        <f>[11]building!Y11905</f>
        <v>0</v>
      </c>
      <c r="F11574" s="748">
        <f t="shared" si="419"/>
        <v>0</v>
      </c>
      <c r="G11574" s="1205"/>
      <c r="H11574" s="1055"/>
      <c r="I11574" s="1055"/>
      <c r="J11574" s="1055"/>
      <c r="K11574" s="1205"/>
      <c r="L11574" s="1055"/>
      <c r="M11574" s="1205"/>
      <c r="N11574" s="1054"/>
      <c r="O11574" s="1207"/>
      <c r="Q11574" s="1207"/>
    </row>
    <row r="11575" spans="3:17" s="700" customFormat="1" ht="70.5" hidden="1" customHeight="1">
      <c r="C11575" s="701"/>
      <c r="D11575" s="811"/>
      <c r="E11575" s="1276">
        <f>[11]building!Y11906</f>
        <v>0</v>
      </c>
      <c r="F11575" s="748">
        <f t="shared" si="419"/>
        <v>0</v>
      </c>
      <c r="G11575" s="1205"/>
      <c r="H11575" s="1055"/>
      <c r="I11575" s="1055"/>
      <c r="J11575" s="1055"/>
      <c r="K11575" s="1205"/>
      <c r="L11575" s="1055"/>
      <c r="M11575" s="1205"/>
      <c r="N11575" s="1054"/>
      <c r="O11575" s="1207"/>
      <c r="Q11575" s="1207"/>
    </row>
    <row r="11576" spans="3:17" s="700" customFormat="1" ht="70.5" hidden="1" customHeight="1">
      <c r="C11576" s="701"/>
      <c r="D11576" s="811"/>
      <c r="E11576" s="1276">
        <f>[11]building!Y11907</f>
        <v>0</v>
      </c>
      <c r="F11576" s="748">
        <f t="shared" si="419"/>
        <v>0</v>
      </c>
      <c r="G11576" s="1205"/>
      <c r="H11576" s="1055"/>
      <c r="I11576" s="1055"/>
      <c r="J11576" s="1055"/>
      <c r="K11576" s="1205"/>
      <c r="L11576" s="1055"/>
      <c r="M11576" s="1205"/>
      <c r="N11576" s="1054"/>
      <c r="O11576" s="1207"/>
      <c r="Q11576" s="1207"/>
    </row>
    <row r="11577" spans="3:17" s="700" customFormat="1" ht="70.5" hidden="1" customHeight="1">
      <c r="C11577" s="701"/>
      <c r="D11577" s="811"/>
      <c r="E11577" s="1276">
        <f>[11]building!Y11908</f>
        <v>0</v>
      </c>
      <c r="F11577" s="748">
        <f t="shared" si="419"/>
        <v>0</v>
      </c>
      <c r="G11577" s="1205"/>
      <c r="H11577" s="1055"/>
      <c r="I11577" s="1055"/>
      <c r="J11577" s="1055"/>
      <c r="K11577" s="1205"/>
      <c r="L11577" s="1055"/>
      <c r="M11577" s="1205"/>
      <c r="N11577" s="1054"/>
      <c r="O11577" s="1207"/>
      <c r="Q11577" s="1207"/>
    </row>
    <row r="11578" spans="3:17" s="700" customFormat="1" ht="70.5" hidden="1" customHeight="1">
      <c r="C11578" s="701"/>
      <c r="D11578" s="811"/>
      <c r="E11578" s="1276">
        <f>[11]building!Y11909</f>
        <v>0</v>
      </c>
      <c r="F11578" s="748">
        <f t="shared" si="419"/>
        <v>0</v>
      </c>
      <c r="G11578" s="1205"/>
      <c r="H11578" s="1055"/>
      <c r="I11578" s="1055"/>
      <c r="J11578" s="1055"/>
      <c r="K11578" s="1205"/>
      <c r="L11578" s="1055"/>
      <c r="M11578" s="1205"/>
      <c r="N11578" s="1054"/>
      <c r="O11578" s="1207"/>
      <c r="Q11578" s="1207"/>
    </row>
    <row r="11579" spans="3:17" s="700" customFormat="1" ht="70.5" hidden="1" customHeight="1">
      <c r="C11579" s="701"/>
      <c r="D11579" s="811"/>
      <c r="E11579" s="1276">
        <f>[11]building!Y11910</f>
        <v>0</v>
      </c>
      <c r="F11579" s="748">
        <f t="shared" si="419"/>
        <v>0</v>
      </c>
      <c r="G11579" s="1205"/>
      <c r="H11579" s="1055"/>
      <c r="I11579" s="1055"/>
      <c r="J11579" s="1055"/>
      <c r="K11579" s="1205"/>
      <c r="L11579" s="1055"/>
      <c r="M11579" s="1205"/>
      <c r="N11579" s="1054"/>
      <c r="O11579" s="1207"/>
      <c r="Q11579" s="1207"/>
    </row>
    <row r="11580" spans="3:17" s="700" customFormat="1" ht="70.5" hidden="1" customHeight="1">
      <c r="C11580" s="701"/>
      <c r="D11580" s="811"/>
      <c r="E11580" s="1276">
        <f>[11]building!Y11911</f>
        <v>0</v>
      </c>
      <c r="F11580" s="748">
        <f t="shared" si="419"/>
        <v>0</v>
      </c>
      <c r="G11580" s="1205"/>
      <c r="H11580" s="1055"/>
      <c r="I11580" s="1055"/>
      <c r="J11580" s="1055"/>
      <c r="K11580" s="1205"/>
      <c r="L11580" s="1055"/>
      <c r="M11580" s="1205"/>
      <c r="N11580" s="1054"/>
      <c r="O11580" s="1207"/>
      <c r="Q11580" s="1207"/>
    </row>
    <row r="11581" spans="3:17" s="700" customFormat="1" ht="70.5" hidden="1" customHeight="1">
      <c r="C11581" s="701"/>
      <c r="D11581" s="811"/>
      <c r="E11581" s="1276">
        <f>[11]building!Y11912</f>
        <v>0</v>
      </c>
      <c r="F11581" s="748">
        <f t="shared" si="419"/>
        <v>0</v>
      </c>
      <c r="G11581" s="1205"/>
      <c r="H11581" s="1055"/>
      <c r="I11581" s="1055"/>
      <c r="J11581" s="1055"/>
      <c r="K11581" s="1205"/>
      <c r="L11581" s="1055"/>
      <c r="M11581" s="1205"/>
      <c r="N11581" s="1054"/>
      <c r="O11581" s="1207"/>
      <c r="Q11581" s="1207"/>
    </row>
    <row r="11582" spans="3:17" s="700" customFormat="1" ht="70.5" hidden="1" customHeight="1">
      <c r="C11582" s="701"/>
      <c r="D11582" s="811"/>
      <c r="E11582" s="1276">
        <f>[11]building!Y11913</f>
        <v>0</v>
      </c>
      <c r="F11582" s="748">
        <f t="shared" si="419"/>
        <v>0</v>
      </c>
      <c r="G11582" s="1205"/>
      <c r="H11582" s="1055"/>
      <c r="I11582" s="1055"/>
      <c r="J11582" s="1055"/>
      <c r="K11582" s="1205"/>
      <c r="L11582" s="1055"/>
      <c r="M11582" s="1205"/>
      <c r="N11582" s="1054"/>
      <c r="O11582" s="1207"/>
      <c r="Q11582" s="1207"/>
    </row>
    <row r="11583" spans="3:17" s="700" customFormat="1" ht="70.5" hidden="1" customHeight="1">
      <c r="C11583" s="701"/>
      <c r="D11583" s="811"/>
      <c r="E11583" s="1276">
        <f>[11]building!Y11914</f>
        <v>0</v>
      </c>
      <c r="F11583" s="748">
        <f t="shared" si="419"/>
        <v>0</v>
      </c>
      <c r="G11583" s="1205"/>
      <c r="H11583" s="1055"/>
      <c r="I11583" s="1055"/>
      <c r="J11583" s="1055"/>
      <c r="K11583" s="1205"/>
      <c r="L11583" s="1055"/>
      <c r="M11583" s="1205"/>
      <c r="N11583" s="1054"/>
      <c r="O11583" s="1207"/>
      <c r="Q11583" s="1207"/>
    </row>
    <row r="11584" spans="3:17" s="700" customFormat="1" ht="70.5" hidden="1" customHeight="1">
      <c r="C11584" s="701"/>
      <c r="D11584" s="811"/>
      <c r="E11584" s="1276">
        <f>[11]building!Y11915</f>
        <v>0</v>
      </c>
      <c r="F11584" s="748">
        <f t="shared" ref="F11584:F11647" si="420">E11584*C11584</f>
        <v>0</v>
      </c>
      <c r="G11584" s="1205"/>
      <c r="H11584" s="1055"/>
      <c r="I11584" s="1055"/>
      <c r="J11584" s="1055"/>
      <c r="K11584" s="1205"/>
      <c r="L11584" s="1055"/>
      <c r="M11584" s="1205"/>
      <c r="N11584" s="1054"/>
      <c r="O11584" s="1207"/>
      <c r="Q11584" s="1207"/>
    </row>
    <row r="11585" spans="3:17" s="700" customFormat="1" ht="70.5" hidden="1" customHeight="1">
      <c r="C11585" s="701"/>
      <c r="D11585" s="811"/>
      <c r="E11585" s="1276">
        <f>[11]building!Y11916</f>
        <v>0</v>
      </c>
      <c r="F11585" s="748">
        <f t="shared" si="420"/>
        <v>0</v>
      </c>
      <c r="G11585" s="1205"/>
      <c r="H11585" s="1055"/>
      <c r="I11585" s="1055"/>
      <c r="J11585" s="1055"/>
      <c r="K11585" s="1205"/>
      <c r="L11585" s="1055"/>
      <c r="M11585" s="1205"/>
      <c r="N11585" s="1054"/>
      <c r="O11585" s="1207"/>
      <c r="Q11585" s="1207"/>
    </row>
    <row r="11586" spans="3:17" s="700" customFormat="1" ht="70.5" hidden="1" customHeight="1">
      <c r="C11586" s="701"/>
      <c r="D11586" s="811"/>
      <c r="E11586" s="1276">
        <f>[11]building!Y11917</f>
        <v>0</v>
      </c>
      <c r="F11586" s="748">
        <f t="shared" si="420"/>
        <v>0</v>
      </c>
      <c r="G11586" s="1205"/>
      <c r="H11586" s="1055"/>
      <c r="I11586" s="1055"/>
      <c r="J11586" s="1055"/>
      <c r="K11586" s="1205"/>
      <c r="L11586" s="1055"/>
      <c r="M11586" s="1205"/>
      <c r="N11586" s="1054"/>
      <c r="O11586" s="1207"/>
      <c r="Q11586" s="1207"/>
    </row>
    <row r="11587" spans="3:17" s="700" customFormat="1" ht="70.5" hidden="1" customHeight="1">
      <c r="C11587" s="701"/>
      <c r="D11587" s="811"/>
      <c r="E11587" s="1276">
        <f>[11]building!Y11918</f>
        <v>0</v>
      </c>
      <c r="F11587" s="748">
        <f t="shared" si="420"/>
        <v>0</v>
      </c>
      <c r="G11587" s="1205"/>
      <c r="H11587" s="1055"/>
      <c r="I11587" s="1055"/>
      <c r="J11587" s="1055"/>
      <c r="K11587" s="1205"/>
      <c r="L11587" s="1055"/>
      <c r="M11587" s="1205"/>
      <c r="N11587" s="1054"/>
      <c r="O11587" s="1207"/>
      <c r="Q11587" s="1207"/>
    </row>
    <row r="11588" spans="3:17" s="700" customFormat="1" ht="70.5" hidden="1" customHeight="1">
      <c r="C11588" s="701"/>
      <c r="D11588" s="811"/>
      <c r="E11588" s="1276">
        <f>[11]building!Y11919</f>
        <v>0</v>
      </c>
      <c r="F11588" s="748">
        <f t="shared" si="420"/>
        <v>0</v>
      </c>
      <c r="G11588" s="1205"/>
      <c r="H11588" s="1055"/>
      <c r="I11588" s="1055"/>
      <c r="J11588" s="1055"/>
      <c r="K11588" s="1205"/>
      <c r="L11588" s="1055"/>
      <c r="M11588" s="1205"/>
      <c r="N11588" s="1054"/>
      <c r="O11588" s="1207"/>
      <c r="Q11588" s="1207"/>
    </row>
    <row r="11589" spans="3:17" s="700" customFormat="1" ht="70.5" hidden="1" customHeight="1">
      <c r="C11589" s="701"/>
      <c r="D11589" s="811"/>
      <c r="E11589" s="1276">
        <f>[11]building!Y11920</f>
        <v>0</v>
      </c>
      <c r="F11589" s="748">
        <f t="shared" si="420"/>
        <v>0</v>
      </c>
      <c r="G11589" s="1205"/>
      <c r="H11589" s="1055"/>
      <c r="I11589" s="1055"/>
      <c r="J11589" s="1055"/>
      <c r="K11589" s="1205"/>
      <c r="L11589" s="1055"/>
      <c r="M11589" s="1205"/>
      <c r="N11589" s="1054"/>
      <c r="O11589" s="1207"/>
      <c r="Q11589" s="1207"/>
    </row>
    <row r="11590" spans="3:17" s="700" customFormat="1" ht="70.5" hidden="1" customHeight="1">
      <c r="C11590" s="701"/>
      <c r="D11590" s="811"/>
      <c r="E11590" s="1276">
        <f>[11]building!Y11921</f>
        <v>0</v>
      </c>
      <c r="F11590" s="748">
        <f t="shared" si="420"/>
        <v>0</v>
      </c>
      <c r="G11590" s="1205"/>
      <c r="H11590" s="1055"/>
      <c r="I11590" s="1055"/>
      <c r="J11590" s="1055"/>
      <c r="K11590" s="1205"/>
      <c r="L11590" s="1055"/>
      <c r="M11590" s="1205"/>
      <c r="N11590" s="1054"/>
      <c r="O11590" s="1207"/>
      <c r="Q11590" s="1207"/>
    </row>
    <row r="11591" spans="3:17" s="700" customFormat="1" ht="70.5" hidden="1" customHeight="1">
      <c r="C11591" s="701"/>
      <c r="D11591" s="811"/>
      <c r="E11591" s="1276">
        <f>[11]building!Y11922</f>
        <v>0</v>
      </c>
      <c r="F11591" s="748">
        <f t="shared" si="420"/>
        <v>0</v>
      </c>
      <c r="G11591" s="1205"/>
      <c r="H11591" s="1055"/>
      <c r="I11591" s="1055"/>
      <c r="J11591" s="1055"/>
      <c r="K11591" s="1205"/>
      <c r="L11591" s="1055"/>
      <c r="M11591" s="1205"/>
      <c r="N11591" s="1054"/>
      <c r="O11591" s="1207"/>
      <c r="Q11591" s="1207"/>
    </row>
    <row r="11592" spans="3:17" s="700" customFormat="1" ht="70.5" hidden="1" customHeight="1">
      <c r="C11592" s="701"/>
      <c r="D11592" s="811"/>
      <c r="E11592" s="1276">
        <f>[11]building!Y11923</f>
        <v>0</v>
      </c>
      <c r="F11592" s="748">
        <f t="shared" si="420"/>
        <v>0</v>
      </c>
      <c r="G11592" s="1205"/>
      <c r="H11592" s="1055"/>
      <c r="I11592" s="1055"/>
      <c r="J11592" s="1055"/>
      <c r="K11592" s="1205"/>
      <c r="L11592" s="1055"/>
      <c r="M11592" s="1205"/>
      <c r="N11592" s="1054"/>
      <c r="O11592" s="1207"/>
      <c r="Q11592" s="1207"/>
    </row>
    <row r="11593" spans="3:17" s="700" customFormat="1" ht="70.5" hidden="1" customHeight="1">
      <c r="C11593" s="701"/>
      <c r="D11593" s="811"/>
      <c r="E11593" s="1276">
        <f>[11]building!Y11924</f>
        <v>0</v>
      </c>
      <c r="F11593" s="748">
        <f t="shared" si="420"/>
        <v>0</v>
      </c>
      <c r="G11593" s="1205"/>
      <c r="H11593" s="1055"/>
      <c r="I11593" s="1055"/>
      <c r="J11593" s="1055"/>
      <c r="K11593" s="1205"/>
      <c r="L11593" s="1055"/>
      <c r="M11593" s="1205"/>
      <c r="N11593" s="1054"/>
      <c r="O11593" s="1207"/>
      <c r="Q11593" s="1207"/>
    </row>
    <row r="11594" spans="3:17" s="700" customFormat="1" ht="70.5" hidden="1" customHeight="1">
      <c r="C11594" s="701"/>
      <c r="D11594" s="811"/>
      <c r="E11594" s="1276">
        <f>[11]building!Y11925</f>
        <v>0</v>
      </c>
      <c r="F11594" s="748">
        <f t="shared" si="420"/>
        <v>0</v>
      </c>
      <c r="G11594" s="1205"/>
      <c r="H11594" s="1055"/>
      <c r="I11594" s="1055"/>
      <c r="J11594" s="1055"/>
      <c r="K11594" s="1205"/>
      <c r="L11594" s="1055"/>
      <c r="M11594" s="1205"/>
      <c r="N11594" s="1054"/>
      <c r="O11594" s="1207"/>
      <c r="Q11594" s="1207"/>
    </row>
    <row r="11595" spans="3:17" s="700" customFormat="1" ht="70.5" hidden="1" customHeight="1">
      <c r="C11595" s="701"/>
      <c r="D11595" s="811"/>
      <c r="E11595" s="1276">
        <f>[11]building!Y11926</f>
        <v>0</v>
      </c>
      <c r="F11595" s="748">
        <f t="shared" si="420"/>
        <v>0</v>
      </c>
      <c r="G11595" s="1205"/>
      <c r="H11595" s="1055"/>
      <c r="I11595" s="1055"/>
      <c r="J11595" s="1055"/>
      <c r="K11595" s="1205"/>
      <c r="L11595" s="1055"/>
      <c r="M11595" s="1205"/>
      <c r="N11595" s="1054"/>
      <c r="O11595" s="1207"/>
      <c r="Q11595" s="1207"/>
    </row>
    <row r="11596" spans="3:17" s="700" customFormat="1" ht="70.5" hidden="1" customHeight="1">
      <c r="C11596" s="701"/>
      <c r="D11596" s="811"/>
      <c r="E11596" s="1276">
        <f>[11]building!Y11927</f>
        <v>0</v>
      </c>
      <c r="F11596" s="748">
        <f t="shared" si="420"/>
        <v>0</v>
      </c>
      <c r="G11596" s="1205"/>
      <c r="H11596" s="1055"/>
      <c r="I11596" s="1055"/>
      <c r="J11596" s="1055"/>
      <c r="K11596" s="1205"/>
      <c r="L11596" s="1055"/>
      <c r="M11596" s="1205"/>
      <c r="N11596" s="1054"/>
      <c r="O11596" s="1207"/>
      <c r="Q11596" s="1207"/>
    </row>
    <row r="11597" spans="3:17" s="700" customFormat="1" ht="70.5" hidden="1" customHeight="1">
      <c r="C11597" s="701"/>
      <c r="D11597" s="811"/>
      <c r="E11597" s="1276">
        <f>[11]building!Y11928</f>
        <v>0</v>
      </c>
      <c r="F11597" s="748">
        <f t="shared" si="420"/>
        <v>0</v>
      </c>
      <c r="G11597" s="1205"/>
      <c r="H11597" s="1055"/>
      <c r="I11597" s="1055"/>
      <c r="J11597" s="1055"/>
      <c r="K11597" s="1205"/>
      <c r="L11597" s="1055"/>
      <c r="M11597" s="1205"/>
      <c r="N11597" s="1054"/>
      <c r="O11597" s="1207"/>
      <c r="Q11597" s="1207"/>
    </row>
    <row r="11598" spans="3:17" s="700" customFormat="1" ht="70.5" hidden="1" customHeight="1">
      <c r="C11598" s="701"/>
      <c r="D11598" s="811"/>
      <c r="E11598" s="1276">
        <f>[11]building!Y11929</f>
        <v>0</v>
      </c>
      <c r="F11598" s="748">
        <f t="shared" si="420"/>
        <v>0</v>
      </c>
      <c r="G11598" s="1205"/>
      <c r="H11598" s="1055"/>
      <c r="I11598" s="1055"/>
      <c r="J11598" s="1055"/>
      <c r="K11598" s="1205"/>
      <c r="L11598" s="1055"/>
      <c r="M11598" s="1205"/>
      <c r="N11598" s="1054"/>
      <c r="O11598" s="1207"/>
      <c r="Q11598" s="1207"/>
    </row>
    <row r="11599" spans="3:17" s="700" customFormat="1" ht="70.5" hidden="1" customHeight="1">
      <c r="C11599" s="701"/>
      <c r="D11599" s="811"/>
      <c r="E11599" s="1276">
        <f>[11]building!Y11930</f>
        <v>0</v>
      </c>
      <c r="F11599" s="748">
        <f t="shared" si="420"/>
        <v>0</v>
      </c>
      <c r="G11599" s="1205"/>
      <c r="H11599" s="1055"/>
      <c r="I11599" s="1055"/>
      <c r="J11599" s="1055"/>
      <c r="K11599" s="1205"/>
      <c r="L11599" s="1055"/>
      <c r="M11599" s="1205"/>
      <c r="N11599" s="1054"/>
      <c r="O11599" s="1207"/>
      <c r="Q11599" s="1207"/>
    </row>
    <row r="11600" spans="3:17" s="700" customFormat="1" ht="70.5" hidden="1" customHeight="1">
      <c r="C11600" s="701"/>
      <c r="D11600" s="811"/>
      <c r="E11600" s="1276">
        <f>[11]building!Y11931</f>
        <v>0</v>
      </c>
      <c r="F11600" s="748">
        <f t="shared" si="420"/>
        <v>0</v>
      </c>
      <c r="G11600" s="1205"/>
      <c r="H11600" s="1055"/>
      <c r="I11600" s="1055"/>
      <c r="J11600" s="1055"/>
      <c r="K11600" s="1205"/>
      <c r="L11600" s="1055"/>
      <c r="M11600" s="1205"/>
      <c r="N11600" s="1054"/>
      <c r="O11600" s="1207"/>
      <c r="Q11600" s="1207"/>
    </row>
    <row r="11601" spans="3:17" s="700" customFormat="1" ht="70.5" hidden="1" customHeight="1">
      <c r="C11601" s="701"/>
      <c r="D11601" s="811"/>
      <c r="E11601" s="1276">
        <f>[11]building!Y11932</f>
        <v>0</v>
      </c>
      <c r="F11601" s="748">
        <f t="shared" si="420"/>
        <v>0</v>
      </c>
      <c r="G11601" s="1205"/>
      <c r="H11601" s="1055"/>
      <c r="I11601" s="1055"/>
      <c r="J11601" s="1055"/>
      <c r="K11601" s="1205"/>
      <c r="L11601" s="1055"/>
      <c r="M11601" s="1205"/>
      <c r="N11601" s="1054"/>
      <c r="O11601" s="1207"/>
      <c r="Q11601" s="1207"/>
    </row>
    <row r="11602" spans="3:17" s="700" customFormat="1" ht="70.5" hidden="1" customHeight="1">
      <c r="C11602" s="701"/>
      <c r="D11602" s="811"/>
      <c r="E11602" s="1276">
        <f>[11]building!Y11933</f>
        <v>0</v>
      </c>
      <c r="F11602" s="748">
        <f t="shared" si="420"/>
        <v>0</v>
      </c>
      <c r="G11602" s="1205"/>
      <c r="H11602" s="1055"/>
      <c r="I11602" s="1055"/>
      <c r="J11602" s="1055"/>
      <c r="K11602" s="1205"/>
      <c r="L11602" s="1055"/>
      <c r="M11602" s="1205"/>
      <c r="N11602" s="1054"/>
      <c r="O11602" s="1207"/>
      <c r="Q11602" s="1207"/>
    </row>
    <row r="11603" spans="3:17" s="700" customFormat="1" ht="70.5" hidden="1" customHeight="1">
      <c r="C11603" s="701"/>
      <c r="D11603" s="811"/>
      <c r="E11603" s="1276">
        <f>[11]building!Y11934</f>
        <v>0</v>
      </c>
      <c r="F11603" s="748">
        <f t="shared" si="420"/>
        <v>0</v>
      </c>
      <c r="G11603" s="1205"/>
      <c r="H11603" s="1055"/>
      <c r="I11603" s="1055"/>
      <c r="J11603" s="1055"/>
      <c r="K11603" s="1205"/>
      <c r="L11603" s="1055"/>
      <c r="M11603" s="1205"/>
      <c r="N11603" s="1054"/>
      <c r="O11603" s="1207"/>
      <c r="Q11603" s="1207"/>
    </row>
    <row r="11604" spans="3:17" s="700" customFormat="1" ht="70.5" hidden="1" customHeight="1">
      <c r="C11604" s="701"/>
      <c r="D11604" s="811"/>
      <c r="E11604" s="1276">
        <f>[11]building!Y11935</f>
        <v>0</v>
      </c>
      <c r="F11604" s="748">
        <f t="shared" si="420"/>
        <v>0</v>
      </c>
      <c r="G11604" s="1205"/>
      <c r="H11604" s="1055"/>
      <c r="I11604" s="1055"/>
      <c r="J11604" s="1055"/>
      <c r="K11604" s="1205"/>
      <c r="L11604" s="1055"/>
      <c r="M11604" s="1205"/>
      <c r="N11604" s="1054"/>
      <c r="O11604" s="1207"/>
      <c r="Q11604" s="1207"/>
    </row>
    <row r="11605" spans="3:17" s="700" customFormat="1" ht="70.5" hidden="1" customHeight="1">
      <c r="C11605" s="701"/>
      <c r="D11605" s="811"/>
      <c r="E11605" s="1276">
        <f>[11]building!Y11936</f>
        <v>0</v>
      </c>
      <c r="F11605" s="748">
        <f t="shared" si="420"/>
        <v>0</v>
      </c>
      <c r="G11605" s="1205"/>
      <c r="H11605" s="1055"/>
      <c r="I11605" s="1055"/>
      <c r="J11605" s="1055"/>
      <c r="K11605" s="1205"/>
      <c r="L11605" s="1055"/>
      <c r="M11605" s="1205"/>
      <c r="N11605" s="1054"/>
      <c r="O11605" s="1207"/>
      <c r="Q11605" s="1207"/>
    </row>
    <row r="11606" spans="3:17" s="700" customFormat="1" ht="70.5" hidden="1" customHeight="1">
      <c r="C11606" s="701"/>
      <c r="D11606" s="811"/>
      <c r="E11606" s="1276">
        <f>[11]building!Y11937</f>
        <v>0</v>
      </c>
      <c r="F11606" s="748">
        <f t="shared" si="420"/>
        <v>0</v>
      </c>
      <c r="G11606" s="1205"/>
      <c r="H11606" s="1055"/>
      <c r="I11606" s="1055"/>
      <c r="J11606" s="1055"/>
      <c r="K11606" s="1205"/>
      <c r="L11606" s="1055"/>
      <c r="M11606" s="1205"/>
      <c r="N11606" s="1054"/>
      <c r="O11606" s="1207"/>
      <c r="Q11606" s="1207"/>
    </row>
    <row r="11607" spans="3:17" s="700" customFormat="1" ht="70.5" hidden="1" customHeight="1">
      <c r="C11607" s="701"/>
      <c r="D11607" s="811"/>
      <c r="E11607" s="1276">
        <f>[11]building!Y11938</f>
        <v>0</v>
      </c>
      <c r="F11607" s="748">
        <f t="shared" si="420"/>
        <v>0</v>
      </c>
      <c r="G11607" s="1205"/>
      <c r="H11607" s="1055"/>
      <c r="I11607" s="1055"/>
      <c r="J11607" s="1055"/>
      <c r="K11607" s="1205"/>
      <c r="L11607" s="1055"/>
      <c r="M11607" s="1205"/>
      <c r="N11607" s="1054"/>
      <c r="O11607" s="1207"/>
      <c r="Q11607" s="1207"/>
    </row>
    <row r="11608" spans="3:17" s="700" customFormat="1" ht="70.5" hidden="1" customHeight="1">
      <c r="C11608" s="701"/>
      <c r="D11608" s="811"/>
      <c r="E11608" s="1276">
        <f>[11]building!Y11939</f>
        <v>0</v>
      </c>
      <c r="F11608" s="748">
        <f t="shared" si="420"/>
        <v>0</v>
      </c>
      <c r="G11608" s="1205"/>
      <c r="H11608" s="1055"/>
      <c r="I11608" s="1055"/>
      <c r="J11608" s="1055"/>
      <c r="K11608" s="1205"/>
      <c r="L11608" s="1055"/>
      <c r="M11608" s="1205"/>
      <c r="N11608" s="1054"/>
      <c r="O11608" s="1207"/>
      <c r="Q11608" s="1207"/>
    </row>
    <row r="11609" spans="3:17" s="700" customFormat="1" ht="70.5" hidden="1" customHeight="1">
      <c r="C11609" s="701"/>
      <c r="D11609" s="811"/>
      <c r="E11609" s="1276">
        <f>[11]building!Y11940</f>
        <v>0</v>
      </c>
      <c r="F11609" s="748">
        <f t="shared" si="420"/>
        <v>0</v>
      </c>
      <c r="G11609" s="1205"/>
      <c r="H11609" s="1055"/>
      <c r="I11609" s="1055"/>
      <c r="J11609" s="1055"/>
      <c r="K11609" s="1205"/>
      <c r="L11609" s="1055"/>
      <c r="M11609" s="1205"/>
      <c r="N11609" s="1054"/>
      <c r="O11609" s="1207"/>
      <c r="Q11609" s="1207"/>
    </row>
    <row r="11610" spans="3:17" s="700" customFormat="1" ht="70.5" hidden="1" customHeight="1">
      <c r="C11610" s="701"/>
      <c r="D11610" s="811"/>
      <c r="E11610" s="1276">
        <f>[11]building!Y11941</f>
        <v>0</v>
      </c>
      <c r="F11610" s="748">
        <f t="shared" si="420"/>
        <v>0</v>
      </c>
      <c r="G11610" s="1205"/>
      <c r="H11610" s="1055"/>
      <c r="I11610" s="1055"/>
      <c r="J11610" s="1055"/>
      <c r="K11610" s="1205"/>
      <c r="L11610" s="1055"/>
      <c r="M11610" s="1205"/>
      <c r="N11610" s="1054"/>
      <c r="O11610" s="1207"/>
      <c r="Q11610" s="1207"/>
    </row>
    <row r="11611" spans="3:17" s="700" customFormat="1" ht="70.5" hidden="1" customHeight="1">
      <c r="C11611" s="701"/>
      <c r="D11611" s="811"/>
      <c r="E11611" s="1276">
        <f>[11]building!Y11942</f>
        <v>0</v>
      </c>
      <c r="F11611" s="748">
        <f t="shared" si="420"/>
        <v>0</v>
      </c>
      <c r="G11611" s="1205"/>
      <c r="H11611" s="1055"/>
      <c r="I11611" s="1055"/>
      <c r="J11611" s="1055"/>
      <c r="K11611" s="1205"/>
      <c r="L11611" s="1055"/>
      <c r="M11611" s="1205"/>
      <c r="N11611" s="1054"/>
      <c r="O11611" s="1207"/>
      <c r="Q11611" s="1207"/>
    </row>
    <row r="11612" spans="3:17" s="700" customFormat="1" ht="70.5" hidden="1" customHeight="1">
      <c r="C11612" s="701"/>
      <c r="D11612" s="811"/>
      <c r="E11612" s="1276">
        <f>[11]building!Y11943</f>
        <v>0</v>
      </c>
      <c r="F11612" s="748">
        <f t="shared" si="420"/>
        <v>0</v>
      </c>
      <c r="G11612" s="1205"/>
      <c r="H11612" s="1055"/>
      <c r="I11612" s="1055"/>
      <c r="J11612" s="1055"/>
      <c r="K11612" s="1205"/>
      <c r="L11612" s="1055"/>
      <c r="M11612" s="1205"/>
      <c r="N11612" s="1054"/>
      <c r="O11612" s="1207"/>
      <c r="Q11612" s="1207"/>
    </row>
    <row r="11613" spans="3:17" s="700" customFormat="1" ht="70.5" hidden="1" customHeight="1">
      <c r="C11613" s="701"/>
      <c r="D11613" s="811"/>
      <c r="E11613" s="1276">
        <f>[11]building!Y11944</f>
        <v>0</v>
      </c>
      <c r="F11613" s="748">
        <f t="shared" si="420"/>
        <v>0</v>
      </c>
      <c r="G11613" s="1205"/>
      <c r="H11613" s="1055"/>
      <c r="I11613" s="1055"/>
      <c r="J11613" s="1055"/>
      <c r="K11613" s="1205"/>
      <c r="L11613" s="1055"/>
      <c r="M11613" s="1205"/>
      <c r="N11613" s="1054"/>
      <c r="O11613" s="1207"/>
      <c r="Q11613" s="1207"/>
    </row>
    <row r="11614" spans="3:17" s="700" customFormat="1" ht="70.5" hidden="1" customHeight="1">
      <c r="C11614" s="701"/>
      <c r="D11614" s="811"/>
      <c r="E11614" s="1276">
        <f>[11]building!Y11945</f>
        <v>0</v>
      </c>
      <c r="F11614" s="748">
        <f t="shared" si="420"/>
        <v>0</v>
      </c>
      <c r="G11614" s="1205"/>
      <c r="H11614" s="1055"/>
      <c r="I11614" s="1055"/>
      <c r="J11614" s="1055"/>
      <c r="K11614" s="1205"/>
      <c r="L11614" s="1055"/>
      <c r="M11614" s="1205"/>
      <c r="N11614" s="1054"/>
      <c r="O11614" s="1207"/>
      <c r="Q11614" s="1207"/>
    </row>
    <row r="11615" spans="3:17" s="700" customFormat="1" ht="70.5" hidden="1" customHeight="1">
      <c r="C11615" s="701"/>
      <c r="D11615" s="811"/>
      <c r="E11615" s="1276">
        <f>[11]building!Y11946</f>
        <v>0</v>
      </c>
      <c r="F11615" s="748">
        <f t="shared" si="420"/>
        <v>0</v>
      </c>
      <c r="G11615" s="1205"/>
      <c r="H11615" s="1055"/>
      <c r="I11615" s="1055"/>
      <c r="J11615" s="1055"/>
      <c r="K11615" s="1205"/>
      <c r="L11615" s="1055"/>
      <c r="M11615" s="1205"/>
      <c r="N11615" s="1054"/>
      <c r="O11615" s="1207"/>
      <c r="Q11615" s="1207"/>
    </row>
    <row r="11616" spans="3:17" s="700" customFormat="1" ht="70.5" hidden="1" customHeight="1">
      <c r="C11616" s="701"/>
      <c r="D11616" s="811"/>
      <c r="E11616" s="1276">
        <f>[11]building!Y11947</f>
        <v>0</v>
      </c>
      <c r="F11616" s="748">
        <f t="shared" si="420"/>
        <v>0</v>
      </c>
      <c r="G11616" s="1205"/>
      <c r="H11616" s="1055"/>
      <c r="I11616" s="1055"/>
      <c r="J11616" s="1055"/>
      <c r="K11616" s="1205"/>
      <c r="L11616" s="1055"/>
      <c r="M11616" s="1205"/>
      <c r="N11616" s="1054"/>
      <c r="O11616" s="1207"/>
      <c r="Q11616" s="1207"/>
    </row>
    <row r="11617" spans="3:17" s="700" customFormat="1" ht="70.5" hidden="1" customHeight="1">
      <c r="C11617" s="701"/>
      <c r="D11617" s="811"/>
      <c r="E11617" s="1276">
        <f>[11]building!Y11948</f>
        <v>0</v>
      </c>
      <c r="F11617" s="748">
        <f t="shared" si="420"/>
        <v>0</v>
      </c>
      <c r="G11617" s="1205"/>
      <c r="H11617" s="1055"/>
      <c r="I11617" s="1055"/>
      <c r="J11617" s="1055"/>
      <c r="K11617" s="1205"/>
      <c r="L11617" s="1055"/>
      <c r="M11617" s="1205"/>
      <c r="N11617" s="1054"/>
      <c r="O11617" s="1207"/>
      <c r="Q11617" s="1207"/>
    </row>
    <row r="11618" spans="3:17" s="700" customFormat="1" ht="70.5" hidden="1" customHeight="1">
      <c r="C11618" s="701"/>
      <c r="D11618" s="811"/>
      <c r="E11618" s="1276">
        <f>[11]building!Y11949</f>
        <v>0</v>
      </c>
      <c r="F11618" s="748">
        <f t="shared" si="420"/>
        <v>0</v>
      </c>
      <c r="G11618" s="1205"/>
      <c r="H11618" s="1055"/>
      <c r="I11618" s="1055"/>
      <c r="J11618" s="1055"/>
      <c r="K11618" s="1205"/>
      <c r="L11618" s="1055"/>
      <c r="M11618" s="1205"/>
      <c r="N11618" s="1054"/>
      <c r="O11618" s="1207"/>
      <c r="Q11618" s="1207"/>
    </row>
    <row r="11619" spans="3:17" s="700" customFormat="1" ht="70.5" hidden="1" customHeight="1">
      <c r="C11619" s="701"/>
      <c r="D11619" s="811"/>
      <c r="E11619" s="1276">
        <f>[11]building!Y11950</f>
        <v>0</v>
      </c>
      <c r="F11619" s="748">
        <f t="shared" si="420"/>
        <v>0</v>
      </c>
      <c r="G11619" s="1205"/>
      <c r="H11619" s="1055"/>
      <c r="I11619" s="1055"/>
      <c r="J11619" s="1055"/>
      <c r="K11619" s="1205"/>
      <c r="L11619" s="1055"/>
      <c r="M11619" s="1205"/>
      <c r="N11619" s="1054"/>
      <c r="O11619" s="1207"/>
      <c r="Q11619" s="1207"/>
    </row>
    <row r="11620" spans="3:17" s="700" customFormat="1" ht="70.5" hidden="1" customHeight="1">
      <c r="C11620" s="701"/>
      <c r="D11620" s="811"/>
      <c r="E11620" s="1276">
        <f>[11]building!Y11951</f>
        <v>0</v>
      </c>
      <c r="F11620" s="748">
        <f t="shared" si="420"/>
        <v>0</v>
      </c>
      <c r="G11620" s="1205"/>
      <c r="H11620" s="1055"/>
      <c r="I11620" s="1055"/>
      <c r="J11620" s="1055"/>
      <c r="K11620" s="1205"/>
      <c r="L11620" s="1055"/>
      <c r="M11620" s="1205"/>
      <c r="N11620" s="1054"/>
      <c r="O11620" s="1207"/>
      <c r="Q11620" s="1207"/>
    </row>
    <row r="11621" spans="3:17" s="700" customFormat="1" ht="70.5" hidden="1" customHeight="1">
      <c r="C11621" s="701"/>
      <c r="D11621" s="811"/>
      <c r="E11621" s="1276">
        <f>[11]building!Y11952</f>
        <v>0</v>
      </c>
      <c r="F11621" s="748">
        <f t="shared" si="420"/>
        <v>0</v>
      </c>
      <c r="G11621" s="1205"/>
      <c r="H11621" s="1055"/>
      <c r="I11621" s="1055"/>
      <c r="J11621" s="1055"/>
      <c r="K11621" s="1205"/>
      <c r="L11621" s="1055"/>
      <c r="M11621" s="1205"/>
      <c r="N11621" s="1054"/>
      <c r="O11621" s="1207"/>
      <c r="Q11621" s="1207"/>
    </row>
    <row r="11622" spans="3:17" s="700" customFormat="1" ht="70.5" hidden="1" customHeight="1">
      <c r="C11622" s="701"/>
      <c r="D11622" s="811"/>
      <c r="E11622" s="1276">
        <f>[11]building!Y11953</f>
        <v>0</v>
      </c>
      <c r="F11622" s="748">
        <f t="shared" si="420"/>
        <v>0</v>
      </c>
      <c r="G11622" s="1205"/>
      <c r="H11622" s="1055"/>
      <c r="I11622" s="1055"/>
      <c r="J11622" s="1055"/>
      <c r="K11622" s="1205"/>
      <c r="L11622" s="1055"/>
      <c r="M11622" s="1205"/>
      <c r="N11622" s="1054"/>
      <c r="O11622" s="1207"/>
      <c r="Q11622" s="1207"/>
    </row>
    <row r="11623" spans="3:17" s="700" customFormat="1" ht="70.5" hidden="1" customHeight="1">
      <c r="C11623" s="701"/>
      <c r="D11623" s="811"/>
      <c r="E11623" s="1276">
        <f>[11]building!Y11954</f>
        <v>0</v>
      </c>
      <c r="F11623" s="748">
        <f t="shared" si="420"/>
        <v>0</v>
      </c>
      <c r="G11623" s="1205"/>
      <c r="H11623" s="1055"/>
      <c r="I11623" s="1055"/>
      <c r="J11623" s="1055"/>
      <c r="K11623" s="1205"/>
      <c r="L11623" s="1055"/>
      <c r="M11623" s="1205"/>
      <c r="N11623" s="1054"/>
      <c r="O11623" s="1207"/>
      <c r="Q11623" s="1207"/>
    </row>
    <row r="11624" spans="3:17" s="700" customFormat="1" ht="70.5" hidden="1" customHeight="1">
      <c r="C11624" s="701"/>
      <c r="D11624" s="811"/>
      <c r="E11624" s="1276">
        <f>[11]building!Y11955</f>
        <v>0</v>
      </c>
      <c r="F11624" s="748">
        <f t="shared" si="420"/>
        <v>0</v>
      </c>
      <c r="G11624" s="1205"/>
      <c r="H11624" s="1055"/>
      <c r="I11624" s="1055"/>
      <c r="J11624" s="1055"/>
      <c r="K11624" s="1205"/>
      <c r="L11624" s="1055"/>
      <c r="M11624" s="1205"/>
      <c r="N11624" s="1054"/>
      <c r="O11624" s="1207"/>
      <c r="Q11624" s="1207"/>
    </row>
    <row r="11625" spans="3:17" s="700" customFormat="1" ht="70.5" hidden="1" customHeight="1">
      <c r="C11625" s="701"/>
      <c r="D11625" s="811"/>
      <c r="E11625" s="1276">
        <f>[11]building!Y11956</f>
        <v>0</v>
      </c>
      <c r="F11625" s="748">
        <f t="shared" si="420"/>
        <v>0</v>
      </c>
      <c r="G11625" s="1205"/>
      <c r="H11625" s="1055"/>
      <c r="I11625" s="1055"/>
      <c r="J11625" s="1055"/>
      <c r="K11625" s="1205"/>
      <c r="L11625" s="1055"/>
      <c r="M11625" s="1205"/>
      <c r="N11625" s="1054"/>
      <c r="O11625" s="1207"/>
      <c r="Q11625" s="1207"/>
    </row>
    <row r="11626" spans="3:17" s="700" customFormat="1" ht="70.5" hidden="1" customHeight="1">
      <c r="C11626" s="701"/>
      <c r="D11626" s="811"/>
      <c r="E11626" s="1276">
        <f>[11]building!Y11957</f>
        <v>0</v>
      </c>
      <c r="F11626" s="748">
        <f t="shared" si="420"/>
        <v>0</v>
      </c>
      <c r="G11626" s="1205"/>
      <c r="H11626" s="1055"/>
      <c r="I11626" s="1055"/>
      <c r="J11626" s="1055"/>
      <c r="K11626" s="1205"/>
      <c r="L11626" s="1055"/>
      <c r="M11626" s="1205"/>
      <c r="N11626" s="1054"/>
      <c r="O11626" s="1207"/>
      <c r="Q11626" s="1207"/>
    </row>
    <row r="11627" spans="3:17" s="700" customFormat="1" ht="70.5" hidden="1" customHeight="1">
      <c r="C11627" s="701"/>
      <c r="D11627" s="811"/>
      <c r="E11627" s="1276">
        <f>[11]building!Y11958</f>
        <v>0</v>
      </c>
      <c r="F11627" s="748">
        <f t="shared" si="420"/>
        <v>0</v>
      </c>
      <c r="G11627" s="1205"/>
      <c r="H11627" s="1055"/>
      <c r="I11627" s="1055"/>
      <c r="J11627" s="1055"/>
      <c r="K11627" s="1205"/>
      <c r="L11627" s="1055"/>
      <c r="M11627" s="1205"/>
      <c r="N11627" s="1054"/>
      <c r="O11627" s="1207"/>
      <c r="Q11627" s="1207"/>
    </row>
    <row r="11628" spans="3:17" s="700" customFormat="1" ht="70.5" hidden="1" customHeight="1">
      <c r="C11628" s="701"/>
      <c r="D11628" s="811"/>
      <c r="E11628" s="1276">
        <f>[11]building!Y11959</f>
        <v>0</v>
      </c>
      <c r="F11628" s="748">
        <f t="shared" si="420"/>
        <v>0</v>
      </c>
      <c r="G11628" s="1205"/>
      <c r="H11628" s="1055"/>
      <c r="I11628" s="1055"/>
      <c r="J11628" s="1055"/>
      <c r="K11628" s="1205"/>
      <c r="L11628" s="1055"/>
      <c r="M11628" s="1205"/>
      <c r="N11628" s="1054"/>
      <c r="O11628" s="1207"/>
      <c r="Q11628" s="1207"/>
    </row>
    <row r="11629" spans="3:17" s="700" customFormat="1" ht="70.5" hidden="1" customHeight="1">
      <c r="C11629" s="701"/>
      <c r="D11629" s="811"/>
      <c r="E11629" s="1276">
        <f>[11]building!Y11960</f>
        <v>0</v>
      </c>
      <c r="F11629" s="748">
        <f t="shared" si="420"/>
        <v>0</v>
      </c>
      <c r="G11629" s="1205"/>
      <c r="H11629" s="1055"/>
      <c r="I11629" s="1055"/>
      <c r="J11629" s="1055"/>
      <c r="K11629" s="1205"/>
      <c r="L11629" s="1055"/>
      <c r="M11629" s="1205"/>
      <c r="N11629" s="1054"/>
      <c r="O11629" s="1207"/>
      <c r="Q11629" s="1207"/>
    </row>
    <row r="11630" spans="3:17" s="700" customFormat="1" ht="70.5" hidden="1" customHeight="1">
      <c r="C11630" s="701"/>
      <c r="D11630" s="811"/>
      <c r="E11630" s="1276">
        <f>[11]building!Y11961</f>
        <v>0</v>
      </c>
      <c r="F11630" s="748">
        <f t="shared" si="420"/>
        <v>0</v>
      </c>
      <c r="G11630" s="1205"/>
      <c r="H11630" s="1055"/>
      <c r="I11630" s="1055"/>
      <c r="J11630" s="1055"/>
      <c r="K11630" s="1205"/>
      <c r="L11630" s="1055"/>
      <c r="M11630" s="1205"/>
      <c r="N11630" s="1054"/>
      <c r="O11630" s="1207"/>
      <c r="Q11630" s="1207"/>
    </row>
    <row r="11631" spans="3:17" s="700" customFormat="1" ht="70.5" hidden="1" customHeight="1">
      <c r="C11631" s="701"/>
      <c r="D11631" s="811"/>
      <c r="E11631" s="1276">
        <f>[11]building!Y11962</f>
        <v>0</v>
      </c>
      <c r="F11631" s="748">
        <f t="shared" si="420"/>
        <v>0</v>
      </c>
      <c r="G11631" s="1205"/>
      <c r="H11631" s="1055"/>
      <c r="I11631" s="1055"/>
      <c r="J11631" s="1055"/>
      <c r="K11631" s="1205"/>
      <c r="L11631" s="1055"/>
      <c r="M11631" s="1205"/>
      <c r="N11631" s="1054"/>
      <c r="O11631" s="1207"/>
      <c r="Q11631" s="1207"/>
    </row>
    <row r="11632" spans="3:17" s="700" customFormat="1" ht="70.5" hidden="1" customHeight="1">
      <c r="C11632" s="701"/>
      <c r="D11632" s="811"/>
      <c r="E11632" s="1276">
        <f>[11]building!Y11963</f>
        <v>0</v>
      </c>
      <c r="F11632" s="748">
        <f t="shared" si="420"/>
        <v>0</v>
      </c>
      <c r="G11632" s="1205"/>
      <c r="H11632" s="1055"/>
      <c r="I11632" s="1055"/>
      <c r="J11632" s="1055"/>
      <c r="K11632" s="1205"/>
      <c r="L11632" s="1055"/>
      <c r="M11632" s="1205"/>
      <c r="N11632" s="1054"/>
      <c r="O11632" s="1207"/>
      <c r="Q11632" s="1207"/>
    </row>
    <row r="11633" spans="3:17" s="700" customFormat="1" ht="70.5" hidden="1" customHeight="1">
      <c r="C11633" s="701"/>
      <c r="D11633" s="811"/>
      <c r="E11633" s="1276">
        <f>[11]building!Y11964</f>
        <v>0</v>
      </c>
      <c r="F11633" s="748">
        <f t="shared" si="420"/>
        <v>0</v>
      </c>
      <c r="G11633" s="1205"/>
      <c r="H11633" s="1055"/>
      <c r="I11633" s="1055"/>
      <c r="J11633" s="1055"/>
      <c r="K11633" s="1205"/>
      <c r="L11633" s="1055"/>
      <c r="M11633" s="1205"/>
      <c r="N11633" s="1054"/>
      <c r="O11633" s="1207"/>
      <c r="Q11633" s="1207"/>
    </row>
    <row r="11634" spans="3:17" s="700" customFormat="1" ht="70.5" hidden="1" customHeight="1">
      <c r="C11634" s="701"/>
      <c r="D11634" s="811"/>
      <c r="E11634" s="1276">
        <f>[11]building!Y11965</f>
        <v>0</v>
      </c>
      <c r="F11634" s="748">
        <f t="shared" si="420"/>
        <v>0</v>
      </c>
      <c r="G11634" s="1205"/>
      <c r="H11634" s="1055"/>
      <c r="I11634" s="1055"/>
      <c r="J11634" s="1055"/>
      <c r="K11634" s="1205"/>
      <c r="L11634" s="1055"/>
      <c r="M11634" s="1205"/>
      <c r="N11634" s="1054"/>
      <c r="O11634" s="1207"/>
      <c r="Q11634" s="1207"/>
    </row>
    <row r="11635" spans="3:17" s="700" customFormat="1" ht="70.5" hidden="1" customHeight="1">
      <c r="C11635" s="701"/>
      <c r="D11635" s="811"/>
      <c r="E11635" s="1276">
        <f>[11]building!Y11966</f>
        <v>0</v>
      </c>
      <c r="F11635" s="748">
        <f t="shared" si="420"/>
        <v>0</v>
      </c>
      <c r="G11635" s="1205"/>
      <c r="H11635" s="1055"/>
      <c r="I11635" s="1055"/>
      <c r="J11635" s="1055"/>
      <c r="K11635" s="1205"/>
      <c r="L11635" s="1055"/>
      <c r="M11635" s="1205"/>
      <c r="N11635" s="1054"/>
      <c r="O11635" s="1207"/>
      <c r="Q11635" s="1207"/>
    </row>
    <row r="11636" spans="3:17" s="700" customFormat="1" ht="70.5" hidden="1" customHeight="1">
      <c r="C11636" s="701"/>
      <c r="D11636" s="811"/>
      <c r="E11636" s="1276">
        <f>[11]building!Y11967</f>
        <v>0</v>
      </c>
      <c r="F11636" s="748">
        <f t="shared" si="420"/>
        <v>0</v>
      </c>
      <c r="G11636" s="1205"/>
      <c r="H11636" s="1055"/>
      <c r="I11636" s="1055"/>
      <c r="J11636" s="1055"/>
      <c r="K11636" s="1205"/>
      <c r="L11636" s="1055"/>
      <c r="M11636" s="1205"/>
      <c r="N11636" s="1054"/>
      <c r="O11636" s="1207"/>
      <c r="Q11636" s="1207"/>
    </row>
    <row r="11637" spans="3:17" s="700" customFormat="1" ht="70.5" hidden="1" customHeight="1">
      <c r="C11637" s="701"/>
      <c r="D11637" s="811"/>
      <c r="E11637" s="1276">
        <f>[11]building!Y11968</f>
        <v>0</v>
      </c>
      <c r="F11637" s="748">
        <f t="shared" si="420"/>
        <v>0</v>
      </c>
      <c r="G11637" s="1205"/>
      <c r="H11637" s="1055"/>
      <c r="I11637" s="1055"/>
      <c r="J11637" s="1055"/>
      <c r="K11637" s="1205"/>
      <c r="L11637" s="1055"/>
      <c r="M11637" s="1205"/>
      <c r="N11637" s="1054"/>
      <c r="O11637" s="1207"/>
      <c r="Q11637" s="1207"/>
    </row>
    <row r="11638" spans="3:17" s="700" customFormat="1" ht="70.5" hidden="1" customHeight="1">
      <c r="C11638" s="701"/>
      <c r="D11638" s="811"/>
      <c r="E11638" s="1276">
        <f>[11]building!Y11969</f>
        <v>0</v>
      </c>
      <c r="F11638" s="748">
        <f t="shared" si="420"/>
        <v>0</v>
      </c>
      <c r="G11638" s="1205"/>
      <c r="H11638" s="1055"/>
      <c r="I11638" s="1055"/>
      <c r="J11638" s="1055"/>
      <c r="K11638" s="1205"/>
      <c r="L11638" s="1055"/>
      <c r="M11638" s="1205"/>
      <c r="N11638" s="1054"/>
      <c r="O11638" s="1207"/>
      <c r="Q11638" s="1207"/>
    </row>
    <row r="11639" spans="3:17" s="700" customFormat="1" ht="70.5" hidden="1" customHeight="1">
      <c r="C11639" s="701"/>
      <c r="D11639" s="811"/>
      <c r="E11639" s="1276">
        <f>[11]building!Y11970</f>
        <v>0</v>
      </c>
      <c r="F11639" s="748">
        <f t="shared" si="420"/>
        <v>0</v>
      </c>
      <c r="G11639" s="1205"/>
      <c r="H11639" s="1055"/>
      <c r="I11639" s="1055"/>
      <c r="J11639" s="1055"/>
      <c r="K11639" s="1205"/>
      <c r="L11639" s="1055"/>
      <c r="M11639" s="1205"/>
      <c r="N11639" s="1054"/>
      <c r="O11639" s="1207"/>
      <c r="Q11639" s="1207"/>
    </row>
    <row r="11640" spans="3:17" s="700" customFormat="1" ht="70.5" hidden="1" customHeight="1">
      <c r="C11640" s="701"/>
      <c r="D11640" s="811"/>
      <c r="E11640" s="1276">
        <f>[11]building!Y11971</f>
        <v>0</v>
      </c>
      <c r="F11640" s="748">
        <f t="shared" si="420"/>
        <v>0</v>
      </c>
      <c r="G11640" s="1205"/>
      <c r="H11640" s="1055"/>
      <c r="I11640" s="1055"/>
      <c r="J11640" s="1055"/>
      <c r="K11640" s="1205"/>
      <c r="L11640" s="1055"/>
      <c r="M11640" s="1205"/>
      <c r="N11640" s="1054"/>
      <c r="O11640" s="1207"/>
      <c r="Q11640" s="1207"/>
    </row>
    <row r="11641" spans="3:17" s="700" customFormat="1" ht="70.5" hidden="1" customHeight="1">
      <c r="C11641" s="701"/>
      <c r="D11641" s="811"/>
      <c r="E11641" s="1276">
        <f>[11]building!Y11972</f>
        <v>0</v>
      </c>
      <c r="F11641" s="748">
        <f t="shared" si="420"/>
        <v>0</v>
      </c>
      <c r="G11641" s="1205"/>
      <c r="H11641" s="1055"/>
      <c r="I11641" s="1055"/>
      <c r="J11641" s="1055"/>
      <c r="K11641" s="1205"/>
      <c r="L11641" s="1055"/>
      <c r="M11641" s="1205"/>
      <c r="N11641" s="1054"/>
      <c r="O11641" s="1207"/>
      <c r="Q11641" s="1207"/>
    </row>
    <row r="11642" spans="3:17" s="700" customFormat="1" ht="70.5" hidden="1" customHeight="1">
      <c r="C11642" s="701"/>
      <c r="D11642" s="811"/>
      <c r="E11642" s="1276">
        <f>[11]building!Y11973</f>
        <v>0</v>
      </c>
      <c r="F11642" s="748">
        <f t="shared" si="420"/>
        <v>0</v>
      </c>
      <c r="G11642" s="1205"/>
      <c r="H11642" s="1055"/>
      <c r="I11642" s="1055"/>
      <c r="J11642" s="1055"/>
      <c r="K11642" s="1205"/>
      <c r="L11642" s="1055"/>
      <c r="M11642" s="1205"/>
      <c r="N11642" s="1054"/>
      <c r="O11642" s="1207"/>
      <c r="Q11642" s="1207"/>
    </row>
    <row r="11643" spans="3:17" s="700" customFormat="1" ht="70.5" hidden="1" customHeight="1">
      <c r="C11643" s="701"/>
      <c r="D11643" s="811"/>
      <c r="E11643" s="1276">
        <f>[11]building!Y11974</f>
        <v>0</v>
      </c>
      <c r="F11643" s="748">
        <f t="shared" si="420"/>
        <v>0</v>
      </c>
      <c r="G11643" s="1205"/>
      <c r="H11643" s="1055"/>
      <c r="I11643" s="1055"/>
      <c r="J11643" s="1055"/>
      <c r="K11643" s="1205"/>
      <c r="L11643" s="1055"/>
      <c r="M11643" s="1205"/>
      <c r="N11643" s="1054"/>
      <c r="O11643" s="1207"/>
      <c r="Q11643" s="1207"/>
    </row>
    <row r="11644" spans="3:17" s="700" customFormat="1" ht="70.5" hidden="1" customHeight="1">
      <c r="C11644" s="701"/>
      <c r="D11644" s="811"/>
      <c r="E11644" s="1276">
        <f>[11]building!Y11975</f>
        <v>0</v>
      </c>
      <c r="F11644" s="748">
        <f t="shared" si="420"/>
        <v>0</v>
      </c>
      <c r="G11644" s="1205"/>
      <c r="H11644" s="1055"/>
      <c r="I11644" s="1055"/>
      <c r="J11644" s="1055"/>
      <c r="K11644" s="1205"/>
      <c r="L11644" s="1055"/>
      <c r="M11644" s="1205"/>
      <c r="N11644" s="1054"/>
      <c r="O11644" s="1207"/>
      <c r="Q11644" s="1207"/>
    </row>
    <row r="11645" spans="3:17" s="700" customFormat="1" ht="70.5" hidden="1" customHeight="1">
      <c r="C11645" s="701"/>
      <c r="D11645" s="811"/>
      <c r="E11645" s="1276">
        <f>[11]building!Y11976</f>
        <v>0</v>
      </c>
      <c r="F11645" s="748">
        <f t="shared" si="420"/>
        <v>0</v>
      </c>
      <c r="G11645" s="1205"/>
      <c r="H11645" s="1055"/>
      <c r="I11645" s="1055"/>
      <c r="J11645" s="1055"/>
      <c r="K11645" s="1205"/>
      <c r="L11645" s="1055"/>
      <c r="M11645" s="1205"/>
      <c r="N11645" s="1054"/>
      <c r="O11645" s="1207"/>
      <c r="Q11645" s="1207"/>
    </row>
    <row r="11646" spans="3:17" s="700" customFormat="1" ht="70.5" hidden="1" customHeight="1">
      <c r="C11646" s="701"/>
      <c r="D11646" s="811"/>
      <c r="E11646" s="1276">
        <f>[11]building!Y11977</f>
        <v>0</v>
      </c>
      <c r="F11646" s="748">
        <f t="shared" si="420"/>
        <v>0</v>
      </c>
      <c r="G11646" s="1205"/>
      <c r="H11646" s="1055"/>
      <c r="I11646" s="1055"/>
      <c r="J11646" s="1055"/>
      <c r="K11646" s="1205"/>
      <c r="L11646" s="1055"/>
      <c r="M11646" s="1205"/>
      <c r="N11646" s="1054"/>
      <c r="O11646" s="1207"/>
      <c r="Q11646" s="1207"/>
    </row>
    <row r="11647" spans="3:17" s="700" customFormat="1" ht="70.5" hidden="1" customHeight="1">
      <c r="C11647" s="701"/>
      <c r="D11647" s="811"/>
      <c r="E11647" s="1276">
        <f>[11]building!Y11978</f>
        <v>0</v>
      </c>
      <c r="F11647" s="748">
        <f t="shared" si="420"/>
        <v>0</v>
      </c>
      <c r="G11647" s="1205"/>
      <c r="H11647" s="1055"/>
      <c r="I11647" s="1055"/>
      <c r="J11647" s="1055"/>
      <c r="K11647" s="1205"/>
      <c r="L11647" s="1055"/>
      <c r="M11647" s="1205"/>
      <c r="N11647" s="1054"/>
      <c r="O11647" s="1207"/>
      <c r="Q11647" s="1207"/>
    </row>
    <row r="11648" spans="3:17" s="700" customFormat="1" ht="70.5" hidden="1" customHeight="1">
      <c r="C11648" s="701"/>
      <c r="D11648" s="811"/>
      <c r="E11648" s="1276">
        <f>[11]building!Y11979</f>
        <v>0</v>
      </c>
      <c r="F11648" s="748">
        <f t="shared" ref="F11648:F11711" si="421">E11648*C11648</f>
        <v>0</v>
      </c>
      <c r="G11648" s="1205"/>
      <c r="H11648" s="1055"/>
      <c r="I11648" s="1055"/>
      <c r="J11648" s="1055"/>
      <c r="K11648" s="1205"/>
      <c r="L11648" s="1055"/>
      <c r="M11648" s="1205"/>
      <c r="N11648" s="1054"/>
      <c r="O11648" s="1207"/>
      <c r="Q11648" s="1207"/>
    </row>
    <row r="11649" spans="3:17" s="700" customFormat="1" ht="70.5" hidden="1" customHeight="1">
      <c r="C11649" s="701"/>
      <c r="D11649" s="811"/>
      <c r="E11649" s="1276">
        <f>[11]building!Y11980</f>
        <v>0</v>
      </c>
      <c r="F11649" s="748">
        <f t="shared" si="421"/>
        <v>0</v>
      </c>
      <c r="G11649" s="1205"/>
      <c r="H11649" s="1055"/>
      <c r="I11649" s="1055"/>
      <c r="J11649" s="1055"/>
      <c r="K11649" s="1205"/>
      <c r="L11649" s="1055"/>
      <c r="M11649" s="1205"/>
      <c r="N11649" s="1054"/>
      <c r="O11649" s="1207"/>
      <c r="Q11649" s="1207"/>
    </row>
    <row r="11650" spans="3:17" s="700" customFormat="1" ht="70.5" hidden="1" customHeight="1">
      <c r="C11650" s="701"/>
      <c r="D11650" s="811"/>
      <c r="E11650" s="1276">
        <f>[11]building!Y11981</f>
        <v>0</v>
      </c>
      <c r="F11650" s="748">
        <f t="shared" si="421"/>
        <v>0</v>
      </c>
      <c r="G11650" s="1205"/>
      <c r="H11650" s="1055"/>
      <c r="I11650" s="1055"/>
      <c r="J11650" s="1055"/>
      <c r="K11650" s="1205"/>
      <c r="L11650" s="1055"/>
      <c r="M11650" s="1205"/>
      <c r="N11650" s="1054"/>
      <c r="O11650" s="1207"/>
      <c r="Q11650" s="1207"/>
    </row>
    <row r="11651" spans="3:17" s="700" customFormat="1" ht="70.5" hidden="1" customHeight="1">
      <c r="C11651" s="701"/>
      <c r="D11651" s="811"/>
      <c r="E11651" s="1276">
        <f>[11]building!Y11982</f>
        <v>0</v>
      </c>
      <c r="F11651" s="748">
        <f t="shared" si="421"/>
        <v>0</v>
      </c>
      <c r="G11651" s="1205"/>
      <c r="H11651" s="1055"/>
      <c r="I11651" s="1055"/>
      <c r="J11651" s="1055"/>
      <c r="K11651" s="1205"/>
      <c r="L11651" s="1055"/>
      <c r="M11651" s="1205"/>
      <c r="N11651" s="1054"/>
      <c r="O11651" s="1207"/>
      <c r="Q11651" s="1207"/>
    </row>
    <row r="11652" spans="3:17" s="700" customFormat="1" ht="70.5" hidden="1" customHeight="1">
      <c r="C11652" s="701"/>
      <c r="D11652" s="811"/>
      <c r="E11652" s="1276">
        <f>[11]building!Y11983</f>
        <v>0</v>
      </c>
      <c r="F11652" s="748">
        <f t="shared" si="421"/>
        <v>0</v>
      </c>
      <c r="G11652" s="1205"/>
      <c r="H11652" s="1055"/>
      <c r="I11652" s="1055"/>
      <c r="J11652" s="1055"/>
      <c r="K11652" s="1205"/>
      <c r="L11652" s="1055"/>
      <c r="M11652" s="1205"/>
      <c r="N11652" s="1054"/>
      <c r="O11652" s="1207"/>
      <c r="Q11652" s="1207"/>
    </row>
    <row r="11653" spans="3:17" s="700" customFormat="1" ht="70.5" hidden="1" customHeight="1">
      <c r="C11653" s="701"/>
      <c r="D11653" s="811"/>
      <c r="E11653" s="1276">
        <f>[11]building!Y11984</f>
        <v>0</v>
      </c>
      <c r="F11653" s="748">
        <f t="shared" si="421"/>
        <v>0</v>
      </c>
      <c r="G11653" s="1205"/>
      <c r="H11653" s="1055"/>
      <c r="I11653" s="1055"/>
      <c r="J11653" s="1055"/>
      <c r="K11653" s="1205"/>
      <c r="L11653" s="1055"/>
      <c r="M11653" s="1205"/>
      <c r="N11653" s="1054"/>
      <c r="O11653" s="1207"/>
      <c r="Q11653" s="1207"/>
    </row>
    <row r="11654" spans="3:17" s="700" customFormat="1" ht="70.5" hidden="1" customHeight="1">
      <c r="C11654" s="701"/>
      <c r="D11654" s="811"/>
      <c r="E11654" s="1276">
        <f>[11]building!Y11985</f>
        <v>0</v>
      </c>
      <c r="F11654" s="748">
        <f t="shared" si="421"/>
        <v>0</v>
      </c>
      <c r="G11654" s="1205"/>
      <c r="H11654" s="1055"/>
      <c r="I11654" s="1055"/>
      <c r="J11654" s="1055"/>
      <c r="K11654" s="1205"/>
      <c r="L11654" s="1055"/>
      <c r="M11654" s="1205"/>
      <c r="N11654" s="1054"/>
      <c r="O11654" s="1207"/>
      <c r="Q11654" s="1207"/>
    </row>
    <row r="11655" spans="3:17" s="700" customFormat="1" ht="70.5" hidden="1" customHeight="1">
      <c r="C11655" s="701"/>
      <c r="D11655" s="811"/>
      <c r="E11655" s="1276">
        <f>[11]building!Y11986</f>
        <v>0</v>
      </c>
      <c r="F11655" s="748">
        <f t="shared" si="421"/>
        <v>0</v>
      </c>
      <c r="G11655" s="1205"/>
      <c r="H11655" s="1055"/>
      <c r="I11655" s="1055"/>
      <c r="J11655" s="1055"/>
      <c r="K11655" s="1205"/>
      <c r="L11655" s="1055"/>
      <c r="M11655" s="1205"/>
      <c r="N11655" s="1054"/>
      <c r="O11655" s="1207"/>
      <c r="Q11655" s="1207"/>
    </row>
    <row r="11656" spans="3:17" s="700" customFormat="1" ht="70.5" hidden="1" customHeight="1">
      <c r="C11656" s="701"/>
      <c r="D11656" s="811"/>
      <c r="E11656" s="1276">
        <f>[11]building!Y11987</f>
        <v>0</v>
      </c>
      <c r="F11656" s="748">
        <f t="shared" si="421"/>
        <v>0</v>
      </c>
      <c r="G11656" s="1205"/>
      <c r="H11656" s="1055"/>
      <c r="I11656" s="1055"/>
      <c r="J11656" s="1055"/>
      <c r="K11656" s="1205"/>
      <c r="L11656" s="1055"/>
      <c r="M11656" s="1205"/>
      <c r="N11656" s="1054"/>
      <c r="O11656" s="1207"/>
      <c r="Q11656" s="1207"/>
    </row>
    <row r="11657" spans="3:17" s="700" customFormat="1" ht="70.5" hidden="1" customHeight="1">
      <c r="C11657" s="701"/>
      <c r="D11657" s="811"/>
      <c r="E11657" s="1276">
        <f>[11]building!Y11988</f>
        <v>0</v>
      </c>
      <c r="F11657" s="748">
        <f t="shared" si="421"/>
        <v>0</v>
      </c>
      <c r="G11657" s="1205"/>
      <c r="H11657" s="1055"/>
      <c r="I11657" s="1055"/>
      <c r="J11657" s="1055"/>
      <c r="K11657" s="1205"/>
      <c r="L11657" s="1055"/>
      <c r="M11657" s="1205"/>
      <c r="N11657" s="1054"/>
      <c r="O11657" s="1207"/>
      <c r="Q11657" s="1207"/>
    </row>
    <row r="11658" spans="3:17" s="700" customFormat="1" ht="70.5" hidden="1" customHeight="1">
      <c r="C11658" s="701"/>
      <c r="D11658" s="811"/>
      <c r="E11658" s="1276">
        <f>[11]building!Y11989</f>
        <v>0</v>
      </c>
      <c r="F11658" s="748">
        <f t="shared" si="421"/>
        <v>0</v>
      </c>
      <c r="G11658" s="1205"/>
      <c r="H11658" s="1055"/>
      <c r="I11658" s="1055"/>
      <c r="J11658" s="1055"/>
      <c r="K11658" s="1205"/>
      <c r="L11658" s="1055"/>
      <c r="M11658" s="1205"/>
      <c r="N11658" s="1054"/>
      <c r="O11658" s="1207"/>
      <c r="Q11658" s="1207"/>
    </row>
    <row r="11659" spans="3:17" s="700" customFormat="1" ht="70.5" hidden="1" customHeight="1">
      <c r="C11659" s="701"/>
      <c r="D11659" s="811"/>
      <c r="E11659" s="1276">
        <f>[11]building!Y11990</f>
        <v>0</v>
      </c>
      <c r="F11659" s="748">
        <f t="shared" si="421"/>
        <v>0</v>
      </c>
      <c r="G11659" s="1205"/>
      <c r="H11659" s="1055"/>
      <c r="I11659" s="1055"/>
      <c r="J11659" s="1055"/>
      <c r="K11659" s="1205"/>
      <c r="L11659" s="1055"/>
      <c r="M11659" s="1205"/>
      <c r="N11659" s="1054"/>
      <c r="O11659" s="1207"/>
      <c r="Q11659" s="1207"/>
    </row>
    <row r="11660" spans="3:17" s="700" customFormat="1" ht="70.5" hidden="1" customHeight="1">
      <c r="C11660" s="701"/>
      <c r="D11660" s="811"/>
      <c r="E11660" s="1276">
        <f>[11]building!Y11991</f>
        <v>0</v>
      </c>
      <c r="F11660" s="748">
        <f t="shared" si="421"/>
        <v>0</v>
      </c>
      <c r="G11660" s="1205"/>
      <c r="H11660" s="1055"/>
      <c r="I11660" s="1055"/>
      <c r="J11660" s="1055"/>
      <c r="K11660" s="1205"/>
      <c r="L11660" s="1055"/>
      <c r="M11660" s="1205"/>
      <c r="N11660" s="1054"/>
      <c r="O11660" s="1207"/>
      <c r="Q11660" s="1207"/>
    </row>
    <row r="11661" spans="3:17" s="700" customFormat="1" ht="70.5" hidden="1" customHeight="1">
      <c r="C11661" s="701"/>
      <c r="D11661" s="811"/>
      <c r="E11661" s="1276">
        <f>[11]building!Y11992</f>
        <v>0</v>
      </c>
      <c r="F11661" s="748">
        <f t="shared" si="421"/>
        <v>0</v>
      </c>
      <c r="G11661" s="1205"/>
      <c r="H11661" s="1055"/>
      <c r="I11661" s="1055"/>
      <c r="J11661" s="1055"/>
      <c r="K11661" s="1205"/>
      <c r="L11661" s="1055"/>
      <c r="M11661" s="1205"/>
      <c r="N11661" s="1054"/>
      <c r="O11661" s="1207"/>
      <c r="Q11661" s="1207"/>
    </row>
    <row r="11662" spans="3:17" s="700" customFormat="1" ht="70.5" hidden="1" customHeight="1">
      <c r="C11662" s="701"/>
      <c r="D11662" s="811"/>
      <c r="E11662" s="1276">
        <f>[11]building!Y11993</f>
        <v>0</v>
      </c>
      <c r="F11662" s="748">
        <f t="shared" si="421"/>
        <v>0</v>
      </c>
      <c r="G11662" s="1205"/>
      <c r="H11662" s="1055"/>
      <c r="I11662" s="1055"/>
      <c r="J11662" s="1055"/>
      <c r="K11662" s="1205"/>
      <c r="L11662" s="1055"/>
      <c r="M11662" s="1205"/>
      <c r="N11662" s="1054"/>
      <c r="O11662" s="1207"/>
      <c r="Q11662" s="1207"/>
    </row>
    <row r="11663" spans="3:17" s="700" customFormat="1" ht="70.5" hidden="1" customHeight="1">
      <c r="C11663" s="701"/>
      <c r="D11663" s="811"/>
      <c r="E11663" s="1276">
        <f>[11]building!Y11994</f>
        <v>0</v>
      </c>
      <c r="F11663" s="748">
        <f t="shared" si="421"/>
        <v>0</v>
      </c>
      <c r="G11663" s="1205"/>
      <c r="H11663" s="1055"/>
      <c r="I11663" s="1055"/>
      <c r="J11663" s="1055"/>
      <c r="K11663" s="1205"/>
      <c r="L11663" s="1055"/>
      <c r="M11663" s="1205"/>
      <c r="N11663" s="1054"/>
      <c r="O11663" s="1207"/>
      <c r="Q11663" s="1207"/>
    </row>
    <row r="11664" spans="3:17" s="700" customFormat="1" ht="70.5" hidden="1" customHeight="1">
      <c r="C11664" s="701"/>
      <c r="D11664" s="811"/>
      <c r="E11664" s="1276">
        <f>[11]building!Y11995</f>
        <v>0</v>
      </c>
      <c r="F11664" s="748">
        <f t="shared" si="421"/>
        <v>0</v>
      </c>
      <c r="G11664" s="1205"/>
      <c r="H11664" s="1055"/>
      <c r="I11664" s="1055"/>
      <c r="J11664" s="1055"/>
      <c r="K11664" s="1205"/>
      <c r="L11664" s="1055"/>
      <c r="M11664" s="1205"/>
      <c r="N11664" s="1054"/>
      <c r="O11664" s="1207"/>
      <c r="Q11664" s="1207"/>
    </row>
    <row r="11665" spans="3:17" s="700" customFormat="1" ht="70.5" hidden="1" customHeight="1">
      <c r="C11665" s="701"/>
      <c r="D11665" s="811"/>
      <c r="E11665" s="1276">
        <f>[11]building!Y11996</f>
        <v>0</v>
      </c>
      <c r="F11665" s="748">
        <f t="shared" si="421"/>
        <v>0</v>
      </c>
      <c r="G11665" s="1205"/>
      <c r="H11665" s="1055"/>
      <c r="I11665" s="1055"/>
      <c r="J11665" s="1055"/>
      <c r="K11665" s="1205"/>
      <c r="L11665" s="1055"/>
      <c r="M11665" s="1205"/>
      <c r="N11665" s="1054"/>
      <c r="O11665" s="1207"/>
      <c r="Q11665" s="1207"/>
    </row>
    <row r="11666" spans="3:17" s="700" customFormat="1" ht="70.5" hidden="1" customHeight="1">
      <c r="C11666" s="701"/>
      <c r="D11666" s="811"/>
      <c r="E11666" s="1276">
        <f>[11]building!Y11997</f>
        <v>0</v>
      </c>
      <c r="F11666" s="748">
        <f t="shared" si="421"/>
        <v>0</v>
      </c>
      <c r="G11666" s="1205"/>
      <c r="H11666" s="1055"/>
      <c r="I11666" s="1055"/>
      <c r="J11666" s="1055"/>
      <c r="K11666" s="1205"/>
      <c r="L11666" s="1055"/>
      <c r="M11666" s="1205"/>
      <c r="N11666" s="1054"/>
      <c r="O11666" s="1207"/>
      <c r="Q11666" s="1207"/>
    </row>
    <row r="11667" spans="3:17" s="700" customFormat="1" ht="70.5" hidden="1" customHeight="1">
      <c r="C11667" s="701"/>
      <c r="D11667" s="811"/>
      <c r="E11667" s="1276">
        <f>[11]building!Y11998</f>
        <v>0</v>
      </c>
      <c r="F11667" s="748">
        <f t="shared" si="421"/>
        <v>0</v>
      </c>
      <c r="G11667" s="1205"/>
      <c r="H11667" s="1055"/>
      <c r="I11667" s="1055"/>
      <c r="J11667" s="1055"/>
      <c r="K11667" s="1205"/>
      <c r="L11667" s="1055"/>
      <c r="M11667" s="1205"/>
      <c r="N11667" s="1054"/>
      <c r="O11667" s="1207"/>
      <c r="Q11667" s="1207"/>
    </row>
    <row r="11668" spans="3:17" s="700" customFormat="1" ht="70.5" hidden="1" customHeight="1">
      <c r="C11668" s="701"/>
      <c r="D11668" s="811"/>
      <c r="E11668" s="1276">
        <f>[11]building!Y11999</f>
        <v>0</v>
      </c>
      <c r="F11668" s="748">
        <f t="shared" si="421"/>
        <v>0</v>
      </c>
      <c r="G11668" s="1205"/>
      <c r="H11668" s="1055"/>
      <c r="I11668" s="1055"/>
      <c r="J11668" s="1055"/>
      <c r="K11668" s="1205"/>
      <c r="L11668" s="1055"/>
      <c r="M11668" s="1205"/>
      <c r="N11668" s="1054"/>
      <c r="O11668" s="1207"/>
      <c r="Q11668" s="1207"/>
    </row>
    <row r="11669" spans="3:17" s="700" customFormat="1" ht="70.5" hidden="1" customHeight="1">
      <c r="C11669" s="701"/>
      <c r="D11669" s="811"/>
      <c r="E11669" s="1276">
        <f>[11]building!Y12000</f>
        <v>0</v>
      </c>
      <c r="F11669" s="748">
        <f t="shared" si="421"/>
        <v>0</v>
      </c>
      <c r="G11669" s="1205"/>
      <c r="H11669" s="1055"/>
      <c r="I11669" s="1055"/>
      <c r="J11669" s="1055"/>
      <c r="K11669" s="1205"/>
      <c r="L11669" s="1055"/>
      <c r="M11669" s="1205"/>
      <c r="N11669" s="1054"/>
      <c r="O11669" s="1207"/>
      <c r="Q11669" s="1207"/>
    </row>
    <row r="11670" spans="3:17" s="700" customFormat="1" ht="70.5" hidden="1" customHeight="1">
      <c r="C11670" s="701"/>
      <c r="D11670" s="811"/>
      <c r="E11670" s="1276">
        <f>[11]building!Y12001</f>
        <v>0</v>
      </c>
      <c r="F11670" s="748">
        <f t="shared" si="421"/>
        <v>0</v>
      </c>
      <c r="G11670" s="1205"/>
      <c r="H11670" s="1055"/>
      <c r="I11670" s="1055"/>
      <c r="J11670" s="1055"/>
      <c r="K11670" s="1205"/>
      <c r="L11670" s="1055"/>
      <c r="M11670" s="1205"/>
      <c r="N11670" s="1054"/>
      <c r="O11670" s="1207"/>
      <c r="Q11670" s="1207"/>
    </row>
    <row r="11671" spans="3:17" s="700" customFormat="1" ht="70.5" hidden="1" customHeight="1">
      <c r="C11671" s="701"/>
      <c r="D11671" s="811"/>
      <c r="E11671" s="1276">
        <f>[11]building!Y12002</f>
        <v>0</v>
      </c>
      <c r="F11671" s="748">
        <f t="shared" si="421"/>
        <v>0</v>
      </c>
      <c r="G11671" s="1205"/>
      <c r="H11671" s="1055"/>
      <c r="I11671" s="1055"/>
      <c r="J11671" s="1055"/>
      <c r="K11671" s="1205"/>
      <c r="L11671" s="1055"/>
      <c r="M11671" s="1205"/>
      <c r="N11671" s="1054"/>
      <c r="O11671" s="1207"/>
      <c r="Q11671" s="1207"/>
    </row>
    <row r="11672" spans="3:17" s="700" customFormat="1" ht="70.5" hidden="1" customHeight="1">
      <c r="C11672" s="701"/>
      <c r="D11672" s="811"/>
      <c r="E11672" s="1276">
        <f>[11]building!Y12003</f>
        <v>0</v>
      </c>
      <c r="F11672" s="748">
        <f t="shared" si="421"/>
        <v>0</v>
      </c>
      <c r="G11672" s="1205"/>
      <c r="H11672" s="1055"/>
      <c r="I11672" s="1055"/>
      <c r="J11672" s="1055"/>
      <c r="K11672" s="1205"/>
      <c r="L11672" s="1055"/>
      <c r="M11672" s="1205"/>
      <c r="N11672" s="1054"/>
      <c r="O11672" s="1207"/>
      <c r="Q11672" s="1207"/>
    </row>
    <row r="11673" spans="3:17" s="700" customFormat="1" ht="70.5" hidden="1" customHeight="1">
      <c r="C11673" s="701"/>
      <c r="D11673" s="811"/>
      <c r="E11673" s="1276">
        <f>[11]building!Y12004</f>
        <v>0</v>
      </c>
      <c r="F11673" s="748">
        <f t="shared" si="421"/>
        <v>0</v>
      </c>
      <c r="G11673" s="1205"/>
      <c r="H11673" s="1055"/>
      <c r="I11673" s="1055"/>
      <c r="J11673" s="1055"/>
      <c r="K11673" s="1205"/>
      <c r="L11673" s="1055"/>
      <c r="M11673" s="1205"/>
      <c r="N11673" s="1054"/>
      <c r="O11673" s="1207"/>
      <c r="Q11673" s="1207"/>
    </row>
    <row r="11674" spans="3:17" s="700" customFormat="1" ht="70.5" hidden="1" customHeight="1">
      <c r="C11674" s="701"/>
      <c r="D11674" s="811"/>
      <c r="E11674" s="1276">
        <f>[11]building!Y12005</f>
        <v>0</v>
      </c>
      <c r="F11674" s="748">
        <f t="shared" si="421"/>
        <v>0</v>
      </c>
      <c r="G11674" s="1205"/>
      <c r="H11674" s="1055"/>
      <c r="I11674" s="1055"/>
      <c r="J11674" s="1055"/>
      <c r="K11674" s="1205"/>
      <c r="L11674" s="1055"/>
      <c r="M11674" s="1205"/>
      <c r="N11674" s="1054"/>
      <c r="O11674" s="1207"/>
      <c r="Q11674" s="1207"/>
    </row>
    <row r="11675" spans="3:17" s="700" customFormat="1" ht="70.5" hidden="1" customHeight="1">
      <c r="C11675" s="701"/>
      <c r="D11675" s="811"/>
      <c r="E11675" s="1276">
        <f>[11]building!Y12006</f>
        <v>0</v>
      </c>
      <c r="F11675" s="748">
        <f t="shared" si="421"/>
        <v>0</v>
      </c>
      <c r="G11675" s="1205"/>
      <c r="H11675" s="1055"/>
      <c r="I11675" s="1055"/>
      <c r="J11675" s="1055"/>
      <c r="K11675" s="1205"/>
      <c r="L11675" s="1055"/>
      <c r="M11675" s="1205"/>
      <c r="N11675" s="1054"/>
      <c r="O11675" s="1207"/>
      <c r="Q11675" s="1207"/>
    </row>
    <row r="11676" spans="3:17" s="700" customFormat="1" ht="70.5" hidden="1" customHeight="1">
      <c r="C11676" s="701"/>
      <c r="D11676" s="811"/>
      <c r="E11676" s="1276">
        <f>[11]building!Y12007</f>
        <v>0</v>
      </c>
      <c r="F11676" s="748">
        <f t="shared" si="421"/>
        <v>0</v>
      </c>
      <c r="G11676" s="1205"/>
      <c r="H11676" s="1055"/>
      <c r="I11676" s="1055"/>
      <c r="J11676" s="1055"/>
      <c r="K11676" s="1205"/>
      <c r="L11676" s="1055"/>
      <c r="M11676" s="1205"/>
      <c r="N11676" s="1054"/>
      <c r="O11676" s="1207"/>
      <c r="Q11676" s="1207"/>
    </row>
    <row r="11677" spans="3:17" s="700" customFormat="1" ht="70.5" hidden="1" customHeight="1">
      <c r="C11677" s="701"/>
      <c r="D11677" s="811"/>
      <c r="E11677" s="1276">
        <f>[11]building!Y12008</f>
        <v>0</v>
      </c>
      <c r="F11677" s="748">
        <f t="shared" si="421"/>
        <v>0</v>
      </c>
      <c r="G11677" s="1205"/>
      <c r="H11677" s="1055"/>
      <c r="I11677" s="1055"/>
      <c r="J11677" s="1055"/>
      <c r="K11677" s="1205"/>
      <c r="L11677" s="1055"/>
      <c r="M11677" s="1205"/>
      <c r="N11677" s="1054"/>
      <c r="O11677" s="1207"/>
      <c r="Q11677" s="1207"/>
    </row>
    <row r="11678" spans="3:17" s="700" customFormat="1" ht="70.5" hidden="1" customHeight="1">
      <c r="C11678" s="701"/>
      <c r="D11678" s="811"/>
      <c r="E11678" s="1276">
        <f>[11]building!Y12009</f>
        <v>0</v>
      </c>
      <c r="F11678" s="748">
        <f t="shared" si="421"/>
        <v>0</v>
      </c>
      <c r="G11678" s="1205"/>
      <c r="H11678" s="1055"/>
      <c r="I11678" s="1055"/>
      <c r="J11678" s="1055"/>
      <c r="K11678" s="1205"/>
      <c r="L11678" s="1055"/>
      <c r="M11678" s="1205"/>
      <c r="N11678" s="1054"/>
      <c r="O11678" s="1207"/>
      <c r="Q11678" s="1207"/>
    </row>
    <row r="11679" spans="3:17" s="700" customFormat="1" ht="70.5" hidden="1" customHeight="1">
      <c r="C11679" s="701"/>
      <c r="D11679" s="811"/>
      <c r="E11679" s="1276">
        <f>[11]building!Y12010</f>
        <v>0</v>
      </c>
      <c r="F11679" s="748">
        <f t="shared" si="421"/>
        <v>0</v>
      </c>
      <c r="G11679" s="1205"/>
      <c r="H11679" s="1055"/>
      <c r="I11679" s="1055"/>
      <c r="J11679" s="1055"/>
      <c r="K11679" s="1205"/>
      <c r="L11679" s="1055"/>
      <c r="M11679" s="1205"/>
      <c r="N11679" s="1054"/>
      <c r="O11679" s="1207"/>
      <c r="Q11679" s="1207"/>
    </row>
    <row r="11680" spans="3:17" s="700" customFormat="1" ht="70.5" hidden="1" customHeight="1">
      <c r="C11680" s="701"/>
      <c r="D11680" s="811"/>
      <c r="E11680" s="1276">
        <f>[11]building!Y12011</f>
        <v>0</v>
      </c>
      <c r="F11680" s="748">
        <f t="shared" si="421"/>
        <v>0</v>
      </c>
      <c r="G11680" s="1205"/>
      <c r="H11680" s="1055"/>
      <c r="I11680" s="1055"/>
      <c r="J11680" s="1055"/>
      <c r="K11680" s="1205"/>
      <c r="L11680" s="1055"/>
      <c r="M11680" s="1205"/>
      <c r="N11680" s="1054"/>
      <c r="O11680" s="1207"/>
      <c r="Q11680" s="1207"/>
    </row>
    <row r="11681" spans="3:17" s="700" customFormat="1" ht="70.5" hidden="1" customHeight="1">
      <c r="C11681" s="701"/>
      <c r="D11681" s="811"/>
      <c r="E11681" s="1276">
        <f>[11]building!Y12012</f>
        <v>0</v>
      </c>
      <c r="F11681" s="748">
        <f t="shared" si="421"/>
        <v>0</v>
      </c>
      <c r="G11681" s="1205"/>
      <c r="H11681" s="1055"/>
      <c r="I11681" s="1055"/>
      <c r="J11681" s="1055"/>
      <c r="K11681" s="1205"/>
      <c r="L11681" s="1055"/>
      <c r="M11681" s="1205"/>
      <c r="N11681" s="1054"/>
      <c r="O11681" s="1207"/>
      <c r="Q11681" s="1207"/>
    </row>
    <row r="11682" spans="3:17" s="700" customFormat="1" ht="70.5" hidden="1" customHeight="1">
      <c r="C11682" s="701"/>
      <c r="D11682" s="811"/>
      <c r="E11682" s="1276">
        <f>[11]building!Y12013</f>
        <v>0</v>
      </c>
      <c r="F11682" s="748">
        <f t="shared" si="421"/>
        <v>0</v>
      </c>
      <c r="G11682" s="1205"/>
      <c r="H11682" s="1055"/>
      <c r="I11682" s="1055"/>
      <c r="J11682" s="1055"/>
      <c r="K11682" s="1205"/>
      <c r="L11682" s="1055"/>
      <c r="M11682" s="1205"/>
      <c r="N11682" s="1054"/>
      <c r="O11682" s="1207"/>
      <c r="Q11682" s="1207"/>
    </row>
    <row r="11683" spans="3:17" s="700" customFormat="1" ht="70.5" hidden="1" customHeight="1">
      <c r="C11683" s="701"/>
      <c r="D11683" s="811"/>
      <c r="E11683" s="1276">
        <f>[11]building!Y12014</f>
        <v>0</v>
      </c>
      <c r="F11683" s="748">
        <f t="shared" si="421"/>
        <v>0</v>
      </c>
      <c r="G11683" s="1205"/>
      <c r="H11683" s="1055"/>
      <c r="I11683" s="1055"/>
      <c r="J11683" s="1055"/>
      <c r="K11683" s="1205"/>
      <c r="L11683" s="1055"/>
      <c r="M11683" s="1205"/>
      <c r="N11683" s="1054"/>
      <c r="O11683" s="1207"/>
      <c r="Q11683" s="1207"/>
    </row>
    <row r="11684" spans="3:17" s="700" customFormat="1" ht="70.5" hidden="1" customHeight="1">
      <c r="C11684" s="701"/>
      <c r="D11684" s="811"/>
      <c r="E11684" s="1276">
        <f>[11]building!Y12015</f>
        <v>0</v>
      </c>
      <c r="F11684" s="748">
        <f t="shared" si="421"/>
        <v>0</v>
      </c>
      <c r="G11684" s="1205"/>
      <c r="H11684" s="1055"/>
      <c r="I11684" s="1055"/>
      <c r="J11684" s="1055"/>
      <c r="K11684" s="1205"/>
      <c r="L11684" s="1055"/>
      <c r="M11684" s="1205"/>
      <c r="N11684" s="1054"/>
      <c r="O11684" s="1207"/>
      <c r="Q11684" s="1207"/>
    </row>
    <row r="11685" spans="3:17" s="700" customFormat="1" ht="70.5" hidden="1" customHeight="1">
      <c r="C11685" s="701"/>
      <c r="D11685" s="811"/>
      <c r="E11685" s="1276">
        <f>[11]building!Y12016</f>
        <v>0</v>
      </c>
      <c r="F11685" s="748">
        <f t="shared" si="421"/>
        <v>0</v>
      </c>
      <c r="G11685" s="1205"/>
      <c r="H11685" s="1055"/>
      <c r="I11685" s="1055"/>
      <c r="J11685" s="1055"/>
      <c r="K11685" s="1205"/>
      <c r="L11685" s="1055"/>
      <c r="M11685" s="1205"/>
      <c r="N11685" s="1054"/>
      <c r="O11685" s="1207"/>
      <c r="Q11685" s="1207"/>
    </row>
    <row r="11686" spans="3:17" s="700" customFormat="1" ht="70.5" hidden="1" customHeight="1">
      <c r="C11686" s="701"/>
      <c r="D11686" s="811"/>
      <c r="E11686" s="1276">
        <f>[11]building!Y12017</f>
        <v>0</v>
      </c>
      <c r="F11686" s="748">
        <f t="shared" si="421"/>
        <v>0</v>
      </c>
      <c r="G11686" s="1205"/>
      <c r="H11686" s="1055"/>
      <c r="I11686" s="1055"/>
      <c r="J11686" s="1055"/>
      <c r="K11686" s="1205"/>
      <c r="L11686" s="1055"/>
      <c r="M11686" s="1205"/>
      <c r="N11686" s="1054"/>
      <c r="O11686" s="1207"/>
      <c r="Q11686" s="1207"/>
    </row>
    <row r="11687" spans="3:17" s="700" customFormat="1" ht="70.5" hidden="1" customHeight="1">
      <c r="C11687" s="701"/>
      <c r="D11687" s="811"/>
      <c r="E11687" s="1276">
        <f>[11]building!Y12018</f>
        <v>0</v>
      </c>
      <c r="F11687" s="748">
        <f t="shared" si="421"/>
        <v>0</v>
      </c>
      <c r="G11687" s="1205"/>
      <c r="H11687" s="1055"/>
      <c r="I11687" s="1055"/>
      <c r="J11687" s="1055"/>
      <c r="K11687" s="1205"/>
      <c r="L11687" s="1055"/>
      <c r="M11687" s="1205"/>
      <c r="N11687" s="1054"/>
      <c r="O11687" s="1207"/>
      <c r="Q11687" s="1207"/>
    </row>
    <row r="11688" spans="3:17" s="700" customFormat="1" ht="70.5" hidden="1" customHeight="1">
      <c r="C11688" s="701"/>
      <c r="D11688" s="811"/>
      <c r="E11688" s="1276">
        <f>[11]building!Y12019</f>
        <v>0</v>
      </c>
      <c r="F11688" s="748">
        <f t="shared" si="421"/>
        <v>0</v>
      </c>
      <c r="G11688" s="1205"/>
      <c r="H11688" s="1055"/>
      <c r="I11688" s="1055"/>
      <c r="J11688" s="1055"/>
      <c r="K11688" s="1205"/>
      <c r="L11688" s="1055"/>
      <c r="M11688" s="1205"/>
      <c r="N11688" s="1054"/>
      <c r="O11688" s="1207"/>
      <c r="Q11688" s="1207"/>
    </row>
    <row r="11689" spans="3:17" s="700" customFormat="1" ht="70.5" hidden="1" customHeight="1">
      <c r="C11689" s="701"/>
      <c r="D11689" s="811"/>
      <c r="E11689" s="1276">
        <f>[11]building!Y12020</f>
        <v>0</v>
      </c>
      <c r="F11689" s="748">
        <f t="shared" si="421"/>
        <v>0</v>
      </c>
      <c r="G11689" s="1205"/>
      <c r="H11689" s="1055"/>
      <c r="I11689" s="1055"/>
      <c r="J11689" s="1055"/>
      <c r="K11689" s="1205"/>
      <c r="L11689" s="1055"/>
      <c r="M11689" s="1205"/>
      <c r="N11689" s="1054"/>
      <c r="O11689" s="1207"/>
      <c r="Q11689" s="1207"/>
    </row>
    <row r="11690" spans="3:17" s="700" customFormat="1" ht="70.5" hidden="1" customHeight="1">
      <c r="C11690" s="701"/>
      <c r="D11690" s="811"/>
      <c r="E11690" s="1276">
        <f>[11]building!Y12021</f>
        <v>0</v>
      </c>
      <c r="F11690" s="748">
        <f t="shared" si="421"/>
        <v>0</v>
      </c>
      <c r="G11690" s="1205"/>
      <c r="H11690" s="1055"/>
      <c r="I11690" s="1055"/>
      <c r="J11690" s="1055"/>
      <c r="K11690" s="1205"/>
      <c r="L11690" s="1055"/>
      <c r="M11690" s="1205"/>
      <c r="N11690" s="1054"/>
      <c r="O11690" s="1207"/>
      <c r="Q11690" s="1207"/>
    </row>
    <row r="11691" spans="3:17" s="700" customFormat="1" ht="70.5" hidden="1" customHeight="1">
      <c r="C11691" s="701"/>
      <c r="D11691" s="811"/>
      <c r="E11691" s="1276">
        <f>[11]building!Y12022</f>
        <v>0</v>
      </c>
      <c r="F11691" s="748">
        <f t="shared" si="421"/>
        <v>0</v>
      </c>
      <c r="G11691" s="1205"/>
      <c r="H11691" s="1055"/>
      <c r="I11691" s="1055"/>
      <c r="J11691" s="1055"/>
      <c r="K11691" s="1205"/>
      <c r="L11691" s="1055"/>
      <c r="M11691" s="1205"/>
      <c r="N11691" s="1054"/>
      <c r="O11691" s="1207"/>
      <c r="Q11691" s="1207"/>
    </row>
    <row r="11692" spans="3:17" s="700" customFormat="1" ht="70.5" hidden="1" customHeight="1">
      <c r="C11692" s="701"/>
      <c r="D11692" s="811"/>
      <c r="E11692" s="1276">
        <f>[11]building!Y12023</f>
        <v>0</v>
      </c>
      <c r="F11692" s="748">
        <f t="shared" si="421"/>
        <v>0</v>
      </c>
      <c r="G11692" s="1205"/>
      <c r="H11692" s="1055"/>
      <c r="I11692" s="1055"/>
      <c r="J11692" s="1055"/>
      <c r="K11692" s="1205"/>
      <c r="L11692" s="1055"/>
      <c r="M11692" s="1205"/>
      <c r="N11692" s="1054"/>
      <c r="O11692" s="1207"/>
      <c r="Q11692" s="1207"/>
    </row>
    <row r="11693" spans="3:17" s="700" customFormat="1" ht="70.5" hidden="1" customHeight="1">
      <c r="C11693" s="701"/>
      <c r="D11693" s="811"/>
      <c r="E11693" s="1276">
        <f>[11]building!Y12024</f>
        <v>0</v>
      </c>
      <c r="F11693" s="748">
        <f t="shared" si="421"/>
        <v>0</v>
      </c>
      <c r="G11693" s="1205"/>
      <c r="H11693" s="1055"/>
      <c r="I11693" s="1055"/>
      <c r="J11693" s="1055"/>
      <c r="K11693" s="1205"/>
      <c r="L11693" s="1055"/>
      <c r="M11693" s="1205"/>
      <c r="N11693" s="1054"/>
      <c r="O11693" s="1207"/>
      <c r="Q11693" s="1207"/>
    </row>
    <row r="11694" spans="3:17" s="700" customFormat="1" ht="70.5" hidden="1" customHeight="1">
      <c r="C11694" s="701"/>
      <c r="D11694" s="811"/>
      <c r="E11694" s="1276">
        <f>[11]building!Y12025</f>
        <v>0</v>
      </c>
      <c r="F11694" s="748">
        <f t="shared" si="421"/>
        <v>0</v>
      </c>
      <c r="G11694" s="1205"/>
      <c r="H11694" s="1055"/>
      <c r="I11694" s="1055"/>
      <c r="J11694" s="1055"/>
      <c r="K11694" s="1205"/>
      <c r="L11694" s="1055"/>
      <c r="M11694" s="1205"/>
      <c r="N11694" s="1054"/>
      <c r="O11694" s="1207"/>
      <c r="Q11694" s="1207"/>
    </row>
    <row r="11695" spans="3:17" s="700" customFormat="1" ht="70.5" hidden="1" customHeight="1">
      <c r="C11695" s="701"/>
      <c r="D11695" s="811"/>
      <c r="E11695" s="1276">
        <f>[11]building!Y12026</f>
        <v>0</v>
      </c>
      <c r="F11695" s="748">
        <f t="shared" si="421"/>
        <v>0</v>
      </c>
      <c r="G11695" s="1205"/>
      <c r="H11695" s="1055"/>
      <c r="I11695" s="1055"/>
      <c r="J11695" s="1055"/>
      <c r="K11695" s="1205"/>
      <c r="L11695" s="1055"/>
      <c r="M11695" s="1205"/>
      <c r="N11695" s="1054"/>
      <c r="O11695" s="1207"/>
      <c r="Q11695" s="1207"/>
    </row>
    <row r="11696" spans="3:17" s="700" customFormat="1" ht="70.5" hidden="1" customHeight="1">
      <c r="C11696" s="701"/>
      <c r="D11696" s="811"/>
      <c r="E11696" s="1276">
        <f>[11]building!Y12027</f>
        <v>0</v>
      </c>
      <c r="F11696" s="748">
        <f t="shared" si="421"/>
        <v>0</v>
      </c>
      <c r="G11696" s="1205"/>
      <c r="H11696" s="1055"/>
      <c r="I11696" s="1055"/>
      <c r="J11696" s="1055"/>
      <c r="K11696" s="1205"/>
      <c r="L11696" s="1055"/>
      <c r="M11696" s="1205"/>
      <c r="N11696" s="1054"/>
      <c r="O11696" s="1207"/>
      <c r="Q11696" s="1207"/>
    </row>
    <row r="11697" spans="3:17" s="700" customFormat="1" ht="70.5" hidden="1" customHeight="1">
      <c r="C11697" s="701"/>
      <c r="D11697" s="811"/>
      <c r="E11697" s="1276">
        <f>[11]building!Y12028</f>
        <v>0</v>
      </c>
      <c r="F11697" s="748">
        <f t="shared" si="421"/>
        <v>0</v>
      </c>
      <c r="G11697" s="1205"/>
      <c r="H11697" s="1055"/>
      <c r="I11697" s="1055"/>
      <c r="J11697" s="1055"/>
      <c r="K11697" s="1205"/>
      <c r="L11697" s="1055"/>
      <c r="M11697" s="1205"/>
      <c r="N11697" s="1054"/>
      <c r="O11697" s="1207"/>
      <c r="Q11697" s="1207"/>
    </row>
    <row r="11698" spans="3:17" s="700" customFormat="1" ht="70.5" hidden="1" customHeight="1">
      <c r="C11698" s="701"/>
      <c r="D11698" s="811"/>
      <c r="E11698" s="1276">
        <f>[11]building!Y12029</f>
        <v>0</v>
      </c>
      <c r="F11698" s="748">
        <f t="shared" si="421"/>
        <v>0</v>
      </c>
      <c r="G11698" s="1205"/>
      <c r="H11698" s="1055"/>
      <c r="I11698" s="1055"/>
      <c r="J11698" s="1055"/>
      <c r="K11698" s="1205"/>
      <c r="L11698" s="1055"/>
      <c r="M11698" s="1205"/>
      <c r="N11698" s="1054"/>
      <c r="O11698" s="1207"/>
      <c r="Q11698" s="1207"/>
    </row>
    <row r="11699" spans="3:17" s="700" customFormat="1" ht="70.5" hidden="1" customHeight="1">
      <c r="C11699" s="701"/>
      <c r="D11699" s="811"/>
      <c r="E11699" s="1276">
        <f>[11]building!Y12030</f>
        <v>0</v>
      </c>
      <c r="F11699" s="748">
        <f t="shared" si="421"/>
        <v>0</v>
      </c>
      <c r="G11699" s="1205"/>
      <c r="H11699" s="1055"/>
      <c r="I11699" s="1055"/>
      <c r="J11699" s="1055"/>
      <c r="K11699" s="1205"/>
      <c r="L11699" s="1055"/>
      <c r="M11699" s="1205"/>
      <c r="N11699" s="1054"/>
      <c r="O11699" s="1207"/>
      <c r="Q11699" s="1207"/>
    </row>
    <row r="11700" spans="3:17" s="700" customFormat="1" ht="70.5" hidden="1" customHeight="1">
      <c r="C11700" s="701"/>
      <c r="D11700" s="811"/>
      <c r="E11700" s="1276">
        <f>[11]building!Y12031</f>
        <v>0</v>
      </c>
      <c r="F11700" s="748">
        <f t="shared" si="421"/>
        <v>0</v>
      </c>
      <c r="G11700" s="1205"/>
      <c r="H11700" s="1055"/>
      <c r="I11700" s="1055"/>
      <c r="J11700" s="1055"/>
      <c r="K11700" s="1205"/>
      <c r="L11700" s="1055"/>
      <c r="M11700" s="1205"/>
      <c r="N11700" s="1054"/>
      <c r="O11700" s="1207"/>
      <c r="Q11700" s="1207"/>
    </row>
    <row r="11701" spans="3:17" s="700" customFormat="1" ht="70.5" hidden="1" customHeight="1">
      <c r="C11701" s="701"/>
      <c r="D11701" s="811"/>
      <c r="E11701" s="1276">
        <f>[11]building!Y12032</f>
        <v>0</v>
      </c>
      <c r="F11701" s="748">
        <f t="shared" si="421"/>
        <v>0</v>
      </c>
      <c r="G11701" s="1205"/>
      <c r="H11701" s="1055"/>
      <c r="I11701" s="1055"/>
      <c r="J11701" s="1055"/>
      <c r="K11701" s="1205"/>
      <c r="L11701" s="1055"/>
      <c r="M11701" s="1205"/>
      <c r="N11701" s="1054"/>
      <c r="O11701" s="1207"/>
      <c r="Q11701" s="1207"/>
    </row>
    <row r="11702" spans="3:17" s="700" customFormat="1" ht="70.5" hidden="1" customHeight="1">
      <c r="C11702" s="701"/>
      <c r="D11702" s="811"/>
      <c r="E11702" s="1276">
        <f>[11]building!Y12033</f>
        <v>0</v>
      </c>
      <c r="F11702" s="748">
        <f t="shared" si="421"/>
        <v>0</v>
      </c>
      <c r="G11702" s="1205"/>
      <c r="H11702" s="1055"/>
      <c r="I11702" s="1055"/>
      <c r="J11702" s="1055"/>
      <c r="K11702" s="1205"/>
      <c r="L11702" s="1055"/>
      <c r="M11702" s="1205"/>
      <c r="N11702" s="1054"/>
      <c r="O11702" s="1207"/>
      <c r="Q11702" s="1207"/>
    </row>
    <row r="11703" spans="3:17" s="700" customFormat="1" ht="70.5" hidden="1" customHeight="1">
      <c r="C11703" s="701"/>
      <c r="D11703" s="811"/>
      <c r="E11703" s="1276">
        <f>[11]building!Y12034</f>
        <v>0</v>
      </c>
      <c r="F11703" s="748">
        <f t="shared" si="421"/>
        <v>0</v>
      </c>
      <c r="G11703" s="1205"/>
      <c r="H11703" s="1055"/>
      <c r="I11703" s="1055"/>
      <c r="J11703" s="1055"/>
      <c r="K11703" s="1205"/>
      <c r="L11703" s="1055"/>
      <c r="M11703" s="1205"/>
      <c r="N11703" s="1054"/>
      <c r="O11703" s="1207"/>
      <c r="Q11703" s="1207"/>
    </row>
    <row r="11704" spans="3:17" s="700" customFormat="1" ht="70.5" hidden="1" customHeight="1">
      <c r="C11704" s="701"/>
      <c r="D11704" s="811"/>
      <c r="E11704" s="1276">
        <f>[11]building!Y12035</f>
        <v>0</v>
      </c>
      <c r="F11704" s="748">
        <f t="shared" si="421"/>
        <v>0</v>
      </c>
      <c r="G11704" s="1205"/>
      <c r="H11704" s="1055"/>
      <c r="I11704" s="1055"/>
      <c r="J11704" s="1055"/>
      <c r="K11704" s="1205"/>
      <c r="L11704" s="1055"/>
      <c r="M11704" s="1205"/>
      <c r="N11704" s="1054"/>
      <c r="O11704" s="1207"/>
      <c r="Q11704" s="1207"/>
    </row>
    <row r="11705" spans="3:17" s="700" customFormat="1" ht="70.5" hidden="1" customHeight="1">
      <c r="C11705" s="701"/>
      <c r="D11705" s="811"/>
      <c r="E11705" s="1276">
        <f>[11]building!Y12036</f>
        <v>0</v>
      </c>
      <c r="F11705" s="748">
        <f t="shared" si="421"/>
        <v>0</v>
      </c>
      <c r="G11705" s="1205"/>
      <c r="H11705" s="1055"/>
      <c r="I11705" s="1055"/>
      <c r="J11705" s="1055"/>
      <c r="K11705" s="1205"/>
      <c r="L11705" s="1055"/>
      <c r="M11705" s="1205"/>
      <c r="N11705" s="1054"/>
      <c r="O11705" s="1207"/>
      <c r="Q11705" s="1207"/>
    </row>
    <row r="11706" spans="3:17" s="700" customFormat="1" ht="70.5" hidden="1" customHeight="1">
      <c r="C11706" s="701"/>
      <c r="D11706" s="811"/>
      <c r="E11706" s="1276">
        <f>[11]building!Y12037</f>
        <v>0</v>
      </c>
      <c r="F11706" s="748">
        <f t="shared" si="421"/>
        <v>0</v>
      </c>
      <c r="G11706" s="1205"/>
      <c r="H11706" s="1055"/>
      <c r="I11706" s="1055"/>
      <c r="J11706" s="1055"/>
      <c r="K11706" s="1205"/>
      <c r="L11706" s="1055"/>
      <c r="M11706" s="1205"/>
      <c r="N11706" s="1054"/>
      <c r="O11706" s="1207"/>
      <c r="Q11706" s="1207"/>
    </row>
    <row r="11707" spans="3:17" s="700" customFormat="1" ht="70.5" hidden="1" customHeight="1">
      <c r="C11707" s="701"/>
      <c r="D11707" s="811"/>
      <c r="E11707" s="1276">
        <f>[11]building!Y12038</f>
        <v>0</v>
      </c>
      <c r="F11707" s="748">
        <f t="shared" si="421"/>
        <v>0</v>
      </c>
      <c r="G11707" s="1205"/>
      <c r="H11707" s="1055"/>
      <c r="I11707" s="1055"/>
      <c r="J11707" s="1055"/>
      <c r="K11707" s="1205"/>
      <c r="L11707" s="1055"/>
      <c r="M11707" s="1205"/>
      <c r="N11707" s="1054"/>
      <c r="O11707" s="1207"/>
      <c r="Q11707" s="1207"/>
    </row>
    <row r="11708" spans="3:17" s="700" customFormat="1" ht="70.5" hidden="1" customHeight="1">
      <c r="C11708" s="701"/>
      <c r="D11708" s="811"/>
      <c r="E11708" s="1276">
        <f>[11]building!Y12039</f>
        <v>0</v>
      </c>
      <c r="F11708" s="748">
        <f t="shared" si="421"/>
        <v>0</v>
      </c>
      <c r="G11708" s="1205"/>
      <c r="H11708" s="1055"/>
      <c r="I11708" s="1055"/>
      <c r="J11708" s="1055"/>
      <c r="K11708" s="1205"/>
      <c r="L11708" s="1055"/>
      <c r="M11708" s="1205"/>
      <c r="N11708" s="1054"/>
      <c r="O11708" s="1207"/>
      <c r="Q11708" s="1207"/>
    </row>
    <row r="11709" spans="3:17" s="700" customFormat="1" ht="70.5" hidden="1" customHeight="1">
      <c r="C11709" s="701"/>
      <c r="D11709" s="811"/>
      <c r="E11709" s="1276">
        <f>[11]building!Y12040</f>
        <v>0</v>
      </c>
      <c r="F11709" s="748">
        <f t="shared" si="421"/>
        <v>0</v>
      </c>
      <c r="G11709" s="1205"/>
      <c r="H11709" s="1055"/>
      <c r="I11709" s="1055"/>
      <c r="J11709" s="1055"/>
      <c r="K11709" s="1205"/>
      <c r="L11709" s="1055"/>
      <c r="M11709" s="1205"/>
      <c r="N11709" s="1054"/>
      <c r="O11709" s="1207"/>
      <c r="Q11709" s="1207"/>
    </row>
    <row r="11710" spans="3:17" s="700" customFormat="1" ht="70.5" hidden="1" customHeight="1">
      <c r="C11710" s="701"/>
      <c r="D11710" s="811"/>
      <c r="E11710" s="1276">
        <f>[11]building!Y12041</f>
        <v>0</v>
      </c>
      <c r="F11710" s="748">
        <f t="shared" si="421"/>
        <v>0</v>
      </c>
      <c r="G11710" s="1205"/>
      <c r="H11710" s="1055"/>
      <c r="I11710" s="1055"/>
      <c r="J11710" s="1055"/>
      <c r="K11710" s="1205"/>
      <c r="L11710" s="1055"/>
      <c r="M11710" s="1205"/>
      <c r="N11710" s="1054"/>
      <c r="O11710" s="1207"/>
      <c r="Q11710" s="1207"/>
    </row>
    <row r="11711" spans="3:17" s="700" customFormat="1" ht="70.5" hidden="1" customHeight="1">
      <c r="C11711" s="701"/>
      <c r="D11711" s="811"/>
      <c r="E11711" s="1276">
        <f>[11]building!Y12042</f>
        <v>0</v>
      </c>
      <c r="F11711" s="748">
        <f t="shared" si="421"/>
        <v>0</v>
      </c>
      <c r="G11711" s="1205"/>
      <c r="H11711" s="1055"/>
      <c r="I11711" s="1055"/>
      <c r="J11711" s="1055"/>
      <c r="K11711" s="1205"/>
      <c r="L11711" s="1055"/>
      <c r="M11711" s="1205"/>
      <c r="N11711" s="1054"/>
      <c r="O11711" s="1207"/>
      <c r="Q11711" s="1207"/>
    </row>
    <row r="11712" spans="3:17" s="700" customFormat="1" ht="70.5" hidden="1" customHeight="1">
      <c r="C11712" s="701"/>
      <c r="D11712" s="811"/>
      <c r="E11712" s="1276">
        <f>[11]building!Y12043</f>
        <v>0</v>
      </c>
      <c r="F11712" s="748">
        <f t="shared" ref="F11712:F11775" si="422">E11712*C11712</f>
        <v>0</v>
      </c>
      <c r="G11712" s="1205"/>
      <c r="H11712" s="1055"/>
      <c r="I11712" s="1055"/>
      <c r="J11712" s="1055"/>
      <c r="K11712" s="1205"/>
      <c r="L11712" s="1055"/>
      <c r="M11712" s="1205"/>
      <c r="N11712" s="1054"/>
      <c r="O11712" s="1207"/>
      <c r="Q11712" s="1207"/>
    </row>
    <row r="11713" spans="3:17" s="700" customFormat="1" ht="70.5" hidden="1" customHeight="1">
      <c r="C11713" s="701"/>
      <c r="D11713" s="811"/>
      <c r="E11713" s="1276">
        <f>[11]building!Y12044</f>
        <v>0</v>
      </c>
      <c r="F11713" s="748">
        <f t="shared" si="422"/>
        <v>0</v>
      </c>
      <c r="G11713" s="1205"/>
      <c r="H11713" s="1055"/>
      <c r="I11713" s="1055"/>
      <c r="J11713" s="1055"/>
      <c r="K11713" s="1205"/>
      <c r="L11713" s="1055"/>
      <c r="M11713" s="1205"/>
      <c r="N11713" s="1054"/>
      <c r="O11713" s="1207"/>
      <c r="Q11713" s="1207"/>
    </row>
    <row r="11714" spans="3:17" s="700" customFormat="1" ht="70.5" hidden="1" customHeight="1">
      <c r="C11714" s="701"/>
      <c r="D11714" s="811"/>
      <c r="E11714" s="1276">
        <f>[11]building!Y12045</f>
        <v>0</v>
      </c>
      <c r="F11714" s="748">
        <f t="shared" si="422"/>
        <v>0</v>
      </c>
      <c r="G11714" s="1205"/>
      <c r="H11714" s="1055"/>
      <c r="I11714" s="1055"/>
      <c r="J11714" s="1055"/>
      <c r="K11714" s="1205"/>
      <c r="L11714" s="1055"/>
      <c r="M11714" s="1205"/>
      <c r="N11714" s="1054"/>
      <c r="O11714" s="1207"/>
      <c r="Q11714" s="1207"/>
    </row>
    <row r="11715" spans="3:17" s="700" customFormat="1" ht="70.5" hidden="1" customHeight="1">
      <c r="C11715" s="701"/>
      <c r="D11715" s="811"/>
      <c r="E11715" s="1276">
        <f>[11]building!Y12046</f>
        <v>0</v>
      </c>
      <c r="F11715" s="748">
        <f t="shared" si="422"/>
        <v>0</v>
      </c>
      <c r="G11715" s="1205"/>
      <c r="H11715" s="1055"/>
      <c r="I11715" s="1055"/>
      <c r="J11715" s="1055"/>
      <c r="K11715" s="1205"/>
      <c r="L11715" s="1055"/>
      <c r="M11715" s="1205"/>
      <c r="N11715" s="1054"/>
      <c r="O11715" s="1207"/>
      <c r="Q11715" s="1207"/>
    </row>
    <row r="11716" spans="3:17" s="700" customFormat="1" ht="70.5" hidden="1" customHeight="1">
      <c r="C11716" s="701"/>
      <c r="D11716" s="811"/>
      <c r="E11716" s="1276">
        <f>[11]building!Y12047</f>
        <v>0</v>
      </c>
      <c r="F11716" s="748">
        <f t="shared" si="422"/>
        <v>0</v>
      </c>
      <c r="G11716" s="1205"/>
      <c r="H11716" s="1055"/>
      <c r="I11716" s="1055"/>
      <c r="J11716" s="1055"/>
      <c r="K11716" s="1205"/>
      <c r="L11716" s="1055"/>
      <c r="M11716" s="1205"/>
      <c r="N11716" s="1054"/>
      <c r="O11716" s="1207"/>
      <c r="Q11716" s="1207"/>
    </row>
    <row r="11717" spans="3:17" s="700" customFormat="1" ht="70.5" hidden="1" customHeight="1">
      <c r="C11717" s="701"/>
      <c r="D11717" s="811"/>
      <c r="E11717" s="1276">
        <f>[11]building!Y12048</f>
        <v>0</v>
      </c>
      <c r="F11717" s="748">
        <f t="shared" si="422"/>
        <v>0</v>
      </c>
      <c r="G11717" s="1205"/>
      <c r="H11717" s="1055"/>
      <c r="I11717" s="1055"/>
      <c r="J11717" s="1055"/>
      <c r="K11717" s="1205"/>
      <c r="L11717" s="1055"/>
      <c r="M11717" s="1205"/>
      <c r="N11717" s="1054"/>
      <c r="O11717" s="1207"/>
      <c r="Q11717" s="1207"/>
    </row>
    <row r="11718" spans="3:17" s="700" customFormat="1" ht="70.5" hidden="1" customHeight="1">
      <c r="C11718" s="701"/>
      <c r="D11718" s="811"/>
      <c r="E11718" s="1276">
        <f>[11]building!Y12049</f>
        <v>0</v>
      </c>
      <c r="F11718" s="748">
        <f t="shared" si="422"/>
        <v>0</v>
      </c>
      <c r="G11718" s="1205"/>
      <c r="H11718" s="1055"/>
      <c r="I11718" s="1055"/>
      <c r="J11718" s="1055"/>
      <c r="K11718" s="1205"/>
      <c r="L11718" s="1055"/>
      <c r="M11718" s="1205"/>
      <c r="N11718" s="1054"/>
      <c r="O11718" s="1207"/>
      <c r="Q11718" s="1207"/>
    </row>
    <row r="11719" spans="3:17" s="700" customFormat="1" ht="70.5" hidden="1" customHeight="1">
      <c r="C11719" s="701"/>
      <c r="D11719" s="811"/>
      <c r="E11719" s="1276">
        <f>[11]building!Y12050</f>
        <v>0</v>
      </c>
      <c r="F11719" s="748">
        <f t="shared" si="422"/>
        <v>0</v>
      </c>
      <c r="G11719" s="1205"/>
      <c r="H11719" s="1055"/>
      <c r="I11719" s="1055"/>
      <c r="J11719" s="1055"/>
      <c r="K11719" s="1205"/>
      <c r="L11719" s="1055"/>
      <c r="M11719" s="1205"/>
      <c r="N11719" s="1054"/>
      <c r="O11719" s="1207"/>
      <c r="Q11719" s="1207"/>
    </row>
    <row r="11720" spans="3:17" s="700" customFormat="1" ht="70.5" hidden="1" customHeight="1">
      <c r="C11720" s="701"/>
      <c r="D11720" s="811"/>
      <c r="E11720" s="1276">
        <f>[11]building!Y12051</f>
        <v>0</v>
      </c>
      <c r="F11720" s="748">
        <f t="shared" si="422"/>
        <v>0</v>
      </c>
      <c r="G11720" s="1205"/>
      <c r="H11720" s="1055"/>
      <c r="I11720" s="1055"/>
      <c r="J11720" s="1055"/>
      <c r="K11720" s="1205"/>
      <c r="L11720" s="1055"/>
      <c r="M11720" s="1205"/>
      <c r="N11720" s="1054"/>
      <c r="O11720" s="1207"/>
      <c r="Q11720" s="1207"/>
    </row>
    <row r="11721" spans="3:17" s="700" customFormat="1" ht="70.5" hidden="1" customHeight="1">
      <c r="C11721" s="701"/>
      <c r="D11721" s="811"/>
      <c r="E11721" s="1276">
        <f>[11]building!Y12052</f>
        <v>0</v>
      </c>
      <c r="F11721" s="748">
        <f t="shared" si="422"/>
        <v>0</v>
      </c>
      <c r="G11721" s="1205"/>
      <c r="H11721" s="1055"/>
      <c r="I11721" s="1055"/>
      <c r="J11721" s="1055"/>
      <c r="K11721" s="1205"/>
      <c r="L11721" s="1055"/>
      <c r="M11721" s="1205"/>
      <c r="N11721" s="1054"/>
      <c r="O11721" s="1207"/>
      <c r="Q11721" s="1207"/>
    </row>
    <row r="11722" spans="3:17" s="700" customFormat="1" ht="70.5" hidden="1" customHeight="1">
      <c r="C11722" s="701"/>
      <c r="D11722" s="811"/>
      <c r="E11722" s="1276">
        <f>[11]building!Y12053</f>
        <v>0</v>
      </c>
      <c r="F11722" s="748">
        <f t="shared" si="422"/>
        <v>0</v>
      </c>
      <c r="G11722" s="1205"/>
      <c r="H11722" s="1055"/>
      <c r="I11722" s="1055"/>
      <c r="J11722" s="1055"/>
      <c r="K11722" s="1205"/>
      <c r="L11722" s="1055"/>
      <c r="M11722" s="1205"/>
      <c r="N11722" s="1054"/>
      <c r="O11722" s="1207"/>
      <c r="Q11722" s="1207"/>
    </row>
    <row r="11723" spans="3:17" s="700" customFormat="1" ht="70.5" hidden="1" customHeight="1">
      <c r="C11723" s="701"/>
      <c r="D11723" s="811"/>
      <c r="E11723" s="1276">
        <f>[11]building!Y12054</f>
        <v>0</v>
      </c>
      <c r="F11723" s="748">
        <f t="shared" si="422"/>
        <v>0</v>
      </c>
      <c r="G11723" s="1205"/>
      <c r="H11723" s="1055"/>
      <c r="I11723" s="1055"/>
      <c r="J11723" s="1055"/>
      <c r="K11723" s="1205"/>
      <c r="L11723" s="1055"/>
      <c r="M11723" s="1205"/>
      <c r="N11723" s="1054"/>
      <c r="O11723" s="1207"/>
      <c r="Q11723" s="1207"/>
    </row>
    <row r="11724" spans="3:17" s="700" customFormat="1" ht="70.5" hidden="1" customHeight="1">
      <c r="C11724" s="701"/>
      <c r="D11724" s="811"/>
      <c r="E11724" s="1276">
        <f>[11]building!Y12055</f>
        <v>0</v>
      </c>
      <c r="F11724" s="748">
        <f t="shared" si="422"/>
        <v>0</v>
      </c>
      <c r="G11724" s="1205"/>
      <c r="H11724" s="1055"/>
      <c r="I11724" s="1055"/>
      <c r="J11724" s="1055"/>
      <c r="K11724" s="1205"/>
      <c r="L11724" s="1055"/>
      <c r="M11724" s="1205"/>
      <c r="N11724" s="1054"/>
      <c r="O11724" s="1207"/>
      <c r="Q11724" s="1207"/>
    </row>
    <row r="11725" spans="3:17" s="700" customFormat="1" ht="70.5" hidden="1" customHeight="1">
      <c r="C11725" s="701"/>
      <c r="D11725" s="811"/>
      <c r="E11725" s="1276">
        <f>[11]building!Y12056</f>
        <v>0</v>
      </c>
      <c r="F11725" s="748">
        <f t="shared" si="422"/>
        <v>0</v>
      </c>
      <c r="G11725" s="1205"/>
      <c r="H11725" s="1055"/>
      <c r="I11725" s="1055"/>
      <c r="J11725" s="1055"/>
      <c r="K11725" s="1205"/>
      <c r="L11725" s="1055"/>
      <c r="M11725" s="1205"/>
      <c r="N11725" s="1054"/>
      <c r="O11725" s="1207"/>
      <c r="Q11725" s="1207"/>
    </row>
    <row r="11726" spans="3:17" s="700" customFormat="1" ht="70.5" hidden="1" customHeight="1">
      <c r="C11726" s="701"/>
      <c r="D11726" s="811"/>
      <c r="E11726" s="1276">
        <f>[11]building!Y12057</f>
        <v>0</v>
      </c>
      <c r="F11726" s="748">
        <f t="shared" si="422"/>
        <v>0</v>
      </c>
      <c r="G11726" s="1205"/>
      <c r="H11726" s="1055"/>
      <c r="I11726" s="1055"/>
      <c r="J11726" s="1055"/>
      <c r="K11726" s="1205"/>
      <c r="L11726" s="1055"/>
      <c r="M11726" s="1205"/>
      <c r="N11726" s="1054"/>
      <c r="O11726" s="1207"/>
      <c r="Q11726" s="1207"/>
    </row>
    <row r="11727" spans="3:17" s="700" customFormat="1" ht="70.5" hidden="1" customHeight="1">
      <c r="C11727" s="701"/>
      <c r="D11727" s="811"/>
      <c r="E11727" s="1276">
        <f>[11]building!Y12058</f>
        <v>0</v>
      </c>
      <c r="F11727" s="748">
        <f t="shared" si="422"/>
        <v>0</v>
      </c>
      <c r="G11727" s="1205"/>
      <c r="H11727" s="1055"/>
      <c r="I11727" s="1055"/>
      <c r="J11727" s="1055"/>
      <c r="K11727" s="1205"/>
      <c r="L11727" s="1055"/>
      <c r="M11727" s="1205"/>
      <c r="N11727" s="1054"/>
      <c r="O11727" s="1207"/>
      <c r="Q11727" s="1207"/>
    </row>
    <row r="11728" spans="3:17" s="700" customFormat="1" ht="70.5" hidden="1" customHeight="1">
      <c r="C11728" s="701"/>
      <c r="D11728" s="811"/>
      <c r="E11728" s="1276">
        <f>[11]building!Y12059</f>
        <v>0</v>
      </c>
      <c r="F11728" s="748">
        <f t="shared" si="422"/>
        <v>0</v>
      </c>
      <c r="G11728" s="1205"/>
      <c r="H11728" s="1055"/>
      <c r="I11728" s="1055"/>
      <c r="J11728" s="1055"/>
      <c r="K11728" s="1205"/>
      <c r="L11728" s="1055"/>
      <c r="M11728" s="1205"/>
      <c r="N11728" s="1054"/>
      <c r="O11728" s="1207"/>
      <c r="Q11728" s="1207"/>
    </row>
    <row r="11729" spans="3:17" s="700" customFormat="1" ht="70.5" hidden="1" customHeight="1">
      <c r="C11729" s="701"/>
      <c r="D11729" s="811"/>
      <c r="E11729" s="1276">
        <f>[11]building!Y12060</f>
        <v>0</v>
      </c>
      <c r="F11729" s="748">
        <f t="shared" si="422"/>
        <v>0</v>
      </c>
      <c r="G11729" s="1205"/>
      <c r="H11729" s="1055"/>
      <c r="I11729" s="1055"/>
      <c r="J11729" s="1055"/>
      <c r="K11729" s="1205"/>
      <c r="L11729" s="1055"/>
      <c r="M11729" s="1205"/>
      <c r="N11729" s="1054"/>
      <c r="O11729" s="1207"/>
      <c r="Q11729" s="1207"/>
    </row>
    <row r="11730" spans="3:17" s="700" customFormat="1" ht="70.5" hidden="1" customHeight="1">
      <c r="C11730" s="701"/>
      <c r="D11730" s="811"/>
      <c r="E11730" s="1276">
        <f>[11]building!Y12061</f>
        <v>0</v>
      </c>
      <c r="F11730" s="748">
        <f t="shared" si="422"/>
        <v>0</v>
      </c>
      <c r="G11730" s="1205"/>
      <c r="H11730" s="1055"/>
      <c r="I11730" s="1055"/>
      <c r="J11730" s="1055"/>
      <c r="K11730" s="1205"/>
      <c r="L11730" s="1055"/>
      <c r="M11730" s="1205"/>
      <c r="N11730" s="1054"/>
      <c r="O11730" s="1207"/>
      <c r="Q11730" s="1207"/>
    </row>
    <row r="11731" spans="3:17" s="700" customFormat="1" ht="70.5" hidden="1" customHeight="1">
      <c r="C11731" s="701"/>
      <c r="D11731" s="811"/>
      <c r="E11731" s="1276">
        <f>[11]building!Y12062</f>
        <v>0</v>
      </c>
      <c r="F11731" s="748">
        <f t="shared" si="422"/>
        <v>0</v>
      </c>
      <c r="G11731" s="1205"/>
      <c r="H11731" s="1055"/>
      <c r="I11731" s="1055"/>
      <c r="J11731" s="1055"/>
      <c r="K11731" s="1205"/>
      <c r="L11731" s="1055"/>
      <c r="M11731" s="1205"/>
      <c r="N11731" s="1054"/>
      <c r="O11731" s="1207"/>
      <c r="Q11731" s="1207"/>
    </row>
    <row r="11732" spans="3:17" s="700" customFormat="1" ht="70.5" hidden="1" customHeight="1">
      <c r="C11732" s="701"/>
      <c r="D11732" s="811"/>
      <c r="E11732" s="1276">
        <f>[11]building!Y12063</f>
        <v>0</v>
      </c>
      <c r="F11732" s="748">
        <f t="shared" si="422"/>
        <v>0</v>
      </c>
      <c r="G11732" s="1205"/>
      <c r="H11732" s="1055"/>
      <c r="I11732" s="1055"/>
      <c r="J11732" s="1055"/>
      <c r="K11732" s="1205"/>
      <c r="L11732" s="1055"/>
      <c r="M11732" s="1205"/>
      <c r="N11732" s="1054"/>
      <c r="O11732" s="1207"/>
      <c r="Q11732" s="1207"/>
    </row>
    <row r="11733" spans="3:17" s="700" customFormat="1" ht="70.5" hidden="1" customHeight="1">
      <c r="C11733" s="701"/>
      <c r="D11733" s="811"/>
      <c r="E11733" s="1276">
        <f>[11]building!Y12064</f>
        <v>0</v>
      </c>
      <c r="F11733" s="748">
        <f t="shared" si="422"/>
        <v>0</v>
      </c>
      <c r="G11733" s="1205"/>
      <c r="H11733" s="1055"/>
      <c r="I11733" s="1055"/>
      <c r="J11733" s="1055"/>
      <c r="K11733" s="1205"/>
      <c r="L11733" s="1055"/>
      <c r="M11733" s="1205"/>
      <c r="N11733" s="1054"/>
      <c r="O11733" s="1207"/>
      <c r="Q11733" s="1207"/>
    </row>
    <row r="11734" spans="3:17" s="700" customFormat="1" ht="70.5" hidden="1" customHeight="1">
      <c r="C11734" s="701"/>
      <c r="D11734" s="811"/>
      <c r="E11734" s="1276">
        <f>[11]building!Y12065</f>
        <v>0</v>
      </c>
      <c r="F11734" s="748">
        <f t="shared" si="422"/>
        <v>0</v>
      </c>
      <c r="G11734" s="1205"/>
      <c r="H11734" s="1055"/>
      <c r="I11734" s="1055"/>
      <c r="J11734" s="1055"/>
      <c r="K11734" s="1205"/>
      <c r="L11734" s="1055"/>
      <c r="M11734" s="1205"/>
      <c r="N11734" s="1054"/>
      <c r="O11734" s="1207"/>
      <c r="Q11734" s="1207"/>
    </row>
    <row r="11735" spans="3:17" s="700" customFormat="1" ht="70.5" hidden="1" customHeight="1">
      <c r="C11735" s="701"/>
      <c r="D11735" s="811"/>
      <c r="E11735" s="1276">
        <f>[11]building!Y12066</f>
        <v>0</v>
      </c>
      <c r="F11735" s="748">
        <f t="shared" si="422"/>
        <v>0</v>
      </c>
      <c r="G11735" s="1205"/>
      <c r="H11735" s="1055"/>
      <c r="I11735" s="1055"/>
      <c r="J11735" s="1055"/>
      <c r="K11735" s="1205"/>
      <c r="L11735" s="1055"/>
      <c r="M11735" s="1205"/>
      <c r="N11735" s="1054"/>
      <c r="O11735" s="1207"/>
      <c r="Q11735" s="1207"/>
    </row>
    <row r="11736" spans="3:17" s="700" customFormat="1" ht="70.5" hidden="1" customHeight="1">
      <c r="C11736" s="701"/>
      <c r="D11736" s="811"/>
      <c r="E11736" s="1276">
        <f>[11]building!Y12067</f>
        <v>0</v>
      </c>
      <c r="F11736" s="748">
        <f t="shared" si="422"/>
        <v>0</v>
      </c>
      <c r="G11736" s="1205"/>
      <c r="H11736" s="1055"/>
      <c r="I11736" s="1055"/>
      <c r="J11736" s="1055"/>
      <c r="K11736" s="1205"/>
      <c r="L11736" s="1055"/>
      <c r="M11736" s="1205"/>
      <c r="N11736" s="1054"/>
      <c r="O11736" s="1207"/>
      <c r="Q11736" s="1207"/>
    </row>
    <row r="11737" spans="3:17" s="700" customFormat="1" ht="70.5" hidden="1" customHeight="1">
      <c r="C11737" s="701"/>
      <c r="D11737" s="811"/>
      <c r="E11737" s="1276">
        <f>[11]building!Y12068</f>
        <v>0</v>
      </c>
      <c r="F11737" s="748">
        <f t="shared" si="422"/>
        <v>0</v>
      </c>
      <c r="G11737" s="1205"/>
      <c r="H11737" s="1055"/>
      <c r="I11737" s="1055"/>
      <c r="J11737" s="1055"/>
      <c r="K11737" s="1205"/>
      <c r="L11737" s="1055"/>
      <c r="M11737" s="1205"/>
      <c r="N11737" s="1054"/>
      <c r="O11737" s="1207"/>
      <c r="Q11737" s="1207"/>
    </row>
    <row r="11738" spans="3:17" s="700" customFormat="1" ht="70.5" hidden="1" customHeight="1">
      <c r="C11738" s="701"/>
      <c r="D11738" s="811"/>
      <c r="E11738" s="1276">
        <f>[11]building!Y12069</f>
        <v>0</v>
      </c>
      <c r="F11738" s="748">
        <f t="shared" si="422"/>
        <v>0</v>
      </c>
      <c r="G11738" s="1205"/>
      <c r="H11738" s="1055"/>
      <c r="I11738" s="1055"/>
      <c r="J11738" s="1055"/>
      <c r="K11738" s="1205"/>
      <c r="L11738" s="1055"/>
      <c r="M11738" s="1205"/>
      <c r="N11738" s="1054"/>
      <c r="O11738" s="1207"/>
      <c r="Q11738" s="1207"/>
    </row>
    <row r="11739" spans="3:17" s="700" customFormat="1" ht="70.5" hidden="1" customHeight="1">
      <c r="C11739" s="701"/>
      <c r="D11739" s="811"/>
      <c r="E11739" s="1276">
        <f>[11]building!Y12070</f>
        <v>0</v>
      </c>
      <c r="F11739" s="748">
        <f t="shared" si="422"/>
        <v>0</v>
      </c>
      <c r="G11739" s="1205"/>
      <c r="H11739" s="1055"/>
      <c r="I11739" s="1055"/>
      <c r="J11739" s="1055"/>
      <c r="K11739" s="1205"/>
      <c r="L11739" s="1055"/>
      <c r="M11739" s="1205"/>
      <c r="N11739" s="1054"/>
      <c r="O11739" s="1207"/>
      <c r="Q11739" s="1207"/>
    </row>
    <row r="11740" spans="3:17" s="700" customFormat="1" ht="70.5" hidden="1" customHeight="1">
      <c r="C11740" s="701"/>
      <c r="D11740" s="811"/>
      <c r="E11740" s="1276">
        <f>[11]building!Y12071</f>
        <v>0</v>
      </c>
      <c r="F11740" s="748">
        <f t="shared" si="422"/>
        <v>0</v>
      </c>
      <c r="G11740" s="1205"/>
      <c r="H11740" s="1055"/>
      <c r="I11740" s="1055"/>
      <c r="J11740" s="1055"/>
      <c r="K11740" s="1205"/>
      <c r="L11740" s="1055"/>
      <c r="M11740" s="1205"/>
      <c r="N11740" s="1054"/>
      <c r="O11740" s="1207"/>
      <c r="Q11740" s="1207"/>
    </row>
    <row r="11741" spans="3:17" s="700" customFormat="1" ht="70.5" hidden="1" customHeight="1">
      <c r="C11741" s="701"/>
      <c r="D11741" s="811"/>
      <c r="E11741" s="1276">
        <f>[11]building!Y12072</f>
        <v>0</v>
      </c>
      <c r="F11741" s="748">
        <f t="shared" si="422"/>
        <v>0</v>
      </c>
      <c r="G11741" s="1205"/>
      <c r="H11741" s="1055"/>
      <c r="I11741" s="1055"/>
      <c r="J11741" s="1055"/>
      <c r="K11741" s="1205"/>
      <c r="L11741" s="1055"/>
      <c r="M11741" s="1205"/>
      <c r="N11741" s="1054"/>
      <c r="O11741" s="1207"/>
      <c r="Q11741" s="1207"/>
    </row>
    <row r="11742" spans="3:17" s="700" customFormat="1" ht="70.5" hidden="1" customHeight="1">
      <c r="C11742" s="701"/>
      <c r="D11742" s="811"/>
      <c r="E11742" s="1276">
        <f>[11]building!Y12073</f>
        <v>0</v>
      </c>
      <c r="F11742" s="748">
        <f t="shared" si="422"/>
        <v>0</v>
      </c>
      <c r="G11742" s="1205"/>
      <c r="H11742" s="1055"/>
      <c r="I11742" s="1055"/>
      <c r="J11742" s="1055"/>
      <c r="K11742" s="1205"/>
      <c r="L11742" s="1055"/>
      <c r="M11742" s="1205"/>
      <c r="N11742" s="1054"/>
      <c r="O11742" s="1207"/>
      <c r="Q11742" s="1207"/>
    </row>
    <row r="11743" spans="3:17" s="700" customFormat="1" ht="70.5" hidden="1" customHeight="1">
      <c r="C11743" s="701"/>
      <c r="D11743" s="811"/>
      <c r="E11743" s="1276">
        <f>[11]building!Y12074</f>
        <v>0</v>
      </c>
      <c r="F11743" s="748">
        <f t="shared" si="422"/>
        <v>0</v>
      </c>
      <c r="G11743" s="1205"/>
      <c r="H11743" s="1055"/>
      <c r="I11743" s="1055"/>
      <c r="J11743" s="1055"/>
      <c r="K11743" s="1205"/>
      <c r="L11743" s="1055"/>
      <c r="M11743" s="1205"/>
      <c r="N11743" s="1054"/>
      <c r="O11743" s="1207"/>
      <c r="Q11743" s="1207"/>
    </row>
    <row r="11744" spans="3:17" s="700" customFormat="1" ht="70.5" hidden="1" customHeight="1">
      <c r="C11744" s="701"/>
      <c r="D11744" s="811"/>
      <c r="E11744" s="1276">
        <f>[11]building!Y12075</f>
        <v>0</v>
      </c>
      <c r="F11744" s="748">
        <f t="shared" si="422"/>
        <v>0</v>
      </c>
      <c r="G11744" s="1205"/>
      <c r="H11744" s="1055"/>
      <c r="I11744" s="1055"/>
      <c r="J11744" s="1055"/>
      <c r="K11744" s="1205"/>
      <c r="L11744" s="1055"/>
      <c r="M11744" s="1205"/>
      <c r="N11744" s="1054"/>
      <c r="O11744" s="1207"/>
      <c r="Q11744" s="1207"/>
    </row>
    <row r="11745" spans="3:17" s="700" customFormat="1" ht="70.5" hidden="1" customHeight="1">
      <c r="C11745" s="701"/>
      <c r="D11745" s="811"/>
      <c r="E11745" s="1276">
        <f>[11]building!Y12076</f>
        <v>0</v>
      </c>
      <c r="F11745" s="748">
        <f t="shared" si="422"/>
        <v>0</v>
      </c>
      <c r="G11745" s="1205"/>
      <c r="H11745" s="1055"/>
      <c r="I11745" s="1055"/>
      <c r="J11745" s="1055"/>
      <c r="K11745" s="1205"/>
      <c r="L11745" s="1055"/>
      <c r="M11745" s="1205"/>
      <c r="N11745" s="1054"/>
      <c r="O11745" s="1207"/>
      <c r="Q11745" s="1207"/>
    </row>
    <row r="11746" spans="3:17" s="700" customFormat="1" ht="70.5" hidden="1" customHeight="1">
      <c r="C11746" s="701"/>
      <c r="D11746" s="811"/>
      <c r="E11746" s="1276">
        <f>[11]building!Y12077</f>
        <v>0</v>
      </c>
      <c r="F11746" s="748">
        <f t="shared" si="422"/>
        <v>0</v>
      </c>
      <c r="G11746" s="1205"/>
      <c r="H11746" s="1055"/>
      <c r="I11746" s="1055"/>
      <c r="J11746" s="1055"/>
      <c r="K11746" s="1205"/>
      <c r="L11746" s="1055"/>
      <c r="M11746" s="1205"/>
      <c r="N11746" s="1054"/>
      <c r="O11746" s="1207"/>
      <c r="Q11746" s="1207"/>
    </row>
    <row r="11747" spans="3:17" s="700" customFormat="1" ht="70.5" hidden="1" customHeight="1">
      <c r="C11747" s="701"/>
      <c r="D11747" s="811"/>
      <c r="E11747" s="1276">
        <f>[11]building!Y12078</f>
        <v>0</v>
      </c>
      <c r="F11747" s="748">
        <f t="shared" si="422"/>
        <v>0</v>
      </c>
      <c r="G11747" s="1205"/>
      <c r="H11747" s="1055"/>
      <c r="I11747" s="1055"/>
      <c r="J11747" s="1055"/>
      <c r="K11747" s="1205"/>
      <c r="L11747" s="1055"/>
      <c r="M11747" s="1205"/>
      <c r="N11747" s="1054"/>
      <c r="O11747" s="1207"/>
      <c r="Q11747" s="1207"/>
    </row>
    <row r="11748" spans="3:17" s="700" customFormat="1" ht="70.5" hidden="1" customHeight="1">
      <c r="C11748" s="701"/>
      <c r="D11748" s="811"/>
      <c r="E11748" s="1276">
        <f>[11]building!Y12079</f>
        <v>0</v>
      </c>
      <c r="F11748" s="748">
        <f t="shared" si="422"/>
        <v>0</v>
      </c>
      <c r="G11748" s="1205"/>
      <c r="H11748" s="1055"/>
      <c r="I11748" s="1055"/>
      <c r="J11748" s="1055"/>
      <c r="K11748" s="1205"/>
      <c r="L11748" s="1055"/>
      <c r="M11748" s="1205"/>
      <c r="N11748" s="1054"/>
      <c r="O11748" s="1207"/>
      <c r="Q11748" s="1207"/>
    </row>
    <row r="11749" spans="3:17" s="700" customFormat="1" ht="70.5" hidden="1" customHeight="1">
      <c r="C11749" s="701"/>
      <c r="D11749" s="811"/>
      <c r="E11749" s="1276">
        <f>[11]building!Y12080</f>
        <v>0</v>
      </c>
      <c r="F11749" s="748">
        <f t="shared" si="422"/>
        <v>0</v>
      </c>
      <c r="G11749" s="1205"/>
      <c r="H11749" s="1055"/>
      <c r="I11749" s="1055"/>
      <c r="J11749" s="1055"/>
      <c r="K11749" s="1205"/>
      <c r="L11749" s="1055"/>
      <c r="M11749" s="1205"/>
      <c r="N11749" s="1054"/>
      <c r="O11749" s="1207"/>
      <c r="Q11749" s="1207"/>
    </row>
    <row r="11750" spans="3:17" s="700" customFormat="1" ht="70.5" hidden="1" customHeight="1">
      <c r="C11750" s="701"/>
      <c r="D11750" s="811"/>
      <c r="E11750" s="1276">
        <f>[11]building!Y12081</f>
        <v>0</v>
      </c>
      <c r="F11750" s="748">
        <f t="shared" si="422"/>
        <v>0</v>
      </c>
      <c r="G11750" s="1205"/>
      <c r="H11750" s="1055"/>
      <c r="I11750" s="1055"/>
      <c r="J11750" s="1055"/>
      <c r="K11750" s="1205"/>
      <c r="L11750" s="1055"/>
      <c r="M11750" s="1205"/>
      <c r="N11750" s="1054"/>
      <c r="O11750" s="1207"/>
      <c r="Q11750" s="1207"/>
    </row>
    <row r="11751" spans="3:17" s="700" customFormat="1" ht="70.5" hidden="1" customHeight="1">
      <c r="C11751" s="701"/>
      <c r="D11751" s="811"/>
      <c r="E11751" s="1276">
        <f>[11]building!Y12082</f>
        <v>0</v>
      </c>
      <c r="F11751" s="748">
        <f t="shared" si="422"/>
        <v>0</v>
      </c>
      <c r="G11751" s="1205"/>
      <c r="H11751" s="1055"/>
      <c r="I11751" s="1055"/>
      <c r="J11751" s="1055"/>
      <c r="K11751" s="1205"/>
      <c r="L11751" s="1055"/>
      <c r="M11751" s="1205"/>
      <c r="N11751" s="1054"/>
      <c r="O11751" s="1207"/>
      <c r="Q11751" s="1207"/>
    </row>
    <row r="11752" spans="3:17" s="700" customFormat="1" ht="70.5" hidden="1" customHeight="1">
      <c r="C11752" s="701"/>
      <c r="D11752" s="811"/>
      <c r="E11752" s="1276">
        <f>[11]building!Y12083</f>
        <v>0</v>
      </c>
      <c r="F11752" s="748">
        <f t="shared" si="422"/>
        <v>0</v>
      </c>
      <c r="G11752" s="1205"/>
      <c r="H11752" s="1055"/>
      <c r="I11752" s="1055"/>
      <c r="J11752" s="1055"/>
      <c r="K11752" s="1205"/>
      <c r="L11752" s="1055"/>
      <c r="M11752" s="1205"/>
      <c r="N11752" s="1054"/>
      <c r="O11752" s="1207"/>
      <c r="Q11752" s="1207"/>
    </row>
    <row r="11753" spans="3:17" s="700" customFormat="1" ht="70.5" hidden="1" customHeight="1">
      <c r="C11753" s="701"/>
      <c r="D11753" s="811"/>
      <c r="E11753" s="1276">
        <f>[11]building!Y12084</f>
        <v>0</v>
      </c>
      <c r="F11753" s="748">
        <f t="shared" si="422"/>
        <v>0</v>
      </c>
      <c r="G11753" s="1205"/>
      <c r="H11753" s="1055"/>
      <c r="I11753" s="1055"/>
      <c r="J11753" s="1055"/>
      <c r="K11753" s="1205"/>
      <c r="L11753" s="1055"/>
      <c r="M11753" s="1205"/>
      <c r="N11753" s="1054"/>
      <c r="O11753" s="1207"/>
      <c r="Q11753" s="1207"/>
    </row>
    <row r="11754" spans="3:17" s="700" customFormat="1" ht="70.5" hidden="1" customHeight="1">
      <c r="C11754" s="701"/>
      <c r="D11754" s="811"/>
      <c r="E11754" s="1276">
        <f>[11]building!Y12085</f>
        <v>0</v>
      </c>
      <c r="F11754" s="748">
        <f t="shared" si="422"/>
        <v>0</v>
      </c>
      <c r="G11754" s="1205"/>
      <c r="H11754" s="1055"/>
      <c r="I11754" s="1055"/>
      <c r="J11754" s="1055"/>
      <c r="K11754" s="1205"/>
      <c r="L11754" s="1055"/>
      <c r="M11754" s="1205"/>
      <c r="N11754" s="1054"/>
      <c r="O11754" s="1207"/>
      <c r="Q11754" s="1207"/>
    </row>
    <row r="11755" spans="3:17" s="700" customFormat="1" ht="70.5" hidden="1" customHeight="1">
      <c r="C11755" s="701"/>
      <c r="D11755" s="811"/>
      <c r="E11755" s="1276">
        <f>[11]building!Y12086</f>
        <v>0</v>
      </c>
      <c r="F11755" s="748">
        <f t="shared" si="422"/>
        <v>0</v>
      </c>
      <c r="G11755" s="1205"/>
      <c r="H11755" s="1055"/>
      <c r="I11755" s="1055"/>
      <c r="J11755" s="1055"/>
      <c r="K11755" s="1205"/>
      <c r="L11755" s="1055"/>
      <c r="M11755" s="1205"/>
      <c r="N11755" s="1054"/>
      <c r="O11755" s="1207"/>
      <c r="Q11755" s="1207"/>
    </row>
    <row r="11756" spans="3:17" s="700" customFormat="1" ht="70.5" hidden="1" customHeight="1">
      <c r="C11756" s="701"/>
      <c r="D11756" s="811"/>
      <c r="E11756" s="1276">
        <f>[11]building!Y12087</f>
        <v>0</v>
      </c>
      <c r="F11756" s="748">
        <f t="shared" si="422"/>
        <v>0</v>
      </c>
      <c r="G11756" s="1205"/>
      <c r="H11756" s="1055"/>
      <c r="I11756" s="1055"/>
      <c r="J11756" s="1055"/>
      <c r="K11756" s="1205"/>
      <c r="L11756" s="1055"/>
      <c r="M11756" s="1205"/>
      <c r="N11756" s="1054"/>
      <c r="O11756" s="1207"/>
      <c r="Q11756" s="1207"/>
    </row>
    <row r="11757" spans="3:17" s="700" customFormat="1" ht="70.5" hidden="1" customHeight="1">
      <c r="C11757" s="701"/>
      <c r="D11757" s="811"/>
      <c r="E11757" s="1276">
        <f>[11]building!Y12088</f>
        <v>0</v>
      </c>
      <c r="F11757" s="748">
        <f t="shared" si="422"/>
        <v>0</v>
      </c>
      <c r="G11757" s="1205"/>
      <c r="H11757" s="1055"/>
      <c r="I11757" s="1055"/>
      <c r="J11757" s="1055"/>
      <c r="K11757" s="1205"/>
      <c r="L11757" s="1055"/>
      <c r="M11757" s="1205"/>
      <c r="N11757" s="1054"/>
      <c r="O11757" s="1207"/>
      <c r="Q11757" s="1207"/>
    </row>
    <row r="11758" spans="3:17" s="700" customFormat="1" ht="70.5" hidden="1" customHeight="1">
      <c r="C11758" s="701"/>
      <c r="D11758" s="811"/>
      <c r="E11758" s="1276">
        <f>[11]building!Y12089</f>
        <v>0</v>
      </c>
      <c r="F11758" s="748">
        <f t="shared" si="422"/>
        <v>0</v>
      </c>
      <c r="G11758" s="1205"/>
      <c r="H11758" s="1055"/>
      <c r="I11758" s="1055"/>
      <c r="J11758" s="1055"/>
      <c r="K11758" s="1205"/>
      <c r="L11758" s="1055"/>
      <c r="M11758" s="1205"/>
      <c r="N11758" s="1054"/>
      <c r="O11758" s="1207"/>
      <c r="Q11758" s="1207"/>
    </row>
    <row r="11759" spans="3:17" s="700" customFormat="1" ht="70.5" hidden="1" customHeight="1">
      <c r="C11759" s="701"/>
      <c r="D11759" s="811"/>
      <c r="E11759" s="1276">
        <f>[11]building!Y12090</f>
        <v>0</v>
      </c>
      <c r="F11759" s="748">
        <f t="shared" si="422"/>
        <v>0</v>
      </c>
      <c r="G11759" s="1205"/>
      <c r="H11759" s="1055"/>
      <c r="I11759" s="1055"/>
      <c r="J11759" s="1055"/>
      <c r="K11759" s="1205"/>
      <c r="L11759" s="1055"/>
      <c r="M11759" s="1205"/>
      <c r="N11759" s="1054"/>
      <c r="O11759" s="1207"/>
      <c r="Q11759" s="1207"/>
    </row>
    <row r="11760" spans="3:17" s="700" customFormat="1" ht="70.5" hidden="1" customHeight="1">
      <c r="C11760" s="701"/>
      <c r="D11760" s="811"/>
      <c r="E11760" s="1276">
        <f>[11]building!Y12091</f>
        <v>0</v>
      </c>
      <c r="F11760" s="748">
        <f t="shared" si="422"/>
        <v>0</v>
      </c>
      <c r="G11760" s="1205"/>
      <c r="H11760" s="1055"/>
      <c r="I11760" s="1055"/>
      <c r="J11760" s="1055"/>
      <c r="K11760" s="1205"/>
      <c r="L11760" s="1055"/>
      <c r="M11760" s="1205"/>
      <c r="N11760" s="1054"/>
      <c r="O11760" s="1207"/>
      <c r="Q11760" s="1207"/>
    </row>
    <row r="11761" spans="3:17" s="700" customFormat="1" ht="70.5" hidden="1" customHeight="1">
      <c r="C11761" s="701"/>
      <c r="D11761" s="811"/>
      <c r="E11761" s="1276">
        <f>[11]building!Y12092</f>
        <v>0</v>
      </c>
      <c r="F11761" s="748">
        <f t="shared" si="422"/>
        <v>0</v>
      </c>
      <c r="G11761" s="1205"/>
      <c r="H11761" s="1055"/>
      <c r="I11761" s="1055"/>
      <c r="J11761" s="1055"/>
      <c r="K11761" s="1205"/>
      <c r="L11761" s="1055"/>
      <c r="M11761" s="1205"/>
      <c r="N11761" s="1054"/>
      <c r="O11761" s="1207"/>
      <c r="Q11761" s="1207"/>
    </row>
    <row r="11762" spans="3:17" s="700" customFormat="1" ht="70.5" hidden="1" customHeight="1">
      <c r="C11762" s="701"/>
      <c r="D11762" s="811"/>
      <c r="E11762" s="1276">
        <f>[11]building!Y12093</f>
        <v>0</v>
      </c>
      <c r="F11762" s="748">
        <f t="shared" si="422"/>
        <v>0</v>
      </c>
      <c r="G11762" s="1205"/>
      <c r="H11762" s="1055"/>
      <c r="I11762" s="1055"/>
      <c r="J11762" s="1055"/>
      <c r="K11762" s="1205"/>
      <c r="L11762" s="1055"/>
      <c r="M11762" s="1205"/>
      <c r="N11762" s="1054"/>
      <c r="O11762" s="1207"/>
      <c r="Q11762" s="1207"/>
    </row>
    <row r="11763" spans="3:17" s="700" customFormat="1" ht="70.5" hidden="1" customHeight="1">
      <c r="C11763" s="701"/>
      <c r="D11763" s="811"/>
      <c r="E11763" s="1276">
        <f>[11]building!Y12094</f>
        <v>0</v>
      </c>
      <c r="F11763" s="748">
        <f t="shared" si="422"/>
        <v>0</v>
      </c>
      <c r="G11763" s="1205"/>
      <c r="H11763" s="1055"/>
      <c r="I11763" s="1055"/>
      <c r="J11763" s="1055"/>
      <c r="K11763" s="1205"/>
      <c r="L11763" s="1055"/>
      <c r="M11763" s="1205"/>
      <c r="N11763" s="1054"/>
      <c r="O11763" s="1207"/>
      <c r="Q11763" s="1207"/>
    </row>
    <row r="11764" spans="3:17" s="700" customFormat="1" ht="70.5" hidden="1" customHeight="1">
      <c r="C11764" s="701"/>
      <c r="D11764" s="811"/>
      <c r="E11764" s="1276">
        <f>[11]building!Y12095</f>
        <v>0</v>
      </c>
      <c r="F11764" s="748">
        <f t="shared" si="422"/>
        <v>0</v>
      </c>
      <c r="G11764" s="1205"/>
      <c r="H11764" s="1055"/>
      <c r="I11764" s="1055"/>
      <c r="J11764" s="1055"/>
      <c r="K11764" s="1205"/>
      <c r="L11764" s="1055"/>
      <c r="M11764" s="1205"/>
      <c r="N11764" s="1054"/>
      <c r="O11764" s="1207"/>
      <c r="Q11764" s="1207"/>
    </row>
    <row r="11765" spans="3:17" s="700" customFormat="1" ht="70.5" hidden="1" customHeight="1">
      <c r="C11765" s="701"/>
      <c r="D11765" s="811"/>
      <c r="E11765" s="1276">
        <f>[11]building!Y12096</f>
        <v>0</v>
      </c>
      <c r="F11765" s="748">
        <f t="shared" si="422"/>
        <v>0</v>
      </c>
      <c r="G11765" s="1205"/>
      <c r="H11765" s="1055"/>
      <c r="I11765" s="1055"/>
      <c r="J11765" s="1055"/>
      <c r="K11765" s="1205"/>
      <c r="L11765" s="1055"/>
      <c r="M11765" s="1205"/>
      <c r="N11765" s="1054"/>
      <c r="O11765" s="1207"/>
      <c r="Q11765" s="1207"/>
    </row>
    <row r="11766" spans="3:17" s="700" customFormat="1" ht="70.5" hidden="1" customHeight="1">
      <c r="C11766" s="701"/>
      <c r="D11766" s="811"/>
      <c r="E11766" s="1276">
        <f>[11]building!Y12097</f>
        <v>0</v>
      </c>
      <c r="F11766" s="748">
        <f t="shared" si="422"/>
        <v>0</v>
      </c>
      <c r="G11766" s="1205"/>
      <c r="H11766" s="1055"/>
      <c r="I11766" s="1055"/>
      <c r="J11766" s="1055"/>
      <c r="K11766" s="1205"/>
      <c r="L11766" s="1055"/>
      <c r="M11766" s="1205"/>
      <c r="N11766" s="1054"/>
      <c r="O11766" s="1207"/>
      <c r="Q11766" s="1207"/>
    </row>
    <row r="11767" spans="3:17" s="700" customFormat="1" ht="70.5" hidden="1" customHeight="1">
      <c r="C11767" s="701"/>
      <c r="D11767" s="811"/>
      <c r="E11767" s="1276">
        <f>[11]building!Y12098</f>
        <v>0</v>
      </c>
      <c r="F11767" s="748">
        <f t="shared" si="422"/>
        <v>0</v>
      </c>
      <c r="G11767" s="1205"/>
      <c r="H11767" s="1055"/>
      <c r="I11767" s="1055"/>
      <c r="J11767" s="1055"/>
      <c r="K11767" s="1205"/>
      <c r="L11767" s="1055"/>
      <c r="M11767" s="1205"/>
      <c r="N11767" s="1054"/>
      <c r="O11767" s="1207"/>
      <c r="Q11767" s="1207"/>
    </row>
    <row r="11768" spans="3:17" s="700" customFormat="1" ht="70.5" hidden="1" customHeight="1">
      <c r="C11768" s="701"/>
      <c r="D11768" s="811"/>
      <c r="E11768" s="1276">
        <f>[11]building!Y12099</f>
        <v>0</v>
      </c>
      <c r="F11768" s="748">
        <f t="shared" si="422"/>
        <v>0</v>
      </c>
      <c r="G11768" s="1205"/>
      <c r="H11768" s="1055"/>
      <c r="I11768" s="1055"/>
      <c r="J11768" s="1055"/>
      <c r="K11768" s="1205"/>
      <c r="L11768" s="1055"/>
      <c r="M11768" s="1205"/>
      <c r="N11768" s="1054"/>
      <c r="O11768" s="1207"/>
      <c r="Q11768" s="1207"/>
    </row>
    <row r="11769" spans="3:17" s="700" customFormat="1" ht="70.5" hidden="1" customHeight="1">
      <c r="C11769" s="701"/>
      <c r="D11769" s="811"/>
      <c r="E11769" s="1276">
        <f>[11]building!Y12100</f>
        <v>0</v>
      </c>
      <c r="F11769" s="748">
        <f t="shared" si="422"/>
        <v>0</v>
      </c>
      <c r="G11769" s="1205"/>
      <c r="H11769" s="1055"/>
      <c r="I11769" s="1055"/>
      <c r="J11769" s="1055"/>
      <c r="K11769" s="1205"/>
      <c r="L11769" s="1055"/>
      <c r="M11769" s="1205"/>
      <c r="N11769" s="1054"/>
      <c r="O11769" s="1207"/>
      <c r="Q11769" s="1207"/>
    </row>
    <row r="11770" spans="3:17" s="700" customFormat="1" ht="70.5" hidden="1" customHeight="1">
      <c r="C11770" s="701"/>
      <c r="D11770" s="811"/>
      <c r="E11770" s="1276">
        <f>[11]building!Y12101</f>
        <v>0</v>
      </c>
      <c r="F11770" s="748">
        <f t="shared" si="422"/>
        <v>0</v>
      </c>
      <c r="G11770" s="1205"/>
      <c r="H11770" s="1055"/>
      <c r="I11770" s="1055"/>
      <c r="J11770" s="1055"/>
      <c r="K11770" s="1205"/>
      <c r="L11770" s="1055"/>
      <c r="M11770" s="1205"/>
      <c r="N11770" s="1054"/>
      <c r="O11770" s="1207"/>
      <c r="Q11770" s="1207"/>
    </row>
    <row r="11771" spans="3:17" s="700" customFormat="1" ht="70.5" hidden="1" customHeight="1">
      <c r="C11771" s="701"/>
      <c r="D11771" s="811"/>
      <c r="E11771" s="1276">
        <f>[11]building!Y12102</f>
        <v>0</v>
      </c>
      <c r="F11771" s="748">
        <f t="shared" si="422"/>
        <v>0</v>
      </c>
      <c r="G11771" s="1205"/>
      <c r="H11771" s="1055"/>
      <c r="I11771" s="1055"/>
      <c r="J11771" s="1055"/>
      <c r="K11771" s="1205"/>
      <c r="L11771" s="1055"/>
      <c r="M11771" s="1205"/>
      <c r="N11771" s="1054"/>
      <c r="O11771" s="1207"/>
      <c r="Q11771" s="1207"/>
    </row>
    <row r="11772" spans="3:17" s="700" customFormat="1" ht="70.5" hidden="1" customHeight="1">
      <c r="C11772" s="701"/>
      <c r="D11772" s="811"/>
      <c r="E11772" s="1276">
        <f>[11]building!Y12103</f>
        <v>0</v>
      </c>
      <c r="F11772" s="748">
        <f t="shared" si="422"/>
        <v>0</v>
      </c>
      <c r="G11772" s="1205"/>
      <c r="H11772" s="1055"/>
      <c r="I11772" s="1055"/>
      <c r="J11772" s="1055"/>
      <c r="K11772" s="1205"/>
      <c r="L11772" s="1055"/>
      <c r="M11772" s="1205"/>
      <c r="N11772" s="1054"/>
      <c r="O11772" s="1207"/>
      <c r="Q11772" s="1207"/>
    </row>
    <row r="11773" spans="3:17" s="700" customFormat="1" ht="70.5" hidden="1" customHeight="1">
      <c r="C11773" s="701"/>
      <c r="D11773" s="811"/>
      <c r="E11773" s="1276">
        <f>[11]building!Y12104</f>
        <v>0</v>
      </c>
      <c r="F11773" s="748">
        <f t="shared" si="422"/>
        <v>0</v>
      </c>
      <c r="G11773" s="1205"/>
      <c r="H11773" s="1055"/>
      <c r="I11773" s="1055"/>
      <c r="J11773" s="1055"/>
      <c r="K11773" s="1205"/>
      <c r="L11773" s="1055"/>
      <c r="M11773" s="1205"/>
      <c r="N11773" s="1054"/>
      <c r="O11773" s="1207"/>
      <c r="Q11773" s="1207"/>
    </row>
    <row r="11774" spans="3:17" s="700" customFormat="1" ht="70.5" hidden="1" customHeight="1">
      <c r="C11774" s="701"/>
      <c r="D11774" s="811"/>
      <c r="E11774" s="1276">
        <f>[11]building!Y12105</f>
        <v>0</v>
      </c>
      <c r="F11774" s="748">
        <f t="shared" si="422"/>
        <v>0</v>
      </c>
      <c r="G11774" s="1205"/>
      <c r="H11774" s="1055"/>
      <c r="I11774" s="1055"/>
      <c r="J11774" s="1055"/>
      <c r="K11774" s="1205"/>
      <c r="L11774" s="1055"/>
      <c r="M11774" s="1205"/>
      <c r="N11774" s="1054"/>
      <c r="O11774" s="1207"/>
      <c r="Q11774" s="1207"/>
    </row>
    <row r="11775" spans="3:17" s="700" customFormat="1" ht="70.5" hidden="1" customHeight="1">
      <c r="C11775" s="701"/>
      <c r="D11775" s="811"/>
      <c r="E11775" s="1276">
        <f>[11]building!Y12106</f>
        <v>0</v>
      </c>
      <c r="F11775" s="748">
        <f t="shared" si="422"/>
        <v>0</v>
      </c>
      <c r="G11775" s="1205"/>
      <c r="H11775" s="1055"/>
      <c r="I11775" s="1055"/>
      <c r="J11775" s="1055"/>
      <c r="K11775" s="1205"/>
      <c r="L11775" s="1055"/>
      <c r="M11775" s="1205"/>
      <c r="N11775" s="1054"/>
      <c r="O11775" s="1207"/>
      <c r="Q11775" s="1207"/>
    </row>
    <row r="11776" spans="3:17" s="700" customFormat="1" ht="70.5" hidden="1" customHeight="1">
      <c r="C11776" s="701"/>
      <c r="D11776" s="811"/>
      <c r="E11776" s="1276">
        <f>[11]building!Y12107</f>
        <v>0</v>
      </c>
      <c r="F11776" s="748">
        <f t="shared" ref="F11776:F11839" si="423">E11776*C11776</f>
        <v>0</v>
      </c>
      <c r="G11776" s="1205"/>
      <c r="H11776" s="1055"/>
      <c r="I11776" s="1055"/>
      <c r="J11776" s="1055"/>
      <c r="K11776" s="1205"/>
      <c r="L11776" s="1055"/>
      <c r="M11776" s="1205"/>
      <c r="N11776" s="1054"/>
      <c r="O11776" s="1207"/>
      <c r="Q11776" s="1207"/>
    </row>
    <row r="11777" spans="3:17" s="700" customFormat="1" ht="70.5" hidden="1" customHeight="1">
      <c r="C11777" s="701"/>
      <c r="D11777" s="811"/>
      <c r="E11777" s="1276">
        <f>[11]building!Y12108</f>
        <v>0</v>
      </c>
      <c r="F11777" s="748">
        <f t="shared" si="423"/>
        <v>0</v>
      </c>
      <c r="G11777" s="1205"/>
      <c r="H11777" s="1055"/>
      <c r="I11777" s="1055"/>
      <c r="J11777" s="1055"/>
      <c r="K11777" s="1205"/>
      <c r="L11777" s="1055"/>
      <c r="M11777" s="1205"/>
      <c r="N11777" s="1054"/>
      <c r="O11777" s="1207"/>
      <c r="Q11777" s="1207"/>
    </row>
    <row r="11778" spans="3:17" s="700" customFormat="1" ht="70.5" hidden="1" customHeight="1">
      <c r="C11778" s="701"/>
      <c r="D11778" s="811"/>
      <c r="E11778" s="1276">
        <f>[11]building!Y12109</f>
        <v>0</v>
      </c>
      <c r="F11778" s="748">
        <f t="shared" si="423"/>
        <v>0</v>
      </c>
      <c r="G11778" s="1205"/>
      <c r="H11778" s="1055"/>
      <c r="I11778" s="1055"/>
      <c r="J11778" s="1055"/>
      <c r="K11778" s="1205"/>
      <c r="L11778" s="1055"/>
      <c r="M11778" s="1205"/>
      <c r="N11778" s="1054"/>
      <c r="O11778" s="1207"/>
      <c r="Q11778" s="1207"/>
    </row>
    <row r="11779" spans="3:17" s="700" customFormat="1" ht="70.5" hidden="1" customHeight="1">
      <c r="C11779" s="701"/>
      <c r="D11779" s="811"/>
      <c r="E11779" s="1276">
        <f>[11]building!Y12110</f>
        <v>0</v>
      </c>
      <c r="F11779" s="748">
        <f t="shared" si="423"/>
        <v>0</v>
      </c>
      <c r="G11779" s="1205"/>
      <c r="H11779" s="1055"/>
      <c r="I11779" s="1055"/>
      <c r="J11779" s="1055"/>
      <c r="K11779" s="1205"/>
      <c r="L11779" s="1055"/>
      <c r="M11779" s="1205"/>
      <c r="N11779" s="1054"/>
      <c r="O11779" s="1207"/>
      <c r="Q11779" s="1207"/>
    </row>
    <row r="11780" spans="3:17" s="700" customFormat="1" ht="70.5" hidden="1" customHeight="1">
      <c r="C11780" s="701"/>
      <c r="D11780" s="811"/>
      <c r="E11780" s="1276">
        <f>[11]building!Y12111</f>
        <v>0</v>
      </c>
      <c r="F11780" s="748">
        <f t="shared" si="423"/>
        <v>0</v>
      </c>
      <c r="G11780" s="1205"/>
      <c r="H11780" s="1055"/>
      <c r="I11780" s="1055"/>
      <c r="J11780" s="1055"/>
      <c r="K11780" s="1205"/>
      <c r="L11780" s="1055"/>
      <c r="M11780" s="1205"/>
      <c r="N11780" s="1054"/>
      <c r="O11780" s="1207"/>
      <c r="Q11780" s="1207"/>
    </row>
    <row r="11781" spans="3:17" s="700" customFormat="1" ht="70.5" hidden="1" customHeight="1">
      <c r="C11781" s="701"/>
      <c r="D11781" s="811"/>
      <c r="E11781" s="1276">
        <f>[11]building!Y12112</f>
        <v>0</v>
      </c>
      <c r="F11781" s="748">
        <f t="shared" si="423"/>
        <v>0</v>
      </c>
      <c r="G11781" s="1205"/>
      <c r="H11781" s="1055"/>
      <c r="I11781" s="1055"/>
      <c r="J11781" s="1055"/>
      <c r="K11781" s="1205"/>
      <c r="L11781" s="1055"/>
      <c r="M11781" s="1205"/>
      <c r="N11781" s="1054"/>
      <c r="O11781" s="1207"/>
      <c r="Q11781" s="1207"/>
    </row>
    <row r="11782" spans="3:17" s="700" customFormat="1" ht="70.5" hidden="1" customHeight="1">
      <c r="C11782" s="701"/>
      <c r="D11782" s="811"/>
      <c r="E11782" s="1276">
        <f>[11]building!Y12113</f>
        <v>0</v>
      </c>
      <c r="F11782" s="748">
        <f t="shared" si="423"/>
        <v>0</v>
      </c>
      <c r="G11782" s="1205"/>
      <c r="H11782" s="1055"/>
      <c r="I11782" s="1055"/>
      <c r="J11782" s="1055"/>
      <c r="K11782" s="1205"/>
      <c r="L11782" s="1055"/>
      <c r="M11782" s="1205"/>
      <c r="N11782" s="1054"/>
      <c r="O11782" s="1207"/>
      <c r="Q11782" s="1207"/>
    </row>
    <row r="11783" spans="3:17" s="700" customFormat="1" ht="70.5" hidden="1" customHeight="1">
      <c r="C11783" s="701"/>
      <c r="D11783" s="811"/>
      <c r="E11783" s="1276">
        <f>[11]building!Y12114</f>
        <v>0</v>
      </c>
      <c r="F11783" s="748">
        <f t="shared" si="423"/>
        <v>0</v>
      </c>
      <c r="G11783" s="1205"/>
      <c r="H11783" s="1055"/>
      <c r="I11783" s="1055"/>
      <c r="J11783" s="1055"/>
      <c r="K11783" s="1205"/>
      <c r="L11783" s="1055"/>
      <c r="M11783" s="1205"/>
      <c r="N11783" s="1054"/>
      <c r="O11783" s="1207"/>
      <c r="Q11783" s="1207"/>
    </row>
    <row r="11784" spans="3:17" s="700" customFormat="1" ht="70.5" hidden="1" customHeight="1">
      <c r="C11784" s="701"/>
      <c r="D11784" s="811"/>
      <c r="E11784" s="1276">
        <f>[11]building!Y12115</f>
        <v>0</v>
      </c>
      <c r="F11784" s="748">
        <f t="shared" si="423"/>
        <v>0</v>
      </c>
      <c r="G11784" s="1205"/>
      <c r="H11784" s="1055"/>
      <c r="I11784" s="1055"/>
      <c r="J11784" s="1055"/>
      <c r="K11784" s="1205"/>
      <c r="L11784" s="1055"/>
      <c r="M11784" s="1205"/>
      <c r="N11784" s="1054"/>
      <c r="O11784" s="1207"/>
      <c r="Q11784" s="1207"/>
    </row>
    <row r="11785" spans="3:17" s="700" customFormat="1" ht="70.5" hidden="1" customHeight="1">
      <c r="C11785" s="701"/>
      <c r="D11785" s="811"/>
      <c r="E11785" s="1276">
        <f>[11]building!Y12116</f>
        <v>0</v>
      </c>
      <c r="F11785" s="748">
        <f t="shared" si="423"/>
        <v>0</v>
      </c>
      <c r="G11785" s="1205"/>
      <c r="H11785" s="1055"/>
      <c r="I11785" s="1055"/>
      <c r="J11785" s="1055"/>
      <c r="K11785" s="1205"/>
      <c r="L11785" s="1055"/>
      <c r="M11785" s="1205"/>
      <c r="N11785" s="1054"/>
      <c r="O11785" s="1207"/>
      <c r="Q11785" s="1207"/>
    </row>
    <row r="11786" spans="3:17" s="700" customFormat="1" ht="70.5" hidden="1" customHeight="1">
      <c r="C11786" s="701"/>
      <c r="D11786" s="811"/>
      <c r="E11786" s="1276">
        <f>[11]building!Y12117</f>
        <v>0</v>
      </c>
      <c r="F11786" s="748">
        <f t="shared" si="423"/>
        <v>0</v>
      </c>
      <c r="G11786" s="1205"/>
      <c r="H11786" s="1055"/>
      <c r="I11786" s="1055"/>
      <c r="J11786" s="1055"/>
      <c r="K11786" s="1205"/>
      <c r="L11786" s="1055"/>
      <c r="M11786" s="1205"/>
      <c r="N11786" s="1054"/>
      <c r="O11786" s="1207"/>
      <c r="Q11786" s="1207"/>
    </row>
    <row r="11787" spans="3:17" s="700" customFormat="1" ht="70.5" hidden="1" customHeight="1">
      <c r="C11787" s="701"/>
      <c r="D11787" s="811"/>
      <c r="E11787" s="1276">
        <f>[11]building!Y12118</f>
        <v>0</v>
      </c>
      <c r="F11787" s="748">
        <f t="shared" si="423"/>
        <v>0</v>
      </c>
      <c r="G11787" s="1205"/>
      <c r="H11787" s="1055"/>
      <c r="I11787" s="1055"/>
      <c r="J11787" s="1055"/>
      <c r="K11787" s="1205"/>
      <c r="L11787" s="1055"/>
      <c r="M11787" s="1205"/>
      <c r="N11787" s="1054"/>
      <c r="O11787" s="1207"/>
      <c r="Q11787" s="1207"/>
    </row>
    <row r="11788" spans="3:17" s="700" customFormat="1" ht="70.5" hidden="1" customHeight="1">
      <c r="C11788" s="701"/>
      <c r="D11788" s="811"/>
      <c r="E11788" s="1276">
        <f>[11]building!Y12119</f>
        <v>0</v>
      </c>
      <c r="F11788" s="748">
        <f t="shared" si="423"/>
        <v>0</v>
      </c>
      <c r="G11788" s="1205"/>
      <c r="H11788" s="1055"/>
      <c r="I11788" s="1055"/>
      <c r="J11788" s="1055"/>
      <c r="K11788" s="1205"/>
      <c r="L11788" s="1055"/>
      <c r="M11788" s="1205"/>
      <c r="N11788" s="1054"/>
      <c r="O11788" s="1207"/>
      <c r="Q11788" s="1207"/>
    </row>
    <row r="11789" spans="3:17" s="700" customFormat="1" ht="70.5" hidden="1" customHeight="1">
      <c r="C11789" s="701"/>
      <c r="D11789" s="811"/>
      <c r="E11789" s="1276">
        <f>[11]building!Y12120</f>
        <v>0</v>
      </c>
      <c r="F11789" s="748">
        <f t="shared" si="423"/>
        <v>0</v>
      </c>
      <c r="G11789" s="1205"/>
      <c r="H11789" s="1055"/>
      <c r="I11789" s="1055"/>
      <c r="J11789" s="1055"/>
      <c r="K11789" s="1205"/>
      <c r="L11789" s="1055"/>
      <c r="M11789" s="1205"/>
      <c r="N11789" s="1054"/>
      <c r="O11789" s="1207"/>
      <c r="Q11789" s="1207"/>
    </row>
    <row r="11790" spans="3:17" s="700" customFormat="1" ht="70.5" hidden="1" customHeight="1">
      <c r="C11790" s="701"/>
      <c r="D11790" s="811"/>
      <c r="E11790" s="1276">
        <f>[11]building!Y12121</f>
        <v>0</v>
      </c>
      <c r="F11790" s="748">
        <f t="shared" si="423"/>
        <v>0</v>
      </c>
      <c r="G11790" s="1205"/>
      <c r="H11790" s="1055"/>
      <c r="I11790" s="1055"/>
      <c r="J11790" s="1055"/>
      <c r="K11790" s="1205"/>
      <c r="L11790" s="1055"/>
      <c r="M11790" s="1205"/>
      <c r="N11790" s="1054"/>
      <c r="O11790" s="1207"/>
      <c r="Q11790" s="1207"/>
    </row>
    <row r="11791" spans="3:17" s="700" customFormat="1" ht="70.5" hidden="1" customHeight="1">
      <c r="C11791" s="701"/>
      <c r="D11791" s="811"/>
      <c r="E11791" s="1276">
        <f>[11]building!Y12122</f>
        <v>0</v>
      </c>
      <c r="F11791" s="748">
        <f t="shared" si="423"/>
        <v>0</v>
      </c>
      <c r="G11791" s="1205"/>
      <c r="H11791" s="1055"/>
      <c r="I11791" s="1055"/>
      <c r="J11791" s="1055"/>
      <c r="K11791" s="1205"/>
      <c r="L11791" s="1055"/>
      <c r="M11791" s="1205"/>
      <c r="N11791" s="1054"/>
      <c r="O11791" s="1207"/>
      <c r="Q11791" s="1207"/>
    </row>
    <row r="11792" spans="3:17" s="700" customFormat="1" ht="70.5" hidden="1" customHeight="1">
      <c r="C11792" s="701"/>
      <c r="D11792" s="811"/>
      <c r="E11792" s="1276">
        <f>[11]building!Y12123</f>
        <v>0</v>
      </c>
      <c r="F11792" s="748">
        <f t="shared" si="423"/>
        <v>0</v>
      </c>
      <c r="G11792" s="1205"/>
      <c r="H11792" s="1055"/>
      <c r="I11792" s="1055"/>
      <c r="J11792" s="1055"/>
      <c r="K11792" s="1205"/>
      <c r="L11792" s="1055"/>
      <c r="M11792" s="1205"/>
      <c r="N11792" s="1054"/>
      <c r="O11792" s="1207"/>
      <c r="Q11792" s="1207"/>
    </row>
    <row r="11793" spans="3:17" s="700" customFormat="1" ht="70.5" hidden="1" customHeight="1">
      <c r="C11793" s="701"/>
      <c r="D11793" s="811"/>
      <c r="E11793" s="1276">
        <f>[11]building!Y12124</f>
        <v>0</v>
      </c>
      <c r="F11793" s="748">
        <f t="shared" si="423"/>
        <v>0</v>
      </c>
      <c r="G11793" s="1205"/>
      <c r="H11793" s="1055"/>
      <c r="I11793" s="1055"/>
      <c r="J11793" s="1055"/>
      <c r="K11793" s="1205"/>
      <c r="L11793" s="1055"/>
      <c r="M11793" s="1205"/>
      <c r="N11793" s="1054"/>
      <c r="O11793" s="1207"/>
      <c r="Q11793" s="1207"/>
    </row>
    <row r="11794" spans="3:17" s="700" customFormat="1" ht="70.5" hidden="1" customHeight="1">
      <c r="C11794" s="701"/>
      <c r="D11794" s="811"/>
      <c r="E11794" s="1276">
        <f>[11]building!Y12125</f>
        <v>0</v>
      </c>
      <c r="F11794" s="748">
        <f t="shared" si="423"/>
        <v>0</v>
      </c>
      <c r="G11794" s="1205"/>
      <c r="H11794" s="1055"/>
      <c r="I11794" s="1055"/>
      <c r="J11794" s="1055"/>
      <c r="K11794" s="1205"/>
      <c r="L11794" s="1055"/>
      <c r="M11794" s="1205"/>
      <c r="N11794" s="1054"/>
      <c r="O11794" s="1207"/>
      <c r="Q11794" s="1207"/>
    </row>
    <row r="11795" spans="3:17" s="700" customFormat="1" ht="70.5" hidden="1" customHeight="1">
      <c r="C11795" s="701"/>
      <c r="D11795" s="811"/>
      <c r="E11795" s="1276">
        <f>[11]building!Y12126</f>
        <v>0</v>
      </c>
      <c r="F11795" s="748">
        <f t="shared" si="423"/>
        <v>0</v>
      </c>
      <c r="G11795" s="1205"/>
      <c r="H11795" s="1055"/>
      <c r="I11795" s="1055"/>
      <c r="J11795" s="1055"/>
      <c r="K11795" s="1205"/>
      <c r="L11795" s="1055"/>
      <c r="M11795" s="1205"/>
      <c r="N11795" s="1054"/>
      <c r="O11795" s="1207"/>
      <c r="Q11795" s="1207"/>
    </row>
    <row r="11796" spans="3:17" s="700" customFormat="1" ht="70.5" hidden="1" customHeight="1">
      <c r="C11796" s="701"/>
      <c r="D11796" s="811"/>
      <c r="E11796" s="1276">
        <f>[11]building!Y12127</f>
        <v>0</v>
      </c>
      <c r="F11796" s="748">
        <f t="shared" si="423"/>
        <v>0</v>
      </c>
      <c r="G11796" s="1205"/>
      <c r="H11796" s="1055"/>
      <c r="I11796" s="1055"/>
      <c r="J11796" s="1055"/>
      <c r="K11796" s="1205"/>
      <c r="L11796" s="1055"/>
      <c r="M11796" s="1205"/>
      <c r="N11796" s="1054"/>
      <c r="O11796" s="1207"/>
      <c r="Q11796" s="1207"/>
    </row>
    <row r="11797" spans="3:17" s="700" customFormat="1" ht="70.5" hidden="1" customHeight="1">
      <c r="C11797" s="701"/>
      <c r="D11797" s="811"/>
      <c r="E11797" s="1276">
        <f>[11]building!Y12128</f>
        <v>0</v>
      </c>
      <c r="F11797" s="748">
        <f t="shared" si="423"/>
        <v>0</v>
      </c>
      <c r="G11797" s="1205"/>
      <c r="H11797" s="1055"/>
      <c r="I11797" s="1055"/>
      <c r="J11797" s="1055"/>
      <c r="K11797" s="1205"/>
      <c r="L11797" s="1055"/>
      <c r="M11797" s="1205"/>
      <c r="N11797" s="1054"/>
      <c r="O11797" s="1207"/>
      <c r="Q11797" s="1207"/>
    </row>
    <row r="11798" spans="3:17" s="700" customFormat="1" ht="70.5" hidden="1" customHeight="1">
      <c r="C11798" s="701"/>
      <c r="D11798" s="811"/>
      <c r="E11798" s="1276">
        <f>[11]building!Y12129</f>
        <v>0</v>
      </c>
      <c r="F11798" s="748">
        <f t="shared" si="423"/>
        <v>0</v>
      </c>
      <c r="G11798" s="1205"/>
      <c r="H11798" s="1055"/>
      <c r="I11798" s="1055"/>
      <c r="J11798" s="1055"/>
      <c r="K11798" s="1205"/>
      <c r="L11798" s="1055"/>
      <c r="M11798" s="1205"/>
      <c r="N11798" s="1054"/>
      <c r="O11798" s="1207"/>
      <c r="Q11798" s="1207"/>
    </row>
    <row r="11799" spans="3:17" s="700" customFormat="1" ht="70.5" hidden="1" customHeight="1">
      <c r="C11799" s="701"/>
      <c r="D11799" s="811"/>
      <c r="E11799" s="1276">
        <f>[11]building!Y12130</f>
        <v>0</v>
      </c>
      <c r="F11799" s="748">
        <f t="shared" si="423"/>
        <v>0</v>
      </c>
      <c r="G11799" s="1205"/>
      <c r="H11799" s="1055"/>
      <c r="I11799" s="1055"/>
      <c r="J11799" s="1055"/>
      <c r="K11799" s="1205"/>
      <c r="L11799" s="1055"/>
      <c r="M11799" s="1205"/>
      <c r="N11799" s="1054"/>
      <c r="O11799" s="1207"/>
      <c r="Q11799" s="1207"/>
    </row>
    <row r="11800" spans="3:17" s="700" customFormat="1" ht="70.5" hidden="1" customHeight="1">
      <c r="C11800" s="701"/>
      <c r="D11800" s="811"/>
      <c r="E11800" s="1276">
        <f>[11]building!Y12131</f>
        <v>0</v>
      </c>
      <c r="F11800" s="748">
        <f t="shared" si="423"/>
        <v>0</v>
      </c>
      <c r="G11800" s="1205"/>
      <c r="H11800" s="1055"/>
      <c r="I11800" s="1055"/>
      <c r="J11800" s="1055"/>
      <c r="K11800" s="1205"/>
      <c r="L11800" s="1055"/>
      <c r="M11800" s="1205"/>
      <c r="N11800" s="1054"/>
      <c r="O11800" s="1207"/>
      <c r="Q11800" s="1207"/>
    </row>
    <row r="11801" spans="3:17" s="700" customFormat="1" ht="70.5" hidden="1" customHeight="1">
      <c r="C11801" s="701"/>
      <c r="D11801" s="811"/>
      <c r="E11801" s="1276">
        <f>[11]building!Y12132</f>
        <v>0</v>
      </c>
      <c r="F11801" s="748">
        <f t="shared" si="423"/>
        <v>0</v>
      </c>
      <c r="G11801" s="1205"/>
      <c r="H11801" s="1055"/>
      <c r="I11801" s="1055"/>
      <c r="J11801" s="1055"/>
      <c r="K11801" s="1205"/>
      <c r="L11801" s="1055"/>
      <c r="M11801" s="1205"/>
      <c r="N11801" s="1054"/>
      <c r="O11801" s="1207"/>
      <c r="Q11801" s="1207"/>
    </row>
    <row r="11802" spans="3:17" s="700" customFormat="1" ht="70.5" hidden="1" customHeight="1">
      <c r="C11802" s="701"/>
      <c r="D11802" s="811"/>
      <c r="E11802" s="1276">
        <f>[11]building!Y12133</f>
        <v>0</v>
      </c>
      <c r="F11802" s="748">
        <f t="shared" si="423"/>
        <v>0</v>
      </c>
      <c r="G11802" s="1205"/>
      <c r="H11802" s="1055"/>
      <c r="I11802" s="1055"/>
      <c r="J11802" s="1055"/>
      <c r="K11802" s="1205"/>
      <c r="L11802" s="1055"/>
      <c r="M11802" s="1205"/>
      <c r="N11802" s="1054"/>
      <c r="O11802" s="1207"/>
      <c r="Q11802" s="1207"/>
    </row>
    <row r="11803" spans="3:17" s="700" customFormat="1" ht="70.5" hidden="1" customHeight="1">
      <c r="C11803" s="701"/>
      <c r="D11803" s="811"/>
      <c r="E11803" s="1276">
        <f>[11]building!Y12134</f>
        <v>0</v>
      </c>
      <c r="F11803" s="748">
        <f t="shared" si="423"/>
        <v>0</v>
      </c>
      <c r="G11803" s="1205"/>
      <c r="H11803" s="1055"/>
      <c r="I11803" s="1055"/>
      <c r="J11803" s="1055"/>
      <c r="K11803" s="1205"/>
      <c r="L11803" s="1055"/>
      <c r="M11803" s="1205"/>
      <c r="N11803" s="1054"/>
      <c r="O11803" s="1207"/>
      <c r="Q11803" s="1207"/>
    </row>
    <row r="11804" spans="3:17" s="700" customFormat="1" ht="70.5" hidden="1" customHeight="1">
      <c r="C11804" s="701"/>
      <c r="D11804" s="811"/>
      <c r="E11804" s="1276">
        <f>[11]building!Y12135</f>
        <v>0</v>
      </c>
      <c r="F11804" s="748">
        <f t="shared" si="423"/>
        <v>0</v>
      </c>
      <c r="G11804" s="1205"/>
      <c r="H11804" s="1055"/>
      <c r="I11804" s="1055"/>
      <c r="J11804" s="1055"/>
      <c r="K11804" s="1205"/>
      <c r="L11804" s="1055"/>
      <c r="M11804" s="1205"/>
      <c r="N11804" s="1054"/>
      <c r="O11804" s="1207"/>
      <c r="Q11804" s="1207"/>
    </row>
    <row r="11805" spans="3:17" s="700" customFormat="1" ht="70.5" hidden="1" customHeight="1">
      <c r="C11805" s="701"/>
      <c r="D11805" s="811"/>
      <c r="E11805" s="1276">
        <f>[11]building!Y12136</f>
        <v>0</v>
      </c>
      <c r="F11805" s="748">
        <f t="shared" si="423"/>
        <v>0</v>
      </c>
      <c r="G11805" s="1205"/>
      <c r="H11805" s="1055"/>
      <c r="I11805" s="1055"/>
      <c r="J11805" s="1055"/>
      <c r="K11805" s="1205"/>
      <c r="L11805" s="1055"/>
      <c r="M11805" s="1205"/>
      <c r="N11805" s="1054"/>
      <c r="O11805" s="1207"/>
      <c r="Q11805" s="1207"/>
    </row>
    <row r="11806" spans="3:17" s="700" customFormat="1" ht="70.5" hidden="1" customHeight="1">
      <c r="C11806" s="701"/>
      <c r="D11806" s="811"/>
      <c r="E11806" s="1276">
        <f>[11]building!Y12137</f>
        <v>0</v>
      </c>
      <c r="F11806" s="748">
        <f t="shared" si="423"/>
        <v>0</v>
      </c>
      <c r="G11806" s="1205"/>
      <c r="H11806" s="1055"/>
      <c r="I11806" s="1055"/>
      <c r="J11806" s="1055"/>
      <c r="K11806" s="1205"/>
      <c r="L11806" s="1055"/>
      <c r="M11806" s="1205"/>
      <c r="N11806" s="1054"/>
      <c r="O11806" s="1207"/>
      <c r="Q11806" s="1207"/>
    </row>
    <row r="11807" spans="3:17" s="700" customFormat="1" ht="70.5" hidden="1" customHeight="1">
      <c r="C11807" s="701"/>
      <c r="D11807" s="811"/>
      <c r="E11807" s="1276">
        <f>[11]building!Y12138</f>
        <v>0</v>
      </c>
      <c r="F11807" s="748">
        <f t="shared" si="423"/>
        <v>0</v>
      </c>
      <c r="G11807" s="1205"/>
      <c r="H11807" s="1055"/>
      <c r="I11807" s="1055"/>
      <c r="J11807" s="1055"/>
      <c r="K11807" s="1205"/>
      <c r="L11807" s="1055"/>
      <c r="M11807" s="1205"/>
      <c r="N11807" s="1054"/>
      <c r="O11807" s="1207"/>
      <c r="Q11807" s="1207"/>
    </row>
    <row r="11808" spans="3:17" s="700" customFormat="1" ht="70.5" hidden="1" customHeight="1">
      <c r="C11808" s="701"/>
      <c r="D11808" s="811"/>
      <c r="E11808" s="1276">
        <f>[11]building!Y12139</f>
        <v>0</v>
      </c>
      <c r="F11808" s="748">
        <f t="shared" si="423"/>
        <v>0</v>
      </c>
      <c r="G11808" s="1205"/>
      <c r="H11808" s="1055"/>
      <c r="I11808" s="1055"/>
      <c r="J11808" s="1055"/>
      <c r="K11808" s="1205"/>
      <c r="L11808" s="1055"/>
      <c r="M11808" s="1205"/>
      <c r="N11808" s="1054"/>
      <c r="O11808" s="1207"/>
      <c r="Q11808" s="1207"/>
    </row>
    <row r="11809" spans="3:17" s="700" customFormat="1" ht="70.5" hidden="1" customHeight="1">
      <c r="C11809" s="701"/>
      <c r="D11809" s="811"/>
      <c r="E11809" s="1276">
        <f>[11]building!Y12140</f>
        <v>0</v>
      </c>
      <c r="F11809" s="748">
        <f t="shared" si="423"/>
        <v>0</v>
      </c>
      <c r="G11809" s="1205"/>
      <c r="H11809" s="1055"/>
      <c r="I11809" s="1055"/>
      <c r="J11809" s="1055"/>
      <c r="K11809" s="1205"/>
      <c r="L11809" s="1055"/>
      <c r="M11809" s="1205"/>
      <c r="N11809" s="1054"/>
      <c r="O11809" s="1207"/>
      <c r="Q11809" s="1207"/>
    </row>
    <row r="11810" spans="3:17" s="700" customFormat="1" ht="70.5" hidden="1" customHeight="1">
      <c r="C11810" s="701"/>
      <c r="D11810" s="811"/>
      <c r="E11810" s="1276">
        <f>[11]building!Y12141</f>
        <v>0</v>
      </c>
      <c r="F11810" s="748">
        <f t="shared" si="423"/>
        <v>0</v>
      </c>
      <c r="G11810" s="1205"/>
      <c r="H11810" s="1055"/>
      <c r="I11810" s="1055"/>
      <c r="J11810" s="1055"/>
      <c r="K11810" s="1205"/>
      <c r="L11810" s="1055"/>
      <c r="M11810" s="1205"/>
      <c r="N11810" s="1054"/>
      <c r="O11810" s="1207"/>
      <c r="Q11810" s="1207"/>
    </row>
    <row r="11811" spans="3:17" s="700" customFormat="1" ht="70.5" hidden="1" customHeight="1">
      <c r="C11811" s="701"/>
      <c r="D11811" s="811"/>
      <c r="E11811" s="1276">
        <f>[11]building!Y12142</f>
        <v>0</v>
      </c>
      <c r="F11811" s="748">
        <f t="shared" si="423"/>
        <v>0</v>
      </c>
      <c r="G11811" s="1205"/>
      <c r="H11811" s="1055"/>
      <c r="I11811" s="1055"/>
      <c r="J11811" s="1055"/>
      <c r="K11811" s="1205"/>
      <c r="L11811" s="1055"/>
      <c r="M11811" s="1205"/>
      <c r="N11811" s="1054"/>
      <c r="O11811" s="1207"/>
      <c r="Q11811" s="1207"/>
    </row>
    <row r="11812" spans="3:17" s="700" customFormat="1" ht="70.5" hidden="1" customHeight="1">
      <c r="C11812" s="701"/>
      <c r="D11812" s="811"/>
      <c r="E11812" s="1276">
        <f>[11]building!Y12143</f>
        <v>0</v>
      </c>
      <c r="F11812" s="748">
        <f t="shared" si="423"/>
        <v>0</v>
      </c>
      <c r="G11812" s="1205"/>
      <c r="H11812" s="1055"/>
      <c r="I11812" s="1055"/>
      <c r="J11812" s="1055"/>
      <c r="K11812" s="1205"/>
      <c r="L11812" s="1055"/>
      <c r="M11812" s="1205"/>
      <c r="N11812" s="1054"/>
      <c r="O11812" s="1207"/>
      <c r="Q11812" s="1207"/>
    </row>
    <row r="11813" spans="3:17" s="700" customFormat="1" ht="70.5" hidden="1" customHeight="1">
      <c r="C11813" s="701"/>
      <c r="D11813" s="811"/>
      <c r="E11813" s="1276">
        <f>[11]building!Y12144</f>
        <v>0</v>
      </c>
      <c r="F11813" s="748">
        <f t="shared" si="423"/>
        <v>0</v>
      </c>
      <c r="G11813" s="1205"/>
      <c r="H11813" s="1055"/>
      <c r="I11813" s="1055"/>
      <c r="J11813" s="1055"/>
      <c r="K11813" s="1205"/>
      <c r="L11813" s="1055"/>
      <c r="M11813" s="1205"/>
      <c r="N11813" s="1054"/>
      <c r="O11813" s="1207"/>
      <c r="Q11813" s="1207"/>
    </row>
    <row r="11814" spans="3:17" s="700" customFormat="1" ht="70.5" hidden="1" customHeight="1">
      <c r="C11814" s="701"/>
      <c r="D11814" s="811"/>
      <c r="E11814" s="1276">
        <f>[11]building!Y12145</f>
        <v>0</v>
      </c>
      <c r="F11814" s="748">
        <f t="shared" si="423"/>
        <v>0</v>
      </c>
      <c r="G11814" s="1205"/>
      <c r="H11814" s="1055"/>
      <c r="I11814" s="1055"/>
      <c r="J11814" s="1055"/>
      <c r="K11814" s="1205"/>
      <c r="L11814" s="1055"/>
      <c r="M11814" s="1205"/>
      <c r="N11814" s="1054"/>
      <c r="O11814" s="1207"/>
      <c r="Q11814" s="1207"/>
    </row>
    <row r="11815" spans="3:17" s="700" customFormat="1" ht="70.5" hidden="1" customHeight="1">
      <c r="C11815" s="701"/>
      <c r="D11815" s="811"/>
      <c r="E11815" s="1276">
        <f>[11]building!Y12146</f>
        <v>0</v>
      </c>
      <c r="F11815" s="748">
        <f t="shared" si="423"/>
        <v>0</v>
      </c>
      <c r="G11815" s="1205"/>
      <c r="H11815" s="1055"/>
      <c r="I11815" s="1055"/>
      <c r="J11815" s="1055"/>
      <c r="K11815" s="1205"/>
      <c r="L11815" s="1055"/>
      <c r="M11815" s="1205"/>
      <c r="N11815" s="1054"/>
      <c r="O11815" s="1207"/>
      <c r="Q11815" s="1207"/>
    </row>
    <row r="11816" spans="3:17" s="700" customFormat="1" ht="70.5" hidden="1" customHeight="1">
      <c r="C11816" s="701"/>
      <c r="D11816" s="811"/>
      <c r="E11816" s="1276">
        <f>[11]building!Y12147</f>
        <v>0</v>
      </c>
      <c r="F11816" s="748">
        <f t="shared" si="423"/>
        <v>0</v>
      </c>
      <c r="G11816" s="1205"/>
      <c r="H11816" s="1055"/>
      <c r="I11816" s="1055"/>
      <c r="J11816" s="1055"/>
      <c r="K11816" s="1205"/>
      <c r="L11816" s="1055"/>
      <c r="M11816" s="1205"/>
      <c r="N11816" s="1054"/>
      <c r="O11816" s="1207"/>
      <c r="Q11816" s="1207"/>
    </row>
    <row r="11817" spans="3:17" s="700" customFormat="1" ht="70.5" hidden="1" customHeight="1">
      <c r="C11817" s="701"/>
      <c r="D11817" s="811"/>
      <c r="E11817" s="1276">
        <f>[11]building!Y12148</f>
        <v>0</v>
      </c>
      <c r="F11817" s="748">
        <f t="shared" si="423"/>
        <v>0</v>
      </c>
      <c r="G11817" s="1205"/>
      <c r="H11817" s="1055"/>
      <c r="I11817" s="1055"/>
      <c r="J11817" s="1055"/>
      <c r="K11817" s="1205"/>
      <c r="L11817" s="1055"/>
      <c r="M11817" s="1205"/>
      <c r="N11817" s="1054"/>
      <c r="O11817" s="1207"/>
      <c r="Q11817" s="1207"/>
    </row>
    <row r="11818" spans="3:17" s="700" customFormat="1" ht="70.5" hidden="1" customHeight="1">
      <c r="C11818" s="701"/>
      <c r="D11818" s="811"/>
      <c r="E11818" s="1276">
        <f>[11]building!Y12149</f>
        <v>0</v>
      </c>
      <c r="F11818" s="748">
        <f t="shared" si="423"/>
        <v>0</v>
      </c>
      <c r="G11818" s="1205"/>
      <c r="H11818" s="1055"/>
      <c r="I11818" s="1055"/>
      <c r="J11818" s="1055"/>
      <c r="K11818" s="1205"/>
      <c r="L11818" s="1055"/>
      <c r="M11818" s="1205"/>
      <c r="N11818" s="1054"/>
      <c r="O11818" s="1207"/>
      <c r="Q11818" s="1207"/>
    </row>
    <row r="11819" spans="3:17" s="700" customFormat="1" ht="70.5" hidden="1" customHeight="1">
      <c r="C11819" s="701"/>
      <c r="D11819" s="811"/>
      <c r="E11819" s="1276">
        <f>[11]building!Y12150</f>
        <v>0</v>
      </c>
      <c r="F11819" s="748">
        <f t="shared" si="423"/>
        <v>0</v>
      </c>
      <c r="G11819" s="1205"/>
      <c r="H11819" s="1055"/>
      <c r="I11819" s="1055"/>
      <c r="J11819" s="1055"/>
      <c r="K11819" s="1205"/>
      <c r="L11819" s="1055"/>
      <c r="M11819" s="1205"/>
      <c r="N11819" s="1054"/>
      <c r="O11819" s="1207"/>
      <c r="Q11819" s="1207"/>
    </row>
    <row r="11820" spans="3:17" s="700" customFormat="1" ht="70.5" hidden="1" customHeight="1">
      <c r="C11820" s="701"/>
      <c r="D11820" s="811"/>
      <c r="E11820" s="1276">
        <f>[11]building!Y12151</f>
        <v>0</v>
      </c>
      <c r="F11820" s="748">
        <f t="shared" si="423"/>
        <v>0</v>
      </c>
      <c r="G11820" s="1205"/>
      <c r="H11820" s="1055"/>
      <c r="I11820" s="1055"/>
      <c r="J11820" s="1055"/>
      <c r="K11820" s="1205"/>
      <c r="L11820" s="1055"/>
      <c r="M11820" s="1205"/>
      <c r="N11820" s="1054"/>
      <c r="O11820" s="1207"/>
      <c r="Q11820" s="1207"/>
    </row>
    <row r="11821" spans="3:17" s="700" customFormat="1" ht="70.5" hidden="1" customHeight="1">
      <c r="C11821" s="701"/>
      <c r="D11821" s="811"/>
      <c r="E11821" s="1276">
        <f>[11]building!Y12152</f>
        <v>0</v>
      </c>
      <c r="F11821" s="748">
        <f t="shared" si="423"/>
        <v>0</v>
      </c>
      <c r="G11821" s="1205"/>
      <c r="H11821" s="1055"/>
      <c r="I11821" s="1055"/>
      <c r="J11821" s="1055"/>
      <c r="K11821" s="1205"/>
      <c r="L11821" s="1055"/>
      <c r="M11821" s="1205"/>
      <c r="N11821" s="1054"/>
      <c r="O11821" s="1207"/>
      <c r="Q11821" s="1207"/>
    </row>
    <row r="11822" spans="3:17" s="700" customFormat="1" ht="70.5" hidden="1" customHeight="1">
      <c r="C11822" s="701"/>
      <c r="D11822" s="811"/>
      <c r="E11822" s="1276">
        <f>[11]building!Y12153</f>
        <v>0</v>
      </c>
      <c r="F11822" s="748">
        <f t="shared" si="423"/>
        <v>0</v>
      </c>
      <c r="G11822" s="1205"/>
      <c r="H11822" s="1055"/>
      <c r="I11822" s="1055"/>
      <c r="J11822" s="1055"/>
      <c r="K11822" s="1205"/>
      <c r="L11822" s="1055"/>
      <c r="M11822" s="1205"/>
      <c r="N11822" s="1054"/>
      <c r="O11822" s="1207"/>
      <c r="Q11822" s="1207"/>
    </row>
    <row r="11823" spans="3:17" s="700" customFormat="1" ht="70.5" hidden="1" customHeight="1">
      <c r="C11823" s="701"/>
      <c r="D11823" s="811"/>
      <c r="E11823" s="1276">
        <f>[11]building!Y12154</f>
        <v>0</v>
      </c>
      <c r="F11823" s="748">
        <f t="shared" si="423"/>
        <v>0</v>
      </c>
      <c r="G11823" s="1205"/>
      <c r="H11823" s="1055"/>
      <c r="I11823" s="1055"/>
      <c r="J11823" s="1055"/>
      <c r="K11823" s="1205"/>
      <c r="L11823" s="1055"/>
      <c r="M11823" s="1205"/>
      <c r="N11823" s="1054"/>
      <c r="O11823" s="1207"/>
      <c r="Q11823" s="1207"/>
    </row>
    <row r="11824" spans="3:17" s="700" customFormat="1" ht="70.5" hidden="1" customHeight="1">
      <c r="C11824" s="701"/>
      <c r="D11824" s="811"/>
      <c r="E11824" s="1276">
        <f>[11]building!Y12155</f>
        <v>0</v>
      </c>
      <c r="F11824" s="748">
        <f t="shared" si="423"/>
        <v>0</v>
      </c>
      <c r="G11824" s="1205"/>
      <c r="H11824" s="1055"/>
      <c r="I11824" s="1055"/>
      <c r="J11824" s="1055"/>
      <c r="K11824" s="1205"/>
      <c r="L11824" s="1055"/>
      <c r="M11824" s="1205"/>
      <c r="N11824" s="1054"/>
      <c r="O11824" s="1207"/>
      <c r="Q11824" s="1207"/>
    </row>
    <row r="11825" spans="3:17" s="700" customFormat="1" ht="70.5" hidden="1" customHeight="1">
      <c r="C11825" s="701"/>
      <c r="D11825" s="811"/>
      <c r="E11825" s="1276">
        <f>[11]building!Y12156</f>
        <v>0</v>
      </c>
      <c r="F11825" s="748">
        <f t="shared" si="423"/>
        <v>0</v>
      </c>
      <c r="G11825" s="1205"/>
      <c r="H11825" s="1055"/>
      <c r="I11825" s="1055"/>
      <c r="J11825" s="1055"/>
      <c r="K11825" s="1205"/>
      <c r="L11825" s="1055"/>
      <c r="M11825" s="1205"/>
      <c r="N11825" s="1054"/>
      <c r="O11825" s="1207"/>
      <c r="Q11825" s="1207"/>
    </row>
    <row r="11826" spans="3:17" s="700" customFormat="1" ht="70.5" hidden="1" customHeight="1">
      <c r="C11826" s="701"/>
      <c r="D11826" s="811"/>
      <c r="E11826" s="1276">
        <f>[11]building!Y12157</f>
        <v>0</v>
      </c>
      <c r="F11826" s="748">
        <f t="shared" si="423"/>
        <v>0</v>
      </c>
      <c r="G11826" s="1205"/>
      <c r="H11826" s="1055"/>
      <c r="I11826" s="1055"/>
      <c r="J11826" s="1055"/>
      <c r="K11826" s="1205"/>
      <c r="L11826" s="1055"/>
      <c r="M11826" s="1205"/>
      <c r="N11826" s="1054"/>
      <c r="O11826" s="1207"/>
      <c r="Q11826" s="1207"/>
    </row>
    <row r="11827" spans="3:17" s="700" customFormat="1" ht="70.5" hidden="1" customHeight="1">
      <c r="C11827" s="701"/>
      <c r="D11827" s="811"/>
      <c r="E11827" s="1276">
        <f>[11]building!Y12158</f>
        <v>0</v>
      </c>
      <c r="F11827" s="748">
        <f t="shared" si="423"/>
        <v>0</v>
      </c>
      <c r="G11827" s="1205"/>
      <c r="H11827" s="1055"/>
      <c r="I11827" s="1055"/>
      <c r="J11827" s="1055"/>
      <c r="K11827" s="1205"/>
      <c r="L11827" s="1055"/>
      <c r="M11827" s="1205"/>
      <c r="N11827" s="1054"/>
      <c r="O11827" s="1207"/>
      <c r="Q11827" s="1207"/>
    </row>
    <row r="11828" spans="3:17" s="700" customFormat="1" ht="70.5" hidden="1" customHeight="1">
      <c r="C11828" s="701"/>
      <c r="D11828" s="811"/>
      <c r="E11828" s="1276">
        <f>[11]building!Y12159</f>
        <v>0</v>
      </c>
      <c r="F11828" s="748">
        <f t="shared" si="423"/>
        <v>0</v>
      </c>
      <c r="G11828" s="1205"/>
      <c r="H11828" s="1055"/>
      <c r="I11828" s="1055"/>
      <c r="J11828" s="1055"/>
      <c r="K11828" s="1205"/>
      <c r="L11828" s="1055"/>
      <c r="M11828" s="1205"/>
      <c r="N11828" s="1054"/>
      <c r="O11828" s="1207"/>
      <c r="Q11828" s="1207"/>
    </row>
    <row r="11829" spans="3:17" s="700" customFormat="1" ht="70.5" hidden="1" customHeight="1">
      <c r="C11829" s="701"/>
      <c r="D11829" s="811"/>
      <c r="E11829" s="1276">
        <f>[11]building!Y12160</f>
        <v>0</v>
      </c>
      <c r="F11829" s="748">
        <f t="shared" si="423"/>
        <v>0</v>
      </c>
      <c r="G11829" s="1205"/>
      <c r="H11829" s="1055"/>
      <c r="I11829" s="1055"/>
      <c r="J11829" s="1055"/>
      <c r="K11829" s="1205"/>
      <c r="L11829" s="1055"/>
      <c r="M11829" s="1205"/>
      <c r="N11829" s="1054"/>
      <c r="O11829" s="1207"/>
      <c r="Q11829" s="1207"/>
    </row>
    <row r="11830" spans="3:17" s="700" customFormat="1" ht="70.5" hidden="1" customHeight="1">
      <c r="C11830" s="701"/>
      <c r="D11830" s="811"/>
      <c r="E11830" s="1276">
        <f>[11]building!Y12161</f>
        <v>0</v>
      </c>
      <c r="F11830" s="748">
        <f t="shared" si="423"/>
        <v>0</v>
      </c>
      <c r="G11830" s="1205"/>
      <c r="H11830" s="1055"/>
      <c r="I11830" s="1055"/>
      <c r="J11830" s="1055"/>
      <c r="K11830" s="1205"/>
      <c r="L11830" s="1055"/>
      <c r="M11830" s="1205"/>
      <c r="N11830" s="1054"/>
      <c r="O11830" s="1207"/>
      <c r="Q11830" s="1207"/>
    </row>
    <row r="11831" spans="3:17" s="700" customFormat="1" ht="70.5" hidden="1" customHeight="1">
      <c r="C11831" s="701"/>
      <c r="D11831" s="811"/>
      <c r="E11831" s="1276">
        <f>[11]building!Y12162</f>
        <v>0</v>
      </c>
      <c r="F11831" s="748">
        <f t="shared" si="423"/>
        <v>0</v>
      </c>
      <c r="G11831" s="1205"/>
      <c r="H11831" s="1055"/>
      <c r="I11831" s="1055"/>
      <c r="J11831" s="1055"/>
      <c r="K11831" s="1205"/>
      <c r="L11831" s="1055"/>
      <c r="M11831" s="1205"/>
      <c r="N11831" s="1054"/>
      <c r="O11831" s="1207"/>
      <c r="Q11831" s="1207"/>
    </row>
    <row r="11832" spans="3:17" s="700" customFormat="1" ht="70.5" hidden="1" customHeight="1">
      <c r="C11832" s="701"/>
      <c r="D11832" s="811"/>
      <c r="E11832" s="1276">
        <f>[11]building!Y12163</f>
        <v>0</v>
      </c>
      <c r="F11832" s="748">
        <f t="shared" si="423"/>
        <v>0</v>
      </c>
      <c r="G11832" s="1205"/>
      <c r="H11832" s="1055"/>
      <c r="I11832" s="1055"/>
      <c r="J11832" s="1055"/>
      <c r="K11832" s="1205"/>
      <c r="L11832" s="1055"/>
      <c r="M11832" s="1205"/>
      <c r="N11832" s="1054"/>
      <c r="O11832" s="1207"/>
      <c r="Q11832" s="1207"/>
    </row>
    <row r="11833" spans="3:17" s="700" customFormat="1" ht="70.5" hidden="1" customHeight="1">
      <c r="C11833" s="701"/>
      <c r="D11833" s="811"/>
      <c r="E11833" s="1276">
        <f>[11]building!Y12164</f>
        <v>0</v>
      </c>
      <c r="F11833" s="748">
        <f t="shared" si="423"/>
        <v>0</v>
      </c>
      <c r="G11833" s="1205"/>
      <c r="H11833" s="1055"/>
      <c r="I11833" s="1055"/>
      <c r="J11833" s="1055"/>
      <c r="K11833" s="1205"/>
      <c r="L11833" s="1055"/>
      <c r="M11833" s="1205"/>
      <c r="N11833" s="1054"/>
      <c r="O11833" s="1207"/>
      <c r="Q11833" s="1207"/>
    </row>
    <row r="11834" spans="3:17" s="700" customFormat="1" ht="70.5" hidden="1" customHeight="1">
      <c r="C11834" s="701"/>
      <c r="D11834" s="811"/>
      <c r="E11834" s="1276">
        <f>[11]building!Y12165</f>
        <v>0</v>
      </c>
      <c r="F11834" s="748">
        <f t="shared" si="423"/>
        <v>0</v>
      </c>
      <c r="G11834" s="1205"/>
      <c r="H11834" s="1055"/>
      <c r="I11834" s="1055"/>
      <c r="J11834" s="1055"/>
      <c r="K11834" s="1205"/>
      <c r="L11834" s="1055"/>
      <c r="M11834" s="1205"/>
      <c r="N11834" s="1054"/>
      <c r="O11834" s="1207"/>
      <c r="Q11834" s="1207"/>
    </row>
    <row r="11835" spans="3:17" s="700" customFormat="1" ht="70.5" hidden="1" customHeight="1">
      <c r="C11835" s="701"/>
      <c r="D11835" s="811"/>
      <c r="E11835" s="1276">
        <f>[11]building!Y12166</f>
        <v>0</v>
      </c>
      <c r="F11835" s="748">
        <f t="shared" si="423"/>
        <v>0</v>
      </c>
      <c r="G11835" s="1205"/>
      <c r="H11835" s="1055"/>
      <c r="I11835" s="1055"/>
      <c r="J11835" s="1055"/>
      <c r="K11835" s="1205"/>
      <c r="L11835" s="1055"/>
      <c r="M11835" s="1205"/>
      <c r="N11835" s="1054"/>
      <c r="O11835" s="1207"/>
      <c r="Q11835" s="1207"/>
    </row>
    <row r="11836" spans="3:17" s="700" customFormat="1" ht="70.5" hidden="1" customHeight="1">
      <c r="C11836" s="701"/>
      <c r="D11836" s="811"/>
      <c r="E11836" s="1276">
        <f>[11]building!Y12167</f>
        <v>0</v>
      </c>
      <c r="F11836" s="748">
        <f t="shared" si="423"/>
        <v>0</v>
      </c>
      <c r="G11836" s="1205"/>
      <c r="H11836" s="1055"/>
      <c r="I11836" s="1055"/>
      <c r="J11836" s="1055"/>
      <c r="K11836" s="1205"/>
      <c r="L11836" s="1055"/>
      <c r="M11836" s="1205"/>
      <c r="N11836" s="1054"/>
      <c r="O11836" s="1207"/>
      <c r="Q11836" s="1207"/>
    </row>
    <row r="11837" spans="3:17" s="700" customFormat="1" ht="70.5" hidden="1" customHeight="1">
      <c r="C11837" s="701"/>
      <c r="D11837" s="811"/>
      <c r="E11837" s="1276">
        <f>[11]building!Y12168</f>
        <v>0</v>
      </c>
      <c r="F11837" s="748">
        <f t="shared" si="423"/>
        <v>0</v>
      </c>
      <c r="G11837" s="1205"/>
      <c r="H11837" s="1055"/>
      <c r="I11837" s="1055"/>
      <c r="J11837" s="1055"/>
      <c r="K11837" s="1205"/>
      <c r="L11837" s="1055"/>
      <c r="M11837" s="1205"/>
      <c r="N11837" s="1054"/>
      <c r="O11837" s="1207"/>
      <c r="Q11837" s="1207"/>
    </row>
    <row r="11838" spans="3:17" s="700" customFormat="1" ht="70.5" hidden="1" customHeight="1">
      <c r="C11838" s="701"/>
      <c r="D11838" s="811"/>
      <c r="E11838" s="1276">
        <f>[11]building!Y12169</f>
        <v>0</v>
      </c>
      <c r="F11838" s="748">
        <f t="shared" si="423"/>
        <v>0</v>
      </c>
      <c r="G11838" s="1205"/>
      <c r="H11838" s="1055"/>
      <c r="I11838" s="1055"/>
      <c r="J11838" s="1055"/>
      <c r="K11838" s="1205"/>
      <c r="L11838" s="1055"/>
      <c r="M11838" s="1205"/>
      <c r="N11838" s="1054"/>
      <c r="O11838" s="1207"/>
      <c r="Q11838" s="1207"/>
    </row>
    <row r="11839" spans="3:17" s="700" customFormat="1" ht="70.5" hidden="1" customHeight="1">
      <c r="C11839" s="701"/>
      <c r="D11839" s="811"/>
      <c r="E11839" s="1276">
        <f>[11]building!Y12170</f>
        <v>0</v>
      </c>
      <c r="F11839" s="748">
        <f t="shared" si="423"/>
        <v>0</v>
      </c>
      <c r="G11839" s="1205"/>
      <c r="H11839" s="1055"/>
      <c r="I11839" s="1055"/>
      <c r="J11839" s="1055"/>
      <c r="K11839" s="1205"/>
      <c r="L11839" s="1055"/>
      <c r="M11839" s="1205"/>
      <c r="N11839" s="1054"/>
      <c r="O11839" s="1207"/>
      <c r="Q11839" s="1207"/>
    </row>
    <row r="11840" spans="3:17" s="700" customFormat="1" ht="70.5" hidden="1" customHeight="1">
      <c r="C11840" s="701"/>
      <c r="D11840" s="811"/>
      <c r="E11840" s="1276">
        <f>[11]building!Y12171</f>
        <v>0</v>
      </c>
      <c r="F11840" s="748">
        <f t="shared" ref="F11840:F11903" si="424">E11840*C11840</f>
        <v>0</v>
      </c>
      <c r="G11840" s="1205"/>
      <c r="H11840" s="1055"/>
      <c r="I11840" s="1055"/>
      <c r="J11840" s="1055"/>
      <c r="K11840" s="1205"/>
      <c r="L11840" s="1055"/>
      <c r="M11840" s="1205"/>
      <c r="N11840" s="1054"/>
      <c r="O11840" s="1207"/>
      <c r="Q11840" s="1207"/>
    </row>
    <row r="11841" spans="3:17" s="700" customFormat="1" ht="70.5" hidden="1" customHeight="1">
      <c r="C11841" s="701"/>
      <c r="D11841" s="811"/>
      <c r="E11841" s="1276">
        <f>[11]building!Y12172</f>
        <v>0</v>
      </c>
      <c r="F11841" s="748">
        <f t="shared" si="424"/>
        <v>0</v>
      </c>
      <c r="G11841" s="1205"/>
      <c r="H11841" s="1055"/>
      <c r="I11841" s="1055"/>
      <c r="J11841" s="1055"/>
      <c r="K11841" s="1205"/>
      <c r="L11841" s="1055"/>
      <c r="M11841" s="1205"/>
      <c r="N11841" s="1054"/>
      <c r="O11841" s="1207"/>
      <c r="Q11841" s="1207"/>
    </row>
    <row r="11842" spans="3:17" s="700" customFormat="1" ht="70.5" hidden="1" customHeight="1">
      <c r="C11842" s="701"/>
      <c r="D11842" s="811"/>
      <c r="E11842" s="1276">
        <f>[11]building!Y12173</f>
        <v>0</v>
      </c>
      <c r="F11842" s="748">
        <f t="shared" si="424"/>
        <v>0</v>
      </c>
      <c r="G11842" s="1205"/>
      <c r="H11842" s="1055"/>
      <c r="I11842" s="1055"/>
      <c r="J11842" s="1055"/>
      <c r="K11842" s="1205"/>
      <c r="L11842" s="1055"/>
      <c r="M11842" s="1205"/>
      <c r="N11842" s="1054"/>
      <c r="O11842" s="1207"/>
      <c r="Q11842" s="1207"/>
    </row>
    <row r="11843" spans="3:17" s="700" customFormat="1" ht="70.5" hidden="1" customHeight="1">
      <c r="C11843" s="701"/>
      <c r="D11843" s="811"/>
      <c r="E11843" s="1276">
        <f>[11]building!Y12174</f>
        <v>0</v>
      </c>
      <c r="F11843" s="748">
        <f t="shared" si="424"/>
        <v>0</v>
      </c>
      <c r="G11843" s="1205"/>
      <c r="H11843" s="1055"/>
      <c r="I11843" s="1055"/>
      <c r="J11843" s="1055"/>
      <c r="K11843" s="1205"/>
      <c r="L11843" s="1055"/>
      <c r="M11843" s="1205"/>
      <c r="N11843" s="1054"/>
      <c r="O11843" s="1207"/>
      <c r="Q11843" s="1207"/>
    </row>
    <row r="11844" spans="3:17" s="700" customFormat="1" ht="70.5" hidden="1" customHeight="1">
      <c r="C11844" s="701"/>
      <c r="D11844" s="811"/>
      <c r="E11844" s="1276">
        <f>[11]building!Y12175</f>
        <v>0</v>
      </c>
      <c r="F11844" s="748">
        <f t="shared" si="424"/>
        <v>0</v>
      </c>
      <c r="G11844" s="1205"/>
      <c r="H11844" s="1055"/>
      <c r="I11844" s="1055"/>
      <c r="J11844" s="1055"/>
      <c r="K11844" s="1205"/>
      <c r="L11844" s="1055"/>
      <c r="M11844" s="1205"/>
      <c r="N11844" s="1054"/>
      <c r="O11844" s="1207"/>
      <c r="Q11844" s="1207"/>
    </row>
    <row r="11845" spans="3:17" s="700" customFormat="1" ht="70.5" hidden="1" customHeight="1">
      <c r="C11845" s="701"/>
      <c r="D11845" s="811"/>
      <c r="E11845" s="1276">
        <f>[11]building!Y12176</f>
        <v>0</v>
      </c>
      <c r="F11845" s="748">
        <f t="shared" si="424"/>
        <v>0</v>
      </c>
      <c r="G11845" s="1205"/>
      <c r="H11845" s="1055"/>
      <c r="I11845" s="1055"/>
      <c r="J11845" s="1055"/>
      <c r="K11845" s="1205"/>
      <c r="L11845" s="1055"/>
      <c r="M11845" s="1205"/>
      <c r="N11845" s="1054"/>
      <c r="O11845" s="1207"/>
      <c r="Q11845" s="1207"/>
    </row>
    <row r="11846" spans="3:17" s="700" customFormat="1" ht="70.5" hidden="1" customHeight="1">
      <c r="C11846" s="701"/>
      <c r="D11846" s="811"/>
      <c r="E11846" s="1276">
        <f>[11]building!Y12177</f>
        <v>0</v>
      </c>
      <c r="F11846" s="748">
        <f t="shared" si="424"/>
        <v>0</v>
      </c>
      <c r="G11846" s="1205"/>
      <c r="H11846" s="1055"/>
      <c r="I11846" s="1055"/>
      <c r="J11846" s="1055"/>
      <c r="K11846" s="1205"/>
      <c r="L11846" s="1055"/>
      <c r="M11846" s="1205"/>
      <c r="N11846" s="1054"/>
      <c r="O11846" s="1207"/>
      <c r="Q11846" s="1207"/>
    </row>
    <row r="11847" spans="3:17" s="700" customFormat="1" ht="70.5" hidden="1" customHeight="1">
      <c r="C11847" s="701"/>
      <c r="D11847" s="811"/>
      <c r="E11847" s="1276">
        <f>[11]building!Y12178</f>
        <v>0</v>
      </c>
      <c r="F11847" s="748">
        <f t="shared" si="424"/>
        <v>0</v>
      </c>
      <c r="G11847" s="1205"/>
      <c r="H11847" s="1055"/>
      <c r="I11847" s="1055"/>
      <c r="J11847" s="1055"/>
      <c r="K11847" s="1205"/>
      <c r="L11847" s="1055"/>
      <c r="M11847" s="1205"/>
      <c r="N11847" s="1054"/>
      <c r="O11847" s="1207"/>
      <c r="Q11847" s="1207"/>
    </row>
    <row r="11848" spans="3:17" s="700" customFormat="1" ht="70.5" hidden="1" customHeight="1">
      <c r="C11848" s="701"/>
      <c r="D11848" s="811"/>
      <c r="E11848" s="1276">
        <f>[11]building!Y12179</f>
        <v>0</v>
      </c>
      <c r="F11848" s="748">
        <f t="shared" si="424"/>
        <v>0</v>
      </c>
      <c r="G11848" s="1205"/>
      <c r="H11848" s="1055"/>
      <c r="I11848" s="1055"/>
      <c r="J11848" s="1055"/>
      <c r="K11848" s="1205"/>
      <c r="L11848" s="1055"/>
      <c r="M11848" s="1205"/>
      <c r="N11848" s="1054"/>
      <c r="O11848" s="1207"/>
      <c r="Q11848" s="1207"/>
    </row>
    <row r="11849" spans="3:17" s="700" customFormat="1" ht="70.5" hidden="1" customHeight="1">
      <c r="C11849" s="701"/>
      <c r="D11849" s="811"/>
      <c r="E11849" s="1276">
        <f>[11]building!Y12180</f>
        <v>0</v>
      </c>
      <c r="F11849" s="748">
        <f t="shared" si="424"/>
        <v>0</v>
      </c>
      <c r="G11849" s="1205"/>
      <c r="H11849" s="1055"/>
      <c r="I11849" s="1055"/>
      <c r="J11849" s="1055"/>
      <c r="K11849" s="1205"/>
      <c r="L11849" s="1055"/>
      <c r="M11849" s="1205"/>
      <c r="N11849" s="1054"/>
      <c r="O11849" s="1207"/>
      <c r="Q11849" s="1207"/>
    </row>
    <row r="11850" spans="3:17" s="700" customFormat="1" ht="70.5" hidden="1" customHeight="1">
      <c r="C11850" s="701"/>
      <c r="D11850" s="811"/>
      <c r="E11850" s="1276">
        <f>[11]building!Y12181</f>
        <v>0</v>
      </c>
      <c r="F11850" s="748">
        <f t="shared" si="424"/>
        <v>0</v>
      </c>
      <c r="G11850" s="1205"/>
      <c r="H11850" s="1055"/>
      <c r="I11850" s="1055"/>
      <c r="J11850" s="1055"/>
      <c r="K11850" s="1205"/>
      <c r="L11850" s="1055"/>
      <c r="M11850" s="1205"/>
      <c r="N11850" s="1054"/>
      <c r="O11850" s="1207"/>
      <c r="Q11850" s="1207"/>
    </row>
    <row r="11851" spans="3:17" s="700" customFormat="1" ht="70.5" hidden="1" customHeight="1">
      <c r="C11851" s="701"/>
      <c r="D11851" s="811"/>
      <c r="E11851" s="1276">
        <f>[11]building!Y12182</f>
        <v>0</v>
      </c>
      <c r="F11851" s="748">
        <f t="shared" si="424"/>
        <v>0</v>
      </c>
      <c r="G11851" s="1205"/>
      <c r="H11851" s="1055"/>
      <c r="I11851" s="1055"/>
      <c r="J11851" s="1055"/>
      <c r="K11851" s="1205"/>
      <c r="L11851" s="1055"/>
      <c r="M11851" s="1205"/>
      <c r="N11851" s="1054"/>
      <c r="O11851" s="1207"/>
      <c r="Q11851" s="1207"/>
    </row>
    <row r="11852" spans="3:17" s="700" customFormat="1" ht="70.5" hidden="1" customHeight="1">
      <c r="C11852" s="701"/>
      <c r="D11852" s="811"/>
      <c r="E11852" s="1276">
        <f>[11]building!Y12183</f>
        <v>0</v>
      </c>
      <c r="F11852" s="748">
        <f t="shared" si="424"/>
        <v>0</v>
      </c>
      <c r="G11852" s="1205"/>
      <c r="H11852" s="1055"/>
      <c r="I11852" s="1055"/>
      <c r="J11852" s="1055"/>
      <c r="K11852" s="1205"/>
      <c r="L11852" s="1055"/>
      <c r="M11852" s="1205"/>
      <c r="N11852" s="1054"/>
      <c r="O11852" s="1207"/>
      <c r="Q11852" s="1207"/>
    </row>
    <row r="11853" spans="3:17" s="700" customFormat="1" ht="70.5" hidden="1" customHeight="1">
      <c r="C11853" s="701"/>
      <c r="D11853" s="811"/>
      <c r="E11853" s="1276">
        <f>[11]building!Y12184</f>
        <v>0</v>
      </c>
      <c r="F11853" s="748">
        <f t="shared" si="424"/>
        <v>0</v>
      </c>
      <c r="G11853" s="1205"/>
      <c r="H11853" s="1055"/>
      <c r="I11853" s="1055"/>
      <c r="J11853" s="1055"/>
      <c r="K11853" s="1205"/>
      <c r="L11853" s="1055"/>
      <c r="M11853" s="1205"/>
      <c r="N11853" s="1054"/>
      <c r="O11853" s="1207"/>
      <c r="Q11853" s="1207"/>
    </row>
    <row r="11854" spans="3:17" s="700" customFormat="1" ht="70.5" hidden="1" customHeight="1">
      <c r="C11854" s="701"/>
      <c r="D11854" s="811"/>
      <c r="E11854" s="1276">
        <f>[11]building!Y12185</f>
        <v>0</v>
      </c>
      <c r="F11854" s="748">
        <f t="shared" si="424"/>
        <v>0</v>
      </c>
      <c r="G11854" s="1205"/>
      <c r="H11854" s="1055"/>
      <c r="I11854" s="1055"/>
      <c r="J11854" s="1055"/>
      <c r="K11854" s="1205"/>
      <c r="L11854" s="1055"/>
      <c r="M11854" s="1205"/>
      <c r="N11854" s="1054"/>
      <c r="O11854" s="1207"/>
      <c r="Q11854" s="1207"/>
    </row>
    <row r="11855" spans="3:17" s="700" customFormat="1" ht="70.5" hidden="1" customHeight="1">
      <c r="C11855" s="701"/>
      <c r="D11855" s="811"/>
      <c r="E11855" s="1276">
        <f>[11]building!Y12186</f>
        <v>0</v>
      </c>
      <c r="F11855" s="748">
        <f t="shared" si="424"/>
        <v>0</v>
      </c>
      <c r="G11855" s="1205"/>
      <c r="H11855" s="1055"/>
      <c r="I11855" s="1055"/>
      <c r="J11855" s="1055"/>
      <c r="K11855" s="1205"/>
      <c r="L11855" s="1055"/>
      <c r="M11855" s="1205"/>
      <c r="N11855" s="1054"/>
      <c r="O11855" s="1207"/>
      <c r="Q11855" s="1207"/>
    </row>
    <row r="11856" spans="3:17" s="700" customFormat="1" ht="70.5" hidden="1" customHeight="1">
      <c r="C11856" s="701"/>
      <c r="D11856" s="811"/>
      <c r="E11856" s="1276">
        <f>[11]building!Y12187</f>
        <v>0</v>
      </c>
      <c r="F11856" s="748">
        <f t="shared" si="424"/>
        <v>0</v>
      </c>
      <c r="G11856" s="1205"/>
      <c r="H11856" s="1055"/>
      <c r="I11856" s="1055"/>
      <c r="J11856" s="1055"/>
      <c r="K11856" s="1205"/>
      <c r="L11856" s="1055"/>
      <c r="M11856" s="1205"/>
      <c r="N11856" s="1054"/>
      <c r="O11856" s="1207"/>
      <c r="Q11856" s="1207"/>
    </row>
    <row r="11857" spans="3:17" s="700" customFormat="1" ht="70.5" hidden="1" customHeight="1">
      <c r="C11857" s="701"/>
      <c r="D11857" s="811"/>
      <c r="E11857" s="1276">
        <f>[11]building!Y12188</f>
        <v>0</v>
      </c>
      <c r="F11857" s="748">
        <f t="shared" si="424"/>
        <v>0</v>
      </c>
      <c r="G11857" s="1205"/>
      <c r="H11857" s="1055"/>
      <c r="I11857" s="1055"/>
      <c r="J11857" s="1055"/>
      <c r="K11857" s="1205"/>
      <c r="L11857" s="1055"/>
      <c r="M11857" s="1205"/>
      <c r="N11857" s="1054"/>
      <c r="O11857" s="1207"/>
      <c r="Q11857" s="1207"/>
    </row>
    <row r="11858" spans="3:17" s="700" customFormat="1" ht="70.5" hidden="1" customHeight="1">
      <c r="C11858" s="701"/>
      <c r="D11858" s="811"/>
      <c r="E11858" s="1276">
        <f>[11]building!Y12189</f>
        <v>0</v>
      </c>
      <c r="F11858" s="748">
        <f t="shared" si="424"/>
        <v>0</v>
      </c>
      <c r="G11858" s="1205"/>
      <c r="H11858" s="1055"/>
      <c r="I11858" s="1055"/>
      <c r="J11858" s="1055"/>
      <c r="K11858" s="1205"/>
      <c r="L11858" s="1055"/>
      <c r="M11858" s="1205"/>
      <c r="N11858" s="1054"/>
      <c r="O11858" s="1207"/>
      <c r="Q11858" s="1207"/>
    </row>
    <row r="11859" spans="3:17" s="700" customFormat="1" ht="70.5" hidden="1" customHeight="1">
      <c r="C11859" s="701"/>
      <c r="D11859" s="811"/>
      <c r="E11859" s="1276">
        <f>[11]building!Y12190</f>
        <v>0</v>
      </c>
      <c r="F11859" s="748">
        <f t="shared" si="424"/>
        <v>0</v>
      </c>
      <c r="G11859" s="1205"/>
      <c r="H11859" s="1055"/>
      <c r="I11859" s="1055"/>
      <c r="J11859" s="1055"/>
      <c r="K11859" s="1205"/>
      <c r="L11859" s="1055"/>
      <c r="M11859" s="1205"/>
      <c r="N11859" s="1054"/>
      <c r="O11859" s="1207"/>
      <c r="Q11859" s="1207"/>
    </row>
    <row r="11860" spans="3:17" s="700" customFormat="1" ht="70.5" hidden="1" customHeight="1">
      <c r="C11860" s="701"/>
      <c r="D11860" s="811"/>
      <c r="E11860" s="1276">
        <f>[11]building!Y12191</f>
        <v>0</v>
      </c>
      <c r="F11860" s="748">
        <f t="shared" si="424"/>
        <v>0</v>
      </c>
      <c r="G11860" s="1205"/>
      <c r="H11860" s="1055"/>
      <c r="I11860" s="1055"/>
      <c r="J11860" s="1055"/>
      <c r="K11860" s="1205"/>
      <c r="L11860" s="1055"/>
      <c r="M11860" s="1205"/>
      <c r="N11860" s="1054"/>
      <c r="O11860" s="1207"/>
      <c r="Q11860" s="1207"/>
    </row>
    <row r="11861" spans="3:17" s="700" customFormat="1" ht="70.5" hidden="1" customHeight="1">
      <c r="C11861" s="701"/>
      <c r="D11861" s="811"/>
      <c r="E11861" s="1276">
        <f>[11]building!Y12192</f>
        <v>0</v>
      </c>
      <c r="F11861" s="748">
        <f t="shared" si="424"/>
        <v>0</v>
      </c>
      <c r="G11861" s="1205"/>
      <c r="H11861" s="1055"/>
      <c r="I11861" s="1055"/>
      <c r="J11861" s="1055"/>
      <c r="K11861" s="1205"/>
      <c r="L11861" s="1055"/>
      <c r="M11861" s="1205"/>
      <c r="N11861" s="1054"/>
      <c r="O11861" s="1207"/>
      <c r="Q11861" s="1207"/>
    </row>
    <row r="11862" spans="3:17" s="700" customFormat="1" ht="70.5" hidden="1" customHeight="1">
      <c r="C11862" s="701"/>
      <c r="D11862" s="811"/>
      <c r="E11862" s="1276">
        <f>[11]building!Y12193</f>
        <v>0</v>
      </c>
      <c r="F11862" s="748">
        <f t="shared" si="424"/>
        <v>0</v>
      </c>
      <c r="G11862" s="1205"/>
      <c r="H11862" s="1055"/>
      <c r="I11862" s="1055"/>
      <c r="J11862" s="1055"/>
      <c r="K11862" s="1205"/>
      <c r="L11862" s="1055"/>
      <c r="M11862" s="1205"/>
      <c r="N11862" s="1054"/>
      <c r="O11862" s="1207"/>
      <c r="Q11862" s="1207"/>
    </row>
    <row r="11863" spans="3:17" s="700" customFormat="1" ht="70.5" hidden="1" customHeight="1">
      <c r="C11863" s="701"/>
      <c r="D11863" s="811"/>
      <c r="E11863" s="1276">
        <f>[11]building!Y12194</f>
        <v>0</v>
      </c>
      <c r="F11863" s="748">
        <f t="shared" si="424"/>
        <v>0</v>
      </c>
      <c r="G11863" s="1205"/>
      <c r="H11863" s="1055"/>
      <c r="I11863" s="1055"/>
      <c r="J11863" s="1055"/>
      <c r="K11863" s="1205"/>
      <c r="L11863" s="1055"/>
      <c r="M11863" s="1205"/>
      <c r="N11863" s="1054"/>
      <c r="O11863" s="1207"/>
      <c r="Q11863" s="1207"/>
    </row>
    <row r="11864" spans="3:17" s="700" customFormat="1" ht="70.5" hidden="1" customHeight="1">
      <c r="C11864" s="701"/>
      <c r="D11864" s="811"/>
      <c r="E11864" s="1276">
        <f>[11]building!Y12195</f>
        <v>0</v>
      </c>
      <c r="F11864" s="748">
        <f t="shared" si="424"/>
        <v>0</v>
      </c>
      <c r="G11864" s="1205"/>
      <c r="H11864" s="1055"/>
      <c r="I11864" s="1055"/>
      <c r="J11864" s="1055"/>
      <c r="K11864" s="1205"/>
      <c r="L11864" s="1055"/>
      <c r="M11864" s="1205"/>
      <c r="N11864" s="1054"/>
      <c r="O11864" s="1207"/>
      <c r="Q11864" s="1207"/>
    </row>
    <row r="11865" spans="3:17" s="700" customFormat="1" ht="70.5" hidden="1" customHeight="1">
      <c r="C11865" s="701"/>
      <c r="D11865" s="811"/>
      <c r="E11865" s="1276">
        <f>[11]building!Y12196</f>
        <v>0</v>
      </c>
      <c r="F11865" s="748">
        <f t="shared" si="424"/>
        <v>0</v>
      </c>
      <c r="G11865" s="1205"/>
      <c r="H11865" s="1055"/>
      <c r="I11865" s="1055"/>
      <c r="J11865" s="1055"/>
      <c r="K11865" s="1205"/>
      <c r="L11865" s="1055"/>
      <c r="M11865" s="1205"/>
      <c r="N11865" s="1054"/>
      <c r="O11865" s="1207"/>
      <c r="Q11865" s="1207"/>
    </row>
    <row r="11866" spans="3:17" s="700" customFormat="1" ht="70.5" hidden="1" customHeight="1">
      <c r="C11866" s="701"/>
      <c r="D11866" s="811"/>
      <c r="E11866" s="1276">
        <f>[11]building!Y12197</f>
        <v>0</v>
      </c>
      <c r="F11866" s="748">
        <f t="shared" si="424"/>
        <v>0</v>
      </c>
      <c r="G11866" s="1205"/>
      <c r="H11866" s="1055"/>
      <c r="I11866" s="1055"/>
      <c r="J11866" s="1055"/>
      <c r="K11866" s="1205"/>
      <c r="L11866" s="1055"/>
      <c r="M11866" s="1205"/>
      <c r="N11866" s="1054"/>
      <c r="O11866" s="1207"/>
      <c r="Q11866" s="1207"/>
    </row>
    <row r="11867" spans="3:17" s="700" customFormat="1" ht="70.5" hidden="1" customHeight="1">
      <c r="C11867" s="701"/>
      <c r="D11867" s="811"/>
      <c r="E11867" s="1276">
        <f>[11]building!Y12198</f>
        <v>0</v>
      </c>
      <c r="F11867" s="748">
        <f t="shared" si="424"/>
        <v>0</v>
      </c>
      <c r="G11867" s="1205"/>
      <c r="H11867" s="1055"/>
      <c r="I11867" s="1055"/>
      <c r="J11867" s="1055"/>
      <c r="K11867" s="1205"/>
      <c r="L11867" s="1055"/>
      <c r="M11867" s="1205"/>
      <c r="N11867" s="1054"/>
      <c r="O11867" s="1207"/>
      <c r="Q11867" s="1207"/>
    </row>
    <row r="11868" spans="3:17" s="700" customFormat="1" ht="70.5" hidden="1" customHeight="1">
      <c r="C11868" s="701"/>
      <c r="D11868" s="811"/>
      <c r="E11868" s="1276">
        <f>[11]building!Y12199</f>
        <v>0</v>
      </c>
      <c r="F11868" s="748">
        <f t="shared" si="424"/>
        <v>0</v>
      </c>
      <c r="G11868" s="1205"/>
      <c r="H11868" s="1055"/>
      <c r="I11868" s="1055"/>
      <c r="J11868" s="1055"/>
      <c r="K11868" s="1205"/>
      <c r="L11868" s="1055"/>
      <c r="M11868" s="1205"/>
      <c r="N11868" s="1054"/>
      <c r="O11868" s="1207"/>
      <c r="Q11868" s="1207"/>
    </row>
    <row r="11869" spans="3:17" s="700" customFormat="1" ht="70.5" hidden="1" customHeight="1">
      <c r="C11869" s="701"/>
      <c r="D11869" s="811"/>
      <c r="E11869" s="1276">
        <f>[11]building!Y12200</f>
        <v>0</v>
      </c>
      <c r="F11869" s="748">
        <f t="shared" si="424"/>
        <v>0</v>
      </c>
      <c r="G11869" s="1205"/>
      <c r="H11869" s="1055"/>
      <c r="I11869" s="1055"/>
      <c r="J11869" s="1055"/>
      <c r="K11869" s="1205"/>
      <c r="L11869" s="1055"/>
      <c r="M11869" s="1205"/>
      <c r="N11869" s="1054"/>
      <c r="O11869" s="1207"/>
      <c r="Q11869" s="1207"/>
    </row>
    <row r="11870" spans="3:17" s="700" customFormat="1" ht="70.5" hidden="1" customHeight="1">
      <c r="C11870" s="701"/>
      <c r="D11870" s="811"/>
      <c r="E11870" s="1276">
        <f>[11]building!Y12201</f>
        <v>0</v>
      </c>
      <c r="F11870" s="748">
        <f t="shared" si="424"/>
        <v>0</v>
      </c>
      <c r="G11870" s="1205"/>
      <c r="H11870" s="1055"/>
      <c r="I11870" s="1055"/>
      <c r="J11870" s="1055"/>
      <c r="K11870" s="1205"/>
      <c r="L11870" s="1055"/>
      <c r="M11870" s="1205"/>
      <c r="N11870" s="1054"/>
      <c r="O11870" s="1207"/>
      <c r="Q11870" s="1207"/>
    </row>
    <row r="11871" spans="3:17" s="700" customFormat="1" ht="70.5" hidden="1" customHeight="1">
      <c r="C11871" s="701"/>
      <c r="D11871" s="811"/>
      <c r="E11871" s="1276">
        <f>[11]building!Y12202</f>
        <v>0</v>
      </c>
      <c r="F11871" s="748">
        <f t="shared" si="424"/>
        <v>0</v>
      </c>
      <c r="G11871" s="1205"/>
      <c r="H11871" s="1055"/>
      <c r="I11871" s="1055"/>
      <c r="J11871" s="1055"/>
      <c r="K11871" s="1205"/>
      <c r="L11871" s="1055"/>
      <c r="M11871" s="1205"/>
      <c r="N11871" s="1054"/>
      <c r="O11871" s="1207"/>
      <c r="Q11871" s="1207"/>
    </row>
    <row r="11872" spans="3:17" s="700" customFormat="1" ht="70.5" hidden="1" customHeight="1">
      <c r="C11872" s="701"/>
      <c r="D11872" s="811"/>
      <c r="E11872" s="1276">
        <f>[11]building!Y12203</f>
        <v>0</v>
      </c>
      <c r="F11872" s="748">
        <f t="shared" si="424"/>
        <v>0</v>
      </c>
      <c r="G11872" s="1205"/>
      <c r="H11872" s="1055"/>
      <c r="I11872" s="1055"/>
      <c r="J11872" s="1055"/>
      <c r="K11872" s="1205"/>
      <c r="L11872" s="1055"/>
      <c r="M11872" s="1205"/>
      <c r="N11872" s="1054"/>
      <c r="O11872" s="1207"/>
      <c r="Q11872" s="1207"/>
    </row>
    <row r="11873" spans="3:17" s="700" customFormat="1" ht="70.5" hidden="1" customHeight="1">
      <c r="C11873" s="701"/>
      <c r="D11873" s="811"/>
      <c r="E11873" s="1276">
        <f>[11]building!Y12204</f>
        <v>0</v>
      </c>
      <c r="F11873" s="748">
        <f t="shared" si="424"/>
        <v>0</v>
      </c>
      <c r="G11873" s="1205"/>
      <c r="H11873" s="1055"/>
      <c r="I11873" s="1055"/>
      <c r="J11873" s="1055"/>
      <c r="K11873" s="1205"/>
      <c r="L11873" s="1055"/>
      <c r="M11873" s="1205"/>
      <c r="N11873" s="1054"/>
      <c r="O11873" s="1207"/>
      <c r="Q11873" s="1207"/>
    </row>
    <row r="11874" spans="3:17" s="700" customFormat="1" ht="70.5" hidden="1" customHeight="1">
      <c r="C11874" s="701"/>
      <c r="D11874" s="811"/>
      <c r="E11874" s="1276">
        <f>[11]building!Y12205</f>
        <v>0</v>
      </c>
      <c r="F11874" s="748">
        <f t="shared" si="424"/>
        <v>0</v>
      </c>
      <c r="G11874" s="1205"/>
      <c r="H11874" s="1055"/>
      <c r="I11874" s="1055"/>
      <c r="J11874" s="1055"/>
      <c r="K11874" s="1205"/>
      <c r="L11874" s="1055"/>
      <c r="M11874" s="1205"/>
      <c r="N11874" s="1054"/>
      <c r="O11874" s="1207"/>
      <c r="Q11874" s="1207"/>
    </row>
    <row r="11875" spans="3:17" s="700" customFormat="1" ht="70.5" hidden="1" customHeight="1">
      <c r="C11875" s="701"/>
      <c r="D11875" s="811"/>
      <c r="E11875" s="1276">
        <f>[11]building!Y12206</f>
        <v>0</v>
      </c>
      <c r="F11875" s="748">
        <f t="shared" si="424"/>
        <v>0</v>
      </c>
      <c r="G11875" s="1205"/>
      <c r="H11875" s="1055"/>
      <c r="I11875" s="1055"/>
      <c r="J11875" s="1055"/>
      <c r="K11875" s="1205"/>
      <c r="L11875" s="1055"/>
      <c r="M11875" s="1205"/>
      <c r="N11875" s="1054"/>
      <c r="O11875" s="1207"/>
      <c r="Q11875" s="1207"/>
    </row>
    <row r="11876" spans="3:17" s="700" customFormat="1" ht="70.5" hidden="1" customHeight="1">
      <c r="C11876" s="701"/>
      <c r="D11876" s="811"/>
      <c r="E11876" s="1276">
        <f>[11]building!Y12207</f>
        <v>0</v>
      </c>
      <c r="F11876" s="748">
        <f t="shared" si="424"/>
        <v>0</v>
      </c>
      <c r="G11876" s="1205"/>
      <c r="H11876" s="1055"/>
      <c r="I11876" s="1055"/>
      <c r="J11876" s="1055"/>
      <c r="K11876" s="1205"/>
      <c r="L11876" s="1055"/>
      <c r="M11876" s="1205"/>
      <c r="N11876" s="1054"/>
      <c r="O11876" s="1207"/>
      <c r="Q11876" s="1207"/>
    </row>
    <row r="11877" spans="3:17" s="700" customFormat="1" ht="70.5" hidden="1" customHeight="1">
      <c r="C11877" s="701"/>
      <c r="D11877" s="811"/>
      <c r="E11877" s="1276">
        <f>[11]building!Y12208</f>
        <v>0</v>
      </c>
      <c r="F11877" s="748">
        <f t="shared" si="424"/>
        <v>0</v>
      </c>
      <c r="G11877" s="1205"/>
      <c r="H11877" s="1055"/>
      <c r="I11877" s="1055"/>
      <c r="J11877" s="1055"/>
      <c r="K11877" s="1205"/>
      <c r="L11877" s="1055"/>
      <c r="M11877" s="1205"/>
      <c r="N11877" s="1054"/>
      <c r="O11877" s="1207"/>
      <c r="Q11877" s="1207"/>
    </row>
    <row r="11878" spans="3:17" s="700" customFormat="1" ht="70.5" hidden="1" customHeight="1">
      <c r="C11878" s="701"/>
      <c r="D11878" s="811"/>
      <c r="E11878" s="1276">
        <f>[11]building!Y12209</f>
        <v>0</v>
      </c>
      <c r="F11878" s="748">
        <f t="shared" si="424"/>
        <v>0</v>
      </c>
      <c r="G11878" s="1205"/>
      <c r="H11878" s="1055"/>
      <c r="I11878" s="1055"/>
      <c r="J11878" s="1055"/>
      <c r="K11878" s="1205"/>
      <c r="L11878" s="1055"/>
      <c r="M11878" s="1205"/>
      <c r="N11878" s="1054"/>
      <c r="O11878" s="1207"/>
      <c r="Q11878" s="1207"/>
    </row>
    <row r="11879" spans="3:17" s="700" customFormat="1" ht="70.5" hidden="1" customHeight="1">
      <c r="C11879" s="701"/>
      <c r="D11879" s="811"/>
      <c r="E11879" s="1276">
        <f>[11]building!Y12210</f>
        <v>0</v>
      </c>
      <c r="F11879" s="748">
        <f t="shared" si="424"/>
        <v>0</v>
      </c>
      <c r="G11879" s="1205"/>
      <c r="H11879" s="1055"/>
      <c r="I11879" s="1055"/>
      <c r="J11879" s="1055"/>
      <c r="K11879" s="1205"/>
      <c r="L11879" s="1055"/>
      <c r="M11879" s="1205"/>
      <c r="N11879" s="1054"/>
      <c r="O11879" s="1207"/>
      <c r="Q11879" s="1207"/>
    </row>
    <row r="11880" spans="3:17" s="700" customFormat="1" ht="70.5" hidden="1" customHeight="1">
      <c r="C11880" s="701"/>
      <c r="D11880" s="811"/>
      <c r="E11880" s="1276">
        <f>[11]building!Y12211</f>
        <v>0</v>
      </c>
      <c r="F11880" s="748">
        <f t="shared" si="424"/>
        <v>0</v>
      </c>
      <c r="G11880" s="1205"/>
      <c r="H11880" s="1055"/>
      <c r="I11880" s="1055"/>
      <c r="J11880" s="1055"/>
      <c r="K11880" s="1205"/>
      <c r="L11880" s="1055"/>
      <c r="M11880" s="1205"/>
      <c r="N11880" s="1054"/>
      <c r="O11880" s="1207"/>
      <c r="Q11880" s="1207"/>
    </row>
    <row r="11881" spans="3:17" s="700" customFormat="1" ht="70.5" hidden="1" customHeight="1">
      <c r="C11881" s="701"/>
      <c r="D11881" s="811"/>
      <c r="E11881" s="1276">
        <f>[11]building!Y12212</f>
        <v>0</v>
      </c>
      <c r="F11881" s="748">
        <f t="shared" si="424"/>
        <v>0</v>
      </c>
      <c r="G11881" s="1205"/>
      <c r="H11881" s="1055"/>
      <c r="I11881" s="1055"/>
      <c r="J11881" s="1055"/>
      <c r="K11881" s="1205"/>
      <c r="L11881" s="1055"/>
      <c r="M11881" s="1205"/>
      <c r="N11881" s="1054"/>
      <c r="O11881" s="1207"/>
      <c r="Q11881" s="1207"/>
    </row>
    <row r="11882" spans="3:17" s="700" customFormat="1" ht="70.5" hidden="1" customHeight="1">
      <c r="C11882" s="701"/>
      <c r="D11882" s="811"/>
      <c r="E11882" s="1276">
        <f>[11]building!Y12213</f>
        <v>0</v>
      </c>
      <c r="F11882" s="748">
        <f t="shared" si="424"/>
        <v>0</v>
      </c>
      <c r="G11882" s="1205"/>
      <c r="H11882" s="1055"/>
      <c r="I11882" s="1055"/>
      <c r="J11882" s="1055"/>
      <c r="K11882" s="1205"/>
      <c r="L11882" s="1055"/>
      <c r="M11882" s="1205"/>
      <c r="N11882" s="1054"/>
      <c r="O11882" s="1207"/>
      <c r="Q11882" s="1207"/>
    </row>
    <row r="11883" spans="3:17" s="700" customFormat="1" ht="70.5" hidden="1" customHeight="1">
      <c r="C11883" s="701"/>
      <c r="D11883" s="811"/>
      <c r="E11883" s="1276">
        <f>[11]building!Y12214</f>
        <v>0</v>
      </c>
      <c r="F11883" s="748">
        <f t="shared" si="424"/>
        <v>0</v>
      </c>
      <c r="G11883" s="1205"/>
      <c r="H11883" s="1055"/>
      <c r="I11883" s="1055"/>
      <c r="J11883" s="1055"/>
      <c r="K11883" s="1205"/>
      <c r="L11883" s="1055"/>
      <c r="M11883" s="1205"/>
      <c r="N11883" s="1054"/>
      <c r="O11883" s="1207"/>
      <c r="Q11883" s="1207"/>
    </row>
    <row r="11884" spans="3:17" s="700" customFormat="1" ht="70.5" hidden="1" customHeight="1">
      <c r="C11884" s="701"/>
      <c r="D11884" s="811"/>
      <c r="E11884" s="1276">
        <f>[11]building!Y12215</f>
        <v>0</v>
      </c>
      <c r="F11884" s="748">
        <f t="shared" si="424"/>
        <v>0</v>
      </c>
      <c r="G11884" s="1205"/>
      <c r="H11884" s="1055"/>
      <c r="I11884" s="1055"/>
      <c r="J11884" s="1055"/>
      <c r="K11884" s="1205"/>
      <c r="L11884" s="1055"/>
      <c r="M11884" s="1205"/>
      <c r="N11884" s="1054"/>
      <c r="O11884" s="1207"/>
      <c r="Q11884" s="1207"/>
    </row>
    <row r="11885" spans="3:17" s="700" customFormat="1" ht="70.5" hidden="1" customHeight="1">
      <c r="C11885" s="701"/>
      <c r="D11885" s="811"/>
      <c r="E11885" s="1276">
        <f>[11]building!Y12216</f>
        <v>0</v>
      </c>
      <c r="F11885" s="748">
        <f t="shared" si="424"/>
        <v>0</v>
      </c>
      <c r="G11885" s="1205"/>
      <c r="H11885" s="1055"/>
      <c r="I11885" s="1055"/>
      <c r="J11885" s="1055"/>
      <c r="K11885" s="1205"/>
      <c r="L11885" s="1055"/>
      <c r="M11885" s="1205"/>
      <c r="N11885" s="1054"/>
      <c r="O11885" s="1207"/>
      <c r="Q11885" s="1207"/>
    </row>
    <row r="11886" spans="3:17" s="700" customFormat="1" ht="70.5" hidden="1" customHeight="1">
      <c r="C11886" s="701"/>
      <c r="D11886" s="811"/>
      <c r="E11886" s="1276">
        <f>[11]building!Y12217</f>
        <v>0</v>
      </c>
      <c r="F11886" s="748">
        <f t="shared" si="424"/>
        <v>0</v>
      </c>
      <c r="G11886" s="1205"/>
      <c r="H11886" s="1055"/>
      <c r="I11886" s="1055"/>
      <c r="J11886" s="1055"/>
      <c r="K11886" s="1205"/>
      <c r="L11886" s="1055"/>
      <c r="M11886" s="1205"/>
      <c r="N11886" s="1054"/>
      <c r="O11886" s="1207"/>
      <c r="Q11886" s="1207"/>
    </row>
    <row r="11887" spans="3:17" s="700" customFormat="1" ht="70.5" hidden="1" customHeight="1">
      <c r="C11887" s="701"/>
      <c r="D11887" s="811"/>
      <c r="E11887" s="1276">
        <f>[11]building!Y12218</f>
        <v>0</v>
      </c>
      <c r="F11887" s="748">
        <f t="shared" si="424"/>
        <v>0</v>
      </c>
      <c r="G11887" s="1205"/>
      <c r="H11887" s="1055"/>
      <c r="I11887" s="1055"/>
      <c r="J11887" s="1055"/>
      <c r="K11887" s="1205"/>
      <c r="L11887" s="1055"/>
      <c r="M11887" s="1205"/>
      <c r="N11887" s="1054"/>
      <c r="O11887" s="1207"/>
      <c r="Q11887" s="1207"/>
    </row>
    <row r="11888" spans="3:17" s="700" customFormat="1" ht="70.5" hidden="1" customHeight="1">
      <c r="C11888" s="701"/>
      <c r="D11888" s="811"/>
      <c r="E11888" s="1276">
        <f>[11]building!Y12219</f>
        <v>0</v>
      </c>
      <c r="F11888" s="748">
        <f t="shared" si="424"/>
        <v>0</v>
      </c>
      <c r="G11888" s="1205"/>
      <c r="H11888" s="1055"/>
      <c r="I11888" s="1055"/>
      <c r="J11888" s="1055"/>
      <c r="K11888" s="1205"/>
      <c r="L11888" s="1055"/>
      <c r="M11888" s="1205"/>
      <c r="N11888" s="1054"/>
      <c r="O11888" s="1207"/>
      <c r="Q11888" s="1207"/>
    </row>
    <row r="11889" spans="3:17" s="700" customFormat="1" ht="70.5" hidden="1" customHeight="1">
      <c r="C11889" s="701"/>
      <c r="D11889" s="811"/>
      <c r="E11889" s="1276">
        <f>[11]building!Y12220</f>
        <v>0</v>
      </c>
      <c r="F11889" s="748">
        <f t="shared" si="424"/>
        <v>0</v>
      </c>
      <c r="G11889" s="1205"/>
      <c r="H11889" s="1055"/>
      <c r="I11889" s="1055"/>
      <c r="J11889" s="1055"/>
      <c r="K11889" s="1205"/>
      <c r="L11889" s="1055"/>
      <c r="M11889" s="1205"/>
      <c r="N11889" s="1054"/>
      <c r="O11889" s="1207"/>
      <c r="Q11889" s="1207"/>
    </row>
    <row r="11890" spans="3:17" s="700" customFormat="1" ht="70.5" hidden="1" customHeight="1">
      <c r="C11890" s="701"/>
      <c r="D11890" s="811"/>
      <c r="E11890" s="1276">
        <f>[11]building!Y12221</f>
        <v>0</v>
      </c>
      <c r="F11890" s="748">
        <f t="shared" si="424"/>
        <v>0</v>
      </c>
      <c r="G11890" s="1205"/>
      <c r="H11890" s="1055"/>
      <c r="I11890" s="1055"/>
      <c r="J11890" s="1055"/>
      <c r="K11890" s="1205"/>
      <c r="L11890" s="1055"/>
      <c r="M11890" s="1205"/>
      <c r="N11890" s="1054"/>
      <c r="O11890" s="1207"/>
      <c r="Q11890" s="1207"/>
    </row>
    <row r="11891" spans="3:17" s="700" customFormat="1" ht="70.5" hidden="1" customHeight="1">
      <c r="C11891" s="701"/>
      <c r="D11891" s="811"/>
      <c r="E11891" s="1276">
        <f>[11]building!Y12222</f>
        <v>0</v>
      </c>
      <c r="F11891" s="748">
        <f t="shared" si="424"/>
        <v>0</v>
      </c>
      <c r="G11891" s="1205"/>
      <c r="H11891" s="1055"/>
      <c r="I11891" s="1055"/>
      <c r="J11891" s="1055"/>
      <c r="K11891" s="1205"/>
      <c r="L11891" s="1055"/>
      <c r="M11891" s="1205"/>
      <c r="N11891" s="1054"/>
      <c r="O11891" s="1207"/>
      <c r="Q11891" s="1207"/>
    </row>
    <row r="11892" spans="3:17" s="700" customFormat="1" ht="70.5" hidden="1" customHeight="1">
      <c r="C11892" s="701"/>
      <c r="D11892" s="811"/>
      <c r="E11892" s="1276">
        <f>[11]building!Y12223</f>
        <v>0</v>
      </c>
      <c r="F11892" s="748">
        <f t="shared" si="424"/>
        <v>0</v>
      </c>
      <c r="G11892" s="1205"/>
      <c r="H11892" s="1055"/>
      <c r="I11892" s="1055"/>
      <c r="J11892" s="1055"/>
      <c r="K11892" s="1205"/>
      <c r="L11892" s="1055"/>
      <c r="M11892" s="1205"/>
      <c r="N11892" s="1054"/>
      <c r="O11892" s="1207"/>
      <c r="Q11892" s="1207"/>
    </row>
    <row r="11893" spans="3:17" s="700" customFormat="1" ht="70.5" hidden="1" customHeight="1">
      <c r="C11893" s="701"/>
      <c r="D11893" s="811"/>
      <c r="E11893" s="1276">
        <f>[11]building!Y12224</f>
        <v>0</v>
      </c>
      <c r="F11893" s="748">
        <f t="shared" si="424"/>
        <v>0</v>
      </c>
      <c r="G11893" s="1205"/>
      <c r="H11893" s="1055"/>
      <c r="I11893" s="1055"/>
      <c r="J11893" s="1055"/>
      <c r="K11893" s="1205"/>
      <c r="L11893" s="1055"/>
      <c r="M11893" s="1205"/>
      <c r="N11893" s="1054"/>
      <c r="O11893" s="1207"/>
      <c r="Q11893" s="1207"/>
    </row>
    <row r="11894" spans="3:17" s="700" customFormat="1" ht="70.5" hidden="1" customHeight="1">
      <c r="C11894" s="701"/>
      <c r="D11894" s="811"/>
      <c r="E11894" s="1276">
        <f>[11]building!Y12225</f>
        <v>0</v>
      </c>
      <c r="F11894" s="748">
        <f t="shared" si="424"/>
        <v>0</v>
      </c>
      <c r="G11894" s="1205"/>
      <c r="H11894" s="1055"/>
      <c r="I11894" s="1055"/>
      <c r="J11894" s="1055"/>
      <c r="K11894" s="1205"/>
      <c r="L11894" s="1055"/>
      <c r="M11894" s="1205"/>
      <c r="N11894" s="1054"/>
      <c r="O11894" s="1207"/>
      <c r="Q11894" s="1207"/>
    </row>
    <row r="11895" spans="3:17" s="700" customFormat="1" ht="70.5" hidden="1" customHeight="1">
      <c r="C11895" s="701"/>
      <c r="D11895" s="811"/>
      <c r="E11895" s="1276">
        <f>[11]building!Y12226</f>
        <v>0</v>
      </c>
      <c r="F11895" s="748">
        <f t="shared" si="424"/>
        <v>0</v>
      </c>
      <c r="G11895" s="1205"/>
      <c r="H11895" s="1055"/>
      <c r="I11895" s="1055"/>
      <c r="J11895" s="1055"/>
      <c r="K11895" s="1205"/>
      <c r="L11895" s="1055"/>
      <c r="M11895" s="1205"/>
      <c r="N11895" s="1054"/>
      <c r="O11895" s="1207"/>
      <c r="Q11895" s="1207"/>
    </row>
    <row r="11896" spans="3:17" s="700" customFormat="1" ht="70.5" hidden="1" customHeight="1">
      <c r="C11896" s="701"/>
      <c r="D11896" s="811"/>
      <c r="E11896" s="1276">
        <f>[11]building!Y12227</f>
        <v>0</v>
      </c>
      <c r="F11896" s="748">
        <f t="shared" si="424"/>
        <v>0</v>
      </c>
      <c r="G11896" s="1205"/>
      <c r="H11896" s="1055"/>
      <c r="I11896" s="1055"/>
      <c r="J11896" s="1055"/>
      <c r="K11896" s="1205"/>
      <c r="L11896" s="1055"/>
      <c r="M11896" s="1205"/>
      <c r="N11896" s="1054"/>
      <c r="O11896" s="1207"/>
      <c r="Q11896" s="1207"/>
    </row>
    <row r="11897" spans="3:17" s="700" customFormat="1" ht="70.5" hidden="1" customHeight="1">
      <c r="C11897" s="701"/>
      <c r="D11897" s="811"/>
      <c r="E11897" s="1276">
        <f>[11]building!Y12228</f>
        <v>0</v>
      </c>
      <c r="F11897" s="748">
        <f t="shared" si="424"/>
        <v>0</v>
      </c>
      <c r="G11897" s="1205"/>
      <c r="H11897" s="1055"/>
      <c r="I11897" s="1055"/>
      <c r="J11897" s="1055"/>
      <c r="K11897" s="1205"/>
      <c r="L11897" s="1055"/>
      <c r="M11897" s="1205"/>
      <c r="N11897" s="1054"/>
      <c r="O11897" s="1207"/>
      <c r="Q11897" s="1207"/>
    </row>
    <row r="11898" spans="3:17" s="700" customFormat="1" ht="70.5" hidden="1" customHeight="1">
      <c r="C11898" s="701"/>
      <c r="D11898" s="811"/>
      <c r="E11898" s="1276">
        <f>[11]building!Y12229</f>
        <v>0</v>
      </c>
      <c r="F11898" s="748">
        <f t="shared" si="424"/>
        <v>0</v>
      </c>
      <c r="G11898" s="1205"/>
      <c r="H11898" s="1055"/>
      <c r="I11898" s="1055"/>
      <c r="J11898" s="1055"/>
      <c r="K11898" s="1205"/>
      <c r="L11898" s="1055"/>
      <c r="M11898" s="1205"/>
      <c r="N11898" s="1054"/>
      <c r="O11898" s="1207"/>
      <c r="Q11898" s="1207"/>
    </row>
    <row r="11899" spans="3:17" s="700" customFormat="1" ht="70.5" hidden="1" customHeight="1">
      <c r="C11899" s="701"/>
      <c r="D11899" s="811"/>
      <c r="E11899" s="1276">
        <f>[11]building!Y12230</f>
        <v>0</v>
      </c>
      <c r="F11899" s="748">
        <f t="shared" si="424"/>
        <v>0</v>
      </c>
      <c r="G11899" s="1205"/>
      <c r="H11899" s="1055"/>
      <c r="I11899" s="1055"/>
      <c r="J11899" s="1055"/>
      <c r="K11899" s="1205"/>
      <c r="L11899" s="1055"/>
      <c r="M11899" s="1205"/>
      <c r="N11899" s="1054"/>
      <c r="O11899" s="1207"/>
      <c r="Q11899" s="1207"/>
    </row>
    <row r="11900" spans="3:17" s="700" customFormat="1" ht="70.5" hidden="1" customHeight="1">
      <c r="C11900" s="701"/>
      <c r="D11900" s="811"/>
      <c r="E11900" s="1276">
        <f>[11]building!Y12231</f>
        <v>0</v>
      </c>
      <c r="F11900" s="748">
        <f t="shared" si="424"/>
        <v>0</v>
      </c>
      <c r="G11900" s="1205"/>
      <c r="H11900" s="1055"/>
      <c r="I11900" s="1055"/>
      <c r="J11900" s="1055"/>
      <c r="K11900" s="1205"/>
      <c r="L11900" s="1055"/>
      <c r="M11900" s="1205"/>
      <c r="N11900" s="1054"/>
      <c r="O11900" s="1207"/>
      <c r="Q11900" s="1207"/>
    </row>
    <row r="11901" spans="3:17" s="700" customFormat="1" ht="70.5" hidden="1" customHeight="1">
      <c r="C11901" s="701"/>
      <c r="D11901" s="811"/>
      <c r="E11901" s="1276">
        <f>[11]building!Y12232</f>
        <v>0</v>
      </c>
      <c r="F11901" s="748">
        <f t="shared" si="424"/>
        <v>0</v>
      </c>
      <c r="G11901" s="1205"/>
      <c r="H11901" s="1055"/>
      <c r="I11901" s="1055"/>
      <c r="J11901" s="1055"/>
      <c r="K11901" s="1205"/>
      <c r="L11901" s="1055"/>
      <c r="M11901" s="1205"/>
      <c r="N11901" s="1054"/>
      <c r="O11901" s="1207"/>
      <c r="Q11901" s="1207"/>
    </row>
    <row r="11902" spans="3:17" s="700" customFormat="1" ht="70.5" hidden="1" customHeight="1">
      <c r="C11902" s="701"/>
      <c r="D11902" s="811"/>
      <c r="E11902" s="1276">
        <f>[11]building!Y12233</f>
        <v>0</v>
      </c>
      <c r="F11902" s="748">
        <f t="shared" si="424"/>
        <v>0</v>
      </c>
      <c r="G11902" s="1205"/>
      <c r="H11902" s="1055"/>
      <c r="I11902" s="1055"/>
      <c r="J11902" s="1055"/>
      <c r="K11902" s="1205"/>
      <c r="L11902" s="1055"/>
      <c r="M11902" s="1205"/>
      <c r="N11902" s="1054"/>
      <c r="O11902" s="1207"/>
      <c r="Q11902" s="1207"/>
    </row>
    <row r="11903" spans="3:17" s="700" customFormat="1" ht="70.5" hidden="1" customHeight="1">
      <c r="C11903" s="701"/>
      <c r="D11903" s="811"/>
      <c r="E11903" s="1276">
        <f>[11]building!Y12234</f>
        <v>0</v>
      </c>
      <c r="F11903" s="748">
        <f t="shared" si="424"/>
        <v>0</v>
      </c>
      <c r="G11903" s="1205"/>
      <c r="H11903" s="1055"/>
      <c r="I11903" s="1055"/>
      <c r="J11903" s="1055"/>
      <c r="K11903" s="1205"/>
      <c r="L11903" s="1055"/>
      <c r="M11903" s="1205"/>
      <c r="N11903" s="1054"/>
      <c r="O11903" s="1207"/>
      <c r="Q11903" s="1207"/>
    </row>
    <row r="11904" spans="3:17" s="700" customFormat="1" ht="70.5" hidden="1" customHeight="1">
      <c r="C11904" s="701"/>
      <c r="D11904" s="811"/>
      <c r="E11904" s="1276">
        <f>[11]building!Y12235</f>
        <v>0</v>
      </c>
      <c r="F11904" s="748">
        <f t="shared" ref="F11904:F11967" si="425">E11904*C11904</f>
        <v>0</v>
      </c>
      <c r="G11904" s="1205"/>
      <c r="H11904" s="1055"/>
      <c r="I11904" s="1055"/>
      <c r="J11904" s="1055"/>
      <c r="K11904" s="1205"/>
      <c r="L11904" s="1055"/>
      <c r="M11904" s="1205"/>
      <c r="N11904" s="1054"/>
      <c r="O11904" s="1207"/>
      <c r="Q11904" s="1207"/>
    </row>
    <row r="11905" spans="3:17" s="700" customFormat="1" ht="70.5" hidden="1" customHeight="1">
      <c r="C11905" s="701"/>
      <c r="D11905" s="811"/>
      <c r="E11905" s="1276">
        <f>[11]building!Y12236</f>
        <v>0</v>
      </c>
      <c r="F11905" s="748">
        <f t="shared" si="425"/>
        <v>0</v>
      </c>
      <c r="G11905" s="1205"/>
      <c r="H11905" s="1055"/>
      <c r="I11905" s="1055"/>
      <c r="J11905" s="1055"/>
      <c r="K11905" s="1205"/>
      <c r="L11905" s="1055"/>
      <c r="M11905" s="1205"/>
      <c r="N11905" s="1054"/>
      <c r="O11905" s="1207"/>
      <c r="Q11905" s="1207"/>
    </row>
    <row r="11906" spans="3:17" s="700" customFormat="1" ht="70.5" hidden="1" customHeight="1">
      <c r="C11906" s="701"/>
      <c r="D11906" s="811"/>
      <c r="E11906" s="1276">
        <f>[11]building!Y12237</f>
        <v>0</v>
      </c>
      <c r="F11906" s="748">
        <f t="shared" si="425"/>
        <v>0</v>
      </c>
      <c r="G11906" s="1205"/>
      <c r="H11906" s="1055"/>
      <c r="I11906" s="1055"/>
      <c r="J11906" s="1055"/>
      <c r="K11906" s="1205"/>
      <c r="L11906" s="1055"/>
      <c r="M11906" s="1205"/>
      <c r="N11906" s="1054"/>
      <c r="O11906" s="1207"/>
      <c r="Q11906" s="1207"/>
    </row>
    <row r="11907" spans="3:17" s="700" customFormat="1" ht="70.5" hidden="1" customHeight="1">
      <c r="C11907" s="701"/>
      <c r="D11907" s="811"/>
      <c r="E11907" s="1276">
        <f>[11]building!Y12238</f>
        <v>0</v>
      </c>
      <c r="F11907" s="748">
        <f t="shared" si="425"/>
        <v>0</v>
      </c>
      <c r="G11907" s="1205"/>
      <c r="H11907" s="1055"/>
      <c r="I11907" s="1055"/>
      <c r="J11907" s="1055"/>
      <c r="K11907" s="1205"/>
      <c r="L11907" s="1055"/>
      <c r="M11907" s="1205"/>
      <c r="N11907" s="1054"/>
      <c r="O11907" s="1207"/>
      <c r="Q11907" s="1207"/>
    </row>
    <row r="11908" spans="3:17" s="700" customFormat="1" ht="70.5" hidden="1" customHeight="1">
      <c r="C11908" s="701"/>
      <c r="D11908" s="811"/>
      <c r="E11908" s="1276">
        <f>[11]building!Y12239</f>
        <v>0</v>
      </c>
      <c r="F11908" s="748">
        <f t="shared" si="425"/>
        <v>0</v>
      </c>
      <c r="G11908" s="1205"/>
      <c r="H11908" s="1055"/>
      <c r="I11908" s="1055"/>
      <c r="J11908" s="1055"/>
      <c r="K11908" s="1205"/>
      <c r="L11908" s="1055"/>
      <c r="M11908" s="1205"/>
      <c r="N11908" s="1054"/>
      <c r="O11908" s="1207"/>
      <c r="Q11908" s="1207"/>
    </row>
    <row r="11909" spans="3:17" s="700" customFormat="1" ht="70.5" hidden="1" customHeight="1">
      <c r="C11909" s="701"/>
      <c r="D11909" s="811"/>
      <c r="E11909" s="1276">
        <f>[11]building!Y12240</f>
        <v>0</v>
      </c>
      <c r="F11909" s="748">
        <f t="shared" si="425"/>
        <v>0</v>
      </c>
      <c r="G11909" s="1205"/>
      <c r="H11909" s="1055"/>
      <c r="I11909" s="1055"/>
      <c r="J11909" s="1055"/>
      <c r="K11909" s="1205"/>
      <c r="L11909" s="1055"/>
      <c r="M11909" s="1205"/>
      <c r="N11909" s="1054"/>
      <c r="O11909" s="1207"/>
      <c r="Q11909" s="1207"/>
    </row>
    <row r="11910" spans="3:17" s="700" customFormat="1" ht="70.5" hidden="1" customHeight="1">
      <c r="C11910" s="701"/>
      <c r="D11910" s="811"/>
      <c r="E11910" s="1276">
        <f>[11]building!Y12241</f>
        <v>0</v>
      </c>
      <c r="F11910" s="748">
        <f t="shared" si="425"/>
        <v>0</v>
      </c>
      <c r="G11910" s="1205"/>
      <c r="H11910" s="1055"/>
      <c r="I11910" s="1055"/>
      <c r="J11910" s="1055"/>
      <c r="K11910" s="1205"/>
      <c r="L11910" s="1055"/>
      <c r="M11910" s="1205"/>
      <c r="N11910" s="1054"/>
      <c r="O11910" s="1207"/>
      <c r="Q11910" s="1207"/>
    </row>
    <row r="11911" spans="3:17" s="700" customFormat="1" ht="70.5" hidden="1" customHeight="1">
      <c r="C11911" s="701"/>
      <c r="D11911" s="811"/>
      <c r="E11911" s="1276">
        <f>[11]building!Y12242</f>
        <v>0</v>
      </c>
      <c r="F11911" s="748">
        <f t="shared" si="425"/>
        <v>0</v>
      </c>
      <c r="G11911" s="1205"/>
      <c r="H11911" s="1055"/>
      <c r="I11911" s="1055"/>
      <c r="J11911" s="1055"/>
      <c r="K11911" s="1205"/>
      <c r="L11911" s="1055"/>
      <c r="M11911" s="1205"/>
      <c r="N11911" s="1054"/>
      <c r="O11911" s="1207"/>
      <c r="Q11911" s="1207"/>
    </row>
    <row r="11912" spans="3:17" s="700" customFormat="1" ht="70.5" hidden="1" customHeight="1">
      <c r="C11912" s="701"/>
      <c r="D11912" s="811"/>
      <c r="E11912" s="1276">
        <f>[11]building!Y12243</f>
        <v>0</v>
      </c>
      <c r="F11912" s="748">
        <f t="shared" si="425"/>
        <v>0</v>
      </c>
      <c r="G11912" s="1205"/>
      <c r="H11912" s="1055"/>
      <c r="I11912" s="1055"/>
      <c r="J11912" s="1055"/>
      <c r="K11912" s="1205"/>
      <c r="L11912" s="1055"/>
      <c r="M11912" s="1205"/>
      <c r="N11912" s="1054"/>
      <c r="O11912" s="1207"/>
      <c r="Q11912" s="1207"/>
    </row>
    <row r="11913" spans="3:17" s="700" customFormat="1" ht="70.5" hidden="1" customHeight="1">
      <c r="C11913" s="701"/>
      <c r="D11913" s="811"/>
      <c r="E11913" s="1276">
        <f>[11]building!Y12244</f>
        <v>0</v>
      </c>
      <c r="F11913" s="748">
        <f t="shared" si="425"/>
        <v>0</v>
      </c>
      <c r="G11913" s="1205"/>
      <c r="H11913" s="1055"/>
      <c r="I11913" s="1055"/>
      <c r="J11913" s="1055"/>
      <c r="K11913" s="1205"/>
      <c r="L11913" s="1055"/>
      <c r="M11913" s="1205"/>
      <c r="N11913" s="1054"/>
      <c r="O11913" s="1207"/>
      <c r="Q11913" s="1207"/>
    </row>
    <row r="11914" spans="3:17" s="700" customFormat="1" ht="70.5" hidden="1" customHeight="1">
      <c r="C11914" s="701"/>
      <c r="D11914" s="811"/>
      <c r="E11914" s="1276">
        <f>[11]building!Y12245</f>
        <v>0</v>
      </c>
      <c r="F11914" s="748">
        <f t="shared" si="425"/>
        <v>0</v>
      </c>
      <c r="G11914" s="1205"/>
      <c r="H11914" s="1055"/>
      <c r="I11914" s="1055"/>
      <c r="J11914" s="1055"/>
      <c r="K11914" s="1205"/>
      <c r="L11914" s="1055"/>
      <c r="M11914" s="1205"/>
      <c r="N11914" s="1054"/>
      <c r="O11914" s="1207"/>
      <c r="Q11914" s="1207"/>
    </row>
    <row r="11915" spans="3:17" s="700" customFormat="1" ht="70.5" hidden="1" customHeight="1">
      <c r="C11915" s="701"/>
      <c r="D11915" s="811"/>
      <c r="E11915" s="1276">
        <f>[11]building!Y12246</f>
        <v>0</v>
      </c>
      <c r="F11915" s="748">
        <f t="shared" si="425"/>
        <v>0</v>
      </c>
      <c r="G11915" s="1205"/>
      <c r="H11915" s="1055"/>
      <c r="I11915" s="1055"/>
      <c r="J11915" s="1055"/>
      <c r="K11915" s="1205"/>
      <c r="L11915" s="1055"/>
      <c r="M11915" s="1205"/>
      <c r="N11915" s="1054"/>
      <c r="O11915" s="1207"/>
      <c r="Q11915" s="1207"/>
    </row>
    <row r="11916" spans="3:17" s="700" customFormat="1" ht="70.5" hidden="1" customHeight="1">
      <c r="C11916" s="701"/>
      <c r="D11916" s="811"/>
      <c r="E11916" s="1276">
        <f>[11]building!Y12247</f>
        <v>0</v>
      </c>
      <c r="F11916" s="748">
        <f t="shared" si="425"/>
        <v>0</v>
      </c>
      <c r="G11916" s="1205"/>
      <c r="H11916" s="1055"/>
      <c r="I11916" s="1055"/>
      <c r="J11916" s="1055"/>
      <c r="K11916" s="1205"/>
      <c r="L11916" s="1055"/>
      <c r="M11916" s="1205"/>
      <c r="N11916" s="1054"/>
      <c r="O11916" s="1207"/>
      <c r="Q11916" s="1207"/>
    </row>
    <row r="11917" spans="3:17" s="700" customFormat="1" ht="70.5" hidden="1" customHeight="1">
      <c r="C11917" s="701"/>
      <c r="D11917" s="811"/>
      <c r="E11917" s="1276">
        <f>[11]building!Y12248</f>
        <v>0</v>
      </c>
      <c r="F11917" s="748">
        <f t="shared" si="425"/>
        <v>0</v>
      </c>
      <c r="G11917" s="1205"/>
      <c r="H11917" s="1055"/>
      <c r="I11917" s="1055"/>
      <c r="J11917" s="1055"/>
      <c r="K11917" s="1205"/>
      <c r="L11917" s="1055"/>
      <c r="M11917" s="1205"/>
      <c r="N11917" s="1054"/>
      <c r="O11917" s="1207"/>
      <c r="Q11917" s="1207"/>
    </row>
    <row r="11918" spans="3:17" s="700" customFormat="1" ht="70.5" hidden="1" customHeight="1">
      <c r="C11918" s="701"/>
      <c r="D11918" s="811"/>
      <c r="E11918" s="1276">
        <f>[11]building!Y12249</f>
        <v>0</v>
      </c>
      <c r="F11918" s="748">
        <f t="shared" si="425"/>
        <v>0</v>
      </c>
      <c r="G11918" s="1205"/>
      <c r="H11918" s="1055"/>
      <c r="I11918" s="1055"/>
      <c r="J11918" s="1055"/>
      <c r="K11918" s="1205"/>
      <c r="L11918" s="1055"/>
      <c r="M11918" s="1205"/>
      <c r="N11918" s="1054"/>
      <c r="O11918" s="1207"/>
      <c r="Q11918" s="1207"/>
    </row>
    <row r="11919" spans="3:17" s="700" customFormat="1" ht="70.5" hidden="1" customHeight="1">
      <c r="C11919" s="701"/>
      <c r="D11919" s="811"/>
      <c r="E11919" s="1276">
        <f>[11]building!Y12250</f>
        <v>0</v>
      </c>
      <c r="F11919" s="748">
        <f t="shared" si="425"/>
        <v>0</v>
      </c>
      <c r="G11919" s="1205"/>
      <c r="H11919" s="1055"/>
      <c r="I11919" s="1055"/>
      <c r="J11919" s="1055"/>
      <c r="K11919" s="1205"/>
      <c r="L11919" s="1055"/>
      <c r="M11919" s="1205"/>
      <c r="N11919" s="1054"/>
      <c r="O11919" s="1207"/>
      <c r="Q11919" s="1207"/>
    </row>
    <row r="11920" spans="3:17" s="700" customFormat="1" ht="70.5" hidden="1" customHeight="1">
      <c r="C11920" s="701"/>
      <c r="D11920" s="811"/>
      <c r="E11920" s="1276">
        <f>[11]building!Y12251</f>
        <v>0</v>
      </c>
      <c r="F11920" s="748">
        <f t="shared" si="425"/>
        <v>0</v>
      </c>
      <c r="G11920" s="1205"/>
      <c r="H11920" s="1055"/>
      <c r="I11920" s="1055"/>
      <c r="J11920" s="1055"/>
      <c r="K11920" s="1205"/>
      <c r="L11920" s="1055"/>
      <c r="M11920" s="1205"/>
      <c r="N11920" s="1054"/>
      <c r="O11920" s="1207"/>
      <c r="Q11920" s="1207"/>
    </row>
    <row r="11921" spans="3:17" s="700" customFormat="1" ht="70.5" hidden="1" customHeight="1">
      <c r="C11921" s="701"/>
      <c r="D11921" s="811"/>
      <c r="E11921" s="1276">
        <f>[11]building!Y12252</f>
        <v>0</v>
      </c>
      <c r="F11921" s="748">
        <f t="shared" si="425"/>
        <v>0</v>
      </c>
      <c r="G11921" s="1205"/>
      <c r="H11921" s="1055"/>
      <c r="I11921" s="1055"/>
      <c r="J11921" s="1055"/>
      <c r="K11921" s="1205"/>
      <c r="L11921" s="1055"/>
      <c r="M11921" s="1205"/>
      <c r="N11921" s="1054"/>
      <c r="O11921" s="1207"/>
      <c r="Q11921" s="1207"/>
    </row>
    <row r="11922" spans="3:17" s="700" customFormat="1" ht="70.5" hidden="1" customHeight="1">
      <c r="C11922" s="701"/>
      <c r="D11922" s="811"/>
      <c r="E11922" s="1276">
        <f>[11]building!Y12253</f>
        <v>0</v>
      </c>
      <c r="F11922" s="748">
        <f t="shared" si="425"/>
        <v>0</v>
      </c>
      <c r="G11922" s="1205"/>
      <c r="H11922" s="1055"/>
      <c r="I11922" s="1055"/>
      <c r="J11922" s="1055"/>
      <c r="K11922" s="1205"/>
      <c r="L11922" s="1055"/>
      <c r="M11922" s="1205"/>
      <c r="N11922" s="1054"/>
      <c r="O11922" s="1207"/>
      <c r="Q11922" s="1207"/>
    </row>
    <row r="11923" spans="3:17" s="700" customFormat="1" ht="70.5" hidden="1" customHeight="1">
      <c r="C11923" s="701"/>
      <c r="D11923" s="811"/>
      <c r="E11923" s="1276">
        <f>[11]building!Y12254</f>
        <v>0</v>
      </c>
      <c r="F11923" s="748">
        <f t="shared" si="425"/>
        <v>0</v>
      </c>
      <c r="G11923" s="1205"/>
      <c r="H11923" s="1055"/>
      <c r="I11923" s="1055"/>
      <c r="J11923" s="1055"/>
      <c r="K11923" s="1205"/>
      <c r="L11923" s="1055"/>
      <c r="M11923" s="1205"/>
      <c r="N11923" s="1054"/>
      <c r="O11923" s="1207"/>
      <c r="Q11923" s="1207"/>
    </row>
    <row r="11924" spans="3:17" s="700" customFormat="1" ht="70.5" hidden="1" customHeight="1">
      <c r="C11924" s="701"/>
      <c r="D11924" s="811"/>
      <c r="E11924" s="1276">
        <f>[11]building!Y12255</f>
        <v>0</v>
      </c>
      <c r="F11924" s="748">
        <f t="shared" si="425"/>
        <v>0</v>
      </c>
      <c r="G11924" s="1205"/>
      <c r="H11924" s="1055"/>
      <c r="I11924" s="1055"/>
      <c r="J11924" s="1055"/>
      <c r="K11924" s="1205"/>
      <c r="L11924" s="1055"/>
      <c r="M11924" s="1205"/>
      <c r="N11924" s="1054"/>
      <c r="O11924" s="1207"/>
      <c r="Q11924" s="1207"/>
    </row>
    <row r="11925" spans="3:17" s="700" customFormat="1" ht="70.5" hidden="1" customHeight="1">
      <c r="C11925" s="701"/>
      <c r="D11925" s="811"/>
      <c r="E11925" s="1276">
        <f>[11]building!Y12256</f>
        <v>0</v>
      </c>
      <c r="F11925" s="748">
        <f t="shared" si="425"/>
        <v>0</v>
      </c>
      <c r="G11925" s="1205"/>
      <c r="H11925" s="1055"/>
      <c r="I11925" s="1055"/>
      <c r="J11925" s="1055"/>
      <c r="K11925" s="1205"/>
      <c r="L11925" s="1055"/>
      <c r="M11925" s="1205"/>
      <c r="N11925" s="1054"/>
      <c r="O11925" s="1207"/>
      <c r="Q11925" s="1207"/>
    </row>
    <row r="11926" spans="3:17" s="700" customFormat="1" ht="70.5" hidden="1" customHeight="1">
      <c r="C11926" s="701"/>
      <c r="D11926" s="811"/>
      <c r="E11926" s="1276">
        <f>[11]building!Y12257</f>
        <v>0</v>
      </c>
      <c r="F11926" s="748">
        <f t="shared" si="425"/>
        <v>0</v>
      </c>
      <c r="G11926" s="1205"/>
      <c r="H11926" s="1055"/>
      <c r="I11926" s="1055"/>
      <c r="J11926" s="1055"/>
      <c r="K11926" s="1205"/>
      <c r="L11926" s="1055"/>
      <c r="M11926" s="1205"/>
      <c r="N11926" s="1054"/>
      <c r="O11926" s="1207"/>
      <c r="Q11926" s="1207"/>
    </row>
    <row r="11927" spans="3:17" s="700" customFormat="1" ht="70.5" hidden="1" customHeight="1">
      <c r="C11927" s="701"/>
      <c r="D11927" s="811"/>
      <c r="E11927" s="1276">
        <f>[11]building!Y12258</f>
        <v>0</v>
      </c>
      <c r="F11927" s="748">
        <f t="shared" si="425"/>
        <v>0</v>
      </c>
      <c r="G11927" s="1205"/>
      <c r="H11927" s="1055"/>
      <c r="I11927" s="1055"/>
      <c r="J11927" s="1055"/>
      <c r="K11927" s="1205"/>
      <c r="L11927" s="1055"/>
      <c r="M11927" s="1205"/>
      <c r="N11927" s="1054"/>
      <c r="O11927" s="1207"/>
      <c r="Q11927" s="1207"/>
    </row>
    <row r="11928" spans="3:17" s="700" customFormat="1" ht="70.5" hidden="1" customHeight="1">
      <c r="C11928" s="701"/>
      <c r="D11928" s="811"/>
      <c r="E11928" s="1276">
        <f>[11]building!Y12259</f>
        <v>0</v>
      </c>
      <c r="F11928" s="748">
        <f t="shared" si="425"/>
        <v>0</v>
      </c>
      <c r="G11928" s="1205"/>
      <c r="H11928" s="1055"/>
      <c r="I11928" s="1055"/>
      <c r="J11928" s="1055"/>
      <c r="K11928" s="1205"/>
      <c r="L11928" s="1055"/>
      <c r="M11928" s="1205"/>
      <c r="N11928" s="1054"/>
      <c r="O11928" s="1207"/>
      <c r="Q11928" s="1207"/>
    </row>
    <row r="11929" spans="3:17" s="700" customFormat="1" ht="70.5" hidden="1" customHeight="1">
      <c r="C11929" s="701"/>
      <c r="D11929" s="811"/>
      <c r="E11929" s="1276">
        <f>[11]building!Y12260</f>
        <v>0</v>
      </c>
      <c r="F11929" s="748">
        <f t="shared" si="425"/>
        <v>0</v>
      </c>
      <c r="G11929" s="1205"/>
      <c r="H11929" s="1055"/>
      <c r="I11929" s="1055"/>
      <c r="J11929" s="1055"/>
      <c r="K11929" s="1205"/>
      <c r="L11929" s="1055"/>
      <c r="M11929" s="1205"/>
      <c r="N11929" s="1054"/>
      <c r="O11929" s="1207"/>
      <c r="Q11929" s="1207"/>
    </row>
    <row r="11930" spans="3:17" s="700" customFormat="1" ht="70.5" hidden="1" customHeight="1">
      <c r="C11930" s="701"/>
      <c r="D11930" s="811"/>
      <c r="E11930" s="1276">
        <f>[11]building!Y12261</f>
        <v>0</v>
      </c>
      <c r="F11930" s="748">
        <f t="shared" si="425"/>
        <v>0</v>
      </c>
      <c r="G11930" s="1205"/>
      <c r="H11930" s="1055"/>
      <c r="I11930" s="1055"/>
      <c r="J11930" s="1055"/>
      <c r="K11930" s="1205"/>
      <c r="L11930" s="1055"/>
      <c r="M11930" s="1205"/>
      <c r="N11930" s="1054"/>
      <c r="O11930" s="1207"/>
      <c r="Q11930" s="1207"/>
    </row>
    <row r="11931" spans="3:17" s="700" customFormat="1" ht="70.5" hidden="1" customHeight="1">
      <c r="C11931" s="701"/>
      <c r="D11931" s="811"/>
      <c r="E11931" s="1276">
        <f>[11]building!Y12262</f>
        <v>0</v>
      </c>
      <c r="F11931" s="748">
        <f t="shared" si="425"/>
        <v>0</v>
      </c>
      <c r="G11931" s="1205"/>
      <c r="H11931" s="1055"/>
      <c r="I11931" s="1055"/>
      <c r="J11931" s="1055"/>
      <c r="K11931" s="1205"/>
      <c r="L11931" s="1055"/>
      <c r="M11931" s="1205"/>
      <c r="N11931" s="1054"/>
      <c r="O11931" s="1207"/>
      <c r="Q11931" s="1207"/>
    </row>
    <row r="11932" spans="3:17" s="700" customFormat="1" ht="70.5" hidden="1" customHeight="1">
      <c r="C11932" s="701"/>
      <c r="D11932" s="811"/>
      <c r="E11932" s="1276">
        <f>[11]building!Y12263</f>
        <v>0</v>
      </c>
      <c r="F11932" s="748">
        <f t="shared" si="425"/>
        <v>0</v>
      </c>
      <c r="G11932" s="1205"/>
      <c r="H11932" s="1055"/>
      <c r="I11932" s="1055"/>
      <c r="J11932" s="1055"/>
      <c r="K11932" s="1205"/>
      <c r="L11932" s="1055"/>
      <c r="M11932" s="1205"/>
      <c r="N11932" s="1054"/>
      <c r="O11932" s="1207"/>
      <c r="Q11932" s="1207"/>
    </row>
    <row r="11933" spans="3:17" s="700" customFormat="1" ht="70.5" hidden="1" customHeight="1">
      <c r="C11933" s="701"/>
      <c r="D11933" s="811"/>
      <c r="E11933" s="1276">
        <f>[11]building!Y12264</f>
        <v>0</v>
      </c>
      <c r="F11933" s="748">
        <f t="shared" si="425"/>
        <v>0</v>
      </c>
      <c r="G11933" s="1205"/>
      <c r="H11933" s="1055"/>
      <c r="I11933" s="1055"/>
      <c r="J11933" s="1055"/>
      <c r="K11933" s="1205"/>
      <c r="L11933" s="1055"/>
      <c r="M11933" s="1205"/>
      <c r="N11933" s="1054"/>
      <c r="O11933" s="1207"/>
      <c r="Q11933" s="1207"/>
    </row>
    <row r="11934" spans="3:17" s="700" customFormat="1" ht="70.5" hidden="1" customHeight="1">
      <c r="C11934" s="701"/>
      <c r="D11934" s="811"/>
      <c r="E11934" s="1276">
        <f>[11]building!Y12265</f>
        <v>0</v>
      </c>
      <c r="F11934" s="748">
        <f t="shared" si="425"/>
        <v>0</v>
      </c>
      <c r="G11934" s="1205"/>
      <c r="H11934" s="1055"/>
      <c r="I11934" s="1055"/>
      <c r="J11934" s="1055"/>
      <c r="K11934" s="1205"/>
      <c r="L11934" s="1055"/>
      <c r="M11934" s="1205"/>
      <c r="N11934" s="1054"/>
      <c r="O11934" s="1207"/>
      <c r="Q11934" s="1207"/>
    </row>
    <row r="11935" spans="3:17" s="700" customFormat="1" ht="70.5" hidden="1" customHeight="1">
      <c r="C11935" s="701"/>
      <c r="D11935" s="811"/>
      <c r="E11935" s="1276">
        <f>[11]building!Y12266</f>
        <v>0</v>
      </c>
      <c r="F11935" s="748">
        <f t="shared" si="425"/>
        <v>0</v>
      </c>
      <c r="G11935" s="1205"/>
      <c r="H11935" s="1055"/>
      <c r="I11935" s="1055"/>
      <c r="J11935" s="1055"/>
      <c r="K11935" s="1205"/>
      <c r="L11935" s="1055"/>
      <c r="M11935" s="1205"/>
      <c r="N11935" s="1054"/>
      <c r="O11935" s="1207"/>
      <c r="Q11935" s="1207"/>
    </row>
    <row r="11936" spans="3:17" s="700" customFormat="1" ht="70.5" hidden="1" customHeight="1">
      <c r="C11936" s="701"/>
      <c r="D11936" s="811"/>
      <c r="E11936" s="1276">
        <f>[11]building!Y12267</f>
        <v>0</v>
      </c>
      <c r="F11936" s="748">
        <f t="shared" si="425"/>
        <v>0</v>
      </c>
      <c r="G11936" s="1205"/>
      <c r="H11936" s="1055"/>
      <c r="I11936" s="1055"/>
      <c r="J11936" s="1055"/>
      <c r="K11936" s="1205"/>
      <c r="L11936" s="1055"/>
      <c r="M11936" s="1205"/>
      <c r="N11936" s="1054"/>
      <c r="O11936" s="1207"/>
      <c r="Q11936" s="1207"/>
    </row>
    <row r="11937" spans="3:17" s="700" customFormat="1" ht="70.5" hidden="1" customHeight="1">
      <c r="C11937" s="701"/>
      <c r="D11937" s="811"/>
      <c r="E11937" s="1276">
        <f>[11]building!Y12268</f>
        <v>0</v>
      </c>
      <c r="F11937" s="748">
        <f t="shared" si="425"/>
        <v>0</v>
      </c>
      <c r="G11937" s="1205"/>
      <c r="H11937" s="1055"/>
      <c r="I11937" s="1055"/>
      <c r="J11937" s="1055"/>
      <c r="K11937" s="1205"/>
      <c r="L11937" s="1055"/>
      <c r="M11937" s="1205"/>
      <c r="N11937" s="1054"/>
      <c r="O11937" s="1207"/>
      <c r="Q11937" s="1207"/>
    </row>
    <row r="11938" spans="3:17" s="700" customFormat="1" ht="70.5" hidden="1" customHeight="1">
      <c r="C11938" s="701"/>
      <c r="D11938" s="811"/>
      <c r="E11938" s="1276">
        <f>[11]building!Y12269</f>
        <v>0</v>
      </c>
      <c r="F11938" s="748">
        <f t="shared" si="425"/>
        <v>0</v>
      </c>
      <c r="G11938" s="1205"/>
      <c r="H11938" s="1055"/>
      <c r="I11938" s="1055"/>
      <c r="J11938" s="1055"/>
      <c r="K11938" s="1205"/>
      <c r="L11938" s="1055"/>
      <c r="M11938" s="1205"/>
      <c r="N11938" s="1054"/>
      <c r="O11938" s="1207"/>
      <c r="Q11938" s="1207"/>
    </row>
    <row r="11939" spans="3:17" s="700" customFormat="1" ht="70.5" hidden="1" customHeight="1">
      <c r="C11939" s="701"/>
      <c r="D11939" s="811"/>
      <c r="E11939" s="1276">
        <f>[11]building!Y12270</f>
        <v>0</v>
      </c>
      <c r="F11939" s="748">
        <f t="shared" si="425"/>
        <v>0</v>
      </c>
      <c r="G11939" s="1205"/>
      <c r="H11939" s="1055"/>
      <c r="I11939" s="1055"/>
      <c r="J11939" s="1055"/>
      <c r="K11939" s="1205"/>
      <c r="L11939" s="1055"/>
      <c r="M11939" s="1205"/>
      <c r="N11939" s="1054"/>
      <c r="O11939" s="1207"/>
      <c r="Q11939" s="1207"/>
    </row>
    <row r="11940" spans="3:17" s="700" customFormat="1" ht="70.5" hidden="1" customHeight="1">
      <c r="C11940" s="701"/>
      <c r="D11940" s="811"/>
      <c r="E11940" s="1276">
        <f>[11]building!Y12271</f>
        <v>0</v>
      </c>
      <c r="F11940" s="748">
        <f t="shared" si="425"/>
        <v>0</v>
      </c>
      <c r="G11940" s="1205"/>
      <c r="H11940" s="1055"/>
      <c r="I11940" s="1055"/>
      <c r="J11940" s="1055"/>
      <c r="K11940" s="1205"/>
      <c r="L11940" s="1055"/>
      <c r="M11940" s="1205"/>
      <c r="N11940" s="1054"/>
      <c r="O11940" s="1207"/>
      <c r="Q11940" s="1207"/>
    </row>
    <row r="11941" spans="3:17" s="700" customFormat="1" ht="70.5" hidden="1" customHeight="1">
      <c r="C11941" s="701"/>
      <c r="D11941" s="811"/>
      <c r="E11941" s="1276">
        <f>[11]building!Y12272</f>
        <v>0</v>
      </c>
      <c r="F11941" s="748">
        <f t="shared" si="425"/>
        <v>0</v>
      </c>
      <c r="G11941" s="1205"/>
      <c r="H11941" s="1055"/>
      <c r="I11941" s="1055"/>
      <c r="J11941" s="1055"/>
      <c r="K11941" s="1205"/>
      <c r="L11941" s="1055"/>
      <c r="M11941" s="1205"/>
      <c r="N11941" s="1054"/>
      <c r="O11941" s="1207"/>
      <c r="Q11941" s="1207"/>
    </row>
    <row r="11942" spans="3:17" s="700" customFormat="1" ht="70.5" hidden="1" customHeight="1">
      <c r="C11942" s="701"/>
      <c r="D11942" s="811"/>
      <c r="E11942" s="1276">
        <f>[11]building!Y12273</f>
        <v>0</v>
      </c>
      <c r="F11942" s="748">
        <f t="shared" si="425"/>
        <v>0</v>
      </c>
      <c r="G11942" s="1205"/>
      <c r="H11942" s="1055"/>
      <c r="I11942" s="1055"/>
      <c r="J11942" s="1055"/>
      <c r="K11942" s="1205"/>
      <c r="L11942" s="1055"/>
      <c r="M11942" s="1205"/>
      <c r="N11942" s="1054"/>
      <c r="O11942" s="1207"/>
      <c r="Q11942" s="1207"/>
    </row>
    <row r="11943" spans="3:17" s="700" customFormat="1" ht="70.5" hidden="1" customHeight="1">
      <c r="C11943" s="701"/>
      <c r="D11943" s="811"/>
      <c r="E11943" s="1276">
        <f>[11]building!Y12274</f>
        <v>0</v>
      </c>
      <c r="F11943" s="748">
        <f t="shared" si="425"/>
        <v>0</v>
      </c>
      <c r="G11943" s="1205"/>
      <c r="H11943" s="1055"/>
      <c r="I11943" s="1055"/>
      <c r="J11943" s="1055"/>
      <c r="K11943" s="1205"/>
      <c r="L11943" s="1055"/>
      <c r="M11943" s="1205"/>
      <c r="N11943" s="1054"/>
      <c r="O11943" s="1207"/>
      <c r="Q11943" s="1207"/>
    </row>
    <row r="11944" spans="3:17" s="700" customFormat="1" ht="70.5" hidden="1" customHeight="1">
      <c r="C11944" s="701"/>
      <c r="D11944" s="811"/>
      <c r="E11944" s="1276">
        <f>[11]building!Y12275</f>
        <v>0</v>
      </c>
      <c r="F11944" s="748">
        <f t="shared" si="425"/>
        <v>0</v>
      </c>
      <c r="G11944" s="1205"/>
      <c r="H11944" s="1055"/>
      <c r="I11944" s="1055"/>
      <c r="J11944" s="1055"/>
      <c r="K11944" s="1205"/>
      <c r="L11944" s="1055"/>
      <c r="M11944" s="1205"/>
      <c r="N11944" s="1054"/>
      <c r="O11944" s="1207"/>
      <c r="Q11944" s="1207"/>
    </row>
    <row r="11945" spans="3:17" s="700" customFormat="1" ht="70.5" hidden="1" customHeight="1">
      <c r="C11945" s="701"/>
      <c r="D11945" s="811"/>
      <c r="E11945" s="1276">
        <f>[11]building!Y12276</f>
        <v>0</v>
      </c>
      <c r="F11945" s="748">
        <f t="shared" si="425"/>
        <v>0</v>
      </c>
      <c r="G11945" s="1205"/>
      <c r="H11945" s="1055"/>
      <c r="I11945" s="1055"/>
      <c r="J11945" s="1055"/>
      <c r="K11945" s="1205"/>
      <c r="L11945" s="1055"/>
      <c r="M11945" s="1205"/>
      <c r="N11945" s="1054"/>
      <c r="O11945" s="1207"/>
      <c r="Q11945" s="1207"/>
    </row>
    <row r="11946" spans="3:17" s="700" customFormat="1" ht="70.5" hidden="1" customHeight="1">
      <c r="C11946" s="701"/>
      <c r="D11946" s="811"/>
      <c r="E11946" s="1276">
        <f>[11]building!Y12277</f>
        <v>0</v>
      </c>
      <c r="F11946" s="748">
        <f t="shared" si="425"/>
        <v>0</v>
      </c>
      <c r="G11946" s="1205"/>
      <c r="H11946" s="1055"/>
      <c r="I11946" s="1055"/>
      <c r="J11946" s="1055"/>
      <c r="K11946" s="1205"/>
      <c r="L11946" s="1055"/>
      <c r="M11946" s="1205"/>
      <c r="N11946" s="1054"/>
      <c r="O11946" s="1207"/>
      <c r="Q11946" s="1207"/>
    </row>
    <row r="11947" spans="3:17" s="700" customFormat="1" ht="70.5" hidden="1" customHeight="1">
      <c r="C11947" s="701"/>
      <c r="D11947" s="811"/>
      <c r="E11947" s="1276">
        <f>[11]building!Y12278</f>
        <v>0</v>
      </c>
      <c r="F11947" s="748">
        <f t="shared" si="425"/>
        <v>0</v>
      </c>
      <c r="G11947" s="1205"/>
      <c r="H11947" s="1055"/>
      <c r="I11947" s="1055"/>
      <c r="J11947" s="1055"/>
      <c r="K11947" s="1205"/>
      <c r="L11947" s="1055"/>
      <c r="M11947" s="1205"/>
      <c r="N11947" s="1054"/>
      <c r="O11947" s="1207"/>
      <c r="Q11947" s="1207"/>
    </row>
    <row r="11948" spans="3:17" s="700" customFormat="1" ht="70.5" hidden="1" customHeight="1">
      <c r="C11948" s="701"/>
      <c r="D11948" s="811"/>
      <c r="E11948" s="1276">
        <f>[11]building!Y12279</f>
        <v>0</v>
      </c>
      <c r="F11948" s="748">
        <f t="shared" si="425"/>
        <v>0</v>
      </c>
      <c r="G11948" s="1205"/>
      <c r="H11948" s="1055"/>
      <c r="I11948" s="1055"/>
      <c r="J11948" s="1055"/>
      <c r="K11948" s="1205"/>
      <c r="L11948" s="1055"/>
      <c r="M11948" s="1205"/>
      <c r="N11948" s="1054"/>
      <c r="O11948" s="1207"/>
      <c r="Q11948" s="1207"/>
    </row>
    <row r="11949" spans="3:17" s="700" customFormat="1" ht="70.5" hidden="1" customHeight="1">
      <c r="C11949" s="701"/>
      <c r="D11949" s="811"/>
      <c r="E11949" s="1276">
        <f>[11]building!Y12280</f>
        <v>0</v>
      </c>
      <c r="F11949" s="748">
        <f t="shared" si="425"/>
        <v>0</v>
      </c>
      <c r="G11949" s="1205"/>
      <c r="H11949" s="1055"/>
      <c r="I11949" s="1055"/>
      <c r="J11949" s="1055"/>
      <c r="K11949" s="1205"/>
      <c r="L11949" s="1055"/>
      <c r="M11949" s="1205"/>
      <c r="N11949" s="1054"/>
      <c r="O11949" s="1207"/>
      <c r="Q11949" s="1207"/>
    </row>
    <row r="11950" spans="3:17" s="700" customFormat="1" ht="70.5" hidden="1" customHeight="1">
      <c r="C11950" s="701"/>
      <c r="D11950" s="811"/>
      <c r="E11950" s="1276">
        <f>[11]building!Y12281</f>
        <v>0</v>
      </c>
      <c r="F11950" s="748">
        <f t="shared" si="425"/>
        <v>0</v>
      </c>
      <c r="G11950" s="1205"/>
      <c r="H11950" s="1055"/>
      <c r="I11950" s="1055"/>
      <c r="J11950" s="1055"/>
      <c r="K11950" s="1205"/>
      <c r="L11950" s="1055"/>
      <c r="M11950" s="1205"/>
      <c r="N11950" s="1054"/>
      <c r="O11950" s="1207"/>
      <c r="Q11950" s="1207"/>
    </row>
    <row r="11951" spans="3:17" s="700" customFormat="1" ht="70.5" hidden="1" customHeight="1">
      <c r="C11951" s="701"/>
      <c r="D11951" s="811"/>
      <c r="E11951" s="1276">
        <f>[11]building!Y12282</f>
        <v>0</v>
      </c>
      <c r="F11951" s="748">
        <f t="shared" si="425"/>
        <v>0</v>
      </c>
      <c r="G11951" s="1205"/>
      <c r="H11951" s="1055"/>
      <c r="I11951" s="1055"/>
      <c r="J11951" s="1055"/>
      <c r="K11951" s="1205"/>
      <c r="L11951" s="1055"/>
      <c r="M11951" s="1205"/>
      <c r="N11951" s="1054"/>
      <c r="O11951" s="1207"/>
      <c r="Q11951" s="1207"/>
    </row>
    <row r="11952" spans="3:17" s="700" customFormat="1" ht="70.5" hidden="1" customHeight="1">
      <c r="C11952" s="701"/>
      <c r="D11952" s="811"/>
      <c r="E11952" s="1276">
        <f>[11]building!Y12283</f>
        <v>0</v>
      </c>
      <c r="F11952" s="748">
        <f t="shared" si="425"/>
        <v>0</v>
      </c>
      <c r="G11952" s="1205"/>
      <c r="H11952" s="1055"/>
      <c r="I11952" s="1055"/>
      <c r="J11952" s="1055"/>
      <c r="K11952" s="1205"/>
      <c r="L11952" s="1055"/>
      <c r="M11952" s="1205"/>
      <c r="N11952" s="1054"/>
      <c r="O11952" s="1207"/>
      <c r="Q11952" s="1207"/>
    </row>
    <row r="11953" spans="3:17" s="700" customFormat="1" ht="70.5" hidden="1" customHeight="1">
      <c r="C11953" s="701"/>
      <c r="D11953" s="811"/>
      <c r="E11953" s="1276">
        <f>[11]building!Y12284</f>
        <v>0</v>
      </c>
      <c r="F11953" s="748">
        <f t="shared" si="425"/>
        <v>0</v>
      </c>
      <c r="G11953" s="1205"/>
      <c r="H11953" s="1055"/>
      <c r="I11953" s="1055"/>
      <c r="J11953" s="1055"/>
      <c r="K11953" s="1205"/>
      <c r="L11953" s="1055"/>
      <c r="M11953" s="1205"/>
      <c r="N11953" s="1054"/>
      <c r="O11953" s="1207"/>
      <c r="Q11953" s="1207"/>
    </row>
    <row r="11954" spans="3:17" s="700" customFormat="1" ht="70.5" hidden="1" customHeight="1">
      <c r="C11954" s="701"/>
      <c r="D11954" s="811"/>
      <c r="E11954" s="1276">
        <f>[11]building!Y12285</f>
        <v>0</v>
      </c>
      <c r="F11954" s="748">
        <f t="shared" si="425"/>
        <v>0</v>
      </c>
      <c r="G11954" s="1205"/>
      <c r="H11954" s="1055"/>
      <c r="I11954" s="1055"/>
      <c r="J11954" s="1055"/>
      <c r="K11954" s="1205"/>
      <c r="L11954" s="1055"/>
      <c r="M11954" s="1205"/>
      <c r="N11954" s="1054"/>
      <c r="O11954" s="1207"/>
      <c r="Q11954" s="1207"/>
    </row>
    <row r="11955" spans="3:17" s="700" customFormat="1" ht="70.5" hidden="1" customHeight="1">
      <c r="C11955" s="701"/>
      <c r="D11955" s="811"/>
      <c r="E11955" s="1276">
        <f>[11]building!Y12286</f>
        <v>0</v>
      </c>
      <c r="F11955" s="748">
        <f t="shared" si="425"/>
        <v>0</v>
      </c>
      <c r="G11955" s="1205"/>
      <c r="H11955" s="1055"/>
      <c r="I11955" s="1055"/>
      <c r="J11955" s="1055"/>
      <c r="K11955" s="1205"/>
      <c r="L11955" s="1055"/>
      <c r="M11955" s="1205"/>
      <c r="N11955" s="1054"/>
      <c r="O11955" s="1207"/>
      <c r="Q11955" s="1207"/>
    </row>
    <row r="11956" spans="3:17" s="700" customFormat="1" ht="70.5" hidden="1" customHeight="1">
      <c r="C11956" s="701"/>
      <c r="D11956" s="811"/>
      <c r="E11956" s="1276">
        <f>[11]building!Y12287</f>
        <v>0</v>
      </c>
      <c r="F11956" s="748">
        <f t="shared" si="425"/>
        <v>0</v>
      </c>
      <c r="G11956" s="1205"/>
      <c r="H11956" s="1055"/>
      <c r="I11956" s="1055"/>
      <c r="J11956" s="1055"/>
      <c r="K11956" s="1205"/>
      <c r="L11956" s="1055"/>
      <c r="M11956" s="1205"/>
      <c r="N11956" s="1054"/>
      <c r="O11956" s="1207"/>
      <c r="Q11956" s="1207"/>
    </row>
    <row r="11957" spans="3:17" s="700" customFormat="1" ht="70.5" hidden="1" customHeight="1">
      <c r="C11957" s="701"/>
      <c r="D11957" s="811"/>
      <c r="E11957" s="1276">
        <f>[11]building!Y12288</f>
        <v>0</v>
      </c>
      <c r="F11957" s="748">
        <f t="shared" si="425"/>
        <v>0</v>
      </c>
      <c r="G11957" s="1205"/>
      <c r="H11957" s="1055"/>
      <c r="I11957" s="1055"/>
      <c r="J11957" s="1055"/>
      <c r="K11957" s="1205"/>
      <c r="L11957" s="1055"/>
      <c r="M11957" s="1205"/>
      <c r="N11957" s="1054"/>
      <c r="O11957" s="1207"/>
      <c r="Q11957" s="1207"/>
    </row>
    <row r="11958" spans="3:17" s="700" customFormat="1" ht="70.5" hidden="1" customHeight="1">
      <c r="C11958" s="701"/>
      <c r="D11958" s="811"/>
      <c r="E11958" s="1276">
        <f>[11]building!Y12289</f>
        <v>0</v>
      </c>
      <c r="F11958" s="748">
        <f t="shared" si="425"/>
        <v>0</v>
      </c>
      <c r="G11958" s="1205"/>
      <c r="H11958" s="1055"/>
      <c r="I11958" s="1055"/>
      <c r="J11958" s="1055"/>
      <c r="K11958" s="1205"/>
      <c r="L11958" s="1055"/>
      <c r="M11958" s="1205"/>
      <c r="N11958" s="1054"/>
      <c r="O11958" s="1207"/>
      <c r="Q11958" s="1207"/>
    </row>
    <row r="11959" spans="3:17" s="700" customFormat="1" ht="70.5" hidden="1" customHeight="1">
      <c r="C11959" s="701"/>
      <c r="D11959" s="811"/>
      <c r="E11959" s="1276">
        <f>[11]building!Y12290</f>
        <v>0</v>
      </c>
      <c r="F11959" s="748">
        <f t="shared" si="425"/>
        <v>0</v>
      </c>
      <c r="G11959" s="1205"/>
      <c r="H11959" s="1055"/>
      <c r="I11959" s="1055"/>
      <c r="J11959" s="1055"/>
      <c r="K11959" s="1205"/>
      <c r="L11959" s="1055"/>
      <c r="M11959" s="1205"/>
      <c r="N11959" s="1054"/>
      <c r="O11959" s="1207"/>
      <c r="Q11959" s="1207"/>
    </row>
    <row r="11960" spans="3:17" s="700" customFormat="1" ht="70.5" hidden="1" customHeight="1">
      <c r="C11960" s="701"/>
      <c r="D11960" s="811"/>
      <c r="E11960" s="1276">
        <f>[11]building!Y12291</f>
        <v>0</v>
      </c>
      <c r="F11960" s="748">
        <f t="shared" si="425"/>
        <v>0</v>
      </c>
      <c r="G11960" s="1205"/>
      <c r="H11960" s="1055"/>
      <c r="I11960" s="1055"/>
      <c r="J11960" s="1055"/>
      <c r="K11960" s="1205"/>
      <c r="L11960" s="1055"/>
      <c r="M11960" s="1205"/>
      <c r="N11960" s="1054"/>
      <c r="O11960" s="1207"/>
      <c r="Q11960" s="1207"/>
    </row>
    <row r="11961" spans="3:17" s="700" customFormat="1" ht="70.5" hidden="1" customHeight="1">
      <c r="C11961" s="701"/>
      <c r="D11961" s="811"/>
      <c r="E11961" s="1276">
        <f>[11]building!Y12292</f>
        <v>0</v>
      </c>
      <c r="F11961" s="748">
        <f t="shared" si="425"/>
        <v>0</v>
      </c>
      <c r="G11961" s="1205"/>
      <c r="H11961" s="1055"/>
      <c r="I11961" s="1055"/>
      <c r="J11961" s="1055"/>
      <c r="K11961" s="1205"/>
      <c r="L11961" s="1055"/>
      <c r="M11961" s="1205"/>
      <c r="N11961" s="1054"/>
      <c r="O11961" s="1207"/>
      <c r="Q11961" s="1207"/>
    </row>
    <row r="11962" spans="3:17" s="700" customFormat="1" ht="70.5" hidden="1" customHeight="1">
      <c r="C11962" s="701"/>
      <c r="D11962" s="811"/>
      <c r="E11962" s="1276">
        <f>[11]building!Y12293</f>
        <v>0</v>
      </c>
      <c r="F11962" s="748">
        <f t="shared" si="425"/>
        <v>0</v>
      </c>
      <c r="G11962" s="1205"/>
      <c r="H11962" s="1055"/>
      <c r="I11962" s="1055"/>
      <c r="J11962" s="1055"/>
      <c r="K11962" s="1205"/>
      <c r="L11962" s="1055"/>
      <c r="M11962" s="1205"/>
      <c r="N11962" s="1054"/>
      <c r="O11962" s="1207"/>
      <c r="Q11962" s="1207"/>
    </row>
    <row r="11963" spans="3:17" s="700" customFormat="1" ht="70.5" hidden="1" customHeight="1">
      <c r="C11963" s="701"/>
      <c r="D11963" s="811"/>
      <c r="E11963" s="1276">
        <f>[11]building!Y12294</f>
        <v>0</v>
      </c>
      <c r="F11963" s="748">
        <f t="shared" si="425"/>
        <v>0</v>
      </c>
      <c r="G11963" s="1205"/>
      <c r="H11963" s="1055"/>
      <c r="I11963" s="1055"/>
      <c r="J11963" s="1055"/>
      <c r="K11963" s="1205"/>
      <c r="L11963" s="1055"/>
      <c r="M11963" s="1205"/>
      <c r="N11963" s="1054"/>
      <c r="O11963" s="1207"/>
      <c r="Q11963" s="1207"/>
    </row>
    <row r="11964" spans="3:17" s="700" customFormat="1" ht="70.5" hidden="1" customHeight="1">
      <c r="C11964" s="701"/>
      <c r="D11964" s="811"/>
      <c r="E11964" s="1276">
        <f>[11]building!Y12295</f>
        <v>0</v>
      </c>
      <c r="F11964" s="748">
        <f t="shared" si="425"/>
        <v>0</v>
      </c>
      <c r="G11964" s="1205"/>
      <c r="H11964" s="1055"/>
      <c r="I11964" s="1055"/>
      <c r="J11964" s="1055"/>
      <c r="K11964" s="1205"/>
      <c r="L11964" s="1055"/>
      <c r="M11964" s="1205"/>
      <c r="N11964" s="1054"/>
      <c r="O11964" s="1207"/>
      <c r="Q11964" s="1207"/>
    </row>
    <row r="11965" spans="3:17" s="700" customFormat="1" ht="70.5" hidden="1" customHeight="1">
      <c r="C11965" s="701"/>
      <c r="D11965" s="811"/>
      <c r="E11965" s="1276">
        <f>[11]building!Y12296</f>
        <v>0</v>
      </c>
      <c r="F11965" s="748">
        <f t="shared" si="425"/>
        <v>0</v>
      </c>
      <c r="G11965" s="1205"/>
      <c r="H11965" s="1055"/>
      <c r="I11965" s="1055"/>
      <c r="J11965" s="1055"/>
      <c r="K11965" s="1205"/>
      <c r="L11965" s="1055"/>
      <c r="M11965" s="1205"/>
      <c r="N11965" s="1054"/>
      <c r="O11965" s="1207"/>
      <c r="Q11965" s="1207"/>
    </row>
    <row r="11966" spans="3:17" s="700" customFormat="1" ht="70.5" hidden="1" customHeight="1">
      <c r="C11966" s="701"/>
      <c r="D11966" s="811"/>
      <c r="E11966" s="1276">
        <f>[11]building!Y12297</f>
        <v>0</v>
      </c>
      <c r="F11966" s="748">
        <f t="shared" si="425"/>
        <v>0</v>
      </c>
      <c r="G11966" s="1205"/>
      <c r="H11966" s="1055"/>
      <c r="I11966" s="1055"/>
      <c r="J11966" s="1055"/>
      <c r="K11966" s="1205"/>
      <c r="L11966" s="1055"/>
      <c r="M11966" s="1205"/>
      <c r="N11966" s="1054"/>
      <c r="O11966" s="1207"/>
      <c r="Q11966" s="1207"/>
    </row>
    <row r="11967" spans="3:17" s="700" customFormat="1" ht="70.5" hidden="1" customHeight="1">
      <c r="C11967" s="701"/>
      <c r="D11967" s="811"/>
      <c r="E11967" s="1276">
        <f>[11]building!Y12298</f>
        <v>0</v>
      </c>
      <c r="F11967" s="748">
        <f t="shared" si="425"/>
        <v>0</v>
      </c>
      <c r="G11967" s="1205"/>
      <c r="H11967" s="1055"/>
      <c r="I11967" s="1055"/>
      <c r="J11967" s="1055"/>
      <c r="K11967" s="1205"/>
      <c r="L11967" s="1055"/>
      <c r="M11967" s="1205"/>
      <c r="N11967" s="1054"/>
      <c r="O11967" s="1207"/>
      <c r="Q11967" s="1207"/>
    </row>
    <row r="11968" spans="3:17" s="700" customFormat="1" ht="70.5" hidden="1" customHeight="1">
      <c r="C11968" s="701"/>
      <c r="D11968" s="811"/>
      <c r="E11968" s="1276">
        <f>[11]building!Y12299</f>
        <v>0</v>
      </c>
      <c r="F11968" s="748">
        <f t="shared" ref="F11968:F12031" si="426">E11968*C11968</f>
        <v>0</v>
      </c>
      <c r="G11968" s="1205"/>
      <c r="H11968" s="1055"/>
      <c r="I11968" s="1055"/>
      <c r="J11968" s="1055"/>
      <c r="K11968" s="1205"/>
      <c r="L11968" s="1055"/>
      <c r="M11968" s="1205"/>
      <c r="N11968" s="1054"/>
      <c r="O11968" s="1207"/>
      <c r="Q11968" s="1207"/>
    </row>
    <row r="11969" spans="3:17" s="700" customFormat="1" ht="70.5" hidden="1" customHeight="1">
      <c r="C11969" s="701"/>
      <c r="D11969" s="811"/>
      <c r="E11969" s="1276">
        <f>[11]building!Y12300</f>
        <v>0</v>
      </c>
      <c r="F11969" s="748">
        <f t="shared" si="426"/>
        <v>0</v>
      </c>
      <c r="G11969" s="1205"/>
      <c r="H11969" s="1055"/>
      <c r="I11969" s="1055"/>
      <c r="J11969" s="1055"/>
      <c r="K11969" s="1205"/>
      <c r="L11969" s="1055"/>
      <c r="M11969" s="1205"/>
      <c r="N11969" s="1054"/>
      <c r="O11969" s="1207"/>
      <c r="Q11969" s="1207"/>
    </row>
    <row r="11970" spans="3:17" s="700" customFormat="1" ht="70.5" hidden="1" customHeight="1">
      <c r="C11970" s="701"/>
      <c r="D11970" s="811"/>
      <c r="E11970" s="1276">
        <f>[11]building!Y12301</f>
        <v>0</v>
      </c>
      <c r="F11970" s="748">
        <f t="shared" si="426"/>
        <v>0</v>
      </c>
      <c r="G11970" s="1205"/>
      <c r="H11970" s="1055"/>
      <c r="I11970" s="1055"/>
      <c r="J11970" s="1055"/>
      <c r="K11970" s="1205"/>
      <c r="L11970" s="1055"/>
      <c r="M11970" s="1205"/>
      <c r="N11970" s="1054"/>
      <c r="O11970" s="1207"/>
      <c r="Q11970" s="1207"/>
    </row>
    <row r="11971" spans="3:17" s="700" customFormat="1" ht="70.5" hidden="1" customHeight="1">
      <c r="C11971" s="701"/>
      <c r="D11971" s="811"/>
      <c r="E11971" s="1276">
        <f>[11]building!Y12302</f>
        <v>0</v>
      </c>
      <c r="F11971" s="748">
        <f t="shared" si="426"/>
        <v>0</v>
      </c>
      <c r="G11971" s="1205"/>
      <c r="H11971" s="1055"/>
      <c r="I11971" s="1055"/>
      <c r="J11971" s="1055"/>
      <c r="K11971" s="1205"/>
      <c r="L11971" s="1055"/>
      <c r="M11971" s="1205"/>
      <c r="N11971" s="1054"/>
      <c r="O11971" s="1207"/>
      <c r="Q11971" s="1207"/>
    </row>
    <row r="11972" spans="3:17" s="700" customFormat="1" ht="70.5" hidden="1" customHeight="1">
      <c r="C11972" s="701"/>
      <c r="D11972" s="811"/>
      <c r="E11972" s="1276">
        <f>[11]building!Y12303</f>
        <v>0</v>
      </c>
      <c r="F11972" s="748">
        <f t="shared" si="426"/>
        <v>0</v>
      </c>
      <c r="G11972" s="1205"/>
      <c r="H11972" s="1055"/>
      <c r="I11972" s="1055"/>
      <c r="J11972" s="1055"/>
      <c r="K11972" s="1205"/>
      <c r="L11972" s="1055"/>
      <c r="M11972" s="1205"/>
      <c r="N11972" s="1054"/>
      <c r="O11972" s="1207"/>
      <c r="Q11972" s="1207"/>
    </row>
    <row r="11973" spans="3:17" s="700" customFormat="1" ht="70.5" hidden="1" customHeight="1">
      <c r="C11973" s="701"/>
      <c r="D11973" s="811"/>
      <c r="E11973" s="1276">
        <f>[11]building!Y12304</f>
        <v>0</v>
      </c>
      <c r="F11973" s="748">
        <f t="shared" si="426"/>
        <v>0</v>
      </c>
      <c r="G11973" s="1205"/>
      <c r="H11973" s="1055"/>
      <c r="I11973" s="1055"/>
      <c r="J11973" s="1055"/>
      <c r="K11973" s="1205"/>
      <c r="L11973" s="1055"/>
      <c r="M11973" s="1205"/>
      <c r="N11973" s="1054"/>
      <c r="O11973" s="1207"/>
      <c r="Q11973" s="1207"/>
    </row>
    <row r="11974" spans="3:17" s="700" customFormat="1" ht="70.5" hidden="1" customHeight="1">
      <c r="C11974" s="701"/>
      <c r="D11974" s="811"/>
      <c r="E11974" s="1276">
        <f>[11]building!Y12305</f>
        <v>0</v>
      </c>
      <c r="F11974" s="748">
        <f t="shared" si="426"/>
        <v>0</v>
      </c>
      <c r="G11974" s="1205"/>
      <c r="H11974" s="1055"/>
      <c r="I11974" s="1055"/>
      <c r="J11974" s="1055"/>
      <c r="K11974" s="1205"/>
      <c r="L11974" s="1055"/>
      <c r="M11974" s="1205"/>
      <c r="N11974" s="1054"/>
      <c r="O11974" s="1207"/>
      <c r="Q11974" s="1207"/>
    </row>
    <row r="11975" spans="3:17" s="700" customFormat="1" ht="70.5" hidden="1" customHeight="1">
      <c r="C11975" s="701"/>
      <c r="D11975" s="811"/>
      <c r="E11975" s="1276">
        <f>[11]building!Y12306</f>
        <v>0</v>
      </c>
      <c r="F11975" s="748">
        <f t="shared" si="426"/>
        <v>0</v>
      </c>
      <c r="G11975" s="1205"/>
      <c r="H11975" s="1055"/>
      <c r="I11975" s="1055"/>
      <c r="J11975" s="1055"/>
      <c r="K11975" s="1205"/>
      <c r="L11975" s="1055"/>
      <c r="M11975" s="1205"/>
      <c r="N11975" s="1054"/>
      <c r="O11975" s="1207"/>
      <c r="Q11975" s="1207"/>
    </row>
    <row r="11976" spans="3:17" s="700" customFormat="1" ht="70.5" hidden="1" customHeight="1">
      <c r="C11976" s="701"/>
      <c r="D11976" s="811"/>
      <c r="E11976" s="1276">
        <f>[11]building!Y12307</f>
        <v>0</v>
      </c>
      <c r="F11976" s="748">
        <f t="shared" si="426"/>
        <v>0</v>
      </c>
      <c r="G11976" s="1205"/>
      <c r="H11976" s="1055"/>
      <c r="I11976" s="1055"/>
      <c r="J11976" s="1055"/>
      <c r="K11976" s="1205"/>
      <c r="L11976" s="1055"/>
      <c r="M11976" s="1205"/>
      <c r="N11976" s="1054"/>
      <c r="O11976" s="1207"/>
      <c r="Q11976" s="1207"/>
    </row>
    <row r="11977" spans="3:17" s="700" customFormat="1" ht="70.5" hidden="1" customHeight="1">
      <c r="C11977" s="701"/>
      <c r="D11977" s="811"/>
      <c r="E11977" s="1276">
        <f>[11]building!Y12308</f>
        <v>0</v>
      </c>
      <c r="F11977" s="748">
        <f t="shared" si="426"/>
        <v>0</v>
      </c>
      <c r="G11977" s="1205"/>
      <c r="H11977" s="1055"/>
      <c r="I11977" s="1055"/>
      <c r="J11977" s="1055"/>
      <c r="K11977" s="1205"/>
      <c r="L11977" s="1055"/>
      <c r="M11977" s="1205"/>
      <c r="N11977" s="1054"/>
      <c r="O11977" s="1207"/>
      <c r="Q11977" s="1207"/>
    </row>
    <row r="11978" spans="3:17" s="700" customFormat="1" ht="70.5" hidden="1" customHeight="1">
      <c r="C11978" s="701"/>
      <c r="D11978" s="811"/>
      <c r="E11978" s="1276">
        <f>[11]building!Y12309</f>
        <v>0</v>
      </c>
      <c r="F11978" s="748">
        <f t="shared" si="426"/>
        <v>0</v>
      </c>
      <c r="G11978" s="1205"/>
      <c r="H11978" s="1055"/>
      <c r="I11978" s="1055"/>
      <c r="J11978" s="1055"/>
      <c r="K11978" s="1205"/>
      <c r="L11978" s="1055"/>
      <c r="M11978" s="1205"/>
      <c r="N11978" s="1054"/>
      <c r="O11978" s="1207"/>
      <c r="Q11978" s="1207"/>
    </row>
    <row r="11979" spans="3:17" s="700" customFormat="1" ht="70.5" hidden="1" customHeight="1">
      <c r="C11979" s="701"/>
      <c r="D11979" s="811"/>
      <c r="E11979" s="1276">
        <f>[11]building!Y12310</f>
        <v>0</v>
      </c>
      <c r="F11979" s="748">
        <f t="shared" si="426"/>
        <v>0</v>
      </c>
      <c r="G11979" s="1205"/>
      <c r="H11979" s="1055"/>
      <c r="I11979" s="1055"/>
      <c r="J11979" s="1055"/>
      <c r="K11979" s="1205"/>
      <c r="L11979" s="1055"/>
      <c r="M11979" s="1205"/>
      <c r="N11979" s="1054"/>
      <c r="O11979" s="1207"/>
      <c r="Q11979" s="1207"/>
    </row>
    <row r="11980" spans="3:17" s="700" customFormat="1" ht="70.5" hidden="1" customHeight="1">
      <c r="C11980" s="701"/>
      <c r="D11980" s="811"/>
      <c r="E11980" s="1276">
        <f>[11]building!Y12311</f>
        <v>0</v>
      </c>
      <c r="F11980" s="748">
        <f t="shared" si="426"/>
        <v>0</v>
      </c>
      <c r="G11980" s="1205"/>
      <c r="H11980" s="1055"/>
      <c r="I11980" s="1055"/>
      <c r="J11980" s="1055"/>
      <c r="K11980" s="1205"/>
      <c r="L11980" s="1055"/>
      <c r="M11980" s="1205"/>
      <c r="N11980" s="1054"/>
      <c r="O11980" s="1207"/>
      <c r="Q11980" s="1207"/>
    </row>
    <row r="11981" spans="3:17" s="700" customFormat="1" ht="70.5" hidden="1" customHeight="1">
      <c r="C11981" s="701"/>
      <c r="D11981" s="811"/>
      <c r="E11981" s="1276">
        <f>[11]building!Y12312</f>
        <v>0</v>
      </c>
      <c r="F11981" s="748">
        <f t="shared" si="426"/>
        <v>0</v>
      </c>
      <c r="G11981" s="1205"/>
      <c r="H11981" s="1055"/>
      <c r="I11981" s="1055"/>
      <c r="J11981" s="1055"/>
      <c r="K11981" s="1205"/>
      <c r="L11981" s="1055"/>
      <c r="M11981" s="1205"/>
      <c r="N11981" s="1054"/>
      <c r="O11981" s="1207"/>
      <c r="Q11981" s="1207"/>
    </row>
    <row r="11982" spans="3:17" s="700" customFormat="1" ht="70.5" hidden="1" customHeight="1">
      <c r="C11982" s="701"/>
      <c r="D11982" s="811"/>
      <c r="E11982" s="1276">
        <f>[11]building!Y12313</f>
        <v>0</v>
      </c>
      <c r="F11982" s="748">
        <f t="shared" si="426"/>
        <v>0</v>
      </c>
      <c r="G11982" s="1205"/>
      <c r="H11982" s="1055"/>
      <c r="I11982" s="1055"/>
      <c r="J11982" s="1055"/>
      <c r="K11982" s="1205"/>
      <c r="L11982" s="1055"/>
      <c r="M11982" s="1205"/>
      <c r="N11982" s="1054"/>
      <c r="O11982" s="1207"/>
      <c r="Q11982" s="1207"/>
    </row>
    <row r="11983" spans="3:17" s="700" customFormat="1" ht="70.5" hidden="1" customHeight="1">
      <c r="C11983" s="701"/>
      <c r="D11983" s="811"/>
      <c r="E11983" s="1276">
        <f>[11]building!Y12314</f>
        <v>0</v>
      </c>
      <c r="F11983" s="748">
        <f t="shared" si="426"/>
        <v>0</v>
      </c>
      <c r="G11983" s="1205"/>
      <c r="H11983" s="1055"/>
      <c r="I11983" s="1055"/>
      <c r="J11983" s="1055"/>
      <c r="K11983" s="1205"/>
      <c r="L11983" s="1055"/>
      <c r="M11983" s="1205"/>
      <c r="N11983" s="1054"/>
      <c r="O11983" s="1207"/>
      <c r="Q11983" s="1207"/>
    </row>
    <row r="11984" spans="3:17" s="700" customFormat="1" ht="70.5" hidden="1" customHeight="1">
      <c r="C11984" s="701"/>
      <c r="D11984" s="811"/>
      <c r="E11984" s="1276">
        <f>[11]building!Y12315</f>
        <v>0</v>
      </c>
      <c r="F11984" s="748">
        <f t="shared" si="426"/>
        <v>0</v>
      </c>
      <c r="G11984" s="1205"/>
      <c r="H11984" s="1055"/>
      <c r="I11984" s="1055"/>
      <c r="J11984" s="1055"/>
      <c r="K11984" s="1205"/>
      <c r="L11984" s="1055"/>
      <c r="M11984" s="1205"/>
      <c r="N11984" s="1054"/>
      <c r="O11984" s="1207"/>
      <c r="Q11984" s="1207"/>
    </row>
    <row r="11985" spans="3:17" s="700" customFormat="1" ht="70.5" hidden="1" customHeight="1">
      <c r="C11985" s="701"/>
      <c r="D11985" s="811"/>
      <c r="E11985" s="1276">
        <f>[11]building!Y12316</f>
        <v>0</v>
      </c>
      <c r="F11985" s="748">
        <f t="shared" si="426"/>
        <v>0</v>
      </c>
      <c r="G11985" s="1205"/>
      <c r="H11985" s="1055"/>
      <c r="I11985" s="1055"/>
      <c r="J11985" s="1055"/>
      <c r="K11985" s="1205"/>
      <c r="L11985" s="1055"/>
      <c r="M11985" s="1205"/>
      <c r="N11985" s="1054"/>
      <c r="O11985" s="1207"/>
      <c r="Q11985" s="1207"/>
    </row>
    <row r="11986" spans="3:17" s="700" customFormat="1" ht="70.5" hidden="1" customHeight="1">
      <c r="C11986" s="701"/>
      <c r="D11986" s="811"/>
      <c r="E11986" s="1276">
        <f>[11]building!Y12317</f>
        <v>0</v>
      </c>
      <c r="F11986" s="748">
        <f t="shared" si="426"/>
        <v>0</v>
      </c>
      <c r="G11986" s="1205"/>
      <c r="H11986" s="1055"/>
      <c r="I11986" s="1055"/>
      <c r="J11986" s="1055"/>
      <c r="K11986" s="1205"/>
      <c r="L11986" s="1055"/>
      <c r="M11986" s="1205"/>
      <c r="N11986" s="1054"/>
      <c r="O11986" s="1207"/>
      <c r="Q11986" s="1207"/>
    </row>
    <row r="11987" spans="3:17" s="700" customFormat="1" ht="70.5" hidden="1" customHeight="1">
      <c r="C11987" s="701"/>
      <c r="D11987" s="811"/>
      <c r="E11987" s="1276">
        <f>[11]building!Y12318</f>
        <v>0</v>
      </c>
      <c r="F11987" s="748">
        <f t="shared" si="426"/>
        <v>0</v>
      </c>
      <c r="G11987" s="1205"/>
      <c r="H11987" s="1055"/>
      <c r="I11987" s="1055"/>
      <c r="J11987" s="1055"/>
      <c r="K11987" s="1205"/>
      <c r="L11987" s="1055"/>
      <c r="M11987" s="1205"/>
      <c r="N11987" s="1054"/>
      <c r="O11987" s="1207"/>
      <c r="Q11987" s="1207"/>
    </row>
    <row r="11988" spans="3:17" s="700" customFormat="1" ht="70.5" hidden="1" customHeight="1">
      <c r="C11988" s="701"/>
      <c r="D11988" s="811"/>
      <c r="E11988" s="1276">
        <f>[11]building!Y12319</f>
        <v>0</v>
      </c>
      <c r="F11988" s="748">
        <f t="shared" si="426"/>
        <v>0</v>
      </c>
      <c r="G11988" s="1205"/>
      <c r="H11988" s="1055"/>
      <c r="I11988" s="1055"/>
      <c r="J11988" s="1055"/>
      <c r="K11988" s="1205"/>
      <c r="L11988" s="1055"/>
      <c r="M11988" s="1205"/>
      <c r="N11988" s="1054"/>
      <c r="O11988" s="1207"/>
      <c r="Q11988" s="1207"/>
    </row>
    <row r="11989" spans="3:17" s="700" customFormat="1" ht="70.5" hidden="1" customHeight="1">
      <c r="C11989" s="701"/>
      <c r="D11989" s="811"/>
      <c r="E11989" s="1276">
        <f>[11]building!Y12320</f>
        <v>0</v>
      </c>
      <c r="F11989" s="748">
        <f t="shared" si="426"/>
        <v>0</v>
      </c>
      <c r="G11989" s="1205"/>
      <c r="H11989" s="1055"/>
      <c r="I11989" s="1055"/>
      <c r="J11989" s="1055"/>
      <c r="K11989" s="1205"/>
      <c r="L11989" s="1055"/>
      <c r="M11989" s="1205"/>
      <c r="N11989" s="1054"/>
      <c r="O11989" s="1207"/>
      <c r="Q11989" s="1207"/>
    </row>
    <row r="11990" spans="3:17" s="700" customFormat="1" ht="70.5" hidden="1" customHeight="1">
      <c r="C11990" s="701"/>
      <c r="D11990" s="811"/>
      <c r="E11990" s="1276">
        <f>[11]building!Y12321</f>
        <v>0</v>
      </c>
      <c r="F11990" s="748">
        <f t="shared" si="426"/>
        <v>0</v>
      </c>
      <c r="G11990" s="1205"/>
      <c r="H11990" s="1055"/>
      <c r="I11990" s="1055"/>
      <c r="J11990" s="1055"/>
      <c r="K11990" s="1205"/>
      <c r="L11990" s="1055"/>
      <c r="M11990" s="1205"/>
      <c r="N11990" s="1054"/>
      <c r="O11990" s="1207"/>
      <c r="Q11990" s="1207"/>
    </row>
    <row r="11991" spans="3:17" s="700" customFormat="1" ht="70.5" hidden="1" customHeight="1">
      <c r="C11991" s="701"/>
      <c r="D11991" s="811"/>
      <c r="E11991" s="1276">
        <f>[11]building!Y12322</f>
        <v>0</v>
      </c>
      <c r="F11991" s="748">
        <f t="shared" si="426"/>
        <v>0</v>
      </c>
      <c r="G11991" s="1205"/>
      <c r="H11991" s="1055"/>
      <c r="I11991" s="1055"/>
      <c r="J11991" s="1055"/>
      <c r="K11991" s="1205"/>
      <c r="L11991" s="1055"/>
      <c r="M11991" s="1205"/>
      <c r="N11991" s="1054"/>
      <c r="O11991" s="1207"/>
      <c r="Q11991" s="1207"/>
    </row>
    <row r="11992" spans="3:17" s="700" customFormat="1" ht="70.5" hidden="1" customHeight="1">
      <c r="C11992" s="701"/>
      <c r="D11992" s="811"/>
      <c r="E11992" s="1276">
        <f>[11]building!Y12323</f>
        <v>0</v>
      </c>
      <c r="F11992" s="748">
        <f t="shared" si="426"/>
        <v>0</v>
      </c>
      <c r="G11992" s="1205"/>
      <c r="H11992" s="1055"/>
      <c r="I11992" s="1055"/>
      <c r="J11992" s="1055"/>
      <c r="K11992" s="1205"/>
      <c r="L11992" s="1055"/>
      <c r="M11992" s="1205"/>
      <c r="N11992" s="1054"/>
      <c r="O11992" s="1207"/>
      <c r="Q11992" s="1207"/>
    </row>
    <row r="11993" spans="3:17" s="700" customFormat="1" ht="70.5" hidden="1" customHeight="1">
      <c r="C11993" s="701"/>
      <c r="D11993" s="811"/>
      <c r="E11993" s="1276">
        <f>[11]building!Y12324</f>
        <v>0</v>
      </c>
      <c r="F11993" s="748">
        <f t="shared" si="426"/>
        <v>0</v>
      </c>
      <c r="G11993" s="1205"/>
      <c r="H11993" s="1055"/>
      <c r="I11993" s="1055"/>
      <c r="J11993" s="1055"/>
      <c r="K11993" s="1205"/>
      <c r="L11993" s="1055"/>
      <c r="M11993" s="1205"/>
      <c r="N11993" s="1054"/>
      <c r="O11993" s="1207"/>
      <c r="Q11993" s="1207"/>
    </row>
    <row r="11994" spans="3:17" s="700" customFormat="1" ht="70.5" hidden="1" customHeight="1">
      <c r="C11994" s="701"/>
      <c r="D11994" s="811"/>
      <c r="E11994" s="1276">
        <f>[11]building!Y12325</f>
        <v>0</v>
      </c>
      <c r="F11994" s="748">
        <f t="shared" si="426"/>
        <v>0</v>
      </c>
      <c r="G11994" s="1205"/>
      <c r="H11994" s="1055"/>
      <c r="I11994" s="1055"/>
      <c r="J11994" s="1055"/>
      <c r="K11994" s="1205"/>
      <c r="L11994" s="1055"/>
      <c r="M11994" s="1205"/>
      <c r="N11994" s="1054"/>
      <c r="O11994" s="1207"/>
      <c r="Q11994" s="1207"/>
    </row>
    <row r="11995" spans="3:17" s="700" customFormat="1" ht="70.5" hidden="1" customHeight="1">
      <c r="C11995" s="701"/>
      <c r="D11995" s="811"/>
      <c r="E11995" s="1276">
        <f>[11]building!Y12326</f>
        <v>0</v>
      </c>
      <c r="F11995" s="748">
        <f t="shared" si="426"/>
        <v>0</v>
      </c>
      <c r="G11995" s="1205"/>
      <c r="H11995" s="1055"/>
      <c r="I11995" s="1055"/>
      <c r="J11995" s="1055"/>
      <c r="K11995" s="1205"/>
      <c r="L11995" s="1055"/>
      <c r="M11995" s="1205"/>
      <c r="N11995" s="1054"/>
      <c r="O11995" s="1207"/>
      <c r="Q11995" s="1207"/>
    </row>
    <row r="11996" spans="3:17" s="700" customFormat="1" ht="70.5" hidden="1" customHeight="1">
      <c r="C11996" s="701"/>
      <c r="D11996" s="811"/>
      <c r="E11996" s="1276">
        <f>[11]building!Y12327</f>
        <v>0</v>
      </c>
      <c r="F11996" s="748">
        <f t="shared" si="426"/>
        <v>0</v>
      </c>
      <c r="G11996" s="1205"/>
      <c r="H11996" s="1055"/>
      <c r="I11996" s="1055"/>
      <c r="J11996" s="1055"/>
      <c r="K11996" s="1205"/>
      <c r="L11996" s="1055"/>
      <c r="M11996" s="1205"/>
      <c r="N11996" s="1054"/>
      <c r="O11996" s="1207"/>
      <c r="Q11996" s="1207"/>
    </row>
    <row r="11997" spans="3:17" s="700" customFormat="1" ht="70.5" hidden="1" customHeight="1">
      <c r="C11997" s="701"/>
      <c r="D11997" s="811"/>
      <c r="E11997" s="1276">
        <f>[11]building!Y12328</f>
        <v>0</v>
      </c>
      <c r="F11997" s="748">
        <f t="shared" si="426"/>
        <v>0</v>
      </c>
      <c r="G11997" s="1205"/>
      <c r="H11997" s="1055"/>
      <c r="I11997" s="1055"/>
      <c r="J11997" s="1055"/>
      <c r="K11997" s="1205"/>
      <c r="L11997" s="1055"/>
      <c r="M11997" s="1205"/>
      <c r="N11997" s="1054"/>
      <c r="O11997" s="1207"/>
      <c r="Q11997" s="1207"/>
    </row>
    <row r="11998" spans="3:17" s="700" customFormat="1" ht="70.5" hidden="1" customHeight="1">
      <c r="C11998" s="701"/>
      <c r="D11998" s="811"/>
      <c r="E11998" s="1276">
        <f>[11]building!Y12329</f>
        <v>0</v>
      </c>
      <c r="F11998" s="748">
        <f t="shared" si="426"/>
        <v>0</v>
      </c>
      <c r="G11998" s="1205"/>
      <c r="H11998" s="1055"/>
      <c r="I11998" s="1055"/>
      <c r="J11998" s="1055"/>
      <c r="K11998" s="1205"/>
      <c r="L11998" s="1055"/>
      <c r="M11998" s="1205"/>
      <c r="N11998" s="1054"/>
      <c r="O11998" s="1207"/>
      <c r="Q11998" s="1207"/>
    </row>
    <row r="11999" spans="3:17" s="700" customFormat="1" ht="70.5" hidden="1" customHeight="1">
      <c r="C11999" s="701"/>
      <c r="D11999" s="811"/>
      <c r="E11999" s="1276">
        <f>[11]building!Y12330</f>
        <v>0</v>
      </c>
      <c r="F11999" s="748">
        <f t="shared" si="426"/>
        <v>0</v>
      </c>
      <c r="G11999" s="1205"/>
      <c r="H11999" s="1055"/>
      <c r="I11999" s="1055"/>
      <c r="J11999" s="1055"/>
      <c r="K11999" s="1205"/>
      <c r="L11999" s="1055"/>
      <c r="M11999" s="1205"/>
      <c r="N11999" s="1054"/>
      <c r="O11999" s="1207"/>
      <c r="Q11999" s="1207"/>
    </row>
    <row r="12000" spans="3:17" s="700" customFormat="1" ht="70.5" hidden="1" customHeight="1">
      <c r="C12000" s="701"/>
      <c r="D12000" s="811"/>
      <c r="E12000" s="1276">
        <f>[11]building!Y12331</f>
        <v>0</v>
      </c>
      <c r="F12000" s="748">
        <f t="shared" si="426"/>
        <v>0</v>
      </c>
      <c r="G12000" s="1205"/>
      <c r="H12000" s="1055"/>
      <c r="I12000" s="1055"/>
      <c r="J12000" s="1055"/>
      <c r="K12000" s="1205"/>
      <c r="L12000" s="1055"/>
      <c r="M12000" s="1205"/>
      <c r="N12000" s="1054"/>
      <c r="O12000" s="1207"/>
      <c r="Q12000" s="1207"/>
    </row>
    <row r="12001" spans="3:17" s="700" customFormat="1" ht="70.5" hidden="1" customHeight="1">
      <c r="C12001" s="701"/>
      <c r="D12001" s="811"/>
      <c r="E12001" s="1276">
        <f>[11]building!Y12332</f>
        <v>0</v>
      </c>
      <c r="F12001" s="748">
        <f t="shared" si="426"/>
        <v>0</v>
      </c>
      <c r="G12001" s="1205"/>
      <c r="H12001" s="1055"/>
      <c r="I12001" s="1055"/>
      <c r="J12001" s="1055"/>
      <c r="K12001" s="1205"/>
      <c r="L12001" s="1055"/>
      <c r="M12001" s="1205"/>
      <c r="N12001" s="1054"/>
      <c r="O12001" s="1207"/>
      <c r="Q12001" s="1207"/>
    </row>
    <row r="12002" spans="3:17" s="700" customFormat="1" ht="70.5" hidden="1" customHeight="1">
      <c r="C12002" s="701"/>
      <c r="D12002" s="811"/>
      <c r="E12002" s="1276">
        <f>[11]building!Y12333</f>
        <v>0</v>
      </c>
      <c r="F12002" s="748">
        <f t="shared" si="426"/>
        <v>0</v>
      </c>
      <c r="G12002" s="1205"/>
      <c r="H12002" s="1055"/>
      <c r="I12002" s="1055"/>
      <c r="J12002" s="1055"/>
      <c r="K12002" s="1205"/>
      <c r="L12002" s="1055"/>
      <c r="M12002" s="1205"/>
      <c r="N12002" s="1054"/>
      <c r="O12002" s="1207"/>
      <c r="Q12002" s="1207"/>
    </row>
    <row r="12003" spans="3:17" s="700" customFormat="1" ht="70.5" hidden="1" customHeight="1">
      <c r="C12003" s="701"/>
      <c r="D12003" s="811"/>
      <c r="E12003" s="1276">
        <f>[11]building!Y12334</f>
        <v>0</v>
      </c>
      <c r="F12003" s="748">
        <f t="shared" si="426"/>
        <v>0</v>
      </c>
      <c r="G12003" s="1205"/>
      <c r="H12003" s="1055"/>
      <c r="I12003" s="1055"/>
      <c r="J12003" s="1055"/>
      <c r="K12003" s="1205"/>
      <c r="L12003" s="1055"/>
      <c r="M12003" s="1205"/>
      <c r="N12003" s="1054"/>
      <c r="O12003" s="1207"/>
      <c r="Q12003" s="1207"/>
    </row>
    <row r="12004" spans="3:17" s="700" customFormat="1" ht="70.5" hidden="1" customHeight="1">
      <c r="C12004" s="701"/>
      <c r="D12004" s="811"/>
      <c r="E12004" s="1276">
        <f>[11]building!Y12335</f>
        <v>0</v>
      </c>
      <c r="F12004" s="748">
        <f t="shared" si="426"/>
        <v>0</v>
      </c>
      <c r="G12004" s="1205"/>
      <c r="H12004" s="1055"/>
      <c r="I12004" s="1055"/>
      <c r="J12004" s="1055"/>
      <c r="K12004" s="1205"/>
      <c r="L12004" s="1055"/>
      <c r="M12004" s="1205"/>
      <c r="N12004" s="1054"/>
      <c r="O12004" s="1207"/>
      <c r="Q12004" s="1207"/>
    </row>
    <row r="12005" spans="3:17" s="700" customFormat="1" ht="70.5" hidden="1" customHeight="1">
      <c r="C12005" s="701"/>
      <c r="D12005" s="811"/>
      <c r="E12005" s="1276">
        <f>[11]building!Y12336</f>
        <v>0</v>
      </c>
      <c r="F12005" s="748">
        <f t="shared" si="426"/>
        <v>0</v>
      </c>
      <c r="G12005" s="1205"/>
      <c r="H12005" s="1055"/>
      <c r="I12005" s="1055"/>
      <c r="J12005" s="1055"/>
      <c r="K12005" s="1205"/>
      <c r="L12005" s="1055"/>
      <c r="M12005" s="1205"/>
      <c r="N12005" s="1054"/>
      <c r="O12005" s="1207"/>
      <c r="Q12005" s="1207"/>
    </row>
    <row r="12006" spans="3:17" s="700" customFormat="1" ht="70.5" hidden="1" customHeight="1">
      <c r="C12006" s="701"/>
      <c r="D12006" s="811"/>
      <c r="E12006" s="1276">
        <f>[11]building!Y12337</f>
        <v>0</v>
      </c>
      <c r="F12006" s="748">
        <f t="shared" si="426"/>
        <v>0</v>
      </c>
      <c r="G12006" s="1205"/>
      <c r="H12006" s="1055"/>
      <c r="I12006" s="1055"/>
      <c r="J12006" s="1055"/>
      <c r="K12006" s="1205"/>
      <c r="L12006" s="1055"/>
      <c r="M12006" s="1205"/>
      <c r="N12006" s="1054"/>
      <c r="O12006" s="1207"/>
      <c r="Q12006" s="1207"/>
    </row>
    <row r="12007" spans="3:17" s="700" customFormat="1" ht="70.5" hidden="1" customHeight="1">
      <c r="C12007" s="701"/>
      <c r="D12007" s="811"/>
      <c r="E12007" s="1276">
        <f>[11]building!Y12338</f>
        <v>0</v>
      </c>
      <c r="F12007" s="748">
        <f t="shared" si="426"/>
        <v>0</v>
      </c>
      <c r="G12007" s="1205"/>
      <c r="H12007" s="1055"/>
      <c r="I12007" s="1055"/>
      <c r="J12007" s="1055"/>
      <c r="K12007" s="1205"/>
      <c r="L12007" s="1055"/>
      <c r="M12007" s="1205"/>
      <c r="N12007" s="1054"/>
      <c r="O12007" s="1207"/>
      <c r="Q12007" s="1207"/>
    </row>
    <row r="12008" spans="3:17" s="700" customFormat="1" ht="70.5" hidden="1" customHeight="1">
      <c r="C12008" s="701"/>
      <c r="D12008" s="811"/>
      <c r="E12008" s="1276">
        <f>[11]building!Y12339</f>
        <v>0</v>
      </c>
      <c r="F12008" s="748">
        <f t="shared" si="426"/>
        <v>0</v>
      </c>
      <c r="G12008" s="1205"/>
      <c r="H12008" s="1055"/>
      <c r="I12008" s="1055"/>
      <c r="J12008" s="1055"/>
      <c r="K12008" s="1205"/>
      <c r="L12008" s="1055"/>
      <c r="M12008" s="1205"/>
      <c r="N12008" s="1054"/>
      <c r="O12008" s="1207"/>
      <c r="Q12008" s="1207"/>
    </row>
    <row r="12009" spans="3:17" s="700" customFormat="1" ht="70.5" hidden="1" customHeight="1">
      <c r="C12009" s="701"/>
      <c r="D12009" s="811"/>
      <c r="E12009" s="1276">
        <f>[11]building!Y12340</f>
        <v>0</v>
      </c>
      <c r="F12009" s="748">
        <f t="shared" si="426"/>
        <v>0</v>
      </c>
      <c r="G12009" s="1205"/>
      <c r="H12009" s="1055"/>
      <c r="I12009" s="1055"/>
      <c r="J12009" s="1055"/>
      <c r="K12009" s="1205"/>
      <c r="L12009" s="1055"/>
      <c r="M12009" s="1205"/>
      <c r="N12009" s="1054"/>
      <c r="O12009" s="1207"/>
      <c r="Q12009" s="1207"/>
    </row>
    <row r="12010" spans="3:17" s="700" customFormat="1" ht="70.5" hidden="1" customHeight="1">
      <c r="C12010" s="701"/>
      <c r="D12010" s="811"/>
      <c r="E12010" s="1276">
        <f>[11]building!Y12341</f>
        <v>0</v>
      </c>
      <c r="F12010" s="748">
        <f t="shared" si="426"/>
        <v>0</v>
      </c>
      <c r="G12010" s="1205"/>
      <c r="H12010" s="1055"/>
      <c r="I12010" s="1055"/>
      <c r="J12010" s="1055"/>
      <c r="K12010" s="1205"/>
      <c r="L12010" s="1055"/>
      <c r="M12010" s="1205"/>
      <c r="N12010" s="1054"/>
      <c r="O12010" s="1207"/>
      <c r="Q12010" s="1207"/>
    </row>
    <row r="12011" spans="3:17" s="700" customFormat="1" ht="70.5" hidden="1" customHeight="1">
      <c r="C12011" s="701"/>
      <c r="D12011" s="811"/>
      <c r="E12011" s="1276">
        <f>[11]building!Y12342</f>
        <v>0</v>
      </c>
      <c r="F12011" s="748">
        <f t="shared" si="426"/>
        <v>0</v>
      </c>
      <c r="G12011" s="1205"/>
      <c r="H12011" s="1055"/>
      <c r="I12011" s="1055"/>
      <c r="J12011" s="1055"/>
      <c r="K12011" s="1205"/>
      <c r="L12011" s="1055"/>
      <c r="M12011" s="1205"/>
      <c r="N12011" s="1054"/>
      <c r="O12011" s="1207"/>
      <c r="Q12011" s="1207"/>
    </row>
    <row r="12012" spans="3:17" s="700" customFormat="1" ht="70.5" hidden="1" customHeight="1">
      <c r="C12012" s="701"/>
      <c r="D12012" s="811"/>
      <c r="E12012" s="1276">
        <f>[11]building!Y12343</f>
        <v>0</v>
      </c>
      <c r="F12012" s="748">
        <f t="shared" si="426"/>
        <v>0</v>
      </c>
      <c r="G12012" s="1205"/>
      <c r="H12012" s="1055"/>
      <c r="I12012" s="1055"/>
      <c r="J12012" s="1055"/>
      <c r="K12012" s="1205"/>
      <c r="L12012" s="1055"/>
      <c r="M12012" s="1205"/>
      <c r="N12012" s="1054"/>
      <c r="O12012" s="1207"/>
      <c r="Q12012" s="1207"/>
    </row>
    <row r="12013" spans="3:17" s="700" customFormat="1" ht="70.5" hidden="1" customHeight="1">
      <c r="C12013" s="701"/>
      <c r="D12013" s="811"/>
      <c r="E12013" s="1276">
        <f>[11]building!Y12344</f>
        <v>0</v>
      </c>
      <c r="F12013" s="748">
        <f t="shared" si="426"/>
        <v>0</v>
      </c>
      <c r="G12013" s="1205"/>
      <c r="H12013" s="1055"/>
      <c r="I12013" s="1055"/>
      <c r="J12013" s="1055"/>
      <c r="K12013" s="1205"/>
      <c r="L12013" s="1055"/>
      <c r="M12013" s="1205"/>
      <c r="N12013" s="1054"/>
      <c r="O12013" s="1207"/>
      <c r="Q12013" s="1207"/>
    </row>
    <row r="12014" spans="3:17" s="700" customFormat="1" ht="70.5" hidden="1" customHeight="1">
      <c r="C12014" s="701"/>
      <c r="D12014" s="811"/>
      <c r="E12014" s="1276">
        <f>[11]building!Y12345</f>
        <v>0</v>
      </c>
      <c r="F12014" s="748">
        <f t="shared" si="426"/>
        <v>0</v>
      </c>
      <c r="G12014" s="1205"/>
      <c r="H12014" s="1055"/>
      <c r="I12014" s="1055"/>
      <c r="J12014" s="1055"/>
      <c r="K12014" s="1205"/>
      <c r="L12014" s="1055"/>
      <c r="M12014" s="1205"/>
      <c r="N12014" s="1054"/>
      <c r="O12014" s="1207"/>
      <c r="Q12014" s="1207"/>
    </row>
    <row r="12015" spans="3:17" s="700" customFormat="1" ht="70.5" hidden="1" customHeight="1">
      <c r="C12015" s="701"/>
      <c r="D12015" s="811"/>
      <c r="E12015" s="1276">
        <f>[11]building!Y12346</f>
        <v>0</v>
      </c>
      <c r="F12015" s="748">
        <f t="shared" si="426"/>
        <v>0</v>
      </c>
      <c r="G12015" s="1205"/>
      <c r="H12015" s="1055"/>
      <c r="I12015" s="1055"/>
      <c r="J12015" s="1055"/>
      <c r="K12015" s="1205"/>
      <c r="L12015" s="1055"/>
      <c r="M12015" s="1205"/>
      <c r="N12015" s="1054"/>
      <c r="O12015" s="1207"/>
      <c r="Q12015" s="1207"/>
    </row>
    <row r="12016" spans="3:17" s="700" customFormat="1" ht="70.5" hidden="1" customHeight="1">
      <c r="C12016" s="701"/>
      <c r="D12016" s="811"/>
      <c r="E12016" s="1276">
        <f>[11]building!Y12347</f>
        <v>0</v>
      </c>
      <c r="F12016" s="748">
        <f t="shared" si="426"/>
        <v>0</v>
      </c>
      <c r="G12016" s="1205"/>
      <c r="H12016" s="1055"/>
      <c r="I12016" s="1055"/>
      <c r="J12016" s="1055"/>
      <c r="K12016" s="1205"/>
      <c r="L12016" s="1055"/>
      <c r="M12016" s="1205"/>
      <c r="N12016" s="1054"/>
      <c r="O12016" s="1207"/>
      <c r="Q12016" s="1207"/>
    </row>
    <row r="12017" spans="3:17" s="700" customFormat="1" ht="70.5" hidden="1" customHeight="1">
      <c r="C12017" s="701"/>
      <c r="D12017" s="811"/>
      <c r="E12017" s="1276">
        <f>[11]building!Y12348</f>
        <v>0</v>
      </c>
      <c r="F12017" s="748">
        <f t="shared" si="426"/>
        <v>0</v>
      </c>
      <c r="G12017" s="1205"/>
      <c r="H12017" s="1055"/>
      <c r="I12017" s="1055"/>
      <c r="J12017" s="1055"/>
      <c r="K12017" s="1205"/>
      <c r="L12017" s="1055"/>
      <c r="M12017" s="1205"/>
      <c r="N12017" s="1054"/>
      <c r="O12017" s="1207"/>
      <c r="Q12017" s="1207"/>
    </row>
    <row r="12018" spans="3:17" s="700" customFormat="1" ht="70.5" hidden="1" customHeight="1">
      <c r="C12018" s="701"/>
      <c r="D12018" s="811"/>
      <c r="E12018" s="1276">
        <f>[11]building!Y12349</f>
        <v>0</v>
      </c>
      <c r="F12018" s="748">
        <f t="shared" si="426"/>
        <v>0</v>
      </c>
      <c r="G12018" s="1205"/>
      <c r="H12018" s="1055"/>
      <c r="I12018" s="1055"/>
      <c r="J12018" s="1055"/>
      <c r="K12018" s="1205"/>
      <c r="L12018" s="1055"/>
      <c r="M12018" s="1205"/>
      <c r="N12018" s="1054"/>
      <c r="O12018" s="1207"/>
      <c r="Q12018" s="1207"/>
    </row>
    <row r="12019" spans="3:17" s="700" customFormat="1" ht="70.5" hidden="1" customHeight="1">
      <c r="C12019" s="701"/>
      <c r="D12019" s="811"/>
      <c r="E12019" s="1276">
        <f>[11]building!Y12350</f>
        <v>0</v>
      </c>
      <c r="F12019" s="748">
        <f t="shared" si="426"/>
        <v>0</v>
      </c>
      <c r="G12019" s="1205"/>
      <c r="H12019" s="1055"/>
      <c r="I12019" s="1055"/>
      <c r="J12019" s="1055"/>
      <c r="K12019" s="1205"/>
      <c r="L12019" s="1055"/>
      <c r="M12019" s="1205"/>
      <c r="N12019" s="1054"/>
      <c r="O12019" s="1207"/>
      <c r="Q12019" s="1207"/>
    </row>
    <row r="12020" spans="3:17" s="700" customFormat="1" ht="70.5" hidden="1" customHeight="1">
      <c r="C12020" s="701"/>
      <c r="D12020" s="811"/>
      <c r="E12020" s="1276">
        <f>[11]building!Y12351</f>
        <v>0</v>
      </c>
      <c r="F12020" s="748">
        <f t="shared" si="426"/>
        <v>0</v>
      </c>
      <c r="G12020" s="1205"/>
      <c r="H12020" s="1055"/>
      <c r="I12020" s="1055"/>
      <c r="J12020" s="1055"/>
      <c r="K12020" s="1205"/>
      <c r="L12020" s="1055"/>
      <c r="M12020" s="1205"/>
      <c r="N12020" s="1054"/>
      <c r="O12020" s="1207"/>
      <c r="Q12020" s="1207"/>
    </row>
    <row r="12021" spans="3:17" s="700" customFormat="1" ht="70.5" hidden="1" customHeight="1">
      <c r="C12021" s="701"/>
      <c r="D12021" s="811"/>
      <c r="E12021" s="1276">
        <f>[11]building!Y12352</f>
        <v>0</v>
      </c>
      <c r="F12021" s="748">
        <f t="shared" si="426"/>
        <v>0</v>
      </c>
      <c r="G12021" s="1205"/>
      <c r="H12021" s="1055"/>
      <c r="I12021" s="1055"/>
      <c r="J12021" s="1055"/>
      <c r="K12021" s="1205"/>
      <c r="L12021" s="1055"/>
      <c r="M12021" s="1205"/>
      <c r="N12021" s="1054"/>
      <c r="O12021" s="1207"/>
      <c r="Q12021" s="1207"/>
    </row>
    <row r="12022" spans="3:17" s="700" customFormat="1" ht="70.5" hidden="1" customHeight="1">
      <c r="C12022" s="701"/>
      <c r="D12022" s="811"/>
      <c r="E12022" s="1276">
        <f>[11]building!Y12353</f>
        <v>0</v>
      </c>
      <c r="F12022" s="748">
        <f t="shared" si="426"/>
        <v>0</v>
      </c>
      <c r="G12022" s="1205"/>
      <c r="H12022" s="1055"/>
      <c r="I12022" s="1055"/>
      <c r="J12022" s="1055"/>
      <c r="K12022" s="1205"/>
      <c r="L12022" s="1055"/>
      <c r="M12022" s="1205"/>
      <c r="N12022" s="1054"/>
      <c r="O12022" s="1207"/>
      <c r="Q12022" s="1207"/>
    </row>
    <row r="12023" spans="3:17" s="700" customFormat="1" ht="70.5" hidden="1" customHeight="1">
      <c r="C12023" s="701"/>
      <c r="D12023" s="811"/>
      <c r="E12023" s="1276">
        <f>[11]building!Y12354</f>
        <v>0</v>
      </c>
      <c r="F12023" s="748">
        <f t="shared" si="426"/>
        <v>0</v>
      </c>
      <c r="G12023" s="1205"/>
      <c r="H12023" s="1055"/>
      <c r="I12023" s="1055"/>
      <c r="J12023" s="1055"/>
      <c r="K12023" s="1205"/>
      <c r="L12023" s="1055"/>
      <c r="M12023" s="1205"/>
      <c r="N12023" s="1054"/>
      <c r="O12023" s="1207"/>
      <c r="Q12023" s="1207"/>
    </row>
    <row r="12024" spans="3:17" s="700" customFormat="1" ht="70.5" hidden="1" customHeight="1">
      <c r="C12024" s="701"/>
      <c r="D12024" s="811"/>
      <c r="E12024" s="1276">
        <f>[11]building!Y12355</f>
        <v>0</v>
      </c>
      <c r="F12024" s="748">
        <f t="shared" si="426"/>
        <v>0</v>
      </c>
      <c r="G12024" s="1205"/>
      <c r="H12024" s="1055"/>
      <c r="I12024" s="1055"/>
      <c r="J12024" s="1055"/>
      <c r="K12024" s="1205"/>
      <c r="L12024" s="1055"/>
      <c r="M12024" s="1205"/>
      <c r="N12024" s="1054"/>
      <c r="O12024" s="1207"/>
      <c r="Q12024" s="1207"/>
    </row>
    <row r="12025" spans="3:17" s="700" customFormat="1" ht="70.5" hidden="1" customHeight="1">
      <c r="C12025" s="701"/>
      <c r="D12025" s="811"/>
      <c r="E12025" s="1276">
        <f>[11]building!Y12356</f>
        <v>0</v>
      </c>
      <c r="F12025" s="748">
        <f t="shared" si="426"/>
        <v>0</v>
      </c>
      <c r="G12025" s="1205"/>
      <c r="H12025" s="1055"/>
      <c r="I12025" s="1055"/>
      <c r="J12025" s="1055"/>
      <c r="K12025" s="1205"/>
      <c r="L12025" s="1055"/>
      <c r="M12025" s="1205"/>
      <c r="N12025" s="1054"/>
      <c r="O12025" s="1207"/>
      <c r="Q12025" s="1207"/>
    </row>
    <row r="12026" spans="3:17" s="700" customFormat="1" ht="70.5" hidden="1" customHeight="1">
      <c r="C12026" s="701"/>
      <c r="D12026" s="811"/>
      <c r="E12026" s="1276">
        <f>[11]building!Y12357</f>
        <v>0</v>
      </c>
      <c r="F12026" s="748">
        <f t="shared" si="426"/>
        <v>0</v>
      </c>
      <c r="G12026" s="1205"/>
      <c r="H12026" s="1055"/>
      <c r="I12026" s="1055"/>
      <c r="J12026" s="1055"/>
      <c r="K12026" s="1205"/>
      <c r="L12026" s="1055"/>
      <c r="M12026" s="1205"/>
      <c r="N12026" s="1054"/>
      <c r="O12026" s="1207"/>
      <c r="Q12026" s="1207"/>
    </row>
    <row r="12027" spans="3:17" s="700" customFormat="1" ht="70.5" hidden="1" customHeight="1">
      <c r="C12027" s="701"/>
      <c r="D12027" s="811"/>
      <c r="E12027" s="1276">
        <f>[11]building!Y12358</f>
        <v>0</v>
      </c>
      <c r="F12027" s="748">
        <f t="shared" si="426"/>
        <v>0</v>
      </c>
      <c r="G12027" s="1205"/>
      <c r="H12027" s="1055"/>
      <c r="I12027" s="1055"/>
      <c r="J12027" s="1055"/>
      <c r="K12027" s="1205"/>
      <c r="L12027" s="1055"/>
      <c r="M12027" s="1205"/>
      <c r="N12027" s="1054"/>
      <c r="O12027" s="1207"/>
      <c r="Q12027" s="1207"/>
    </row>
    <row r="12028" spans="3:17" s="700" customFormat="1" ht="70.5" hidden="1" customHeight="1">
      <c r="C12028" s="701"/>
      <c r="D12028" s="811"/>
      <c r="E12028" s="1276">
        <f>[11]building!Y12359</f>
        <v>0</v>
      </c>
      <c r="F12028" s="748">
        <f t="shared" si="426"/>
        <v>0</v>
      </c>
      <c r="G12028" s="1205"/>
      <c r="H12028" s="1055"/>
      <c r="I12028" s="1055"/>
      <c r="J12028" s="1055"/>
      <c r="K12028" s="1205"/>
      <c r="L12028" s="1055"/>
      <c r="M12028" s="1205"/>
      <c r="N12028" s="1054"/>
      <c r="O12028" s="1207"/>
      <c r="Q12028" s="1207"/>
    </row>
    <row r="12029" spans="3:17" s="700" customFormat="1" ht="70.5" hidden="1" customHeight="1">
      <c r="C12029" s="701"/>
      <c r="D12029" s="811"/>
      <c r="E12029" s="1276">
        <f>[11]building!Y12360</f>
        <v>0</v>
      </c>
      <c r="F12029" s="748">
        <f t="shared" si="426"/>
        <v>0</v>
      </c>
      <c r="G12029" s="1205"/>
      <c r="H12029" s="1055"/>
      <c r="I12029" s="1055"/>
      <c r="J12029" s="1055"/>
      <c r="K12029" s="1205"/>
      <c r="L12029" s="1055"/>
      <c r="M12029" s="1205"/>
      <c r="N12029" s="1054"/>
      <c r="O12029" s="1207"/>
      <c r="Q12029" s="1207"/>
    </row>
    <row r="12030" spans="3:17" s="700" customFormat="1" ht="70.5" hidden="1" customHeight="1">
      <c r="C12030" s="701"/>
      <c r="D12030" s="811"/>
      <c r="E12030" s="1276">
        <f>[11]building!Y12361</f>
        <v>0</v>
      </c>
      <c r="F12030" s="748">
        <f t="shared" si="426"/>
        <v>0</v>
      </c>
      <c r="G12030" s="1205"/>
      <c r="H12030" s="1055"/>
      <c r="I12030" s="1055"/>
      <c r="J12030" s="1055"/>
      <c r="K12030" s="1205"/>
      <c r="L12030" s="1055"/>
      <c r="M12030" s="1205"/>
      <c r="N12030" s="1054"/>
      <c r="O12030" s="1207"/>
      <c r="Q12030" s="1207"/>
    </row>
    <row r="12031" spans="3:17" s="700" customFormat="1" ht="70.5" hidden="1" customHeight="1">
      <c r="C12031" s="701"/>
      <c r="D12031" s="811"/>
      <c r="E12031" s="1276">
        <f>[11]building!Y12362</f>
        <v>0</v>
      </c>
      <c r="F12031" s="748">
        <f t="shared" si="426"/>
        <v>0</v>
      </c>
      <c r="G12031" s="1205"/>
      <c r="H12031" s="1055"/>
      <c r="I12031" s="1055"/>
      <c r="J12031" s="1055"/>
      <c r="K12031" s="1205"/>
      <c r="L12031" s="1055"/>
      <c r="M12031" s="1205"/>
      <c r="N12031" s="1054"/>
      <c r="O12031" s="1207"/>
      <c r="Q12031" s="1207"/>
    </row>
    <row r="12032" spans="3:17" s="700" customFormat="1" ht="70.5" hidden="1" customHeight="1">
      <c r="C12032" s="701"/>
      <c r="D12032" s="811"/>
      <c r="E12032" s="1276">
        <f>[11]building!Y12363</f>
        <v>0</v>
      </c>
      <c r="F12032" s="748">
        <f t="shared" ref="F12032:F12095" si="427">E12032*C12032</f>
        <v>0</v>
      </c>
      <c r="G12032" s="1205"/>
      <c r="H12032" s="1055"/>
      <c r="I12032" s="1055"/>
      <c r="J12032" s="1055"/>
      <c r="K12032" s="1205"/>
      <c r="L12032" s="1055"/>
      <c r="M12032" s="1205"/>
      <c r="N12032" s="1054"/>
      <c r="O12032" s="1207"/>
      <c r="Q12032" s="1207"/>
    </row>
    <row r="12033" spans="3:17" s="700" customFormat="1" ht="70.5" hidden="1" customHeight="1">
      <c r="C12033" s="701"/>
      <c r="D12033" s="811"/>
      <c r="E12033" s="1276">
        <f>[11]building!Y12364</f>
        <v>0</v>
      </c>
      <c r="F12033" s="748">
        <f t="shared" si="427"/>
        <v>0</v>
      </c>
      <c r="G12033" s="1205"/>
      <c r="H12033" s="1055"/>
      <c r="I12033" s="1055"/>
      <c r="J12033" s="1055"/>
      <c r="K12033" s="1205"/>
      <c r="L12033" s="1055"/>
      <c r="M12033" s="1205"/>
      <c r="N12033" s="1054"/>
      <c r="O12033" s="1207"/>
      <c r="Q12033" s="1207"/>
    </row>
    <row r="12034" spans="3:17" s="700" customFormat="1" ht="70.5" hidden="1" customHeight="1">
      <c r="C12034" s="701"/>
      <c r="D12034" s="811"/>
      <c r="E12034" s="1276">
        <f>[11]building!Y12365</f>
        <v>0</v>
      </c>
      <c r="F12034" s="748">
        <f t="shared" si="427"/>
        <v>0</v>
      </c>
      <c r="G12034" s="1205"/>
      <c r="H12034" s="1055"/>
      <c r="I12034" s="1055"/>
      <c r="J12034" s="1055"/>
      <c r="K12034" s="1205"/>
      <c r="L12034" s="1055"/>
      <c r="M12034" s="1205"/>
      <c r="N12034" s="1054"/>
      <c r="O12034" s="1207"/>
      <c r="Q12034" s="1207"/>
    </row>
    <row r="12035" spans="3:17" s="700" customFormat="1" ht="70.5" hidden="1" customHeight="1">
      <c r="C12035" s="701"/>
      <c r="D12035" s="811"/>
      <c r="E12035" s="1276">
        <f>[11]building!Y12366</f>
        <v>0</v>
      </c>
      <c r="F12035" s="748">
        <f t="shared" si="427"/>
        <v>0</v>
      </c>
      <c r="G12035" s="1205"/>
      <c r="H12035" s="1055"/>
      <c r="I12035" s="1055"/>
      <c r="J12035" s="1055"/>
      <c r="K12035" s="1205"/>
      <c r="L12035" s="1055"/>
      <c r="M12035" s="1205"/>
      <c r="N12035" s="1054"/>
      <c r="O12035" s="1207"/>
      <c r="Q12035" s="1207"/>
    </row>
    <row r="12036" spans="3:17" s="700" customFormat="1" ht="70.5" hidden="1" customHeight="1">
      <c r="C12036" s="701"/>
      <c r="D12036" s="811"/>
      <c r="E12036" s="1276">
        <f>[11]building!Y12367</f>
        <v>0</v>
      </c>
      <c r="F12036" s="748">
        <f t="shared" si="427"/>
        <v>0</v>
      </c>
      <c r="G12036" s="1205"/>
      <c r="H12036" s="1055"/>
      <c r="I12036" s="1055"/>
      <c r="J12036" s="1055"/>
      <c r="K12036" s="1205"/>
      <c r="L12036" s="1055"/>
      <c r="M12036" s="1205"/>
      <c r="N12036" s="1054"/>
      <c r="O12036" s="1207"/>
      <c r="Q12036" s="1207"/>
    </row>
    <row r="12037" spans="3:17" s="700" customFormat="1" ht="70.5" hidden="1" customHeight="1">
      <c r="C12037" s="701"/>
      <c r="D12037" s="811"/>
      <c r="E12037" s="1276">
        <f>[11]building!Y12368</f>
        <v>0</v>
      </c>
      <c r="F12037" s="748">
        <f t="shared" si="427"/>
        <v>0</v>
      </c>
      <c r="G12037" s="1205"/>
      <c r="H12037" s="1055"/>
      <c r="I12037" s="1055"/>
      <c r="J12037" s="1055"/>
      <c r="K12037" s="1205"/>
      <c r="L12037" s="1055"/>
      <c r="M12037" s="1205"/>
      <c r="N12037" s="1054"/>
      <c r="O12037" s="1207"/>
      <c r="Q12037" s="1207"/>
    </row>
    <row r="12038" spans="3:17" s="700" customFormat="1" ht="70.5" hidden="1" customHeight="1">
      <c r="C12038" s="701"/>
      <c r="D12038" s="811"/>
      <c r="E12038" s="1276">
        <f>[11]building!Y12369</f>
        <v>0</v>
      </c>
      <c r="F12038" s="748">
        <f t="shared" si="427"/>
        <v>0</v>
      </c>
      <c r="G12038" s="1205"/>
      <c r="H12038" s="1055"/>
      <c r="I12038" s="1055"/>
      <c r="J12038" s="1055"/>
      <c r="K12038" s="1205"/>
      <c r="L12038" s="1055"/>
      <c r="M12038" s="1205"/>
      <c r="N12038" s="1054"/>
      <c r="O12038" s="1207"/>
      <c r="Q12038" s="1207"/>
    </row>
    <row r="12039" spans="3:17" s="700" customFormat="1" ht="70.5" hidden="1" customHeight="1">
      <c r="C12039" s="701"/>
      <c r="D12039" s="811"/>
      <c r="E12039" s="1276">
        <f>[11]building!Y12370</f>
        <v>0</v>
      </c>
      <c r="F12039" s="748">
        <f t="shared" si="427"/>
        <v>0</v>
      </c>
      <c r="G12039" s="1205"/>
      <c r="H12039" s="1055"/>
      <c r="I12039" s="1055"/>
      <c r="J12039" s="1055"/>
      <c r="K12039" s="1205"/>
      <c r="L12039" s="1055"/>
      <c r="M12039" s="1205"/>
      <c r="N12039" s="1054"/>
      <c r="O12039" s="1207"/>
      <c r="Q12039" s="1207"/>
    </row>
    <row r="12040" spans="3:17" s="700" customFormat="1" ht="70.5" hidden="1" customHeight="1">
      <c r="C12040" s="701"/>
      <c r="D12040" s="811"/>
      <c r="E12040" s="1276">
        <f>[11]building!Y12371</f>
        <v>0</v>
      </c>
      <c r="F12040" s="748">
        <f t="shared" si="427"/>
        <v>0</v>
      </c>
      <c r="G12040" s="1205"/>
      <c r="H12040" s="1055"/>
      <c r="I12040" s="1055"/>
      <c r="J12040" s="1055"/>
      <c r="K12040" s="1205"/>
      <c r="L12040" s="1055"/>
      <c r="M12040" s="1205"/>
      <c r="N12040" s="1054"/>
      <c r="O12040" s="1207"/>
      <c r="Q12040" s="1207"/>
    </row>
    <row r="12041" spans="3:17" s="700" customFormat="1" ht="70.5" hidden="1" customHeight="1">
      <c r="C12041" s="701"/>
      <c r="D12041" s="811"/>
      <c r="E12041" s="1276">
        <f>[11]building!Y12372</f>
        <v>0</v>
      </c>
      <c r="F12041" s="748">
        <f t="shared" si="427"/>
        <v>0</v>
      </c>
      <c r="G12041" s="1205"/>
      <c r="H12041" s="1055"/>
      <c r="I12041" s="1055"/>
      <c r="J12041" s="1055"/>
      <c r="K12041" s="1205"/>
      <c r="L12041" s="1055"/>
      <c r="M12041" s="1205"/>
      <c r="N12041" s="1054"/>
      <c r="O12041" s="1207"/>
      <c r="Q12041" s="1207"/>
    </row>
    <row r="12042" spans="3:17" s="700" customFormat="1" ht="70.5" hidden="1" customHeight="1">
      <c r="C12042" s="701"/>
      <c r="D12042" s="811"/>
      <c r="E12042" s="1276">
        <f>[11]building!Y12373</f>
        <v>0</v>
      </c>
      <c r="F12042" s="748">
        <f t="shared" si="427"/>
        <v>0</v>
      </c>
      <c r="G12042" s="1205"/>
      <c r="H12042" s="1055"/>
      <c r="I12042" s="1055"/>
      <c r="J12042" s="1055"/>
      <c r="K12042" s="1205"/>
      <c r="L12042" s="1055"/>
      <c r="M12042" s="1205"/>
      <c r="N12042" s="1054"/>
      <c r="O12042" s="1207"/>
      <c r="Q12042" s="1207"/>
    </row>
    <row r="12043" spans="3:17" s="700" customFormat="1" ht="70.5" hidden="1" customHeight="1">
      <c r="C12043" s="701"/>
      <c r="D12043" s="811"/>
      <c r="E12043" s="1276">
        <f>[11]building!Y12374</f>
        <v>0</v>
      </c>
      <c r="F12043" s="748">
        <f t="shared" si="427"/>
        <v>0</v>
      </c>
      <c r="G12043" s="1205"/>
      <c r="H12043" s="1055"/>
      <c r="I12043" s="1055"/>
      <c r="J12043" s="1055"/>
      <c r="K12043" s="1205"/>
      <c r="L12043" s="1055"/>
      <c r="M12043" s="1205"/>
      <c r="N12043" s="1054"/>
      <c r="O12043" s="1207"/>
      <c r="Q12043" s="1207"/>
    </row>
    <row r="12044" spans="3:17" s="700" customFormat="1" ht="70.5" hidden="1" customHeight="1">
      <c r="C12044" s="701"/>
      <c r="D12044" s="811"/>
      <c r="E12044" s="1276">
        <f>[11]building!Y12375</f>
        <v>0</v>
      </c>
      <c r="F12044" s="748">
        <f t="shared" si="427"/>
        <v>0</v>
      </c>
      <c r="G12044" s="1205"/>
      <c r="H12044" s="1055"/>
      <c r="I12044" s="1055"/>
      <c r="J12044" s="1055"/>
      <c r="K12044" s="1205"/>
      <c r="L12044" s="1055"/>
      <c r="M12044" s="1205"/>
      <c r="N12044" s="1054"/>
      <c r="O12044" s="1207"/>
      <c r="Q12044" s="1207"/>
    </row>
    <row r="12045" spans="3:17" s="700" customFormat="1" ht="70.5" hidden="1" customHeight="1">
      <c r="C12045" s="701"/>
      <c r="D12045" s="811"/>
      <c r="E12045" s="1276">
        <f>[11]building!Y12376</f>
        <v>0</v>
      </c>
      <c r="F12045" s="748">
        <f t="shared" si="427"/>
        <v>0</v>
      </c>
      <c r="G12045" s="1205"/>
      <c r="H12045" s="1055"/>
      <c r="I12045" s="1055"/>
      <c r="J12045" s="1055"/>
      <c r="K12045" s="1205"/>
      <c r="L12045" s="1055"/>
      <c r="M12045" s="1205"/>
      <c r="N12045" s="1054"/>
      <c r="O12045" s="1207"/>
      <c r="Q12045" s="1207"/>
    </row>
    <row r="12046" spans="3:17" s="700" customFormat="1" ht="70.5" hidden="1" customHeight="1">
      <c r="C12046" s="701"/>
      <c r="D12046" s="811"/>
      <c r="E12046" s="1276">
        <f>[11]building!Y12377</f>
        <v>0</v>
      </c>
      <c r="F12046" s="748">
        <f t="shared" si="427"/>
        <v>0</v>
      </c>
      <c r="G12046" s="1205"/>
      <c r="H12046" s="1055"/>
      <c r="I12046" s="1055"/>
      <c r="J12046" s="1055"/>
      <c r="K12046" s="1205"/>
      <c r="L12046" s="1055"/>
      <c r="M12046" s="1205"/>
      <c r="N12046" s="1054"/>
      <c r="O12046" s="1207"/>
      <c r="Q12046" s="1207"/>
    </row>
    <row r="12047" spans="3:17" s="700" customFormat="1" ht="70.5" hidden="1" customHeight="1">
      <c r="C12047" s="701"/>
      <c r="D12047" s="811"/>
      <c r="E12047" s="1276">
        <f>[11]building!Y12378</f>
        <v>0</v>
      </c>
      <c r="F12047" s="748">
        <f t="shared" si="427"/>
        <v>0</v>
      </c>
      <c r="G12047" s="1205"/>
      <c r="H12047" s="1055"/>
      <c r="I12047" s="1055"/>
      <c r="J12047" s="1055"/>
      <c r="K12047" s="1205"/>
      <c r="L12047" s="1055"/>
      <c r="M12047" s="1205"/>
      <c r="N12047" s="1054"/>
      <c r="O12047" s="1207"/>
      <c r="Q12047" s="1207"/>
    </row>
    <row r="12048" spans="3:17" s="700" customFormat="1" ht="70.5" hidden="1" customHeight="1">
      <c r="C12048" s="701"/>
      <c r="D12048" s="811"/>
      <c r="E12048" s="1276">
        <f>[11]building!Y12379</f>
        <v>0</v>
      </c>
      <c r="F12048" s="748">
        <f t="shared" si="427"/>
        <v>0</v>
      </c>
      <c r="G12048" s="1205"/>
      <c r="H12048" s="1055"/>
      <c r="I12048" s="1055"/>
      <c r="J12048" s="1055"/>
      <c r="K12048" s="1205"/>
      <c r="L12048" s="1055"/>
      <c r="M12048" s="1205"/>
      <c r="N12048" s="1054"/>
      <c r="O12048" s="1207"/>
      <c r="Q12048" s="1207"/>
    </row>
    <row r="12049" spans="3:17" s="700" customFormat="1" ht="70.5" hidden="1" customHeight="1">
      <c r="C12049" s="701"/>
      <c r="D12049" s="811"/>
      <c r="E12049" s="1276">
        <f>[11]building!Y12380</f>
        <v>0</v>
      </c>
      <c r="F12049" s="748">
        <f t="shared" si="427"/>
        <v>0</v>
      </c>
      <c r="G12049" s="1205"/>
      <c r="H12049" s="1055"/>
      <c r="I12049" s="1055"/>
      <c r="J12049" s="1055"/>
      <c r="K12049" s="1205"/>
      <c r="L12049" s="1055"/>
      <c r="M12049" s="1205"/>
      <c r="N12049" s="1054"/>
      <c r="O12049" s="1207"/>
      <c r="Q12049" s="1207"/>
    </row>
    <row r="12050" spans="3:17" s="700" customFormat="1" ht="70.5" hidden="1" customHeight="1">
      <c r="C12050" s="701"/>
      <c r="D12050" s="811"/>
      <c r="E12050" s="1276">
        <f>[11]building!Y12381</f>
        <v>0</v>
      </c>
      <c r="F12050" s="748">
        <f t="shared" si="427"/>
        <v>0</v>
      </c>
      <c r="G12050" s="1205"/>
      <c r="H12050" s="1055"/>
      <c r="I12050" s="1055"/>
      <c r="J12050" s="1055"/>
      <c r="K12050" s="1205"/>
      <c r="L12050" s="1055"/>
      <c r="M12050" s="1205"/>
      <c r="N12050" s="1054"/>
      <c r="O12050" s="1207"/>
      <c r="Q12050" s="1207"/>
    </row>
    <row r="12051" spans="3:17" s="700" customFormat="1" ht="70.5" hidden="1" customHeight="1">
      <c r="C12051" s="701"/>
      <c r="D12051" s="811"/>
      <c r="E12051" s="1276">
        <f>[11]building!Y12382</f>
        <v>0</v>
      </c>
      <c r="F12051" s="748">
        <f t="shared" si="427"/>
        <v>0</v>
      </c>
      <c r="G12051" s="1205"/>
      <c r="H12051" s="1055"/>
      <c r="I12051" s="1055"/>
      <c r="J12051" s="1055"/>
      <c r="K12051" s="1205"/>
      <c r="L12051" s="1055"/>
      <c r="M12051" s="1205"/>
      <c r="N12051" s="1054"/>
      <c r="O12051" s="1207"/>
      <c r="Q12051" s="1207"/>
    </row>
    <row r="12052" spans="3:17" s="700" customFormat="1" ht="70.5" hidden="1" customHeight="1">
      <c r="C12052" s="701"/>
      <c r="D12052" s="811"/>
      <c r="E12052" s="1276">
        <f>[11]building!Y12383</f>
        <v>0</v>
      </c>
      <c r="F12052" s="748">
        <f t="shared" si="427"/>
        <v>0</v>
      </c>
      <c r="G12052" s="1205"/>
      <c r="H12052" s="1055"/>
      <c r="I12052" s="1055"/>
      <c r="J12052" s="1055"/>
      <c r="K12052" s="1205"/>
      <c r="L12052" s="1055"/>
      <c r="M12052" s="1205"/>
      <c r="N12052" s="1054"/>
      <c r="O12052" s="1207"/>
      <c r="Q12052" s="1207"/>
    </row>
    <row r="12053" spans="3:17" s="700" customFormat="1" ht="70.5" hidden="1" customHeight="1">
      <c r="C12053" s="701"/>
      <c r="D12053" s="811"/>
      <c r="E12053" s="1276">
        <f>[11]building!Y12384</f>
        <v>0</v>
      </c>
      <c r="F12053" s="748">
        <f t="shared" si="427"/>
        <v>0</v>
      </c>
      <c r="G12053" s="1205"/>
      <c r="H12053" s="1055"/>
      <c r="I12053" s="1055"/>
      <c r="J12053" s="1055"/>
      <c r="K12053" s="1205"/>
      <c r="L12053" s="1055"/>
      <c r="M12053" s="1205"/>
      <c r="N12053" s="1054"/>
      <c r="O12053" s="1207"/>
      <c r="Q12053" s="1207"/>
    </row>
    <row r="12054" spans="3:17" s="700" customFormat="1" ht="70.5" hidden="1" customHeight="1">
      <c r="C12054" s="701"/>
      <c r="D12054" s="811"/>
      <c r="E12054" s="1276">
        <f>[11]building!Y12385</f>
        <v>0</v>
      </c>
      <c r="F12054" s="748">
        <f t="shared" si="427"/>
        <v>0</v>
      </c>
      <c r="G12054" s="1205"/>
      <c r="H12054" s="1055"/>
      <c r="I12054" s="1055"/>
      <c r="J12054" s="1055"/>
      <c r="K12054" s="1205"/>
      <c r="L12054" s="1055"/>
      <c r="M12054" s="1205"/>
      <c r="N12054" s="1054"/>
      <c r="O12054" s="1207"/>
      <c r="Q12054" s="1207"/>
    </row>
    <row r="12055" spans="3:17" s="700" customFormat="1" ht="70.5" hidden="1" customHeight="1">
      <c r="C12055" s="701"/>
      <c r="D12055" s="811"/>
      <c r="E12055" s="1276">
        <f>[11]building!Y12386</f>
        <v>0</v>
      </c>
      <c r="F12055" s="748">
        <f t="shared" si="427"/>
        <v>0</v>
      </c>
      <c r="G12055" s="1205"/>
      <c r="H12055" s="1055"/>
      <c r="I12055" s="1055"/>
      <c r="J12055" s="1055"/>
      <c r="K12055" s="1205"/>
      <c r="L12055" s="1055"/>
      <c r="M12055" s="1205"/>
      <c r="N12055" s="1054"/>
      <c r="O12055" s="1207"/>
      <c r="Q12055" s="1207"/>
    </row>
    <row r="12056" spans="3:17" s="700" customFormat="1" ht="70.5" hidden="1" customHeight="1">
      <c r="C12056" s="701"/>
      <c r="D12056" s="811"/>
      <c r="E12056" s="1276">
        <f>[11]building!Y12387</f>
        <v>0</v>
      </c>
      <c r="F12056" s="748">
        <f t="shared" si="427"/>
        <v>0</v>
      </c>
      <c r="G12056" s="1205"/>
      <c r="H12056" s="1055"/>
      <c r="I12056" s="1055"/>
      <c r="J12056" s="1055"/>
      <c r="K12056" s="1205"/>
      <c r="L12056" s="1055"/>
      <c r="M12056" s="1205"/>
      <c r="N12056" s="1054"/>
      <c r="O12056" s="1207"/>
      <c r="Q12056" s="1207"/>
    </row>
    <row r="12057" spans="3:17" s="700" customFormat="1" ht="70.5" hidden="1" customHeight="1">
      <c r="C12057" s="701"/>
      <c r="D12057" s="811"/>
      <c r="E12057" s="1276">
        <f>[11]building!Y12388</f>
        <v>0</v>
      </c>
      <c r="F12057" s="748">
        <f t="shared" si="427"/>
        <v>0</v>
      </c>
      <c r="G12057" s="1205"/>
      <c r="H12057" s="1055"/>
      <c r="I12057" s="1055"/>
      <c r="J12057" s="1055"/>
      <c r="K12057" s="1205"/>
      <c r="L12057" s="1055"/>
      <c r="M12057" s="1205"/>
      <c r="N12057" s="1054"/>
      <c r="O12057" s="1207"/>
      <c r="Q12057" s="1207"/>
    </row>
    <row r="12058" spans="3:17" s="700" customFormat="1" ht="70.5" hidden="1" customHeight="1">
      <c r="C12058" s="701"/>
      <c r="D12058" s="811"/>
      <c r="E12058" s="1276">
        <f>[11]building!Y12389</f>
        <v>0</v>
      </c>
      <c r="F12058" s="748">
        <f t="shared" si="427"/>
        <v>0</v>
      </c>
      <c r="G12058" s="1205"/>
      <c r="H12058" s="1055"/>
      <c r="I12058" s="1055"/>
      <c r="J12058" s="1055"/>
      <c r="K12058" s="1205"/>
      <c r="L12058" s="1055"/>
      <c r="M12058" s="1205"/>
      <c r="N12058" s="1054"/>
      <c r="O12058" s="1207"/>
      <c r="Q12058" s="1207"/>
    </row>
    <row r="12059" spans="3:17" s="700" customFormat="1" ht="70.5" hidden="1" customHeight="1">
      <c r="C12059" s="701"/>
      <c r="D12059" s="811"/>
      <c r="E12059" s="1276">
        <f>[11]building!Y12390</f>
        <v>0</v>
      </c>
      <c r="F12059" s="748">
        <f t="shared" si="427"/>
        <v>0</v>
      </c>
      <c r="G12059" s="1205"/>
      <c r="H12059" s="1055"/>
      <c r="I12059" s="1055"/>
      <c r="J12059" s="1055"/>
      <c r="K12059" s="1205"/>
      <c r="L12059" s="1055"/>
      <c r="M12059" s="1205"/>
      <c r="N12059" s="1054"/>
      <c r="O12059" s="1207"/>
      <c r="Q12059" s="1207"/>
    </row>
    <row r="12060" spans="3:17" s="700" customFormat="1" ht="70.5" hidden="1" customHeight="1">
      <c r="C12060" s="701"/>
      <c r="D12060" s="811"/>
      <c r="E12060" s="1276">
        <f>[11]building!Y12391</f>
        <v>0</v>
      </c>
      <c r="F12060" s="748">
        <f t="shared" si="427"/>
        <v>0</v>
      </c>
      <c r="G12060" s="1205"/>
      <c r="H12060" s="1055"/>
      <c r="I12060" s="1055"/>
      <c r="J12060" s="1055"/>
      <c r="K12060" s="1205"/>
      <c r="L12060" s="1055"/>
      <c r="M12060" s="1205"/>
      <c r="N12060" s="1054"/>
      <c r="O12060" s="1207"/>
      <c r="Q12060" s="1207"/>
    </row>
    <row r="12061" spans="3:17" s="700" customFormat="1" ht="70.5" hidden="1" customHeight="1">
      <c r="C12061" s="701"/>
      <c r="D12061" s="811"/>
      <c r="E12061" s="1276">
        <f>[11]building!Y12392</f>
        <v>0</v>
      </c>
      <c r="F12061" s="748">
        <f t="shared" si="427"/>
        <v>0</v>
      </c>
      <c r="G12061" s="1205"/>
      <c r="H12061" s="1055"/>
      <c r="I12061" s="1055"/>
      <c r="J12061" s="1055"/>
      <c r="K12061" s="1205"/>
      <c r="L12061" s="1055"/>
      <c r="M12061" s="1205"/>
      <c r="N12061" s="1054"/>
      <c r="O12061" s="1207"/>
      <c r="Q12061" s="1207"/>
    </row>
    <row r="12062" spans="3:17" s="700" customFormat="1" ht="70.5" hidden="1" customHeight="1">
      <c r="C12062" s="701"/>
      <c r="D12062" s="811"/>
      <c r="E12062" s="1276">
        <f>[11]building!Y12393</f>
        <v>0</v>
      </c>
      <c r="F12062" s="748">
        <f t="shared" si="427"/>
        <v>0</v>
      </c>
      <c r="G12062" s="1205"/>
      <c r="H12062" s="1055"/>
      <c r="I12062" s="1055"/>
      <c r="J12062" s="1055"/>
      <c r="K12062" s="1205"/>
      <c r="L12062" s="1055"/>
      <c r="M12062" s="1205"/>
      <c r="N12062" s="1054"/>
      <c r="O12062" s="1207"/>
      <c r="Q12062" s="1207"/>
    </row>
    <row r="12063" spans="3:17" s="700" customFormat="1" ht="70.5" hidden="1" customHeight="1">
      <c r="C12063" s="701"/>
      <c r="D12063" s="811"/>
      <c r="E12063" s="1276">
        <f>[11]building!Y12394</f>
        <v>0</v>
      </c>
      <c r="F12063" s="748">
        <f t="shared" si="427"/>
        <v>0</v>
      </c>
      <c r="G12063" s="1205"/>
      <c r="H12063" s="1055"/>
      <c r="I12063" s="1055"/>
      <c r="J12063" s="1055"/>
      <c r="K12063" s="1205"/>
      <c r="L12063" s="1055"/>
      <c r="M12063" s="1205"/>
      <c r="N12063" s="1054"/>
      <c r="O12063" s="1207"/>
      <c r="Q12063" s="1207"/>
    </row>
    <row r="12064" spans="3:17" s="700" customFormat="1" ht="70.5" hidden="1" customHeight="1">
      <c r="C12064" s="701"/>
      <c r="D12064" s="811"/>
      <c r="E12064" s="1276">
        <f>[11]building!Y12395</f>
        <v>0</v>
      </c>
      <c r="F12064" s="748">
        <f t="shared" si="427"/>
        <v>0</v>
      </c>
      <c r="G12064" s="1205"/>
      <c r="H12064" s="1055"/>
      <c r="I12064" s="1055"/>
      <c r="J12064" s="1055"/>
      <c r="K12064" s="1205"/>
      <c r="L12064" s="1055"/>
      <c r="M12064" s="1205"/>
      <c r="N12064" s="1054"/>
      <c r="O12064" s="1207"/>
      <c r="Q12064" s="1207"/>
    </row>
    <row r="12065" spans="3:17" s="700" customFormat="1" ht="70.5" hidden="1" customHeight="1">
      <c r="C12065" s="701"/>
      <c r="D12065" s="811"/>
      <c r="E12065" s="1276">
        <f>[11]building!Y12396</f>
        <v>0</v>
      </c>
      <c r="F12065" s="748">
        <f t="shared" si="427"/>
        <v>0</v>
      </c>
      <c r="G12065" s="1205"/>
      <c r="H12065" s="1055"/>
      <c r="I12065" s="1055"/>
      <c r="J12065" s="1055"/>
      <c r="K12065" s="1205"/>
      <c r="L12065" s="1055"/>
      <c r="M12065" s="1205"/>
      <c r="N12065" s="1054"/>
      <c r="O12065" s="1207"/>
      <c r="Q12065" s="1207"/>
    </row>
    <row r="12066" spans="3:17" s="700" customFormat="1" ht="70.5" hidden="1" customHeight="1">
      <c r="C12066" s="701"/>
      <c r="D12066" s="811"/>
      <c r="E12066" s="1276">
        <f>[11]building!Y12397</f>
        <v>0</v>
      </c>
      <c r="F12066" s="748">
        <f t="shared" si="427"/>
        <v>0</v>
      </c>
      <c r="G12066" s="1205"/>
      <c r="H12066" s="1055"/>
      <c r="I12066" s="1055"/>
      <c r="J12066" s="1055"/>
      <c r="K12066" s="1205"/>
      <c r="L12066" s="1055"/>
      <c r="M12066" s="1205"/>
      <c r="N12066" s="1054"/>
      <c r="O12066" s="1207"/>
      <c r="Q12066" s="1207"/>
    </row>
    <row r="12067" spans="3:17" s="700" customFormat="1" ht="70.5" hidden="1" customHeight="1">
      <c r="C12067" s="701"/>
      <c r="D12067" s="811"/>
      <c r="E12067" s="1276">
        <f>[11]building!Y12398</f>
        <v>0</v>
      </c>
      <c r="F12067" s="748">
        <f t="shared" si="427"/>
        <v>0</v>
      </c>
      <c r="G12067" s="1205"/>
      <c r="H12067" s="1055"/>
      <c r="I12067" s="1055"/>
      <c r="J12067" s="1055"/>
      <c r="K12067" s="1205"/>
      <c r="L12067" s="1055"/>
      <c r="M12067" s="1205"/>
      <c r="N12067" s="1054"/>
      <c r="O12067" s="1207"/>
      <c r="Q12067" s="1207"/>
    </row>
    <row r="12068" spans="3:17" s="700" customFormat="1" ht="70.5" hidden="1" customHeight="1">
      <c r="C12068" s="701"/>
      <c r="D12068" s="811"/>
      <c r="E12068" s="1276">
        <f>[11]building!Y12399</f>
        <v>0</v>
      </c>
      <c r="F12068" s="748">
        <f t="shared" si="427"/>
        <v>0</v>
      </c>
      <c r="G12068" s="1205"/>
      <c r="H12068" s="1055"/>
      <c r="I12068" s="1055"/>
      <c r="J12068" s="1055"/>
      <c r="K12068" s="1205"/>
      <c r="L12068" s="1055"/>
      <c r="M12068" s="1205"/>
      <c r="N12068" s="1054"/>
      <c r="O12068" s="1207"/>
      <c r="Q12068" s="1207"/>
    </row>
    <row r="12069" spans="3:17" s="700" customFormat="1" ht="70.5" hidden="1" customHeight="1">
      <c r="C12069" s="701"/>
      <c r="D12069" s="811"/>
      <c r="E12069" s="1276">
        <f>[11]building!Y12400</f>
        <v>0</v>
      </c>
      <c r="F12069" s="748">
        <f t="shared" si="427"/>
        <v>0</v>
      </c>
      <c r="G12069" s="1205"/>
      <c r="H12069" s="1055"/>
      <c r="I12069" s="1055"/>
      <c r="J12069" s="1055"/>
      <c r="K12069" s="1205"/>
      <c r="L12069" s="1055"/>
      <c r="M12069" s="1205"/>
      <c r="N12069" s="1054"/>
      <c r="O12069" s="1207"/>
      <c r="Q12069" s="1207"/>
    </row>
    <row r="12070" spans="3:17" s="700" customFormat="1" ht="70.5" hidden="1" customHeight="1">
      <c r="C12070" s="701"/>
      <c r="D12070" s="811"/>
      <c r="E12070" s="1276">
        <f>[11]building!Y12401</f>
        <v>0</v>
      </c>
      <c r="F12070" s="748">
        <f t="shared" si="427"/>
        <v>0</v>
      </c>
      <c r="G12070" s="1205"/>
      <c r="H12070" s="1055"/>
      <c r="I12070" s="1055"/>
      <c r="J12070" s="1055"/>
      <c r="K12070" s="1205"/>
      <c r="L12070" s="1055"/>
      <c r="M12070" s="1205"/>
      <c r="N12070" s="1054"/>
      <c r="O12070" s="1207"/>
      <c r="Q12070" s="1207"/>
    </row>
    <row r="12071" spans="3:17" s="700" customFormat="1" ht="70.5" hidden="1" customHeight="1">
      <c r="C12071" s="701"/>
      <c r="D12071" s="811"/>
      <c r="E12071" s="1276">
        <f>[11]building!Y12402</f>
        <v>0</v>
      </c>
      <c r="F12071" s="748">
        <f t="shared" si="427"/>
        <v>0</v>
      </c>
      <c r="G12071" s="1205"/>
      <c r="H12071" s="1055"/>
      <c r="I12071" s="1055"/>
      <c r="J12071" s="1055"/>
      <c r="K12071" s="1205"/>
      <c r="L12071" s="1055"/>
      <c r="M12071" s="1205"/>
      <c r="N12071" s="1054"/>
      <c r="O12071" s="1207"/>
      <c r="Q12071" s="1207"/>
    </row>
    <row r="12072" spans="3:17" s="700" customFormat="1" ht="70.5" hidden="1" customHeight="1">
      <c r="C12072" s="701"/>
      <c r="D12072" s="811"/>
      <c r="E12072" s="1276">
        <f>[11]building!Y12403</f>
        <v>0</v>
      </c>
      <c r="F12072" s="748">
        <f t="shared" si="427"/>
        <v>0</v>
      </c>
      <c r="G12072" s="1205"/>
      <c r="H12072" s="1055"/>
      <c r="I12072" s="1055"/>
      <c r="J12072" s="1055"/>
      <c r="K12072" s="1205"/>
      <c r="L12072" s="1055"/>
      <c r="M12072" s="1205"/>
      <c r="N12072" s="1054"/>
      <c r="O12072" s="1207"/>
      <c r="Q12072" s="1207"/>
    </row>
    <row r="12073" spans="3:17" s="700" customFormat="1" ht="70.5" hidden="1" customHeight="1">
      <c r="C12073" s="701"/>
      <c r="D12073" s="811"/>
      <c r="E12073" s="1276">
        <f>[11]building!Y12404</f>
        <v>0</v>
      </c>
      <c r="F12073" s="748">
        <f t="shared" si="427"/>
        <v>0</v>
      </c>
      <c r="G12073" s="1205"/>
      <c r="H12073" s="1055"/>
      <c r="I12073" s="1055"/>
      <c r="J12073" s="1055"/>
      <c r="K12073" s="1205"/>
      <c r="L12073" s="1055"/>
      <c r="M12073" s="1205"/>
      <c r="N12073" s="1054"/>
      <c r="O12073" s="1207"/>
      <c r="Q12073" s="1207"/>
    </row>
    <row r="12074" spans="3:17" s="700" customFormat="1" ht="70.5" hidden="1" customHeight="1">
      <c r="C12074" s="701"/>
      <c r="D12074" s="811"/>
      <c r="E12074" s="1276">
        <f>[11]building!Y12405</f>
        <v>0</v>
      </c>
      <c r="F12074" s="748">
        <f t="shared" si="427"/>
        <v>0</v>
      </c>
      <c r="G12074" s="1205"/>
      <c r="H12074" s="1055"/>
      <c r="I12074" s="1055"/>
      <c r="J12074" s="1055"/>
      <c r="K12074" s="1205"/>
      <c r="L12074" s="1055"/>
      <c r="M12074" s="1205"/>
      <c r="N12074" s="1054"/>
      <c r="O12074" s="1207"/>
      <c r="Q12074" s="1207"/>
    </row>
    <row r="12075" spans="3:17" s="700" customFormat="1" ht="70.5" hidden="1" customHeight="1">
      <c r="C12075" s="701"/>
      <c r="D12075" s="811"/>
      <c r="E12075" s="1276">
        <f>[11]building!Y12406</f>
        <v>0</v>
      </c>
      <c r="F12075" s="748">
        <f t="shared" si="427"/>
        <v>0</v>
      </c>
      <c r="G12075" s="1205"/>
      <c r="H12075" s="1055"/>
      <c r="I12075" s="1055"/>
      <c r="J12075" s="1055"/>
      <c r="K12075" s="1205"/>
      <c r="L12075" s="1055"/>
      <c r="M12075" s="1205"/>
      <c r="N12075" s="1054"/>
      <c r="O12075" s="1207"/>
      <c r="Q12075" s="1207"/>
    </row>
    <row r="12076" spans="3:17" s="700" customFormat="1" ht="70.5" hidden="1" customHeight="1">
      <c r="C12076" s="701"/>
      <c r="D12076" s="811"/>
      <c r="E12076" s="1276">
        <f>[11]building!Y12407</f>
        <v>0</v>
      </c>
      <c r="F12076" s="748">
        <f t="shared" si="427"/>
        <v>0</v>
      </c>
      <c r="G12076" s="1205"/>
      <c r="H12076" s="1055"/>
      <c r="I12076" s="1055"/>
      <c r="J12076" s="1055"/>
      <c r="K12076" s="1205"/>
      <c r="L12076" s="1055"/>
      <c r="M12076" s="1205"/>
      <c r="N12076" s="1054"/>
      <c r="O12076" s="1207"/>
      <c r="Q12076" s="1207"/>
    </row>
    <row r="12077" spans="3:17" s="700" customFormat="1" ht="70.5" hidden="1" customHeight="1">
      <c r="C12077" s="701"/>
      <c r="D12077" s="811"/>
      <c r="E12077" s="1276">
        <f>[11]building!Y12408</f>
        <v>0</v>
      </c>
      <c r="F12077" s="748">
        <f t="shared" si="427"/>
        <v>0</v>
      </c>
      <c r="G12077" s="1205"/>
      <c r="H12077" s="1055"/>
      <c r="I12077" s="1055"/>
      <c r="J12077" s="1055"/>
      <c r="K12077" s="1205"/>
      <c r="L12077" s="1055"/>
      <c r="M12077" s="1205"/>
      <c r="N12077" s="1054"/>
      <c r="O12077" s="1207"/>
      <c r="Q12077" s="1207"/>
    </row>
    <row r="12078" spans="3:17" s="700" customFormat="1" ht="70.5" hidden="1" customHeight="1">
      <c r="C12078" s="701"/>
      <c r="D12078" s="811"/>
      <c r="E12078" s="1276">
        <f>[11]building!Y12409</f>
        <v>0</v>
      </c>
      <c r="F12078" s="748">
        <f t="shared" si="427"/>
        <v>0</v>
      </c>
      <c r="G12078" s="1205"/>
      <c r="H12078" s="1055"/>
      <c r="I12078" s="1055"/>
      <c r="J12078" s="1055"/>
      <c r="K12078" s="1205"/>
      <c r="L12078" s="1055"/>
      <c r="M12078" s="1205"/>
      <c r="N12078" s="1054"/>
      <c r="O12078" s="1207"/>
      <c r="Q12078" s="1207"/>
    </row>
    <row r="12079" spans="3:17" s="700" customFormat="1" ht="70.5" hidden="1" customHeight="1">
      <c r="C12079" s="701"/>
      <c r="D12079" s="811"/>
      <c r="E12079" s="1276">
        <f>[11]building!Y12410</f>
        <v>0</v>
      </c>
      <c r="F12079" s="748">
        <f t="shared" si="427"/>
        <v>0</v>
      </c>
      <c r="G12079" s="1205"/>
      <c r="H12079" s="1055"/>
      <c r="I12079" s="1055"/>
      <c r="J12079" s="1055"/>
      <c r="K12079" s="1205"/>
      <c r="L12079" s="1055"/>
      <c r="M12079" s="1205"/>
      <c r="N12079" s="1054"/>
      <c r="O12079" s="1207"/>
      <c r="Q12079" s="1207"/>
    </row>
    <row r="12080" spans="3:17" s="700" customFormat="1" ht="70.5" hidden="1" customHeight="1">
      <c r="C12080" s="701"/>
      <c r="D12080" s="811"/>
      <c r="E12080" s="1276">
        <f>[11]building!Y12411</f>
        <v>0</v>
      </c>
      <c r="F12080" s="748">
        <f t="shared" si="427"/>
        <v>0</v>
      </c>
      <c r="G12080" s="1205"/>
      <c r="H12080" s="1055"/>
      <c r="I12080" s="1055"/>
      <c r="J12080" s="1055"/>
      <c r="K12080" s="1205"/>
      <c r="L12080" s="1055"/>
      <c r="M12080" s="1205"/>
      <c r="N12080" s="1054"/>
      <c r="O12080" s="1207"/>
      <c r="Q12080" s="1207"/>
    </row>
    <row r="12081" spans="3:17" s="700" customFormat="1" ht="70.5" hidden="1" customHeight="1">
      <c r="C12081" s="701"/>
      <c r="D12081" s="811"/>
      <c r="E12081" s="1276">
        <f>[11]building!Y12412</f>
        <v>0</v>
      </c>
      <c r="F12081" s="748">
        <f t="shared" si="427"/>
        <v>0</v>
      </c>
      <c r="G12081" s="1205"/>
      <c r="H12081" s="1055"/>
      <c r="I12081" s="1055"/>
      <c r="J12081" s="1055"/>
      <c r="K12081" s="1205"/>
      <c r="L12081" s="1055"/>
      <c r="M12081" s="1205"/>
      <c r="N12081" s="1054"/>
      <c r="O12081" s="1207"/>
      <c r="Q12081" s="1207"/>
    </row>
    <row r="12082" spans="3:17" s="700" customFormat="1" ht="70.5" hidden="1" customHeight="1">
      <c r="C12082" s="701"/>
      <c r="D12082" s="811"/>
      <c r="E12082" s="1276">
        <f>[11]building!Y12413</f>
        <v>0</v>
      </c>
      <c r="F12082" s="748">
        <f t="shared" si="427"/>
        <v>0</v>
      </c>
      <c r="G12082" s="1205"/>
      <c r="H12082" s="1055"/>
      <c r="I12082" s="1055"/>
      <c r="J12082" s="1055"/>
      <c r="K12082" s="1205"/>
      <c r="L12082" s="1055"/>
      <c r="M12082" s="1205"/>
      <c r="N12082" s="1054"/>
      <c r="O12082" s="1207"/>
      <c r="Q12082" s="1207"/>
    </row>
    <row r="12083" spans="3:17" s="700" customFormat="1" ht="70.5" hidden="1" customHeight="1">
      <c r="C12083" s="701"/>
      <c r="D12083" s="811"/>
      <c r="E12083" s="1276">
        <f>[11]building!Y12414</f>
        <v>0</v>
      </c>
      <c r="F12083" s="748">
        <f t="shared" si="427"/>
        <v>0</v>
      </c>
      <c r="G12083" s="1205"/>
      <c r="H12083" s="1055"/>
      <c r="I12083" s="1055"/>
      <c r="J12083" s="1055"/>
      <c r="K12083" s="1205"/>
      <c r="L12083" s="1055"/>
      <c r="M12083" s="1205"/>
      <c r="N12083" s="1054"/>
      <c r="O12083" s="1207"/>
      <c r="Q12083" s="1207"/>
    </row>
    <row r="12084" spans="3:17" s="700" customFormat="1" ht="70.5" hidden="1" customHeight="1">
      <c r="C12084" s="701"/>
      <c r="D12084" s="811"/>
      <c r="E12084" s="1276">
        <f>[11]building!Y12415</f>
        <v>0</v>
      </c>
      <c r="F12084" s="748">
        <f t="shared" si="427"/>
        <v>0</v>
      </c>
      <c r="G12084" s="1205"/>
      <c r="H12084" s="1055"/>
      <c r="I12084" s="1055"/>
      <c r="J12084" s="1055"/>
      <c r="K12084" s="1205"/>
      <c r="L12084" s="1055"/>
      <c r="M12084" s="1205"/>
      <c r="N12084" s="1054"/>
      <c r="O12084" s="1207"/>
      <c r="Q12084" s="1207"/>
    </row>
    <row r="12085" spans="3:17" s="700" customFormat="1" ht="70.5" hidden="1" customHeight="1">
      <c r="C12085" s="701"/>
      <c r="D12085" s="811"/>
      <c r="E12085" s="1276">
        <f>[11]building!Y12416</f>
        <v>0</v>
      </c>
      <c r="F12085" s="748">
        <f t="shared" si="427"/>
        <v>0</v>
      </c>
      <c r="G12085" s="1205"/>
      <c r="H12085" s="1055"/>
      <c r="I12085" s="1055"/>
      <c r="J12085" s="1055"/>
      <c r="K12085" s="1205"/>
      <c r="L12085" s="1055"/>
      <c r="M12085" s="1205"/>
      <c r="N12085" s="1054"/>
      <c r="O12085" s="1207"/>
      <c r="Q12085" s="1207"/>
    </row>
    <row r="12086" spans="3:17" s="700" customFormat="1" ht="70.5" hidden="1" customHeight="1">
      <c r="C12086" s="701"/>
      <c r="D12086" s="811"/>
      <c r="E12086" s="1276">
        <f>[11]building!Y12417</f>
        <v>0</v>
      </c>
      <c r="F12086" s="748">
        <f t="shared" si="427"/>
        <v>0</v>
      </c>
      <c r="G12086" s="1205"/>
      <c r="H12086" s="1055"/>
      <c r="I12086" s="1055"/>
      <c r="J12086" s="1055"/>
      <c r="K12086" s="1205"/>
      <c r="L12086" s="1055"/>
      <c r="M12086" s="1205"/>
      <c r="N12086" s="1054"/>
      <c r="O12086" s="1207"/>
      <c r="Q12086" s="1207"/>
    </row>
    <row r="12087" spans="3:17" s="700" customFormat="1" ht="70.5" hidden="1" customHeight="1">
      <c r="C12087" s="701"/>
      <c r="D12087" s="811"/>
      <c r="E12087" s="1276">
        <f>[11]building!Y12418</f>
        <v>0</v>
      </c>
      <c r="F12087" s="748">
        <f t="shared" si="427"/>
        <v>0</v>
      </c>
      <c r="G12087" s="1205"/>
      <c r="H12087" s="1055"/>
      <c r="I12087" s="1055"/>
      <c r="J12087" s="1055"/>
      <c r="K12087" s="1205"/>
      <c r="L12087" s="1055"/>
      <c r="M12087" s="1205"/>
      <c r="N12087" s="1054"/>
      <c r="O12087" s="1207"/>
      <c r="Q12087" s="1207"/>
    </row>
    <row r="12088" spans="3:17" s="700" customFormat="1" ht="70.5" hidden="1" customHeight="1">
      <c r="C12088" s="701"/>
      <c r="D12088" s="811"/>
      <c r="E12088" s="1276">
        <f>[11]building!Y12419</f>
        <v>0</v>
      </c>
      <c r="F12088" s="748">
        <f t="shared" si="427"/>
        <v>0</v>
      </c>
      <c r="G12088" s="1205"/>
      <c r="H12088" s="1055"/>
      <c r="I12088" s="1055"/>
      <c r="J12088" s="1055"/>
      <c r="K12088" s="1205"/>
      <c r="L12088" s="1055"/>
      <c r="M12088" s="1205"/>
      <c r="N12088" s="1054"/>
      <c r="O12088" s="1207"/>
      <c r="Q12088" s="1207"/>
    </row>
    <row r="12089" spans="3:17" s="700" customFormat="1" ht="70.5" hidden="1" customHeight="1">
      <c r="C12089" s="701"/>
      <c r="D12089" s="811"/>
      <c r="E12089" s="1276">
        <f>[11]building!Y12420</f>
        <v>0</v>
      </c>
      <c r="F12089" s="748">
        <f t="shared" si="427"/>
        <v>0</v>
      </c>
      <c r="G12089" s="1205"/>
      <c r="H12089" s="1055"/>
      <c r="I12089" s="1055"/>
      <c r="J12089" s="1055"/>
      <c r="K12089" s="1205"/>
      <c r="L12089" s="1055"/>
      <c r="M12089" s="1205"/>
      <c r="N12089" s="1054"/>
      <c r="O12089" s="1207"/>
      <c r="Q12089" s="1207"/>
    </row>
    <row r="12090" spans="3:17" s="700" customFormat="1" ht="70.5" hidden="1" customHeight="1">
      <c r="C12090" s="701"/>
      <c r="D12090" s="811"/>
      <c r="E12090" s="1276">
        <f>[11]building!Y12421</f>
        <v>0</v>
      </c>
      <c r="F12090" s="748">
        <f t="shared" si="427"/>
        <v>0</v>
      </c>
      <c r="G12090" s="1205"/>
      <c r="H12090" s="1055"/>
      <c r="I12090" s="1055"/>
      <c r="J12090" s="1055"/>
      <c r="K12090" s="1205"/>
      <c r="L12090" s="1055"/>
      <c r="M12090" s="1205"/>
      <c r="N12090" s="1054"/>
      <c r="O12090" s="1207"/>
      <c r="Q12090" s="1207"/>
    </row>
    <row r="12091" spans="3:17" s="700" customFormat="1" ht="70.5" hidden="1" customHeight="1">
      <c r="C12091" s="701"/>
      <c r="D12091" s="811"/>
      <c r="E12091" s="1276">
        <f>[11]building!Y12422</f>
        <v>0</v>
      </c>
      <c r="F12091" s="748">
        <f t="shared" si="427"/>
        <v>0</v>
      </c>
      <c r="G12091" s="1205"/>
      <c r="H12091" s="1055"/>
      <c r="I12091" s="1055"/>
      <c r="J12091" s="1055"/>
      <c r="K12091" s="1205"/>
      <c r="L12091" s="1055"/>
      <c r="M12091" s="1205"/>
      <c r="N12091" s="1054"/>
      <c r="O12091" s="1207"/>
      <c r="Q12091" s="1207"/>
    </row>
    <row r="12092" spans="3:17" s="700" customFormat="1" ht="70.5" hidden="1" customHeight="1">
      <c r="C12092" s="701"/>
      <c r="D12092" s="811"/>
      <c r="E12092" s="1276">
        <f>[11]building!Y12423</f>
        <v>0</v>
      </c>
      <c r="F12092" s="748">
        <f t="shared" si="427"/>
        <v>0</v>
      </c>
      <c r="G12092" s="1205"/>
      <c r="H12092" s="1055"/>
      <c r="I12092" s="1055"/>
      <c r="J12092" s="1055"/>
      <c r="K12092" s="1205"/>
      <c r="L12092" s="1055"/>
      <c r="M12092" s="1205"/>
      <c r="N12092" s="1054"/>
      <c r="O12092" s="1207"/>
      <c r="Q12092" s="1207"/>
    </row>
    <row r="12093" spans="3:17" s="700" customFormat="1" ht="70.5" hidden="1" customHeight="1">
      <c r="C12093" s="701"/>
      <c r="D12093" s="811"/>
      <c r="E12093" s="1276">
        <f>[11]building!Y12424</f>
        <v>0</v>
      </c>
      <c r="F12093" s="748">
        <f t="shared" si="427"/>
        <v>0</v>
      </c>
      <c r="G12093" s="1205"/>
      <c r="H12093" s="1055"/>
      <c r="I12093" s="1055"/>
      <c r="J12093" s="1055"/>
      <c r="K12093" s="1205"/>
      <c r="L12093" s="1055"/>
      <c r="M12093" s="1205"/>
      <c r="N12093" s="1054"/>
      <c r="O12093" s="1207"/>
      <c r="Q12093" s="1207"/>
    </row>
    <row r="12094" spans="3:17" s="700" customFormat="1" ht="70.5" hidden="1" customHeight="1">
      <c r="C12094" s="701"/>
      <c r="D12094" s="811"/>
      <c r="E12094" s="1276">
        <f>[11]building!Y12425</f>
        <v>0</v>
      </c>
      <c r="F12094" s="748">
        <f t="shared" si="427"/>
        <v>0</v>
      </c>
      <c r="G12094" s="1205"/>
      <c r="H12094" s="1055"/>
      <c r="I12094" s="1055"/>
      <c r="J12094" s="1055"/>
      <c r="K12094" s="1205"/>
      <c r="L12094" s="1055"/>
      <c r="M12094" s="1205"/>
      <c r="N12094" s="1054"/>
      <c r="O12094" s="1207"/>
      <c r="Q12094" s="1207"/>
    </row>
    <row r="12095" spans="3:17" s="700" customFormat="1" ht="70.5" hidden="1" customHeight="1">
      <c r="C12095" s="701"/>
      <c r="D12095" s="811"/>
      <c r="E12095" s="1276">
        <f>[11]building!Y12426</f>
        <v>0</v>
      </c>
      <c r="F12095" s="748">
        <f t="shared" si="427"/>
        <v>0</v>
      </c>
      <c r="G12095" s="1205"/>
      <c r="H12095" s="1055"/>
      <c r="I12095" s="1055"/>
      <c r="J12095" s="1055"/>
      <c r="K12095" s="1205"/>
      <c r="L12095" s="1055"/>
      <c r="M12095" s="1205"/>
      <c r="N12095" s="1054"/>
      <c r="O12095" s="1207"/>
      <c r="Q12095" s="1207"/>
    </row>
    <row r="12096" spans="3:17" s="700" customFormat="1" ht="70.5" hidden="1" customHeight="1">
      <c r="C12096" s="701"/>
      <c r="D12096" s="811"/>
      <c r="E12096" s="1276">
        <f>[11]building!Y12427</f>
        <v>0</v>
      </c>
      <c r="F12096" s="748">
        <f t="shared" ref="F12096:F12159" si="428">E12096*C12096</f>
        <v>0</v>
      </c>
      <c r="G12096" s="1205"/>
      <c r="H12096" s="1055"/>
      <c r="I12096" s="1055"/>
      <c r="J12096" s="1055"/>
      <c r="K12096" s="1205"/>
      <c r="L12096" s="1055"/>
      <c r="M12096" s="1205"/>
      <c r="N12096" s="1054"/>
      <c r="O12096" s="1207"/>
      <c r="Q12096" s="1207"/>
    </row>
    <row r="12097" spans="3:17" s="700" customFormat="1" ht="70.5" hidden="1" customHeight="1">
      <c r="C12097" s="701"/>
      <c r="D12097" s="811"/>
      <c r="E12097" s="1276">
        <f>[11]building!Y12428</f>
        <v>0</v>
      </c>
      <c r="F12097" s="748">
        <f t="shared" si="428"/>
        <v>0</v>
      </c>
      <c r="G12097" s="1205"/>
      <c r="H12097" s="1055"/>
      <c r="I12097" s="1055"/>
      <c r="J12097" s="1055"/>
      <c r="K12097" s="1205"/>
      <c r="L12097" s="1055"/>
      <c r="M12097" s="1205"/>
      <c r="N12097" s="1054"/>
      <c r="O12097" s="1207"/>
      <c r="Q12097" s="1207"/>
    </row>
    <row r="12098" spans="3:17" s="700" customFormat="1" ht="70.5" hidden="1" customHeight="1">
      <c r="C12098" s="701"/>
      <c r="D12098" s="811"/>
      <c r="E12098" s="1276">
        <f>[11]building!Y12429</f>
        <v>0</v>
      </c>
      <c r="F12098" s="748">
        <f t="shared" si="428"/>
        <v>0</v>
      </c>
      <c r="G12098" s="1205"/>
      <c r="H12098" s="1055"/>
      <c r="I12098" s="1055"/>
      <c r="J12098" s="1055"/>
      <c r="K12098" s="1205"/>
      <c r="L12098" s="1055"/>
      <c r="M12098" s="1205"/>
      <c r="N12098" s="1054"/>
      <c r="O12098" s="1207"/>
      <c r="Q12098" s="1207"/>
    </row>
    <row r="12099" spans="3:17" s="700" customFormat="1" ht="70.5" hidden="1" customHeight="1">
      <c r="C12099" s="701"/>
      <c r="D12099" s="811"/>
      <c r="E12099" s="1276">
        <f>[11]building!Y12430</f>
        <v>0</v>
      </c>
      <c r="F12099" s="748">
        <f t="shared" si="428"/>
        <v>0</v>
      </c>
      <c r="G12099" s="1205"/>
      <c r="H12099" s="1055"/>
      <c r="I12099" s="1055"/>
      <c r="J12099" s="1055"/>
      <c r="K12099" s="1205"/>
      <c r="L12099" s="1055"/>
      <c r="M12099" s="1205"/>
      <c r="N12099" s="1054"/>
      <c r="O12099" s="1207"/>
      <c r="Q12099" s="1207"/>
    </row>
    <row r="12100" spans="3:17" s="700" customFormat="1" ht="70.5" hidden="1" customHeight="1">
      <c r="C12100" s="701"/>
      <c r="D12100" s="811"/>
      <c r="E12100" s="1276">
        <f>[11]building!Y12431</f>
        <v>0</v>
      </c>
      <c r="F12100" s="748">
        <f t="shared" si="428"/>
        <v>0</v>
      </c>
      <c r="G12100" s="1205"/>
      <c r="H12100" s="1055"/>
      <c r="I12100" s="1055"/>
      <c r="J12100" s="1055"/>
      <c r="K12100" s="1205"/>
      <c r="L12100" s="1055"/>
      <c r="M12100" s="1205"/>
      <c r="N12100" s="1054"/>
      <c r="O12100" s="1207"/>
      <c r="Q12100" s="1207"/>
    </row>
    <row r="12101" spans="3:17" s="700" customFormat="1" ht="70.5" hidden="1" customHeight="1">
      <c r="C12101" s="701"/>
      <c r="D12101" s="811"/>
      <c r="E12101" s="1276">
        <f>[11]building!Y12432</f>
        <v>0</v>
      </c>
      <c r="F12101" s="748">
        <f t="shared" si="428"/>
        <v>0</v>
      </c>
      <c r="G12101" s="1205"/>
      <c r="H12101" s="1055"/>
      <c r="I12101" s="1055"/>
      <c r="J12101" s="1055"/>
      <c r="K12101" s="1205"/>
      <c r="L12101" s="1055"/>
      <c r="M12101" s="1205"/>
      <c r="N12101" s="1054"/>
      <c r="O12101" s="1207"/>
      <c r="Q12101" s="1207"/>
    </row>
    <row r="12102" spans="3:17" s="700" customFormat="1" ht="70.5" hidden="1" customHeight="1">
      <c r="C12102" s="701"/>
      <c r="D12102" s="811"/>
      <c r="E12102" s="1276">
        <f>[11]building!Y12433</f>
        <v>0</v>
      </c>
      <c r="F12102" s="748">
        <f t="shared" si="428"/>
        <v>0</v>
      </c>
      <c r="G12102" s="1205"/>
      <c r="H12102" s="1055"/>
      <c r="I12102" s="1055"/>
      <c r="J12102" s="1055"/>
      <c r="K12102" s="1205"/>
      <c r="L12102" s="1055"/>
      <c r="M12102" s="1205"/>
      <c r="N12102" s="1054"/>
      <c r="O12102" s="1207"/>
      <c r="Q12102" s="1207"/>
    </row>
    <row r="12103" spans="3:17" s="700" customFormat="1" ht="70.5" hidden="1" customHeight="1">
      <c r="C12103" s="701"/>
      <c r="D12103" s="811"/>
      <c r="E12103" s="1276">
        <f>[11]building!Y12434</f>
        <v>0</v>
      </c>
      <c r="F12103" s="748">
        <f t="shared" si="428"/>
        <v>0</v>
      </c>
      <c r="G12103" s="1205"/>
      <c r="H12103" s="1055"/>
      <c r="I12103" s="1055"/>
      <c r="J12103" s="1055"/>
      <c r="K12103" s="1205"/>
      <c r="L12103" s="1055"/>
      <c r="M12103" s="1205"/>
      <c r="N12103" s="1054"/>
      <c r="O12103" s="1207"/>
      <c r="Q12103" s="1207"/>
    </row>
    <row r="12104" spans="3:17" s="700" customFormat="1" ht="70.5" hidden="1" customHeight="1">
      <c r="C12104" s="701"/>
      <c r="D12104" s="811"/>
      <c r="E12104" s="1276">
        <f>[11]building!Y12435</f>
        <v>0</v>
      </c>
      <c r="F12104" s="748">
        <f t="shared" si="428"/>
        <v>0</v>
      </c>
      <c r="G12104" s="1205"/>
      <c r="H12104" s="1055"/>
      <c r="I12104" s="1055"/>
      <c r="J12104" s="1055"/>
      <c r="K12104" s="1205"/>
      <c r="L12104" s="1055"/>
      <c r="M12104" s="1205"/>
      <c r="N12104" s="1054"/>
      <c r="O12104" s="1207"/>
      <c r="Q12104" s="1207"/>
    </row>
    <row r="12105" spans="3:17" s="700" customFormat="1" ht="70.5" hidden="1" customHeight="1">
      <c r="C12105" s="701"/>
      <c r="D12105" s="811"/>
      <c r="E12105" s="1276">
        <f>[11]building!Y12436</f>
        <v>0</v>
      </c>
      <c r="F12105" s="748">
        <f t="shared" si="428"/>
        <v>0</v>
      </c>
      <c r="G12105" s="1205"/>
      <c r="H12105" s="1055"/>
      <c r="I12105" s="1055"/>
      <c r="J12105" s="1055"/>
      <c r="K12105" s="1205"/>
      <c r="L12105" s="1055"/>
      <c r="M12105" s="1205"/>
      <c r="N12105" s="1054"/>
      <c r="O12105" s="1207"/>
      <c r="Q12105" s="1207"/>
    </row>
    <row r="12106" spans="3:17" s="700" customFormat="1" ht="70.5" hidden="1" customHeight="1">
      <c r="C12106" s="701"/>
      <c r="D12106" s="811"/>
      <c r="E12106" s="1276">
        <f>[11]building!Y12437</f>
        <v>0</v>
      </c>
      <c r="F12106" s="748">
        <f t="shared" si="428"/>
        <v>0</v>
      </c>
      <c r="G12106" s="1205"/>
      <c r="H12106" s="1055"/>
      <c r="I12106" s="1055"/>
      <c r="J12106" s="1055"/>
      <c r="K12106" s="1205"/>
      <c r="L12106" s="1055"/>
      <c r="M12106" s="1205"/>
      <c r="N12106" s="1054"/>
      <c r="O12106" s="1207"/>
      <c r="Q12106" s="1207"/>
    </row>
    <row r="12107" spans="3:17" s="700" customFormat="1" ht="70.5" hidden="1" customHeight="1">
      <c r="C12107" s="701"/>
      <c r="D12107" s="811"/>
      <c r="E12107" s="1276">
        <f>[11]building!Y12438</f>
        <v>0</v>
      </c>
      <c r="F12107" s="748">
        <f t="shared" si="428"/>
        <v>0</v>
      </c>
      <c r="G12107" s="1205"/>
      <c r="H12107" s="1055"/>
      <c r="I12107" s="1055"/>
      <c r="J12107" s="1055"/>
      <c r="K12107" s="1205"/>
      <c r="L12107" s="1055"/>
      <c r="M12107" s="1205"/>
      <c r="N12107" s="1054"/>
      <c r="O12107" s="1207"/>
      <c r="Q12107" s="1207"/>
    </row>
    <row r="12108" spans="3:17" s="700" customFormat="1" ht="70.5" hidden="1" customHeight="1">
      <c r="C12108" s="701"/>
      <c r="D12108" s="811"/>
      <c r="E12108" s="1276">
        <f>[11]building!Y12439</f>
        <v>0</v>
      </c>
      <c r="F12108" s="748">
        <f t="shared" si="428"/>
        <v>0</v>
      </c>
      <c r="G12108" s="1205"/>
      <c r="H12108" s="1055"/>
      <c r="I12108" s="1055"/>
      <c r="J12108" s="1055"/>
      <c r="K12108" s="1205"/>
      <c r="L12108" s="1055"/>
      <c r="M12108" s="1205"/>
      <c r="N12108" s="1054"/>
      <c r="O12108" s="1207"/>
      <c r="Q12108" s="1207"/>
    </row>
    <row r="12109" spans="3:17" s="700" customFormat="1" ht="70.5" hidden="1" customHeight="1">
      <c r="C12109" s="701"/>
      <c r="D12109" s="811"/>
      <c r="E12109" s="1276">
        <f>[11]building!Y12440</f>
        <v>0</v>
      </c>
      <c r="F12109" s="748">
        <f t="shared" si="428"/>
        <v>0</v>
      </c>
      <c r="G12109" s="1205"/>
      <c r="H12109" s="1055"/>
      <c r="I12109" s="1055"/>
      <c r="J12109" s="1055"/>
      <c r="K12109" s="1205"/>
      <c r="L12109" s="1055"/>
      <c r="M12109" s="1205"/>
      <c r="N12109" s="1054"/>
      <c r="O12109" s="1207"/>
      <c r="Q12109" s="1207"/>
    </row>
    <row r="12110" spans="3:17" s="700" customFormat="1" ht="70.5" hidden="1" customHeight="1">
      <c r="C12110" s="701"/>
      <c r="D12110" s="811"/>
      <c r="E12110" s="1276">
        <f>[11]building!Y12441</f>
        <v>0</v>
      </c>
      <c r="F12110" s="748">
        <f t="shared" si="428"/>
        <v>0</v>
      </c>
      <c r="G12110" s="1205"/>
      <c r="H12110" s="1055"/>
      <c r="I12110" s="1055"/>
      <c r="J12110" s="1055"/>
      <c r="K12110" s="1205"/>
      <c r="L12110" s="1055"/>
      <c r="M12110" s="1205"/>
      <c r="N12110" s="1054"/>
      <c r="O12110" s="1207"/>
      <c r="Q12110" s="1207"/>
    </row>
    <row r="12111" spans="3:17" s="700" customFormat="1" ht="70.5" hidden="1" customHeight="1">
      <c r="C12111" s="701"/>
      <c r="D12111" s="811"/>
      <c r="E12111" s="1276">
        <f>[11]building!Y12442</f>
        <v>0</v>
      </c>
      <c r="F12111" s="748">
        <f t="shared" si="428"/>
        <v>0</v>
      </c>
      <c r="G12111" s="1205"/>
      <c r="H12111" s="1055"/>
      <c r="I12111" s="1055"/>
      <c r="J12111" s="1055"/>
      <c r="K12111" s="1205"/>
      <c r="L12111" s="1055"/>
      <c r="M12111" s="1205"/>
      <c r="N12111" s="1054"/>
      <c r="O12111" s="1207"/>
      <c r="Q12111" s="1207"/>
    </row>
    <row r="12112" spans="3:17" s="700" customFormat="1" ht="70.5" hidden="1" customHeight="1">
      <c r="C12112" s="701"/>
      <c r="D12112" s="811"/>
      <c r="E12112" s="1276">
        <f>[11]building!Y12443</f>
        <v>0</v>
      </c>
      <c r="F12112" s="748">
        <f t="shared" si="428"/>
        <v>0</v>
      </c>
      <c r="G12112" s="1205"/>
      <c r="H12112" s="1055"/>
      <c r="I12112" s="1055"/>
      <c r="J12112" s="1055"/>
      <c r="K12112" s="1205"/>
      <c r="L12112" s="1055"/>
      <c r="M12112" s="1205"/>
      <c r="N12112" s="1054"/>
      <c r="O12112" s="1207"/>
      <c r="Q12112" s="1207"/>
    </row>
    <row r="12113" spans="3:17" s="700" customFormat="1" ht="70.5" hidden="1" customHeight="1">
      <c r="C12113" s="701"/>
      <c r="D12113" s="811"/>
      <c r="E12113" s="1276">
        <f>[11]building!Y12444</f>
        <v>0</v>
      </c>
      <c r="F12113" s="748">
        <f t="shared" si="428"/>
        <v>0</v>
      </c>
      <c r="G12113" s="1205"/>
      <c r="H12113" s="1055"/>
      <c r="I12113" s="1055"/>
      <c r="J12113" s="1055"/>
      <c r="K12113" s="1205"/>
      <c r="L12113" s="1055"/>
      <c r="M12113" s="1205"/>
      <c r="N12113" s="1054"/>
      <c r="O12113" s="1207"/>
      <c r="Q12113" s="1207"/>
    </row>
    <row r="12114" spans="3:17" s="700" customFormat="1" ht="70.5" hidden="1" customHeight="1">
      <c r="C12114" s="701"/>
      <c r="D12114" s="811"/>
      <c r="E12114" s="1276">
        <f>[11]building!Y12445</f>
        <v>0</v>
      </c>
      <c r="F12114" s="748">
        <f t="shared" si="428"/>
        <v>0</v>
      </c>
      <c r="G12114" s="1205"/>
      <c r="H12114" s="1055"/>
      <c r="I12114" s="1055"/>
      <c r="J12114" s="1055"/>
      <c r="K12114" s="1205"/>
      <c r="L12114" s="1055"/>
      <c r="M12114" s="1205"/>
      <c r="N12114" s="1054"/>
      <c r="O12114" s="1207"/>
      <c r="Q12114" s="1207"/>
    </row>
    <row r="12115" spans="3:17" s="700" customFormat="1" ht="70.5" hidden="1" customHeight="1">
      <c r="C12115" s="701"/>
      <c r="D12115" s="811"/>
      <c r="E12115" s="1276">
        <f>[11]building!Y12446</f>
        <v>0</v>
      </c>
      <c r="F12115" s="748">
        <f t="shared" si="428"/>
        <v>0</v>
      </c>
      <c r="G12115" s="1205"/>
      <c r="H12115" s="1055"/>
      <c r="I12115" s="1055"/>
      <c r="J12115" s="1055"/>
      <c r="K12115" s="1205"/>
      <c r="L12115" s="1055"/>
      <c r="M12115" s="1205"/>
      <c r="N12115" s="1054"/>
      <c r="O12115" s="1207"/>
      <c r="Q12115" s="1207"/>
    </row>
    <row r="12116" spans="3:17" s="700" customFormat="1" ht="70.5" hidden="1" customHeight="1">
      <c r="C12116" s="701"/>
      <c r="D12116" s="811"/>
      <c r="E12116" s="1276">
        <f>[11]building!Y12447</f>
        <v>0</v>
      </c>
      <c r="F12116" s="748">
        <f t="shared" si="428"/>
        <v>0</v>
      </c>
      <c r="G12116" s="1205"/>
      <c r="H12116" s="1055"/>
      <c r="I12116" s="1055"/>
      <c r="J12116" s="1055"/>
      <c r="K12116" s="1205"/>
      <c r="L12116" s="1055"/>
      <c r="M12116" s="1205"/>
      <c r="N12116" s="1054"/>
      <c r="O12116" s="1207"/>
      <c r="Q12116" s="1207"/>
    </row>
    <row r="12117" spans="3:17" s="700" customFormat="1" ht="70.5" hidden="1" customHeight="1">
      <c r="C12117" s="701"/>
      <c r="D12117" s="811"/>
      <c r="E12117" s="1276">
        <f>[11]building!Y12448</f>
        <v>0</v>
      </c>
      <c r="F12117" s="748">
        <f t="shared" si="428"/>
        <v>0</v>
      </c>
      <c r="G12117" s="1205"/>
      <c r="H12117" s="1055"/>
      <c r="I12117" s="1055"/>
      <c r="J12117" s="1055"/>
      <c r="K12117" s="1205"/>
      <c r="L12117" s="1055"/>
      <c r="M12117" s="1205"/>
      <c r="N12117" s="1054"/>
      <c r="O12117" s="1207"/>
      <c r="Q12117" s="1207"/>
    </row>
    <row r="12118" spans="3:17" s="700" customFormat="1" ht="70.5" hidden="1" customHeight="1">
      <c r="C12118" s="701"/>
      <c r="D12118" s="811"/>
      <c r="E12118" s="1276">
        <f>[11]building!Y12449</f>
        <v>0</v>
      </c>
      <c r="F12118" s="748">
        <f t="shared" si="428"/>
        <v>0</v>
      </c>
      <c r="G12118" s="1205"/>
      <c r="H12118" s="1055"/>
      <c r="I12118" s="1055"/>
      <c r="J12118" s="1055"/>
      <c r="K12118" s="1205"/>
      <c r="L12118" s="1055"/>
      <c r="M12118" s="1205"/>
      <c r="N12118" s="1054"/>
      <c r="O12118" s="1207"/>
      <c r="Q12118" s="1207"/>
    </row>
    <row r="12119" spans="3:17" s="700" customFormat="1" ht="70.5" hidden="1" customHeight="1">
      <c r="C12119" s="701"/>
      <c r="D12119" s="811"/>
      <c r="E12119" s="1276">
        <f>[11]building!Y12450</f>
        <v>0</v>
      </c>
      <c r="F12119" s="748">
        <f t="shared" si="428"/>
        <v>0</v>
      </c>
      <c r="G12119" s="1205"/>
      <c r="H12119" s="1055"/>
      <c r="I12119" s="1055"/>
      <c r="J12119" s="1055"/>
      <c r="K12119" s="1205"/>
      <c r="L12119" s="1055"/>
      <c r="M12119" s="1205"/>
      <c r="N12119" s="1054"/>
      <c r="O12119" s="1207"/>
      <c r="Q12119" s="1207"/>
    </row>
    <row r="12120" spans="3:17" s="700" customFormat="1" ht="70.5" hidden="1" customHeight="1">
      <c r="C12120" s="701"/>
      <c r="D12120" s="811"/>
      <c r="E12120" s="1276">
        <f>[11]building!Y12451</f>
        <v>0</v>
      </c>
      <c r="F12120" s="748">
        <f t="shared" si="428"/>
        <v>0</v>
      </c>
      <c r="G12120" s="1205"/>
      <c r="H12120" s="1055"/>
      <c r="I12120" s="1055"/>
      <c r="J12120" s="1055"/>
      <c r="K12120" s="1205"/>
      <c r="L12120" s="1055"/>
      <c r="M12120" s="1205"/>
      <c r="N12120" s="1054"/>
      <c r="O12120" s="1207"/>
      <c r="Q12120" s="1207"/>
    </row>
    <row r="12121" spans="3:17" s="700" customFormat="1" ht="70.5" hidden="1" customHeight="1">
      <c r="C12121" s="701"/>
      <c r="D12121" s="811"/>
      <c r="E12121" s="1276">
        <f>[11]building!Y12452</f>
        <v>0</v>
      </c>
      <c r="F12121" s="748">
        <f t="shared" si="428"/>
        <v>0</v>
      </c>
      <c r="G12121" s="1205"/>
      <c r="H12121" s="1055"/>
      <c r="I12121" s="1055"/>
      <c r="J12121" s="1055"/>
      <c r="K12121" s="1205"/>
      <c r="L12121" s="1055"/>
      <c r="M12121" s="1205"/>
      <c r="N12121" s="1054"/>
      <c r="O12121" s="1207"/>
      <c r="Q12121" s="1207"/>
    </row>
    <row r="12122" spans="3:17" s="700" customFormat="1" ht="70.5" hidden="1" customHeight="1">
      <c r="C12122" s="701"/>
      <c r="D12122" s="811"/>
      <c r="E12122" s="1276">
        <f>[11]building!Y12453</f>
        <v>0</v>
      </c>
      <c r="F12122" s="748">
        <f t="shared" si="428"/>
        <v>0</v>
      </c>
      <c r="G12122" s="1205"/>
      <c r="H12122" s="1055"/>
      <c r="I12122" s="1055"/>
      <c r="J12122" s="1055"/>
      <c r="K12122" s="1205"/>
      <c r="L12122" s="1055"/>
      <c r="M12122" s="1205"/>
      <c r="N12122" s="1054"/>
      <c r="O12122" s="1207"/>
      <c r="Q12122" s="1207"/>
    </row>
    <row r="12123" spans="3:17" s="700" customFormat="1" ht="70.5" hidden="1" customHeight="1">
      <c r="C12123" s="701"/>
      <c r="D12123" s="811"/>
      <c r="E12123" s="1276">
        <f>[11]building!Y12454</f>
        <v>0</v>
      </c>
      <c r="F12123" s="748">
        <f t="shared" si="428"/>
        <v>0</v>
      </c>
      <c r="G12123" s="1205"/>
      <c r="H12123" s="1055"/>
      <c r="I12123" s="1055"/>
      <c r="J12123" s="1055"/>
      <c r="K12123" s="1205"/>
      <c r="L12123" s="1055"/>
      <c r="M12123" s="1205"/>
      <c r="N12123" s="1054"/>
      <c r="O12123" s="1207"/>
      <c r="Q12123" s="1207"/>
    </row>
    <row r="12124" spans="3:17" s="700" customFormat="1" ht="70.5" hidden="1" customHeight="1">
      <c r="C12124" s="701"/>
      <c r="D12124" s="811"/>
      <c r="E12124" s="1276">
        <f>[11]building!Y12455</f>
        <v>0</v>
      </c>
      <c r="F12124" s="748">
        <f t="shared" si="428"/>
        <v>0</v>
      </c>
      <c r="G12124" s="1205"/>
      <c r="H12124" s="1055"/>
      <c r="I12124" s="1055"/>
      <c r="J12124" s="1055"/>
      <c r="K12124" s="1205"/>
      <c r="L12124" s="1055"/>
      <c r="M12124" s="1205"/>
      <c r="N12124" s="1054"/>
      <c r="O12124" s="1207"/>
      <c r="Q12124" s="1207"/>
    </row>
    <row r="12125" spans="3:17" s="700" customFormat="1" ht="70.5" hidden="1" customHeight="1">
      <c r="C12125" s="701"/>
      <c r="D12125" s="811"/>
      <c r="E12125" s="1276">
        <f>[11]building!Y12456</f>
        <v>0</v>
      </c>
      <c r="F12125" s="748">
        <f t="shared" si="428"/>
        <v>0</v>
      </c>
      <c r="G12125" s="1205"/>
      <c r="H12125" s="1055"/>
      <c r="I12125" s="1055"/>
      <c r="J12125" s="1055"/>
      <c r="K12125" s="1205"/>
      <c r="L12125" s="1055"/>
      <c r="M12125" s="1205"/>
      <c r="N12125" s="1054"/>
      <c r="O12125" s="1207"/>
      <c r="Q12125" s="1207"/>
    </row>
    <row r="12126" spans="3:17" s="700" customFormat="1" ht="70.5" hidden="1" customHeight="1">
      <c r="C12126" s="701"/>
      <c r="D12126" s="811"/>
      <c r="E12126" s="1276">
        <f>[11]building!Y12457</f>
        <v>0</v>
      </c>
      <c r="F12126" s="748">
        <f t="shared" si="428"/>
        <v>0</v>
      </c>
      <c r="G12126" s="1205"/>
      <c r="H12126" s="1055"/>
      <c r="I12126" s="1055"/>
      <c r="J12126" s="1055"/>
      <c r="K12126" s="1205"/>
      <c r="L12126" s="1055"/>
      <c r="M12126" s="1205"/>
      <c r="N12126" s="1054"/>
      <c r="O12126" s="1207"/>
      <c r="Q12126" s="1207"/>
    </row>
    <row r="12127" spans="3:17" s="700" customFormat="1" ht="70.5" hidden="1" customHeight="1">
      <c r="C12127" s="701"/>
      <c r="D12127" s="811"/>
      <c r="E12127" s="1276">
        <f>[11]building!Y12458</f>
        <v>0</v>
      </c>
      <c r="F12127" s="748">
        <f t="shared" si="428"/>
        <v>0</v>
      </c>
      <c r="G12127" s="1205"/>
      <c r="H12127" s="1055"/>
      <c r="I12127" s="1055"/>
      <c r="J12127" s="1055"/>
      <c r="K12127" s="1205"/>
      <c r="L12127" s="1055"/>
      <c r="M12127" s="1205"/>
      <c r="N12127" s="1054"/>
      <c r="O12127" s="1207"/>
      <c r="Q12127" s="1207"/>
    </row>
    <row r="12128" spans="3:17" s="700" customFormat="1" ht="70.5" hidden="1" customHeight="1">
      <c r="C12128" s="701"/>
      <c r="D12128" s="811"/>
      <c r="E12128" s="1276">
        <f>[11]building!Y12459</f>
        <v>0</v>
      </c>
      <c r="F12128" s="748">
        <f t="shared" si="428"/>
        <v>0</v>
      </c>
      <c r="G12128" s="1205"/>
      <c r="H12128" s="1055"/>
      <c r="I12128" s="1055"/>
      <c r="J12128" s="1055"/>
      <c r="K12128" s="1205"/>
      <c r="L12128" s="1055"/>
      <c r="M12128" s="1205"/>
      <c r="N12128" s="1054"/>
      <c r="O12128" s="1207"/>
      <c r="Q12128" s="1207"/>
    </row>
    <row r="12129" spans="3:17" s="700" customFormat="1" ht="70.5" hidden="1" customHeight="1">
      <c r="C12129" s="701"/>
      <c r="D12129" s="811"/>
      <c r="E12129" s="1276">
        <f>[11]building!Y12460</f>
        <v>0</v>
      </c>
      <c r="F12129" s="748">
        <f t="shared" si="428"/>
        <v>0</v>
      </c>
      <c r="G12129" s="1205"/>
      <c r="H12129" s="1055"/>
      <c r="I12129" s="1055"/>
      <c r="J12129" s="1055"/>
      <c r="K12129" s="1205"/>
      <c r="L12129" s="1055"/>
      <c r="M12129" s="1205"/>
      <c r="N12129" s="1054"/>
      <c r="O12129" s="1207"/>
      <c r="Q12129" s="1207"/>
    </row>
    <row r="12130" spans="3:17" s="700" customFormat="1" ht="70.5" hidden="1" customHeight="1">
      <c r="C12130" s="701"/>
      <c r="D12130" s="811"/>
      <c r="E12130" s="1276">
        <f>[11]building!Y12461</f>
        <v>0</v>
      </c>
      <c r="F12130" s="748">
        <f t="shared" si="428"/>
        <v>0</v>
      </c>
      <c r="G12130" s="1205"/>
      <c r="H12130" s="1055"/>
      <c r="I12130" s="1055"/>
      <c r="J12130" s="1055"/>
      <c r="K12130" s="1205"/>
      <c r="L12130" s="1055"/>
      <c r="M12130" s="1205"/>
      <c r="N12130" s="1054"/>
      <c r="O12130" s="1207"/>
      <c r="Q12130" s="1207"/>
    </row>
    <row r="12131" spans="3:17" s="700" customFormat="1" ht="70.5" hidden="1" customHeight="1">
      <c r="C12131" s="701"/>
      <c r="D12131" s="811"/>
      <c r="E12131" s="1276">
        <f>[11]building!Y12462</f>
        <v>0</v>
      </c>
      <c r="F12131" s="748">
        <f t="shared" si="428"/>
        <v>0</v>
      </c>
      <c r="G12131" s="1205"/>
      <c r="H12131" s="1055"/>
      <c r="I12131" s="1055"/>
      <c r="J12131" s="1055"/>
      <c r="K12131" s="1205"/>
      <c r="L12131" s="1055"/>
      <c r="M12131" s="1205"/>
      <c r="N12131" s="1054"/>
      <c r="O12131" s="1207"/>
      <c r="Q12131" s="1207"/>
    </row>
    <row r="12132" spans="3:17" s="700" customFormat="1" ht="70.5" hidden="1" customHeight="1">
      <c r="C12132" s="701"/>
      <c r="D12132" s="811"/>
      <c r="E12132" s="1276">
        <f>[11]building!Y12463</f>
        <v>0</v>
      </c>
      <c r="F12132" s="748">
        <f t="shared" si="428"/>
        <v>0</v>
      </c>
      <c r="G12132" s="1205"/>
      <c r="H12132" s="1055"/>
      <c r="I12132" s="1055"/>
      <c r="J12132" s="1055"/>
      <c r="K12132" s="1205"/>
      <c r="L12132" s="1055"/>
      <c r="M12132" s="1205"/>
      <c r="N12132" s="1054"/>
      <c r="O12132" s="1207"/>
      <c r="Q12132" s="1207"/>
    </row>
    <row r="12133" spans="3:17" s="700" customFormat="1" ht="70.5" hidden="1" customHeight="1">
      <c r="C12133" s="701"/>
      <c r="D12133" s="811"/>
      <c r="E12133" s="1276">
        <f>[11]building!Y12464</f>
        <v>0</v>
      </c>
      <c r="F12133" s="748">
        <f t="shared" si="428"/>
        <v>0</v>
      </c>
      <c r="G12133" s="1205"/>
      <c r="H12133" s="1055"/>
      <c r="I12133" s="1055"/>
      <c r="J12133" s="1055"/>
      <c r="K12133" s="1205"/>
      <c r="L12133" s="1055"/>
      <c r="M12133" s="1205"/>
      <c r="N12133" s="1054"/>
      <c r="O12133" s="1207"/>
      <c r="Q12133" s="1207"/>
    </row>
    <row r="12134" spans="3:17" s="700" customFormat="1" ht="70.5" hidden="1" customHeight="1">
      <c r="C12134" s="701"/>
      <c r="D12134" s="811"/>
      <c r="E12134" s="1276">
        <f>[11]building!Y12465</f>
        <v>0</v>
      </c>
      <c r="F12134" s="748">
        <f t="shared" si="428"/>
        <v>0</v>
      </c>
      <c r="G12134" s="1205"/>
      <c r="H12134" s="1055"/>
      <c r="I12134" s="1055"/>
      <c r="J12134" s="1055"/>
      <c r="K12134" s="1205"/>
      <c r="L12134" s="1055"/>
      <c r="M12134" s="1205"/>
      <c r="N12134" s="1054"/>
      <c r="O12134" s="1207"/>
      <c r="Q12134" s="1207"/>
    </row>
    <row r="12135" spans="3:17" s="700" customFormat="1" ht="70.5" hidden="1" customHeight="1">
      <c r="C12135" s="701"/>
      <c r="D12135" s="811"/>
      <c r="E12135" s="1276">
        <f>[11]building!Y12466</f>
        <v>0</v>
      </c>
      <c r="F12135" s="748">
        <f t="shared" si="428"/>
        <v>0</v>
      </c>
      <c r="G12135" s="1205"/>
      <c r="H12135" s="1055"/>
      <c r="I12135" s="1055"/>
      <c r="J12135" s="1055"/>
      <c r="K12135" s="1205"/>
      <c r="L12135" s="1055"/>
      <c r="M12135" s="1205"/>
      <c r="N12135" s="1054"/>
      <c r="O12135" s="1207"/>
      <c r="Q12135" s="1207"/>
    </row>
    <row r="12136" spans="3:17" s="700" customFormat="1" ht="70.5" hidden="1" customHeight="1">
      <c r="C12136" s="701"/>
      <c r="D12136" s="811"/>
      <c r="E12136" s="1276">
        <f>[11]building!Y12467</f>
        <v>0</v>
      </c>
      <c r="F12136" s="748">
        <f t="shared" si="428"/>
        <v>0</v>
      </c>
      <c r="G12136" s="1205"/>
      <c r="H12136" s="1055"/>
      <c r="I12136" s="1055"/>
      <c r="J12136" s="1055"/>
      <c r="K12136" s="1205"/>
      <c r="L12136" s="1055"/>
      <c r="M12136" s="1205"/>
      <c r="N12136" s="1054"/>
      <c r="O12136" s="1207"/>
      <c r="Q12136" s="1207"/>
    </row>
    <row r="12137" spans="3:17" s="700" customFormat="1" ht="70.5" hidden="1" customHeight="1">
      <c r="C12137" s="701"/>
      <c r="D12137" s="811"/>
      <c r="E12137" s="1276">
        <f>[11]building!Y12468</f>
        <v>0</v>
      </c>
      <c r="F12137" s="748">
        <f t="shared" si="428"/>
        <v>0</v>
      </c>
      <c r="G12137" s="1205"/>
      <c r="H12137" s="1055"/>
      <c r="I12137" s="1055"/>
      <c r="J12137" s="1055"/>
      <c r="K12137" s="1205"/>
      <c r="L12137" s="1055"/>
      <c r="M12137" s="1205"/>
      <c r="N12137" s="1054"/>
      <c r="O12137" s="1207"/>
      <c r="Q12137" s="1207"/>
    </row>
    <row r="12138" spans="3:17" s="700" customFormat="1" ht="70.5" hidden="1" customHeight="1">
      <c r="C12138" s="701"/>
      <c r="D12138" s="811"/>
      <c r="E12138" s="1276">
        <f>[11]building!Y12469</f>
        <v>0</v>
      </c>
      <c r="F12138" s="748">
        <f t="shared" si="428"/>
        <v>0</v>
      </c>
      <c r="G12138" s="1205"/>
      <c r="H12138" s="1055"/>
      <c r="I12138" s="1055"/>
      <c r="J12138" s="1055"/>
      <c r="K12138" s="1205"/>
      <c r="L12138" s="1055"/>
      <c r="M12138" s="1205"/>
      <c r="N12138" s="1054"/>
      <c r="O12138" s="1207"/>
      <c r="Q12138" s="1207"/>
    </row>
    <row r="12139" spans="3:17" s="700" customFormat="1" ht="70.5" hidden="1" customHeight="1">
      <c r="C12139" s="701"/>
      <c r="D12139" s="811"/>
      <c r="E12139" s="1276">
        <f>[11]building!Y12470</f>
        <v>0</v>
      </c>
      <c r="F12139" s="748">
        <f t="shared" si="428"/>
        <v>0</v>
      </c>
      <c r="G12139" s="1205"/>
      <c r="H12139" s="1055"/>
      <c r="I12139" s="1055"/>
      <c r="J12139" s="1055"/>
      <c r="K12139" s="1205"/>
      <c r="L12139" s="1055"/>
      <c r="M12139" s="1205"/>
      <c r="N12139" s="1054"/>
      <c r="O12139" s="1207"/>
      <c r="Q12139" s="1207"/>
    </row>
    <row r="12140" spans="3:17" s="700" customFormat="1" ht="70.5" hidden="1" customHeight="1">
      <c r="C12140" s="701"/>
      <c r="D12140" s="811"/>
      <c r="E12140" s="1276">
        <f>[11]building!Y12471</f>
        <v>0</v>
      </c>
      <c r="F12140" s="748">
        <f t="shared" si="428"/>
        <v>0</v>
      </c>
      <c r="G12140" s="1205"/>
      <c r="H12140" s="1055"/>
      <c r="I12140" s="1055"/>
      <c r="J12140" s="1055"/>
      <c r="K12140" s="1205"/>
      <c r="L12140" s="1055"/>
      <c r="M12140" s="1205"/>
      <c r="N12140" s="1054"/>
      <c r="O12140" s="1207"/>
      <c r="Q12140" s="1207"/>
    </row>
    <row r="12141" spans="3:17" s="700" customFormat="1" ht="70.5" hidden="1" customHeight="1">
      <c r="C12141" s="701"/>
      <c r="D12141" s="811"/>
      <c r="E12141" s="1276">
        <f>[11]building!Y12472</f>
        <v>0</v>
      </c>
      <c r="F12141" s="748">
        <f t="shared" si="428"/>
        <v>0</v>
      </c>
      <c r="G12141" s="1205"/>
      <c r="H12141" s="1055"/>
      <c r="I12141" s="1055"/>
      <c r="J12141" s="1055"/>
      <c r="K12141" s="1205"/>
      <c r="L12141" s="1055"/>
      <c r="M12141" s="1205"/>
      <c r="N12141" s="1054"/>
      <c r="O12141" s="1207"/>
      <c r="Q12141" s="1207"/>
    </row>
    <row r="12142" spans="3:17" s="700" customFormat="1" ht="70.5" hidden="1" customHeight="1">
      <c r="C12142" s="701"/>
      <c r="D12142" s="811"/>
      <c r="E12142" s="1276">
        <f>[11]building!Y12473</f>
        <v>0</v>
      </c>
      <c r="F12142" s="748">
        <f t="shared" si="428"/>
        <v>0</v>
      </c>
      <c r="G12142" s="1205"/>
      <c r="H12142" s="1055"/>
      <c r="I12142" s="1055"/>
      <c r="J12142" s="1055"/>
      <c r="K12142" s="1205"/>
      <c r="L12142" s="1055"/>
      <c r="M12142" s="1205"/>
      <c r="N12142" s="1054"/>
      <c r="O12142" s="1207"/>
      <c r="Q12142" s="1207"/>
    </row>
    <row r="12143" spans="3:17" s="700" customFormat="1" ht="70.5" hidden="1" customHeight="1">
      <c r="C12143" s="701"/>
      <c r="D12143" s="811"/>
      <c r="E12143" s="1276">
        <f>[11]building!Y12474</f>
        <v>0</v>
      </c>
      <c r="F12143" s="748">
        <f t="shared" si="428"/>
        <v>0</v>
      </c>
      <c r="G12143" s="1205"/>
      <c r="H12143" s="1055"/>
      <c r="I12143" s="1055"/>
      <c r="J12143" s="1055"/>
      <c r="K12143" s="1205"/>
      <c r="L12143" s="1055"/>
      <c r="M12143" s="1205"/>
      <c r="N12143" s="1054"/>
      <c r="O12143" s="1207"/>
      <c r="Q12143" s="1207"/>
    </row>
    <row r="12144" spans="3:17" s="700" customFormat="1" ht="70.5" hidden="1" customHeight="1">
      <c r="C12144" s="701"/>
      <c r="D12144" s="811"/>
      <c r="E12144" s="1276">
        <f>[11]building!Y12475</f>
        <v>0</v>
      </c>
      <c r="F12144" s="748">
        <f t="shared" si="428"/>
        <v>0</v>
      </c>
      <c r="G12144" s="1205"/>
      <c r="H12144" s="1055"/>
      <c r="I12144" s="1055"/>
      <c r="J12144" s="1055"/>
      <c r="K12144" s="1205"/>
      <c r="L12144" s="1055"/>
      <c r="M12144" s="1205"/>
      <c r="N12144" s="1054"/>
      <c r="O12144" s="1207"/>
      <c r="Q12144" s="1207"/>
    </row>
    <row r="12145" spans="3:17" s="700" customFormat="1" ht="70.5" hidden="1" customHeight="1">
      <c r="C12145" s="701"/>
      <c r="D12145" s="811"/>
      <c r="E12145" s="1276">
        <f>[11]building!Y12476</f>
        <v>0</v>
      </c>
      <c r="F12145" s="748">
        <f t="shared" si="428"/>
        <v>0</v>
      </c>
      <c r="G12145" s="1205"/>
      <c r="H12145" s="1055"/>
      <c r="I12145" s="1055"/>
      <c r="J12145" s="1055"/>
      <c r="K12145" s="1205"/>
      <c r="L12145" s="1055"/>
      <c r="M12145" s="1205"/>
      <c r="N12145" s="1054"/>
      <c r="O12145" s="1207"/>
      <c r="Q12145" s="1207"/>
    </row>
    <row r="12146" spans="3:17" s="700" customFormat="1" ht="70.5" hidden="1" customHeight="1">
      <c r="C12146" s="701"/>
      <c r="D12146" s="811"/>
      <c r="E12146" s="1276">
        <f>[11]building!Y12477</f>
        <v>0</v>
      </c>
      <c r="F12146" s="748">
        <f t="shared" si="428"/>
        <v>0</v>
      </c>
      <c r="G12146" s="1205"/>
      <c r="H12146" s="1055"/>
      <c r="I12146" s="1055"/>
      <c r="J12146" s="1055"/>
      <c r="K12146" s="1205"/>
      <c r="L12146" s="1055"/>
      <c r="M12146" s="1205"/>
      <c r="N12146" s="1054"/>
      <c r="O12146" s="1207"/>
      <c r="Q12146" s="1207"/>
    </row>
    <row r="12147" spans="3:17" s="700" customFormat="1" ht="70.5" hidden="1" customHeight="1">
      <c r="C12147" s="701"/>
      <c r="D12147" s="811"/>
      <c r="E12147" s="1276">
        <f>[11]building!Y12478</f>
        <v>0</v>
      </c>
      <c r="F12147" s="748">
        <f t="shared" si="428"/>
        <v>0</v>
      </c>
      <c r="G12147" s="1205"/>
      <c r="H12147" s="1055"/>
      <c r="I12147" s="1055"/>
      <c r="J12147" s="1055"/>
      <c r="K12147" s="1205"/>
      <c r="L12147" s="1055"/>
      <c r="M12147" s="1205"/>
      <c r="N12147" s="1054"/>
      <c r="O12147" s="1207"/>
      <c r="Q12147" s="1207"/>
    </row>
    <row r="12148" spans="3:17" s="700" customFormat="1" ht="70.5" hidden="1" customHeight="1">
      <c r="C12148" s="701"/>
      <c r="D12148" s="811"/>
      <c r="E12148" s="1276">
        <f>[11]building!Y12479</f>
        <v>0</v>
      </c>
      <c r="F12148" s="748">
        <f t="shared" si="428"/>
        <v>0</v>
      </c>
      <c r="G12148" s="1205"/>
      <c r="H12148" s="1055"/>
      <c r="I12148" s="1055"/>
      <c r="J12148" s="1055"/>
      <c r="K12148" s="1205"/>
      <c r="L12148" s="1055"/>
      <c r="M12148" s="1205"/>
      <c r="N12148" s="1054"/>
      <c r="O12148" s="1207"/>
      <c r="Q12148" s="1207"/>
    </row>
    <row r="12149" spans="3:17" s="700" customFormat="1" ht="70.5" hidden="1" customHeight="1">
      <c r="C12149" s="701"/>
      <c r="D12149" s="811"/>
      <c r="E12149" s="1276">
        <f>[11]building!Y12480</f>
        <v>0</v>
      </c>
      <c r="F12149" s="748">
        <f t="shared" si="428"/>
        <v>0</v>
      </c>
      <c r="G12149" s="1205"/>
      <c r="H12149" s="1055"/>
      <c r="I12149" s="1055"/>
      <c r="J12149" s="1055"/>
      <c r="K12149" s="1205"/>
      <c r="L12149" s="1055"/>
      <c r="M12149" s="1205"/>
      <c r="N12149" s="1054"/>
      <c r="O12149" s="1207"/>
      <c r="Q12149" s="1207"/>
    </row>
    <row r="12150" spans="3:17" s="700" customFormat="1" ht="70.5" hidden="1" customHeight="1">
      <c r="C12150" s="701"/>
      <c r="D12150" s="811"/>
      <c r="E12150" s="1276">
        <f>[11]building!Y12481</f>
        <v>0</v>
      </c>
      <c r="F12150" s="748">
        <f t="shared" si="428"/>
        <v>0</v>
      </c>
      <c r="G12150" s="1205"/>
      <c r="H12150" s="1055"/>
      <c r="I12150" s="1055"/>
      <c r="J12150" s="1055"/>
      <c r="K12150" s="1205"/>
      <c r="L12150" s="1055"/>
      <c r="M12150" s="1205"/>
      <c r="N12150" s="1054"/>
      <c r="O12150" s="1207"/>
      <c r="Q12150" s="1207"/>
    </row>
    <row r="12151" spans="3:17" s="700" customFormat="1" ht="70.5" hidden="1" customHeight="1">
      <c r="C12151" s="701"/>
      <c r="D12151" s="811"/>
      <c r="E12151" s="1276">
        <f>[11]building!Y12482</f>
        <v>0</v>
      </c>
      <c r="F12151" s="748">
        <f t="shared" si="428"/>
        <v>0</v>
      </c>
      <c r="G12151" s="1205"/>
      <c r="H12151" s="1055"/>
      <c r="I12151" s="1055"/>
      <c r="J12151" s="1055"/>
      <c r="K12151" s="1205"/>
      <c r="L12151" s="1055"/>
      <c r="M12151" s="1205"/>
      <c r="N12151" s="1054"/>
      <c r="O12151" s="1207"/>
      <c r="Q12151" s="1207"/>
    </row>
    <row r="12152" spans="3:17" s="700" customFormat="1" ht="70.5" hidden="1" customHeight="1">
      <c r="C12152" s="701"/>
      <c r="D12152" s="811"/>
      <c r="E12152" s="1276">
        <f>[11]building!Y12483</f>
        <v>0</v>
      </c>
      <c r="F12152" s="748">
        <f t="shared" si="428"/>
        <v>0</v>
      </c>
      <c r="G12152" s="1205"/>
      <c r="H12152" s="1055"/>
      <c r="I12152" s="1055"/>
      <c r="J12152" s="1055"/>
      <c r="K12152" s="1205"/>
      <c r="L12152" s="1055"/>
      <c r="M12152" s="1205"/>
      <c r="N12152" s="1054"/>
      <c r="O12152" s="1207"/>
      <c r="Q12152" s="1207"/>
    </row>
    <row r="12153" spans="3:17" s="700" customFormat="1" ht="70.5" hidden="1" customHeight="1">
      <c r="C12153" s="701"/>
      <c r="D12153" s="811"/>
      <c r="E12153" s="1276">
        <f>[11]building!Y12484</f>
        <v>0</v>
      </c>
      <c r="F12153" s="748">
        <f t="shared" si="428"/>
        <v>0</v>
      </c>
      <c r="G12153" s="1205"/>
      <c r="H12153" s="1055"/>
      <c r="I12153" s="1055"/>
      <c r="J12153" s="1055"/>
      <c r="K12153" s="1205"/>
      <c r="L12153" s="1055"/>
      <c r="M12153" s="1205"/>
      <c r="N12153" s="1054"/>
      <c r="O12153" s="1207"/>
      <c r="Q12153" s="1207"/>
    </row>
    <row r="12154" spans="3:17" s="700" customFormat="1" ht="70.5" hidden="1" customHeight="1">
      <c r="C12154" s="701"/>
      <c r="D12154" s="811"/>
      <c r="E12154" s="1276">
        <f>[11]building!Y12485</f>
        <v>0</v>
      </c>
      <c r="F12154" s="748">
        <f t="shared" si="428"/>
        <v>0</v>
      </c>
      <c r="G12154" s="1205"/>
      <c r="H12154" s="1055"/>
      <c r="I12154" s="1055"/>
      <c r="J12154" s="1055"/>
      <c r="K12154" s="1205"/>
      <c r="L12154" s="1055"/>
      <c r="M12154" s="1205"/>
      <c r="N12154" s="1054"/>
      <c r="O12154" s="1207"/>
      <c r="Q12154" s="1207"/>
    </row>
    <row r="12155" spans="3:17" s="700" customFormat="1" ht="70.5" hidden="1" customHeight="1">
      <c r="C12155" s="701"/>
      <c r="D12155" s="811"/>
      <c r="E12155" s="1276">
        <f>[11]building!Y12486</f>
        <v>0</v>
      </c>
      <c r="F12155" s="748">
        <f t="shared" si="428"/>
        <v>0</v>
      </c>
      <c r="G12155" s="1205"/>
      <c r="H12155" s="1055"/>
      <c r="I12155" s="1055"/>
      <c r="J12155" s="1055"/>
      <c r="K12155" s="1205"/>
      <c r="L12155" s="1055"/>
      <c r="M12155" s="1205"/>
      <c r="N12155" s="1054"/>
      <c r="O12155" s="1207"/>
      <c r="Q12155" s="1207"/>
    </row>
    <row r="12156" spans="3:17" s="700" customFormat="1" ht="70.5" hidden="1" customHeight="1">
      <c r="C12156" s="701"/>
      <c r="D12156" s="811"/>
      <c r="E12156" s="1276">
        <f>[11]building!Y12487</f>
        <v>0</v>
      </c>
      <c r="F12156" s="748">
        <f t="shared" si="428"/>
        <v>0</v>
      </c>
      <c r="G12156" s="1205"/>
      <c r="H12156" s="1055"/>
      <c r="I12156" s="1055"/>
      <c r="J12156" s="1055"/>
      <c r="K12156" s="1205"/>
      <c r="L12156" s="1055"/>
      <c r="M12156" s="1205"/>
      <c r="N12156" s="1054"/>
      <c r="O12156" s="1207"/>
      <c r="Q12156" s="1207"/>
    </row>
    <row r="12157" spans="3:17" s="700" customFormat="1" ht="70.5" hidden="1" customHeight="1">
      <c r="C12157" s="701"/>
      <c r="D12157" s="811"/>
      <c r="E12157" s="1276">
        <f>[11]building!Y12488</f>
        <v>0</v>
      </c>
      <c r="F12157" s="748">
        <f t="shared" si="428"/>
        <v>0</v>
      </c>
      <c r="G12157" s="1205"/>
      <c r="H12157" s="1055"/>
      <c r="I12157" s="1055"/>
      <c r="J12157" s="1055"/>
      <c r="K12157" s="1205"/>
      <c r="L12157" s="1055"/>
      <c r="M12157" s="1205"/>
      <c r="N12157" s="1054"/>
      <c r="O12157" s="1207"/>
      <c r="Q12157" s="1207"/>
    </row>
    <row r="12158" spans="3:17" s="700" customFormat="1" ht="70.5" hidden="1" customHeight="1">
      <c r="C12158" s="701"/>
      <c r="D12158" s="811"/>
      <c r="E12158" s="1276">
        <f>[11]building!Y12489</f>
        <v>0</v>
      </c>
      <c r="F12158" s="748">
        <f t="shared" si="428"/>
        <v>0</v>
      </c>
      <c r="G12158" s="1205"/>
      <c r="H12158" s="1055"/>
      <c r="I12158" s="1055"/>
      <c r="J12158" s="1055"/>
      <c r="K12158" s="1205"/>
      <c r="L12158" s="1055"/>
      <c r="M12158" s="1205"/>
      <c r="N12158" s="1054"/>
      <c r="O12158" s="1207"/>
      <c r="Q12158" s="1207"/>
    </row>
    <row r="12159" spans="3:17" s="700" customFormat="1" ht="70.5" hidden="1" customHeight="1">
      <c r="C12159" s="701"/>
      <c r="D12159" s="811"/>
      <c r="E12159" s="1276">
        <f>[11]building!Y12490</f>
        <v>0</v>
      </c>
      <c r="F12159" s="748">
        <f t="shared" si="428"/>
        <v>0</v>
      </c>
      <c r="G12159" s="1205"/>
      <c r="H12159" s="1055"/>
      <c r="I12159" s="1055"/>
      <c r="J12159" s="1055"/>
      <c r="K12159" s="1205"/>
      <c r="L12159" s="1055"/>
      <c r="M12159" s="1205"/>
      <c r="N12159" s="1054"/>
      <c r="O12159" s="1207"/>
      <c r="Q12159" s="1207"/>
    </row>
    <row r="12160" spans="3:17" s="700" customFormat="1" ht="70.5" hidden="1" customHeight="1">
      <c r="C12160" s="701"/>
      <c r="D12160" s="811"/>
      <c r="E12160" s="1276">
        <f>[11]building!Y12491</f>
        <v>0</v>
      </c>
      <c r="F12160" s="748">
        <f t="shared" ref="F12160:F12223" si="429">E12160*C12160</f>
        <v>0</v>
      </c>
      <c r="G12160" s="1205"/>
      <c r="H12160" s="1055"/>
      <c r="I12160" s="1055"/>
      <c r="J12160" s="1055"/>
      <c r="K12160" s="1205"/>
      <c r="L12160" s="1055"/>
      <c r="M12160" s="1205"/>
      <c r="N12160" s="1054"/>
      <c r="O12160" s="1207"/>
      <c r="Q12160" s="1207"/>
    </row>
    <row r="12161" spans="3:17" s="700" customFormat="1" ht="70.5" hidden="1" customHeight="1">
      <c r="C12161" s="701"/>
      <c r="D12161" s="811"/>
      <c r="E12161" s="1276">
        <f>[11]building!Y12492</f>
        <v>0</v>
      </c>
      <c r="F12161" s="748">
        <f t="shared" si="429"/>
        <v>0</v>
      </c>
      <c r="G12161" s="1205"/>
      <c r="H12161" s="1055"/>
      <c r="I12161" s="1055"/>
      <c r="J12161" s="1055"/>
      <c r="K12161" s="1205"/>
      <c r="L12161" s="1055"/>
      <c r="M12161" s="1205"/>
      <c r="N12161" s="1054"/>
      <c r="O12161" s="1207"/>
      <c r="Q12161" s="1207"/>
    </row>
    <row r="12162" spans="3:17" s="700" customFormat="1" ht="70.5" hidden="1" customHeight="1">
      <c r="C12162" s="701"/>
      <c r="D12162" s="811"/>
      <c r="E12162" s="1276">
        <f>[11]building!Y12493</f>
        <v>0</v>
      </c>
      <c r="F12162" s="748">
        <f t="shared" si="429"/>
        <v>0</v>
      </c>
      <c r="G12162" s="1205"/>
      <c r="H12162" s="1055"/>
      <c r="I12162" s="1055"/>
      <c r="J12162" s="1055"/>
      <c r="K12162" s="1205"/>
      <c r="L12162" s="1055"/>
      <c r="M12162" s="1205"/>
      <c r="N12162" s="1054"/>
      <c r="O12162" s="1207"/>
      <c r="Q12162" s="1207"/>
    </row>
    <row r="12163" spans="3:17" s="700" customFormat="1" ht="70.5" hidden="1" customHeight="1">
      <c r="C12163" s="701"/>
      <c r="D12163" s="811"/>
      <c r="E12163" s="1276">
        <f>[11]building!Y12494</f>
        <v>0</v>
      </c>
      <c r="F12163" s="748">
        <f t="shared" si="429"/>
        <v>0</v>
      </c>
      <c r="G12163" s="1205"/>
      <c r="H12163" s="1055"/>
      <c r="I12163" s="1055"/>
      <c r="J12163" s="1055"/>
      <c r="K12163" s="1205"/>
      <c r="L12163" s="1055"/>
      <c r="M12163" s="1205"/>
      <c r="N12163" s="1054"/>
      <c r="O12163" s="1207"/>
      <c r="Q12163" s="1207"/>
    </row>
    <row r="12164" spans="3:17" s="700" customFormat="1" ht="70.5" hidden="1" customHeight="1">
      <c r="C12164" s="701"/>
      <c r="D12164" s="811"/>
      <c r="E12164" s="1276">
        <f>[11]building!Y12495</f>
        <v>0</v>
      </c>
      <c r="F12164" s="748">
        <f t="shared" si="429"/>
        <v>0</v>
      </c>
      <c r="G12164" s="1205"/>
      <c r="H12164" s="1055"/>
      <c r="I12164" s="1055"/>
      <c r="J12164" s="1055"/>
      <c r="K12164" s="1205"/>
      <c r="L12164" s="1055"/>
      <c r="M12164" s="1205"/>
      <c r="N12164" s="1054"/>
      <c r="O12164" s="1207"/>
      <c r="Q12164" s="1207"/>
    </row>
    <row r="12165" spans="3:17" s="700" customFormat="1" ht="70.5" hidden="1" customHeight="1">
      <c r="C12165" s="701"/>
      <c r="D12165" s="811"/>
      <c r="E12165" s="1276">
        <f>[11]building!Y12496</f>
        <v>0</v>
      </c>
      <c r="F12165" s="748">
        <f t="shared" si="429"/>
        <v>0</v>
      </c>
      <c r="G12165" s="1205"/>
      <c r="H12165" s="1055"/>
      <c r="I12165" s="1055"/>
      <c r="J12165" s="1055"/>
      <c r="K12165" s="1205"/>
      <c r="L12165" s="1055"/>
      <c r="M12165" s="1205"/>
      <c r="N12165" s="1054"/>
      <c r="O12165" s="1207"/>
      <c r="Q12165" s="1207"/>
    </row>
    <row r="12166" spans="3:17" s="700" customFormat="1" ht="70.5" hidden="1" customHeight="1">
      <c r="C12166" s="701"/>
      <c r="D12166" s="811"/>
      <c r="E12166" s="1276">
        <f>[11]building!Y12497</f>
        <v>0</v>
      </c>
      <c r="F12166" s="748">
        <f t="shared" si="429"/>
        <v>0</v>
      </c>
      <c r="G12166" s="1205"/>
      <c r="H12166" s="1055"/>
      <c r="I12166" s="1055"/>
      <c r="J12166" s="1055"/>
      <c r="K12166" s="1205"/>
      <c r="L12166" s="1055"/>
      <c r="M12166" s="1205"/>
      <c r="N12166" s="1054"/>
      <c r="O12166" s="1207"/>
      <c r="Q12166" s="1207"/>
    </row>
    <row r="12167" spans="3:17" s="700" customFormat="1" ht="70.5" hidden="1" customHeight="1">
      <c r="C12167" s="701"/>
      <c r="D12167" s="811"/>
      <c r="E12167" s="1276">
        <f>[11]building!Y12498</f>
        <v>0</v>
      </c>
      <c r="F12167" s="748">
        <f t="shared" si="429"/>
        <v>0</v>
      </c>
      <c r="G12167" s="1205"/>
      <c r="H12167" s="1055"/>
      <c r="I12167" s="1055"/>
      <c r="J12167" s="1055"/>
      <c r="K12167" s="1205"/>
      <c r="L12167" s="1055"/>
      <c r="M12167" s="1205"/>
      <c r="N12167" s="1054"/>
      <c r="O12167" s="1207"/>
      <c r="Q12167" s="1207"/>
    </row>
    <row r="12168" spans="3:17" s="700" customFormat="1" ht="70.5" hidden="1" customHeight="1">
      <c r="C12168" s="701"/>
      <c r="D12168" s="811"/>
      <c r="E12168" s="1276">
        <f>[11]building!Y12499</f>
        <v>0</v>
      </c>
      <c r="F12168" s="748">
        <f t="shared" si="429"/>
        <v>0</v>
      </c>
      <c r="G12168" s="1205"/>
      <c r="H12168" s="1055"/>
      <c r="I12168" s="1055"/>
      <c r="J12168" s="1055"/>
      <c r="K12168" s="1205"/>
      <c r="L12168" s="1055"/>
      <c r="M12168" s="1205"/>
      <c r="N12168" s="1054"/>
      <c r="O12168" s="1207"/>
      <c r="Q12168" s="1207"/>
    </row>
    <row r="12169" spans="3:17" s="700" customFormat="1" ht="70.5" hidden="1" customHeight="1">
      <c r="C12169" s="701"/>
      <c r="D12169" s="811"/>
      <c r="E12169" s="1276">
        <f>[11]building!Y12500</f>
        <v>0</v>
      </c>
      <c r="F12169" s="748">
        <f t="shared" si="429"/>
        <v>0</v>
      </c>
      <c r="G12169" s="1205"/>
      <c r="H12169" s="1055"/>
      <c r="I12169" s="1055"/>
      <c r="J12169" s="1055"/>
      <c r="K12169" s="1205"/>
      <c r="L12169" s="1055"/>
      <c r="M12169" s="1205"/>
      <c r="N12169" s="1054"/>
      <c r="O12169" s="1207"/>
      <c r="Q12169" s="1207"/>
    </row>
    <row r="12170" spans="3:17" s="700" customFormat="1" ht="70.5" hidden="1" customHeight="1">
      <c r="C12170" s="701"/>
      <c r="D12170" s="811"/>
      <c r="E12170" s="1276">
        <f>[11]building!Y12501</f>
        <v>0</v>
      </c>
      <c r="F12170" s="748">
        <f t="shared" si="429"/>
        <v>0</v>
      </c>
      <c r="G12170" s="1205"/>
      <c r="H12170" s="1055"/>
      <c r="I12170" s="1055"/>
      <c r="J12170" s="1055"/>
      <c r="K12170" s="1205"/>
      <c r="L12170" s="1055"/>
      <c r="M12170" s="1205"/>
      <c r="N12170" s="1054"/>
      <c r="O12170" s="1207"/>
      <c r="Q12170" s="1207"/>
    </row>
    <row r="12171" spans="3:17" s="700" customFormat="1" ht="70.5" hidden="1" customHeight="1">
      <c r="C12171" s="701"/>
      <c r="D12171" s="811"/>
      <c r="E12171" s="1276">
        <f>[11]building!Y12502</f>
        <v>0</v>
      </c>
      <c r="F12171" s="748">
        <f t="shared" si="429"/>
        <v>0</v>
      </c>
      <c r="G12171" s="1205"/>
      <c r="H12171" s="1055"/>
      <c r="I12171" s="1055"/>
      <c r="J12171" s="1055"/>
      <c r="K12171" s="1205"/>
      <c r="L12171" s="1055"/>
      <c r="M12171" s="1205"/>
      <c r="N12171" s="1054"/>
      <c r="O12171" s="1207"/>
      <c r="Q12171" s="1207"/>
    </row>
    <row r="12172" spans="3:17" s="700" customFormat="1" ht="70.5" hidden="1" customHeight="1">
      <c r="C12172" s="701"/>
      <c r="D12172" s="811"/>
      <c r="E12172" s="1276">
        <f>[11]building!Y12503</f>
        <v>0</v>
      </c>
      <c r="F12172" s="748">
        <f t="shared" si="429"/>
        <v>0</v>
      </c>
      <c r="G12172" s="1205"/>
      <c r="H12172" s="1055"/>
      <c r="I12172" s="1055"/>
      <c r="J12172" s="1055"/>
      <c r="K12172" s="1205"/>
      <c r="L12172" s="1055"/>
      <c r="M12172" s="1205"/>
      <c r="N12172" s="1054"/>
      <c r="O12172" s="1207"/>
      <c r="Q12172" s="1207"/>
    </row>
    <row r="12173" spans="3:17" s="700" customFormat="1" ht="70.5" hidden="1" customHeight="1">
      <c r="C12173" s="701"/>
      <c r="D12173" s="811"/>
      <c r="E12173" s="1276">
        <f>[11]building!Y12504</f>
        <v>0</v>
      </c>
      <c r="F12173" s="748">
        <f t="shared" si="429"/>
        <v>0</v>
      </c>
      <c r="G12173" s="1205"/>
      <c r="H12173" s="1055"/>
      <c r="I12173" s="1055"/>
      <c r="J12173" s="1055"/>
      <c r="K12173" s="1205"/>
      <c r="L12173" s="1055"/>
      <c r="M12173" s="1205"/>
      <c r="N12173" s="1054"/>
      <c r="O12173" s="1207"/>
      <c r="Q12173" s="1207"/>
    </row>
    <row r="12174" spans="3:17" s="700" customFormat="1" ht="70.5" hidden="1" customHeight="1">
      <c r="C12174" s="701"/>
      <c r="D12174" s="811"/>
      <c r="E12174" s="1276">
        <f>[11]building!Y12505</f>
        <v>0</v>
      </c>
      <c r="F12174" s="748">
        <f t="shared" si="429"/>
        <v>0</v>
      </c>
      <c r="G12174" s="1205"/>
      <c r="H12174" s="1055"/>
      <c r="I12174" s="1055"/>
      <c r="J12174" s="1055"/>
      <c r="K12174" s="1205"/>
      <c r="L12174" s="1055"/>
      <c r="M12174" s="1205"/>
      <c r="N12174" s="1054"/>
      <c r="O12174" s="1207"/>
      <c r="Q12174" s="1207"/>
    </row>
    <row r="12175" spans="3:17" s="700" customFormat="1" ht="70.5" hidden="1" customHeight="1">
      <c r="C12175" s="701"/>
      <c r="D12175" s="811"/>
      <c r="E12175" s="1276">
        <f>[11]building!Y12506</f>
        <v>0</v>
      </c>
      <c r="F12175" s="748">
        <f t="shared" si="429"/>
        <v>0</v>
      </c>
      <c r="G12175" s="1205"/>
      <c r="H12175" s="1055"/>
      <c r="I12175" s="1055"/>
      <c r="J12175" s="1055"/>
      <c r="K12175" s="1205"/>
      <c r="L12175" s="1055"/>
      <c r="M12175" s="1205"/>
      <c r="N12175" s="1054"/>
      <c r="O12175" s="1207"/>
      <c r="Q12175" s="1207"/>
    </row>
    <row r="12176" spans="3:17" s="700" customFormat="1" ht="70.5" hidden="1" customHeight="1">
      <c r="C12176" s="701"/>
      <c r="D12176" s="811"/>
      <c r="E12176" s="1276">
        <f>[11]building!Y12507</f>
        <v>0</v>
      </c>
      <c r="F12176" s="748">
        <f t="shared" si="429"/>
        <v>0</v>
      </c>
      <c r="G12176" s="1205"/>
      <c r="H12176" s="1055"/>
      <c r="I12176" s="1055"/>
      <c r="J12176" s="1055"/>
      <c r="K12176" s="1205"/>
      <c r="L12176" s="1055"/>
      <c r="M12176" s="1205"/>
      <c r="N12176" s="1054"/>
      <c r="O12176" s="1207"/>
      <c r="Q12176" s="1207"/>
    </row>
    <row r="12177" spans="3:17" s="700" customFormat="1" ht="70.5" hidden="1" customHeight="1">
      <c r="C12177" s="701"/>
      <c r="D12177" s="811"/>
      <c r="E12177" s="1276">
        <f>[11]building!Y12508</f>
        <v>0</v>
      </c>
      <c r="F12177" s="748">
        <f t="shared" si="429"/>
        <v>0</v>
      </c>
      <c r="G12177" s="1205"/>
      <c r="H12177" s="1055"/>
      <c r="I12177" s="1055"/>
      <c r="J12177" s="1055"/>
      <c r="K12177" s="1205"/>
      <c r="L12177" s="1055"/>
      <c r="M12177" s="1205"/>
      <c r="N12177" s="1054"/>
      <c r="O12177" s="1207"/>
      <c r="Q12177" s="1207"/>
    </row>
    <row r="12178" spans="3:17" s="700" customFormat="1" ht="70.5" hidden="1" customHeight="1">
      <c r="C12178" s="701"/>
      <c r="D12178" s="811"/>
      <c r="E12178" s="1276">
        <f>[11]building!Y12509</f>
        <v>0</v>
      </c>
      <c r="F12178" s="748">
        <f t="shared" si="429"/>
        <v>0</v>
      </c>
      <c r="G12178" s="1205"/>
      <c r="H12178" s="1055"/>
      <c r="I12178" s="1055"/>
      <c r="J12178" s="1055"/>
      <c r="K12178" s="1205"/>
      <c r="L12178" s="1055"/>
      <c r="M12178" s="1205"/>
      <c r="N12178" s="1054"/>
      <c r="O12178" s="1207"/>
      <c r="Q12178" s="1207"/>
    </row>
    <row r="12179" spans="3:17" s="700" customFormat="1" ht="70.5" hidden="1" customHeight="1">
      <c r="C12179" s="701"/>
      <c r="D12179" s="811"/>
      <c r="E12179" s="1276">
        <f>[11]building!Y12510</f>
        <v>0</v>
      </c>
      <c r="F12179" s="748">
        <f t="shared" si="429"/>
        <v>0</v>
      </c>
      <c r="G12179" s="1205"/>
      <c r="H12179" s="1055"/>
      <c r="I12179" s="1055"/>
      <c r="J12179" s="1055"/>
      <c r="K12179" s="1205"/>
      <c r="L12179" s="1055"/>
      <c r="M12179" s="1205"/>
      <c r="N12179" s="1054"/>
      <c r="O12179" s="1207"/>
      <c r="Q12179" s="1207"/>
    </row>
    <row r="12180" spans="3:17" s="700" customFormat="1" ht="70.5" hidden="1" customHeight="1">
      <c r="C12180" s="701"/>
      <c r="D12180" s="811"/>
      <c r="E12180" s="1276">
        <f>[11]building!Y12511</f>
        <v>0</v>
      </c>
      <c r="F12180" s="748">
        <f t="shared" si="429"/>
        <v>0</v>
      </c>
      <c r="G12180" s="1205"/>
      <c r="H12180" s="1055"/>
      <c r="I12180" s="1055"/>
      <c r="J12180" s="1055"/>
      <c r="K12180" s="1205"/>
      <c r="L12180" s="1055"/>
      <c r="M12180" s="1205"/>
      <c r="N12180" s="1054"/>
      <c r="O12180" s="1207"/>
      <c r="Q12180" s="1207"/>
    </row>
    <row r="12181" spans="3:17" s="700" customFormat="1" ht="70.5" hidden="1" customHeight="1">
      <c r="C12181" s="701"/>
      <c r="D12181" s="811"/>
      <c r="E12181" s="1276">
        <f>[11]building!Y12512</f>
        <v>0</v>
      </c>
      <c r="F12181" s="748">
        <f t="shared" si="429"/>
        <v>0</v>
      </c>
      <c r="G12181" s="1205"/>
      <c r="H12181" s="1055"/>
      <c r="I12181" s="1055"/>
      <c r="J12181" s="1055"/>
      <c r="K12181" s="1205"/>
      <c r="L12181" s="1055"/>
      <c r="M12181" s="1205"/>
      <c r="N12181" s="1054"/>
      <c r="O12181" s="1207"/>
      <c r="Q12181" s="1207"/>
    </row>
    <row r="12182" spans="3:17" s="700" customFormat="1" ht="70.5" hidden="1" customHeight="1">
      <c r="C12182" s="701"/>
      <c r="D12182" s="811"/>
      <c r="E12182" s="1276">
        <f>[11]building!Y12513</f>
        <v>0</v>
      </c>
      <c r="F12182" s="748">
        <f t="shared" si="429"/>
        <v>0</v>
      </c>
      <c r="G12182" s="1205"/>
      <c r="H12182" s="1055"/>
      <c r="I12182" s="1055"/>
      <c r="J12182" s="1055"/>
      <c r="K12182" s="1205"/>
      <c r="L12182" s="1055"/>
      <c r="M12182" s="1205"/>
      <c r="N12182" s="1054"/>
      <c r="O12182" s="1207"/>
      <c r="Q12182" s="1207"/>
    </row>
    <row r="12183" spans="3:17" s="700" customFormat="1" ht="70.5" hidden="1" customHeight="1">
      <c r="C12183" s="701"/>
      <c r="D12183" s="811"/>
      <c r="E12183" s="1276">
        <f>[11]building!Y12514</f>
        <v>0</v>
      </c>
      <c r="F12183" s="748">
        <f t="shared" si="429"/>
        <v>0</v>
      </c>
      <c r="G12183" s="1205"/>
      <c r="H12183" s="1055"/>
      <c r="I12183" s="1055"/>
      <c r="J12183" s="1055"/>
      <c r="K12183" s="1205"/>
      <c r="L12183" s="1055"/>
      <c r="M12183" s="1205"/>
      <c r="N12183" s="1054"/>
      <c r="O12183" s="1207"/>
      <c r="Q12183" s="1207"/>
    </row>
    <row r="12184" spans="3:17" s="700" customFormat="1" ht="70.5" hidden="1" customHeight="1">
      <c r="C12184" s="701"/>
      <c r="D12184" s="811"/>
      <c r="E12184" s="1276">
        <f>[11]building!Y12515</f>
        <v>0</v>
      </c>
      <c r="F12184" s="748">
        <f t="shared" si="429"/>
        <v>0</v>
      </c>
      <c r="G12184" s="1205"/>
      <c r="H12184" s="1055"/>
      <c r="I12184" s="1055"/>
      <c r="J12184" s="1055"/>
      <c r="K12184" s="1205"/>
      <c r="L12184" s="1055"/>
      <c r="M12184" s="1205"/>
      <c r="N12184" s="1054"/>
      <c r="O12184" s="1207"/>
      <c r="Q12184" s="1207"/>
    </row>
    <row r="12185" spans="3:17" s="700" customFormat="1" ht="70.5" hidden="1" customHeight="1">
      <c r="C12185" s="701"/>
      <c r="D12185" s="811"/>
      <c r="E12185" s="1276">
        <f>[11]building!Y12516</f>
        <v>0</v>
      </c>
      <c r="F12185" s="748">
        <f t="shared" si="429"/>
        <v>0</v>
      </c>
      <c r="G12185" s="1205"/>
      <c r="H12185" s="1055"/>
      <c r="I12185" s="1055"/>
      <c r="J12185" s="1055"/>
      <c r="K12185" s="1205"/>
      <c r="L12185" s="1055"/>
      <c r="M12185" s="1205"/>
      <c r="N12185" s="1054"/>
      <c r="O12185" s="1207"/>
      <c r="Q12185" s="1207"/>
    </row>
    <row r="12186" spans="3:17" s="700" customFormat="1" ht="70.5" hidden="1" customHeight="1">
      <c r="C12186" s="701"/>
      <c r="D12186" s="811"/>
      <c r="E12186" s="1276">
        <f>[11]building!Y12517</f>
        <v>0</v>
      </c>
      <c r="F12186" s="748">
        <f t="shared" si="429"/>
        <v>0</v>
      </c>
      <c r="G12186" s="1205"/>
      <c r="H12186" s="1055"/>
      <c r="I12186" s="1055"/>
      <c r="J12186" s="1055"/>
      <c r="K12186" s="1205"/>
      <c r="L12186" s="1055"/>
      <c r="M12186" s="1205"/>
      <c r="N12186" s="1054"/>
      <c r="O12186" s="1207"/>
      <c r="Q12186" s="1207"/>
    </row>
    <row r="12187" spans="3:17" s="700" customFormat="1" ht="70.5" hidden="1" customHeight="1">
      <c r="C12187" s="701"/>
      <c r="D12187" s="811"/>
      <c r="E12187" s="1276">
        <f>[11]building!Y12518</f>
        <v>0</v>
      </c>
      <c r="F12187" s="748">
        <f t="shared" si="429"/>
        <v>0</v>
      </c>
      <c r="G12187" s="1205"/>
      <c r="H12187" s="1055"/>
      <c r="I12187" s="1055"/>
      <c r="J12187" s="1055"/>
      <c r="K12187" s="1205"/>
      <c r="L12187" s="1055"/>
      <c r="M12187" s="1205"/>
      <c r="N12187" s="1054"/>
      <c r="O12187" s="1207"/>
      <c r="Q12187" s="1207"/>
    </row>
    <row r="12188" spans="3:17" s="700" customFormat="1" ht="70.5" hidden="1" customHeight="1">
      <c r="C12188" s="701"/>
      <c r="D12188" s="811"/>
      <c r="E12188" s="1276">
        <f>[11]building!Y12519</f>
        <v>0</v>
      </c>
      <c r="F12188" s="748">
        <f t="shared" si="429"/>
        <v>0</v>
      </c>
      <c r="G12188" s="1205"/>
      <c r="H12188" s="1055"/>
      <c r="I12188" s="1055"/>
      <c r="J12188" s="1055"/>
      <c r="K12188" s="1205"/>
      <c r="L12188" s="1055"/>
      <c r="M12188" s="1205"/>
      <c r="N12188" s="1054"/>
      <c r="O12188" s="1207"/>
      <c r="Q12188" s="1207"/>
    </row>
    <row r="12189" spans="3:17" s="700" customFormat="1" ht="70.5" hidden="1" customHeight="1">
      <c r="C12189" s="701"/>
      <c r="D12189" s="811"/>
      <c r="E12189" s="1276">
        <f>[11]building!Y12520</f>
        <v>0</v>
      </c>
      <c r="F12189" s="748">
        <f t="shared" si="429"/>
        <v>0</v>
      </c>
      <c r="G12189" s="1205"/>
      <c r="H12189" s="1055"/>
      <c r="I12189" s="1055"/>
      <c r="J12189" s="1055"/>
      <c r="K12189" s="1205"/>
      <c r="L12189" s="1055"/>
      <c r="M12189" s="1205"/>
      <c r="N12189" s="1054"/>
      <c r="O12189" s="1207"/>
      <c r="Q12189" s="1207"/>
    </row>
    <row r="12190" spans="3:17" s="700" customFormat="1" ht="70.5" hidden="1" customHeight="1">
      <c r="C12190" s="701"/>
      <c r="D12190" s="811"/>
      <c r="E12190" s="1276">
        <f>[11]building!Y12521</f>
        <v>0</v>
      </c>
      <c r="F12190" s="748">
        <f t="shared" si="429"/>
        <v>0</v>
      </c>
      <c r="G12190" s="1205"/>
      <c r="H12190" s="1055"/>
      <c r="I12190" s="1055"/>
      <c r="J12190" s="1055"/>
      <c r="K12190" s="1205"/>
      <c r="L12190" s="1055"/>
      <c r="M12190" s="1205"/>
      <c r="N12190" s="1054"/>
      <c r="O12190" s="1207"/>
      <c r="Q12190" s="1207"/>
    </row>
    <row r="12191" spans="3:17" s="700" customFormat="1" ht="70.5" hidden="1" customHeight="1">
      <c r="C12191" s="701"/>
      <c r="D12191" s="811"/>
      <c r="E12191" s="1276">
        <f>[11]building!Y12522</f>
        <v>0</v>
      </c>
      <c r="F12191" s="748">
        <f t="shared" si="429"/>
        <v>0</v>
      </c>
      <c r="G12191" s="1205"/>
      <c r="H12191" s="1055"/>
      <c r="I12191" s="1055"/>
      <c r="J12191" s="1055"/>
      <c r="K12191" s="1205"/>
      <c r="L12191" s="1055"/>
      <c r="M12191" s="1205"/>
      <c r="N12191" s="1054"/>
      <c r="O12191" s="1207"/>
      <c r="Q12191" s="1207"/>
    </row>
    <row r="12192" spans="3:17" s="700" customFormat="1" ht="70.5" hidden="1" customHeight="1">
      <c r="C12192" s="701"/>
      <c r="D12192" s="811"/>
      <c r="E12192" s="1276">
        <f>[11]building!Y12523</f>
        <v>0</v>
      </c>
      <c r="F12192" s="748">
        <f t="shared" si="429"/>
        <v>0</v>
      </c>
      <c r="G12192" s="1205"/>
      <c r="H12192" s="1055"/>
      <c r="I12192" s="1055"/>
      <c r="J12192" s="1055"/>
      <c r="K12192" s="1205"/>
      <c r="L12192" s="1055"/>
      <c r="M12192" s="1205"/>
      <c r="N12192" s="1054"/>
      <c r="O12192" s="1207"/>
      <c r="Q12192" s="1207"/>
    </row>
    <row r="12193" spans="3:17" s="700" customFormat="1" ht="70.5" hidden="1" customHeight="1">
      <c r="C12193" s="701"/>
      <c r="D12193" s="811"/>
      <c r="E12193" s="1276">
        <f>[11]building!Y12524</f>
        <v>0</v>
      </c>
      <c r="F12193" s="748">
        <f t="shared" si="429"/>
        <v>0</v>
      </c>
      <c r="G12193" s="1205"/>
      <c r="H12193" s="1055"/>
      <c r="I12193" s="1055"/>
      <c r="J12193" s="1055"/>
      <c r="K12193" s="1205"/>
      <c r="L12193" s="1055"/>
      <c r="M12193" s="1205"/>
      <c r="N12193" s="1054"/>
      <c r="O12193" s="1207"/>
      <c r="Q12193" s="1207"/>
    </row>
    <row r="12194" spans="3:17" s="700" customFormat="1" ht="70.5" hidden="1" customHeight="1">
      <c r="C12194" s="701"/>
      <c r="D12194" s="811"/>
      <c r="E12194" s="1276">
        <f>[11]building!Y12525</f>
        <v>0</v>
      </c>
      <c r="F12194" s="748">
        <f t="shared" si="429"/>
        <v>0</v>
      </c>
      <c r="G12194" s="1205"/>
      <c r="H12194" s="1055"/>
      <c r="I12194" s="1055"/>
      <c r="J12194" s="1055"/>
      <c r="K12194" s="1205"/>
      <c r="L12194" s="1055"/>
      <c r="M12194" s="1205"/>
      <c r="N12194" s="1054"/>
      <c r="O12194" s="1207"/>
      <c r="Q12194" s="1207"/>
    </row>
    <row r="12195" spans="3:17" s="700" customFormat="1" ht="70.5" hidden="1" customHeight="1">
      <c r="C12195" s="701"/>
      <c r="D12195" s="811"/>
      <c r="E12195" s="1276">
        <f>[11]building!Y12526</f>
        <v>0</v>
      </c>
      <c r="F12195" s="748">
        <f t="shared" si="429"/>
        <v>0</v>
      </c>
      <c r="G12195" s="1205"/>
      <c r="H12195" s="1055"/>
      <c r="I12195" s="1055"/>
      <c r="J12195" s="1055"/>
      <c r="K12195" s="1205"/>
      <c r="L12195" s="1055"/>
      <c r="M12195" s="1205"/>
      <c r="N12195" s="1054"/>
      <c r="O12195" s="1207"/>
      <c r="Q12195" s="1207"/>
    </row>
    <row r="12196" spans="3:17" s="700" customFormat="1" ht="70.5" hidden="1" customHeight="1">
      <c r="C12196" s="701"/>
      <c r="D12196" s="811"/>
      <c r="E12196" s="1276">
        <f>[11]building!Y12527</f>
        <v>0</v>
      </c>
      <c r="F12196" s="748">
        <f t="shared" si="429"/>
        <v>0</v>
      </c>
      <c r="G12196" s="1205"/>
      <c r="H12196" s="1055"/>
      <c r="I12196" s="1055"/>
      <c r="J12196" s="1055"/>
      <c r="K12196" s="1205"/>
      <c r="L12196" s="1055"/>
      <c r="M12196" s="1205"/>
      <c r="N12196" s="1054"/>
      <c r="O12196" s="1207"/>
      <c r="Q12196" s="1207"/>
    </row>
    <row r="12197" spans="3:17" s="700" customFormat="1" ht="70.5" hidden="1" customHeight="1">
      <c r="C12197" s="701"/>
      <c r="D12197" s="811"/>
      <c r="E12197" s="1276">
        <f>[11]building!Y12528</f>
        <v>0</v>
      </c>
      <c r="F12197" s="748">
        <f t="shared" si="429"/>
        <v>0</v>
      </c>
      <c r="G12197" s="1205"/>
      <c r="H12197" s="1055"/>
      <c r="I12197" s="1055"/>
      <c r="J12197" s="1055"/>
      <c r="K12197" s="1205"/>
      <c r="L12197" s="1055"/>
      <c r="M12197" s="1205"/>
      <c r="N12197" s="1054"/>
      <c r="O12197" s="1207"/>
      <c r="Q12197" s="1207"/>
    </row>
    <row r="12198" spans="3:17" s="700" customFormat="1" ht="70.5" hidden="1" customHeight="1">
      <c r="C12198" s="701"/>
      <c r="D12198" s="811"/>
      <c r="E12198" s="1276">
        <f>[11]building!Y12529</f>
        <v>0</v>
      </c>
      <c r="F12198" s="748">
        <f t="shared" si="429"/>
        <v>0</v>
      </c>
      <c r="G12198" s="1205"/>
      <c r="H12198" s="1055"/>
      <c r="I12198" s="1055"/>
      <c r="J12198" s="1055"/>
      <c r="K12198" s="1205"/>
      <c r="L12198" s="1055"/>
      <c r="M12198" s="1205"/>
      <c r="N12198" s="1054"/>
      <c r="O12198" s="1207"/>
      <c r="Q12198" s="1207"/>
    </row>
    <row r="12199" spans="3:17" s="700" customFormat="1" ht="70.5" hidden="1" customHeight="1">
      <c r="C12199" s="701"/>
      <c r="D12199" s="811"/>
      <c r="E12199" s="1276">
        <f>[11]building!Y12530</f>
        <v>0</v>
      </c>
      <c r="F12199" s="748">
        <f t="shared" si="429"/>
        <v>0</v>
      </c>
      <c r="G12199" s="1205"/>
      <c r="H12199" s="1055"/>
      <c r="I12199" s="1055"/>
      <c r="J12199" s="1055"/>
      <c r="K12199" s="1205"/>
      <c r="L12199" s="1055"/>
      <c r="M12199" s="1205"/>
      <c r="N12199" s="1054"/>
      <c r="O12199" s="1207"/>
      <c r="Q12199" s="1207"/>
    </row>
    <row r="12200" spans="3:17" s="700" customFormat="1" ht="70.5" hidden="1" customHeight="1">
      <c r="C12200" s="701"/>
      <c r="D12200" s="811"/>
      <c r="E12200" s="1276">
        <f>[11]building!Y12531</f>
        <v>0</v>
      </c>
      <c r="F12200" s="748">
        <f t="shared" si="429"/>
        <v>0</v>
      </c>
      <c r="G12200" s="1205"/>
      <c r="H12200" s="1055"/>
      <c r="I12200" s="1055"/>
      <c r="J12200" s="1055"/>
      <c r="K12200" s="1205"/>
      <c r="L12200" s="1055"/>
      <c r="M12200" s="1205"/>
      <c r="N12200" s="1054"/>
      <c r="O12200" s="1207"/>
      <c r="Q12200" s="1207"/>
    </row>
    <row r="12201" spans="3:17" s="700" customFormat="1" ht="70.5" hidden="1" customHeight="1">
      <c r="C12201" s="701"/>
      <c r="D12201" s="811"/>
      <c r="E12201" s="1276">
        <f>[11]building!Y12532</f>
        <v>0</v>
      </c>
      <c r="F12201" s="748">
        <f t="shared" si="429"/>
        <v>0</v>
      </c>
      <c r="G12201" s="1205"/>
      <c r="H12201" s="1055"/>
      <c r="I12201" s="1055"/>
      <c r="J12201" s="1055"/>
      <c r="K12201" s="1205"/>
      <c r="L12201" s="1055"/>
      <c r="M12201" s="1205"/>
      <c r="N12201" s="1054"/>
      <c r="O12201" s="1207"/>
      <c r="Q12201" s="1207"/>
    </row>
    <row r="12202" spans="3:17" s="700" customFormat="1" ht="70.5" hidden="1" customHeight="1">
      <c r="C12202" s="701"/>
      <c r="D12202" s="811"/>
      <c r="E12202" s="1276">
        <f>[11]building!Y12533</f>
        <v>0</v>
      </c>
      <c r="F12202" s="748">
        <f t="shared" si="429"/>
        <v>0</v>
      </c>
      <c r="G12202" s="1205"/>
      <c r="H12202" s="1055"/>
      <c r="I12202" s="1055"/>
      <c r="J12202" s="1055"/>
      <c r="K12202" s="1205"/>
      <c r="L12202" s="1055"/>
      <c r="M12202" s="1205"/>
      <c r="N12202" s="1054"/>
      <c r="O12202" s="1207"/>
      <c r="Q12202" s="1207"/>
    </row>
    <row r="12203" spans="3:17" s="700" customFormat="1" ht="70.5" hidden="1" customHeight="1">
      <c r="C12203" s="701"/>
      <c r="D12203" s="811"/>
      <c r="E12203" s="1276">
        <f>[11]building!Y12534</f>
        <v>0</v>
      </c>
      <c r="F12203" s="748">
        <f t="shared" si="429"/>
        <v>0</v>
      </c>
      <c r="G12203" s="1205"/>
      <c r="H12203" s="1055"/>
      <c r="I12203" s="1055"/>
      <c r="J12203" s="1055"/>
      <c r="K12203" s="1205"/>
      <c r="L12203" s="1055"/>
      <c r="M12203" s="1205"/>
      <c r="N12203" s="1054"/>
      <c r="O12203" s="1207"/>
      <c r="Q12203" s="1207"/>
    </row>
    <row r="12204" spans="3:17" s="700" customFormat="1" ht="70.5" hidden="1" customHeight="1">
      <c r="C12204" s="701"/>
      <c r="D12204" s="811"/>
      <c r="E12204" s="1276">
        <f>[11]building!Y12535</f>
        <v>0</v>
      </c>
      <c r="F12204" s="748">
        <f t="shared" si="429"/>
        <v>0</v>
      </c>
      <c r="G12204" s="1205"/>
      <c r="H12204" s="1055"/>
      <c r="I12204" s="1055"/>
      <c r="J12204" s="1055"/>
      <c r="K12204" s="1205"/>
      <c r="L12204" s="1055"/>
      <c r="M12204" s="1205"/>
      <c r="N12204" s="1054"/>
      <c r="O12204" s="1207"/>
      <c r="Q12204" s="1207"/>
    </row>
    <row r="12205" spans="3:17" s="700" customFormat="1" ht="70.5" hidden="1" customHeight="1">
      <c r="C12205" s="701"/>
      <c r="D12205" s="811"/>
      <c r="E12205" s="1276">
        <f>[11]building!Y12536</f>
        <v>0</v>
      </c>
      <c r="F12205" s="748">
        <f t="shared" si="429"/>
        <v>0</v>
      </c>
      <c r="G12205" s="1205"/>
      <c r="H12205" s="1055"/>
      <c r="I12205" s="1055"/>
      <c r="J12205" s="1055"/>
      <c r="K12205" s="1205"/>
      <c r="L12205" s="1055"/>
      <c r="M12205" s="1205"/>
      <c r="N12205" s="1054"/>
      <c r="O12205" s="1207"/>
      <c r="Q12205" s="1207"/>
    </row>
    <row r="12206" spans="3:17" s="700" customFormat="1" ht="70.5" hidden="1" customHeight="1">
      <c r="C12206" s="701"/>
      <c r="D12206" s="811"/>
      <c r="E12206" s="1276">
        <f>[11]building!Y12537</f>
        <v>0</v>
      </c>
      <c r="F12206" s="748">
        <f t="shared" si="429"/>
        <v>0</v>
      </c>
      <c r="G12206" s="1205"/>
      <c r="H12206" s="1055"/>
      <c r="I12206" s="1055"/>
      <c r="J12206" s="1055"/>
      <c r="K12206" s="1205"/>
      <c r="L12206" s="1055"/>
      <c r="M12206" s="1205"/>
      <c r="N12206" s="1054"/>
      <c r="O12206" s="1207"/>
      <c r="Q12206" s="1207"/>
    </row>
    <row r="12207" spans="3:17" s="700" customFormat="1" ht="70.5" hidden="1" customHeight="1">
      <c r="C12207" s="701"/>
      <c r="D12207" s="811"/>
      <c r="E12207" s="1276">
        <f>[11]building!Y12538</f>
        <v>0</v>
      </c>
      <c r="F12207" s="748">
        <f t="shared" si="429"/>
        <v>0</v>
      </c>
      <c r="G12207" s="1205"/>
      <c r="H12207" s="1055"/>
      <c r="I12207" s="1055"/>
      <c r="J12207" s="1055"/>
      <c r="K12207" s="1205"/>
      <c r="L12207" s="1055"/>
      <c r="M12207" s="1205"/>
      <c r="N12207" s="1054"/>
      <c r="O12207" s="1207"/>
      <c r="Q12207" s="1207"/>
    </row>
    <row r="12208" spans="3:17" s="700" customFormat="1" ht="70.5" hidden="1" customHeight="1">
      <c r="C12208" s="701"/>
      <c r="D12208" s="811"/>
      <c r="E12208" s="1276">
        <f>[11]building!Y12539</f>
        <v>0</v>
      </c>
      <c r="F12208" s="748">
        <f t="shared" si="429"/>
        <v>0</v>
      </c>
      <c r="G12208" s="1205"/>
      <c r="H12208" s="1055"/>
      <c r="I12208" s="1055"/>
      <c r="J12208" s="1055"/>
      <c r="K12208" s="1205"/>
      <c r="L12208" s="1055"/>
      <c r="M12208" s="1205"/>
      <c r="N12208" s="1054"/>
      <c r="O12208" s="1207"/>
      <c r="Q12208" s="1207"/>
    </row>
    <row r="12209" spans="3:17" s="700" customFormat="1" ht="70.5" hidden="1" customHeight="1">
      <c r="C12209" s="701"/>
      <c r="D12209" s="811"/>
      <c r="E12209" s="1276">
        <f>[11]building!Y12540</f>
        <v>0</v>
      </c>
      <c r="F12209" s="748">
        <f t="shared" si="429"/>
        <v>0</v>
      </c>
      <c r="G12209" s="1205"/>
      <c r="H12209" s="1055"/>
      <c r="I12209" s="1055"/>
      <c r="J12209" s="1055"/>
      <c r="K12209" s="1205"/>
      <c r="L12209" s="1055"/>
      <c r="M12209" s="1205"/>
      <c r="N12209" s="1054"/>
      <c r="O12209" s="1207"/>
      <c r="Q12209" s="1207"/>
    </row>
    <row r="12210" spans="3:17" s="700" customFormat="1" ht="70.5" hidden="1" customHeight="1">
      <c r="C12210" s="701"/>
      <c r="D12210" s="811"/>
      <c r="E12210" s="1276">
        <f>[11]building!Y12541</f>
        <v>0</v>
      </c>
      <c r="F12210" s="748">
        <f t="shared" si="429"/>
        <v>0</v>
      </c>
      <c r="G12210" s="1205"/>
      <c r="H12210" s="1055"/>
      <c r="I12210" s="1055"/>
      <c r="J12210" s="1055"/>
      <c r="K12210" s="1205"/>
      <c r="L12210" s="1055"/>
      <c r="M12210" s="1205"/>
      <c r="N12210" s="1054"/>
      <c r="O12210" s="1207"/>
      <c r="Q12210" s="1207"/>
    </row>
    <row r="12211" spans="3:17" s="700" customFormat="1" ht="70.5" hidden="1" customHeight="1">
      <c r="C12211" s="701"/>
      <c r="D12211" s="811"/>
      <c r="E12211" s="1276">
        <f>[11]building!Y12542</f>
        <v>0</v>
      </c>
      <c r="F12211" s="748">
        <f t="shared" si="429"/>
        <v>0</v>
      </c>
      <c r="G12211" s="1205"/>
      <c r="H12211" s="1055"/>
      <c r="I12211" s="1055"/>
      <c r="J12211" s="1055"/>
      <c r="K12211" s="1205"/>
      <c r="L12211" s="1055"/>
      <c r="M12211" s="1205"/>
      <c r="N12211" s="1054"/>
      <c r="O12211" s="1207"/>
      <c r="Q12211" s="1207"/>
    </row>
    <row r="12212" spans="3:17" s="700" customFormat="1" ht="70.5" hidden="1" customHeight="1">
      <c r="C12212" s="701"/>
      <c r="D12212" s="811"/>
      <c r="E12212" s="1276">
        <f>[11]building!Y12543</f>
        <v>0</v>
      </c>
      <c r="F12212" s="748">
        <f t="shared" si="429"/>
        <v>0</v>
      </c>
      <c r="G12212" s="1205"/>
      <c r="H12212" s="1055"/>
      <c r="I12212" s="1055"/>
      <c r="J12212" s="1055"/>
      <c r="K12212" s="1205"/>
      <c r="L12212" s="1055"/>
      <c r="M12212" s="1205"/>
      <c r="N12212" s="1054"/>
      <c r="O12212" s="1207"/>
      <c r="Q12212" s="1207"/>
    </row>
    <row r="12213" spans="3:17" s="700" customFormat="1" ht="70.5" hidden="1" customHeight="1">
      <c r="C12213" s="701"/>
      <c r="D12213" s="811"/>
      <c r="E12213" s="1276">
        <f>[11]building!Y12544</f>
        <v>0</v>
      </c>
      <c r="F12213" s="748">
        <f t="shared" si="429"/>
        <v>0</v>
      </c>
      <c r="G12213" s="1205"/>
      <c r="H12213" s="1055"/>
      <c r="I12213" s="1055"/>
      <c r="J12213" s="1055"/>
      <c r="K12213" s="1205"/>
      <c r="L12213" s="1055"/>
      <c r="M12213" s="1205"/>
      <c r="N12213" s="1054"/>
      <c r="O12213" s="1207"/>
      <c r="Q12213" s="1207"/>
    </row>
    <row r="12214" spans="3:17" s="700" customFormat="1" ht="70.5" hidden="1" customHeight="1">
      <c r="C12214" s="701"/>
      <c r="D12214" s="811"/>
      <c r="E12214" s="1276">
        <f>[11]building!Y12545</f>
        <v>0</v>
      </c>
      <c r="F12214" s="748">
        <f t="shared" si="429"/>
        <v>0</v>
      </c>
      <c r="G12214" s="1205"/>
      <c r="H12214" s="1055"/>
      <c r="I12214" s="1055"/>
      <c r="J12214" s="1055"/>
      <c r="K12214" s="1205"/>
      <c r="L12214" s="1055"/>
      <c r="M12214" s="1205"/>
      <c r="N12214" s="1054"/>
      <c r="O12214" s="1207"/>
      <c r="Q12214" s="1207"/>
    </row>
    <row r="12215" spans="3:17" s="700" customFormat="1" ht="70.5" hidden="1" customHeight="1">
      <c r="C12215" s="701"/>
      <c r="D12215" s="811"/>
      <c r="E12215" s="1276">
        <f>[11]building!Y12546</f>
        <v>0</v>
      </c>
      <c r="F12215" s="748">
        <f t="shared" si="429"/>
        <v>0</v>
      </c>
      <c r="G12215" s="1205"/>
      <c r="H12215" s="1055"/>
      <c r="I12215" s="1055"/>
      <c r="J12215" s="1055"/>
      <c r="K12215" s="1205"/>
      <c r="L12215" s="1055"/>
      <c r="M12215" s="1205"/>
      <c r="N12215" s="1054"/>
      <c r="O12215" s="1207"/>
      <c r="Q12215" s="1207"/>
    </row>
    <row r="12216" spans="3:17" s="700" customFormat="1" ht="70.5" hidden="1" customHeight="1">
      <c r="C12216" s="701"/>
      <c r="D12216" s="811"/>
      <c r="E12216" s="1276">
        <f>[11]building!Y12547</f>
        <v>0</v>
      </c>
      <c r="F12216" s="748">
        <f t="shared" si="429"/>
        <v>0</v>
      </c>
      <c r="G12216" s="1205"/>
      <c r="H12216" s="1055"/>
      <c r="I12216" s="1055"/>
      <c r="J12216" s="1055"/>
      <c r="K12216" s="1205"/>
      <c r="L12216" s="1055"/>
      <c r="M12216" s="1205"/>
      <c r="N12216" s="1054"/>
      <c r="O12216" s="1207"/>
      <c r="Q12216" s="1207"/>
    </row>
    <row r="12217" spans="3:17" s="700" customFormat="1" ht="70.5" hidden="1" customHeight="1">
      <c r="C12217" s="701"/>
      <c r="D12217" s="811"/>
      <c r="E12217" s="1276">
        <f>[11]building!Y12548</f>
        <v>0</v>
      </c>
      <c r="F12217" s="748">
        <f t="shared" si="429"/>
        <v>0</v>
      </c>
      <c r="G12217" s="1205"/>
      <c r="H12217" s="1055"/>
      <c r="I12217" s="1055"/>
      <c r="J12217" s="1055"/>
      <c r="K12217" s="1205"/>
      <c r="L12217" s="1055"/>
      <c r="M12217" s="1205"/>
      <c r="N12217" s="1054"/>
      <c r="O12217" s="1207"/>
      <c r="Q12217" s="1207"/>
    </row>
    <row r="12218" spans="3:17" s="700" customFormat="1" ht="70.5" hidden="1" customHeight="1">
      <c r="C12218" s="701"/>
      <c r="D12218" s="811"/>
      <c r="E12218" s="1276">
        <f>[11]building!Y12549</f>
        <v>0</v>
      </c>
      <c r="F12218" s="748">
        <f t="shared" si="429"/>
        <v>0</v>
      </c>
      <c r="G12218" s="1205"/>
      <c r="H12218" s="1055"/>
      <c r="I12218" s="1055"/>
      <c r="J12218" s="1055"/>
      <c r="K12218" s="1205"/>
      <c r="L12218" s="1055"/>
      <c r="M12218" s="1205"/>
      <c r="N12218" s="1054"/>
      <c r="O12218" s="1207"/>
      <c r="Q12218" s="1207"/>
    </row>
    <row r="12219" spans="3:17" s="700" customFormat="1" ht="70.5" hidden="1" customHeight="1">
      <c r="C12219" s="701"/>
      <c r="D12219" s="811"/>
      <c r="E12219" s="1276">
        <f>[11]building!Y12550</f>
        <v>0</v>
      </c>
      <c r="F12219" s="748">
        <f t="shared" si="429"/>
        <v>0</v>
      </c>
      <c r="G12219" s="1205"/>
      <c r="H12219" s="1055"/>
      <c r="I12219" s="1055"/>
      <c r="J12219" s="1055"/>
      <c r="K12219" s="1205"/>
      <c r="L12219" s="1055"/>
      <c r="M12219" s="1205"/>
      <c r="N12219" s="1054"/>
      <c r="O12219" s="1207"/>
      <c r="Q12219" s="1207"/>
    </row>
    <row r="12220" spans="3:17" s="700" customFormat="1" ht="70.5" hidden="1" customHeight="1">
      <c r="C12220" s="701"/>
      <c r="D12220" s="811"/>
      <c r="E12220" s="1276">
        <f>[11]building!Y12551</f>
        <v>0</v>
      </c>
      <c r="F12220" s="748">
        <f t="shared" si="429"/>
        <v>0</v>
      </c>
      <c r="G12220" s="1205"/>
      <c r="H12220" s="1055"/>
      <c r="I12220" s="1055"/>
      <c r="J12220" s="1055"/>
      <c r="K12220" s="1205"/>
      <c r="L12220" s="1055"/>
      <c r="M12220" s="1205"/>
      <c r="N12220" s="1054"/>
      <c r="O12220" s="1207"/>
      <c r="Q12220" s="1207"/>
    </row>
    <row r="12221" spans="3:17" s="700" customFormat="1" ht="70.5" hidden="1" customHeight="1">
      <c r="C12221" s="701"/>
      <c r="D12221" s="811"/>
      <c r="E12221" s="1276">
        <f>[11]building!Y12552</f>
        <v>0</v>
      </c>
      <c r="F12221" s="748">
        <f t="shared" si="429"/>
        <v>0</v>
      </c>
      <c r="G12221" s="1205"/>
      <c r="H12221" s="1055"/>
      <c r="I12221" s="1055"/>
      <c r="J12221" s="1055"/>
      <c r="K12221" s="1205"/>
      <c r="L12221" s="1055"/>
      <c r="M12221" s="1205"/>
      <c r="N12221" s="1054"/>
      <c r="O12221" s="1207"/>
      <c r="Q12221" s="1207"/>
    </row>
    <row r="12222" spans="3:17" s="700" customFormat="1" ht="70.5" hidden="1" customHeight="1">
      <c r="C12222" s="701"/>
      <c r="D12222" s="811"/>
      <c r="E12222" s="1276">
        <f>[11]building!Y12553</f>
        <v>0</v>
      </c>
      <c r="F12222" s="748">
        <f t="shared" si="429"/>
        <v>0</v>
      </c>
      <c r="G12222" s="1205"/>
      <c r="H12222" s="1055"/>
      <c r="I12222" s="1055"/>
      <c r="J12222" s="1055"/>
      <c r="K12222" s="1205"/>
      <c r="L12222" s="1055"/>
      <c r="M12222" s="1205"/>
      <c r="N12222" s="1054"/>
      <c r="O12222" s="1207"/>
      <c r="Q12222" s="1207"/>
    </row>
    <row r="12223" spans="3:17" s="700" customFormat="1" ht="70.5" hidden="1" customHeight="1">
      <c r="C12223" s="701"/>
      <c r="D12223" s="811"/>
      <c r="E12223" s="1276">
        <f>[11]building!Y12554</f>
        <v>0</v>
      </c>
      <c r="F12223" s="748">
        <f t="shared" si="429"/>
        <v>0</v>
      </c>
      <c r="G12223" s="1205"/>
      <c r="H12223" s="1055"/>
      <c r="I12223" s="1055"/>
      <c r="J12223" s="1055"/>
      <c r="K12223" s="1205"/>
      <c r="L12223" s="1055"/>
      <c r="M12223" s="1205"/>
      <c r="N12223" s="1054"/>
      <c r="O12223" s="1207"/>
      <c r="Q12223" s="1207"/>
    </row>
    <row r="12224" spans="3:17" s="700" customFormat="1" ht="70.5" hidden="1" customHeight="1">
      <c r="C12224" s="701"/>
      <c r="D12224" s="811"/>
      <c r="E12224" s="1276">
        <f>[11]building!Y12555</f>
        <v>0</v>
      </c>
      <c r="F12224" s="748">
        <f t="shared" ref="F12224:F12287" si="430">E12224*C12224</f>
        <v>0</v>
      </c>
      <c r="G12224" s="1205"/>
      <c r="H12224" s="1055"/>
      <c r="I12224" s="1055"/>
      <c r="J12224" s="1055"/>
      <c r="K12224" s="1205"/>
      <c r="L12224" s="1055"/>
      <c r="M12224" s="1205"/>
      <c r="N12224" s="1054"/>
      <c r="O12224" s="1207"/>
      <c r="Q12224" s="1207"/>
    </row>
    <row r="12225" spans="3:17" s="700" customFormat="1" ht="70.5" hidden="1" customHeight="1">
      <c r="C12225" s="701"/>
      <c r="D12225" s="811"/>
      <c r="E12225" s="1276">
        <f>[11]building!Y12556</f>
        <v>0</v>
      </c>
      <c r="F12225" s="748">
        <f t="shared" si="430"/>
        <v>0</v>
      </c>
      <c r="G12225" s="1205"/>
      <c r="H12225" s="1055"/>
      <c r="I12225" s="1055"/>
      <c r="J12225" s="1055"/>
      <c r="K12225" s="1205"/>
      <c r="L12225" s="1055"/>
      <c r="M12225" s="1205"/>
      <c r="N12225" s="1054"/>
      <c r="O12225" s="1207"/>
      <c r="Q12225" s="1207"/>
    </row>
    <row r="12226" spans="3:17" s="700" customFormat="1" ht="70.5" hidden="1" customHeight="1">
      <c r="C12226" s="701"/>
      <c r="D12226" s="811"/>
      <c r="E12226" s="1276">
        <f>[11]building!Y12557</f>
        <v>0</v>
      </c>
      <c r="F12226" s="748">
        <f t="shared" si="430"/>
        <v>0</v>
      </c>
      <c r="G12226" s="1205"/>
      <c r="H12226" s="1055"/>
      <c r="I12226" s="1055"/>
      <c r="J12226" s="1055"/>
      <c r="K12226" s="1205"/>
      <c r="L12226" s="1055"/>
      <c r="M12226" s="1205"/>
      <c r="N12226" s="1054"/>
      <c r="O12226" s="1207"/>
      <c r="Q12226" s="1207"/>
    </row>
    <row r="12227" spans="3:17" s="700" customFormat="1" ht="70.5" hidden="1" customHeight="1">
      <c r="C12227" s="701"/>
      <c r="D12227" s="811"/>
      <c r="E12227" s="1276">
        <f>[11]building!Y12558</f>
        <v>0</v>
      </c>
      <c r="F12227" s="748">
        <f t="shared" si="430"/>
        <v>0</v>
      </c>
      <c r="G12227" s="1205"/>
      <c r="H12227" s="1055"/>
      <c r="I12227" s="1055"/>
      <c r="J12227" s="1055"/>
      <c r="K12227" s="1205"/>
      <c r="L12227" s="1055"/>
      <c r="M12227" s="1205"/>
      <c r="N12227" s="1054"/>
      <c r="O12227" s="1207"/>
      <c r="Q12227" s="1207"/>
    </row>
    <row r="12228" spans="3:17" s="700" customFormat="1" ht="70.5" hidden="1" customHeight="1">
      <c r="C12228" s="701"/>
      <c r="D12228" s="811"/>
      <c r="E12228" s="1276">
        <f>[11]building!Y12559</f>
        <v>0</v>
      </c>
      <c r="F12228" s="748">
        <f t="shared" si="430"/>
        <v>0</v>
      </c>
      <c r="G12228" s="1205"/>
      <c r="H12228" s="1055"/>
      <c r="I12228" s="1055"/>
      <c r="J12228" s="1055"/>
      <c r="K12228" s="1205"/>
      <c r="L12228" s="1055"/>
      <c r="M12228" s="1205"/>
      <c r="N12228" s="1054"/>
      <c r="O12228" s="1207"/>
      <c r="Q12228" s="1207"/>
    </row>
    <row r="12229" spans="3:17" s="700" customFormat="1" ht="70.5" hidden="1" customHeight="1">
      <c r="C12229" s="701"/>
      <c r="D12229" s="811"/>
      <c r="E12229" s="1276">
        <f>[11]building!Y12560</f>
        <v>0</v>
      </c>
      <c r="F12229" s="748">
        <f t="shared" si="430"/>
        <v>0</v>
      </c>
      <c r="G12229" s="1205"/>
      <c r="H12229" s="1055"/>
      <c r="I12229" s="1055"/>
      <c r="J12229" s="1055"/>
      <c r="K12229" s="1205"/>
      <c r="L12229" s="1055"/>
      <c r="M12229" s="1205"/>
      <c r="N12229" s="1054"/>
      <c r="O12229" s="1207"/>
      <c r="Q12229" s="1207"/>
    </row>
    <row r="12230" spans="3:17" s="700" customFormat="1" ht="70.5" hidden="1" customHeight="1">
      <c r="C12230" s="701"/>
      <c r="D12230" s="811"/>
      <c r="E12230" s="1276">
        <f>[11]building!Y12561</f>
        <v>0</v>
      </c>
      <c r="F12230" s="748">
        <f t="shared" si="430"/>
        <v>0</v>
      </c>
      <c r="G12230" s="1205"/>
      <c r="H12230" s="1055"/>
      <c r="I12230" s="1055"/>
      <c r="J12230" s="1055"/>
      <c r="K12230" s="1205"/>
      <c r="L12230" s="1055"/>
      <c r="M12230" s="1205"/>
      <c r="N12230" s="1054"/>
      <c r="O12230" s="1207"/>
      <c r="Q12230" s="1207"/>
    </row>
    <row r="12231" spans="3:17" s="700" customFormat="1" ht="70.5" hidden="1" customHeight="1">
      <c r="C12231" s="701"/>
      <c r="D12231" s="811"/>
      <c r="E12231" s="1276">
        <f>[11]building!Y12562</f>
        <v>0</v>
      </c>
      <c r="F12231" s="748">
        <f t="shared" si="430"/>
        <v>0</v>
      </c>
      <c r="G12231" s="1205"/>
      <c r="H12231" s="1055"/>
      <c r="I12231" s="1055"/>
      <c r="J12231" s="1055"/>
      <c r="K12231" s="1205"/>
      <c r="L12231" s="1055"/>
      <c r="M12231" s="1205"/>
      <c r="N12231" s="1054"/>
      <c r="O12231" s="1207"/>
      <c r="Q12231" s="1207"/>
    </row>
    <row r="12232" spans="3:17" s="700" customFormat="1" ht="70.5" hidden="1" customHeight="1">
      <c r="C12232" s="701"/>
      <c r="D12232" s="811"/>
      <c r="E12232" s="1276">
        <f>[11]building!Y12563</f>
        <v>0</v>
      </c>
      <c r="F12232" s="748">
        <f t="shared" si="430"/>
        <v>0</v>
      </c>
      <c r="G12232" s="1205"/>
      <c r="H12232" s="1055"/>
      <c r="I12232" s="1055"/>
      <c r="J12232" s="1055"/>
      <c r="K12232" s="1205"/>
      <c r="L12232" s="1055"/>
      <c r="M12232" s="1205"/>
      <c r="N12232" s="1054"/>
      <c r="O12232" s="1207"/>
      <c r="Q12232" s="1207"/>
    </row>
    <row r="12233" spans="3:17" s="700" customFormat="1" ht="70.5" hidden="1" customHeight="1">
      <c r="C12233" s="701"/>
      <c r="D12233" s="811"/>
      <c r="E12233" s="1276">
        <f>[11]building!Y12564</f>
        <v>0</v>
      </c>
      <c r="F12233" s="748">
        <f t="shared" si="430"/>
        <v>0</v>
      </c>
      <c r="G12233" s="1205"/>
      <c r="H12233" s="1055"/>
      <c r="I12233" s="1055"/>
      <c r="J12233" s="1055"/>
      <c r="K12233" s="1205"/>
      <c r="L12233" s="1055"/>
      <c r="M12233" s="1205"/>
      <c r="N12233" s="1054"/>
      <c r="O12233" s="1207"/>
      <c r="Q12233" s="1207"/>
    </row>
    <row r="12234" spans="3:17" s="700" customFormat="1" ht="70.5" hidden="1" customHeight="1">
      <c r="C12234" s="701"/>
      <c r="D12234" s="811"/>
      <c r="E12234" s="1276">
        <f>[11]building!Y12565</f>
        <v>0</v>
      </c>
      <c r="F12234" s="748">
        <f t="shared" si="430"/>
        <v>0</v>
      </c>
      <c r="G12234" s="1205"/>
      <c r="H12234" s="1055"/>
      <c r="I12234" s="1055"/>
      <c r="J12234" s="1055"/>
      <c r="K12234" s="1205"/>
      <c r="L12234" s="1055"/>
      <c r="M12234" s="1205"/>
      <c r="N12234" s="1054"/>
      <c r="O12234" s="1207"/>
      <c r="Q12234" s="1207"/>
    </row>
    <row r="12235" spans="3:17" s="700" customFormat="1" ht="70.5" hidden="1" customHeight="1">
      <c r="C12235" s="701"/>
      <c r="D12235" s="811"/>
      <c r="E12235" s="1276">
        <f>[11]building!Y12566</f>
        <v>0</v>
      </c>
      <c r="F12235" s="748">
        <f t="shared" si="430"/>
        <v>0</v>
      </c>
      <c r="G12235" s="1205"/>
      <c r="H12235" s="1055"/>
      <c r="I12235" s="1055"/>
      <c r="J12235" s="1055"/>
      <c r="K12235" s="1205"/>
      <c r="L12235" s="1055"/>
      <c r="M12235" s="1205"/>
      <c r="N12235" s="1054"/>
      <c r="O12235" s="1207"/>
      <c r="Q12235" s="1207"/>
    </row>
    <row r="12236" spans="3:17" s="700" customFormat="1" ht="70.5" hidden="1" customHeight="1">
      <c r="C12236" s="701"/>
      <c r="D12236" s="811"/>
      <c r="E12236" s="1276">
        <f>[11]building!Y12567</f>
        <v>0</v>
      </c>
      <c r="F12236" s="748">
        <f t="shared" si="430"/>
        <v>0</v>
      </c>
      <c r="G12236" s="1205"/>
      <c r="H12236" s="1055"/>
      <c r="I12236" s="1055"/>
      <c r="J12236" s="1055"/>
      <c r="K12236" s="1205"/>
      <c r="L12236" s="1055"/>
      <c r="M12236" s="1205"/>
      <c r="N12236" s="1054"/>
      <c r="O12236" s="1207"/>
      <c r="Q12236" s="1207"/>
    </row>
    <row r="12237" spans="3:17" s="700" customFormat="1" ht="70.5" hidden="1" customHeight="1">
      <c r="C12237" s="701"/>
      <c r="D12237" s="811"/>
      <c r="E12237" s="1276">
        <f>[11]building!Y12568</f>
        <v>0</v>
      </c>
      <c r="F12237" s="748">
        <f t="shared" si="430"/>
        <v>0</v>
      </c>
      <c r="G12237" s="1205"/>
      <c r="H12237" s="1055"/>
      <c r="I12237" s="1055"/>
      <c r="J12237" s="1055"/>
      <c r="K12237" s="1205"/>
      <c r="L12237" s="1055"/>
      <c r="M12237" s="1205"/>
      <c r="N12237" s="1054"/>
      <c r="O12237" s="1207"/>
      <c r="Q12237" s="1207"/>
    </row>
    <row r="12238" spans="3:17" s="700" customFormat="1" ht="70.5" hidden="1" customHeight="1">
      <c r="C12238" s="701"/>
      <c r="D12238" s="811"/>
      <c r="E12238" s="1276">
        <f>[11]building!Y12569</f>
        <v>0</v>
      </c>
      <c r="F12238" s="748">
        <f t="shared" si="430"/>
        <v>0</v>
      </c>
      <c r="G12238" s="1205"/>
      <c r="H12238" s="1055"/>
      <c r="I12238" s="1055"/>
      <c r="J12238" s="1055"/>
      <c r="K12238" s="1205"/>
      <c r="L12238" s="1055"/>
      <c r="M12238" s="1205"/>
      <c r="N12238" s="1054"/>
      <c r="O12238" s="1207"/>
      <c r="Q12238" s="1207"/>
    </row>
    <row r="12239" spans="3:17" s="700" customFormat="1" ht="70.5" hidden="1" customHeight="1">
      <c r="C12239" s="701"/>
      <c r="D12239" s="811"/>
      <c r="E12239" s="1276">
        <f>[11]building!Y12570</f>
        <v>0</v>
      </c>
      <c r="F12239" s="748">
        <f t="shared" si="430"/>
        <v>0</v>
      </c>
      <c r="G12239" s="1205"/>
      <c r="H12239" s="1055"/>
      <c r="I12239" s="1055"/>
      <c r="J12239" s="1055"/>
      <c r="K12239" s="1205"/>
      <c r="L12239" s="1055"/>
      <c r="M12239" s="1205"/>
      <c r="N12239" s="1054"/>
      <c r="O12239" s="1207"/>
      <c r="Q12239" s="1207"/>
    </row>
    <row r="12240" spans="3:17" s="700" customFormat="1" ht="70.5" hidden="1" customHeight="1">
      <c r="C12240" s="701"/>
      <c r="D12240" s="811"/>
      <c r="E12240" s="1276">
        <f>[11]building!Y12571</f>
        <v>0</v>
      </c>
      <c r="F12240" s="748">
        <f t="shared" si="430"/>
        <v>0</v>
      </c>
      <c r="G12240" s="1205"/>
      <c r="H12240" s="1055"/>
      <c r="I12240" s="1055"/>
      <c r="J12240" s="1055"/>
      <c r="K12240" s="1205"/>
      <c r="L12240" s="1055"/>
      <c r="M12240" s="1205"/>
      <c r="N12240" s="1054"/>
      <c r="O12240" s="1207"/>
      <c r="Q12240" s="1207"/>
    </row>
    <row r="12241" spans="3:17" s="700" customFormat="1" ht="70.5" hidden="1" customHeight="1">
      <c r="C12241" s="701"/>
      <c r="D12241" s="811"/>
      <c r="E12241" s="1276">
        <f>[11]building!Y12572</f>
        <v>0</v>
      </c>
      <c r="F12241" s="748">
        <f t="shared" si="430"/>
        <v>0</v>
      </c>
      <c r="G12241" s="1205"/>
      <c r="H12241" s="1055"/>
      <c r="I12241" s="1055"/>
      <c r="J12241" s="1055"/>
      <c r="K12241" s="1205"/>
      <c r="L12241" s="1055"/>
      <c r="M12241" s="1205"/>
      <c r="N12241" s="1054"/>
      <c r="O12241" s="1207"/>
      <c r="Q12241" s="1207"/>
    </row>
    <row r="12242" spans="3:17" s="700" customFormat="1" ht="70.5" hidden="1" customHeight="1">
      <c r="C12242" s="701"/>
      <c r="D12242" s="811"/>
      <c r="E12242" s="1276">
        <f>[11]building!Y12573</f>
        <v>0</v>
      </c>
      <c r="F12242" s="748">
        <f t="shared" si="430"/>
        <v>0</v>
      </c>
      <c r="G12242" s="1205"/>
      <c r="H12242" s="1055"/>
      <c r="I12242" s="1055"/>
      <c r="J12242" s="1055"/>
      <c r="K12242" s="1205"/>
      <c r="L12242" s="1055"/>
      <c r="M12242" s="1205"/>
      <c r="N12242" s="1054"/>
      <c r="O12242" s="1207"/>
      <c r="Q12242" s="1207"/>
    </row>
    <row r="12243" spans="3:17" s="700" customFormat="1" ht="70.5" hidden="1" customHeight="1">
      <c r="C12243" s="701"/>
      <c r="D12243" s="811"/>
      <c r="E12243" s="1276">
        <f>[11]building!Y12574</f>
        <v>0</v>
      </c>
      <c r="F12243" s="748">
        <f t="shared" si="430"/>
        <v>0</v>
      </c>
      <c r="G12243" s="1205"/>
      <c r="H12243" s="1055"/>
      <c r="I12243" s="1055"/>
      <c r="J12243" s="1055"/>
      <c r="K12243" s="1205"/>
      <c r="L12243" s="1055"/>
      <c r="M12243" s="1205"/>
      <c r="N12243" s="1054"/>
      <c r="O12243" s="1207"/>
      <c r="Q12243" s="1207"/>
    </row>
    <row r="12244" spans="3:17" s="700" customFormat="1" ht="70.5" hidden="1" customHeight="1">
      <c r="C12244" s="701"/>
      <c r="D12244" s="811"/>
      <c r="E12244" s="1276">
        <f>[11]building!Y12575</f>
        <v>0</v>
      </c>
      <c r="F12244" s="748">
        <f t="shared" si="430"/>
        <v>0</v>
      </c>
      <c r="G12244" s="1205"/>
      <c r="H12244" s="1055"/>
      <c r="I12244" s="1055"/>
      <c r="J12244" s="1055"/>
      <c r="K12244" s="1205"/>
      <c r="L12244" s="1055"/>
      <c r="M12244" s="1205"/>
      <c r="N12244" s="1054"/>
      <c r="O12244" s="1207"/>
      <c r="Q12244" s="1207"/>
    </row>
    <row r="12245" spans="3:17" s="700" customFormat="1" ht="70.5" hidden="1" customHeight="1">
      <c r="C12245" s="701"/>
      <c r="D12245" s="811"/>
      <c r="E12245" s="1276">
        <f>[11]building!Y12576</f>
        <v>0</v>
      </c>
      <c r="F12245" s="748">
        <f t="shared" si="430"/>
        <v>0</v>
      </c>
      <c r="G12245" s="1205"/>
      <c r="H12245" s="1055"/>
      <c r="I12245" s="1055"/>
      <c r="J12245" s="1055"/>
      <c r="K12245" s="1205"/>
      <c r="L12245" s="1055"/>
      <c r="M12245" s="1205"/>
      <c r="N12245" s="1054"/>
      <c r="O12245" s="1207"/>
      <c r="Q12245" s="1207"/>
    </row>
    <row r="12246" spans="3:17" s="700" customFormat="1" ht="70.5" hidden="1" customHeight="1">
      <c r="C12246" s="701"/>
      <c r="D12246" s="811"/>
      <c r="E12246" s="1276">
        <f>[11]building!Y12577</f>
        <v>0</v>
      </c>
      <c r="F12246" s="748">
        <f t="shared" si="430"/>
        <v>0</v>
      </c>
      <c r="G12246" s="1205"/>
      <c r="H12246" s="1055"/>
      <c r="I12246" s="1055"/>
      <c r="J12246" s="1055"/>
      <c r="K12246" s="1205"/>
      <c r="L12246" s="1055"/>
      <c r="M12246" s="1205"/>
      <c r="N12246" s="1054"/>
      <c r="O12246" s="1207"/>
      <c r="Q12246" s="1207"/>
    </row>
    <row r="12247" spans="3:17" s="700" customFormat="1" ht="70.5" hidden="1" customHeight="1">
      <c r="C12247" s="701"/>
      <c r="D12247" s="811"/>
      <c r="E12247" s="1276">
        <f>[11]building!Y12578</f>
        <v>0</v>
      </c>
      <c r="F12247" s="748">
        <f t="shared" si="430"/>
        <v>0</v>
      </c>
      <c r="G12247" s="1205"/>
      <c r="H12247" s="1055"/>
      <c r="I12247" s="1055"/>
      <c r="J12247" s="1055"/>
      <c r="K12247" s="1205"/>
      <c r="L12247" s="1055"/>
      <c r="M12247" s="1205"/>
      <c r="N12247" s="1054"/>
      <c r="O12247" s="1207"/>
      <c r="Q12247" s="1207"/>
    </row>
    <row r="12248" spans="3:17" s="700" customFormat="1" ht="70.5" hidden="1" customHeight="1">
      <c r="C12248" s="701"/>
      <c r="D12248" s="811"/>
      <c r="E12248" s="1276">
        <f>[11]building!Y12579</f>
        <v>0</v>
      </c>
      <c r="F12248" s="748">
        <f t="shared" si="430"/>
        <v>0</v>
      </c>
      <c r="G12248" s="1205"/>
      <c r="H12248" s="1055"/>
      <c r="I12248" s="1055"/>
      <c r="J12248" s="1055"/>
      <c r="K12248" s="1205"/>
      <c r="L12248" s="1055"/>
      <c r="M12248" s="1205"/>
      <c r="N12248" s="1054"/>
      <c r="O12248" s="1207"/>
      <c r="Q12248" s="1207"/>
    </row>
    <row r="12249" spans="3:17" s="700" customFormat="1" ht="70.5" hidden="1" customHeight="1">
      <c r="C12249" s="701"/>
      <c r="D12249" s="811"/>
      <c r="E12249" s="1276">
        <f>[11]building!Y12580</f>
        <v>0</v>
      </c>
      <c r="F12249" s="748">
        <f t="shared" si="430"/>
        <v>0</v>
      </c>
      <c r="G12249" s="1205"/>
      <c r="H12249" s="1055"/>
      <c r="I12249" s="1055"/>
      <c r="J12249" s="1055"/>
      <c r="K12249" s="1205"/>
      <c r="L12249" s="1055"/>
      <c r="M12249" s="1205"/>
      <c r="N12249" s="1054"/>
      <c r="O12249" s="1207"/>
      <c r="Q12249" s="1207"/>
    </row>
    <row r="12250" spans="3:17" s="700" customFormat="1" ht="70.5" hidden="1" customHeight="1">
      <c r="C12250" s="701"/>
      <c r="D12250" s="811"/>
      <c r="E12250" s="1276">
        <f>[11]building!Y12581</f>
        <v>0</v>
      </c>
      <c r="F12250" s="748">
        <f t="shared" si="430"/>
        <v>0</v>
      </c>
      <c r="G12250" s="1205"/>
      <c r="H12250" s="1055"/>
      <c r="I12250" s="1055"/>
      <c r="J12250" s="1055"/>
      <c r="K12250" s="1205"/>
      <c r="L12250" s="1055"/>
      <c r="M12250" s="1205"/>
      <c r="N12250" s="1054"/>
      <c r="O12250" s="1207"/>
      <c r="Q12250" s="1207"/>
    </row>
    <row r="12251" spans="3:17" s="700" customFormat="1" ht="70.5" hidden="1" customHeight="1">
      <c r="C12251" s="701"/>
      <c r="D12251" s="811"/>
      <c r="E12251" s="1276">
        <f>[11]building!Y12582</f>
        <v>0</v>
      </c>
      <c r="F12251" s="748">
        <f t="shared" si="430"/>
        <v>0</v>
      </c>
      <c r="G12251" s="1205"/>
      <c r="H12251" s="1055"/>
      <c r="I12251" s="1055"/>
      <c r="J12251" s="1055"/>
      <c r="K12251" s="1205"/>
      <c r="L12251" s="1055"/>
      <c r="M12251" s="1205"/>
      <c r="N12251" s="1054"/>
      <c r="O12251" s="1207"/>
      <c r="Q12251" s="1207"/>
    </row>
    <row r="12252" spans="3:17" s="700" customFormat="1" ht="70.5" hidden="1" customHeight="1">
      <c r="C12252" s="701"/>
      <c r="D12252" s="811"/>
      <c r="E12252" s="1276">
        <f>[11]building!Y12583</f>
        <v>0</v>
      </c>
      <c r="F12252" s="748">
        <f t="shared" si="430"/>
        <v>0</v>
      </c>
      <c r="G12252" s="1205"/>
      <c r="H12252" s="1055"/>
      <c r="I12252" s="1055"/>
      <c r="J12252" s="1055"/>
      <c r="K12252" s="1205"/>
      <c r="L12252" s="1055"/>
      <c r="M12252" s="1205"/>
      <c r="N12252" s="1054"/>
      <c r="O12252" s="1207"/>
      <c r="Q12252" s="1207"/>
    </row>
    <row r="12253" spans="3:17" s="700" customFormat="1" ht="70.5" hidden="1" customHeight="1">
      <c r="C12253" s="701"/>
      <c r="D12253" s="811"/>
      <c r="E12253" s="1276">
        <f>[11]building!Y12584</f>
        <v>0</v>
      </c>
      <c r="F12253" s="748">
        <f t="shared" si="430"/>
        <v>0</v>
      </c>
      <c r="G12253" s="1205"/>
      <c r="H12253" s="1055"/>
      <c r="I12253" s="1055"/>
      <c r="J12253" s="1055"/>
      <c r="K12253" s="1205"/>
      <c r="L12253" s="1055"/>
      <c r="M12253" s="1205"/>
      <c r="N12253" s="1054"/>
      <c r="O12253" s="1207"/>
      <c r="Q12253" s="1207"/>
    </row>
    <row r="12254" spans="3:17" s="700" customFormat="1" ht="70.5" hidden="1" customHeight="1">
      <c r="C12254" s="701"/>
      <c r="D12254" s="811"/>
      <c r="E12254" s="1276">
        <f>[11]building!Y12585</f>
        <v>0</v>
      </c>
      <c r="F12254" s="748">
        <f t="shared" si="430"/>
        <v>0</v>
      </c>
      <c r="G12254" s="1205"/>
      <c r="H12254" s="1055"/>
      <c r="I12254" s="1055"/>
      <c r="J12254" s="1055"/>
      <c r="K12254" s="1205"/>
      <c r="L12254" s="1055"/>
      <c r="M12254" s="1205"/>
      <c r="N12254" s="1054"/>
      <c r="O12254" s="1207"/>
      <c r="Q12254" s="1207"/>
    </row>
    <row r="12255" spans="3:17" s="700" customFormat="1" ht="70.5" hidden="1" customHeight="1">
      <c r="C12255" s="701"/>
      <c r="D12255" s="811"/>
      <c r="E12255" s="1276">
        <f>[11]building!Y12586</f>
        <v>0</v>
      </c>
      <c r="F12255" s="748">
        <f t="shared" si="430"/>
        <v>0</v>
      </c>
      <c r="G12255" s="1205"/>
      <c r="H12255" s="1055"/>
      <c r="I12255" s="1055"/>
      <c r="J12255" s="1055"/>
      <c r="K12255" s="1205"/>
      <c r="L12255" s="1055"/>
      <c r="M12255" s="1205"/>
      <c r="N12255" s="1054"/>
      <c r="O12255" s="1207"/>
      <c r="Q12255" s="1207"/>
    </row>
    <row r="12256" spans="3:17" s="700" customFormat="1" ht="70.5" hidden="1" customHeight="1">
      <c r="C12256" s="701"/>
      <c r="D12256" s="811"/>
      <c r="E12256" s="1276">
        <f>[11]building!Y12587</f>
        <v>0</v>
      </c>
      <c r="F12256" s="748">
        <f t="shared" si="430"/>
        <v>0</v>
      </c>
      <c r="G12256" s="1205"/>
      <c r="H12256" s="1055"/>
      <c r="I12256" s="1055"/>
      <c r="J12256" s="1055"/>
      <c r="K12256" s="1205"/>
      <c r="L12256" s="1055"/>
      <c r="M12256" s="1205"/>
      <c r="N12256" s="1054"/>
      <c r="O12256" s="1207"/>
      <c r="Q12256" s="1207"/>
    </row>
    <row r="12257" spans="3:17" s="700" customFormat="1" ht="70.5" hidden="1" customHeight="1">
      <c r="C12257" s="701"/>
      <c r="D12257" s="811"/>
      <c r="E12257" s="1276">
        <f>[11]building!Y12588</f>
        <v>0</v>
      </c>
      <c r="F12257" s="748">
        <f t="shared" si="430"/>
        <v>0</v>
      </c>
      <c r="G12257" s="1205"/>
      <c r="H12257" s="1055"/>
      <c r="I12257" s="1055"/>
      <c r="J12257" s="1055"/>
      <c r="K12257" s="1205"/>
      <c r="L12257" s="1055"/>
      <c r="M12257" s="1205"/>
      <c r="N12257" s="1054"/>
      <c r="O12257" s="1207"/>
      <c r="Q12257" s="1207"/>
    </row>
    <row r="12258" spans="3:17" s="700" customFormat="1" ht="70.5" hidden="1" customHeight="1">
      <c r="C12258" s="701"/>
      <c r="D12258" s="811"/>
      <c r="E12258" s="1276">
        <f>[11]building!Y12589</f>
        <v>0</v>
      </c>
      <c r="F12258" s="748">
        <f t="shared" si="430"/>
        <v>0</v>
      </c>
      <c r="G12258" s="1205"/>
      <c r="H12258" s="1055"/>
      <c r="I12258" s="1055"/>
      <c r="J12258" s="1055"/>
      <c r="K12258" s="1205"/>
      <c r="L12258" s="1055"/>
      <c r="M12258" s="1205"/>
      <c r="N12258" s="1054"/>
      <c r="O12258" s="1207"/>
      <c r="Q12258" s="1207"/>
    </row>
    <row r="12259" spans="3:17" s="700" customFormat="1" ht="70.5" hidden="1" customHeight="1">
      <c r="C12259" s="701"/>
      <c r="D12259" s="811"/>
      <c r="E12259" s="1276">
        <f>[11]building!Y12590</f>
        <v>0</v>
      </c>
      <c r="F12259" s="748">
        <f t="shared" si="430"/>
        <v>0</v>
      </c>
      <c r="G12259" s="1205"/>
      <c r="H12259" s="1055"/>
      <c r="I12259" s="1055"/>
      <c r="J12259" s="1055"/>
      <c r="K12259" s="1205"/>
      <c r="L12259" s="1055"/>
      <c r="M12259" s="1205"/>
      <c r="N12259" s="1054"/>
      <c r="O12259" s="1207"/>
      <c r="Q12259" s="1207"/>
    </row>
    <row r="12260" spans="3:17" s="700" customFormat="1" ht="70.5" hidden="1" customHeight="1">
      <c r="C12260" s="701"/>
      <c r="D12260" s="811"/>
      <c r="E12260" s="1276">
        <f>[11]building!Y12591</f>
        <v>0</v>
      </c>
      <c r="F12260" s="748">
        <f t="shared" si="430"/>
        <v>0</v>
      </c>
      <c r="G12260" s="1205"/>
      <c r="H12260" s="1055"/>
      <c r="I12260" s="1055"/>
      <c r="J12260" s="1055"/>
      <c r="K12260" s="1205"/>
      <c r="L12260" s="1055"/>
      <c r="M12260" s="1205"/>
      <c r="N12260" s="1054"/>
      <c r="O12260" s="1207"/>
      <c r="Q12260" s="1207"/>
    </row>
    <row r="12261" spans="3:17" s="700" customFormat="1" ht="70.5" hidden="1" customHeight="1">
      <c r="C12261" s="701"/>
      <c r="D12261" s="811"/>
      <c r="E12261" s="1276">
        <f>[11]building!Y12592</f>
        <v>0</v>
      </c>
      <c r="F12261" s="748">
        <f t="shared" si="430"/>
        <v>0</v>
      </c>
      <c r="G12261" s="1205"/>
      <c r="H12261" s="1055"/>
      <c r="I12261" s="1055"/>
      <c r="J12261" s="1055"/>
      <c r="K12261" s="1205"/>
      <c r="L12261" s="1055"/>
      <c r="M12261" s="1205"/>
      <c r="N12261" s="1054"/>
      <c r="O12261" s="1207"/>
      <c r="Q12261" s="1207"/>
    </row>
    <row r="12262" spans="3:17" s="700" customFormat="1" ht="70.5" hidden="1" customHeight="1">
      <c r="C12262" s="701"/>
      <c r="D12262" s="811"/>
      <c r="E12262" s="1276">
        <f>[11]building!Y12593</f>
        <v>0</v>
      </c>
      <c r="F12262" s="748">
        <f t="shared" si="430"/>
        <v>0</v>
      </c>
      <c r="G12262" s="1205"/>
      <c r="H12262" s="1055"/>
      <c r="I12262" s="1055"/>
      <c r="J12262" s="1055"/>
      <c r="K12262" s="1205"/>
      <c r="L12262" s="1055"/>
      <c r="M12262" s="1205"/>
      <c r="N12262" s="1054"/>
      <c r="O12262" s="1207"/>
      <c r="Q12262" s="1207"/>
    </row>
    <row r="12263" spans="3:17" s="700" customFormat="1" ht="70.5" hidden="1" customHeight="1">
      <c r="C12263" s="701"/>
      <c r="D12263" s="811"/>
      <c r="E12263" s="1276">
        <f>[11]building!Y12594</f>
        <v>0</v>
      </c>
      <c r="F12263" s="748">
        <f t="shared" si="430"/>
        <v>0</v>
      </c>
      <c r="G12263" s="1205"/>
      <c r="H12263" s="1055"/>
      <c r="I12263" s="1055"/>
      <c r="J12263" s="1055"/>
      <c r="K12263" s="1205"/>
      <c r="L12263" s="1055"/>
      <c r="M12263" s="1205"/>
      <c r="N12263" s="1054"/>
      <c r="O12263" s="1207"/>
      <c r="Q12263" s="1207"/>
    </row>
    <row r="12264" spans="3:17" s="700" customFormat="1" ht="70.5" hidden="1" customHeight="1">
      <c r="C12264" s="701"/>
      <c r="D12264" s="811"/>
      <c r="E12264" s="1276">
        <f>[11]building!Y12595</f>
        <v>0</v>
      </c>
      <c r="F12264" s="748">
        <f t="shared" si="430"/>
        <v>0</v>
      </c>
      <c r="G12264" s="1205"/>
      <c r="H12264" s="1055"/>
      <c r="I12264" s="1055"/>
      <c r="J12264" s="1055"/>
      <c r="K12264" s="1205"/>
      <c r="L12264" s="1055"/>
      <c r="M12264" s="1205"/>
      <c r="N12264" s="1054"/>
      <c r="O12264" s="1207"/>
      <c r="Q12264" s="1207"/>
    </row>
    <row r="12265" spans="3:17" s="700" customFormat="1" ht="70.5" hidden="1" customHeight="1">
      <c r="C12265" s="701"/>
      <c r="D12265" s="811"/>
      <c r="E12265" s="1276">
        <f>[11]building!Y12596</f>
        <v>0</v>
      </c>
      <c r="F12265" s="748">
        <f t="shared" si="430"/>
        <v>0</v>
      </c>
      <c r="G12265" s="1205"/>
      <c r="H12265" s="1055"/>
      <c r="I12265" s="1055"/>
      <c r="J12265" s="1055"/>
      <c r="K12265" s="1205"/>
      <c r="L12265" s="1055"/>
      <c r="M12265" s="1205"/>
      <c r="N12265" s="1054"/>
      <c r="O12265" s="1207"/>
      <c r="Q12265" s="1207"/>
    </row>
    <row r="12266" spans="3:17" s="700" customFormat="1" ht="70.5" hidden="1" customHeight="1">
      <c r="C12266" s="701"/>
      <c r="D12266" s="811"/>
      <c r="E12266" s="1276">
        <f>[11]building!Y12597</f>
        <v>0</v>
      </c>
      <c r="F12266" s="748">
        <f t="shared" si="430"/>
        <v>0</v>
      </c>
      <c r="G12266" s="1205"/>
      <c r="H12266" s="1055"/>
      <c r="I12266" s="1055"/>
      <c r="J12266" s="1055"/>
      <c r="K12266" s="1205"/>
      <c r="L12266" s="1055"/>
      <c r="M12266" s="1205"/>
      <c r="N12266" s="1054"/>
      <c r="O12266" s="1207"/>
      <c r="Q12266" s="1207"/>
    </row>
    <row r="12267" spans="3:17" s="700" customFormat="1" ht="70.5" hidden="1" customHeight="1">
      <c r="C12267" s="701"/>
      <c r="D12267" s="811"/>
      <c r="E12267" s="1276">
        <f>[11]building!Y12598</f>
        <v>0</v>
      </c>
      <c r="F12267" s="748">
        <f t="shared" si="430"/>
        <v>0</v>
      </c>
      <c r="G12267" s="1205"/>
      <c r="H12267" s="1055"/>
      <c r="I12267" s="1055"/>
      <c r="J12267" s="1055"/>
      <c r="K12267" s="1205"/>
      <c r="L12267" s="1055"/>
      <c r="M12267" s="1205"/>
      <c r="N12267" s="1054"/>
      <c r="O12267" s="1207"/>
      <c r="Q12267" s="1207"/>
    </row>
    <row r="12268" spans="3:17" s="700" customFormat="1" ht="70.5" hidden="1" customHeight="1">
      <c r="C12268" s="701"/>
      <c r="D12268" s="811"/>
      <c r="E12268" s="1276">
        <f>[11]building!Y12599</f>
        <v>0</v>
      </c>
      <c r="F12268" s="748">
        <f t="shared" si="430"/>
        <v>0</v>
      </c>
      <c r="G12268" s="1205"/>
      <c r="H12268" s="1055"/>
      <c r="I12268" s="1055"/>
      <c r="J12268" s="1055"/>
      <c r="K12268" s="1205"/>
      <c r="L12268" s="1055"/>
      <c r="M12268" s="1205"/>
      <c r="N12268" s="1054"/>
      <c r="O12268" s="1207"/>
      <c r="Q12268" s="1207"/>
    </row>
    <row r="12269" spans="3:17" s="700" customFormat="1" ht="70.5" hidden="1" customHeight="1">
      <c r="C12269" s="701"/>
      <c r="D12269" s="811"/>
      <c r="E12269" s="1276">
        <f>[11]building!Y12600</f>
        <v>0</v>
      </c>
      <c r="F12269" s="748">
        <f t="shared" si="430"/>
        <v>0</v>
      </c>
      <c r="G12269" s="1205"/>
      <c r="H12269" s="1055"/>
      <c r="I12269" s="1055"/>
      <c r="J12269" s="1055"/>
      <c r="K12269" s="1205"/>
      <c r="L12269" s="1055"/>
      <c r="M12269" s="1205"/>
      <c r="N12269" s="1054"/>
      <c r="O12269" s="1207"/>
      <c r="Q12269" s="1207"/>
    </row>
    <row r="12270" spans="3:17" s="700" customFormat="1" ht="70.5" hidden="1" customHeight="1">
      <c r="C12270" s="701"/>
      <c r="D12270" s="811"/>
      <c r="E12270" s="1276">
        <f>[11]building!Y12601</f>
        <v>0</v>
      </c>
      <c r="F12270" s="748">
        <f t="shared" si="430"/>
        <v>0</v>
      </c>
      <c r="G12270" s="1205"/>
      <c r="H12270" s="1055"/>
      <c r="I12270" s="1055"/>
      <c r="J12270" s="1055"/>
      <c r="K12270" s="1205"/>
      <c r="L12270" s="1055"/>
      <c r="M12270" s="1205"/>
      <c r="N12270" s="1054"/>
      <c r="O12270" s="1207"/>
      <c r="Q12270" s="1207"/>
    </row>
    <row r="12271" spans="3:17" s="700" customFormat="1" ht="70.5" hidden="1" customHeight="1">
      <c r="C12271" s="701"/>
      <c r="D12271" s="811"/>
      <c r="E12271" s="1276">
        <f>[11]building!Y12602</f>
        <v>0</v>
      </c>
      <c r="F12271" s="748">
        <f t="shared" si="430"/>
        <v>0</v>
      </c>
      <c r="G12271" s="1205"/>
      <c r="H12271" s="1055"/>
      <c r="I12271" s="1055"/>
      <c r="J12271" s="1055"/>
      <c r="K12271" s="1205"/>
      <c r="L12271" s="1055"/>
      <c r="M12271" s="1205"/>
      <c r="N12271" s="1054"/>
      <c r="O12271" s="1207"/>
      <c r="Q12271" s="1207"/>
    </row>
    <row r="12272" spans="3:17" s="700" customFormat="1" ht="70.5" hidden="1" customHeight="1">
      <c r="C12272" s="701"/>
      <c r="D12272" s="811"/>
      <c r="E12272" s="1276">
        <f>[11]building!Y12603</f>
        <v>0</v>
      </c>
      <c r="F12272" s="748">
        <f t="shared" si="430"/>
        <v>0</v>
      </c>
      <c r="G12272" s="1205"/>
      <c r="H12272" s="1055"/>
      <c r="I12272" s="1055"/>
      <c r="J12272" s="1055"/>
      <c r="K12272" s="1205"/>
      <c r="L12272" s="1055"/>
      <c r="M12272" s="1205"/>
      <c r="N12272" s="1054"/>
      <c r="O12272" s="1207"/>
      <c r="Q12272" s="1207"/>
    </row>
    <row r="12273" spans="3:17" s="700" customFormat="1" ht="70.5" hidden="1" customHeight="1">
      <c r="C12273" s="701"/>
      <c r="D12273" s="811"/>
      <c r="E12273" s="1276">
        <f>[11]building!Y12604</f>
        <v>0</v>
      </c>
      <c r="F12273" s="748">
        <f t="shared" si="430"/>
        <v>0</v>
      </c>
      <c r="G12273" s="1205"/>
      <c r="H12273" s="1055"/>
      <c r="I12273" s="1055"/>
      <c r="J12273" s="1055"/>
      <c r="K12273" s="1205"/>
      <c r="L12273" s="1055"/>
      <c r="M12273" s="1205"/>
      <c r="N12273" s="1054"/>
      <c r="O12273" s="1207"/>
      <c r="Q12273" s="1207"/>
    </row>
    <row r="12274" spans="3:17" s="700" customFormat="1" ht="70.5" hidden="1" customHeight="1">
      <c r="C12274" s="701"/>
      <c r="D12274" s="811"/>
      <c r="E12274" s="1276">
        <f>[11]building!Y12605</f>
        <v>0</v>
      </c>
      <c r="F12274" s="748">
        <f t="shared" si="430"/>
        <v>0</v>
      </c>
      <c r="G12274" s="1205"/>
      <c r="H12274" s="1055"/>
      <c r="I12274" s="1055"/>
      <c r="J12274" s="1055"/>
      <c r="K12274" s="1205"/>
      <c r="L12274" s="1055"/>
      <c r="M12274" s="1205"/>
      <c r="N12274" s="1054"/>
      <c r="O12274" s="1207"/>
      <c r="Q12274" s="1207"/>
    </row>
    <row r="12275" spans="3:17" s="700" customFormat="1" ht="70.5" hidden="1" customHeight="1">
      <c r="C12275" s="701"/>
      <c r="D12275" s="811"/>
      <c r="E12275" s="1276">
        <f>[11]building!Y12606</f>
        <v>0</v>
      </c>
      <c r="F12275" s="748">
        <f t="shared" si="430"/>
        <v>0</v>
      </c>
      <c r="G12275" s="1205"/>
      <c r="H12275" s="1055"/>
      <c r="I12275" s="1055"/>
      <c r="J12275" s="1055"/>
      <c r="K12275" s="1205"/>
      <c r="L12275" s="1055"/>
      <c r="M12275" s="1205"/>
      <c r="N12275" s="1054"/>
      <c r="O12275" s="1207"/>
      <c r="Q12275" s="1207"/>
    </row>
    <row r="12276" spans="3:17" s="700" customFormat="1" ht="70.5" hidden="1" customHeight="1">
      <c r="C12276" s="701"/>
      <c r="D12276" s="811"/>
      <c r="E12276" s="1276">
        <f>[11]building!Y12607</f>
        <v>0</v>
      </c>
      <c r="F12276" s="748">
        <f t="shared" si="430"/>
        <v>0</v>
      </c>
      <c r="G12276" s="1205"/>
      <c r="H12276" s="1055"/>
      <c r="I12276" s="1055"/>
      <c r="J12276" s="1055"/>
      <c r="K12276" s="1205"/>
      <c r="L12276" s="1055"/>
      <c r="M12276" s="1205"/>
      <c r="N12276" s="1054"/>
      <c r="O12276" s="1207"/>
      <c r="Q12276" s="1207"/>
    </row>
    <row r="12277" spans="3:17" s="700" customFormat="1" ht="70.5" hidden="1" customHeight="1">
      <c r="C12277" s="701"/>
      <c r="D12277" s="811"/>
      <c r="E12277" s="1276">
        <f>[11]building!Y12608</f>
        <v>0</v>
      </c>
      <c r="F12277" s="748">
        <f t="shared" si="430"/>
        <v>0</v>
      </c>
      <c r="G12277" s="1205"/>
      <c r="H12277" s="1055"/>
      <c r="I12277" s="1055"/>
      <c r="J12277" s="1055"/>
      <c r="K12277" s="1205"/>
      <c r="L12277" s="1055"/>
      <c r="M12277" s="1205"/>
      <c r="N12277" s="1054"/>
      <c r="O12277" s="1207"/>
      <c r="Q12277" s="1207"/>
    </row>
    <row r="12278" spans="3:17" s="700" customFormat="1" ht="70.5" hidden="1" customHeight="1">
      <c r="C12278" s="701"/>
      <c r="D12278" s="811"/>
      <c r="E12278" s="1276">
        <f>[11]building!Y12609</f>
        <v>0</v>
      </c>
      <c r="F12278" s="748">
        <f t="shared" si="430"/>
        <v>0</v>
      </c>
      <c r="G12278" s="1205"/>
      <c r="H12278" s="1055"/>
      <c r="I12278" s="1055"/>
      <c r="J12278" s="1055"/>
      <c r="K12278" s="1205"/>
      <c r="L12278" s="1055"/>
      <c r="M12278" s="1205"/>
      <c r="N12278" s="1054"/>
      <c r="O12278" s="1207"/>
      <c r="Q12278" s="1207"/>
    </row>
    <row r="12279" spans="3:17" s="700" customFormat="1" ht="70.5" hidden="1" customHeight="1">
      <c r="C12279" s="701"/>
      <c r="D12279" s="811"/>
      <c r="E12279" s="1276">
        <f>[11]building!Y12610</f>
        <v>0</v>
      </c>
      <c r="F12279" s="748">
        <f t="shared" si="430"/>
        <v>0</v>
      </c>
      <c r="G12279" s="1205"/>
      <c r="H12279" s="1055"/>
      <c r="I12279" s="1055"/>
      <c r="J12279" s="1055"/>
      <c r="K12279" s="1205"/>
      <c r="L12279" s="1055"/>
      <c r="M12279" s="1205"/>
      <c r="N12279" s="1054"/>
      <c r="O12279" s="1207"/>
      <c r="Q12279" s="1207"/>
    </row>
    <row r="12280" spans="3:17" s="700" customFormat="1" ht="70.5" hidden="1" customHeight="1">
      <c r="C12280" s="701"/>
      <c r="D12280" s="811"/>
      <c r="E12280" s="1276">
        <f>[11]building!Y12611</f>
        <v>0</v>
      </c>
      <c r="F12280" s="748">
        <f t="shared" si="430"/>
        <v>0</v>
      </c>
      <c r="G12280" s="1205"/>
      <c r="H12280" s="1055"/>
      <c r="I12280" s="1055"/>
      <c r="J12280" s="1055"/>
      <c r="K12280" s="1205"/>
      <c r="L12280" s="1055"/>
      <c r="M12280" s="1205"/>
      <c r="N12280" s="1054"/>
      <c r="O12280" s="1207"/>
      <c r="Q12280" s="1207"/>
    </row>
    <row r="12281" spans="3:17" s="700" customFormat="1" ht="70.5" hidden="1" customHeight="1">
      <c r="C12281" s="701"/>
      <c r="D12281" s="811"/>
      <c r="E12281" s="1276">
        <f>[11]building!Y12612</f>
        <v>0</v>
      </c>
      <c r="F12281" s="748">
        <f t="shared" si="430"/>
        <v>0</v>
      </c>
      <c r="G12281" s="1205"/>
      <c r="H12281" s="1055"/>
      <c r="I12281" s="1055"/>
      <c r="J12281" s="1055"/>
      <c r="K12281" s="1205"/>
      <c r="L12281" s="1055"/>
      <c r="M12281" s="1205"/>
      <c r="N12281" s="1054"/>
      <c r="O12281" s="1207"/>
      <c r="Q12281" s="1207"/>
    </row>
    <row r="12282" spans="3:17" s="700" customFormat="1" ht="70.5" hidden="1" customHeight="1">
      <c r="C12282" s="701"/>
      <c r="D12282" s="811"/>
      <c r="E12282" s="1276">
        <f>[11]building!Y12613</f>
        <v>0</v>
      </c>
      <c r="F12282" s="748">
        <f t="shared" si="430"/>
        <v>0</v>
      </c>
      <c r="G12282" s="1205"/>
      <c r="H12282" s="1055"/>
      <c r="I12282" s="1055"/>
      <c r="J12282" s="1055"/>
      <c r="K12282" s="1205"/>
      <c r="L12282" s="1055"/>
      <c r="M12282" s="1205"/>
      <c r="N12282" s="1054"/>
      <c r="O12282" s="1207"/>
      <c r="Q12282" s="1207"/>
    </row>
    <row r="12283" spans="3:17" s="700" customFormat="1" ht="70.5" hidden="1" customHeight="1">
      <c r="C12283" s="701"/>
      <c r="D12283" s="811"/>
      <c r="E12283" s="1276">
        <f>[11]building!Y12614</f>
        <v>0</v>
      </c>
      <c r="F12283" s="748">
        <f t="shared" si="430"/>
        <v>0</v>
      </c>
      <c r="G12283" s="1205"/>
      <c r="H12283" s="1055"/>
      <c r="I12283" s="1055"/>
      <c r="J12283" s="1055"/>
      <c r="K12283" s="1205"/>
      <c r="L12283" s="1055"/>
      <c r="M12283" s="1205"/>
      <c r="N12283" s="1054"/>
      <c r="O12283" s="1207"/>
      <c r="Q12283" s="1207"/>
    </row>
    <row r="12284" spans="3:17" s="700" customFormat="1" ht="70.5" hidden="1" customHeight="1">
      <c r="C12284" s="701"/>
      <c r="D12284" s="811"/>
      <c r="E12284" s="1276">
        <f>[11]building!Y12615</f>
        <v>0</v>
      </c>
      <c r="F12284" s="748">
        <f t="shared" si="430"/>
        <v>0</v>
      </c>
      <c r="G12284" s="1205"/>
      <c r="H12284" s="1055"/>
      <c r="I12284" s="1055"/>
      <c r="J12284" s="1055"/>
      <c r="K12284" s="1205"/>
      <c r="L12284" s="1055"/>
      <c r="M12284" s="1205"/>
      <c r="N12284" s="1054"/>
      <c r="O12284" s="1207"/>
      <c r="Q12284" s="1207"/>
    </row>
    <row r="12285" spans="3:17" s="700" customFormat="1" ht="70.5" hidden="1" customHeight="1">
      <c r="C12285" s="701"/>
      <c r="D12285" s="811"/>
      <c r="E12285" s="1276">
        <f>[11]building!Y12616</f>
        <v>0</v>
      </c>
      <c r="F12285" s="748">
        <f t="shared" si="430"/>
        <v>0</v>
      </c>
      <c r="G12285" s="1205"/>
      <c r="H12285" s="1055"/>
      <c r="I12285" s="1055"/>
      <c r="J12285" s="1055"/>
      <c r="K12285" s="1205"/>
      <c r="L12285" s="1055"/>
      <c r="M12285" s="1205"/>
      <c r="N12285" s="1054"/>
      <c r="O12285" s="1207"/>
      <c r="Q12285" s="1207"/>
    </row>
    <row r="12286" spans="3:17" s="700" customFormat="1" ht="70.5" hidden="1" customHeight="1">
      <c r="C12286" s="701"/>
      <c r="D12286" s="811"/>
      <c r="E12286" s="1276">
        <f>[11]building!Y12617</f>
        <v>0</v>
      </c>
      <c r="F12286" s="748">
        <f t="shared" si="430"/>
        <v>0</v>
      </c>
      <c r="G12286" s="1205"/>
      <c r="H12286" s="1055"/>
      <c r="I12286" s="1055"/>
      <c r="J12286" s="1055"/>
      <c r="K12286" s="1205"/>
      <c r="L12286" s="1055"/>
      <c r="M12286" s="1205"/>
      <c r="N12286" s="1054"/>
      <c r="O12286" s="1207"/>
      <c r="Q12286" s="1207"/>
    </row>
    <row r="12287" spans="3:17" s="700" customFormat="1" ht="70.5" hidden="1" customHeight="1">
      <c r="C12287" s="701"/>
      <c r="D12287" s="811"/>
      <c r="E12287" s="1276">
        <f>[11]building!Y12618</f>
        <v>0</v>
      </c>
      <c r="F12287" s="748">
        <f t="shared" si="430"/>
        <v>0</v>
      </c>
      <c r="G12287" s="1205"/>
      <c r="H12287" s="1055"/>
      <c r="I12287" s="1055"/>
      <c r="J12287" s="1055"/>
      <c r="K12287" s="1205"/>
      <c r="L12287" s="1055"/>
      <c r="M12287" s="1205"/>
      <c r="N12287" s="1054"/>
      <c r="O12287" s="1207"/>
      <c r="Q12287" s="1207"/>
    </row>
    <row r="12288" spans="3:17" s="700" customFormat="1" ht="70.5" hidden="1" customHeight="1">
      <c r="C12288" s="701"/>
      <c r="D12288" s="811"/>
      <c r="E12288" s="1276">
        <f>[11]building!Y12619</f>
        <v>0</v>
      </c>
      <c r="F12288" s="748">
        <f t="shared" ref="F12288:F12351" si="431">E12288*C12288</f>
        <v>0</v>
      </c>
      <c r="G12288" s="1205"/>
      <c r="H12288" s="1055"/>
      <c r="I12288" s="1055"/>
      <c r="J12288" s="1055"/>
      <c r="K12288" s="1205"/>
      <c r="L12288" s="1055"/>
      <c r="M12288" s="1205"/>
      <c r="N12288" s="1054"/>
      <c r="O12288" s="1207"/>
      <c r="Q12288" s="1207"/>
    </row>
    <row r="12289" spans="3:17" s="700" customFormat="1" ht="70.5" hidden="1" customHeight="1">
      <c r="C12289" s="701"/>
      <c r="D12289" s="811"/>
      <c r="E12289" s="1276">
        <f>[11]building!Y12620</f>
        <v>0</v>
      </c>
      <c r="F12289" s="748">
        <f t="shared" si="431"/>
        <v>0</v>
      </c>
      <c r="G12289" s="1205"/>
      <c r="H12289" s="1055"/>
      <c r="I12289" s="1055"/>
      <c r="J12289" s="1055"/>
      <c r="K12289" s="1205"/>
      <c r="L12289" s="1055"/>
      <c r="M12289" s="1205"/>
      <c r="N12289" s="1054"/>
      <c r="O12289" s="1207"/>
      <c r="Q12289" s="1207"/>
    </row>
    <row r="12290" spans="3:17" s="700" customFormat="1" ht="70.5" hidden="1" customHeight="1">
      <c r="C12290" s="701"/>
      <c r="D12290" s="811"/>
      <c r="E12290" s="1276">
        <f>[11]building!Y12621</f>
        <v>0</v>
      </c>
      <c r="F12290" s="748">
        <f t="shared" si="431"/>
        <v>0</v>
      </c>
      <c r="G12290" s="1205"/>
      <c r="H12290" s="1055"/>
      <c r="I12290" s="1055"/>
      <c r="J12290" s="1055"/>
      <c r="K12290" s="1205"/>
      <c r="L12290" s="1055"/>
      <c r="M12290" s="1205"/>
      <c r="N12290" s="1054"/>
      <c r="O12290" s="1207"/>
      <c r="Q12290" s="1207"/>
    </row>
    <row r="12291" spans="3:17" s="700" customFormat="1" ht="70.5" hidden="1" customHeight="1">
      <c r="C12291" s="701"/>
      <c r="D12291" s="811"/>
      <c r="E12291" s="1276">
        <f>[11]building!Y12622</f>
        <v>0</v>
      </c>
      <c r="F12291" s="748">
        <f t="shared" si="431"/>
        <v>0</v>
      </c>
      <c r="G12291" s="1205"/>
      <c r="H12291" s="1055"/>
      <c r="I12291" s="1055"/>
      <c r="J12291" s="1055"/>
      <c r="K12291" s="1205"/>
      <c r="L12291" s="1055"/>
      <c r="M12291" s="1205"/>
      <c r="N12291" s="1054"/>
      <c r="O12291" s="1207"/>
      <c r="Q12291" s="1207"/>
    </row>
    <row r="12292" spans="3:17" s="700" customFormat="1" ht="70.5" hidden="1" customHeight="1">
      <c r="C12292" s="701"/>
      <c r="D12292" s="811"/>
      <c r="E12292" s="1276">
        <f>[11]building!Y12623</f>
        <v>0</v>
      </c>
      <c r="F12292" s="748">
        <f t="shared" si="431"/>
        <v>0</v>
      </c>
      <c r="G12292" s="1205"/>
      <c r="H12292" s="1055"/>
      <c r="I12292" s="1055"/>
      <c r="J12292" s="1055"/>
      <c r="K12292" s="1205"/>
      <c r="L12292" s="1055"/>
      <c r="M12292" s="1205"/>
      <c r="N12292" s="1054"/>
      <c r="O12292" s="1207"/>
      <c r="Q12292" s="1207"/>
    </row>
    <row r="12293" spans="3:17" s="700" customFormat="1" ht="70.5" hidden="1" customHeight="1">
      <c r="C12293" s="701"/>
      <c r="D12293" s="811"/>
      <c r="E12293" s="1276">
        <f>[11]building!Y12624</f>
        <v>0</v>
      </c>
      <c r="F12293" s="748">
        <f t="shared" si="431"/>
        <v>0</v>
      </c>
      <c r="G12293" s="1205"/>
      <c r="H12293" s="1055"/>
      <c r="I12293" s="1055"/>
      <c r="J12293" s="1055"/>
      <c r="K12293" s="1205"/>
      <c r="L12293" s="1055"/>
      <c r="M12293" s="1205"/>
      <c r="N12293" s="1054"/>
      <c r="O12293" s="1207"/>
      <c r="Q12293" s="1207"/>
    </row>
    <row r="12294" spans="3:17" s="700" customFormat="1" ht="70.5" hidden="1" customHeight="1">
      <c r="C12294" s="701"/>
      <c r="D12294" s="811"/>
      <c r="E12294" s="1276">
        <f>[11]building!Y12625</f>
        <v>0</v>
      </c>
      <c r="F12294" s="748">
        <f t="shared" si="431"/>
        <v>0</v>
      </c>
      <c r="G12294" s="1205"/>
      <c r="H12294" s="1055"/>
      <c r="I12294" s="1055"/>
      <c r="J12294" s="1055"/>
      <c r="K12294" s="1205"/>
      <c r="L12294" s="1055"/>
      <c r="M12294" s="1205"/>
      <c r="N12294" s="1054"/>
      <c r="O12294" s="1207"/>
      <c r="Q12294" s="1207"/>
    </row>
    <row r="12295" spans="3:17" s="700" customFormat="1" ht="70.5" hidden="1" customHeight="1">
      <c r="C12295" s="701"/>
      <c r="D12295" s="811"/>
      <c r="E12295" s="1276">
        <f>[11]building!Y12626</f>
        <v>0</v>
      </c>
      <c r="F12295" s="748">
        <f t="shared" si="431"/>
        <v>0</v>
      </c>
      <c r="G12295" s="1205"/>
      <c r="H12295" s="1055"/>
      <c r="I12295" s="1055"/>
      <c r="J12295" s="1055"/>
      <c r="K12295" s="1205"/>
      <c r="L12295" s="1055"/>
      <c r="M12295" s="1205"/>
      <c r="N12295" s="1054"/>
      <c r="O12295" s="1207"/>
      <c r="Q12295" s="1207"/>
    </row>
    <row r="12296" spans="3:17" s="700" customFormat="1" ht="70.5" hidden="1" customHeight="1">
      <c r="C12296" s="701"/>
      <c r="D12296" s="811"/>
      <c r="E12296" s="1276">
        <f>[11]building!Y12627</f>
        <v>0</v>
      </c>
      <c r="F12296" s="748">
        <f t="shared" si="431"/>
        <v>0</v>
      </c>
      <c r="G12296" s="1205"/>
      <c r="H12296" s="1055"/>
      <c r="I12296" s="1055"/>
      <c r="J12296" s="1055"/>
      <c r="K12296" s="1205"/>
      <c r="L12296" s="1055"/>
      <c r="M12296" s="1205"/>
      <c r="N12296" s="1054"/>
      <c r="O12296" s="1207"/>
      <c r="Q12296" s="1207"/>
    </row>
    <row r="12297" spans="3:17" s="700" customFormat="1" ht="70.5" hidden="1" customHeight="1">
      <c r="C12297" s="701"/>
      <c r="D12297" s="811"/>
      <c r="E12297" s="1276">
        <f>[11]building!Y12628</f>
        <v>0</v>
      </c>
      <c r="F12297" s="748">
        <f t="shared" si="431"/>
        <v>0</v>
      </c>
      <c r="G12297" s="1205"/>
      <c r="H12297" s="1055"/>
      <c r="I12297" s="1055"/>
      <c r="J12297" s="1055"/>
      <c r="K12297" s="1205"/>
      <c r="L12297" s="1055"/>
      <c r="M12297" s="1205"/>
      <c r="N12297" s="1054"/>
      <c r="O12297" s="1207"/>
      <c r="Q12297" s="1207"/>
    </row>
    <row r="12298" spans="3:17" s="700" customFormat="1" ht="70.5" hidden="1" customHeight="1">
      <c r="C12298" s="701"/>
      <c r="D12298" s="811"/>
      <c r="E12298" s="1276">
        <f>[11]building!Y12629</f>
        <v>0</v>
      </c>
      <c r="F12298" s="748">
        <f t="shared" si="431"/>
        <v>0</v>
      </c>
      <c r="G12298" s="1205"/>
      <c r="H12298" s="1055"/>
      <c r="I12298" s="1055"/>
      <c r="J12298" s="1055"/>
      <c r="K12298" s="1205"/>
      <c r="L12298" s="1055"/>
      <c r="M12298" s="1205"/>
      <c r="N12298" s="1054"/>
      <c r="O12298" s="1207"/>
      <c r="Q12298" s="1207"/>
    </row>
    <row r="12299" spans="3:17" s="700" customFormat="1" ht="70.5" hidden="1" customHeight="1">
      <c r="C12299" s="701"/>
      <c r="D12299" s="811"/>
      <c r="E12299" s="1276">
        <f>[11]building!Y12630</f>
        <v>0</v>
      </c>
      <c r="F12299" s="748">
        <f t="shared" si="431"/>
        <v>0</v>
      </c>
      <c r="G12299" s="1205"/>
      <c r="H12299" s="1055"/>
      <c r="I12299" s="1055"/>
      <c r="J12299" s="1055"/>
      <c r="K12299" s="1205"/>
      <c r="L12299" s="1055"/>
      <c r="M12299" s="1205"/>
      <c r="N12299" s="1054"/>
      <c r="O12299" s="1207"/>
      <c r="Q12299" s="1207"/>
    </row>
    <row r="12300" spans="3:17" s="700" customFormat="1" ht="70.5" hidden="1" customHeight="1">
      <c r="C12300" s="701"/>
      <c r="D12300" s="811"/>
      <c r="E12300" s="1276">
        <f>[11]building!Y12631</f>
        <v>0</v>
      </c>
      <c r="F12300" s="748">
        <f t="shared" si="431"/>
        <v>0</v>
      </c>
      <c r="G12300" s="1205"/>
      <c r="H12300" s="1055"/>
      <c r="I12300" s="1055"/>
      <c r="J12300" s="1055"/>
      <c r="K12300" s="1205"/>
      <c r="L12300" s="1055"/>
      <c r="M12300" s="1205"/>
      <c r="N12300" s="1054"/>
      <c r="O12300" s="1207"/>
      <c r="Q12300" s="1207"/>
    </row>
    <row r="12301" spans="3:17" s="700" customFormat="1" ht="70.5" hidden="1" customHeight="1">
      <c r="C12301" s="701"/>
      <c r="D12301" s="811"/>
      <c r="E12301" s="1276">
        <f>[11]building!Y12632</f>
        <v>0</v>
      </c>
      <c r="F12301" s="748">
        <f t="shared" si="431"/>
        <v>0</v>
      </c>
      <c r="G12301" s="1205"/>
      <c r="H12301" s="1055"/>
      <c r="I12301" s="1055"/>
      <c r="J12301" s="1055"/>
      <c r="K12301" s="1205"/>
      <c r="L12301" s="1055"/>
      <c r="M12301" s="1205"/>
      <c r="N12301" s="1054"/>
      <c r="O12301" s="1207"/>
      <c r="Q12301" s="1207"/>
    </row>
    <row r="12302" spans="3:17" s="700" customFormat="1" ht="70.5" hidden="1" customHeight="1">
      <c r="C12302" s="701"/>
      <c r="D12302" s="811"/>
      <c r="E12302" s="1276">
        <f>[11]building!Y12633</f>
        <v>0</v>
      </c>
      <c r="F12302" s="748">
        <f t="shared" si="431"/>
        <v>0</v>
      </c>
      <c r="G12302" s="1205"/>
      <c r="H12302" s="1055"/>
      <c r="I12302" s="1055"/>
      <c r="J12302" s="1055"/>
      <c r="K12302" s="1205"/>
      <c r="L12302" s="1055"/>
      <c r="M12302" s="1205"/>
      <c r="N12302" s="1054"/>
      <c r="O12302" s="1207"/>
      <c r="Q12302" s="1207"/>
    </row>
    <row r="12303" spans="3:17" s="700" customFormat="1" ht="70.5" hidden="1" customHeight="1">
      <c r="C12303" s="701"/>
      <c r="D12303" s="811"/>
      <c r="E12303" s="1276">
        <f>[11]building!Y12634</f>
        <v>0</v>
      </c>
      <c r="F12303" s="748">
        <f t="shared" si="431"/>
        <v>0</v>
      </c>
      <c r="G12303" s="1205"/>
      <c r="H12303" s="1055"/>
      <c r="I12303" s="1055"/>
      <c r="J12303" s="1055"/>
      <c r="K12303" s="1205"/>
      <c r="L12303" s="1055"/>
      <c r="M12303" s="1205"/>
      <c r="N12303" s="1054"/>
      <c r="O12303" s="1207"/>
      <c r="Q12303" s="1207"/>
    </row>
    <row r="12304" spans="3:17" s="700" customFormat="1" ht="70.5" hidden="1" customHeight="1">
      <c r="C12304" s="701"/>
      <c r="D12304" s="811"/>
      <c r="E12304" s="1276">
        <f>[11]building!Y12635</f>
        <v>0</v>
      </c>
      <c r="F12304" s="748">
        <f t="shared" si="431"/>
        <v>0</v>
      </c>
      <c r="G12304" s="1205"/>
      <c r="H12304" s="1055"/>
      <c r="I12304" s="1055"/>
      <c r="J12304" s="1055"/>
      <c r="K12304" s="1205"/>
      <c r="L12304" s="1055"/>
      <c r="M12304" s="1205"/>
      <c r="N12304" s="1054"/>
      <c r="O12304" s="1207"/>
      <c r="Q12304" s="1207"/>
    </row>
    <row r="12305" spans="3:17" s="700" customFormat="1" ht="70.5" hidden="1" customHeight="1">
      <c r="C12305" s="701"/>
      <c r="D12305" s="811"/>
      <c r="E12305" s="1276">
        <f>[11]building!Y12636</f>
        <v>0</v>
      </c>
      <c r="F12305" s="748">
        <f t="shared" si="431"/>
        <v>0</v>
      </c>
      <c r="G12305" s="1205"/>
      <c r="H12305" s="1055"/>
      <c r="I12305" s="1055"/>
      <c r="J12305" s="1055"/>
      <c r="K12305" s="1205"/>
      <c r="L12305" s="1055"/>
      <c r="M12305" s="1205"/>
      <c r="N12305" s="1054"/>
      <c r="O12305" s="1207"/>
      <c r="Q12305" s="1207"/>
    </row>
    <row r="12306" spans="3:17" s="700" customFormat="1" ht="70.5" hidden="1" customHeight="1">
      <c r="C12306" s="701"/>
      <c r="D12306" s="811"/>
      <c r="E12306" s="1276">
        <f>[11]building!Y12637</f>
        <v>0</v>
      </c>
      <c r="F12306" s="748">
        <f t="shared" si="431"/>
        <v>0</v>
      </c>
      <c r="G12306" s="1205"/>
      <c r="H12306" s="1055"/>
      <c r="I12306" s="1055"/>
      <c r="J12306" s="1055"/>
      <c r="K12306" s="1205"/>
      <c r="L12306" s="1055"/>
      <c r="M12306" s="1205"/>
      <c r="N12306" s="1054"/>
      <c r="O12306" s="1207"/>
      <c r="Q12306" s="1207"/>
    </row>
    <row r="12307" spans="3:17" s="700" customFormat="1" ht="70.5" hidden="1" customHeight="1">
      <c r="C12307" s="701"/>
      <c r="D12307" s="811"/>
      <c r="E12307" s="1276">
        <f>[11]building!Y12638</f>
        <v>0</v>
      </c>
      <c r="F12307" s="748">
        <f t="shared" si="431"/>
        <v>0</v>
      </c>
      <c r="G12307" s="1205"/>
      <c r="H12307" s="1055"/>
      <c r="I12307" s="1055"/>
      <c r="J12307" s="1055"/>
      <c r="K12307" s="1205"/>
      <c r="L12307" s="1055"/>
      <c r="M12307" s="1205"/>
      <c r="N12307" s="1054"/>
      <c r="O12307" s="1207"/>
      <c r="Q12307" s="1207"/>
    </row>
    <row r="12308" spans="3:17" s="700" customFormat="1" ht="70.5" hidden="1" customHeight="1">
      <c r="C12308" s="701"/>
      <c r="D12308" s="811"/>
      <c r="E12308" s="1276">
        <f>[11]building!Y12639</f>
        <v>0</v>
      </c>
      <c r="F12308" s="748">
        <f t="shared" si="431"/>
        <v>0</v>
      </c>
      <c r="G12308" s="1205"/>
      <c r="H12308" s="1055"/>
      <c r="I12308" s="1055"/>
      <c r="J12308" s="1055"/>
      <c r="K12308" s="1205"/>
      <c r="L12308" s="1055"/>
      <c r="M12308" s="1205"/>
      <c r="N12308" s="1054"/>
      <c r="O12308" s="1207"/>
      <c r="Q12308" s="1207"/>
    </row>
    <row r="12309" spans="3:17" s="700" customFormat="1" ht="70.5" hidden="1" customHeight="1">
      <c r="C12309" s="701"/>
      <c r="D12309" s="811"/>
      <c r="E12309" s="1276">
        <f>[11]building!Y12640</f>
        <v>0</v>
      </c>
      <c r="F12309" s="748">
        <f t="shared" si="431"/>
        <v>0</v>
      </c>
      <c r="G12309" s="1205"/>
      <c r="H12309" s="1055"/>
      <c r="I12309" s="1055"/>
      <c r="J12309" s="1055"/>
      <c r="K12309" s="1205"/>
      <c r="L12309" s="1055"/>
      <c r="M12309" s="1205"/>
      <c r="N12309" s="1054"/>
      <c r="O12309" s="1207"/>
      <c r="Q12309" s="1207"/>
    </row>
    <row r="12310" spans="3:17" s="700" customFormat="1" ht="70.5" hidden="1" customHeight="1">
      <c r="C12310" s="701"/>
      <c r="D12310" s="811"/>
      <c r="E12310" s="1276">
        <f>[11]building!Y12641</f>
        <v>0</v>
      </c>
      <c r="F12310" s="748">
        <f t="shared" si="431"/>
        <v>0</v>
      </c>
      <c r="G12310" s="1205"/>
      <c r="H12310" s="1055"/>
      <c r="I12310" s="1055"/>
      <c r="J12310" s="1055"/>
      <c r="K12310" s="1205"/>
      <c r="L12310" s="1055"/>
      <c r="M12310" s="1205"/>
      <c r="N12310" s="1054"/>
      <c r="O12310" s="1207"/>
      <c r="Q12310" s="1207"/>
    </row>
    <row r="12311" spans="3:17" s="700" customFormat="1" ht="70.5" hidden="1" customHeight="1">
      <c r="C12311" s="701"/>
      <c r="D12311" s="811"/>
      <c r="E12311" s="1276">
        <f>[11]building!Y12642</f>
        <v>0</v>
      </c>
      <c r="F12311" s="748">
        <f t="shared" si="431"/>
        <v>0</v>
      </c>
      <c r="G12311" s="1205"/>
      <c r="H12311" s="1055"/>
      <c r="I12311" s="1055"/>
      <c r="J12311" s="1055"/>
      <c r="K12311" s="1205"/>
      <c r="L12311" s="1055"/>
      <c r="M12311" s="1205"/>
      <c r="N12311" s="1054"/>
      <c r="O12311" s="1207"/>
      <c r="Q12311" s="1207"/>
    </row>
    <row r="12312" spans="3:17" s="700" customFormat="1" ht="70.5" hidden="1" customHeight="1">
      <c r="C12312" s="701"/>
      <c r="D12312" s="811"/>
      <c r="E12312" s="1276">
        <f>[11]building!Y12643</f>
        <v>0</v>
      </c>
      <c r="F12312" s="748">
        <f t="shared" si="431"/>
        <v>0</v>
      </c>
      <c r="G12312" s="1205"/>
      <c r="H12312" s="1055"/>
      <c r="I12312" s="1055"/>
      <c r="J12312" s="1055"/>
      <c r="K12312" s="1205"/>
      <c r="L12312" s="1055"/>
      <c r="M12312" s="1205"/>
      <c r="N12312" s="1054"/>
      <c r="O12312" s="1207"/>
      <c r="Q12312" s="1207"/>
    </row>
    <row r="12313" spans="3:17" s="700" customFormat="1" ht="70.5" hidden="1" customHeight="1">
      <c r="C12313" s="701"/>
      <c r="D12313" s="811"/>
      <c r="E12313" s="1276">
        <f>[11]building!Y12644</f>
        <v>0</v>
      </c>
      <c r="F12313" s="748">
        <f t="shared" si="431"/>
        <v>0</v>
      </c>
      <c r="G12313" s="1205"/>
      <c r="H12313" s="1055"/>
      <c r="I12313" s="1055"/>
      <c r="J12313" s="1055"/>
      <c r="K12313" s="1205"/>
      <c r="L12313" s="1055"/>
      <c r="M12313" s="1205"/>
      <c r="N12313" s="1054"/>
      <c r="O12313" s="1207"/>
      <c r="Q12313" s="1207"/>
    </row>
    <row r="12314" spans="3:17" s="700" customFormat="1" ht="70.5" hidden="1" customHeight="1">
      <c r="C12314" s="701"/>
      <c r="D12314" s="811"/>
      <c r="E12314" s="1276">
        <f>[11]building!Y12645</f>
        <v>0</v>
      </c>
      <c r="F12314" s="748">
        <f t="shared" si="431"/>
        <v>0</v>
      </c>
      <c r="G12314" s="1205"/>
      <c r="H12314" s="1055"/>
      <c r="I12314" s="1055"/>
      <c r="J12314" s="1055"/>
      <c r="K12314" s="1205"/>
      <c r="L12314" s="1055"/>
      <c r="M12314" s="1205"/>
      <c r="N12314" s="1054"/>
      <c r="O12314" s="1207"/>
      <c r="Q12314" s="1207"/>
    </row>
    <row r="12315" spans="3:17" s="700" customFormat="1" ht="70.5" hidden="1" customHeight="1">
      <c r="C12315" s="701"/>
      <c r="D12315" s="811"/>
      <c r="E12315" s="1276">
        <f>[11]building!Y12646</f>
        <v>0</v>
      </c>
      <c r="F12315" s="748">
        <f t="shared" si="431"/>
        <v>0</v>
      </c>
      <c r="G12315" s="1205"/>
      <c r="H12315" s="1055"/>
      <c r="I12315" s="1055"/>
      <c r="J12315" s="1055"/>
      <c r="K12315" s="1205"/>
      <c r="L12315" s="1055"/>
      <c r="M12315" s="1205"/>
      <c r="N12315" s="1054"/>
      <c r="O12315" s="1207"/>
      <c r="Q12315" s="1207"/>
    </row>
    <row r="12316" spans="3:17" s="700" customFormat="1" ht="70.5" hidden="1" customHeight="1">
      <c r="C12316" s="701"/>
      <c r="D12316" s="811"/>
      <c r="E12316" s="1276">
        <f>[11]building!Y12647</f>
        <v>0</v>
      </c>
      <c r="F12316" s="748">
        <f t="shared" si="431"/>
        <v>0</v>
      </c>
      <c r="G12316" s="1205"/>
      <c r="H12316" s="1055"/>
      <c r="I12316" s="1055"/>
      <c r="J12316" s="1055"/>
      <c r="K12316" s="1205"/>
      <c r="L12316" s="1055"/>
      <c r="M12316" s="1205"/>
      <c r="N12316" s="1054"/>
      <c r="O12316" s="1207"/>
      <c r="Q12316" s="1207"/>
    </row>
    <row r="12317" spans="3:17" s="700" customFormat="1" ht="70.5" hidden="1" customHeight="1">
      <c r="C12317" s="701"/>
      <c r="D12317" s="811"/>
      <c r="E12317" s="1276">
        <f>[11]building!Y12648</f>
        <v>0</v>
      </c>
      <c r="F12317" s="748">
        <f t="shared" si="431"/>
        <v>0</v>
      </c>
      <c r="G12317" s="1205"/>
      <c r="H12317" s="1055"/>
      <c r="I12317" s="1055"/>
      <c r="J12317" s="1055"/>
      <c r="K12317" s="1205"/>
      <c r="L12317" s="1055"/>
      <c r="M12317" s="1205"/>
      <c r="N12317" s="1054"/>
      <c r="O12317" s="1207"/>
      <c r="Q12317" s="1207"/>
    </row>
    <row r="12318" spans="3:17" s="700" customFormat="1" ht="70.5" hidden="1" customHeight="1">
      <c r="C12318" s="701"/>
      <c r="D12318" s="811"/>
      <c r="E12318" s="1276">
        <f>[11]building!Y12649</f>
        <v>0</v>
      </c>
      <c r="F12318" s="748">
        <f t="shared" si="431"/>
        <v>0</v>
      </c>
      <c r="G12318" s="1205"/>
      <c r="H12318" s="1055"/>
      <c r="I12318" s="1055"/>
      <c r="J12318" s="1055"/>
      <c r="K12318" s="1205"/>
      <c r="L12318" s="1055"/>
      <c r="M12318" s="1205"/>
      <c r="N12318" s="1054"/>
      <c r="O12318" s="1207"/>
      <c r="Q12318" s="1207"/>
    </row>
    <row r="12319" spans="3:17" s="700" customFormat="1" ht="70.5" hidden="1" customHeight="1">
      <c r="C12319" s="701"/>
      <c r="D12319" s="811"/>
      <c r="E12319" s="1276">
        <f>[11]building!Y12650</f>
        <v>0</v>
      </c>
      <c r="F12319" s="748">
        <f t="shared" si="431"/>
        <v>0</v>
      </c>
      <c r="G12319" s="1205"/>
      <c r="H12319" s="1055"/>
      <c r="I12319" s="1055"/>
      <c r="J12319" s="1055"/>
      <c r="K12319" s="1205"/>
      <c r="L12319" s="1055"/>
      <c r="M12319" s="1205"/>
      <c r="N12319" s="1054"/>
      <c r="O12319" s="1207"/>
      <c r="Q12319" s="1207"/>
    </row>
    <row r="12320" spans="3:17" s="700" customFormat="1" ht="70.5" hidden="1" customHeight="1">
      <c r="C12320" s="701"/>
      <c r="D12320" s="811"/>
      <c r="E12320" s="1276">
        <f>[11]building!Y12651</f>
        <v>0</v>
      </c>
      <c r="F12320" s="748">
        <f t="shared" si="431"/>
        <v>0</v>
      </c>
      <c r="G12320" s="1205"/>
      <c r="H12320" s="1055"/>
      <c r="I12320" s="1055"/>
      <c r="J12320" s="1055"/>
      <c r="K12320" s="1205"/>
      <c r="L12320" s="1055"/>
      <c r="M12320" s="1205"/>
      <c r="N12320" s="1054"/>
      <c r="O12320" s="1207"/>
      <c r="Q12320" s="1207"/>
    </row>
    <row r="12321" spans="3:17" s="700" customFormat="1" ht="70.5" hidden="1" customHeight="1">
      <c r="C12321" s="701"/>
      <c r="D12321" s="811"/>
      <c r="E12321" s="1276">
        <f>[11]building!Y12652</f>
        <v>0</v>
      </c>
      <c r="F12321" s="748">
        <f t="shared" si="431"/>
        <v>0</v>
      </c>
      <c r="G12321" s="1205"/>
      <c r="H12321" s="1055"/>
      <c r="I12321" s="1055"/>
      <c r="J12321" s="1055"/>
      <c r="K12321" s="1205"/>
      <c r="L12321" s="1055"/>
      <c r="M12321" s="1205"/>
      <c r="N12321" s="1054"/>
      <c r="O12321" s="1207"/>
      <c r="Q12321" s="1207"/>
    </row>
    <row r="12322" spans="3:17" s="700" customFormat="1" ht="70.5" hidden="1" customHeight="1">
      <c r="C12322" s="701"/>
      <c r="D12322" s="811"/>
      <c r="E12322" s="1276">
        <f>[11]building!Y12653</f>
        <v>0</v>
      </c>
      <c r="F12322" s="748">
        <f t="shared" si="431"/>
        <v>0</v>
      </c>
      <c r="G12322" s="1205"/>
      <c r="H12322" s="1055"/>
      <c r="I12322" s="1055"/>
      <c r="J12322" s="1055"/>
      <c r="K12322" s="1205"/>
      <c r="L12322" s="1055"/>
      <c r="M12322" s="1205"/>
      <c r="N12322" s="1054"/>
      <c r="O12322" s="1207"/>
      <c r="Q12322" s="1207"/>
    </row>
    <row r="12323" spans="3:17" s="700" customFormat="1" ht="70.5" hidden="1" customHeight="1">
      <c r="C12323" s="701"/>
      <c r="D12323" s="811"/>
      <c r="E12323" s="1276">
        <f>[11]building!Y12654</f>
        <v>0</v>
      </c>
      <c r="F12323" s="748">
        <f t="shared" si="431"/>
        <v>0</v>
      </c>
      <c r="G12323" s="1205"/>
      <c r="H12323" s="1055"/>
      <c r="I12323" s="1055"/>
      <c r="J12323" s="1055"/>
      <c r="K12323" s="1205"/>
      <c r="L12323" s="1055"/>
      <c r="M12323" s="1205"/>
      <c r="N12323" s="1054"/>
      <c r="O12323" s="1207"/>
      <c r="Q12323" s="1207"/>
    </row>
    <row r="12324" spans="3:17" s="700" customFormat="1" ht="70.5" hidden="1" customHeight="1">
      <c r="C12324" s="701"/>
      <c r="D12324" s="811"/>
      <c r="E12324" s="1276">
        <f>[11]building!Y12655</f>
        <v>0</v>
      </c>
      <c r="F12324" s="748">
        <f t="shared" si="431"/>
        <v>0</v>
      </c>
      <c r="G12324" s="1205"/>
      <c r="H12324" s="1055"/>
      <c r="I12324" s="1055"/>
      <c r="J12324" s="1055"/>
      <c r="K12324" s="1205"/>
      <c r="L12324" s="1055"/>
      <c r="M12324" s="1205"/>
      <c r="N12324" s="1054"/>
      <c r="O12324" s="1207"/>
      <c r="Q12324" s="1207"/>
    </row>
    <row r="12325" spans="3:17" s="700" customFormat="1" ht="70.5" hidden="1" customHeight="1">
      <c r="C12325" s="701"/>
      <c r="D12325" s="811"/>
      <c r="E12325" s="1276">
        <f>[11]building!Y12656</f>
        <v>0</v>
      </c>
      <c r="F12325" s="748">
        <f t="shared" si="431"/>
        <v>0</v>
      </c>
      <c r="G12325" s="1205"/>
      <c r="H12325" s="1055"/>
      <c r="I12325" s="1055"/>
      <c r="J12325" s="1055"/>
      <c r="K12325" s="1205"/>
      <c r="L12325" s="1055"/>
      <c r="M12325" s="1205"/>
      <c r="N12325" s="1054"/>
      <c r="O12325" s="1207"/>
      <c r="Q12325" s="1207"/>
    </row>
    <row r="12326" spans="3:17" s="700" customFormat="1" ht="70.5" hidden="1" customHeight="1">
      <c r="C12326" s="701"/>
      <c r="D12326" s="811"/>
      <c r="E12326" s="1276">
        <f>[11]building!Y12657</f>
        <v>0</v>
      </c>
      <c r="F12326" s="748">
        <f t="shared" si="431"/>
        <v>0</v>
      </c>
      <c r="G12326" s="1205"/>
      <c r="H12326" s="1055"/>
      <c r="I12326" s="1055"/>
      <c r="J12326" s="1055"/>
      <c r="K12326" s="1205"/>
      <c r="L12326" s="1055"/>
      <c r="M12326" s="1205"/>
      <c r="N12326" s="1054"/>
      <c r="O12326" s="1207"/>
      <c r="Q12326" s="1207"/>
    </row>
    <row r="12327" spans="3:17" s="700" customFormat="1" ht="70.5" hidden="1" customHeight="1">
      <c r="C12327" s="701"/>
      <c r="D12327" s="811"/>
      <c r="E12327" s="1276">
        <f>[11]building!Y12658</f>
        <v>0</v>
      </c>
      <c r="F12327" s="748">
        <f t="shared" si="431"/>
        <v>0</v>
      </c>
      <c r="G12327" s="1205"/>
      <c r="H12327" s="1055"/>
      <c r="I12327" s="1055"/>
      <c r="J12327" s="1055"/>
      <c r="K12327" s="1205"/>
      <c r="L12327" s="1055"/>
      <c r="M12327" s="1205"/>
      <c r="N12327" s="1054"/>
      <c r="O12327" s="1207"/>
      <c r="Q12327" s="1207"/>
    </row>
    <row r="12328" spans="3:17" s="700" customFormat="1" ht="70.5" hidden="1" customHeight="1">
      <c r="C12328" s="701"/>
      <c r="D12328" s="811"/>
      <c r="E12328" s="1276">
        <f>[11]building!Y12659</f>
        <v>0</v>
      </c>
      <c r="F12328" s="748">
        <f t="shared" si="431"/>
        <v>0</v>
      </c>
      <c r="G12328" s="1205"/>
      <c r="H12328" s="1055"/>
      <c r="I12328" s="1055"/>
      <c r="J12328" s="1055"/>
      <c r="K12328" s="1205"/>
      <c r="L12328" s="1055"/>
      <c r="M12328" s="1205"/>
      <c r="N12328" s="1054"/>
      <c r="O12328" s="1207"/>
      <c r="Q12328" s="1207"/>
    </row>
    <row r="12329" spans="3:17" s="700" customFormat="1" ht="70.5" hidden="1" customHeight="1">
      <c r="C12329" s="701"/>
      <c r="D12329" s="811"/>
      <c r="E12329" s="1276">
        <f>[11]building!Y12660</f>
        <v>0</v>
      </c>
      <c r="F12329" s="748">
        <f t="shared" si="431"/>
        <v>0</v>
      </c>
      <c r="G12329" s="1205"/>
      <c r="H12329" s="1055"/>
      <c r="I12329" s="1055"/>
      <c r="J12329" s="1055"/>
      <c r="K12329" s="1205"/>
      <c r="L12329" s="1055"/>
      <c r="M12329" s="1205"/>
      <c r="N12329" s="1054"/>
      <c r="O12329" s="1207"/>
      <c r="Q12329" s="1207"/>
    </row>
    <row r="12330" spans="3:17" s="700" customFormat="1" ht="70.5" hidden="1" customHeight="1">
      <c r="C12330" s="701"/>
      <c r="D12330" s="811"/>
      <c r="E12330" s="1276">
        <f>[11]building!Y12661</f>
        <v>0</v>
      </c>
      <c r="F12330" s="748">
        <f t="shared" si="431"/>
        <v>0</v>
      </c>
      <c r="G12330" s="1205"/>
      <c r="H12330" s="1055"/>
      <c r="I12330" s="1055"/>
      <c r="J12330" s="1055"/>
      <c r="K12330" s="1205"/>
      <c r="L12330" s="1055"/>
      <c r="M12330" s="1205"/>
      <c r="N12330" s="1054"/>
      <c r="O12330" s="1207"/>
      <c r="Q12330" s="1207"/>
    </row>
    <row r="12331" spans="3:17" s="700" customFormat="1" ht="70.5" hidden="1" customHeight="1">
      <c r="C12331" s="701"/>
      <c r="D12331" s="811"/>
      <c r="E12331" s="1276">
        <f>[11]building!Y12662</f>
        <v>0</v>
      </c>
      <c r="F12331" s="748">
        <f t="shared" si="431"/>
        <v>0</v>
      </c>
      <c r="G12331" s="1205"/>
      <c r="H12331" s="1055"/>
      <c r="I12331" s="1055"/>
      <c r="J12331" s="1055"/>
      <c r="K12331" s="1205"/>
      <c r="L12331" s="1055"/>
      <c r="M12331" s="1205"/>
      <c r="N12331" s="1054"/>
      <c r="O12331" s="1207"/>
      <c r="Q12331" s="1207"/>
    </row>
    <row r="12332" spans="3:17" s="700" customFormat="1" ht="70.5" hidden="1" customHeight="1">
      <c r="C12332" s="701"/>
      <c r="D12332" s="811"/>
      <c r="E12332" s="1276">
        <f>[11]building!Y12663</f>
        <v>0</v>
      </c>
      <c r="F12332" s="748">
        <f t="shared" si="431"/>
        <v>0</v>
      </c>
      <c r="G12332" s="1205"/>
      <c r="H12332" s="1055"/>
      <c r="I12332" s="1055"/>
      <c r="J12332" s="1055"/>
      <c r="K12332" s="1205"/>
      <c r="L12332" s="1055"/>
      <c r="M12332" s="1205"/>
      <c r="N12332" s="1054"/>
      <c r="O12332" s="1207"/>
      <c r="Q12332" s="1207"/>
    </row>
    <row r="12333" spans="3:17" s="700" customFormat="1" ht="70.5" hidden="1" customHeight="1">
      <c r="C12333" s="701"/>
      <c r="D12333" s="811"/>
      <c r="E12333" s="1276">
        <f>[11]building!Y12664</f>
        <v>0</v>
      </c>
      <c r="F12333" s="748">
        <f t="shared" si="431"/>
        <v>0</v>
      </c>
      <c r="G12333" s="1205"/>
      <c r="H12333" s="1055"/>
      <c r="I12333" s="1055"/>
      <c r="J12333" s="1055"/>
      <c r="K12333" s="1205"/>
      <c r="L12333" s="1055"/>
      <c r="M12333" s="1205"/>
      <c r="N12333" s="1054"/>
      <c r="O12333" s="1207"/>
      <c r="Q12333" s="1207"/>
    </row>
    <row r="12334" spans="3:17" s="700" customFormat="1" ht="70.5" hidden="1" customHeight="1">
      <c r="C12334" s="701"/>
      <c r="D12334" s="811"/>
      <c r="E12334" s="1276">
        <f>[11]building!Y12665</f>
        <v>0</v>
      </c>
      <c r="F12334" s="748">
        <f t="shared" si="431"/>
        <v>0</v>
      </c>
      <c r="G12334" s="1205"/>
      <c r="H12334" s="1055"/>
      <c r="I12334" s="1055"/>
      <c r="J12334" s="1055"/>
      <c r="K12334" s="1205"/>
      <c r="L12334" s="1055"/>
      <c r="M12334" s="1205"/>
      <c r="N12334" s="1054"/>
      <c r="O12334" s="1207"/>
      <c r="Q12334" s="1207"/>
    </row>
    <row r="12335" spans="3:17" s="700" customFormat="1" ht="70.5" hidden="1" customHeight="1">
      <c r="C12335" s="701"/>
      <c r="D12335" s="811"/>
      <c r="E12335" s="1276">
        <f>[11]building!Y12666</f>
        <v>0</v>
      </c>
      <c r="F12335" s="748">
        <f t="shared" si="431"/>
        <v>0</v>
      </c>
      <c r="G12335" s="1205"/>
      <c r="H12335" s="1055"/>
      <c r="I12335" s="1055"/>
      <c r="J12335" s="1055"/>
      <c r="K12335" s="1205"/>
      <c r="L12335" s="1055"/>
      <c r="M12335" s="1205"/>
      <c r="N12335" s="1054"/>
      <c r="O12335" s="1207"/>
      <c r="Q12335" s="1207"/>
    </row>
    <row r="12336" spans="3:17" s="700" customFormat="1" ht="70.5" hidden="1" customHeight="1">
      <c r="C12336" s="701"/>
      <c r="D12336" s="811"/>
      <c r="E12336" s="1276">
        <f>[11]building!Y12667</f>
        <v>0</v>
      </c>
      <c r="F12336" s="748">
        <f t="shared" si="431"/>
        <v>0</v>
      </c>
      <c r="G12336" s="1205"/>
      <c r="H12336" s="1055"/>
      <c r="I12336" s="1055"/>
      <c r="J12336" s="1055"/>
      <c r="K12336" s="1205"/>
      <c r="L12336" s="1055"/>
      <c r="M12336" s="1205"/>
      <c r="N12336" s="1054"/>
      <c r="O12336" s="1207"/>
      <c r="Q12336" s="1207"/>
    </row>
    <row r="12337" spans="3:17" s="700" customFormat="1" ht="70.5" hidden="1" customHeight="1">
      <c r="C12337" s="701"/>
      <c r="D12337" s="811"/>
      <c r="E12337" s="1276">
        <f>[11]building!Y12668</f>
        <v>0</v>
      </c>
      <c r="F12337" s="748">
        <f t="shared" si="431"/>
        <v>0</v>
      </c>
      <c r="G12337" s="1205"/>
      <c r="H12337" s="1055"/>
      <c r="I12337" s="1055"/>
      <c r="J12337" s="1055"/>
      <c r="K12337" s="1205"/>
      <c r="L12337" s="1055"/>
      <c r="M12337" s="1205"/>
      <c r="N12337" s="1054"/>
      <c r="O12337" s="1207"/>
      <c r="Q12337" s="1207"/>
    </row>
    <row r="12338" spans="3:17" s="700" customFormat="1" ht="70.5" hidden="1" customHeight="1">
      <c r="C12338" s="701"/>
      <c r="D12338" s="811"/>
      <c r="E12338" s="1276">
        <f>[11]building!Y12669</f>
        <v>0</v>
      </c>
      <c r="F12338" s="748">
        <f t="shared" si="431"/>
        <v>0</v>
      </c>
      <c r="G12338" s="1205"/>
      <c r="H12338" s="1055"/>
      <c r="I12338" s="1055"/>
      <c r="J12338" s="1055"/>
      <c r="K12338" s="1205"/>
      <c r="L12338" s="1055"/>
      <c r="M12338" s="1205"/>
      <c r="N12338" s="1054"/>
      <c r="O12338" s="1207"/>
      <c r="Q12338" s="1207"/>
    </row>
    <row r="12339" spans="3:17" s="700" customFormat="1" ht="70.5" hidden="1" customHeight="1">
      <c r="C12339" s="701"/>
      <c r="D12339" s="811"/>
      <c r="E12339" s="1276">
        <f>[11]building!Y12670</f>
        <v>0</v>
      </c>
      <c r="F12339" s="748">
        <f t="shared" si="431"/>
        <v>0</v>
      </c>
      <c r="G12339" s="1205"/>
      <c r="H12339" s="1055"/>
      <c r="I12339" s="1055"/>
      <c r="J12339" s="1055"/>
      <c r="K12339" s="1205"/>
      <c r="L12339" s="1055"/>
      <c r="M12339" s="1205"/>
      <c r="N12339" s="1054"/>
      <c r="O12339" s="1207"/>
      <c r="Q12339" s="1207"/>
    </row>
    <row r="12340" spans="3:17" s="700" customFormat="1" ht="70.5" hidden="1" customHeight="1">
      <c r="C12340" s="701"/>
      <c r="D12340" s="811"/>
      <c r="E12340" s="1276">
        <f>[11]building!Y12671</f>
        <v>0</v>
      </c>
      <c r="F12340" s="748">
        <f t="shared" si="431"/>
        <v>0</v>
      </c>
      <c r="G12340" s="1205"/>
      <c r="H12340" s="1055"/>
      <c r="I12340" s="1055"/>
      <c r="J12340" s="1055"/>
      <c r="K12340" s="1205"/>
      <c r="L12340" s="1055"/>
      <c r="M12340" s="1205"/>
      <c r="N12340" s="1054"/>
      <c r="O12340" s="1207"/>
      <c r="Q12340" s="1207"/>
    </row>
    <row r="12341" spans="3:17" s="700" customFormat="1" ht="70.5" hidden="1" customHeight="1">
      <c r="C12341" s="701"/>
      <c r="D12341" s="811"/>
      <c r="E12341" s="1276">
        <f>[11]building!Y12672</f>
        <v>0</v>
      </c>
      <c r="F12341" s="748">
        <f t="shared" si="431"/>
        <v>0</v>
      </c>
      <c r="G12341" s="1205"/>
      <c r="H12341" s="1055"/>
      <c r="I12341" s="1055"/>
      <c r="J12341" s="1055"/>
      <c r="K12341" s="1205"/>
      <c r="L12341" s="1055"/>
      <c r="M12341" s="1205"/>
      <c r="N12341" s="1054"/>
      <c r="O12341" s="1207"/>
      <c r="Q12341" s="1207"/>
    </row>
    <row r="12342" spans="3:17" s="700" customFormat="1" ht="70.5" hidden="1" customHeight="1">
      <c r="C12342" s="701"/>
      <c r="D12342" s="811"/>
      <c r="E12342" s="1276">
        <f>[11]building!Y12673</f>
        <v>0</v>
      </c>
      <c r="F12342" s="748">
        <f t="shared" si="431"/>
        <v>0</v>
      </c>
      <c r="G12342" s="1205"/>
      <c r="H12342" s="1055"/>
      <c r="I12342" s="1055"/>
      <c r="J12342" s="1055"/>
      <c r="K12342" s="1205"/>
      <c r="L12342" s="1055"/>
      <c r="M12342" s="1205"/>
      <c r="N12342" s="1054"/>
      <c r="O12342" s="1207"/>
      <c r="Q12342" s="1207"/>
    </row>
    <row r="12343" spans="3:17" s="700" customFormat="1" ht="70.5" hidden="1" customHeight="1">
      <c r="C12343" s="701"/>
      <c r="D12343" s="811"/>
      <c r="E12343" s="1276">
        <f>[11]building!Y12674</f>
        <v>0</v>
      </c>
      <c r="F12343" s="748">
        <f t="shared" si="431"/>
        <v>0</v>
      </c>
      <c r="G12343" s="1205"/>
      <c r="H12343" s="1055"/>
      <c r="I12343" s="1055"/>
      <c r="J12343" s="1055"/>
      <c r="K12343" s="1205"/>
      <c r="L12343" s="1055"/>
      <c r="M12343" s="1205"/>
      <c r="N12343" s="1054"/>
      <c r="O12343" s="1207"/>
      <c r="Q12343" s="1207"/>
    </row>
    <row r="12344" spans="3:17" s="700" customFormat="1" ht="70.5" hidden="1" customHeight="1">
      <c r="C12344" s="701"/>
      <c r="D12344" s="811"/>
      <c r="E12344" s="1276">
        <f>[11]building!Y12675</f>
        <v>0</v>
      </c>
      <c r="F12344" s="748">
        <f t="shared" si="431"/>
        <v>0</v>
      </c>
      <c r="G12344" s="1205"/>
      <c r="H12344" s="1055"/>
      <c r="I12344" s="1055"/>
      <c r="J12344" s="1055"/>
      <c r="K12344" s="1205"/>
      <c r="L12344" s="1055"/>
      <c r="M12344" s="1205"/>
      <c r="N12344" s="1054"/>
      <c r="O12344" s="1207"/>
      <c r="Q12344" s="1207"/>
    </row>
    <row r="12345" spans="3:17" s="700" customFormat="1" ht="70.5" hidden="1" customHeight="1">
      <c r="C12345" s="701"/>
      <c r="D12345" s="811"/>
      <c r="E12345" s="1276">
        <f>[11]building!Y12676</f>
        <v>0</v>
      </c>
      <c r="F12345" s="748">
        <f t="shared" si="431"/>
        <v>0</v>
      </c>
      <c r="G12345" s="1205"/>
      <c r="H12345" s="1055"/>
      <c r="I12345" s="1055"/>
      <c r="J12345" s="1055"/>
      <c r="K12345" s="1205"/>
      <c r="L12345" s="1055"/>
      <c r="M12345" s="1205"/>
      <c r="N12345" s="1054"/>
      <c r="O12345" s="1207"/>
      <c r="Q12345" s="1207"/>
    </row>
    <row r="12346" spans="3:17" s="700" customFormat="1" ht="70.5" hidden="1" customHeight="1">
      <c r="C12346" s="701"/>
      <c r="D12346" s="811"/>
      <c r="E12346" s="1276">
        <f>[11]building!Y12677</f>
        <v>0</v>
      </c>
      <c r="F12346" s="748">
        <f t="shared" si="431"/>
        <v>0</v>
      </c>
      <c r="G12346" s="1205"/>
      <c r="H12346" s="1055"/>
      <c r="I12346" s="1055"/>
      <c r="J12346" s="1055"/>
      <c r="K12346" s="1205"/>
      <c r="L12346" s="1055"/>
      <c r="M12346" s="1205"/>
      <c r="N12346" s="1054"/>
      <c r="O12346" s="1207"/>
      <c r="Q12346" s="1207"/>
    </row>
    <row r="12347" spans="3:17" s="700" customFormat="1" ht="70.5" hidden="1" customHeight="1">
      <c r="C12347" s="701"/>
      <c r="D12347" s="811"/>
      <c r="E12347" s="1276">
        <f>[11]building!Y12678</f>
        <v>0</v>
      </c>
      <c r="F12347" s="748">
        <f t="shared" si="431"/>
        <v>0</v>
      </c>
      <c r="G12347" s="1205"/>
      <c r="H12347" s="1055"/>
      <c r="I12347" s="1055"/>
      <c r="J12347" s="1055"/>
      <c r="K12347" s="1205"/>
      <c r="L12347" s="1055"/>
      <c r="M12347" s="1205"/>
      <c r="N12347" s="1054"/>
      <c r="O12347" s="1207"/>
      <c r="Q12347" s="1207"/>
    </row>
    <row r="12348" spans="3:17" s="700" customFormat="1" ht="70.5" hidden="1" customHeight="1">
      <c r="C12348" s="701"/>
      <c r="D12348" s="811"/>
      <c r="E12348" s="1276">
        <f>[11]building!Y12679</f>
        <v>0</v>
      </c>
      <c r="F12348" s="748">
        <f t="shared" si="431"/>
        <v>0</v>
      </c>
      <c r="G12348" s="1205"/>
      <c r="H12348" s="1055"/>
      <c r="I12348" s="1055"/>
      <c r="J12348" s="1055"/>
      <c r="K12348" s="1205"/>
      <c r="L12348" s="1055"/>
      <c r="M12348" s="1205"/>
      <c r="N12348" s="1054"/>
      <c r="O12348" s="1207"/>
      <c r="Q12348" s="1207"/>
    </row>
    <row r="12349" spans="3:17" s="700" customFormat="1" ht="70.5" hidden="1" customHeight="1">
      <c r="C12349" s="701"/>
      <c r="D12349" s="811"/>
      <c r="E12349" s="1276">
        <f>[11]building!Y12680</f>
        <v>0</v>
      </c>
      <c r="F12349" s="748">
        <f t="shared" si="431"/>
        <v>0</v>
      </c>
      <c r="G12349" s="1205"/>
      <c r="H12349" s="1055"/>
      <c r="I12349" s="1055"/>
      <c r="J12349" s="1055"/>
      <c r="K12349" s="1205"/>
      <c r="L12349" s="1055"/>
      <c r="M12349" s="1205"/>
      <c r="N12349" s="1054"/>
      <c r="O12349" s="1207"/>
      <c r="Q12349" s="1207"/>
    </row>
    <row r="12350" spans="3:17" s="700" customFormat="1" ht="70.5" hidden="1" customHeight="1">
      <c r="C12350" s="701"/>
      <c r="D12350" s="811"/>
      <c r="E12350" s="1276">
        <f>[11]building!Y12681</f>
        <v>0</v>
      </c>
      <c r="F12350" s="748">
        <f t="shared" si="431"/>
        <v>0</v>
      </c>
      <c r="G12350" s="1205"/>
      <c r="H12350" s="1055"/>
      <c r="I12350" s="1055"/>
      <c r="J12350" s="1055"/>
      <c r="K12350" s="1205"/>
      <c r="L12350" s="1055"/>
      <c r="M12350" s="1205"/>
      <c r="N12350" s="1054"/>
      <c r="O12350" s="1207"/>
      <c r="Q12350" s="1207"/>
    </row>
    <row r="12351" spans="3:17" s="700" customFormat="1" ht="70.5" hidden="1" customHeight="1">
      <c r="C12351" s="701"/>
      <c r="D12351" s="811"/>
      <c r="E12351" s="1276">
        <f>[11]building!Y12682</f>
        <v>0</v>
      </c>
      <c r="F12351" s="748">
        <f t="shared" si="431"/>
        <v>0</v>
      </c>
      <c r="G12351" s="1205"/>
      <c r="H12351" s="1055"/>
      <c r="I12351" s="1055"/>
      <c r="J12351" s="1055"/>
      <c r="K12351" s="1205"/>
      <c r="L12351" s="1055"/>
      <c r="M12351" s="1205"/>
      <c r="N12351" s="1054"/>
      <c r="O12351" s="1207"/>
      <c r="Q12351" s="1207"/>
    </row>
    <row r="12352" spans="3:17" s="700" customFormat="1" ht="70.5" hidden="1" customHeight="1">
      <c r="C12352" s="701"/>
      <c r="D12352" s="811"/>
      <c r="E12352" s="1276">
        <f>[11]building!Y12683</f>
        <v>0</v>
      </c>
      <c r="F12352" s="748">
        <f t="shared" ref="F12352:F12415" si="432">E12352*C12352</f>
        <v>0</v>
      </c>
      <c r="G12352" s="1205"/>
      <c r="H12352" s="1055"/>
      <c r="I12352" s="1055"/>
      <c r="J12352" s="1055"/>
      <c r="K12352" s="1205"/>
      <c r="L12352" s="1055"/>
      <c r="M12352" s="1205"/>
      <c r="N12352" s="1054"/>
      <c r="O12352" s="1207"/>
      <c r="Q12352" s="1207"/>
    </row>
    <row r="12353" spans="3:17" s="700" customFormat="1" ht="70.5" hidden="1" customHeight="1">
      <c r="C12353" s="701"/>
      <c r="D12353" s="811"/>
      <c r="E12353" s="1276">
        <f>[11]building!Y12684</f>
        <v>0</v>
      </c>
      <c r="F12353" s="748">
        <f t="shared" si="432"/>
        <v>0</v>
      </c>
      <c r="G12353" s="1205"/>
      <c r="H12353" s="1055"/>
      <c r="I12353" s="1055"/>
      <c r="J12353" s="1055"/>
      <c r="K12353" s="1205"/>
      <c r="L12353" s="1055"/>
      <c r="M12353" s="1205"/>
      <c r="N12353" s="1054"/>
      <c r="O12353" s="1207"/>
      <c r="Q12353" s="1207"/>
    </row>
    <row r="12354" spans="3:17" s="700" customFormat="1" ht="70.5" hidden="1" customHeight="1">
      <c r="C12354" s="701"/>
      <c r="D12354" s="811"/>
      <c r="E12354" s="1276">
        <f>[11]building!Y12685</f>
        <v>0</v>
      </c>
      <c r="F12354" s="748">
        <f t="shared" si="432"/>
        <v>0</v>
      </c>
      <c r="G12354" s="1205"/>
      <c r="H12354" s="1055"/>
      <c r="I12354" s="1055"/>
      <c r="J12354" s="1055"/>
      <c r="K12354" s="1205"/>
      <c r="L12354" s="1055"/>
      <c r="M12354" s="1205"/>
      <c r="N12354" s="1054"/>
      <c r="O12354" s="1207"/>
      <c r="Q12354" s="1207"/>
    </row>
    <row r="12355" spans="3:17" s="700" customFormat="1" ht="70.5" hidden="1" customHeight="1">
      <c r="C12355" s="701"/>
      <c r="D12355" s="811"/>
      <c r="E12355" s="1276">
        <f>[11]building!Y12686</f>
        <v>0</v>
      </c>
      <c r="F12355" s="748">
        <f t="shared" si="432"/>
        <v>0</v>
      </c>
      <c r="G12355" s="1205"/>
      <c r="H12355" s="1055"/>
      <c r="I12355" s="1055"/>
      <c r="J12355" s="1055"/>
      <c r="K12355" s="1205"/>
      <c r="L12355" s="1055"/>
      <c r="M12355" s="1205"/>
      <c r="N12355" s="1054"/>
      <c r="O12355" s="1207"/>
      <c r="Q12355" s="1207"/>
    </row>
    <row r="12356" spans="3:17" s="700" customFormat="1" ht="70.5" hidden="1" customHeight="1">
      <c r="C12356" s="701"/>
      <c r="D12356" s="811"/>
      <c r="E12356" s="1276">
        <f>[11]building!Y12687</f>
        <v>0</v>
      </c>
      <c r="F12356" s="748">
        <f t="shared" si="432"/>
        <v>0</v>
      </c>
      <c r="G12356" s="1205"/>
      <c r="H12356" s="1055"/>
      <c r="I12356" s="1055"/>
      <c r="J12356" s="1055"/>
      <c r="K12356" s="1205"/>
      <c r="L12356" s="1055"/>
      <c r="M12356" s="1205"/>
      <c r="N12356" s="1054"/>
      <c r="O12356" s="1207"/>
      <c r="Q12356" s="1207"/>
    </row>
    <row r="12357" spans="3:17" s="700" customFormat="1" ht="70.5" hidden="1" customHeight="1">
      <c r="C12357" s="701"/>
      <c r="D12357" s="811"/>
      <c r="E12357" s="1276">
        <f>[11]building!Y12688</f>
        <v>0</v>
      </c>
      <c r="F12357" s="748">
        <f t="shared" si="432"/>
        <v>0</v>
      </c>
      <c r="G12357" s="1205"/>
      <c r="H12357" s="1055"/>
      <c r="I12357" s="1055"/>
      <c r="J12357" s="1055"/>
      <c r="K12357" s="1205"/>
      <c r="L12357" s="1055"/>
      <c r="M12357" s="1205"/>
      <c r="N12357" s="1054"/>
      <c r="O12357" s="1207"/>
      <c r="Q12357" s="1207"/>
    </row>
    <row r="12358" spans="3:17" s="700" customFormat="1" ht="70.5" hidden="1" customHeight="1">
      <c r="C12358" s="701"/>
      <c r="D12358" s="811"/>
      <c r="E12358" s="1276">
        <f>[11]building!Y12689</f>
        <v>0</v>
      </c>
      <c r="F12358" s="748">
        <f t="shared" si="432"/>
        <v>0</v>
      </c>
      <c r="G12358" s="1205"/>
      <c r="H12358" s="1055"/>
      <c r="I12358" s="1055"/>
      <c r="J12358" s="1055"/>
      <c r="K12358" s="1205"/>
      <c r="L12358" s="1055"/>
      <c r="M12358" s="1205"/>
      <c r="N12358" s="1054"/>
      <c r="O12358" s="1207"/>
      <c r="Q12358" s="1207"/>
    </row>
    <row r="12359" spans="3:17" s="700" customFormat="1" ht="70.5" hidden="1" customHeight="1">
      <c r="C12359" s="701"/>
      <c r="D12359" s="811"/>
      <c r="E12359" s="1276">
        <f>[11]building!Y12690</f>
        <v>0</v>
      </c>
      <c r="F12359" s="748">
        <f t="shared" si="432"/>
        <v>0</v>
      </c>
      <c r="G12359" s="1205"/>
      <c r="H12359" s="1055"/>
      <c r="I12359" s="1055"/>
      <c r="J12359" s="1055"/>
      <c r="K12359" s="1205"/>
      <c r="L12359" s="1055"/>
      <c r="M12359" s="1205"/>
      <c r="N12359" s="1054"/>
      <c r="O12359" s="1207"/>
      <c r="Q12359" s="1207"/>
    </row>
    <row r="12360" spans="3:17" s="700" customFormat="1" ht="70.5" hidden="1" customHeight="1">
      <c r="C12360" s="701"/>
      <c r="D12360" s="811"/>
      <c r="E12360" s="1276">
        <f>[11]building!Y12691</f>
        <v>0</v>
      </c>
      <c r="F12360" s="748">
        <f t="shared" si="432"/>
        <v>0</v>
      </c>
      <c r="G12360" s="1205"/>
      <c r="H12360" s="1055"/>
      <c r="I12360" s="1055"/>
      <c r="J12360" s="1055"/>
      <c r="K12360" s="1205"/>
      <c r="L12360" s="1055"/>
      <c r="M12360" s="1205"/>
      <c r="N12360" s="1054"/>
      <c r="O12360" s="1207"/>
      <c r="Q12360" s="1207"/>
    </row>
    <row r="12361" spans="3:17" s="700" customFormat="1" ht="70.5" hidden="1" customHeight="1">
      <c r="C12361" s="701"/>
      <c r="D12361" s="811"/>
      <c r="E12361" s="1276">
        <f>[11]building!Y12692</f>
        <v>0</v>
      </c>
      <c r="F12361" s="748">
        <f t="shared" si="432"/>
        <v>0</v>
      </c>
      <c r="G12361" s="1205"/>
      <c r="H12361" s="1055"/>
      <c r="I12361" s="1055"/>
      <c r="J12361" s="1055"/>
      <c r="K12361" s="1205"/>
      <c r="L12361" s="1055"/>
      <c r="M12361" s="1205"/>
      <c r="N12361" s="1054"/>
      <c r="O12361" s="1207"/>
      <c r="Q12361" s="1207"/>
    </row>
    <row r="12362" spans="3:17" s="700" customFormat="1" ht="70.5" hidden="1" customHeight="1">
      <c r="C12362" s="701"/>
      <c r="D12362" s="811"/>
      <c r="E12362" s="1276">
        <f>[11]building!Y12693</f>
        <v>0</v>
      </c>
      <c r="F12362" s="748">
        <f t="shared" si="432"/>
        <v>0</v>
      </c>
      <c r="G12362" s="1205"/>
      <c r="H12362" s="1055"/>
      <c r="I12362" s="1055"/>
      <c r="J12362" s="1055"/>
      <c r="K12362" s="1205"/>
      <c r="L12362" s="1055"/>
      <c r="M12362" s="1205"/>
      <c r="N12362" s="1054"/>
      <c r="O12362" s="1207"/>
      <c r="Q12362" s="1207"/>
    </row>
    <row r="12363" spans="3:17" s="700" customFormat="1" ht="70.5" hidden="1" customHeight="1">
      <c r="C12363" s="701"/>
      <c r="D12363" s="811"/>
      <c r="E12363" s="1276">
        <f>[11]building!Y12694</f>
        <v>0</v>
      </c>
      <c r="F12363" s="748">
        <f t="shared" si="432"/>
        <v>0</v>
      </c>
      <c r="G12363" s="1205"/>
      <c r="H12363" s="1055"/>
      <c r="I12363" s="1055"/>
      <c r="J12363" s="1055"/>
      <c r="K12363" s="1205"/>
      <c r="L12363" s="1055"/>
      <c r="M12363" s="1205"/>
      <c r="N12363" s="1054"/>
      <c r="O12363" s="1207"/>
      <c r="Q12363" s="1207"/>
    </row>
    <row r="12364" spans="3:17" s="700" customFormat="1" ht="70.5" hidden="1" customHeight="1">
      <c r="C12364" s="701"/>
      <c r="D12364" s="811"/>
      <c r="E12364" s="1276">
        <f>[11]building!Y12695</f>
        <v>0</v>
      </c>
      <c r="F12364" s="748">
        <f t="shared" si="432"/>
        <v>0</v>
      </c>
      <c r="G12364" s="1205"/>
      <c r="H12364" s="1055"/>
      <c r="I12364" s="1055"/>
      <c r="J12364" s="1055"/>
      <c r="K12364" s="1205"/>
      <c r="L12364" s="1055"/>
      <c r="M12364" s="1205"/>
      <c r="N12364" s="1054"/>
      <c r="O12364" s="1207"/>
      <c r="Q12364" s="1207"/>
    </row>
    <row r="12365" spans="3:17" s="700" customFormat="1" ht="70.5" hidden="1" customHeight="1">
      <c r="C12365" s="701"/>
      <c r="D12365" s="811"/>
      <c r="E12365" s="1276">
        <f>[11]building!Y12696</f>
        <v>0</v>
      </c>
      <c r="F12365" s="748">
        <f t="shared" si="432"/>
        <v>0</v>
      </c>
      <c r="G12365" s="1205"/>
      <c r="H12365" s="1055"/>
      <c r="I12365" s="1055"/>
      <c r="J12365" s="1055"/>
      <c r="K12365" s="1205"/>
      <c r="L12365" s="1055"/>
      <c r="M12365" s="1205"/>
      <c r="N12365" s="1054"/>
      <c r="O12365" s="1207"/>
      <c r="Q12365" s="1207"/>
    </row>
    <row r="12366" spans="3:17" s="700" customFormat="1" ht="70.5" hidden="1" customHeight="1">
      <c r="C12366" s="701"/>
      <c r="D12366" s="811"/>
      <c r="E12366" s="1276">
        <f>[11]building!Y12697</f>
        <v>0</v>
      </c>
      <c r="F12366" s="748">
        <f t="shared" si="432"/>
        <v>0</v>
      </c>
      <c r="G12366" s="1205"/>
      <c r="H12366" s="1055"/>
      <c r="I12366" s="1055"/>
      <c r="J12366" s="1055"/>
      <c r="K12366" s="1205"/>
      <c r="L12366" s="1055"/>
      <c r="M12366" s="1205"/>
      <c r="N12366" s="1054"/>
      <c r="O12366" s="1207"/>
      <c r="Q12366" s="1207"/>
    </row>
    <row r="12367" spans="3:17" s="700" customFormat="1" ht="70.5" hidden="1" customHeight="1">
      <c r="C12367" s="701"/>
      <c r="D12367" s="811"/>
      <c r="E12367" s="1276">
        <f>[11]building!Y12698</f>
        <v>0</v>
      </c>
      <c r="F12367" s="748">
        <f t="shared" si="432"/>
        <v>0</v>
      </c>
      <c r="G12367" s="1205"/>
      <c r="H12367" s="1055"/>
      <c r="I12367" s="1055"/>
      <c r="J12367" s="1055"/>
      <c r="K12367" s="1205"/>
      <c r="L12367" s="1055"/>
      <c r="M12367" s="1205"/>
      <c r="N12367" s="1054"/>
      <c r="O12367" s="1207"/>
      <c r="Q12367" s="1207"/>
    </row>
    <row r="12368" spans="3:17" s="700" customFormat="1" ht="70.5" hidden="1" customHeight="1">
      <c r="C12368" s="701"/>
      <c r="D12368" s="811"/>
      <c r="E12368" s="1276">
        <f>[11]building!Y12699</f>
        <v>0</v>
      </c>
      <c r="F12368" s="748">
        <f t="shared" si="432"/>
        <v>0</v>
      </c>
      <c r="G12368" s="1205"/>
      <c r="H12368" s="1055"/>
      <c r="I12368" s="1055"/>
      <c r="J12368" s="1055"/>
      <c r="K12368" s="1205"/>
      <c r="L12368" s="1055"/>
      <c r="M12368" s="1205"/>
      <c r="N12368" s="1054"/>
      <c r="O12368" s="1207"/>
      <c r="Q12368" s="1207"/>
    </row>
    <row r="12369" spans="3:17" s="700" customFormat="1" ht="70.5" hidden="1" customHeight="1">
      <c r="C12369" s="701"/>
      <c r="D12369" s="811"/>
      <c r="E12369" s="1276">
        <f>[11]building!Y12700</f>
        <v>0</v>
      </c>
      <c r="F12369" s="748">
        <f t="shared" si="432"/>
        <v>0</v>
      </c>
      <c r="G12369" s="1205"/>
      <c r="H12369" s="1055"/>
      <c r="I12369" s="1055"/>
      <c r="J12369" s="1055"/>
      <c r="K12369" s="1205"/>
      <c r="L12369" s="1055"/>
      <c r="M12369" s="1205"/>
      <c r="N12369" s="1054"/>
      <c r="O12369" s="1207"/>
      <c r="Q12369" s="1207"/>
    </row>
    <row r="12370" spans="3:17" s="700" customFormat="1" ht="70.5" hidden="1" customHeight="1">
      <c r="C12370" s="701"/>
      <c r="D12370" s="811"/>
      <c r="E12370" s="1276">
        <f>[11]building!Y12701</f>
        <v>0</v>
      </c>
      <c r="F12370" s="748">
        <f t="shared" si="432"/>
        <v>0</v>
      </c>
      <c r="G12370" s="1205"/>
      <c r="H12370" s="1055"/>
      <c r="I12370" s="1055"/>
      <c r="J12370" s="1055"/>
      <c r="K12370" s="1205"/>
      <c r="L12370" s="1055"/>
      <c r="M12370" s="1205"/>
      <c r="N12370" s="1054"/>
      <c r="O12370" s="1207"/>
      <c r="Q12370" s="1207"/>
    </row>
    <row r="12371" spans="3:17" s="700" customFormat="1" ht="70.5" hidden="1" customHeight="1">
      <c r="C12371" s="701"/>
      <c r="D12371" s="811"/>
      <c r="E12371" s="1276">
        <f>[11]building!Y12702</f>
        <v>0</v>
      </c>
      <c r="F12371" s="748">
        <f t="shared" si="432"/>
        <v>0</v>
      </c>
      <c r="G12371" s="1205"/>
      <c r="H12371" s="1055"/>
      <c r="I12371" s="1055"/>
      <c r="J12371" s="1055"/>
      <c r="K12371" s="1205"/>
      <c r="L12371" s="1055"/>
      <c r="M12371" s="1205"/>
      <c r="N12371" s="1054"/>
      <c r="O12371" s="1207"/>
      <c r="Q12371" s="1207"/>
    </row>
    <row r="12372" spans="3:17" s="700" customFormat="1" ht="70.5" hidden="1" customHeight="1">
      <c r="C12372" s="701"/>
      <c r="D12372" s="811"/>
      <c r="E12372" s="1276">
        <f>[11]building!Y12703</f>
        <v>0</v>
      </c>
      <c r="F12372" s="748">
        <f t="shared" si="432"/>
        <v>0</v>
      </c>
      <c r="G12372" s="1205"/>
      <c r="H12372" s="1055"/>
      <c r="I12372" s="1055"/>
      <c r="J12372" s="1055"/>
      <c r="K12372" s="1205"/>
      <c r="L12372" s="1055"/>
      <c r="M12372" s="1205"/>
      <c r="N12372" s="1054"/>
      <c r="O12372" s="1207"/>
      <c r="Q12372" s="1207"/>
    </row>
    <row r="12373" spans="3:17" s="700" customFormat="1" ht="70.5" hidden="1" customHeight="1">
      <c r="C12373" s="701"/>
      <c r="D12373" s="811"/>
      <c r="E12373" s="1276">
        <f>[11]building!Y12704</f>
        <v>0</v>
      </c>
      <c r="F12373" s="748">
        <f t="shared" si="432"/>
        <v>0</v>
      </c>
      <c r="G12373" s="1205"/>
      <c r="H12373" s="1055"/>
      <c r="I12373" s="1055"/>
      <c r="J12373" s="1055"/>
      <c r="K12373" s="1205"/>
      <c r="L12373" s="1055"/>
      <c r="M12373" s="1205"/>
      <c r="N12373" s="1054"/>
      <c r="O12373" s="1207"/>
      <c r="Q12373" s="1207"/>
    </row>
    <row r="12374" spans="3:17" s="700" customFormat="1" ht="70.5" hidden="1" customHeight="1">
      <c r="C12374" s="701"/>
      <c r="D12374" s="811"/>
      <c r="E12374" s="1276">
        <f>[11]building!Y12705</f>
        <v>0</v>
      </c>
      <c r="F12374" s="748">
        <f t="shared" si="432"/>
        <v>0</v>
      </c>
      <c r="G12374" s="1205"/>
      <c r="H12374" s="1055"/>
      <c r="I12374" s="1055"/>
      <c r="J12374" s="1055"/>
      <c r="K12374" s="1205"/>
      <c r="L12374" s="1055"/>
      <c r="M12374" s="1205"/>
      <c r="N12374" s="1054"/>
      <c r="O12374" s="1207"/>
      <c r="Q12374" s="1207"/>
    </row>
    <row r="12375" spans="3:17" s="700" customFormat="1" ht="70.5" hidden="1" customHeight="1">
      <c r="C12375" s="701"/>
      <c r="D12375" s="811"/>
      <c r="E12375" s="1276">
        <f>[11]building!Y12706</f>
        <v>0</v>
      </c>
      <c r="F12375" s="748">
        <f t="shared" si="432"/>
        <v>0</v>
      </c>
      <c r="G12375" s="1205"/>
      <c r="H12375" s="1055"/>
      <c r="I12375" s="1055"/>
      <c r="J12375" s="1055"/>
      <c r="K12375" s="1205"/>
      <c r="L12375" s="1055"/>
      <c r="M12375" s="1205"/>
      <c r="N12375" s="1054"/>
      <c r="O12375" s="1207"/>
      <c r="Q12375" s="1207"/>
    </row>
    <row r="12376" spans="3:17" s="700" customFormat="1" ht="70.5" hidden="1" customHeight="1">
      <c r="C12376" s="701"/>
      <c r="D12376" s="811"/>
      <c r="E12376" s="1276">
        <f>[11]building!Y12707</f>
        <v>0</v>
      </c>
      <c r="F12376" s="748">
        <f t="shared" si="432"/>
        <v>0</v>
      </c>
      <c r="G12376" s="1205"/>
      <c r="H12376" s="1055"/>
      <c r="I12376" s="1055"/>
      <c r="J12376" s="1055"/>
      <c r="K12376" s="1205"/>
      <c r="L12376" s="1055"/>
      <c r="M12376" s="1205"/>
      <c r="N12376" s="1054"/>
      <c r="O12376" s="1207"/>
      <c r="Q12376" s="1207"/>
    </row>
    <row r="12377" spans="3:17" s="700" customFormat="1" ht="70.5" hidden="1" customHeight="1">
      <c r="C12377" s="701"/>
      <c r="D12377" s="811"/>
      <c r="E12377" s="1276">
        <f>[11]building!Y12708</f>
        <v>0</v>
      </c>
      <c r="F12377" s="748">
        <f t="shared" si="432"/>
        <v>0</v>
      </c>
      <c r="G12377" s="1205"/>
      <c r="H12377" s="1055"/>
      <c r="I12377" s="1055"/>
      <c r="J12377" s="1055"/>
      <c r="K12377" s="1205"/>
      <c r="L12377" s="1055"/>
      <c r="M12377" s="1205"/>
      <c r="N12377" s="1054"/>
      <c r="O12377" s="1207"/>
      <c r="Q12377" s="1207"/>
    </row>
    <row r="12378" spans="3:17" s="700" customFormat="1" ht="70.5" hidden="1" customHeight="1">
      <c r="C12378" s="701"/>
      <c r="D12378" s="811"/>
      <c r="E12378" s="1276">
        <f>[11]building!Y12709</f>
        <v>0</v>
      </c>
      <c r="F12378" s="748">
        <f t="shared" si="432"/>
        <v>0</v>
      </c>
      <c r="G12378" s="1205"/>
      <c r="H12378" s="1055"/>
      <c r="I12378" s="1055"/>
      <c r="J12378" s="1055"/>
      <c r="K12378" s="1205"/>
      <c r="L12378" s="1055"/>
      <c r="M12378" s="1205"/>
      <c r="N12378" s="1054"/>
      <c r="O12378" s="1207"/>
      <c r="Q12378" s="1207"/>
    </row>
    <row r="12379" spans="3:17" s="700" customFormat="1" ht="70.5" hidden="1" customHeight="1">
      <c r="C12379" s="701"/>
      <c r="D12379" s="811"/>
      <c r="E12379" s="1276">
        <f>[11]building!Y12710</f>
        <v>0</v>
      </c>
      <c r="F12379" s="748">
        <f t="shared" si="432"/>
        <v>0</v>
      </c>
      <c r="G12379" s="1205"/>
      <c r="H12379" s="1055"/>
      <c r="I12379" s="1055"/>
      <c r="J12379" s="1055"/>
      <c r="K12379" s="1205"/>
      <c r="L12379" s="1055"/>
      <c r="M12379" s="1205"/>
      <c r="N12379" s="1054"/>
      <c r="O12379" s="1207"/>
      <c r="Q12379" s="1207"/>
    </row>
    <row r="12380" spans="3:17" s="700" customFormat="1" ht="70.5" hidden="1" customHeight="1">
      <c r="C12380" s="701"/>
      <c r="D12380" s="811"/>
      <c r="E12380" s="1276">
        <f>[11]building!Y12711</f>
        <v>0</v>
      </c>
      <c r="F12380" s="748">
        <f t="shared" si="432"/>
        <v>0</v>
      </c>
      <c r="G12380" s="1205"/>
      <c r="H12380" s="1055"/>
      <c r="I12380" s="1055"/>
      <c r="J12380" s="1055"/>
      <c r="K12380" s="1205"/>
      <c r="L12380" s="1055"/>
      <c r="M12380" s="1205"/>
      <c r="N12380" s="1054"/>
      <c r="O12380" s="1207"/>
      <c r="Q12380" s="1207"/>
    </row>
    <row r="12381" spans="3:17" s="700" customFormat="1" ht="70.5" hidden="1" customHeight="1">
      <c r="C12381" s="701"/>
      <c r="D12381" s="811"/>
      <c r="E12381" s="1276">
        <f>[11]building!Y12712</f>
        <v>0</v>
      </c>
      <c r="F12381" s="748">
        <f t="shared" si="432"/>
        <v>0</v>
      </c>
      <c r="G12381" s="1205"/>
      <c r="H12381" s="1055"/>
      <c r="I12381" s="1055"/>
      <c r="J12381" s="1055"/>
      <c r="K12381" s="1205"/>
      <c r="L12381" s="1055"/>
      <c r="M12381" s="1205"/>
      <c r="N12381" s="1054"/>
      <c r="O12381" s="1207"/>
      <c r="Q12381" s="1207"/>
    </row>
    <row r="12382" spans="3:17" s="700" customFormat="1" ht="70.5" hidden="1" customHeight="1">
      <c r="C12382" s="701"/>
      <c r="D12382" s="811"/>
      <c r="E12382" s="1276">
        <f>[11]building!Y12713</f>
        <v>0</v>
      </c>
      <c r="F12382" s="748">
        <f t="shared" si="432"/>
        <v>0</v>
      </c>
      <c r="G12382" s="1205"/>
      <c r="H12382" s="1055"/>
      <c r="I12382" s="1055"/>
      <c r="J12382" s="1055"/>
      <c r="K12382" s="1205"/>
      <c r="L12382" s="1055"/>
      <c r="M12382" s="1205"/>
      <c r="N12382" s="1054"/>
      <c r="O12382" s="1207"/>
      <c r="Q12382" s="1207"/>
    </row>
    <row r="12383" spans="3:17" s="700" customFormat="1" ht="70.5" hidden="1" customHeight="1">
      <c r="C12383" s="701"/>
      <c r="D12383" s="811"/>
      <c r="E12383" s="1276">
        <f>[11]building!Y12714</f>
        <v>0</v>
      </c>
      <c r="F12383" s="748">
        <f t="shared" si="432"/>
        <v>0</v>
      </c>
      <c r="G12383" s="1205"/>
      <c r="H12383" s="1055"/>
      <c r="I12383" s="1055"/>
      <c r="J12383" s="1055"/>
      <c r="K12383" s="1205"/>
      <c r="L12383" s="1055"/>
      <c r="M12383" s="1205"/>
      <c r="N12383" s="1054"/>
      <c r="O12383" s="1207"/>
      <c r="Q12383" s="1207"/>
    </row>
    <row r="12384" spans="3:17" s="700" customFormat="1" ht="70.5" hidden="1" customHeight="1">
      <c r="C12384" s="701"/>
      <c r="D12384" s="811"/>
      <c r="E12384" s="1276">
        <f>[11]building!Y12715</f>
        <v>0</v>
      </c>
      <c r="F12384" s="748">
        <f t="shared" si="432"/>
        <v>0</v>
      </c>
      <c r="G12384" s="1205"/>
      <c r="H12384" s="1055"/>
      <c r="I12384" s="1055"/>
      <c r="J12384" s="1055"/>
      <c r="K12384" s="1205"/>
      <c r="L12384" s="1055"/>
      <c r="M12384" s="1205"/>
      <c r="N12384" s="1054"/>
      <c r="O12384" s="1207"/>
      <c r="Q12384" s="1207"/>
    </row>
    <row r="12385" spans="3:17" s="700" customFormat="1" ht="70.5" hidden="1" customHeight="1">
      <c r="C12385" s="701"/>
      <c r="D12385" s="811"/>
      <c r="E12385" s="1276">
        <f>[11]building!Y12716</f>
        <v>0</v>
      </c>
      <c r="F12385" s="748">
        <f t="shared" si="432"/>
        <v>0</v>
      </c>
      <c r="G12385" s="1205"/>
      <c r="H12385" s="1055"/>
      <c r="I12385" s="1055"/>
      <c r="J12385" s="1055"/>
      <c r="K12385" s="1205"/>
      <c r="L12385" s="1055"/>
      <c r="M12385" s="1205"/>
      <c r="N12385" s="1054"/>
      <c r="O12385" s="1207"/>
      <c r="Q12385" s="1207"/>
    </row>
    <row r="12386" spans="3:17" s="700" customFormat="1" ht="70.5" hidden="1" customHeight="1">
      <c r="C12386" s="701"/>
      <c r="D12386" s="811"/>
      <c r="E12386" s="1276">
        <f>[11]building!Y12717</f>
        <v>0</v>
      </c>
      <c r="F12386" s="748">
        <f t="shared" si="432"/>
        <v>0</v>
      </c>
      <c r="G12386" s="1205"/>
      <c r="H12386" s="1055"/>
      <c r="I12386" s="1055"/>
      <c r="J12386" s="1055"/>
      <c r="K12386" s="1205"/>
      <c r="L12386" s="1055"/>
      <c r="M12386" s="1205"/>
      <c r="N12386" s="1054"/>
      <c r="O12386" s="1207"/>
      <c r="Q12386" s="1207"/>
    </row>
    <row r="12387" spans="3:17" s="700" customFormat="1" ht="70.5" hidden="1" customHeight="1">
      <c r="C12387" s="701"/>
      <c r="D12387" s="811"/>
      <c r="E12387" s="1276">
        <f>[11]building!Y12718</f>
        <v>0</v>
      </c>
      <c r="F12387" s="748">
        <f t="shared" si="432"/>
        <v>0</v>
      </c>
      <c r="G12387" s="1205"/>
      <c r="H12387" s="1055"/>
      <c r="I12387" s="1055"/>
      <c r="J12387" s="1055"/>
      <c r="K12387" s="1205"/>
      <c r="L12387" s="1055"/>
      <c r="M12387" s="1205"/>
      <c r="N12387" s="1054"/>
      <c r="O12387" s="1207"/>
      <c r="Q12387" s="1207"/>
    </row>
    <row r="12388" spans="3:17" s="700" customFormat="1" ht="70.5" hidden="1" customHeight="1">
      <c r="C12388" s="701"/>
      <c r="D12388" s="811"/>
      <c r="E12388" s="1276">
        <f>[11]building!Y12719</f>
        <v>0</v>
      </c>
      <c r="F12388" s="748">
        <f t="shared" si="432"/>
        <v>0</v>
      </c>
      <c r="G12388" s="1205"/>
      <c r="H12388" s="1055"/>
      <c r="I12388" s="1055"/>
      <c r="J12388" s="1055"/>
      <c r="K12388" s="1205"/>
      <c r="L12388" s="1055"/>
      <c r="M12388" s="1205"/>
      <c r="N12388" s="1054"/>
      <c r="O12388" s="1207"/>
      <c r="Q12388" s="1207"/>
    </row>
    <row r="12389" spans="3:17" s="700" customFormat="1" ht="70.5" hidden="1" customHeight="1">
      <c r="C12389" s="701"/>
      <c r="D12389" s="811"/>
      <c r="E12389" s="1276">
        <f>[11]building!Y12720</f>
        <v>0</v>
      </c>
      <c r="F12389" s="748">
        <f t="shared" si="432"/>
        <v>0</v>
      </c>
      <c r="G12389" s="1205"/>
      <c r="H12389" s="1055"/>
      <c r="I12389" s="1055"/>
      <c r="J12389" s="1055"/>
      <c r="K12389" s="1205"/>
      <c r="L12389" s="1055"/>
      <c r="M12389" s="1205"/>
      <c r="N12389" s="1054"/>
      <c r="O12389" s="1207"/>
      <c r="Q12389" s="1207"/>
    </row>
    <row r="12390" spans="3:17" s="700" customFormat="1" ht="70.5" hidden="1" customHeight="1">
      <c r="C12390" s="701"/>
      <c r="D12390" s="811"/>
      <c r="E12390" s="1276">
        <f>[11]building!Y12721</f>
        <v>0</v>
      </c>
      <c r="F12390" s="748">
        <f t="shared" si="432"/>
        <v>0</v>
      </c>
      <c r="G12390" s="1205"/>
      <c r="H12390" s="1055"/>
      <c r="I12390" s="1055"/>
      <c r="J12390" s="1055"/>
      <c r="K12390" s="1205"/>
      <c r="L12390" s="1055"/>
      <c r="M12390" s="1205"/>
      <c r="N12390" s="1054"/>
      <c r="O12390" s="1207"/>
      <c r="Q12390" s="1207"/>
    </row>
    <row r="12391" spans="3:17" s="700" customFormat="1" ht="70.5" hidden="1" customHeight="1">
      <c r="C12391" s="701"/>
      <c r="D12391" s="811"/>
      <c r="E12391" s="1276">
        <f>[11]building!Y12722</f>
        <v>0</v>
      </c>
      <c r="F12391" s="748">
        <f t="shared" si="432"/>
        <v>0</v>
      </c>
      <c r="G12391" s="1205"/>
      <c r="H12391" s="1055"/>
      <c r="I12391" s="1055"/>
      <c r="J12391" s="1055"/>
      <c r="K12391" s="1205"/>
      <c r="L12391" s="1055"/>
      <c r="M12391" s="1205"/>
      <c r="N12391" s="1054"/>
      <c r="O12391" s="1207"/>
      <c r="Q12391" s="1207"/>
    </row>
    <row r="12392" spans="3:17" s="700" customFormat="1" ht="70.5" hidden="1" customHeight="1">
      <c r="C12392" s="701"/>
      <c r="D12392" s="811"/>
      <c r="E12392" s="1276">
        <f>[11]building!Y12723</f>
        <v>0</v>
      </c>
      <c r="F12392" s="748">
        <f t="shared" si="432"/>
        <v>0</v>
      </c>
      <c r="G12392" s="1205"/>
      <c r="H12392" s="1055"/>
      <c r="I12392" s="1055"/>
      <c r="J12392" s="1055"/>
      <c r="K12392" s="1205"/>
      <c r="L12392" s="1055"/>
      <c r="M12392" s="1205"/>
      <c r="N12392" s="1054"/>
      <c r="O12392" s="1207"/>
      <c r="Q12392" s="1207"/>
    </row>
    <row r="12393" spans="3:17" s="700" customFormat="1" ht="70.5" hidden="1" customHeight="1">
      <c r="C12393" s="701"/>
      <c r="D12393" s="811"/>
      <c r="E12393" s="1276">
        <f>[11]building!Y12724</f>
        <v>0</v>
      </c>
      <c r="F12393" s="748">
        <f t="shared" si="432"/>
        <v>0</v>
      </c>
      <c r="G12393" s="1205"/>
      <c r="H12393" s="1055"/>
      <c r="I12393" s="1055"/>
      <c r="J12393" s="1055"/>
      <c r="K12393" s="1205"/>
      <c r="L12393" s="1055"/>
      <c r="M12393" s="1205"/>
      <c r="N12393" s="1054"/>
      <c r="O12393" s="1207"/>
      <c r="Q12393" s="1207"/>
    </row>
    <row r="12394" spans="3:17" s="700" customFormat="1" ht="70.5" hidden="1" customHeight="1">
      <c r="C12394" s="701"/>
      <c r="D12394" s="811"/>
      <c r="E12394" s="1276">
        <f>[11]building!Y12725</f>
        <v>0</v>
      </c>
      <c r="F12394" s="748">
        <f t="shared" si="432"/>
        <v>0</v>
      </c>
      <c r="G12394" s="1205"/>
      <c r="H12394" s="1055"/>
      <c r="I12394" s="1055"/>
      <c r="J12394" s="1055"/>
      <c r="K12394" s="1205"/>
      <c r="L12394" s="1055"/>
      <c r="M12394" s="1205"/>
      <c r="N12394" s="1054"/>
      <c r="O12394" s="1207"/>
      <c r="Q12394" s="1207"/>
    </row>
    <row r="12395" spans="3:17" s="700" customFormat="1" ht="70.5" hidden="1" customHeight="1">
      <c r="C12395" s="701"/>
      <c r="D12395" s="811"/>
      <c r="E12395" s="1276">
        <f>[11]building!Y12726</f>
        <v>0</v>
      </c>
      <c r="F12395" s="748">
        <f t="shared" si="432"/>
        <v>0</v>
      </c>
      <c r="G12395" s="1205"/>
      <c r="H12395" s="1055"/>
      <c r="I12395" s="1055"/>
      <c r="J12395" s="1055"/>
      <c r="K12395" s="1205"/>
      <c r="L12395" s="1055"/>
      <c r="M12395" s="1205"/>
      <c r="N12395" s="1054"/>
      <c r="O12395" s="1207"/>
      <c r="Q12395" s="1207"/>
    </row>
    <row r="12396" spans="3:17" s="700" customFormat="1" ht="70.5" hidden="1" customHeight="1">
      <c r="C12396" s="701"/>
      <c r="D12396" s="811"/>
      <c r="E12396" s="1276">
        <f>[11]building!Y12727</f>
        <v>0</v>
      </c>
      <c r="F12396" s="748">
        <f t="shared" si="432"/>
        <v>0</v>
      </c>
      <c r="G12396" s="1205"/>
      <c r="H12396" s="1055"/>
      <c r="I12396" s="1055"/>
      <c r="J12396" s="1055"/>
      <c r="K12396" s="1205"/>
      <c r="L12396" s="1055"/>
      <c r="M12396" s="1205"/>
      <c r="N12396" s="1054"/>
      <c r="O12396" s="1207"/>
      <c r="Q12396" s="1207"/>
    </row>
    <row r="12397" spans="3:17" s="700" customFormat="1" ht="70.5" hidden="1" customHeight="1">
      <c r="C12397" s="701"/>
      <c r="D12397" s="811"/>
      <c r="E12397" s="1276">
        <f>[11]building!Y12728</f>
        <v>0</v>
      </c>
      <c r="F12397" s="748">
        <f t="shared" si="432"/>
        <v>0</v>
      </c>
      <c r="G12397" s="1205"/>
      <c r="H12397" s="1055"/>
      <c r="I12397" s="1055"/>
      <c r="J12397" s="1055"/>
      <c r="K12397" s="1205"/>
      <c r="L12397" s="1055"/>
      <c r="M12397" s="1205"/>
      <c r="N12397" s="1054"/>
      <c r="O12397" s="1207"/>
      <c r="Q12397" s="1207"/>
    </row>
    <row r="12398" spans="3:17" s="700" customFormat="1" ht="70.5" hidden="1" customHeight="1">
      <c r="C12398" s="701"/>
      <c r="D12398" s="811"/>
      <c r="E12398" s="1276">
        <f>[11]building!Y12729</f>
        <v>0</v>
      </c>
      <c r="F12398" s="748">
        <f t="shared" si="432"/>
        <v>0</v>
      </c>
      <c r="G12398" s="1205"/>
      <c r="H12398" s="1055"/>
      <c r="I12398" s="1055"/>
      <c r="J12398" s="1055"/>
      <c r="K12398" s="1205"/>
      <c r="L12398" s="1055"/>
      <c r="M12398" s="1205"/>
      <c r="N12398" s="1054"/>
      <c r="O12398" s="1207"/>
      <c r="Q12398" s="1207"/>
    </row>
    <row r="12399" spans="3:17" s="700" customFormat="1" ht="70.5" hidden="1" customHeight="1">
      <c r="C12399" s="701"/>
      <c r="D12399" s="811"/>
      <c r="E12399" s="1276">
        <f>[11]building!Y12730</f>
        <v>0</v>
      </c>
      <c r="F12399" s="748">
        <f t="shared" si="432"/>
        <v>0</v>
      </c>
      <c r="G12399" s="1205"/>
      <c r="H12399" s="1055"/>
      <c r="I12399" s="1055"/>
      <c r="J12399" s="1055"/>
      <c r="K12399" s="1205"/>
      <c r="L12399" s="1055"/>
      <c r="M12399" s="1205"/>
      <c r="N12399" s="1054"/>
      <c r="O12399" s="1207"/>
      <c r="Q12399" s="1207"/>
    </row>
    <row r="12400" spans="3:17" s="700" customFormat="1" ht="70.5" hidden="1" customHeight="1">
      <c r="C12400" s="701"/>
      <c r="D12400" s="811"/>
      <c r="E12400" s="1276">
        <f>[11]building!Y12731</f>
        <v>0</v>
      </c>
      <c r="F12400" s="748">
        <f t="shared" si="432"/>
        <v>0</v>
      </c>
      <c r="G12400" s="1205"/>
      <c r="H12400" s="1055"/>
      <c r="I12400" s="1055"/>
      <c r="J12400" s="1055"/>
      <c r="K12400" s="1205"/>
      <c r="L12400" s="1055"/>
      <c r="M12400" s="1205"/>
      <c r="N12400" s="1054"/>
      <c r="O12400" s="1207"/>
      <c r="Q12400" s="1207"/>
    </row>
    <row r="12401" spans="3:17" s="700" customFormat="1" ht="70.5" hidden="1" customHeight="1">
      <c r="C12401" s="701"/>
      <c r="D12401" s="811"/>
      <c r="E12401" s="1276">
        <f>[11]building!Y12732</f>
        <v>0</v>
      </c>
      <c r="F12401" s="748">
        <f t="shared" si="432"/>
        <v>0</v>
      </c>
      <c r="G12401" s="1205"/>
      <c r="H12401" s="1055"/>
      <c r="I12401" s="1055"/>
      <c r="J12401" s="1055"/>
      <c r="K12401" s="1205"/>
      <c r="L12401" s="1055"/>
      <c r="M12401" s="1205"/>
      <c r="N12401" s="1054"/>
      <c r="O12401" s="1207"/>
      <c r="Q12401" s="1207"/>
    </row>
    <row r="12402" spans="3:17" s="700" customFormat="1" ht="70.5" hidden="1" customHeight="1">
      <c r="C12402" s="701"/>
      <c r="D12402" s="811"/>
      <c r="E12402" s="1276">
        <f>[11]building!Y12733</f>
        <v>0</v>
      </c>
      <c r="F12402" s="748">
        <f t="shared" si="432"/>
        <v>0</v>
      </c>
      <c r="G12402" s="1205"/>
      <c r="H12402" s="1055"/>
      <c r="I12402" s="1055"/>
      <c r="J12402" s="1055"/>
      <c r="K12402" s="1205"/>
      <c r="L12402" s="1055"/>
      <c r="M12402" s="1205"/>
      <c r="N12402" s="1054"/>
      <c r="O12402" s="1207"/>
      <c r="Q12402" s="1207"/>
    </row>
    <row r="12403" spans="3:17" s="700" customFormat="1" ht="70.5" hidden="1" customHeight="1">
      <c r="C12403" s="701"/>
      <c r="D12403" s="811"/>
      <c r="E12403" s="1276">
        <f>[11]building!Y12734</f>
        <v>0</v>
      </c>
      <c r="F12403" s="748">
        <f t="shared" si="432"/>
        <v>0</v>
      </c>
      <c r="G12403" s="1205"/>
      <c r="H12403" s="1055"/>
      <c r="I12403" s="1055"/>
      <c r="J12403" s="1055"/>
      <c r="K12403" s="1205"/>
      <c r="L12403" s="1055"/>
      <c r="M12403" s="1205"/>
      <c r="N12403" s="1054"/>
      <c r="O12403" s="1207"/>
      <c r="Q12403" s="1207"/>
    </row>
    <row r="12404" spans="3:17" s="700" customFormat="1" ht="70.5" hidden="1" customHeight="1">
      <c r="C12404" s="701"/>
      <c r="D12404" s="811"/>
      <c r="E12404" s="1276">
        <f>[11]building!Y12735</f>
        <v>0</v>
      </c>
      <c r="F12404" s="748">
        <f t="shared" si="432"/>
        <v>0</v>
      </c>
      <c r="G12404" s="1205"/>
      <c r="H12404" s="1055"/>
      <c r="I12404" s="1055"/>
      <c r="J12404" s="1055"/>
      <c r="K12404" s="1205"/>
      <c r="L12404" s="1055"/>
      <c r="M12404" s="1205"/>
      <c r="N12404" s="1054"/>
      <c r="O12404" s="1207"/>
      <c r="Q12404" s="1207"/>
    </row>
    <row r="12405" spans="3:17" s="700" customFormat="1" ht="70.5" hidden="1" customHeight="1">
      <c r="C12405" s="701"/>
      <c r="D12405" s="811"/>
      <c r="E12405" s="1276">
        <f>[11]building!Y12736</f>
        <v>0</v>
      </c>
      <c r="F12405" s="748">
        <f t="shared" si="432"/>
        <v>0</v>
      </c>
      <c r="G12405" s="1205"/>
      <c r="H12405" s="1055"/>
      <c r="I12405" s="1055"/>
      <c r="J12405" s="1055"/>
      <c r="K12405" s="1205"/>
      <c r="L12405" s="1055"/>
      <c r="M12405" s="1205"/>
      <c r="N12405" s="1054"/>
      <c r="O12405" s="1207"/>
      <c r="Q12405" s="1207"/>
    </row>
    <row r="12406" spans="3:17" s="700" customFormat="1" ht="70.5" hidden="1" customHeight="1">
      <c r="C12406" s="701"/>
      <c r="D12406" s="811"/>
      <c r="E12406" s="1276">
        <f>[11]building!Y12737</f>
        <v>0</v>
      </c>
      <c r="F12406" s="748">
        <f t="shared" si="432"/>
        <v>0</v>
      </c>
      <c r="G12406" s="1205"/>
      <c r="H12406" s="1055"/>
      <c r="I12406" s="1055"/>
      <c r="J12406" s="1055"/>
      <c r="K12406" s="1205"/>
      <c r="L12406" s="1055"/>
      <c r="M12406" s="1205"/>
      <c r="N12406" s="1054"/>
      <c r="O12406" s="1207"/>
      <c r="Q12406" s="1207"/>
    </row>
    <row r="12407" spans="3:17" s="700" customFormat="1" ht="70.5" hidden="1" customHeight="1">
      <c r="C12407" s="701"/>
      <c r="D12407" s="811"/>
      <c r="E12407" s="1276">
        <f>[11]building!Y12738</f>
        <v>0</v>
      </c>
      <c r="F12407" s="748">
        <f t="shared" si="432"/>
        <v>0</v>
      </c>
      <c r="G12407" s="1205"/>
      <c r="H12407" s="1055"/>
      <c r="I12407" s="1055"/>
      <c r="J12407" s="1055"/>
      <c r="K12407" s="1205"/>
      <c r="L12407" s="1055"/>
      <c r="M12407" s="1205"/>
      <c r="N12407" s="1054"/>
      <c r="O12407" s="1207"/>
      <c r="Q12407" s="1207"/>
    </row>
    <row r="12408" spans="3:17" s="700" customFormat="1" ht="70.5" hidden="1" customHeight="1">
      <c r="C12408" s="701"/>
      <c r="D12408" s="811"/>
      <c r="E12408" s="1276">
        <f>[11]building!Y12739</f>
        <v>0</v>
      </c>
      <c r="F12408" s="748">
        <f t="shared" si="432"/>
        <v>0</v>
      </c>
      <c r="G12408" s="1205"/>
      <c r="H12408" s="1055"/>
      <c r="I12408" s="1055"/>
      <c r="J12408" s="1055"/>
      <c r="K12408" s="1205"/>
      <c r="L12408" s="1055"/>
      <c r="M12408" s="1205"/>
      <c r="N12408" s="1054"/>
      <c r="O12408" s="1207"/>
      <c r="Q12408" s="1207"/>
    </row>
    <row r="12409" spans="3:17" s="700" customFormat="1" ht="70.5" hidden="1" customHeight="1">
      <c r="C12409" s="701"/>
      <c r="D12409" s="811"/>
      <c r="E12409" s="1276">
        <f>[11]building!Y12740</f>
        <v>0</v>
      </c>
      <c r="F12409" s="748">
        <f t="shared" si="432"/>
        <v>0</v>
      </c>
      <c r="G12409" s="1205"/>
      <c r="H12409" s="1055"/>
      <c r="I12409" s="1055"/>
      <c r="J12409" s="1055"/>
      <c r="K12409" s="1205"/>
      <c r="L12409" s="1055"/>
      <c r="M12409" s="1205"/>
      <c r="N12409" s="1054"/>
      <c r="O12409" s="1207"/>
      <c r="Q12409" s="1207"/>
    </row>
    <row r="12410" spans="3:17" s="700" customFormat="1" ht="70.5" hidden="1" customHeight="1">
      <c r="C12410" s="701"/>
      <c r="D12410" s="811"/>
      <c r="E12410" s="1276">
        <f>[11]building!Y12741</f>
        <v>0</v>
      </c>
      <c r="F12410" s="748">
        <f t="shared" si="432"/>
        <v>0</v>
      </c>
      <c r="G12410" s="1205"/>
      <c r="H12410" s="1055"/>
      <c r="I12410" s="1055"/>
      <c r="J12410" s="1055"/>
      <c r="K12410" s="1205"/>
      <c r="L12410" s="1055"/>
      <c r="M12410" s="1205"/>
      <c r="N12410" s="1054"/>
      <c r="O12410" s="1207"/>
      <c r="Q12410" s="1207"/>
    </row>
    <row r="12411" spans="3:17" s="700" customFormat="1" ht="70.5" hidden="1" customHeight="1">
      <c r="C12411" s="701"/>
      <c r="D12411" s="811"/>
      <c r="E12411" s="1276">
        <f>[11]building!Y12742</f>
        <v>0</v>
      </c>
      <c r="F12411" s="748">
        <f t="shared" si="432"/>
        <v>0</v>
      </c>
      <c r="G12411" s="1205"/>
      <c r="H12411" s="1055"/>
      <c r="I12411" s="1055"/>
      <c r="J12411" s="1055"/>
      <c r="K12411" s="1205"/>
      <c r="L12411" s="1055"/>
      <c r="M12411" s="1205"/>
      <c r="N12411" s="1054"/>
      <c r="O12411" s="1207"/>
      <c r="Q12411" s="1207"/>
    </row>
    <row r="12412" spans="3:17" s="700" customFormat="1" ht="70.5" hidden="1" customHeight="1">
      <c r="C12412" s="701"/>
      <c r="D12412" s="811"/>
      <c r="E12412" s="1276">
        <f>[11]building!Y12743</f>
        <v>0</v>
      </c>
      <c r="F12412" s="748">
        <f t="shared" si="432"/>
        <v>0</v>
      </c>
      <c r="G12412" s="1205"/>
      <c r="H12412" s="1055"/>
      <c r="I12412" s="1055"/>
      <c r="J12412" s="1055"/>
      <c r="K12412" s="1205"/>
      <c r="L12412" s="1055"/>
      <c r="M12412" s="1205"/>
      <c r="N12412" s="1054"/>
      <c r="O12412" s="1207"/>
      <c r="Q12412" s="1207"/>
    </row>
    <row r="12413" spans="3:17" s="700" customFormat="1" ht="70.5" hidden="1" customHeight="1">
      <c r="C12413" s="701"/>
      <c r="D12413" s="811"/>
      <c r="E12413" s="1276">
        <f>[11]building!Y12744</f>
        <v>0</v>
      </c>
      <c r="F12413" s="748">
        <f t="shared" si="432"/>
        <v>0</v>
      </c>
      <c r="G12413" s="1205"/>
      <c r="H12413" s="1055"/>
      <c r="I12413" s="1055"/>
      <c r="J12413" s="1055"/>
      <c r="K12413" s="1205"/>
      <c r="L12413" s="1055"/>
      <c r="M12413" s="1205"/>
      <c r="N12413" s="1054"/>
      <c r="O12413" s="1207"/>
      <c r="Q12413" s="1207"/>
    </row>
    <row r="12414" spans="3:17" s="700" customFormat="1" ht="70.5" hidden="1" customHeight="1">
      <c r="C12414" s="701"/>
      <c r="D12414" s="811"/>
      <c r="E12414" s="1276">
        <f>[11]building!Y12745</f>
        <v>0</v>
      </c>
      <c r="F12414" s="748">
        <f t="shared" si="432"/>
        <v>0</v>
      </c>
      <c r="G12414" s="1205"/>
      <c r="H12414" s="1055"/>
      <c r="I12414" s="1055"/>
      <c r="J12414" s="1055"/>
      <c r="K12414" s="1205"/>
      <c r="L12414" s="1055"/>
      <c r="M12414" s="1205"/>
      <c r="N12414" s="1054"/>
      <c r="O12414" s="1207"/>
      <c r="Q12414" s="1207"/>
    </row>
    <row r="12415" spans="3:17" s="700" customFormat="1" ht="70.5" hidden="1" customHeight="1">
      <c r="C12415" s="701"/>
      <c r="D12415" s="811"/>
      <c r="E12415" s="1276">
        <f>[11]building!Y12746</f>
        <v>0</v>
      </c>
      <c r="F12415" s="748">
        <f t="shared" si="432"/>
        <v>0</v>
      </c>
      <c r="G12415" s="1205"/>
      <c r="H12415" s="1055"/>
      <c r="I12415" s="1055"/>
      <c r="J12415" s="1055"/>
      <c r="K12415" s="1205"/>
      <c r="L12415" s="1055"/>
      <c r="M12415" s="1205"/>
      <c r="N12415" s="1054"/>
      <c r="O12415" s="1207"/>
      <c r="Q12415" s="1207"/>
    </row>
    <row r="12416" spans="3:17" s="700" customFormat="1" ht="70.5" hidden="1" customHeight="1">
      <c r="C12416" s="701"/>
      <c r="D12416" s="811"/>
      <c r="E12416" s="1276">
        <f>[11]building!Y12747</f>
        <v>0</v>
      </c>
      <c r="F12416" s="748">
        <f t="shared" ref="F12416:F12479" si="433">E12416*C12416</f>
        <v>0</v>
      </c>
      <c r="G12416" s="1205"/>
      <c r="H12416" s="1055"/>
      <c r="I12416" s="1055"/>
      <c r="J12416" s="1055"/>
      <c r="K12416" s="1205"/>
      <c r="L12416" s="1055"/>
      <c r="M12416" s="1205"/>
      <c r="N12416" s="1054"/>
      <c r="O12416" s="1207"/>
      <c r="Q12416" s="1207"/>
    </row>
    <row r="12417" spans="3:17" s="700" customFormat="1" ht="70.5" hidden="1" customHeight="1">
      <c r="C12417" s="701"/>
      <c r="D12417" s="811"/>
      <c r="E12417" s="1276">
        <f>[11]building!Y12748</f>
        <v>0</v>
      </c>
      <c r="F12417" s="748">
        <f t="shared" si="433"/>
        <v>0</v>
      </c>
      <c r="G12417" s="1205"/>
      <c r="H12417" s="1055"/>
      <c r="I12417" s="1055"/>
      <c r="J12417" s="1055"/>
      <c r="K12417" s="1205"/>
      <c r="L12417" s="1055"/>
      <c r="M12417" s="1205"/>
      <c r="N12417" s="1054"/>
      <c r="O12417" s="1207"/>
      <c r="Q12417" s="1207"/>
    </row>
    <row r="12418" spans="3:17" s="700" customFormat="1" ht="70.5" hidden="1" customHeight="1">
      <c r="C12418" s="701"/>
      <c r="D12418" s="811"/>
      <c r="E12418" s="1276">
        <f>[11]building!Y12749</f>
        <v>0</v>
      </c>
      <c r="F12418" s="748">
        <f t="shared" si="433"/>
        <v>0</v>
      </c>
      <c r="G12418" s="1205"/>
      <c r="H12418" s="1055"/>
      <c r="I12418" s="1055"/>
      <c r="J12418" s="1055"/>
      <c r="K12418" s="1205"/>
      <c r="L12418" s="1055"/>
      <c r="M12418" s="1205"/>
      <c r="N12418" s="1054"/>
      <c r="O12418" s="1207"/>
      <c r="Q12418" s="1207"/>
    </row>
    <row r="12419" spans="3:17" s="700" customFormat="1" ht="70.5" hidden="1" customHeight="1">
      <c r="C12419" s="701"/>
      <c r="D12419" s="811"/>
      <c r="E12419" s="1276">
        <f>[11]building!Y12750</f>
        <v>0</v>
      </c>
      <c r="F12419" s="748">
        <f t="shared" si="433"/>
        <v>0</v>
      </c>
      <c r="G12419" s="1205"/>
      <c r="H12419" s="1055"/>
      <c r="I12419" s="1055"/>
      <c r="J12419" s="1055"/>
      <c r="K12419" s="1205"/>
      <c r="L12419" s="1055"/>
      <c r="M12419" s="1205"/>
      <c r="N12419" s="1054"/>
      <c r="O12419" s="1207"/>
      <c r="Q12419" s="1207"/>
    </row>
    <row r="12420" spans="3:17" s="700" customFormat="1" ht="70.5" hidden="1" customHeight="1">
      <c r="C12420" s="701"/>
      <c r="D12420" s="811"/>
      <c r="E12420" s="1276">
        <f>[11]building!Y12751</f>
        <v>0</v>
      </c>
      <c r="F12420" s="748">
        <f t="shared" si="433"/>
        <v>0</v>
      </c>
      <c r="G12420" s="1205"/>
      <c r="H12420" s="1055"/>
      <c r="I12420" s="1055"/>
      <c r="J12420" s="1055"/>
      <c r="K12420" s="1205"/>
      <c r="L12420" s="1055"/>
      <c r="M12420" s="1205"/>
      <c r="N12420" s="1054"/>
      <c r="O12420" s="1207"/>
      <c r="Q12420" s="1207"/>
    </row>
    <row r="12421" spans="3:17" s="700" customFormat="1" ht="70.5" hidden="1" customHeight="1">
      <c r="C12421" s="701"/>
      <c r="D12421" s="811"/>
      <c r="E12421" s="1276">
        <f>[11]building!Y12752</f>
        <v>0</v>
      </c>
      <c r="F12421" s="748">
        <f t="shared" si="433"/>
        <v>0</v>
      </c>
      <c r="G12421" s="1205"/>
      <c r="H12421" s="1055"/>
      <c r="I12421" s="1055"/>
      <c r="J12421" s="1055"/>
      <c r="K12421" s="1205"/>
      <c r="L12421" s="1055"/>
      <c r="M12421" s="1205"/>
      <c r="N12421" s="1054"/>
      <c r="O12421" s="1207"/>
      <c r="Q12421" s="1207"/>
    </row>
    <row r="12422" spans="3:17" s="700" customFormat="1" ht="70.5" hidden="1" customHeight="1">
      <c r="C12422" s="701"/>
      <c r="D12422" s="811"/>
      <c r="E12422" s="1276">
        <f>[11]building!Y12753</f>
        <v>0</v>
      </c>
      <c r="F12422" s="748">
        <f t="shared" si="433"/>
        <v>0</v>
      </c>
      <c r="G12422" s="1205"/>
      <c r="H12422" s="1055"/>
      <c r="I12422" s="1055"/>
      <c r="J12422" s="1055"/>
      <c r="K12422" s="1205"/>
      <c r="L12422" s="1055"/>
      <c r="M12422" s="1205"/>
      <c r="N12422" s="1054"/>
      <c r="O12422" s="1207"/>
      <c r="Q12422" s="1207"/>
    </row>
    <row r="12423" spans="3:17" s="700" customFormat="1" ht="70.5" hidden="1" customHeight="1">
      <c r="C12423" s="701"/>
      <c r="D12423" s="811"/>
      <c r="E12423" s="1276">
        <f>[11]building!Y12754</f>
        <v>0</v>
      </c>
      <c r="F12423" s="748">
        <f t="shared" si="433"/>
        <v>0</v>
      </c>
      <c r="G12423" s="1205"/>
      <c r="H12423" s="1055"/>
      <c r="I12423" s="1055"/>
      <c r="J12423" s="1055"/>
      <c r="K12423" s="1205"/>
      <c r="L12423" s="1055"/>
      <c r="M12423" s="1205"/>
      <c r="N12423" s="1054"/>
      <c r="O12423" s="1207"/>
      <c r="Q12423" s="1207"/>
    </row>
    <row r="12424" spans="3:17" s="700" customFormat="1" ht="70.5" hidden="1" customHeight="1">
      <c r="C12424" s="701"/>
      <c r="D12424" s="811"/>
      <c r="E12424" s="1276">
        <f>[11]building!Y12755</f>
        <v>0</v>
      </c>
      <c r="F12424" s="748">
        <f t="shared" si="433"/>
        <v>0</v>
      </c>
      <c r="G12424" s="1205"/>
      <c r="H12424" s="1055"/>
      <c r="I12424" s="1055"/>
      <c r="J12424" s="1055"/>
      <c r="K12424" s="1205"/>
      <c r="L12424" s="1055"/>
      <c r="M12424" s="1205"/>
      <c r="N12424" s="1054"/>
      <c r="O12424" s="1207"/>
      <c r="Q12424" s="1207"/>
    </row>
    <row r="12425" spans="3:17" s="700" customFormat="1" ht="70.5" hidden="1" customHeight="1">
      <c r="C12425" s="701"/>
      <c r="D12425" s="811"/>
      <c r="E12425" s="1276">
        <f>[11]building!Y12756</f>
        <v>0</v>
      </c>
      <c r="F12425" s="748">
        <f t="shared" si="433"/>
        <v>0</v>
      </c>
      <c r="G12425" s="1205"/>
      <c r="H12425" s="1055"/>
      <c r="I12425" s="1055"/>
      <c r="J12425" s="1055"/>
      <c r="K12425" s="1205"/>
      <c r="L12425" s="1055"/>
      <c r="M12425" s="1205"/>
      <c r="N12425" s="1054"/>
      <c r="O12425" s="1207"/>
      <c r="Q12425" s="1207"/>
    </row>
    <row r="12426" spans="3:17" s="700" customFormat="1" ht="70.5" hidden="1" customHeight="1">
      <c r="C12426" s="701"/>
      <c r="D12426" s="811"/>
      <c r="E12426" s="1276">
        <f>[11]building!Y12757</f>
        <v>0</v>
      </c>
      <c r="F12426" s="748">
        <f t="shared" si="433"/>
        <v>0</v>
      </c>
      <c r="G12426" s="1205"/>
      <c r="H12426" s="1055"/>
      <c r="I12426" s="1055"/>
      <c r="J12426" s="1055"/>
      <c r="K12426" s="1205"/>
      <c r="L12426" s="1055"/>
      <c r="M12426" s="1205"/>
      <c r="N12426" s="1054"/>
      <c r="O12426" s="1207"/>
      <c r="Q12426" s="1207"/>
    </row>
    <row r="12427" spans="3:17" s="700" customFormat="1" ht="70.5" hidden="1" customHeight="1">
      <c r="C12427" s="701"/>
      <c r="D12427" s="811"/>
      <c r="E12427" s="1276">
        <f>[11]building!Y12758</f>
        <v>0</v>
      </c>
      <c r="F12427" s="748">
        <f t="shared" si="433"/>
        <v>0</v>
      </c>
      <c r="G12427" s="1205"/>
      <c r="H12427" s="1055"/>
      <c r="I12427" s="1055"/>
      <c r="J12427" s="1055"/>
      <c r="K12427" s="1205"/>
      <c r="L12427" s="1055"/>
      <c r="M12427" s="1205"/>
      <c r="N12427" s="1054"/>
      <c r="O12427" s="1207"/>
      <c r="Q12427" s="1207"/>
    </row>
    <row r="12428" spans="3:17" s="700" customFormat="1" ht="70.5" hidden="1" customHeight="1">
      <c r="C12428" s="701"/>
      <c r="D12428" s="811"/>
      <c r="E12428" s="1276">
        <f>[11]building!Y12759</f>
        <v>0</v>
      </c>
      <c r="F12428" s="748">
        <f t="shared" si="433"/>
        <v>0</v>
      </c>
      <c r="G12428" s="1205"/>
      <c r="H12428" s="1055"/>
      <c r="I12428" s="1055"/>
      <c r="J12428" s="1055"/>
      <c r="K12428" s="1205"/>
      <c r="L12428" s="1055"/>
      <c r="M12428" s="1205"/>
      <c r="N12428" s="1054"/>
      <c r="O12428" s="1207"/>
      <c r="Q12428" s="1207"/>
    </row>
    <row r="12429" spans="3:17" s="700" customFormat="1" ht="70.5" hidden="1" customHeight="1">
      <c r="C12429" s="701"/>
      <c r="D12429" s="811"/>
      <c r="E12429" s="1276">
        <f>[11]building!Y12760</f>
        <v>0</v>
      </c>
      <c r="F12429" s="748">
        <f t="shared" si="433"/>
        <v>0</v>
      </c>
      <c r="G12429" s="1205"/>
      <c r="H12429" s="1055"/>
      <c r="I12429" s="1055"/>
      <c r="J12429" s="1055"/>
      <c r="K12429" s="1205"/>
      <c r="L12429" s="1055"/>
      <c r="M12429" s="1205"/>
      <c r="N12429" s="1054"/>
      <c r="O12429" s="1207"/>
      <c r="Q12429" s="1207"/>
    </row>
    <row r="12430" spans="3:17" s="700" customFormat="1" ht="70.5" hidden="1" customHeight="1">
      <c r="C12430" s="701"/>
      <c r="D12430" s="811"/>
      <c r="E12430" s="1276">
        <f>[11]building!Y12761</f>
        <v>0</v>
      </c>
      <c r="F12430" s="748">
        <f t="shared" si="433"/>
        <v>0</v>
      </c>
      <c r="G12430" s="1205"/>
      <c r="H12430" s="1055"/>
      <c r="I12430" s="1055"/>
      <c r="J12430" s="1055"/>
      <c r="K12430" s="1205"/>
      <c r="L12430" s="1055"/>
      <c r="M12430" s="1205"/>
      <c r="N12430" s="1054"/>
      <c r="O12430" s="1207"/>
      <c r="Q12430" s="1207"/>
    </row>
    <row r="12431" spans="3:17" s="700" customFormat="1" ht="70.5" hidden="1" customHeight="1">
      <c r="C12431" s="701"/>
      <c r="D12431" s="811"/>
      <c r="E12431" s="1276">
        <f>[11]building!Y12762</f>
        <v>0</v>
      </c>
      <c r="F12431" s="748">
        <f t="shared" si="433"/>
        <v>0</v>
      </c>
      <c r="G12431" s="1205"/>
      <c r="H12431" s="1055"/>
      <c r="I12431" s="1055"/>
      <c r="J12431" s="1055"/>
      <c r="K12431" s="1205"/>
      <c r="L12431" s="1055"/>
      <c r="M12431" s="1205"/>
      <c r="N12431" s="1054"/>
      <c r="O12431" s="1207"/>
      <c r="Q12431" s="1207"/>
    </row>
    <row r="12432" spans="3:17" s="700" customFormat="1" ht="70.5" hidden="1" customHeight="1">
      <c r="C12432" s="701"/>
      <c r="D12432" s="811"/>
      <c r="E12432" s="1276">
        <f>[11]building!Y12763</f>
        <v>0</v>
      </c>
      <c r="F12432" s="748">
        <f t="shared" si="433"/>
        <v>0</v>
      </c>
      <c r="G12432" s="1205"/>
      <c r="H12432" s="1055"/>
      <c r="I12432" s="1055"/>
      <c r="J12432" s="1055"/>
      <c r="K12432" s="1205"/>
      <c r="L12432" s="1055"/>
      <c r="M12432" s="1205"/>
      <c r="N12432" s="1054"/>
      <c r="O12432" s="1207"/>
      <c r="Q12432" s="1207"/>
    </row>
    <row r="12433" spans="3:17" s="700" customFormat="1" ht="70.5" hidden="1" customHeight="1">
      <c r="C12433" s="701"/>
      <c r="D12433" s="811"/>
      <c r="E12433" s="1276">
        <f>[11]building!Y12764</f>
        <v>0</v>
      </c>
      <c r="F12433" s="748">
        <f t="shared" si="433"/>
        <v>0</v>
      </c>
      <c r="G12433" s="1205"/>
      <c r="H12433" s="1055"/>
      <c r="I12433" s="1055"/>
      <c r="J12433" s="1055"/>
      <c r="K12433" s="1205"/>
      <c r="L12433" s="1055"/>
      <c r="M12433" s="1205"/>
      <c r="N12433" s="1054"/>
      <c r="O12433" s="1207"/>
      <c r="Q12433" s="1207"/>
    </row>
    <row r="12434" spans="3:17" s="700" customFormat="1" ht="70.5" hidden="1" customHeight="1">
      <c r="C12434" s="701"/>
      <c r="D12434" s="811"/>
      <c r="E12434" s="1276">
        <f>[11]building!Y12765</f>
        <v>0</v>
      </c>
      <c r="F12434" s="748">
        <f t="shared" si="433"/>
        <v>0</v>
      </c>
      <c r="G12434" s="1205"/>
      <c r="H12434" s="1055"/>
      <c r="I12434" s="1055"/>
      <c r="J12434" s="1055"/>
      <c r="K12434" s="1205"/>
      <c r="L12434" s="1055"/>
      <c r="M12434" s="1205"/>
      <c r="N12434" s="1054"/>
      <c r="O12434" s="1207"/>
      <c r="Q12434" s="1207"/>
    </row>
    <row r="12435" spans="3:17" s="700" customFormat="1" ht="70.5" hidden="1" customHeight="1">
      <c r="C12435" s="701"/>
      <c r="D12435" s="811"/>
      <c r="E12435" s="1276">
        <f>[11]building!Y12766</f>
        <v>0</v>
      </c>
      <c r="F12435" s="748">
        <f t="shared" si="433"/>
        <v>0</v>
      </c>
      <c r="G12435" s="1205"/>
      <c r="H12435" s="1055"/>
      <c r="I12435" s="1055"/>
      <c r="J12435" s="1055"/>
      <c r="K12435" s="1205"/>
      <c r="L12435" s="1055"/>
      <c r="M12435" s="1205"/>
      <c r="N12435" s="1054"/>
      <c r="O12435" s="1207"/>
      <c r="Q12435" s="1207"/>
    </row>
    <row r="12436" spans="3:17" s="700" customFormat="1" ht="70.5" hidden="1" customHeight="1">
      <c r="C12436" s="701"/>
      <c r="D12436" s="811"/>
      <c r="E12436" s="1276">
        <f>[11]building!Y12767</f>
        <v>0</v>
      </c>
      <c r="F12436" s="748">
        <f t="shared" si="433"/>
        <v>0</v>
      </c>
      <c r="G12436" s="1205"/>
      <c r="H12436" s="1055"/>
      <c r="I12436" s="1055"/>
      <c r="J12436" s="1055"/>
      <c r="K12436" s="1205"/>
      <c r="L12436" s="1055"/>
      <c r="M12436" s="1205"/>
      <c r="N12436" s="1054"/>
      <c r="O12436" s="1207"/>
      <c r="Q12436" s="1207"/>
    </row>
    <row r="12437" spans="3:17" s="700" customFormat="1" ht="70.5" hidden="1" customHeight="1">
      <c r="C12437" s="701"/>
      <c r="D12437" s="811"/>
      <c r="E12437" s="1276">
        <f>[11]building!Y12768</f>
        <v>0</v>
      </c>
      <c r="F12437" s="748">
        <f t="shared" si="433"/>
        <v>0</v>
      </c>
      <c r="G12437" s="1205"/>
      <c r="H12437" s="1055"/>
      <c r="I12437" s="1055"/>
      <c r="J12437" s="1055"/>
      <c r="K12437" s="1205"/>
      <c r="L12437" s="1055"/>
      <c r="M12437" s="1205"/>
      <c r="N12437" s="1054"/>
      <c r="O12437" s="1207"/>
      <c r="Q12437" s="1207"/>
    </row>
    <row r="12438" spans="3:17" s="700" customFormat="1" ht="70.5" hidden="1" customHeight="1">
      <c r="C12438" s="701"/>
      <c r="D12438" s="811"/>
      <c r="E12438" s="1276">
        <f>[11]building!Y12769</f>
        <v>0</v>
      </c>
      <c r="F12438" s="748">
        <f t="shared" si="433"/>
        <v>0</v>
      </c>
      <c r="G12438" s="1205"/>
      <c r="H12438" s="1055"/>
      <c r="I12438" s="1055"/>
      <c r="J12438" s="1055"/>
      <c r="K12438" s="1205"/>
      <c r="L12438" s="1055"/>
      <c r="M12438" s="1205"/>
      <c r="N12438" s="1054"/>
      <c r="O12438" s="1207"/>
      <c r="Q12438" s="1207"/>
    </row>
    <row r="12439" spans="3:17" s="700" customFormat="1" ht="70.5" hidden="1" customHeight="1">
      <c r="C12439" s="701"/>
      <c r="D12439" s="811"/>
      <c r="E12439" s="1276">
        <f>[11]building!Y12770</f>
        <v>0</v>
      </c>
      <c r="F12439" s="748">
        <f t="shared" si="433"/>
        <v>0</v>
      </c>
      <c r="G12439" s="1205"/>
      <c r="H12439" s="1055"/>
      <c r="I12439" s="1055"/>
      <c r="J12439" s="1055"/>
      <c r="K12439" s="1205"/>
      <c r="L12439" s="1055"/>
      <c r="M12439" s="1205"/>
      <c r="N12439" s="1054"/>
      <c r="O12439" s="1207"/>
      <c r="Q12439" s="1207"/>
    </row>
    <row r="12440" spans="3:17" s="700" customFormat="1" ht="70.5" hidden="1" customHeight="1">
      <c r="C12440" s="701"/>
      <c r="D12440" s="811"/>
      <c r="E12440" s="1276">
        <f>[11]building!Y12771</f>
        <v>0</v>
      </c>
      <c r="F12440" s="748">
        <f t="shared" si="433"/>
        <v>0</v>
      </c>
      <c r="G12440" s="1205"/>
      <c r="H12440" s="1055"/>
      <c r="I12440" s="1055"/>
      <c r="J12440" s="1055"/>
      <c r="K12440" s="1205"/>
      <c r="L12440" s="1055"/>
      <c r="M12440" s="1205"/>
      <c r="N12440" s="1054"/>
      <c r="O12440" s="1207"/>
      <c r="Q12440" s="1207"/>
    </row>
    <row r="12441" spans="3:17" s="700" customFormat="1" ht="70.5" hidden="1" customHeight="1">
      <c r="C12441" s="701"/>
      <c r="D12441" s="811"/>
      <c r="E12441" s="1276">
        <f>[11]building!Y12772</f>
        <v>0</v>
      </c>
      <c r="F12441" s="748">
        <f t="shared" si="433"/>
        <v>0</v>
      </c>
      <c r="G12441" s="1205"/>
      <c r="H12441" s="1055"/>
      <c r="I12441" s="1055"/>
      <c r="J12441" s="1055"/>
      <c r="K12441" s="1205"/>
      <c r="L12441" s="1055"/>
      <c r="M12441" s="1205"/>
      <c r="N12441" s="1054"/>
      <c r="O12441" s="1207"/>
      <c r="Q12441" s="1207"/>
    </row>
    <row r="12442" spans="3:17" s="700" customFormat="1" ht="70.5" hidden="1" customHeight="1">
      <c r="C12442" s="701"/>
      <c r="D12442" s="811"/>
      <c r="E12442" s="1276">
        <f>[11]building!Y12773</f>
        <v>0</v>
      </c>
      <c r="F12442" s="748">
        <f t="shared" si="433"/>
        <v>0</v>
      </c>
      <c r="G12442" s="1205"/>
      <c r="H12442" s="1055"/>
      <c r="I12442" s="1055"/>
      <c r="J12442" s="1055"/>
      <c r="K12442" s="1205"/>
      <c r="L12442" s="1055"/>
      <c r="M12442" s="1205"/>
      <c r="N12442" s="1054"/>
      <c r="O12442" s="1207"/>
      <c r="Q12442" s="1207"/>
    </row>
    <row r="12443" spans="3:17" s="700" customFormat="1" ht="70.5" hidden="1" customHeight="1">
      <c r="C12443" s="701"/>
      <c r="D12443" s="811"/>
      <c r="E12443" s="1276">
        <f>[11]building!Y12774</f>
        <v>0</v>
      </c>
      <c r="F12443" s="748">
        <f t="shared" si="433"/>
        <v>0</v>
      </c>
      <c r="G12443" s="1205"/>
      <c r="H12443" s="1055"/>
      <c r="I12443" s="1055"/>
      <c r="J12443" s="1055"/>
      <c r="K12443" s="1205"/>
      <c r="L12443" s="1055"/>
      <c r="M12443" s="1205"/>
      <c r="N12443" s="1054"/>
      <c r="O12443" s="1207"/>
      <c r="Q12443" s="1207"/>
    </row>
    <row r="12444" spans="3:17" s="700" customFormat="1" ht="70.5" hidden="1" customHeight="1">
      <c r="C12444" s="701"/>
      <c r="D12444" s="811"/>
      <c r="E12444" s="1276">
        <f>[11]building!Y12775</f>
        <v>0</v>
      </c>
      <c r="F12444" s="748">
        <f t="shared" si="433"/>
        <v>0</v>
      </c>
      <c r="G12444" s="1205"/>
      <c r="H12444" s="1055"/>
      <c r="I12444" s="1055"/>
      <c r="J12444" s="1055"/>
      <c r="K12444" s="1205"/>
      <c r="L12444" s="1055"/>
      <c r="M12444" s="1205"/>
      <c r="N12444" s="1054"/>
      <c r="O12444" s="1207"/>
      <c r="Q12444" s="1207"/>
    </row>
    <row r="12445" spans="3:17" s="700" customFormat="1" ht="70.5" hidden="1" customHeight="1">
      <c r="C12445" s="701"/>
      <c r="D12445" s="811"/>
      <c r="E12445" s="1276">
        <f>[11]building!Y12776</f>
        <v>0</v>
      </c>
      <c r="F12445" s="748">
        <f t="shared" si="433"/>
        <v>0</v>
      </c>
      <c r="G12445" s="1205"/>
      <c r="H12445" s="1055"/>
      <c r="I12445" s="1055"/>
      <c r="J12445" s="1055"/>
      <c r="K12445" s="1205"/>
      <c r="L12445" s="1055"/>
      <c r="M12445" s="1205"/>
      <c r="N12445" s="1054"/>
      <c r="O12445" s="1207"/>
      <c r="Q12445" s="1207"/>
    </row>
    <row r="12446" spans="3:17" s="700" customFormat="1" ht="70.5" hidden="1" customHeight="1">
      <c r="C12446" s="701"/>
      <c r="D12446" s="811"/>
      <c r="E12446" s="1276">
        <f>[11]building!Y12777</f>
        <v>0</v>
      </c>
      <c r="F12446" s="748">
        <f t="shared" si="433"/>
        <v>0</v>
      </c>
      <c r="G12446" s="1205"/>
      <c r="H12446" s="1055"/>
      <c r="I12446" s="1055"/>
      <c r="J12446" s="1055"/>
      <c r="K12446" s="1205"/>
      <c r="L12446" s="1055"/>
      <c r="M12446" s="1205"/>
      <c r="N12446" s="1054"/>
      <c r="O12446" s="1207"/>
      <c r="Q12446" s="1207"/>
    </row>
    <row r="12447" spans="3:17" s="700" customFormat="1" ht="70.5" hidden="1" customHeight="1">
      <c r="C12447" s="701"/>
      <c r="D12447" s="811"/>
      <c r="E12447" s="1276">
        <f>[11]building!Y12778</f>
        <v>0</v>
      </c>
      <c r="F12447" s="748">
        <f t="shared" si="433"/>
        <v>0</v>
      </c>
      <c r="G12447" s="1205"/>
      <c r="H12447" s="1055"/>
      <c r="I12447" s="1055"/>
      <c r="J12447" s="1055"/>
      <c r="K12447" s="1205"/>
      <c r="L12447" s="1055"/>
      <c r="M12447" s="1205"/>
      <c r="N12447" s="1054"/>
      <c r="O12447" s="1207"/>
      <c r="Q12447" s="1207"/>
    </row>
    <row r="12448" spans="3:17" s="700" customFormat="1" ht="70.5" hidden="1" customHeight="1">
      <c r="C12448" s="701"/>
      <c r="D12448" s="811"/>
      <c r="E12448" s="1276">
        <f>[11]building!Y12779</f>
        <v>0</v>
      </c>
      <c r="F12448" s="748">
        <f t="shared" si="433"/>
        <v>0</v>
      </c>
      <c r="G12448" s="1205"/>
      <c r="H12448" s="1055"/>
      <c r="I12448" s="1055"/>
      <c r="J12448" s="1055"/>
      <c r="K12448" s="1205"/>
      <c r="L12448" s="1055"/>
      <c r="M12448" s="1205"/>
      <c r="N12448" s="1054"/>
      <c r="O12448" s="1207"/>
      <c r="Q12448" s="1207"/>
    </row>
    <row r="12449" spans="3:17" s="700" customFormat="1" ht="70.5" hidden="1" customHeight="1">
      <c r="C12449" s="701"/>
      <c r="D12449" s="811"/>
      <c r="E12449" s="1276">
        <f>[11]building!Y12780</f>
        <v>0</v>
      </c>
      <c r="F12449" s="748">
        <f t="shared" si="433"/>
        <v>0</v>
      </c>
      <c r="G12449" s="1205"/>
      <c r="H12449" s="1055"/>
      <c r="I12449" s="1055"/>
      <c r="J12449" s="1055"/>
      <c r="K12449" s="1205"/>
      <c r="L12449" s="1055"/>
      <c r="M12449" s="1205"/>
      <c r="N12449" s="1054"/>
      <c r="O12449" s="1207"/>
      <c r="Q12449" s="1207"/>
    </row>
    <row r="12450" spans="3:17" s="700" customFormat="1" ht="70.5" hidden="1" customHeight="1">
      <c r="C12450" s="701"/>
      <c r="D12450" s="811"/>
      <c r="E12450" s="1276">
        <f>[11]building!Y12781</f>
        <v>0</v>
      </c>
      <c r="F12450" s="748">
        <f t="shared" si="433"/>
        <v>0</v>
      </c>
      <c r="G12450" s="1205"/>
      <c r="H12450" s="1055"/>
      <c r="I12450" s="1055"/>
      <c r="J12450" s="1055"/>
      <c r="K12450" s="1205"/>
      <c r="L12450" s="1055"/>
      <c r="M12450" s="1205"/>
      <c r="N12450" s="1054"/>
      <c r="O12450" s="1207"/>
      <c r="Q12450" s="1207"/>
    </row>
    <row r="12451" spans="3:17" s="700" customFormat="1" ht="70.5" hidden="1" customHeight="1">
      <c r="C12451" s="701"/>
      <c r="D12451" s="811"/>
      <c r="E12451" s="1276">
        <f>[11]building!Y12782</f>
        <v>0</v>
      </c>
      <c r="F12451" s="748">
        <f t="shared" si="433"/>
        <v>0</v>
      </c>
      <c r="G12451" s="1205"/>
      <c r="H12451" s="1055"/>
      <c r="I12451" s="1055"/>
      <c r="J12451" s="1055"/>
      <c r="K12451" s="1205"/>
      <c r="L12451" s="1055"/>
      <c r="M12451" s="1205"/>
      <c r="N12451" s="1054"/>
      <c r="O12451" s="1207"/>
      <c r="Q12451" s="1207"/>
    </row>
    <row r="12452" spans="3:17" s="700" customFormat="1" ht="70.5" hidden="1" customHeight="1">
      <c r="C12452" s="701"/>
      <c r="D12452" s="811"/>
      <c r="E12452" s="1276">
        <f>[11]building!Y12783</f>
        <v>0</v>
      </c>
      <c r="F12452" s="748">
        <f t="shared" si="433"/>
        <v>0</v>
      </c>
      <c r="G12452" s="1205"/>
      <c r="H12452" s="1055"/>
      <c r="I12452" s="1055"/>
      <c r="J12452" s="1055"/>
      <c r="K12452" s="1205"/>
      <c r="L12452" s="1055"/>
      <c r="M12452" s="1205"/>
      <c r="N12452" s="1054"/>
      <c r="O12452" s="1207"/>
      <c r="Q12452" s="1207"/>
    </row>
    <row r="12453" spans="3:17" s="700" customFormat="1" ht="70.5" hidden="1" customHeight="1">
      <c r="C12453" s="701"/>
      <c r="D12453" s="811"/>
      <c r="E12453" s="1276">
        <f>[11]building!Y12784</f>
        <v>0</v>
      </c>
      <c r="F12453" s="748">
        <f t="shared" si="433"/>
        <v>0</v>
      </c>
      <c r="G12453" s="1205"/>
      <c r="H12453" s="1055"/>
      <c r="I12453" s="1055"/>
      <c r="J12453" s="1055"/>
      <c r="K12453" s="1205"/>
      <c r="L12453" s="1055"/>
      <c r="M12453" s="1205"/>
      <c r="N12453" s="1054"/>
      <c r="O12453" s="1207"/>
      <c r="Q12453" s="1207"/>
    </row>
    <row r="12454" spans="3:17" s="700" customFormat="1" ht="70.5" hidden="1" customHeight="1">
      <c r="C12454" s="701"/>
      <c r="D12454" s="811"/>
      <c r="E12454" s="1276">
        <f>[11]building!Y12785</f>
        <v>0</v>
      </c>
      <c r="F12454" s="748">
        <f t="shared" si="433"/>
        <v>0</v>
      </c>
      <c r="G12454" s="1205"/>
      <c r="H12454" s="1055"/>
      <c r="I12454" s="1055"/>
      <c r="J12454" s="1055"/>
      <c r="K12454" s="1205"/>
      <c r="L12454" s="1055"/>
      <c r="M12454" s="1205"/>
      <c r="N12454" s="1054"/>
      <c r="O12454" s="1207"/>
      <c r="Q12454" s="1207"/>
    </row>
    <row r="12455" spans="3:17" s="700" customFormat="1" ht="70.5" hidden="1" customHeight="1">
      <c r="C12455" s="701"/>
      <c r="D12455" s="811"/>
      <c r="E12455" s="1276">
        <f>[11]building!Y12786</f>
        <v>0</v>
      </c>
      <c r="F12455" s="748">
        <f t="shared" si="433"/>
        <v>0</v>
      </c>
      <c r="G12455" s="1205"/>
      <c r="H12455" s="1055"/>
      <c r="I12455" s="1055"/>
      <c r="J12455" s="1055"/>
      <c r="K12455" s="1205"/>
      <c r="L12455" s="1055"/>
      <c r="M12455" s="1205"/>
      <c r="N12455" s="1054"/>
      <c r="O12455" s="1207"/>
      <c r="Q12455" s="1207"/>
    </row>
    <row r="12456" spans="3:17" s="700" customFormat="1" ht="70.5" hidden="1" customHeight="1">
      <c r="C12456" s="701"/>
      <c r="D12456" s="811"/>
      <c r="E12456" s="1276">
        <f>[11]building!Y12787</f>
        <v>0</v>
      </c>
      <c r="F12456" s="748">
        <f t="shared" si="433"/>
        <v>0</v>
      </c>
      <c r="G12456" s="1205"/>
      <c r="H12456" s="1055"/>
      <c r="I12456" s="1055"/>
      <c r="J12456" s="1055"/>
      <c r="K12456" s="1205"/>
      <c r="L12456" s="1055"/>
      <c r="M12456" s="1205"/>
      <c r="N12456" s="1054"/>
      <c r="O12456" s="1207"/>
      <c r="Q12456" s="1207"/>
    </row>
    <row r="12457" spans="3:17" s="700" customFormat="1" ht="70.5" hidden="1" customHeight="1">
      <c r="C12457" s="701"/>
      <c r="D12457" s="811"/>
      <c r="E12457" s="1276">
        <f>[11]building!Y12788</f>
        <v>0</v>
      </c>
      <c r="F12457" s="748">
        <f t="shared" si="433"/>
        <v>0</v>
      </c>
      <c r="G12457" s="1205"/>
      <c r="H12457" s="1055"/>
      <c r="I12457" s="1055"/>
      <c r="J12457" s="1055"/>
      <c r="K12457" s="1205"/>
      <c r="L12457" s="1055"/>
      <c r="M12457" s="1205"/>
      <c r="N12457" s="1054"/>
      <c r="O12457" s="1207"/>
      <c r="Q12457" s="1207"/>
    </row>
    <row r="12458" spans="3:17" s="700" customFormat="1" ht="70.5" hidden="1" customHeight="1">
      <c r="C12458" s="701"/>
      <c r="D12458" s="811"/>
      <c r="E12458" s="1276">
        <f>[11]building!Y12789</f>
        <v>0</v>
      </c>
      <c r="F12458" s="748">
        <f t="shared" si="433"/>
        <v>0</v>
      </c>
      <c r="G12458" s="1205"/>
      <c r="H12458" s="1055"/>
      <c r="I12458" s="1055"/>
      <c r="J12458" s="1055"/>
      <c r="K12458" s="1205"/>
      <c r="L12458" s="1055"/>
      <c r="M12458" s="1205"/>
      <c r="N12458" s="1054"/>
      <c r="O12458" s="1207"/>
      <c r="Q12458" s="1207"/>
    </row>
    <row r="12459" spans="3:17" s="700" customFormat="1" ht="70.5" hidden="1" customHeight="1">
      <c r="C12459" s="701"/>
      <c r="D12459" s="811"/>
      <c r="E12459" s="1276">
        <f>[11]building!Y12790</f>
        <v>0</v>
      </c>
      <c r="F12459" s="748">
        <f t="shared" si="433"/>
        <v>0</v>
      </c>
      <c r="G12459" s="1205"/>
      <c r="H12459" s="1055"/>
      <c r="I12459" s="1055"/>
      <c r="J12459" s="1055"/>
      <c r="K12459" s="1205"/>
      <c r="L12459" s="1055"/>
      <c r="M12459" s="1205"/>
      <c r="N12459" s="1054"/>
      <c r="O12459" s="1207"/>
      <c r="Q12459" s="1207"/>
    </row>
    <row r="12460" spans="3:17" s="700" customFormat="1" ht="70.5" hidden="1" customHeight="1">
      <c r="C12460" s="701"/>
      <c r="D12460" s="811"/>
      <c r="E12460" s="1276">
        <f>[11]building!Y12791</f>
        <v>0</v>
      </c>
      <c r="F12460" s="748">
        <f t="shared" si="433"/>
        <v>0</v>
      </c>
      <c r="G12460" s="1205"/>
      <c r="H12460" s="1055"/>
      <c r="I12460" s="1055"/>
      <c r="J12460" s="1055"/>
      <c r="K12460" s="1205"/>
      <c r="L12460" s="1055"/>
      <c r="M12460" s="1205"/>
      <c r="N12460" s="1054"/>
      <c r="O12460" s="1207"/>
      <c r="Q12460" s="1207"/>
    </row>
    <row r="12461" spans="3:17" s="700" customFormat="1" ht="70.5" hidden="1" customHeight="1">
      <c r="C12461" s="701"/>
      <c r="D12461" s="811"/>
      <c r="E12461" s="1276">
        <f>[11]building!Y12792</f>
        <v>0</v>
      </c>
      <c r="F12461" s="748">
        <f t="shared" si="433"/>
        <v>0</v>
      </c>
      <c r="G12461" s="1205"/>
      <c r="H12461" s="1055"/>
      <c r="I12461" s="1055"/>
      <c r="J12461" s="1055"/>
      <c r="K12461" s="1205"/>
      <c r="L12461" s="1055"/>
      <c r="M12461" s="1205"/>
      <c r="N12461" s="1054"/>
      <c r="O12461" s="1207"/>
      <c r="Q12461" s="1207"/>
    </row>
    <row r="12462" spans="3:17" s="700" customFormat="1" ht="70.5" hidden="1" customHeight="1">
      <c r="C12462" s="701"/>
      <c r="D12462" s="811"/>
      <c r="E12462" s="1276">
        <f>[11]building!Y12793</f>
        <v>0</v>
      </c>
      <c r="F12462" s="748">
        <f t="shared" si="433"/>
        <v>0</v>
      </c>
      <c r="G12462" s="1205"/>
      <c r="H12462" s="1055"/>
      <c r="I12462" s="1055"/>
      <c r="J12462" s="1055"/>
      <c r="K12462" s="1205"/>
      <c r="L12462" s="1055"/>
      <c r="M12462" s="1205"/>
      <c r="N12462" s="1054"/>
      <c r="O12462" s="1207"/>
      <c r="Q12462" s="1207"/>
    </row>
    <row r="12463" spans="3:17" s="700" customFormat="1" ht="70.5" hidden="1" customHeight="1">
      <c r="C12463" s="701"/>
      <c r="D12463" s="811"/>
      <c r="E12463" s="1276">
        <f>[11]building!Y12794</f>
        <v>0</v>
      </c>
      <c r="F12463" s="748">
        <f t="shared" si="433"/>
        <v>0</v>
      </c>
      <c r="G12463" s="1205"/>
      <c r="H12463" s="1055"/>
      <c r="I12463" s="1055"/>
      <c r="J12463" s="1055"/>
      <c r="K12463" s="1205"/>
      <c r="L12463" s="1055"/>
      <c r="M12463" s="1205"/>
      <c r="N12463" s="1054"/>
      <c r="O12463" s="1207"/>
      <c r="Q12463" s="1207"/>
    </row>
    <row r="12464" spans="3:17" s="700" customFormat="1" ht="70.5" hidden="1" customHeight="1">
      <c r="C12464" s="701"/>
      <c r="D12464" s="811"/>
      <c r="E12464" s="1276">
        <f>[11]building!Y12795</f>
        <v>0</v>
      </c>
      <c r="F12464" s="748">
        <f t="shared" si="433"/>
        <v>0</v>
      </c>
      <c r="G12464" s="1205"/>
      <c r="H12464" s="1055"/>
      <c r="I12464" s="1055"/>
      <c r="J12464" s="1055"/>
      <c r="K12464" s="1205"/>
      <c r="L12464" s="1055"/>
      <c r="M12464" s="1205"/>
      <c r="N12464" s="1054"/>
      <c r="O12464" s="1207"/>
      <c r="Q12464" s="1207"/>
    </row>
    <row r="12465" spans="3:17" s="700" customFormat="1" ht="70.5" hidden="1" customHeight="1">
      <c r="C12465" s="701"/>
      <c r="D12465" s="811"/>
      <c r="E12465" s="1276">
        <f>[11]building!Y12796</f>
        <v>0</v>
      </c>
      <c r="F12465" s="748">
        <f t="shared" si="433"/>
        <v>0</v>
      </c>
      <c r="G12465" s="1205"/>
      <c r="H12465" s="1055"/>
      <c r="I12465" s="1055"/>
      <c r="J12465" s="1055"/>
      <c r="K12465" s="1205"/>
      <c r="L12465" s="1055"/>
      <c r="M12465" s="1205"/>
      <c r="N12465" s="1054"/>
      <c r="O12465" s="1207"/>
      <c r="Q12465" s="1207"/>
    </row>
    <row r="12466" spans="3:17" s="700" customFormat="1" ht="70.5" hidden="1" customHeight="1">
      <c r="C12466" s="701"/>
      <c r="D12466" s="811"/>
      <c r="E12466" s="1276">
        <f>[11]building!Y12797</f>
        <v>0</v>
      </c>
      <c r="F12466" s="748">
        <f t="shared" si="433"/>
        <v>0</v>
      </c>
      <c r="G12466" s="1205"/>
      <c r="H12466" s="1055"/>
      <c r="I12466" s="1055"/>
      <c r="J12466" s="1055"/>
      <c r="K12466" s="1205"/>
      <c r="L12466" s="1055"/>
      <c r="M12466" s="1205"/>
      <c r="N12466" s="1054"/>
      <c r="O12466" s="1207"/>
      <c r="Q12466" s="1207"/>
    </row>
    <row r="12467" spans="3:17" s="700" customFormat="1" ht="70.5" hidden="1" customHeight="1">
      <c r="C12467" s="701"/>
      <c r="D12467" s="811"/>
      <c r="E12467" s="1276">
        <f>[11]building!Y12798</f>
        <v>0</v>
      </c>
      <c r="F12467" s="748">
        <f t="shared" si="433"/>
        <v>0</v>
      </c>
      <c r="G12467" s="1205"/>
      <c r="H12467" s="1055"/>
      <c r="I12467" s="1055"/>
      <c r="J12467" s="1055"/>
      <c r="K12467" s="1205"/>
      <c r="L12467" s="1055"/>
      <c r="M12467" s="1205"/>
      <c r="N12467" s="1054"/>
      <c r="O12467" s="1207"/>
      <c r="Q12467" s="1207"/>
    </row>
    <row r="12468" spans="3:17" s="700" customFormat="1" ht="70.5" hidden="1" customHeight="1">
      <c r="C12468" s="701"/>
      <c r="D12468" s="811"/>
      <c r="E12468" s="1276">
        <f>[11]building!Y12799</f>
        <v>0</v>
      </c>
      <c r="F12468" s="748">
        <f t="shared" si="433"/>
        <v>0</v>
      </c>
      <c r="G12468" s="1205"/>
      <c r="H12468" s="1055"/>
      <c r="I12468" s="1055"/>
      <c r="J12468" s="1055"/>
      <c r="K12468" s="1205"/>
      <c r="L12468" s="1055"/>
      <c r="M12468" s="1205"/>
      <c r="N12468" s="1054"/>
      <c r="O12468" s="1207"/>
      <c r="Q12468" s="1207"/>
    </row>
    <row r="12469" spans="3:17" s="700" customFormat="1" ht="70.5" hidden="1" customHeight="1">
      <c r="C12469" s="701"/>
      <c r="D12469" s="811"/>
      <c r="E12469" s="1276">
        <f>[11]building!Y12800</f>
        <v>0</v>
      </c>
      <c r="F12469" s="748">
        <f t="shared" si="433"/>
        <v>0</v>
      </c>
      <c r="G12469" s="1205"/>
      <c r="H12469" s="1055"/>
      <c r="I12469" s="1055"/>
      <c r="J12469" s="1055"/>
      <c r="K12469" s="1205"/>
      <c r="L12469" s="1055"/>
      <c r="M12469" s="1205"/>
      <c r="N12469" s="1054"/>
      <c r="O12469" s="1207"/>
      <c r="Q12469" s="1207"/>
    </row>
    <row r="12470" spans="3:17" s="700" customFormat="1" ht="70.5" hidden="1" customHeight="1">
      <c r="C12470" s="701"/>
      <c r="D12470" s="811"/>
      <c r="E12470" s="1276">
        <f>[11]building!Y12801</f>
        <v>0</v>
      </c>
      <c r="F12470" s="748">
        <f t="shared" si="433"/>
        <v>0</v>
      </c>
      <c r="G12470" s="1205"/>
      <c r="H12470" s="1055"/>
      <c r="I12470" s="1055"/>
      <c r="J12470" s="1055"/>
      <c r="K12470" s="1205"/>
      <c r="L12470" s="1055"/>
      <c r="M12470" s="1205"/>
      <c r="N12470" s="1054"/>
      <c r="O12470" s="1207"/>
      <c r="Q12470" s="1207"/>
    </row>
    <row r="12471" spans="3:17" s="700" customFormat="1" ht="70.5" hidden="1" customHeight="1">
      <c r="C12471" s="701"/>
      <c r="D12471" s="811"/>
      <c r="E12471" s="1276">
        <f>[11]building!Y12802</f>
        <v>0</v>
      </c>
      <c r="F12471" s="748">
        <f t="shared" si="433"/>
        <v>0</v>
      </c>
      <c r="G12471" s="1205"/>
      <c r="H12471" s="1055"/>
      <c r="I12471" s="1055"/>
      <c r="J12471" s="1055"/>
      <c r="K12471" s="1205"/>
      <c r="L12471" s="1055"/>
      <c r="M12471" s="1205"/>
      <c r="N12471" s="1054"/>
      <c r="O12471" s="1207"/>
      <c r="Q12471" s="1207"/>
    </row>
    <row r="12472" spans="3:17" s="700" customFormat="1" ht="70.5" hidden="1" customHeight="1">
      <c r="C12472" s="701"/>
      <c r="D12472" s="811"/>
      <c r="E12472" s="1276">
        <f>[11]building!Y12803</f>
        <v>0</v>
      </c>
      <c r="F12472" s="748">
        <f t="shared" si="433"/>
        <v>0</v>
      </c>
      <c r="G12472" s="1205"/>
      <c r="H12472" s="1055"/>
      <c r="I12472" s="1055"/>
      <c r="J12472" s="1055"/>
      <c r="K12472" s="1205"/>
      <c r="L12472" s="1055"/>
      <c r="M12472" s="1205"/>
      <c r="N12472" s="1054"/>
      <c r="O12472" s="1207"/>
      <c r="Q12472" s="1207"/>
    </row>
    <row r="12473" spans="3:17" s="700" customFormat="1" ht="70.5" hidden="1" customHeight="1">
      <c r="C12473" s="701"/>
      <c r="D12473" s="811"/>
      <c r="E12473" s="1276">
        <f>[11]building!Y12804</f>
        <v>0</v>
      </c>
      <c r="F12473" s="748">
        <f t="shared" si="433"/>
        <v>0</v>
      </c>
      <c r="G12473" s="1205"/>
      <c r="H12473" s="1055"/>
      <c r="I12473" s="1055"/>
      <c r="J12473" s="1055"/>
      <c r="K12473" s="1205"/>
      <c r="L12473" s="1055"/>
      <c r="M12473" s="1205"/>
      <c r="N12473" s="1054"/>
      <c r="O12473" s="1207"/>
      <c r="Q12473" s="1207"/>
    </row>
    <row r="12474" spans="3:17" s="700" customFormat="1" ht="70.5" hidden="1" customHeight="1">
      <c r="C12474" s="701"/>
      <c r="D12474" s="811"/>
      <c r="E12474" s="1276">
        <f>[11]building!Y12805</f>
        <v>0</v>
      </c>
      <c r="F12474" s="748">
        <f t="shared" si="433"/>
        <v>0</v>
      </c>
      <c r="G12474" s="1205"/>
      <c r="H12474" s="1055"/>
      <c r="I12474" s="1055"/>
      <c r="J12474" s="1055"/>
      <c r="K12474" s="1205"/>
      <c r="L12474" s="1055"/>
      <c r="M12474" s="1205"/>
      <c r="N12474" s="1054"/>
      <c r="O12474" s="1207"/>
      <c r="Q12474" s="1207"/>
    </row>
    <row r="12475" spans="3:17" s="700" customFormat="1" ht="70.5" hidden="1" customHeight="1">
      <c r="C12475" s="701"/>
      <c r="D12475" s="811"/>
      <c r="E12475" s="1276">
        <f>[11]building!Y12806</f>
        <v>0</v>
      </c>
      <c r="F12475" s="748">
        <f t="shared" si="433"/>
        <v>0</v>
      </c>
      <c r="G12475" s="1205"/>
      <c r="H12475" s="1055"/>
      <c r="I12475" s="1055"/>
      <c r="J12475" s="1055"/>
      <c r="K12475" s="1205"/>
      <c r="L12475" s="1055"/>
      <c r="M12475" s="1205"/>
      <c r="N12475" s="1054"/>
      <c r="O12475" s="1207"/>
      <c r="Q12475" s="1207"/>
    </row>
    <row r="12476" spans="3:17" s="700" customFormat="1" ht="70.5" hidden="1" customHeight="1">
      <c r="C12476" s="701"/>
      <c r="D12476" s="811"/>
      <c r="E12476" s="1276">
        <f>[11]building!Y12807</f>
        <v>0</v>
      </c>
      <c r="F12476" s="748">
        <f t="shared" si="433"/>
        <v>0</v>
      </c>
      <c r="G12476" s="1205"/>
      <c r="H12476" s="1055"/>
      <c r="I12476" s="1055"/>
      <c r="J12476" s="1055"/>
      <c r="K12476" s="1205"/>
      <c r="L12476" s="1055"/>
      <c r="M12476" s="1205"/>
      <c r="N12476" s="1054"/>
      <c r="O12476" s="1207"/>
      <c r="Q12476" s="1207"/>
    </row>
    <row r="12477" spans="3:17" s="700" customFormat="1" ht="70.5" hidden="1" customHeight="1">
      <c r="C12477" s="701"/>
      <c r="D12477" s="811"/>
      <c r="E12477" s="1276">
        <f>[11]building!Y12808</f>
        <v>0</v>
      </c>
      <c r="F12477" s="748">
        <f t="shared" si="433"/>
        <v>0</v>
      </c>
      <c r="G12477" s="1205"/>
      <c r="H12477" s="1055"/>
      <c r="I12477" s="1055"/>
      <c r="J12477" s="1055"/>
      <c r="K12477" s="1205"/>
      <c r="L12477" s="1055"/>
      <c r="M12477" s="1205"/>
      <c r="N12477" s="1054"/>
      <c r="O12477" s="1207"/>
      <c r="Q12477" s="1207"/>
    </row>
    <row r="12478" spans="3:17" s="700" customFormat="1" ht="70.5" hidden="1" customHeight="1">
      <c r="C12478" s="701"/>
      <c r="D12478" s="811"/>
      <c r="E12478" s="1276">
        <f>[11]building!Y12809</f>
        <v>0</v>
      </c>
      <c r="F12478" s="748">
        <f t="shared" si="433"/>
        <v>0</v>
      </c>
      <c r="G12478" s="1205"/>
      <c r="H12478" s="1055"/>
      <c r="I12478" s="1055"/>
      <c r="J12478" s="1055"/>
      <c r="K12478" s="1205"/>
      <c r="L12478" s="1055"/>
      <c r="M12478" s="1205"/>
      <c r="N12478" s="1054"/>
      <c r="O12478" s="1207"/>
      <c r="Q12478" s="1207"/>
    </row>
    <row r="12479" spans="3:17" s="700" customFormat="1" ht="70.5" hidden="1" customHeight="1">
      <c r="C12479" s="701"/>
      <c r="D12479" s="811"/>
      <c r="E12479" s="1276">
        <f>[11]building!Y12810</f>
        <v>0</v>
      </c>
      <c r="F12479" s="748">
        <f t="shared" si="433"/>
        <v>0</v>
      </c>
      <c r="G12479" s="1205"/>
      <c r="H12479" s="1055"/>
      <c r="I12479" s="1055"/>
      <c r="J12479" s="1055"/>
      <c r="K12479" s="1205"/>
      <c r="L12479" s="1055"/>
      <c r="M12479" s="1205"/>
      <c r="N12479" s="1054"/>
      <c r="O12479" s="1207"/>
      <c r="Q12479" s="1207"/>
    </row>
    <row r="12480" spans="3:17" s="700" customFormat="1" ht="70.5" hidden="1" customHeight="1">
      <c r="C12480" s="701"/>
      <c r="D12480" s="811"/>
      <c r="E12480" s="1276">
        <f>[11]building!Y12811</f>
        <v>0</v>
      </c>
      <c r="F12480" s="748">
        <f t="shared" ref="F12480:F12543" si="434">E12480*C12480</f>
        <v>0</v>
      </c>
      <c r="G12480" s="1205"/>
      <c r="H12480" s="1055"/>
      <c r="I12480" s="1055"/>
      <c r="J12480" s="1055"/>
      <c r="K12480" s="1205"/>
      <c r="L12480" s="1055"/>
      <c r="M12480" s="1205"/>
      <c r="N12480" s="1054"/>
      <c r="O12480" s="1207"/>
      <c r="Q12480" s="1207"/>
    </row>
    <row r="12481" spans="3:17" s="700" customFormat="1" ht="70.5" hidden="1" customHeight="1">
      <c r="C12481" s="701"/>
      <c r="D12481" s="811"/>
      <c r="E12481" s="1276">
        <f>[11]building!Y12812</f>
        <v>0</v>
      </c>
      <c r="F12481" s="748">
        <f t="shared" si="434"/>
        <v>0</v>
      </c>
      <c r="G12481" s="1205"/>
      <c r="H12481" s="1055"/>
      <c r="I12481" s="1055"/>
      <c r="J12481" s="1055"/>
      <c r="K12481" s="1205"/>
      <c r="L12481" s="1055"/>
      <c r="M12481" s="1205"/>
      <c r="N12481" s="1054"/>
      <c r="O12481" s="1207"/>
      <c r="Q12481" s="1207"/>
    </row>
    <row r="12482" spans="3:17" s="700" customFormat="1" ht="70.5" hidden="1" customHeight="1">
      <c r="C12482" s="701"/>
      <c r="D12482" s="811"/>
      <c r="E12482" s="1276">
        <f>[11]building!Y12813</f>
        <v>0</v>
      </c>
      <c r="F12482" s="748">
        <f t="shared" si="434"/>
        <v>0</v>
      </c>
      <c r="G12482" s="1205"/>
      <c r="H12482" s="1055"/>
      <c r="I12482" s="1055"/>
      <c r="J12482" s="1055"/>
      <c r="K12482" s="1205"/>
      <c r="L12482" s="1055"/>
      <c r="M12482" s="1205"/>
      <c r="N12482" s="1054"/>
      <c r="O12482" s="1207"/>
      <c r="Q12482" s="1207"/>
    </row>
    <row r="12483" spans="3:17" s="700" customFormat="1" ht="70.5" hidden="1" customHeight="1">
      <c r="C12483" s="701"/>
      <c r="D12483" s="811"/>
      <c r="E12483" s="1276">
        <f>[11]building!Y12814</f>
        <v>0</v>
      </c>
      <c r="F12483" s="748">
        <f t="shared" si="434"/>
        <v>0</v>
      </c>
      <c r="G12483" s="1205"/>
      <c r="H12483" s="1055"/>
      <c r="I12483" s="1055"/>
      <c r="J12483" s="1055"/>
      <c r="K12483" s="1205"/>
      <c r="L12483" s="1055"/>
      <c r="M12483" s="1205"/>
      <c r="N12483" s="1054"/>
      <c r="O12483" s="1207"/>
      <c r="Q12483" s="1207"/>
    </row>
    <row r="12484" spans="3:17" s="700" customFormat="1" ht="70.5" hidden="1" customHeight="1">
      <c r="C12484" s="701"/>
      <c r="D12484" s="811"/>
      <c r="E12484" s="1276">
        <f>[11]building!Y12815</f>
        <v>0</v>
      </c>
      <c r="F12484" s="748">
        <f t="shared" si="434"/>
        <v>0</v>
      </c>
      <c r="G12484" s="1205"/>
      <c r="H12484" s="1055"/>
      <c r="I12484" s="1055"/>
      <c r="J12484" s="1055"/>
      <c r="K12484" s="1205"/>
      <c r="L12484" s="1055"/>
      <c r="M12484" s="1205"/>
      <c r="N12484" s="1054"/>
      <c r="O12484" s="1207"/>
      <c r="Q12484" s="1207"/>
    </row>
    <row r="12485" spans="3:17" s="700" customFormat="1" ht="70.5" hidden="1" customHeight="1">
      <c r="C12485" s="701"/>
      <c r="D12485" s="811"/>
      <c r="E12485" s="1276">
        <f>[11]building!Y12816</f>
        <v>0</v>
      </c>
      <c r="F12485" s="748">
        <f t="shared" si="434"/>
        <v>0</v>
      </c>
      <c r="G12485" s="1205"/>
      <c r="H12485" s="1055"/>
      <c r="I12485" s="1055"/>
      <c r="J12485" s="1055"/>
      <c r="K12485" s="1205"/>
      <c r="L12485" s="1055"/>
      <c r="M12485" s="1205"/>
      <c r="N12485" s="1054"/>
      <c r="O12485" s="1207"/>
      <c r="Q12485" s="1207"/>
    </row>
    <row r="12486" spans="3:17" s="700" customFormat="1" ht="70.5" hidden="1" customHeight="1">
      <c r="C12486" s="701"/>
      <c r="D12486" s="811"/>
      <c r="E12486" s="1276">
        <f>[11]building!Y12817</f>
        <v>0</v>
      </c>
      <c r="F12486" s="748">
        <f t="shared" si="434"/>
        <v>0</v>
      </c>
      <c r="G12486" s="1205"/>
      <c r="H12486" s="1055"/>
      <c r="I12486" s="1055"/>
      <c r="J12486" s="1055"/>
      <c r="K12486" s="1205"/>
      <c r="L12486" s="1055"/>
      <c r="M12486" s="1205"/>
      <c r="N12486" s="1054"/>
      <c r="O12486" s="1207"/>
      <c r="Q12486" s="1207"/>
    </row>
    <row r="12487" spans="3:17" s="700" customFormat="1" ht="70.5" hidden="1" customHeight="1">
      <c r="C12487" s="701"/>
      <c r="D12487" s="811"/>
      <c r="E12487" s="1276">
        <f>[11]building!Y12818</f>
        <v>0</v>
      </c>
      <c r="F12487" s="748">
        <f t="shared" si="434"/>
        <v>0</v>
      </c>
      <c r="G12487" s="1205"/>
      <c r="H12487" s="1055"/>
      <c r="I12487" s="1055"/>
      <c r="J12487" s="1055"/>
      <c r="K12487" s="1205"/>
      <c r="L12487" s="1055"/>
      <c r="M12487" s="1205"/>
      <c r="N12487" s="1054"/>
      <c r="O12487" s="1207"/>
      <c r="Q12487" s="1207"/>
    </row>
    <row r="12488" spans="3:17" s="700" customFormat="1" ht="70.5" hidden="1" customHeight="1">
      <c r="C12488" s="701"/>
      <c r="D12488" s="811"/>
      <c r="E12488" s="1276">
        <f>[11]building!Y12819</f>
        <v>0</v>
      </c>
      <c r="F12488" s="748">
        <f t="shared" si="434"/>
        <v>0</v>
      </c>
      <c r="G12488" s="1205"/>
      <c r="H12488" s="1055"/>
      <c r="I12488" s="1055"/>
      <c r="J12488" s="1055"/>
      <c r="K12488" s="1205"/>
      <c r="L12488" s="1055"/>
      <c r="M12488" s="1205"/>
      <c r="N12488" s="1054"/>
      <c r="O12488" s="1207"/>
      <c r="Q12488" s="1207"/>
    </row>
    <row r="12489" spans="3:17" s="700" customFormat="1" ht="70.5" hidden="1" customHeight="1">
      <c r="C12489" s="701"/>
      <c r="D12489" s="811"/>
      <c r="E12489" s="1276">
        <f>[11]building!Y12820</f>
        <v>0</v>
      </c>
      <c r="F12489" s="748">
        <f t="shared" si="434"/>
        <v>0</v>
      </c>
      <c r="G12489" s="1205"/>
      <c r="H12489" s="1055"/>
      <c r="I12489" s="1055"/>
      <c r="J12489" s="1055"/>
      <c r="K12489" s="1205"/>
      <c r="L12489" s="1055"/>
      <c r="M12489" s="1205"/>
      <c r="N12489" s="1054"/>
      <c r="O12489" s="1207"/>
      <c r="Q12489" s="1207"/>
    </row>
    <row r="12490" spans="3:17" s="700" customFormat="1" ht="70.5" hidden="1" customHeight="1">
      <c r="C12490" s="701"/>
      <c r="D12490" s="811"/>
      <c r="E12490" s="1276">
        <f>[11]building!Y12821</f>
        <v>0</v>
      </c>
      <c r="F12490" s="748">
        <f t="shared" si="434"/>
        <v>0</v>
      </c>
      <c r="G12490" s="1205"/>
      <c r="H12490" s="1055"/>
      <c r="I12490" s="1055"/>
      <c r="J12490" s="1055"/>
      <c r="K12490" s="1205"/>
      <c r="L12490" s="1055"/>
      <c r="M12490" s="1205"/>
      <c r="N12490" s="1054"/>
      <c r="O12490" s="1207"/>
      <c r="Q12490" s="1207"/>
    </row>
    <row r="12491" spans="3:17" s="700" customFormat="1" ht="70.5" hidden="1" customHeight="1">
      <c r="C12491" s="701"/>
      <c r="D12491" s="811"/>
      <c r="E12491" s="1276">
        <f>[11]building!Y12822</f>
        <v>0</v>
      </c>
      <c r="F12491" s="748">
        <f t="shared" si="434"/>
        <v>0</v>
      </c>
      <c r="G12491" s="1205"/>
      <c r="H12491" s="1055"/>
      <c r="I12491" s="1055"/>
      <c r="J12491" s="1055"/>
      <c r="K12491" s="1205"/>
      <c r="L12491" s="1055"/>
      <c r="M12491" s="1205"/>
      <c r="N12491" s="1054"/>
      <c r="O12491" s="1207"/>
      <c r="Q12491" s="1207"/>
    </row>
    <row r="12492" spans="3:17" s="700" customFormat="1" ht="70.5" hidden="1" customHeight="1">
      <c r="C12492" s="701"/>
      <c r="D12492" s="811"/>
      <c r="E12492" s="1276">
        <f>[11]building!Y12823</f>
        <v>0</v>
      </c>
      <c r="F12492" s="748">
        <f t="shared" si="434"/>
        <v>0</v>
      </c>
      <c r="G12492" s="1205"/>
      <c r="H12492" s="1055"/>
      <c r="I12492" s="1055"/>
      <c r="J12492" s="1055"/>
      <c r="K12492" s="1205"/>
      <c r="L12492" s="1055"/>
      <c r="M12492" s="1205"/>
      <c r="N12492" s="1054"/>
      <c r="O12492" s="1207"/>
      <c r="Q12492" s="1207"/>
    </row>
    <row r="12493" spans="3:17" s="700" customFormat="1" ht="70.5" hidden="1" customHeight="1">
      <c r="C12493" s="701"/>
      <c r="D12493" s="811"/>
      <c r="E12493" s="1276">
        <f>[11]building!Y12824</f>
        <v>0</v>
      </c>
      <c r="F12493" s="748">
        <f t="shared" si="434"/>
        <v>0</v>
      </c>
      <c r="G12493" s="1205"/>
      <c r="H12493" s="1055"/>
      <c r="I12493" s="1055"/>
      <c r="J12493" s="1055"/>
      <c r="K12493" s="1205"/>
      <c r="L12493" s="1055"/>
      <c r="M12493" s="1205"/>
      <c r="N12493" s="1054"/>
      <c r="O12493" s="1207"/>
      <c r="Q12493" s="1207"/>
    </row>
    <row r="12494" spans="3:17" s="700" customFormat="1" ht="70.5" hidden="1" customHeight="1">
      <c r="C12494" s="701"/>
      <c r="D12494" s="811"/>
      <c r="E12494" s="1276">
        <f>[11]building!Y12825</f>
        <v>0</v>
      </c>
      <c r="F12494" s="748">
        <f t="shared" si="434"/>
        <v>0</v>
      </c>
      <c r="G12494" s="1205"/>
      <c r="H12494" s="1055"/>
      <c r="I12494" s="1055"/>
      <c r="J12494" s="1055"/>
      <c r="K12494" s="1205"/>
      <c r="L12494" s="1055"/>
      <c r="M12494" s="1205"/>
      <c r="N12494" s="1054"/>
      <c r="O12494" s="1207"/>
      <c r="Q12494" s="1207"/>
    </row>
    <row r="12495" spans="3:17" s="700" customFormat="1" ht="70.5" hidden="1" customHeight="1">
      <c r="C12495" s="701"/>
      <c r="D12495" s="811"/>
      <c r="E12495" s="1276">
        <f>[11]building!Y12826</f>
        <v>0</v>
      </c>
      <c r="F12495" s="748">
        <f t="shared" si="434"/>
        <v>0</v>
      </c>
      <c r="G12495" s="1205"/>
      <c r="H12495" s="1055"/>
      <c r="I12495" s="1055"/>
      <c r="J12495" s="1055"/>
      <c r="K12495" s="1205"/>
      <c r="L12495" s="1055"/>
      <c r="M12495" s="1205"/>
      <c r="N12495" s="1054"/>
      <c r="O12495" s="1207"/>
      <c r="Q12495" s="1207"/>
    </row>
    <row r="12496" spans="3:17" s="700" customFormat="1" ht="70.5" hidden="1" customHeight="1">
      <c r="C12496" s="701"/>
      <c r="D12496" s="811"/>
      <c r="E12496" s="1276">
        <f>[11]building!Y12827</f>
        <v>0</v>
      </c>
      <c r="F12496" s="748">
        <f t="shared" si="434"/>
        <v>0</v>
      </c>
      <c r="G12496" s="1205"/>
      <c r="H12496" s="1055"/>
      <c r="I12496" s="1055"/>
      <c r="J12496" s="1055"/>
      <c r="K12496" s="1205"/>
      <c r="L12496" s="1055"/>
      <c r="M12496" s="1205"/>
      <c r="N12496" s="1054"/>
      <c r="O12496" s="1207"/>
      <c r="Q12496" s="1207"/>
    </row>
    <row r="12497" spans="3:17" s="700" customFormat="1" ht="70.5" hidden="1" customHeight="1">
      <c r="C12497" s="701"/>
      <c r="D12497" s="811"/>
      <c r="E12497" s="1276">
        <f>[11]building!Y12828</f>
        <v>0</v>
      </c>
      <c r="F12497" s="748">
        <f t="shared" si="434"/>
        <v>0</v>
      </c>
      <c r="G12497" s="1205"/>
      <c r="H12497" s="1055"/>
      <c r="I12497" s="1055"/>
      <c r="J12497" s="1055"/>
      <c r="K12497" s="1205"/>
      <c r="L12497" s="1055"/>
      <c r="M12497" s="1205"/>
      <c r="N12497" s="1054"/>
      <c r="O12497" s="1207"/>
      <c r="Q12497" s="1207"/>
    </row>
    <row r="12498" spans="3:17" s="700" customFormat="1" ht="70.5" hidden="1" customHeight="1">
      <c r="C12498" s="701"/>
      <c r="D12498" s="811"/>
      <c r="E12498" s="1276">
        <f>[11]building!Y12829</f>
        <v>0</v>
      </c>
      <c r="F12498" s="748">
        <f t="shared" si="434"/>
        <v>0</v>
      </c>
      <c r="G12498" s="1205"/>
      <c r="H12498" s="1055"/>
      <c r="I12498" s="1055"/>
      <c r="J12498" s="1055"/>
      <c r="K12498" s="1205"/>
      <c r="L12498" s="1055"/>
      <c r="M12498" s="1205"/>
      <c r="N12498" s="1054"/>
      <c r="O12498" s="1207"/>
      <c r="Q12498" s="1207"/>
    </row>
    <row r="12499" spans="3:17" s="700" customFormat="1" ht="70.5" hidden="1" customHeight="1">
      <c r="C12499" s="701"/>
      <c r="D12499" s="811"/>
      <c r="E12499" s="1276">
        <f>[11]building!Y12830</f>
        <v>0</v>
      </c>
      <c r="F12499" s="748">
        <f t="shared" si="434"/>
        <v>0</v>
      </c>
      <c r="G12499" s="1205"/>
      <c r="H12499" s="1055"/>
      <c r="I12499" s="1055"/>
      <c r="J12499" s="1055"/>
      <c r="K12499" s="1205"/>
      <c r="L12499" s="1055"/>
      <c r="M12499" s="1205"/>
      <c r="N12499" s="1054"/>
      <c r="O12499" s="1207"/>
      <c r="Q12499" s="1207"/>
    </row>
    <row r="12500" spans="3:17" s="700" customFormat="1" ht="70.5" hidden="1" customHeight="1">
      <c r="C12500" s="701"/>
      <c r="D12500" s="811"/>
      <c r="E12500" s="1276">
        <f>[11]building!Y12831</f>
        <v>0</v>
      </c>
      <c r="F12500" s="748">
        <f t="shared" si="434"/>
        <v>0</v>
      </c>
      <c r="G12500" s="1205"/>
      <c r="H12500" s="1055"/>
      <c r="I12500" s="1055"/>
      <c r="J12500" s="1055"/>
      <c r="K12500" s="1205"/>
      <c r="L12500" s="1055"/>
      <c r="M12500" s="1205"/>
      <c r="N12500" s="1054"/>
      <c r="O12500" s="1207"/>
      <c r="Q12500" s="1207"/>
    </row>
    <row r="12501" spans="3:17" s="700" customFormat="1" ht="70.5" hidden="1" customHeight="1">
      <c r="C12501" s="701"/>
      <c r="D12501" s="811"/>
      <c r="E12501" s="1276">
        <f>[11]building!Y12832</f>
        <v>0</v>
      </c>
      <c r="F12501" s="748">
        <f t="shared" si="434"/>
        <v>0</v>
      </c>
      <c r="G12501" s="1205"/>
      <c r="H12501" s="1055"/>
      <c r="I12501" s="1055"/>
      <c r="J12501" s="1055"/>
      <c r="K12501" s="1205"/>
      <c r="L12501" s="1055"/>
      <c r="M12501" s="1205"/>
      <c r="N12501" s="1054"/>
      <c r="O12501" s="1207"/>
      <c r="Q12501" s="1207"/>
    </row>
    <row r="12502" spans="3:17" s="700" customFormat="1" ht="70.5" hidden="1" customHeight="1">
      <c r="C12502" s="701"/>
      <c r="D12502" s="811"/>
      <c r="E12502" s="1276">
        <f>[11]building!Y12833</f>
        <v>0</v>
      </c>
      <c r="F12502" s="748">
        <f t="shared" si="434"/>
        <v>0</v>
      </c>
      <c r="G12502" s="1205"/>
      <c r="H12502" s="1055"/>
      <c r="I12502" s="1055"/>
      <c r="J12502" s="1055"/>
      <c r="K12502" s="1205"/>
      <c r="L12502" s="1055"/>
      <c r="M12502" s="1205"/>
      <c r="N12502" s="1054"/>
      <c r="O12502" s="1207"/>
      <c r="Q12502" s="1207"/>
    </row>
    <row r="12503" spans="3:17" s="700" customFormat="1" ht="70.5" hidden="1" customHeight="1">
      <c r="C12503" s="701"/>
      <c r="D12503" s="811"/>
      <c r="E12503" s="1276">
        <f>[11]building!Y12834</f>
        <v>0</v>
      </c>
      <c r="F12503" s="748">
        <f t="shared" si="434"/>
        <v>0</v>
      </c>
      <c r="G12503" s="1205"/>
      <c r="H12503" s="1055"/>
      <c r="I12503" s="1055"/>
      <c r="J12503" s="1055"/>
      <c r="K12503" s="1205"/>
      <c r="L12503" s="1055"/>
      <c r="M12503" s="1205"/>
      <c r="N12503" s="1054"/>
      <c r="O12503" s="1207"/>
      <c r="Q12503" s="1207"/>
    </row>
    <row r="12504" spans="3:17" s="700" customFormat="1" ht="70.5" hidden="1" customHeight="1">
      <c r="C12504" s="701"/>
      <c r="D12504" s="811"/>
      <c r="E12504" s="1276">
        <f>[11]building!Y12835</f>
        <v>0</v>
      </c>
      <c r="F12504" s="748">
        <f t="shared" si="434"/>
        <v>0</v>
      </c>
      <c r="G12504" s="1205"/>
      <c r="H12504" s="1055"/>
      <c r="I12504" s="1055"/>
      <c r="J12504" s="1055"/>
      <c r="K12504" s="1205"/>
      <c r="L12504" s="1055"/>
      <c r="M12504" s="1205"/>
      <c r="N12504" s="1054"/>
      <c r="O12504" s="1207"/>
      <c r="Q12504" s="1207"/>
    </row>
    <row r="12505" spans="3:17" s="700" customFormat="1" ht="70.5" hidden="1" customHeight="1">
      <c r="C12505" s="701"/>
      <c r="D12505" s="811"/>
      <c r="E12505" s="1276">
        <f>[11]building!Y12836</f>
        <v>0</v>
      </c>
      <c r="F12505" s="748">
        <f t="shared" si="434"/>
        <v>0</v>
      </c>
      <c r="G12505" s="1205"/>
      <c r="H12505" s="1055"/>
      <c r="I12505" s="1055"/>
      <c r="J12505" s="1055"/>
      <c r="K12505" s="1205"/>
      <c r="L12505" s="1055"/>
      <c r="M12505" s="1205"/>
      <c r="N12505" s="1054"/>
      <c r="O12505" s="1207"/>
      <c r="Q12505" s="1207"/>
    </row>
    <row r="12506" spans="3:17" s="700" customFormat="1" ht="70.5" hidden="1" customHeight="1">
      <c r="C12506" s="701"/>
      <c r="D12506" s="811"/>
      <c r="E12506" s="1276">
        <f>[11]building!Y12837</f>
        <v>0</v>
      </c>
      <c r="F12506" s="748">
        <f t="shared" si="434"/>
        <v>0</v>
      </c>
      <c r="G12506" s="1205"/>
      <c r="H12506" s="1055"/>
      <c r="I12506" s="1055"/>
      <c r="J12506" s="1055"/>
      <c r="K12506" s="1205"/>
      <c r="L12506" s="1055"/>
      <c r="M12506" s="1205"/>
      <c r="N12506" s="1054"/>
      <c r="O12506" s="1207"/>
      <c r="Q12506" s="1207"/>
    </row>
    <row r="12507" spans="3:17" s="700" customFormat="1" ht="70.5" hidden="1" customHeight="1">
      <c r="C12507" s="701"/>
      <c r="D12507" s="811"/>
      <c r="E12507" s="1276">
        <f>[11]building!Y12838</f>
        <v>0</v>
      </c>
      <c r="F12507" s="748">
        <f t="shared" si="434"/>
        <v>0</v>
      </c>
      <c r="G12507" s="1205"/>
      <c r="H12507" s="1055"/>
      <c r="I12507" s="1055"/>
      <c r="J12507" s="1055"/>
      <c r="K12507" s="1205"/>
      <c r="L12507" s="1055"/>
      <c r="M12507" s="1205"/>
      <c r="N12507" s="1054"/>
      <c r="O12507" s="1207"/>
      <c r="Q12507" s="1207"/>
    </row>
    <row r="12508" spans="3:17" s="700" customFormat="1" ht="70.5" hidden="1" customHeight="1">
      <c r="C12508" s="701"/>
      <c r="D12508" s="811"/>
      <c r="E12508" s="1276">
        <f>[11]building!Y12839</f>
        <v>0</v>
      </c>
      <c r="F12508" s="748">
        <f t="shared" si="434"/>
        <v>0</v>
      </c>
      <c r="G12508" s="1205"/>
      <c r="H12508" s="1055"/>
      <c r="I12508" s="1055"/>
      <c r="J12508" s="1055"/>
      <c r="K12508" s="1205"/>
      <c r="L12508" s="1055"/>
      <c r="M12508" s="1205"/>
      <c r="N12508" s="1054"/>
      <c r="O12508" s="1207"/>
      <c r="Q12508" s="1207"/>
    </row>
    <row r="12509" spans="3:17" s="700" customFormat="1" ht="70.5" hidden="1" customHeight="1">
      <c r="C12509" s="701"/>
      <c r="D12509" s="811"/>
      <c r="E12509" s="1276">
        <f>[11]building!Y12840</f>
        <v>0</v>
      </c>
      <c r="F12509" s="748">
        <f t="shared" si="434"/>
        <v>0</v>
      </c>
      <c r="G12509" s="1205"/>
      <c r="H12509" s="1055"/>
      <c r="I12509" s="1055"/>
      <c r="J12509" s="1055"/>
      <c r="K12509" s="1205"/>
      <c r="L12509" s="1055"/>
      <c r="M12509" s="1205"/>
      <c r="N12509" s="1054"/>
      <c r="O12509" s="1207"/>
      <c r="Q12509" s="1207"/>
    </row>
    <row r="12510" spans="3:17" s="700" customFormat="1" ht="70.5" hidden="1" customHeight="1">
      <c r="C12510" s="701"/>
      <c r="D12510" s="811"/>
      <c r="E12510" s="1276">
        <f>[11]building!Y12841</f>
        <v>0</v>
      </c>
      <c r="F12510" s="748">
        <f t="shared" si="434"/>
        <v>0</v>
      </c>
      <c r="G12510" s="1205"/>
      <c r="H12510" s="1055"/>
      <c r="I12510" s="1055"/>
      <c r="J12510" s="1055"/>
      <c r="K12510" s="1205"/>
      <c r="L12510" s="1055"/>
      <c r="M12510" s="1205"/>
      <c r="N12510" s="1054"/>
      <c r="O12510" s="1207"/>
      <c r="Q12510" s="1207"/>
    </row>
    <row r="12511" spans="3:17" s="700" customFormat="1" ht="70.5" hidden="1" customHeight="1">
      <c r="C12511" s="701"/>
      <c r="D12511" s="811"/>
      <c r="E12511" s="1276">
        <f>[11]building!Y12842</f>
        <v>0</v>
      </c>
      <c r="F12511" s="748">
        <f t="shared" si="434"/>
        <v>0</v>
      </c>
      <c r="G12511" s="1205"/>
      <c r="H12511" s="1055"/>
      <c r="I12511" s="1055"/>
      <c r="J12511" s="1055"/>
      <c r="K12511" s="1205"/>
      <c r="L12511" s="1055"/>
      <c r="M12511" s="1205"/>
      <c r="N12511" s="1054"/>
      <c r="O12511" s="1207"/>
      <c r="Q12511" s="1207"/>
    </row>
    <row r="12512" spans="3:17" s="700" customFormat="1" ht="70.5" hidden="1" customHeight="1">
      <c r="C12512" s="701"/>
      <c r="D12512" s="811"/>
      <c r="E12512" s="1276">
        <f>[11]building!Y12843</f>
        <v>0</v>
      </c>
      <c r="F12512" s="748">
        <f t="shared" si="434"/>
        <v>0</v>
      </c>
      <c r="G12512" s="1205"/>
      <c r="H12512" s="1055"/>
      <c r="I12512" s="1055"/>
      <c r="J12512" s="1055"/>
      <c r="K12512" s="1205"/>
      <c r="L12512" s="1055"/>
      <c r="M12512" s="1205"/>
      <c r="N12512" s="1054"/>
      <c r="O12512" s="1207"/>
      <c r="Q12512" s="1207"/>
    </row>
    <row r="12513" spans="3:17" s="700" customFormat="1" ht="70.5" hidden="1" customHeight="1">
      <c r="C12513" s="701"/>
      <c r="D12513" s="811"/>
      <c r="E12513" s="1276">
        <f>[11]building!Y12844</f>
        <v>0</v>
      </c>
      <c r="F12513" s="748">
        <f t="shared" si="434"/>
        <v>0</v>
      </c>
      <c r="G12513" s="1205"/>
      <c r="H12513" s="1055"/>
      <c r="I12513" s="1055"/>
      <c r="J12513" s="1055"/>
      <c r="K12513" s="1205"/>
      <c r="L12513" s="1055"/>
      <c r="M12513" s="1205"/>
      <c r="N12513" s="1054"/>
      <c r="O12513" s="1207"/>
      <c r="Q12513" s="1207"/>
    </row>
    <row r="12514" spans="3:17" s="700" customFormat="1" ht="70.5" hidden="1" customHeight="1">
      <c r="C12514" s="701"/>
      <c r="D12514" s="811"/>
      <c r="E12514" s="1276">
        <f>[11]building!Y12845</f>
        <v>0</v>
      </c>
      <c r="F12514" s="748">
        <f t="shared" si="434"/>
        <v>0</v>
      </c>
      <c r="G12514" s="1205"/>
      <c r="H12514" s="1055"/>
      <c r="I12514" s="1055"/>
      <c r="J12514" s="1055"/>
      <c r="K12514" s="1205"/>
      <c r="L12514" s="1055"/>
      <c r="M12514" s="1205"/>
      <c r="N12514" s="1054"/>
      <c r="O12514" s="1207"/>
      <c r="Q12514" s="1207"/>
    </row>
    <row r="12515" spans="3:17" s="700" customFormat="1" ht="70.5" hidden="1" customHeight="1">
      <c r="C12515" s="701"/>
      <c r="D12515" s="811"/>
      <c r="E12515" s="1276">
        <f>[11]building!Y12846</f>
        <v>0</v>
      </c>
      <c r="F12515" s="748">
        <f t="shared" si="434"/>
        <v>0</v>
      </c>
      <c r="G12515" s="1205"/>
      <c r="H12515" s="1055"/>
      <c r="I12515" s="1055"/>
      <c r="J12515" s="1055"/>
      <c r="K12515" s="1205"/>
      <c r="L12515" s="1055"/>
      <c r="M12515" s="1205"/>
      <c r="N12515" s="1054"/>
      <c r="O12515" s="1207"/>
      <c r="Q12515" s="1207"/>
    </row>
    <row r="12516" spans="3:17" s="700" customFormat="1" ht="70.5" hidden="1" customHeight="1">
      <c r="C12516" s="701"/>
      <c r="D12516" s="811"/>
      <c r="E12516" s="1276">
        <f>[11]building!Y12847</f>
        <v>0</v>
      </c>
      <c r="F12516" s="748">
        <f t="shared" si="434"/>
        <v>0</v>
      </c>
      <c r="G12516" s="1205"/>
      <c r="H12516" s="1055"/>
      <c r="I12516" s="1055"/>
      <c r="J12516" s="1055"/>
      <c r="K12516" s="1205"/>
      <c r="L12516" s="1055"/>
      <c r="M12516" s="1205"/>
      <c r="N12516" s="1054"/>
      <c r="O12516" s="1207"/>
      <c r="Q12516" s="1207"/>
    </row>
    <row r="12517" spans="3:17" s="700" customFormat="1" ht="70.5" hidden="1" customHeight="1">
      <c r="C12517" s="701"/>
      <c r="D12517" s="811"/>
      <c r="E12517" s="1276">
        <f>[11]building!Y12848</f>
        <v>0</v>
      </c>
      <c r="F12517" s="748">
        <f t="shared" si="434"/>
        <v>0</v>
      </c>
      <c r="G12517" s="1205"/>
      <c r="H12517" s="1055"/>
      <c r="I12517" s="1055"/>
      <c r="J12517" s="1055"/>
      <c r="K12517" s="1205"/>
      <c r="L12517" s="1055"/>
      <c r="M12517" s="1205"/>
      <c r="N12517" s="1054"/>
      <c r="O12517" s="1207"/>
      <c r="Q12517" s="1207"/>
    </row>
    <row r="12518" spans="3:17" s="700" customFormat="1" ht="70.5" hidden="1" customHeight="1">
      <c r="C12518" s="701"/>
      <c r="D12518" s="811"/>
      <c r="E12518" s="1276">
        <f>[11]building!Y12849</f>
        <v>0</v>
      </c>
      <c r="F12518" s="748">
        <f t="shared" si="434"/>
        <v>0</v>
      </c>
      <c r="G12518" s="1205"/>
      <c r="H12518" s="1055"/>
      <c r="I12518" s="1055"/>
      <c r="J12518" s="1055"/>
      <c r="K12518" s="1205"/>
      <c r="L12518" s="1055"/>
      <c r="M12518" s="1205"/>
      <c r="N12518" s="1054"/>
      <c r="O12518" s="1207"/>
      <c r="Q12518" s="1207"/>
    </row>
    <row r="12519" spans="3:17" s="700" customFormat="1" ht="70.5" hidden="1" customHeight="1">
      <c r="C12519" s="701"/>
      <c r="D12519" s="811"/>
      <c r="E12519" s="1276">
        <f>[11]building!Y12850</f>
        <v>0</v>
      </c>
      <c r="F12519" s="748">
        <f t="shared" si="434"/>
        <v>0</v>
      </c>
      <c r="G12519" s="1205"/>
      <c r="H12519" s="1055"/>
      <c r="I12519" s="1055"/>
      <c r="J12519" s="1055"/>
      <c r="K12519" s="1205"/>
      <c r="L12519" s="1055"/>
      <c r="M12519" s="1205"/>
      <c r="N12519" s="1054"/>
      <c r="O12519" s="1207"/>
      <c r="Q12519" s="1207"/>
    </row>
    <row r="12520" spans="3:17" s="700" customFormat="1" ht="70.5" hidden="1" customHeight="1">
      <c r="C12520" s="701"/>
      <c r="D12520" s="811"/>
      <c r="E12520" s="1276">
        <f>[11]building!Y12851</f>
        <v>0</v>
      </c>
      <c r="F12520" s="748">
        <f t="shared" si="434"/>
        <v>0</v>
      </c>
      <c r="G12520" s="1205"/>
      <c r="H12520" s="1055"/>
      <c r="I12520" s="1055"/>
      <c r="J12520" s="1055"/>
      <c r="K12520" s="1205"/>
      <c r="L12520" s="1055"/>
      <c r="M12520" s="1205"/>
      <c r="N12520" s="1054"/>
      <c r="O12520" s="1207"/>
      <c r="Q12520" s="1207"/>
    </row>
    <row r="12521" spans="3:17" s="700" customFormat="1" ht="70.5" hidden="1" customHeight="1">
      <c r="C12521" s="701"/>
      <c r="D12521" s="811"/>
      <c r="E12521" s="1276">
        <f>[11]building!Y12852</f>
        <v>0</v>
      </c>
      <c r="F12521" s="748">
        <f t="shared" si="434"/>
        <v>0</v>
      </c>
      <c r="G12521" s="1205"/>
      <c r="H12521" s="1055"/>
      <c r="I12521" s="1055"/>
      <c r="J12521" s="1055"/>
      <c r="K12521" s="1205"/>
      <c r="L12521" s="1055"/>
      <c r="M12521" s="1205"/>
      <c r="N12521" s="1054"/>
      <c r="O12521" s="1207"/>
      <c r="Q12521" s="1207"/>
    </row>
    <row r="12522" spans="3:17" s="700" customFormat="1" ht="70.5" hidden="1" customHeight="1">
      <c r="C12522" s="701"/>
      <c r="D12522" s="811"/>
      <c r="E12522" s="1276">
        <f>[11]building!Y12853</f>
        <v>0</v>
      </c>
      <c r="F12522" s="748">
        <f t="shared" si="434"/>
        <v>0</v>
      </c>
      <c r="G12522" s="1205"/>
      <c r="H12522" s="1055"/>
      <c r="I12522" s="1055"/>
      <c r="J12522" s="1055"/>
      <c r="K12522" s="1205"/>
      <c r="L12522" s="1055"/>
      <c r="M12522" s="1205"/>
      <c r="N12522" s="1054"/>
      <c r="O12522" s="1207"/>
      <c r="Q12522" s="1207"/>
    </row>
    <row r="12523" spans="3:17" s="700" customFormat="1" ht="70.5" hidden="1" customHeight="1">
      <c r="C12523" s="701"/>
      <c r="D12523" s="811"/>
      <c r="E12523" s="1276">
        <f>[11]building!Y12854</f>
        <v>0</v>
      </c>
      <c r="F12523" s="748">
        <f t="shared" si="434"/>
        <v>0</v>
      </c>
      <c r="G12523" s="1205"/>
      <c r="H12523" s="1055"/>
      <c r="I12523" s="1055"/>
      <c r="J12523" s="1055"/>
      <c r="K12523" s="1205"/>
      <c r="L12523" s="1055"/>
      <c r="M12523" s="1205"/>
      <c r="N12523" s="1054"/>
      <c r="O12523" s="1207"/>
      <c r="Q12523" s="1207"/>
    </row>
    <row r="12524" spans="3:17" s="700" customFormat="1" ht="70.5" hidden="1" customHeight="1">
      <c r="C12524" s="701"/>
      <c r="D12524" s="811"/>
      <c r="E12524" s="1276">
        <f>[11]building!Y12855</f>
        <v>0</v>
      </c>
      <c r="F12524" s="748">
        <f t="shared" si="434"/>
        <v>0</v>
      </c>
      <c r="G12524" s="1205"/>
      <c r="H12524" s="1055"/>
      <c r="I12524" s="1055"/>
      <c r="J12524" s="1055"/>
      <c r="K12524" s="1205"/>
      <c r="L12524" s="1055"/>
      <c r="M12524" s="1205"/>
      <c r="N12524" s="1054"/>
      <c r="O12524" s="1207"/>
      <c r="Q12524" s="1207"/>
    </row>
    <row r="12525" spans="3:17" s="700" customFormat="1" ht="70.5" hidden="1" customHeight="1">
      <c r="C12525" s="701"/>
      <c r="D12525" s="811"/>
      <c r="E12525" s="1276">
        <f>[11]building!Y12856</f>
        <v>0</v>
      </c>
      <c r="F12525" s="748">
        <f t="shared" si="434"/>
        <v>0</v>
      </c>
      <c r="G12525" s="1205"/>
      <c r="H12525" s="1055"/>
      <c r="I12525" s="1055"/>
      <c r="J12525" s="1055"/>
      <c r="K12525" s="1205"/>
      <c r="L12525" s="1055"/>
      <c r="M12525" s="1205"/>
      <c r="N12525" s="1054"/>
      <c r="O12525" s="1207"/>
      <c r="Q12525" s="1207"/>
    </row>
    <row r="12526" spans="3:17" s="700" customFormat="1" ht="70.5" hidden="1" customHeight="1">
      <c r="C12526" s="701"/>
      <c r="D12526" s="811"/>
      <c r="E12526" s="1276">
        <f>[11]building!Y12857</f>
        <v>0</v>
      </c>
      <c r="F12526" s="748">
        <f t="shared" si="434"/>
        <v>0</v>
      </c>
      <c r="G12526" s="1205"/>
      <c r="H12526" s="1055"/>
      <c r="I12526" s="1055"/>
      <c r="J12526" s="1055"/>
      <c r="K12526" s="1205"/>
      <c r="L12526" s="1055"/>
      <c r="M12526" s="1205"/>
      <c r="N12526" s="1054"/>
      <c r="O12526" s="1207"/>
      <c r="Q12526" s="1207"/>
    </row>
    <row r="12527" spans="3:17" s="700" customFormat="1" ht="70.5" hidden="1" customHeight="1">
      <c r="C12527" s="701"/>
      <c r="D12527" s="811"/>
      <c r="E12527" s="1276">
        <f>[11]building!Y12858</f>
        <v>0</v>
      </c>
      <c r="F12527" s="748">
        <f t="shared" si="434"/>
        <v>0</v>
      </c>
      <c r="G12527" s="1205"/>
      <c r="H12527" s="1055"/>
      <c r="I12527" s="1055"/>
      <c r="J12527" s="1055"/>
      <c r="K12527" s="1205"/>
      <c r="L12527" s="1055"/>
      <c r="M12527" s="1205"/>
      <c r="N12527" s="1054"/>
      <c r="O12527" s="1207"/>
      <c r="Q12527" s="1207"/>
    </row>
    <row r="12528" spans="3:17" s="700" customFormat="1" ht="70.5" hidden="1" customHeight="1">
      <c r="C12528" s="701"/>
      <c r="D12528" s="811"/>
      <c r="E12528" s="1276">
        <f>[11]building!Y12859</f>
        <v>0</v>
      </c>
      <c r="F12528" s="748">
        <f t="shared" si="434"/>
        <v>0</v>
      </c>
      <c r="G12528" s="1205"/>
      <c r="H12528" s="1055"/>
      <c r="I12528" s="1055"/>
      <c r="J12528" s="1055"/>
      <c r="K12528" s="1205"/>
      <c r="L12528" s="1055"/>
      <c r="M12528" s="1205"/>
      <c r="N12528" s="1054"/>
      <c r="O12528" s="1207"/>
      <c r="Q12528" s="1207"/>
    </row>
    <row r="12529" spans="3:17" s="700" customFormat="1" ht="70.5" hidden="1" customHeight="1">
      <c r="C12529" s="701"/>
      <c r="D12529" s="811"/>
      <c r="E12529" s="1276">
        <f>[11]building!Y12860</f>
        <v>0</v>
      </c>
      <c r="F12529" s="748">
        <f t="shared" si="434"/>
        <v>0</v>
      </c>
      <c r="G12529" s="1205"/>
      <c r="H12529" s="1055"/>
      <c r="I12529" s="1055"/>
      <c r="J12529" s="1055"/>
      <c r="K12529" s="1205"/>
      <c r="L12529" s="1055"/>
      <c r="M12529" s="1205"/>
      <c r="N12529" s="1054"/>
      <c r="O12529" s="1207"/>
      <c r="Q12529" s="1207"/>
    </row>
    <row r="12530" spans="3:17" s="700" customFormat="1" ht="70.5" hidden="1" customHeight="1">
      <c r="C12530" s="701"/>
      <c r="D12530" s="811"/>
      <c r="E12530" s="1276">
        <f>[11]building!Y12861</f>
        <v>0</v>
      </c>
      <c r="F12530" s="748">
        <f t="shared" si="434"/>
        <v>0</v>
      </c>
      <c r="G12530" s="1205"/>
      <c r="H12530" s="1055"/>
      <c r="I12530" s="1055"/>
      <c r="J12530" s="1055"/>
      <c r="K12530" s="1205"/>
      <c r="L12530" s="1055"/>
      <c r="M12530" s="1205"/>
      <c r="N12530" s="1054"/>
      <c r="O12530" s="1207"/>
      <c r="Q12530" s="1207"/>
    </row>
    <row r="12531" spans="3:17" s="700" customFormat="1" ht="70.5" hidden="1" customHeight="1">
      <c r="C12531" s="701"/>
      <c r="D12531" s="811"/>
      <c r="E12531" s="1276">
        <f>[11]building!Y12862</f>
        <v>0</v>
      </c>
      <c r="F12531" s="748">
        <f t="shared" si="434"/>
        <v>0</v>
      </c>
      <c r="G12531" s="1205"/>
      <c r="H12531" s="1055"/>
      <c r="I12531" s="1055"/>
      <c r="J12531" s="1055"/>
      <c r="K12531" s="1205"/>
      <c r="L12531" s="1055"/>
      <c r="M12531" s="1205"/>
      <c r="N12531" s="1054"/>
      <c r="O12531" s="1207"/>
      <c r="Q12531" s="1207"/>
    </row>
    <row r="12532" spans="3:17" s="700" customFormat="1" ht="70.5" hidden="1" customHeight="1">
      <c r="C12532" s="701"/>
      <c r="D12532" s="811"/>
      <c r="E12532" s="1276">
        <f>[11]building!Y12863</f>
        <v>0</v>
      </c>
      <c r="F12532" s="748">
        <f t="shared" si="434"/>
        <v>0</v>
      </c>
      <c r="G12532" s="1205"/>
      <c r="H12532" s="1055"/>
      <c r="I12532" s="1055"/>
      <c r="J12532" s="1055"/>
      <c r="K12532" s="1205"/>
      <c r="L12532" s="1055"/>
      <c r="M12532" s="1205"/>
      <c r="N12532" s="1054"/>
      <c r="O12532" s="1207"/>
      <c r="Q12532" s="1207"/>
    </row>
    <row r="12533" spans="3:17" s="700" customFormat="1" ht="70.5" hidden="1" customHeight="1">
      <c r="C12533" s="701"/>
      <c r="D12533" s="811"/>
      <c r="E12533" s="1276">
        <f>[11]building!Y12864</f>
        <v>0</v>
      </c>
      <c r="F12533" s="748">
        <f t="shared" si="434"/>
        <v>0</v>
      </c>
      <c r="G12533" s="1205"/>
      <c r="H12533" s="1055"/>
      <c r="I12533" s="1055"/>
      <c r="J12533" s="1055"/>
      <c r="K12533" s="1205"/>
      <c r="L12533" s="1055"/>
      <c r="M12533" s="1205"/>
      <c r="N12533" s="1054"/>
      <c r="O12533" s="1207"/>
      <c r="Q12533" s="1207"/>
    </row>
    <row r="12534" spans="3:17" s="700" customFormat="1" ht="70.5" hidden="1" customHeight="1">
      <c r="C12534" s="701"/>
      <c r="D12534" s="811"/>
      <c r="E12534" s="1276">
        <f>[11]building!Y12865</f>
        <v>0</v>
      </c>
      <c r="F12534" s="748">
        <f t="shared" si="434"/>
        <v>0</v>
      </c>
      <c r="G12534" s="1205"/>
      <c r="H12534" s="1055"/>
      <c r="I12534" s="1055"/>
      <c r="J12534" s="1055"/>
      <c r="K12534" s="1205"/>
      <c r="L12534" s="1055"/>
      <c r="M12534" s="1205"/>
      <c r="N12534" s="1054"/>
      <c r="O12534" s="1207"/>
      <c r="Q12534" s="1207"/>
    </row>
    <row r="12535" spans="3:17" s="700" customFormat="1" ht="70.5" hidden="1" customHeight="1">
      <c r="C12535" s="701"/>
      <c r="D12535" s="811"/>
      <c r="E12535" s="1276">
        <f>[11]building!Y12866</f>
        <v>0</v>
      </c>
      <c r="F12535" s="748">
        <f t="shared" si="434"/>
        <v>0</v>
      </c>
      <c r="G12535" s="1205"/>
      <c r="H12535" s="1055"/>
      <c r="I12535" s="1055"/>
      <c r="J12535" s="1055"/>
      <c r="K12535" s="1205"/>
      <c r="L12535" s="1055"/>
      <c r="M12535" s="1205"/>
      <c r="N12535" s="1054"/>
      <c r="O12535" s="1207"/>
      <c r="Q12535" s="1207"/>
    </row>
    <row r="12536" spans="3:17" s="700" customFormat="1" ht="70.5" hidden="1" customHeight="1">
      <c r="C12536" s="701"/>
      <c r="D12536" s="811"/>
      <c r="E12536" s="1276">
        <f>[11]building!Y12867</f>
        <v>0</v>
      </c>
      <c r="F12536" s="748">
        <f t="shared" si="434"/>
        <v>0</v>
      </c>
      <c r="G12536" s="1205"/>
      <c r="H12536" s="1055"/>
      <c r="I12536" s="1055"/>
      <c r="J12536" s="1055"/>
      <c r="K12536" s="1205"/>
      <c r="L12536" s="1055"/>
      <c r="M12536" s="1205"/>
      <c r="N12536" s="1054"/>
      <c r="O12536" s="1207"/>
      <c r="Q12536" s="1207"/>
    </row>
    <row r="12537" spans="3:17" s="700" customFormat="1" ht="70.5" hidden="1" customHeight="1">
      <c r="C12537" s="701"/>
      <c r="D12537" s="811"/>
      <c r="E12537" s="1276">
        <f>[11]building!Y12868</f>
        <v>0</v>
      </c>
      <c r="F12537" s="748">
        <f t="shared" si="434"/>
        <v>0</v>
      </c>
      <c r="G12537" s="1205"/>
      <c r="H12537" s="1055"/>
      <c r="I12537" s="1055"/>
      <c r="J12537" s="1055"/>
      <c r="K12537" s="1205"/>
      <c r="L12537" s="1055"/>
      <c r="M12537" s="1205"/>
      <c r="N12537" s="1054"/>
      <c r="O12537" s="1207"/>
      <c r="Q12537" s="1207"/>
    </row>
    <row r="12538" spans="3:17" s="700" customFormat="1" ht="70.5" hidden="1" customHeight="1">
      <c r="C12538" s="701"/>
      <c r="D12538" s="811"/>
      <c r="E12538" s="1276">
        <f>[11]building!Y12869</f>
        <v>0</v>
      </c>
      <c r="F12538" s="748">
        <f t="shared" si="434"/>
        <v>0</v>
      </c>
      <c r="G12538" s="1205"/>
      <c r="H12538" s="1055"/>
      <c r="I12538" s="1055"/>
      <c r="J12538" s="1055"/>
      <c r="K12538" s="1205"/>
      <c r="L12538" s="1055"/>
      <c r="M12538" s="1205"/>
      <c r="N12538" s="1054"/>
      <c r="O12538" s="1207"/>
      <c r="Q12538" s="1207"/>
    </row>
    <row r="12539" spans="3:17" s="700" customFormat="1" ht="70.5" hidden="1" customHeight="1">
      <c r="C12539" s="701"/>
      <c r="D12539" s="811"/>
      <c r="E12539" s="1276">
        <f>[11]building!Y12870</f>
        <v>0</v>
      </c>
      <c r="F12539" s="748">
        <f t="shared" si="434"/>
        <v>0</v>
      </c>
      <c r="G12539" s="1205"/>
      <c r="H12539" s="1055"/>
      <c r="I12539" s="1055"/>
      <c r="J12539" s="1055"/>
      <c r="K12539" s="1205"/>
      <c r="L12539" s="1055"/>
      <c r="M12539" s="1205"/>
      <c r="N12539" s="1054"/>
      <c r="O12539" s="1207"/>
      <c r="Q12539" s="1207"/>
    </row>
    <row r="12540" spans="3:17" s="700" customFormat="1" ht="70.5" hidden="1" customHeight="1">
      <c r="C12540" s="701"/>
      <c r="D12540" s="811"/>
      <c r="E12540" s="1276">
        <f>[11]building!Y12871</f>
        <v>0</v>
      </c>
      <c r="F12540" s="748">
        <f t="shared" si="434"/>
        <v>0</v>
      </c>
      <c r="G12540" s="1205"/>
      <c r="H12540" s="1055"/>
      <c r="I12540" s="1055"/>
      <c r="J12540" s="1055"/>
      <c r="K12540" s="1205"/>
      <c r="L12540" s="1055"/>
      <c r="M12540" s="1205"/>
      <c r="N12540" s="1054"/>
      <c r="O12540" s="1207"/>
      <c r="Q12540" s="1207"/>
    </row>
    <row r="12541" spans="3:17" s="700" customFormat="1" ht="70.5" hidden="1" customHeight="1">
      <c r="C12541" s="701"/>
      <c r="D12541" s="811"/>
      <c r="E12541" s="1276">
        <f>[11]building!Y12872</f>
        <v>0</v>
      </c>
      <c r="F12541" s="748">
        <f t="shared" si="434"/>
        <v>0</v>
      </c>
      <c r="G12541" s="1205"/>
      <c r="H12541" s="1055"/>
      <c r="I12541" s="1055"/>
      <c r="J12541" s="1055"/>
      <c r="K12541" s="1205"/>
      <c r="L12541" s="1055"/>
      <c r="M12541" s="1205"/>
      <c r="N12541" s="1054"/>
      <c r="O12541" s="1207"/>
      <c r="Q12541" s="1207"/>
    </row>
    <row r="12542" spans="3:17" s="700" customFormat="1" ht="70.5" hidden="1" customHeight="1">
      <c r="C12542" s="701"/>
      <c r="D12542" s="811"/>
      <c r="E12542" s="1276">
        <f>[11]building!Y12873</f>
        <v>0</v>
      </c>
      <c r="F12542" s="748">
        <f t="shared" si="434"/>
        <v>0</v>
      </c>
      <c r="G12542" s="1205"/>
      <c r="H12542" s="1055"/>
      <c r="I12542" s="1055"/>
      <c r="J12542" s="1055"/>
      <c r="K12542" s="1205"/>
      <c r="L12542" s="1055"/>
      <c r="M12542" s="1205"/>
      <c r="N12542" s="1054"/>
      <c r="O12542" s="1207"/>
      <c r="Q12542" s="1207"/>
    </row>
    <row r="12543" spans="3:17" s="700" customFormat="1" ht="70.5" hidden="1" customHeight="1">
      <c r="C12543" s="701"/>
      <c r="D12543" s="811"/>
      <c r="E12543" s="1276">
        <f>[11]building!Y12874</f>
        <v>0</v>
      </c>
      <c r="F12543" s="748">
        <f t="shared" si="434"/>
        <v>0</v>
      </c>
      <c r="G12543" s="1205"/>
      <c r="H12543" s="1055"/>
      <c r="I12543" s="1055"/>
      <c r="J12543" s="1055"/>
      <c r="K12543" s="1205"/>
      <c r="L12543" s="1055"/>
      <c r="M12543" s="1205"/>
      <c r="N12543" s="1054"/>
      <c r="O12543" s="1207"/>
      <c r="Q12543" s="1207"/>
    </row>
    <row r="12544" spans="3:17" s="700" customFormat="1" ht="70.5" hidden="1" customHeight="1">
      <c r="C12544" s="701"/>
      <c r="D12544" s="811"/>
      <c r="E12544" s="1276">
        <f>[11]building!Y12875</f>
        <v>0</v>
      </c>
      <c r="F12544" s="748">
        <f t="shared" ref="F12544:F12607" si="435">E12544*C12544</f>
        <v>0</v>
      </c>
      <c r="G12544" s="1205"/>
      <c r="H12544" s="1055"/>
      <c r="I12544" s="1055"/>
      <c r="J12544" s="1055"/>
      <c r="K12544" s="1205"/>
      <c r="L12544" s="1055"/>
      <c r="M12544" s="1205"/>
      <c r="N12544" s="1054"/>
      <c r="O12544" s="1207"/>
      <c r="Q12544" s="1207"/>
    </row>
    <row r="12545" spans="3:17" s="700" customFormat="1" ht="70.5" hidden="1" customHeight="1">
      <c r="C12545" s="701"/>
      <c r="D12545" s="811"/>
      <c r="E12545" s="1276">
        <f>[11]building!Y12876</f>
        <v>0</v>
      </c>
      <c r="F12545" s="748">
        <f t="shared" si="435"/>
        <v>0</v>
      </c>
      <c r="G12545" s="1205"/>
      <c r="H12545" s="1055"/>
      <c r="I12545" s="1055"/>
      <c r="J12545" s="1055"/>
      <c r="K12545" s="1205"/>
      <c r="L12545" s="1055"/>
      <c r="M12545" s="1205"/>
      <c r="N12545" s="1054"/>
      <c r="O12545" s="1207"/>
      <c r="Q12545" s="1207"/>
    </row>
    <row r="12546" spans="3:17" s="700" customFormat="1" ht="70.5" hidden="1" customHeight="1">
      <c r="C12546" s="701"/>
      <c r="D12546" s="811"/>
      <c r="E12546" s="1276">
        <f>[11]building!Y12877</f>
        <v>0</v>
      </c>
      <c r="F12546" s="748">
        <f t="shared" si="435"/>
        <v>0</v>
      </c>
      <c r="G12546" s="1205"/>
      <c r="H12546" s="1055"/>
      <c r="I12546" s="1055"/>
      <c r="J12546" s="1055"/>
      <c r="K12546" s="1205"/>
      <c r="L12546" s="1055"/>
      <c r="M12546" s="1205"/>
      <c r="N12546" s="1054"/>
      <c r="O12546" s="1207"/>
      <c r="Q12546" s="1207"/>
    </row>
    <row r="12547" spans="3:17" s="700" customFormat="1" ht="70.5" hidden="1" customHeight="1">
      <c r="C12547" s="701"/>
      <c r="D12547" s="811"/>
      <c r="E12547" s="1276">
        <f>[11]building!Y12878</f>
        <v>0</v>
      </c>
      <c r="F12547" s="748">
        <f t="shared" si="435"/>
        <v>0</v>
      </c>
      <c r="G12547" s="1205"/>
      <c r="H12547" s="1055"/>
      <c r="I12547" s="1055"/>
      <c r="J12547" s="1055"/>
      <c r="K12547" s="1205"/>
      <c r="L12547" s="1055"/>
      <c r="M12547" s="1205"/>
      <c r="N12547" s="1054"/>
      <c r="O12547" s="1207"/>
      <c r="Q12547" s="1207"/>
    </row>
    <row r="12548" spans="3:17" s="700" customFormat="1" ht="70.5" hidden="1" customHeight="1">
      <c r="C12548" s="701"/>
      <c r="D12548" s="811"/>
      <c r="E12548" s="1276">
        <f>[11]building!Y12879</f>
        <v>0</v>
      </c>
      <c r="F12548" s="748">
        <f t="shared" si="435"/>
        <v>0</v>
      </c>
      <c r="G12548" s="1205"/>
      <c r="H12548" s="1055"/>
      <c r="I12548" s="1055"/>
      <c r="J12548" s="1055"/>
      <c r="K12548" s="1205"/>
      <c r="L12548" s="1055"/>
      <c r="M12548" s="1205"/>
      <c r="N12548" s="1054"/>
      <c r="O12548" s="1207"/>
      <c r="Q12548" s="1207"/>
    </row>
    <row r="12549" spans="3:17" s="700" customFormat="1" ht="70.5" hidden="1" customHeight="1">
      <c r="C12549" s="701"/>
      <c r="D12549" s="811"/>
      <c r="E12549" s="1276">
        <f>[11]building!Y12880</f>
        <v>0</v>
      </c>
      <c r="F12549" s="748">
        <f t="shared" si="435"/>
        <v>0</v>
      </c>
      <c r="G12549" s="1205"/>
      <c r="H12549" s="1055"/>
      <c r="I12549" s="1055"/>
      <c r="J12549" s="1055"/>
      <c r="K12549" s="1205"/>
      <c r="L12549" s="1055"/>
      <c r="M12549" s="1205"/>
      <c r="N12549" s="1054"/>
      <c r="O12549" s="1207"/>
      <c r="Q12549" s="1207"/>
    </row>
    <row r="12550" spans="3:17" s="700" customFormat="1" ht="70.5" hidden="1" customHeight="1">
      <c r="C12550" s="701"/>
      <c r="D12550" s="811"/>
      <c r="E12550" s="1276">
        <f>[11]building!Y12881</f>
        <v>0</v>
      </c>
      <c r="F12550" s="748">
        <f t="shared" si="435"/>
        <v>0</v>
      </c>
      <c r="G12550" s="1205"/>
      <c r="H12550" s="1055"/>
      <c r="I12550" s="1055"/>
      <c r="J12550" s="1055"/>
      <c r="K12550" s="1205"/>
      <c r="L12550" s="1055"/>
      <c r="M12550" s="1205"/>
      <c r="N12550" s="1054"/>
      <c r="O12550" s="1207"/>
      <c r="Q12550" s="1207"/>
    </row>
    <row r="12551" spans="3:17" s="700" customFormat="1" ht="70.5" hidden="1" customHeight="1">
      <c r="C12551" s="701"/>
      <c r="D12551" s="811"/>
      <c r="E12551" s="1276">
        <f>[11]building!Y12882</f>
        <v>0</v>
      </c>
      <c r="F12551" s="748">
        <f t="shared" si="435"/>
        <v>0</v>
      </c>
      <c r="G12551" s="1205"/>
      <c r="H12551" s="1055"/>
      <c r="I12551" s="1055"/>
      <c r="J12551" s="1055"/>
      <c r="K12551" s="1205"/>
      <c r="L12551" s="1055"/>
      <c r="M12551" s="1205"/>
      <c r="N12551" s="1054"/>
      <c r="O12551" s="1207"/>
      <c r="Q12551" s="1207"/>
    </row>
    <row r="12552" spans="3:17" s="700" customFormat="1" ht="70.5" hidden="1" customHeight="1">
      <c r="C12552" s="701"/>
      <c r="D12552" s="811"/>
      <c r="E12552" s="1276">
        <f>[11]building!Y12883</f>
        <v>0</v>
      </c>
      <c r="F12552" s="748">
        <f t="shared" si="435"/>
        <v>0</v>
      </c>
      <c r="G12552" s="1205"/>
      <c r="H12552" s="1055"/>
      <c r="I12552" s="1055"/>
      <c r="J12552" s="1055"/>
      <c r="K12552" s="1205"/>
      <c r="L12552" s="1055"/>
      <c r="M12552" s="1205"/>
      <c r="N12552" s="1054"/>
      <c r="O12552" s="1207"/>
      <c r="Q12552" s="1207"/>
    </row>
    <row r="12553" spans="3:17" s="700" customFormat="1" ht="70.5" hidden="1" customHeight="1">
      <c r="C12553" s="701"/>
      <c r="D12553" s="811"/>
      <c r="E12553" s="1276">
        <f>[11]building!Y12884</f>
        <v>0</v>
      </c>
      <c r="F12553" s="748">
        <f t="shared" si="435"/>
        <v>0</v>
      </c>
      <c r="G12553" s="1205"/>
      <c r="H12553" s="1055"/>
      <c r="I12553" s="1055"/>
      <c r="J12553" s="1055"/>
      <c r="K12553" s="1205"/>
      <c r="L12553" s="1055"/>
      <c r="M12553" s="1205"/>
      <c r="N12553" s="1054"/>
      <c r="O12553" s="1207"/>
      <c r="Q12553" s="1207"/>
    </row>
    <row r="12554" spans="3:17" s="700" customFormat="1" ht="70.5" hidden="1" customHeight="1">
      <c r="C12554" s="701"/>
      <c r="D12554" s="811"/>
      <c r="E12554" s="1276">
        <f>[11]building!Y12885</f>
        <v>0</v>
      </c>
      <c r="F12554" s="748">
        <f t="shared" si="435"/>
        <v>0</v>
      </c>
      <c r="G12554" s="1205"/>
      <c r="H12554" s="1055"/>
      <c r="I12554" s="1055"/>
      <c r="J12554" s="1055"/>
      <c r="K12554" s="1205"/>
      <c r="L12554" s="1055"/>
      <c r="M12554" s="1205"/>
      <c r="N12554" s="1054"/>
      <c r="O12554" s="1207"/>
      <c r="Q12554" s="1207"/>
    </row>
    <row r="12555" spans="3:17" s="700" customFormat="1" ht="70.5" hidden="1" customHeight="1">
      <c r="C12555" s="701"/>
      <c r="D12555" s="811"/>
      <c r="E12555" s="1276">
        <f>[11]building!Y12886</f>
        <v>0</v>
      </c>
      <c r="F12555" s="748">
        <f t="shared" si="435"/>
        <v>0</v>
      </c>
      <c r="G12555" s="1205"/>
      <c r="H12555" s="1055"/>
      <c r="I12555" s="1055"/>
      <c r="J12555" s="1055"/>
      <c r="K12555" s="1205"/>
      <c r="L12555" s="1055"/>
      <c r="M12555" s="1205"/>
      <c r="N12555" s="1054"/>
      <c r="O12555" s="1207"/>
      <c r="Q12555" s="1207"/>
    </row>
    <row r="12556" spans="3:17" s="700" customFormat="1" ht="70.5" hidden="1" customHeight="1">
      <c r="C12556" s="701"/>
      <c r="D12556" s="811"/>
      <c r="E12556" s="1276">
        <f>[11]building!Y12887</f>
        <v>0</v>
      </c>
      <c r="F12556" s="748">
        <f t="shared" si="435"/>
        <v>0</v>
      </c>
      <c r="G12556" s="1205"/>
      <c r="H12556" s="1055"/>
      <c r="I12556" s="1055"/>
      <c r="J12556" s="1055"/>
      <c r="K12556" s="1205"/>
      <c r="L12556" s="1055"/>
      <c r="M12556" s="1205"/>
      <c r="N12556" s="1054"/>
      <c r="O12556" s="1207"/>
      <c r="Q12556" s="1207"/>
    </row>
    <row r="12557" spans="3:17" s="700" customFormat="1" ht="70.5" hidden="1" customHeight="1">
      <c r="C12557" s="701"/>
      <c r="D12557" s="811"/>
      <c r="E12557" s="1276">
        <f>[11]building!Y12888</f>
        <v>0</v>
      </c>
      <c r="F12557" s="748">
        <f t="shared" si="435"/>
        <v>0</v>
      </c>
      <c r="G12557" s="1205"/>
      <c r="H12557" s="1055"/>
      <c r="I12557" s="1055"/>
      <c r="J12557" s="1055"/>
      <c r="K12557" s="1205"/>
      <c r="L12557" s="1055"/>
      <c r="M12557" s="1205"/>
      <c r="N12557" s="1054"/>
      <c r="O12557" s="1207"/>
      <c r="Q12557" s="1207"/>
    </row>
    <row r="12558" spans="3:17" s="700" customFormat="1" ht="70.5" hidden="1" customHeight="1">
      <c r="C12558" s="701"/>
      <c r="D12558" s="811"/>
      <c r="E12558" s="1276">
        <f>[11]building!Y12889</f>
        <v>0</v>
      </c>
      <c r="F12558" s="748">
        <f t="shared" si="435"/>
        <v>0</v>
      </c>
      <c r="G12558" s="1205"/>
      <c r="H12558" s="1055"/>
      <c r="I12558" s="1055"/>
      <c r="J12558" s="1055"/>
      <c r="K12558" s="1205"/>
      <c r="L12558" s="1055"/>
      <c r="M12558" s="1205"/>
      <c r="N12558" s="1054"/>
      <c r="O12558" s="1207"/>
      <c r="Q12558" s="1207"/>
    </row>
    <row r="12559" spans="3:17" s="700" customFormat="1" ht="70.5" hidden="1" customHeight="1">
      <c r="C12559" s="701"/>
      <c r="D12559" s="811"/>
      <c r="E12559" s="1276">
        <f>[11]building!Y12890</f>
        <v>0</v>
      </c>
      <c r="F12559" s="748">
        <f t="shared" si="435"/>
        <v>0</v>
      </c>
      <c r="G12559" s="1205"/>
      <c r="H12559" s="1055"/>
      <c r="I12559" s="1055"/>
      <c r="J12559" s="1055"/>
      <c r="K12559" s="1205"/>
      <c r="L12559" s="1055"/>
      <c r="M12559" s="1205"/>
      <c r="N12559" s="1054"/>
      <c r="O12559" s="1207"/>
      <c r="Q12559" s="1207"/>
    </row>
    <row r="12560" spans="3:17" s="700" customFormat="1" ht="70.5" hidden="1" customHeight="1">
      <c r="C12560" s="701"/>
      <c r="D12560" s="811"/>
      <c r="E12560" s="1276">
        <f>[11]building!Y12891</f>
        <v>0</v>
      </c>
      <c r="F12560" s="748">
        <f t="shared" si="435"/>
        <v>0</v>
      </c>
      <c r="G12560" s="1205"/>
      <c r="H12560" s="1055"/>
      <c r="I12560" s="1055"/>
      <c r="J12560" s="1055"/>
      <c r="K12560" s="1205"/>
      <c r="L12560" s="1055"/>
      <c r="M12560" s="1205"/>
      <c r="N12560" s="1054"/>
      <c r="O12560" s="1207"/>
      <c r="Q12560" s="1207"/>
    </row>
    <row r="12561" spans="3:17" s="700" customFormat="1" ht="70.5" hidden="1" customHeight="1">
      <c r="C12561" s="701"/>
      <c r="D12561" s="811"/>
      <c r="E12561" s="1276">
        <f>[11]building!Y12892</f>
        <v>0</v>
      </c>
      <c r="F12561" s="748">
        <f t="shared" si="435"/>
        <v>0</v>
      </c>
      <c r="G12561" s="1205"/>
      <c r="H12561" s="1055"/>
      <c r="I12561" s="1055"/>
      <c r="J12561" s="1055"/>
      <c r="K12561" s="1205"/>
      <c r="L12561" s="1055"/>
      <c r="M12561" s="1205"/>
      <c r="N12561" s="1054"/>
      <c r="O12561" s="1207"/>
      <c r="Q12561" s="1207"/>
    </row>
    <row r="12562" spans="3:17" s="700" customFormat="1" ht="70.5" hidden="1" customHeight="1">
      <c r="C12562" s="701"/>
      <c r="D12562" s="811"/>
      <c r="E12562" s="1276">
        <f>[11]building!Y12893</f>
        <v>0</v>
      </c>
      <c r="F12562" s="748">
        <f t="shared" si="435"/>
        <v>0</v>
      </c>
      <c r="G12562" s="1205"/>
      <c r="H12562" s="1055"/>
      <c r="I12562" s="1055"/>
      <c r="J12562" s="1055"/>
      <c r="K12562" s="1205"/>
      <c r="L12562" s="1055"/>
      <c r="M12562" s="1205"/>
      <c r="N12562" s="1054"/>
      <c r="O12562" s="1207"/>
      <c r="Q12562" s="1207"/>
    </row>
    <row r="12563" spans="3:17" s="700" customFormat="1" ht="70.5" hidden="1" customHeight="1">
      <c r="C12563" s="701"/>
      <c r="D12563" s="811"/>
      <c r="E12563" s="1276">
        <f>[11]building!Y12894</f>
        <v>0</v>
      </c>
      <c r="F12563" s="748">
        <f t="shared" si="435"/>
        <v>0</v>
      </c>
      <c r="G12563" s="1205"/>
      <c r="H12563" s="1055"/>
      <c r="I12563" s="1055"/>
      <c r="J12563" s="1055"/>
      <c r="K12563" s="1205"/>
      <c r="L12563" s="1055"/>
      <c r="M12563" s="1205"/>
      <c r="N12563" s="1054"/>
      <c r="O12563" s="1207"/>
      <c r="Q12563" s="1207"/>
    </row>
    <row r="12564" spans="3:17" s="700" customFormat="1" ht="70.5" hidden="1" customHeight="1">
      <c r="C12564" s="701"/>
      <c r="D12564" s="811"/>
      <c r="E12564" s="1276">
        <f>[11]building!Y12895</f>
        <v>0</v>
      </c>
      <c r="F12564" s="748">
        <f t="shared" si="435"/>
        <v>0</v>
      </c>
      <c r="G12564" s="1205"/>
      <c r="H12564" s="1055"/>
      <c r="I12564" s="1055"/>
      <c r="J12564" s="1055"/>
      <c r="K12564" s="1205"/>
      <c r="L12564" s="1055"/>
      <c r="M12564" s="1205"/>
      <c r="N12564" s="1054"/>
      <c r="O12564" s="1207"/>
      <c r="Q12564" s="1207"/>
    </row>
    <row r="12565" spans="3:17" s="700" customFormat="1" ht="70.5" hidden="1" customHeight="1">
      <c r="C12565" s="701"/>
      <c r="D12565" s="811"/>
      <c r="E12565" s="1276">
        <f>[11]building!Y12896</f>
        <v>0</v>
      </c>
      <c r="F12565" s="748">
        <f t="shared" si="435"/>
        <v>0</v>
      </c>
      <c r="G12565" s="1205"/>
      <c r="H12565" s="1055"/>
      <c r="I12565" s="1055"/>
      <c r="J12565" s="1055"/>
      <c r="K12565" s="1205"/>
      <c r="L12565" s="1055"/>
      <c r="M12565" s="1205"/>
      <c r="N12565" s="1054"/>
      <c r="O12565" s="1207"/>
      <c r="Q12565" s="1207"/>
    </row>
    <row r="12566" spans="3:17" s="700" customFormat="1" ht="70.5" hidden="1" customHeight="1">
      <c r="C12566" s="701"/>
      <c r="D12566" s="811"/>
      <c r="E12566" s="1276">
        <f>[11]building!Y12897</f>
        <v>0</v>
      </c>
      <c r="F12566" s="748">
        <f t="shared" si="435"/>
        <v>0</v>
      </c>
      <c r="G12566" s="1205"/>
      <c r="H12566" s="1055"/>
      <c r="I12566" s="1055"/>
      <c r="J12566" s="1055"/>
      <c r="K12566" s="1205"/>
      <c r="L12566" s="1055"/>
      <c r="M12566" s="1205"/>
      <c r="N12566" s="1054"/>
      <c r="O12566" s="1207"/>
      <c r="Q12566" s="1207"/>
    </row>
    <row r="12567" spans="3:17" s="700" customFormat="1" ht="70.5" hidden="1" customHeight="1">
      <c r="C12567" s="701"/>
      <c r="D12567" s="811"/>
      <c r="E12567" s="1276">
        <f>[11]building!Y12898</f>
        <v>0</v>
      </c>
      <c r="F12567" s="748">
        <f t="shared" si="435"/>
        <v>0</v>
      </c>
      <c r="G12567" s="1205"/>
      <c r="H12567" s="1055"/>
      <c r="I12567" s="1055"/>
      <c r="J12567" s="1055"/>
      <c r="K12567" s="1205"/>
      <c r="L12567" s="1055"/>
      <c r="M12567" s="1205"/>
      <c r="N12567" s="1054"/>
      <c r="O12567" s="1207"/>
      <c r="Q12567" s="1207"/>
    </row>
    <row r="12568" spans="3:17" s="700" customFormat="1" ht="70.5" hidden="1" customHeight="1">
      <c r="C12568" s="701"/>
      <c r="D12568" s="811"/>
      <c r="E12568" s="1276">
        <f>[11]building!Y12899</f>
        <v>0</v>
      </c>
      <c r="F12568" s="748">
        <f t="shared" si="435"/>
        <v>0</v>
      </c>
      <c r="G12568" s="1205"/>
      <c r="H12568" s="1055"/>
      <c r="I12568" s="1055"/>
      <c r="J12568" s="1055"/>
      <c r="K12568" s="1205"/>
      <c r="L12568" s="1055"/>
      <c r="M12568" s="1205"/>
      <c r="N12568" s="1054"/>
      <c r="O12568" s="1207"/>
      <c r="Q12568" s="1207"/>
    </row>
    <row r="12569" spans="3:17" s="700" customFormat="1" ht="70.5" hidden="1" customHeight="1">
      <c r="C12569" s="701"/>
      <c r="D12569" s="811"/>
      <c r="E12569" s="1276">
        <f>[11]building!Y12900</f>
        <v>0</v>
      </c>
      <c r="F12569" s="748">
        <f t="shared" si="435"/>
        <v>0</v>
      </c>
      <c r="G12569" s="1205"/>
      <c r="H12569" s="1055"/>
      <c r="I12569" s="1055"/>
      <c r="J12569" s="1055"/>
      <c r="K12569" s="1205"/>
      <c r="L12569" s="1055"/>
      <c r="M12569" s="1205"/>
      <c r="N12569" s="1054"/>
      <c r="O12569" s="1207"/>
      <c r="Q12569" s="1207"/>
    </row>
    <row r="12570" spans="3:17" s="700" customFormat="1" ht="70.5" hidden="1" customHeight="1">
      <c r="C12570" s="701"/>
      <c r="D12570" s="811"/>
      <c r="E12570" s="1276">
        <f>[11]building!Y12901</f>
        <v>0</v>
      </c>
      <c r="F12570" s="748">
        <f t="shared" si="435"/>
        <v>0</v>
      </c>
      <c r="G12570" s="1205"/>
      <c r="H12570" s="1055"/>
      <c r="I12570" s="1055"/>
      <c r="J12570" s="1055"/>
      <c r="K12570" s="1205"/>
      <c r="L12570" s="1055"/>
      <c r="M12570" s="1205"/>
      <c r="N12570" s="1054"/>
      <c r="O12570" s="1207"/>
      <c r="Q12570" s="1207"/>
    </row>
    <row r="12571" spans="3:17" s="700" customFormat="1" ht="70.5" hidden="1" customHeight="1">
      <c r="C12571" s="701"/>
      <c r="D12571" s="811"/>
      <c r="E12571" s="1276">
        <f>[11]building!Y12902</f>
        <v>0</v>
      </c>
      <c r="F12571" s="748">
        <f t="shared" si="435"/>
        <v>0</v>
      </c>
      <c r="G12571" s="1205"/>
      <c r="H12571" s="1055"/>
      <c r="I12571" s="1055"/>
      <c r="J12571" s="1055"/>
      <c r="K12571" s="1205"/>
      <c r="L12571" s="1055"/>
      <c r="M12571" s="1205"/>
      <c r="N12571" s="1054"/>
      <c r="O12571" s="1207"/>
      <c r="Q12571" s="1207"/>
    </row>
    <row r="12572" spans="3:17" s="700" customFormat="1" ht="70.5" hidden="1" customHeight="1">
      <c r="C12572" s="701"/>
      <c r="D12572" s="811"/>
      <c r="E12572" s="1276">
        <f>[11]building!Y12903</f>
        <v>0</v>
      </c>
      <c r="F12572" s="748">
        <f t="shared" si="435"/>
        <v>0</v>
      </c>
      <c r="G12572" s="1205"/>
      <c r="H12572" s="1055"/>
      <c r="I12572" s="1055"/>
      <c r="J12572" s="1055"/>
      <c r="K12572" s="1205"/>
      <c r="L12572" s="1055"/>
      <c r="M12572" s="1205"/>
      <c r="N12572" s="1054"/>
      <c r="O12572" s="1207"/>
      <c r="Q12572" s="1207"/>
    </row>
    <row r="12573" spans="3:17" s="700" customFormat="1" ht="70.5" hidden="1" customHeight="1">
      <c r="C12573" s="701"/>
      <c r="D12573" s="811"/>
      <c r="E12573" s="1276">
        <f>[11]building!Y12904</f>
        <v>0</v>
      </c>
      <c r="F12573" s="748">
        <f t="shared" si="435"/>
        <v>0</v>
      </c>
      <c r="G12573" s="1205"/>
      <c r="H12573" s="1055"/>
      <c r="I12573" s="1055"/>
      <c r="J12573" s="1055"/>
      <c r="K12573" s="1205"/>
      <c r="L12573" s="1055"/>
      <c r="M12573" s="1205"/>
      <c r="N12573" s="1054"/>
      <c r="O12573" s="1207"/>
      <c r="Q12573" s="1207"/>
    </row>
    <row r="12574" spans="3:17" s="700" customFormat="1" ht="70.5" hidden="1" customHeight="1">
      <c r="C12574" s="701"/>
      <c r="D12574" s="811"/>
      <c r="E12574" s="1276">
        <f>[11]building!Y12905</f>
        <v>0</v>
      </c>
      <c r="F12574" s="748">
        <f t="shared" si="435"/>
        <v>0</v>
      </c>
      <c r="G12574" s="1205"/>
      <c r="H12574" s="1055"/>
      <c r="I12574" s="1055"/>
      <c r="J12574" s="1055"/>
      <c r="K12574" s="1205"/>
      <c r="L12574" s="1055"/>
      <c r="M12574" s="1205"/>
      <c r="N12574" s="1054"/>
      <c r="O12574" s="1207"/>
      <c r="Q12574" s="1207"/>
    </row>
    <row r="12575" spans="3:17" s="700" customFormat="1" ht="70.5" hidden="1" customHeight="1">
      <c r="C12575" s="701"/>
      <c r="D12575" s="811"/>
      <c r="E12575" s="1276">
        <f>[11]building!Y12906</f>
        <v>0</v>
      </c>
      <c r="F12575" s="748">
        <f t="shared" si="435"/>
        <v>0</v>
      </c>
      <c r="G12575" s="1205"/>
      <c r="H12575" s="1055"/>
      <c r="I12575" s="1055"/>
      <c r="J12575" s="1055"/>
      <c r="K12575" s="1205"/>
      <c r="L12575" s="1055"/>
      <c r="M12575" s="1205"/>
      <c r="N12575" s="1054"/>
      <c r="O12575" s="1207"/>
      <c r="Q12575" s="1207"/>
    </row>
    <row r="12576" spans="3:17" s="700" customFormat="1" ht="70.5" hidden="1" customHeight="1">
      <c r="C12576" s="701"/>
      <c r="D12576" s="811"/>
      <c r="E12576" s="1276">
        <f>[11]building!Y12907</f>
        <v>0</v>
      </c>
      <c r="F12576" s="748">
        <f t="shared" si="435"/>
        <v>0</v>
      </c>
      <c r="G12576" s="1205"/>
      <c r="H12576" s="1055"/>
      <c r="I12576" s="1055"/>
      <c r="J12576" s="1055"/>
      <c r="K12576" s="1205"/>
      <c r="L12576" s="1055"/>
      <c r="M12576" s="1205"/>
      <c r="N12576" s="1054"/>
      <c r="O12576" s="1207"/>
      <c r="Q12576" s="1207"/>
    </row>
    <row r="12577" spans="3:17" s="700" customFormat="1" ht="70.5" hidden="1" customHeight="1">
      <c r="C12577" s="701"/>
      <c r="D12577" s="811"/>
      <c r="E12577" s="1276">
        <f>[11]building!Y12908</f>
        <v>0</v>
      </c>
      <c r="F12577" s="748">
        <f t="shared" si="435"/>
        <v>0</v>
      </c>
      <c r="G12577" s="1205"/>
      <c r="H12577" s="1055"/>
      <c r="I12577" s="1055"/>
      <c r="J12577" s="1055"/>
      <c r="K12577" s="1205"/>
      <c r="L12577" s="1055"/>
      <c r="M12577" s="1205"/>
      <c r="N12577" s="1054"/>
      <c r="O12577" s="1207"/>
      <c r="Q12577" s="1207"/>
    </row>
    <row r="12578" spans="3:17" s="700" customFormat="1" ht="70.5" hidden="1" customHeight="1">
      <c r="C12578" s="701"/>
      <c r="D12578" s="811"/>
      <c r="E12578" s="1276">
        <f>[11]building!Y12909</f>
        <v>0</v>
      </c>
      <c r="F12578" s="748">
        <f t="shared" si="435"/>
        <v>0</v>
      </c>
      <c r="G12578" s="1205"/>
      <c r="H12578" s="1055"/>
      <c r="I12578" s="1055"/>
      <c r="J12578" s="1055"/>
      <c r="K12578" s="1205"/>
      <c r="L12578" s="1055"/>
      <c r="M12578" s="1205"/>
      <c r="N12578" s="1054"/>
      <c r="O12578" s="1207"/>
      <c r="Q12578" s="1207"/>
    </row>
    <row r="12579" spans="3:17" s="700" customFormat="1" ht="70.5" hidden="1" customHeight="1">
      <c r="C12579" s="701"/>
      <c r="D12579" s="811"/>
      <c r="E12579" s="1276">
        <f>[11]building!Y12910</f>
        <v>0</v>
      </c>
      <c r="F12579" s="748">
        <f t="shared" si="435"/>
        <v>0</v>
      </c>
      <c r="G12579" s="1205"/>
      <c r="H12579" s="1055"/>
      <c r="I12579" s="1055"/>
      <c r="J12579" s="1055"/>
      <c r="K12579" s="1205"/>
      <c r="L12579" s="1055"/>
      <c r="M12579" s="1205"/>
      <c r="N12579" s="1054"/>
      <c r="O12579" s="1207"/>
      <c r="Q12579" s="1207"/>
    </row>
    <row r="12580" spans="3:17" s="700" customFormat="1" ht="70.5" hidden="1" customHeight="1">
      <c r="C12580" s="701"/>
      <c r="D12580" s="811"/>
      <c r="E12580" s="1276">
        <f>[11]building!Y12911</f>
        <v>0</v>
      </c>
      <c r="F12580" s="748">
        <f t="shared" si="435"/>
        <v>0</v>
      </c>
      <c r="G12580" s="1205"/>
      <c r="H12580" s="1055"/>
      <c r="I12580" s="1055"/>
      <c r="J12580" s="1055"/>
      <c r="K12580" s="1205"/>
      <c r="L12580" s="1055"/>
      <c r="M12580" s="1205"/>
      <c r="N12580" s="1054"/>
      <c r="O12580" s="1207"/>
      <c r="Q12580" s="1207"/>
    </row>
    <row r="12581" spans="3:17" s="700" customFormat="1" ht="70.5" hidden="1" customHeight="1">
      <c r="C12581" s="701"/>
      <c r="D12581" s="811"/>
      <c r="E12581" s="1276">
        <f>[11]building!Y12912</f>
        <v>0</v>
      </c>
      <c r="F12581" s="748">
        <f t="shared" si="435"/>
        <v>0</v>
      </c>
      <c r="G12581" s="1205"/>
      <c r="H12581" s="1055"/>
      <c r="I12581" s="1055"/>
      <c r="J12581" s="1055"/>
      <c r="K12581" s="1205"/>
      <c r="L12581" s="1055"/>
      <c r="M12581" s="1205"/>
      <c r="N12581" s="1054"/>
      <c r="O12581" s="1207"/>
      <c r="Q12581" s="1207"/>
    </row>
    <row r="12582" spans="3:17" s="700" customFormat="1" ht="70.5" hidden="1" customHeight="1">
      <c r="C12582" s="701"/>
      <c r="D12582" s="811"/>
      <c r="E12582" s="1276">
        <f>[11]building!Y12913</f>
        <v>0</v>
      </c>
      <c r="F12582" s="748">
        <f t="shared" si="435"/>
        <v>0</v>
      </c>
      <c r="G12582" s="1205"/>
      <c r="H12582" s="1055"/>
      <c r="I12582" s="1055"/>
      <c r="J12582" s="1055"/>
      <c r="K12582" s="1205"/>
      <c r="L12582" s="1055"/>
      <c r="M12582" s="1205"/>
      <c r="N12582" s="1054"/>
      <c r="O12582" s="1207"/>
      <c r="Q12582" s="1207"/>
    </row>
    <row r="12583" spans="3:17" s="700" customFormat="1" ht="70.5" hidden="1" customHeight="1">
      <c r="C12583" s="701"/>
      <c r="D12583" s="811"/>
      <c r="E12583" s="1276">
        <f>[11]building!Y12914</f>
        <v>0</v>
      </c>
      <c r="F12583" s="748">
        <f t="shared" si="435"/>
        <v>0</v>
      </c>
      <c r="G12583" s="1205"/>
      <c r="H12583" s="1055"/>
      <c r="I12583" s="1055"/>
      <c r="J12583" s="1055"/>
      <c r="K12583" s="1205"/>
      <c r="L12583" s="1055"/>
      <c r="M12583" s="1205"/>
      <c r="N12583" s="1054"/>
      <c r="O12583" s="1207"/>
      <c r="Q12583" s="1207"/>
    </row>
    <row r="12584" spans="3:17" s="700" customFormat="1" ht="70.5" hidden="1" customHeight="1">
      <c r="C12584" s="701"/>
      <c r="D12584" s="811"/>
      <c r="E12584" s="1276">
        <f>[11]building!Y12915</f>
        <v>0</v>
      </c>
      <c r="F12584" s="748">
        <f t="shared" si="435"/>
        <v>0</v>
      </c>
      <c r="G12584" s="1205"/>
      <c r="H12584" s="1055"/>
      <c r="I12584" s="1055"/>
      <c r="J12584" s="1055"/>
      <c r="K12584" s="1205"/>
      <c r="L12584" s="1055"/>
      <c r="M12584" s="1205"/>
      <c r="N12584" s="1054"/>
      <c r="O12584" s="1207"/>
      <c r="Q12584" s="1207"/>
    </row>
    <row r="12585" spans="3:17" s="700" customFormat="1" ht="70.5" hidden="1" customHeight="1">
      <c r="C12585" s="701"/>
      <c r="D12585" s="811"/>
      <c r="E12585" s="1276">
        <f>[11]building!Y12916</f>
        <v>0</v>
      </c>
      <c r="F12585" s="748">
        <f t="shared" si="435"/>
        <v>0</v>
      </c>
      <c r="G12585" s="1205"/>
      <c r="H12585" s="1055"/>
      <c r="I12585" s="1055"/>
      <c r="J12585" s="1055"/>
      <c r="K12585" s="1205"/>
      <c r="L12585" s="1055"/>
      <c r="M12585" s="1205"/>
      <c r="N12585" s="1054"/>
      <c r="O12585" s="1207"/>
      <c r="Q12585" s="1207"/>
    </row>
    <row r="12586" spans="3:17" s="700" customFormat="1" ht="70.5" hidden="1" customHeight="1">
      <c r="C12586" s="701"/>
      <c r="D12586" s="811"/>
      <c r="E12586" s="1276">
        <f>[11]building!Y12917</f>
        <v>0</v>
      </c>
      <c r="F12586" s="748">
        <f t="shared" si="435"/>
        <v>0</v>
      </c>
      <c r="G12586" s="1205"/>
      <c r="H12586" s="1055"/>
      <c r="I12586" s="1055"/>
      <c r="J12586" s="1055"/>
      <c r="K12586" s="1205"/>
      <c r="L12586" s="1055"/>
      <c r="M12586" s="1205"/>
      <c r="N12586" s="1054"/>
      <c r="O12586" s="1207"/>
      <c r="Q12586" s="1207"/>
    </row>
    <row r="12587" spans="3:17" s="700" customFormat="1" ht="70.5" hidden="1" customHeight="1">
      <c r="C12587" s="701"/>
      <c r="D12587" s="811"/>
      <c r="E12587" s="1276">
        <f>[11]building!Y12918</f>
        <v>0</v>
      </c>
      <c r="F12587" s="748">
        <f t="shared" si="435"/>
        <v>0</v>
      </c>
      <c r="G12587" s="1205"/>
      <c r="H12587" s="1055"/>
      <c r="I12587" s="1055"/>
      <c r="J12587" s="1055"/>
      <c r="K12587" s="1205"/>
      <c r="L12587" s="1055"/>
      <c r="M12587" s="1205"/>
      <c r="N12587" s="1054"/>
      <c r="O12587" s="1207"/>
      <c r="Q12587" s="1207"/>
    </row>
    <row r="12588" spans="3:17" s="700" customFormat="1" ht="70.5" hidden="1" customHeight="1">
      <c r="C12588" s="701"/>
      <c r="D12588" s="811"/>
      <c r="E12588" s="1276">
        <f>[11]building!Y12919</f>
        <v>0</v>
      </c>
      <c r="F12588" s="748">
        <f t="shared" si="435"/>
        <v>0</v>
      </c>
      <c r="G12588" s="1205"/>
      <c r="H12588" s="1055"/>
      <c r="I12588" s="1055"/>
      <c r="J12588" s="1055"/>
      <c r="K12588" s="1205"/>
      <c r="L12588" s="1055"/>
      <c r="M12588" s="1205"/>
      <c r="N12588" s="1054"/>
      <c r="O12588" s="1207"/>
      <c r="Q12588" s="1207"/>
    </row>
    <row r="12589" spans="3:17" s="700" customFormat="1" ht="70.5" hidden="1" customHeight="1">
      <c r="C12589" s="701"/>
      <c r="D12589" s="811"/>
      <c r="E12589" s="1276">
        <f>[11]building!Y12920</f>
        <v>0</v>
      </c>
      <c r="F12589" s="748">
        <f t="shared" si="435"/>
        <v>0</v>
      </c>
      <c r="G12589" s="1205"/>
      <c r="H12589" s="1055"/>
      <c r="I12589" s="1055"/>
      <c r="J12589" s="1055"/>
      <c r="K12589" s="1205"/>
      <c r="L12589" s="1055"/>
      <c r="M12589" s="1205"/>
      <c r="N12589" s="1054"/>
      <c r="O12589" s="1207"/>
      <c r="Q12589" s="1207"/>
    </row>
    <row r="12590" spans="3:17" s="700" customFormat="1" ht="70.5" hidden="1" customHeight="1">
      <c r="C12590" s="701"/>
      <c r="D12590" s="811"/>
      <c r="E12590" s="1276">
        <f>[11]building!Y12921</f>
        <v>0</v>
      </c>
      <c r="F12590" s="748">
        <f t="shared" si="435"/>
        <v>0</v>
      </c>
      <c r="G12590" s="1205"/>
      <c r="H12590" s="1055"/>
      <c r="I12590" s="1055"/>
      <c r="J12590" s="1055"/>
      <c r="K12590" s="1205"/>
      <c r="L12590" s="1055"/>
      <c r="M12590" s="1205"/>
      <c r="N12590" s="1054"/>
      <c r="O12590" s="1207"/>
      <c r="Q12590" s="1207"/>
    </row>
    <row r="12591" spans="3:17" s="700" customFormat="1" ht="70.5" hidden="1" customHeight="1">
      <c r="C12591" s="701"/>
      <c r="D12591" s="811"/>
      <c r="E12591" s="1276">
        <f>[11]building!Y12922</f>
        <v>0</v>
      </c>
      <c r="F12591" s="748">
        <f t="shared" si="435"/>
        <v>0</v>
      </c>
      <c r="G12591" s="1205"/>
      <c r="H12591" s="1055"/>
      <c r="I12591" s="1055"/>
      <c r="J12591" s="1055"/>
      <c r="K12591" s="1205"/>
      <c r="L12591" s="1055"/>
      <c r="M12591" s="1205"/>
      <c r="N12591" s="1054"/>
      <c r="O12591" s="1207"/>
      <c r="Q12591" s="1207"/>
    </row>
    <row r="12592" spans="3:17" s="700" customFormat="1" ht="70.5" hidden="1" customHeight="1">
      <c r="C12592" s="701"/>
      <c r="D12592" s="811"/>
      <c r="E12592" s="1276">
        <f>[11]building!Y12923</f>
        <v>0</v>
      </c>
      <c r="F12592" s="748">
        <f t="shared" si="435"/>
        <v>0</v>
      </c>
      <c r="G12592" s="1205"/>
      <c r="H12592" s="1055"/>
      <c r="I12592" s="1055"/>
      <c r="J12592" s="1055"/>
      <c r="K12592" s="1205"/>
      <c r="L12592" s="1055"/>
      <c r="M12592" s="1205"/>
      <c r="N12592" s="1054"/>
      <c r="O12592" s="1207"/>
      <c r="Q12592" s="1207"/>
    </row>
    <row r="12593" spans="3:17" s="700" customFormat="1" ht="70.5" hidden="1" customHeight="1">
      <c r="C12593" s="701"/>
      <c r="D12593" s="811"/>
      <c r="E12593" s="1276">
        <f>[11]building!Y12924</f>
        <v>0</v>
      </c>
      <c r="F12593" s="748">
        <f t="shared" si="435"/>
        <v>0</v>
      </c>
      <c r="G12593" s="1205"/>
      <c r="H12593" s="1055"/>
      <c r="I12593" s="1055"/>
      <c r="J12593" s="1055"/>
      <c r="K12593" s="1205"/>
      <c r="L12593" s="1055"/>
      <c r="M12593" s="1205"/>
      <c r="N12593" s="1054"/>
      <c r="O12593" s="1207"/>
      <c r="Q12593" s="1207"/>
    </row>
    <row r="12594" spans="3:17" s="700" customFormat="1" ht="70.5" hidden="1" customHeight="1">
      <c r="C12594" s="701"/>
      <c r="D12594" s="811"/>
      <c r="E12594" s="1276">
        <f>[11]building!Y12925</f>
        <v>0</v>
      </c>
      <c r="F12594" s="748">
        <f t="shared" si="435"/>
        <v>0</v>
      </c>
      <c r="G12594" s="1205"/>
      <c r="H12594" s="1055"/>
      <c r="I12594" s="1055"/>
      <c r="J12594" s="1055"/>
      <c r="K12594" s="1205"/>
      <c r="L12594" s="1055"/>
      <c r="M12594" s="1205"/>
      <c r="N12594" s="1054"/>
      <c r="O12594" s="1207"/>
      <c r="Q12594" s="1207"/>
    </row>
    <row r="12595" spans="3:17" s="700" customFormat="1" ht="70.5" hidden="1" customHeight="1">
      <c r="C12595" s="701"/>
      <c r="D12595" s="811"/>
      <c r="E12595" s="1276">
        <f>[11]building!Y12926</f>
        <v>0</v>
      </c>
      <c r="F12595" s="748">
        <f t="shared" si="435"/>
        <v>0</v>
      </c>
      <c r="G12595" s="1205"/>
      <c r="H12595" s="1055"/>
      <c r="I12595" s="1055"/>
      <c r="J12595" s="1055"/>
      <c r="K12595" s="1205"/>
      <c r="L12595" s="1055"/>
      <c r="M12595" s="1205"/>
      <c r="N12595" s="1054"/>
      <c r="O12595" s="1207"/>
      <c r="Q12595" s="1207"/>
    </row>
    <row r="12596" spans="3:17" s="700" customFormat="1" ht="70.5" hidden="1" customHeight="1">
      <c r="C12596" s="701"/>
      <c r="D12596" s="811"/>
      <c r="E12596" s="1276">
        <f>[11]building!Y12927</f>
        <v>0</v>
      </c>
      <c r="F12596" s="748">
        <f t="shared" si="435"/>
        <v>0</v>
      </c>
      <c r="G12596" s="1205"/>
      <c r="H12596" s="1055"/>
      <c r="I12596" s="1055"/>
      <c r="J12596" s="1055"/>
      <c r="K12596" s="1205"/>
      <c r="L12596" s="1055"/>
      <c r="M12596" s="1205"/>
      <c r="N12596" s="1054"/>
      <c r="O12596" s="1207"/>
      <c r="Q12596" s="1207"/>
    </row>
    <row r="12597" spans="3:17" s="700" customFormat="1" ht="70.5" hidden="1" customHeight="1">
      <c r="C12597" s="701"/>
      <c r="D12597" s="811"/>
      <c r="E12597" s="1276">
        <f>[11]building!Y12928</f>
        <v>0</v>
      </c>
      <c r="F12597" s="748">
        <f t="shared" si="435"/>
        <v>0</v>
      </c>
      <c r="G12597" s="1205"/>
      <c r="H12597" s="1055"/>
      <c r="I12597" s="1055"/>
      <c r="J12597" s="1055"/>
      <c r="K12597" s="1205"/>
      <c r="L12597" s="1055"/>
      <c r="M12597" s="1205"/>
      <c r="N12597" s="1054"/>
      <c r="O12597" s="1207"/>
      <c r="Q12597" s="1207"/>
    </row>
    <row r="12598" spans="3:17" s="700" customFormat="1" ht="70.5" hidden="1" customHeight="1">
      <c r="C12598" s="701"/>
      <c r="D12598" s="811"/>
      <c r="E12598" s="1276">
        <f>[11]building!Y12929</f>
        <v>0</v>
      </c>
      <c r="F12598" s="748">
        <f t="shared" si="435"/>
        <v>0</v>
      </c>
      <c r="G12598" s="1205"/>
      <c r="H12598" s="1055"/>
      <c r="I12598" s="1055"/>
      <c r="J12598" s="1055"/>
      <c r="K12598" s="1205"/>
      <c r="L12598" s="1055"/>
      <c r="M12598" s="1205"/>
      <c r="N12598" s="1054"/>
      <c r="O12598" s="1207"/>
      <c r="Q12598" s="1207"/>
    </row>
    <row r="12599" spans="3:17" s="700" customFormat="1" ht="70.5" hidden="1" customHeight="1">
      <c r="C12599" s="701"/>
      <c r="D12599" s="811"/>
      <c r="E12599" s="1276">
        <f>[11]building!Y12930</f>
        <v>0</v>
      </c>
      <c r="F12599" s="748">
        <f t="shared" si="435"/>
        <v>0</v>
      </c>
      <c r="G12599" s="1205"/>
      <c r="H12599" s="1055"/>
      <c r="I12599" s="1055"/>
      <c r="J12599" s="1055"/>
      <c r="K12599" s="1205"/>
      <c r="L12599" s="1055"/>
      <c r="M12599" s="1205"/>
      <c r="N12599" s="1054"/>
      <c r="O12599" s="1207"/>
      <c r="Q12599" s="1207"/>
    </row>
    <row r="12600" spans="3:17" s="700" customFormat="1" ht="70.5" hidden="1" customHeight="1">
      <c r="C12600" s="701"/>
      <c r="D12600" s="811"/>
      <c r="E12600" s="1276">
        <f>[11]building!Y12931</f>
        <v>0</v>
      </c>
      <c r="F12600" s="748">
        <f t="shared" si="435"/>
        <v>0</v>
      </c>
      <c r="G12600" s="1205"/>
      <c r="H12600" s="1055"/>
      <c r="I12600" s="1055"/>
      <c r="J12600" s="1055"/>
      <c r="K12600" s="1205"/>
      <c r="L12600" s="1055"/>
      <c r="M12600" s="1205"/>
      <c r="N12600" s="1054"/>
      <c r="O12600" s="1207"/>
      <c r="Q12600" s="1207"/>
    </row>
    <row r="12601" spans="3:17" s="700" customFormat="1" ht="70.5" hidden="1" customHeight="1">
      <c r="C12601" s="701"/>
      <c r="D12601" s="811"/>
      <c r="E12601" s="1276">
        <f>[11]building!Y12932</f>
        <v>0</v>
      </c>
      <c r="F12601" s="748">
        <f t="shared" si="435"/>
        <v>0</v>
      </c>
      <c r="G12601" s="1205"/>
      <c r="H12601" s="1055"/>
      <c r="I12601" s="1055"/>
      <c r="J12601" s="1055"/>
      <c r="K12601" s="1205"/>
      <c r="L12601" s="1055"/>
      <c r="M12601" s="1205"/>
      <c r="N12601" s="1054"/>
      <c r="O12601" s="1207"/>
      <c r="Q12601" s="1207"/>
    </row>
    <row r="12602" spans="3:17" s="700" customFormat="1" ht="70.5" hidden="1" customHeight="1">
      <c r="C12602" s="701"/>
      <c r="D12602" s="811"/>
      <c r="E12602" s="1276">
        <f>[11]building!Y12933</f>
        <v>0</v>
      </c>
      <c r="F12602" s="748">
        <f t="shared" si="435"/>
        <v>0</v>
      </c>
      <c r="G12602" s="1205"/>
      <c r="H12602" s="1055"/>
      <c r="I12602" s="1055"/>
      <c r="J12602" s="1055"/>
      <c r="K12602" s="1205"/>
      <c r="L12602" s="1055"/>
      <c r="M12602" s="1205"/>
      <c r="N12602" s="1054"/>
      <c r="O12602" s="1207"/>
      <c r="Q12602" s="1207"/>
    </row>
    <row r="12603" spans="3:17" s="700" customFormat="1" ht="70.5" hidden="1" customHeight="1">
      <c r="C12603" s="701"/>
      <c r="D12603" s="811"/>
      <c r="E12603" s="1276">
        <f>[11]building!Y12934</f>
        <v>0</v>
      </c>
      <c r="F12603" s="748">
        <f t="shared" si="435"/>
        <v>0</v>
      </c>
      <c r="G12603" s="1205"/>
      <c r="H12603" s="1055"/>
      <c r="I12603" s="1055"/>
      <c r="J12603" s="1055"/>
      <c r="K12603" s="1205"/>
      <c r="L12603" s="1055"/>
      <c r="M12603" s="1205"/>
      <c r="N12603" s="1054"/>
      <c r="O12603" s="1207"/>
      <c r="Q12603" s="1207"/>
    </row>
    <row r="12604" spans="3:17" s="700" customFormat="1" ht="70.5" hidden="1" customHeight="1">
      <c r="C12604" s="701"/>
      <c r="D12604" s="811"/>
      <c r="E12604" s="1276">
        <f>[11]building!Y12935</f>
        <v>0</v>
      </c>
      <c r="F12604" s="748">
        <f t="shared" si="435"/>
        <v>0</v>
      </c>
      <c r="G12604" s="1205"/>
      <c r="H12604" s="1055"/>
      <c r="I12604" s="1055"/>
      <c r="J12604" s="1055"/>
      <c r="K12604" s="1205"/>
      <c r="L12604" s="1055"/>
      <c r="M12604" s="1205"/>
      <c r="N12604" s="1054"/>
      <c r="O12604" s="1207"/>
      <c r="Q12604" s="1207"/>
    </row>
    <row r="12605" spans="3:17" s="700" customFormat="1" ht="70.5" hidden="1" customHeight="1">
      <c r="C12605" s="701"/>
      <c r="D12605" s="811"/>
      <c r="E12605" s="1276">
        <f>[11]building!Y12936</f>
        <v>0</v>
      </c>
      <c r="F12605" s="748">
        <f t="shared" si="435"/>
        <v>0</v>
      </c>
      <c r="G12605" s="1205"/>
      <c r="H12605" s="1055"/>
      <c r="I12605" s="1055"/>
      <c r="J12605" s="1055"/>
      <c r="K12605" s="1205"/>
      <c r="L12605" s="1055"/>
      <c r="M12605" s="1205"/>
      <c r="N12605" s="1054"/>
      <c r="O12605" s="1207"/>
      <c r="Q12605" s="1207"/>
    </row>
    <row r="12606" spans="3:17" s="700" customFormat="1" ht="70.5" hidden="1" customHeight="1">
      <c r="C12606" s="701"/>
      <c r="D12606" s="811"/>
      <c r="E12606" s="1276">
        <f>[11]building!Y12937</f>
        <v>0</v>
      </c>
      <c r="F12606" s="748">
        <f t="shared" si="435"/>
        <v>0</v>
      </c>
      <c r="G12606" s="1205"/>
      <c r="H12606" s="1055"/>
      <c r="I12606" s="1055"/>
      <c r="J12606" s="1055"/>
      <c r="K12606" s="1205"/>
      <c r="L12606" s="1055"/>
      <c r="M12606" s="1205"/>
      <c r="N12606" s="1054"/>
      <c r="O12606" s="1207"/>
      <c r="Q12606" s="1207"/>
    </row>
    <row r="12607" spans="3:17" s="700" customFormat="1" ht="70.5" hidden="1" customHeight="1">
      <c r="C12607" s="701"/>
      <c r="D12607" s="811"/>
      <c r="E12607" s="1276">
        <f>[11]building!Y12938</f>
        <v>0</v>
      </c>
      <c r="F12607" s="748">
        <f t="shared" si="435"/>
        <v>0</v>
      </c>
      <c r="G12607" s="1205"/>
      <c r="H12607" s="1055"/>
      <c r="I12607" s="1055"/>
      <c r="J12607" s="1055"/>
      <c r="K12607" s="1205"/>
      <c r="L12607" s="1055"/>
      <c r="M12607" s="1205"/>
      <c r="N12607" s="1054"/>
      <c r="O12607" s="1207"/>
      <c r="Q12607" s="1207"/>
    </row>
    <row r="12608" spans="3:17" s="700" customFormat="1" ht="70.5" hidden="1" customHeight="1">
      <c r="C12608" s="701"/>
      <c r="D12608" s="811"/>
      <c r="E12608" s="1276">
        <f>[11]building!Y12939</f>
        <v>0</v>
      </c>
      <c r="F12608" s="748">
        <f t="shared" ref="F12608:F12671" si="436">E12608*C12608</f>
        <v>0</v>
      </c>
      <c r="G12608" s="1205"/>
      <c r="H12608" s="1055"/>
      <c r="I12608" s="1055"/>
      <c r="J12608" s="1055"/>
      <c r="K12608" s="1205"/>
      <c r="L12608" s="1055"/>
      <c r="M12608" s="1205"/>
      <c r="N12608" s="1054"/>
      <c r="O12608" s="1207"/>
      <c r="Q12608" s="1207"/>
    </row>
    <row r="12609" spans="3:17" s="700" customFormat="1" ht="70.5" hidden="1" customHeight="1">
      <c r="C12609" s="701"/>
      <c r="D12609" s="811"/>
      <c r="E12609" s="1276">
        <f>[11]building!Y12940</f>
        <v>0</v>
      </c>
      <c r="F12609" s="748">
        <f t="shared" si="436"/>
        <v>0</v>
      </c>
      <c r="G12609" s="1205"/>
      <c r="H12609" s="1055"/>
      <c r="I12609" s="1055"/>
      <c r="J12609" s="1055"/>
      <c r="K12609" s="1205"/>
      <c r="L12609" s="1055"/>
      <c r="M12609" s="1205"/>
      <c r="N12609" s="1054"/>
      <c r="O12609" s="1207"/>
      <c r="Q12609" s="1207"/>
    </row>
    <row r="12610" spans="3:17" s="700" customFormat="1" ht="70.5" hidden="1" customHeight="1">
      <c r="C12610" s="701"/>
      <c r="D12610" s="811"/>
      <c r="E12610" s="1276">
        <f>[11]building!Y12941</f>
        <v>0</v>
      </c>
      <c r="F12610" s="748">
        <f t="shared" si="436"/>
        <v>0</v>
      </c>
      <c r="G12610" s="1205"/>
      <c r="H12610" s="1055"/>
      <c r="I12610" s="1055"/>
      <c r="J12610" s="1055"/>
      <c r="K12610" s="1205"/>
      <c r="L12610" s="1055"/>
      <c r="M12610" s="1205"/>
      <c r="N12610" s="1054"/>
      <c r="O12610" s="1207"/>
      <c r="Q12610" s="1207"/>
    </row>
    <row r="12611" spans="3:17" s="700" customFormat="1" ht="70.5" hidden="1" customHeight="1">
      <c r="C12611" s="701"/>
      <c r="D12611" s="811"/>
      <c r="E12611" s="1276">
        <f>[11]building!Y12942</f>
        <v>0</v>
      </c>
      <c r="F12611" s="748">
        <f t="shared" si="436"/>
        <v>0</v>
      </c>
      <c r="G12611" s="1205"/>
      <c r="H12611" s="1055"/>
      <c r="I12611" s="1055"/>
      <c r="J12611" s="1055"/>
      <c r="K12611" s="1205"/>
      <c r="L12611" s="1055"/>
      <c r="M12611" s="1205"/>
      <c r="N12611" s="1054"/>
      <c r="O12611" s="1207"/>
      <c r="Q12611" s="1207"/>
    </row>
    <row r="12612" spans="3:17" s="700" customFormat="1" ht="70.5" hidden="1" customHeight="1">
      <c r="C12612" s="701"/>
      <c r="D12612" s="811"/>
      <c r="E12612" s="1276">
        <f>[11]building!Y12943</f>
        <v>0</v>
      </c>
      <c r="F12612" s="748">
        <f t="shared" si="436"/>
        <v>0</v>
      </c>
      <c r="G12612" s="1205"/>
      <c r="H12612" s="1055"/>
      <c r="I12612" s="1055"/>
      <c r="J12612" s="1055"/>
      <c r="K12612" s="1205"/>
      <c r="L12612" s="1055"/>
      <c r="M12612" s="1205"/>
      <c r="N12612" s="1054"/>
      <c r="O12612" s="1207"/>
      <c r="Q12612" s="1207"/>
    </row>
    <row r="12613" spans="3:17" s="700" customFormat="1" ht="70.5" hidden="1" customHeight="1">
      <c r="C12613" s="701"/>
      <c r="D12613" s="811"/>
      <c r="E12613" s="1276">
        <f>[11]building!Y12944</f>
        <v>0</v>
      </c>
      <c r="F12613" s="748">
        <f t="shared" si="436"/>
        <v>0</v>
      </c>
      <c r="G12613" s="1205"/>
      <c r="H12613" s="1055"/>
      <c r="I12613" s="1055"/>
      <c r="J12613" s="1055"/>
      <c r="K12613" s="1205"/>
      <c r="L12613" s="1055"/>
      <c r="M12613" s="1205"/>
      <c r="N12613" s="1054"/>
      <c r="O12613" s="1207"/>
      <c r="Q12613" s="1207"/>
    </row>
    <row r="12614" spans="3:17" s="700" customFormat="1" ht="70.5" hidden="1" customHeight="1">
      <c r="C12614" s="701"/>
      <c r="D12614" s="811"/>
      <c r="E12614" s="1276">
        <f>[11]building!Y12945</f>
        <v>0</v>
      </c>
      <c r="F12614" s="748">
        <f t="shared" si="436"/>
        <v>0</v>
      </c>
      <c r="G12614" s="1205"/>
      <c r="H12614" s="1055"/>
      <c r="I12614" s="1055"/>
      <c r="J12614" s="1055"/>
      <c r="K12614" s="1205"/>
      <c r="L12614" s="1055"/>
      <c r="M12614" s="1205"/>
      <c r="N12614" s="1054"/>
      <c r="O12614" s="1207"/>
      <c r="Q12614" s="1207"/>
    </row>
    <row r="12615" spans="3:17" s="700" customFormat="1" ht="70.5" hidden="1" customHeight="1">
      <c r="C12615" s="701"/>
      <c r="D12615" s="811"/>
      <c r="E12615" s="1276">
        <f>[11]building!Y12946</f>
        <v>0</v>
      </c>
      <c r="F12615" s="748">
        <f t="shared" si="436"/>
        <v>0</v>
      </c>
      <c r="G12615" s="1205"/>
      <c r="H12615" s="1055"/>
      <c r="I12615" s="1055"/>
      <c r="J12615" s="1055"/>
      <c r="K12615" s="1205"/>
      <c r="L12615" s="1055"/>
      <c r="M12615" s="1205"/>
      <c r="N12615" s="1054"/>
      <c r="O12615" s="1207"/>
      <c r="Q12615" s="1207"/>
    </row>
    <row r="12616" spans="3:17" s="700" customFormat="1" ht="70.5" hidden="1" customHeight="1">
      <c r="C12616" s="701"/>
      <c r="D12616" s="811"/>
      <c r="E12616" s="1276">
        <f>[11]building!Y12947</f>
        <v>0</v>
      </c>
      <c r="F12616" s="748">
        <f t="shared" si="436"/>
        <v>0</v>
      </c>
      <c r="G12616" s="1205"/>
      <c r="H12616" s="1055"/>
      <c r="I12616" s="1055"/>
      <c r="J12616" s="1055"/>
      <c r="K12616" s="1205"/>
      <c r="L12616" s="1055"/>
      <c r="M12616" s="1205"/>
      <c r="N12616" s="1054"/>
      <c r="O12616" s="1207"/>
      <c r="Q12616" s="1207"/>
    </row>
    <row r="12617" spans="3:17" s="700" customFormat="1" ht="70.5" hidden="1" customHeight="1">
      <c r="C12617" s="701"/>
      <c r="D12617" s="811"/>
      <c r="E12617" s="1276">
        <f>[11]building!Y12948</f>
        <v>0</v>
      </c>
      <c r="F12617" s="748">
        <f t="shared" si="436"/>
        <v>0</v>
      </c>
      <c r="G12617" s="1205"/>
      <c r="H12617" s="1055"/>
      <c r="I12617" s="1055"/>
      <c r="J12617" s="1055"/>
      <c r="K12617" s="1205"/>
      <c r="L12617" s="1055"/>
      <c r="M12617" s="1205"/>
      <c r="N12617" s="1054"/>
      <c r="O12617" s="1207"/>
      <c r="Q12617" s="1207"/>
    </row>
    <row r="12618" spans="3:17" s="700" customFormat="1" ht="70.5" hidden="1" customHeight="1">
      <c r="C12618" s="701"/>
      <c r="D12618" s="811"/>
      <c r="E12618" s="1276">
        <f>[11]building!Y12949</f>
        <v>0</v>
      </c>
      <c r="F12618" s="748">
        <f t="shared" si="436"/>
        <v>0</v>
      </c>
      <c r="G12618" s="1205"/>
      <c r="H12618" s="1055"/>
      <c r="I12618" s="1055"/>
      <c r="J12618" s="1055"/>
      <c r="K12618" s="1205"/>
      <c r="L12618" s="1055"/>
      <c r="M12618" s="1205"/>
      <c r="N12618" s="1054"/>
      <c r="O12618" s="1207"/>
      <c r="Q12618" s="1207"/>
    </row>
    <row r="12619" spans="3:17" s="700" customFormat="1" ht="70.5" hidden="1" customHeight="1">
      <c r="C12619" s="701"/>
      <c r="D12619" s="811"/>
      <c r="E12619" s="1276">
        <f>[11]building!Y12950</f>
        <v>0</v>
      </c>
      <c r="F12619" s="748">
        <f t="shared" si="436"/>
        <v>0</v>
      </c>
      <c r="G12619" s="1205"/>
      <c r="H12619" s="1055"/>
      <c r="I12619" s="1055"/>
      <c r="J12619" s="1055"/>
      <c r="K12619" s="1205"/>
      <c r="L12619" s="1055"/>
      <c r="M12619" s="1205"/>
      <c r="N12619" s="1054"/>
      <c r="O12619" s="1207"/>
      <c r="Q12619" s="1207"/>
    </row>
    <row r="12620" spans="3:17" s="700" customFormat="1" ht="70.5" hidden="1" customHeight="1">
      <c r="C12620" s="701"/>
      <c r="D12620" s="811"/>
      <c r="E12620" s="1276">
        <f>[11]building!Y12951</f>
        <v>0</v>
      </c>
      <c r="F12620" s="748">
        <f t="shared" si="436"/>
        <v>0</v>
      </c>
      <c r="G12620" s="1205"/>
      <c r="H12620" s="1055"/>
      <c r="I12620" s="1055"/>
      <c r="J12620" s="1055"/>
      <c r="K12620" s="1205"/>
      <c r="L12620" s="1055"/>
      <c r="M12620" s="1205"/>
      <c r="N12620" s="1054"/>
      <c r="O12620" s="1207"/>
      <c r="Q12620" s="1207"/>
    </row>
    <row r="12621" spans="3:17" s="700" customFormat="1" ht="70.5" hidden="1" customHeight="1">
      <c r="C12621" s="701"/>
      <c r="D12621" s="811"/>
      <c r="E12621" s="1276">
        <f>[11]building!Y12952</f>
        <v>0</v>
      </c>
      <c r="F12621" s="748">
        <f t="shared" si="436"/>
        <v>0</v>
      </c>
      <c r="G12621" s="1205"/>
      <c r="H12621" s="1055"/>
      <c r="I12621" s="1055"/>
      <c r="J12621" s="1055"/>
      <c r="K12621" s="1205"/>
      <c r="L12621" s="1055"/>
      <c r="M12621" s="1205"/>
      <c r="N12621" s="1054"/>
      <c r="O12621" s="1207"/>
      <c r="Q12621" s="1207"/>
    </row>
    <row r="12622" spans="3:17" s="700" customFormat="1" ht="70.5" hidden="1" customHeight="1">
      <c r="C12622" s="701"/>
      <c r="D12622" s="811"/>
      <c r="E12622" s="1276">
        <f>[11]building!Y12953</f>
        <v>0</v>
      </c>
      <c r="F12622" s="748">
        <f t="shared" si="436"/>
        <v>0</v>
      </c>
      <c r="G12622" s="1205"/>
      <c r="H12622" s="1055"/>
      <c r="I12622" s="1055"/>
      <c r="J12622" s="1055"/>
      <c r="K12622" s="1205"/>
      <c r="L12622" s="1055"/>
      <c r="M12622" s="1205"/>
      <c r="N12622" s="1054"/>
      <c r="O12622" s="1207"/>
      <c r="Q12622" s="1207"/>
    </row>
    <row r="12623" spans="3:17" s="700" customFormat="1" ht="70.5" hidden="1" customHeight="1">
      <c r="C12623" s="701"/>
      <c r="D12623" s="811"/>
      <c r="E12623" s="1276">
        <f>[11]building!Y12954</f>
        <v>0</v>
      </c>
      <c r="F12623" s="748">
        <f t="shared" si="436"/>
        <v>0</v>
      </c>
      <c r="G12623" s="1205"/>
      <c r="H12623" s="1055"/>
      <c r="I12623" s="1055"/>
      <c r="J12623" s="1055"/>
      <c r="K12623" s="1205"/>
      <c r="L12623" s="1055"/>
      <c r="M12623" s="1205"/>
      <c r="N12623" s="1054"/>
      <c r="O12623" s="1207"/>
      <c r="Q12623" s="1207"/>
    </row>
    <row r="12624" spans="3:17" s="700" customFormat="1" ht="70.5" hidden="1" customHeight="1">
      <c r="C12624" s="701"/>
      <c r="D12624" s="811"/>
      <c r="E12624" s="1276">
        <f>[11]building!Y12955</f>
        <v>0</v>
      </c>
      <c r="F12624" s="748">
        <f t="shared" si="436"/>
        <v>0</v>
      </c>
      <c r="G12624" s="1205"/>
      <c r="H12624" s="1055"/>
      <c r="I12624" s="1055"/>
      <c r="J12624" s="1055"/>
      <c r="K12624" s="1205"/>
      <c r="L12624" s="1055"/>
      <c r="M12624" s="1205"/>
      <c r="N12624" s="1054"/>
      <c r="O12624" s="1207"/>
      <c r="Q12624" s="1207"/>
    </row>
    <row r="12625" spans="3:17" s="700" customFormat="1" ht="70.5" hidden="1" customHeight="1">
      <c r="C12625" s="701"/>
      <c r="D12625" s="811"/>
      <c r="E12625" s="1276">
        <f>[11]building!Y12956</f>
        <v>0</v>
      </c>
      <c r="F12625" s="748">
        <f t="shared" si="436"/>
        <v>0</v>
      </c>
      <c r="G12625" s="1205"/>
      <c r="H12625" s="1055"/>
      <c r="I12625" s="1055"/>
      <c r="J12625" s="1055"/>
      <c r="K12625" s="1205"/>
      <c r="L12625" s="1055"/>
      <c r="M12625" s="1205"/>
      <c r="N12625" s="1054"/>
      <c r="O12625" s="1207"/>
      <c r="Q12625" s="1207"/>
    </row>
    <row r="12626" spans="3:17" s="700" customFormat="1" ht="70.5" hidden="1" customHeight="1">
      <c r="C12626" s="701"/>
      <c r="D12626" s="811"/>
      <c r="E12626" s="1276">
        <f>[11]building!Y12957</f>
        <v>0</v>
      </c>
      <c r="F12626" s="748">
        <f t="shared" si="436"/>
        <v>0</v>
      </c>
      <c r="G12626" s="1205"/>
      <c r="H12626" s="1055"/>
      <c r="I12626" s="1055"/>
      <c r="J12626" s="1055"/>
      <c r="K12626" s="1205"/>
      <c r="L12626" s="1055"/>
      <c r="M12626" s="1205"/>
      <c r="N12626" s="1054"/>
      <c r="O12626" s="1207"/>
      <c r="Q12626" s="1207"/>
    </row>
    <row r="12627" spans="3:17" s="700" customFormat="1" ht="70.5" hidden="1" customHeight="1">
      <c r="C12627" s="701"/>
      <c r="D12627" s="811"/>
      <c r="E12627" s="1276">
        <f>[11]building!Y12958</f>
        <v>0</v>
      </c>
      <c r="F12627" s="748">
        <f t="shared" si="436"/>
        <v>0</v>
      </c>
      <c r="G12627" s="1205"/>
      <c r="H12627" s="1055"/>
      <c r="I12627" s="1055"/>
      <c r="J12627" s="1055"/>
      <c r="K12627" s="1205"/>
      <c r="L12627" s="1055"/>
      <c r="M12627" s="1205"/>
      <c r="N12627" s="1054"/>
      <c r="O12627" s="1207"/>
      <c r="Q12627" s="1207"/>
    </row>
    <row r="12628" spans="3:17" s="700" customFormat="1" ht="70.5" hidden="1" customHeight="1">
      <c r="C12628" s="701"/>
      <c r="D12628" s="811"/>
      <c r="E12628" s="1276">
        <f>[11]building!Y12959</f>
        <v>0</v>
      </c>
      <c r="F12628" s="748">
        <f t="shared" si="436"/>
        <v>0</v>
      </c>
      <c r="G12628" s="1205"/>
      <c r="H12628" s="1055"/>
      <c r="I12628" s="1055"/>
      <c r="J12628" s="1055"/>
      <c r="K12628" s="1205"/>
      <c r="L12628" s="1055"/>
      <c r="M12628" s="1205"/>
      <c r="N12628" s="1054"/>
      <c r="O12628" s="1207"/>
      <c r="Q12628" s="1207"/>
    </row>
    <row r="12629" spans="3:17" s="700" customFormat="1" ht="70.5" hidden="1" customHeight="1">
      <c r="C12629" s="701"/>
      <c r="D12629" s="811"/>
      <c r="E12629" s="1276">
        <f>[11]building!Y12960</f>
        <v>0</v>
      </c>
      <c r="F12629" s="748">
        <f t="shared" si="436"/>
        <v>0</v>
      </c>
      <c r="G12629" s="1205"/>
      <c r="H12629" s="1055"/>
      <c r="I12629" s="1055"/>
      <c r="J12629" s="1055"/>
      <c r="K12629" s="1205"/>
      <c r="L12629" s="1055"/>
      <c r="M12629" s="1205"/>
      <c r="N12629" s="1054"/>
      <c r="O12629" s="1207"/>
      <c r="Q12629" s="1207"/>
    </row>
    <row r="12630" spans="3:17" s="700" customFormat="1" ht="70.5" hidden="1" customHeight="1">
      <c r="C12630" s="701"/>
      <c r="D12630" s="811"/>
      <c r="E12630" s="1276">
        <f>[11]building!Y12961</f>
        <v>0</v>
      </c>
      <c r="F12630" s="748">
        <f t="shared" si="436"/>
        <v>0</v>
      </c>
      <c r="G12630" s="1205"/>
      <c r="H12630" s="1055"/>
      <c r="I12630" s="1055"/>
      <c r="J12630" s="1055"/>
      <c r="K12630" s="1205"/>
      <c r="L12630" s="1055"/>
      <c r="M12630" s="1205"/>
      <c r="N12630" s="1054"/>
      <c r="O12630" s="1207"/>
      <c r="Q12630" s="1207"/>
    </row>
    <row r="12631" spans="3:17" s="700" customFormat="1" ht="70.5" hidden="1" customHeight="1">
      <c r="C12631" s="701"/>
      <c r="D12631" s="811"/>
      <c r="E12631" s="1276">
        <f>[11]building!Y12962</f>
        <v>0</v>
      </c>
      <c r="F12631" s="748">
        <f t="shared" si="436"/>
        <v>0</v>
      </c>
      <c r="G12631" s="1205"/>
      <c r="H12631" s="1055"/>
      <c r="I12631" s="1055"/>
      <c r="J12631" s="1055"/>
      <c r="K12631" s="1205"/>
      <c r="L12631" s="1055"/>
      <c r="M12631" s="1205"/>
      <c r="N12631" s="1054"/>
      <c r="O12631" s="1207"/>
      <c r="Q12631" s="1207"/>
    </row>
    <row r="12632" spans="3:17" s="700" customFormat="1" ht="70.5" hidden="1" customHeight="1">
      <c r="C12632" s="701"/>
      <c r="D12632" s="811"/>
      <c r="E12632" s="1276">
        <f>[11]building!Y12963</f>
        <v>0</v>
      </c>
      <c r="F12632" s="748">
        <f t="shared" si="436"/>
        <v>0</v>
      </c>
      <c r="G12632" s="1205"/>
      <c r="H12632" s="1055"/>
      <c r="I12632" s="1055"/>
      <c r="J12632" s="1055"/>
      <c r="K12632" s="1205"/>
      <c r="L12632" s="1055"/>
      <c r="M12632" s="1205"/>
      <c r="N12632" s="1054"/>
      <c r="O12632" s="1207"/>
      <c r="Q12632" s="1207"/>
    </row>
    <row r="12633" spans="3:17" s="700" customFormat="1" ht="70.5" hidden="1" customHeight="1">
      <c r="C12633" s="701"/>
      <c r="D12633" s="811"/>
      <c r="E12633" s="1276">
        <f>[11]building!Y12964</f>
        <v>0</v>
      </c>
      <c r="F12633" s="748">
        <f t="shared" si="436"/>
        <v>0</v>
      </c>
      <c r="G12633" s="1205"/>
      <c r="H12633" s="1055"/>
      <c r="I12633" s="1055"/>
      <c r="J12633" s="1055"/>
      <c r="K12633" s="1205"/>
      <c r="L12633" s="1055"/>
      <c r="M12633" s="1205"/>
      <c r="N12633" s="1054"/>
      <c r="O12633" s="1207"/>
      <c r="Q12633" s="1207"/>
    </row>
    <row r="12634" spans="3:17" s="700" customFormat="1" ht="70.5" hidden="1" customHeight="1">
      <c r="C12634" s="701"/>
      <c r="D12634" s="811"/>
      <c r="E12634" s="1276">
        <f>[11]building!Y12965</f>
        <v>0</v>
      </c>
      <c r="F12634" s="748">
        <f t="shared" si="436"/>
        <v>0</v>
      </c>
      <c r="G12634" s="1205"/>
      <c r="H12634" s="1055"/>
      <c r="I12634" s="1055"/>
      <c r="J12634" s="1055"/>
      <c r="K12634" s="1205"/>
      <c r="L12634" s="1055"/>
      <c r="M12634" s="1205"/>
      <c r="N12634" s="1054"/>
      <c r="O12634" s="1207"/>
      <c r="Q12634" s="1207"/>
    </row>
    <row r="12635" spans="3:17" s="700" customFormat="1" ht="70.5" hidden="1" customHeight="1">
      <c r="C12635" s="701"/>
      <c r="D12635" s="811"/>
      <c r="E12635" s="1276">
        <f>[11]building!Y12966</f>
        <v>0</v>
      </c>
      <c r="F12635" s="748">
        <f t="shared" si="436"/>
        <v>0</v>
      </c>
      <c r="G12635" s="1205"/>
      <c r="H12635" s="1055"/>
      <c r="I12635" s="1055"/>
      <c r="J12635" s="1055"/>
      <c r="K12635" s="1205"/>
      <c r="L12635" s="1055"/>
      <c r="M12635" s="1205"/>
      <c r="N12635" s="1054"/>
      <c r="O12635" s="1207"/>
      <c r="Q12635" s="1207"/>
    </row>
    <row r="12636" spans="3:17" s="700" customFormat="1" ht="70.5" hidden="1" customHeight="1">
      <c r="C12636" s="701"/>
      <c r="D12636" s="811"/>
      <c r="E12636" s="1276">
        <f>[11]building!Y12967</f>
        <v>0</v>
      </c>
      <c r="F12636" s="748">
        <f t="shared" si="436"/>
        <v>0</v>
      </c>
      <c r="G12636" s="1205"/>
      <c r="H12636" s="1055"/>
      <c r="I12636" s="1055"/>
      <c r="J12636" s="1055"/>
      <c r="K12636" s="1205"/>
      <c r="L12636" s="1055"/>
      <c r="M12636" s="1205"/>
      <c r="N12636" s="1054"/>
      <c r="O12636" s="1207"/>
      <c r="Q12636" s="1207"/>
    </row>
    <row r="12637" spans="3:17" s="700" customFormat="1" ht="70.5" hidden="1" customHeight="1">
      <c r="C12637" s="701"/>
      <c r="D12637" s="811"/>
      <c r="E12637" s="1276">
        <f>[11]building!Y12968</f>
        <v>0</v>
      </c>
      <c r="F12637" s="748">
        <f t="shared" si="436"/>
        <v>0</v>
      </c>
      <c r="G12637" s="1205"/>
      <c r="H12637" s="1055"/>
      <c r="I12637" s="1055"/>
      <c r="J12637" s="1055"/>
      <c r="K12637" s="1205"/>
      <c r="L12637" s="1055"/>
      <c r="M12637" s="1205"/>
      <c r="N12637" s="1054"/>
      <c r="O12637" s="1207"/>
      <c r="Q12637" s="1207"/>
    </row>
    <row r="12638" spans="3:17" s="700" customFormat="1" ht="70.5" hidden="1" customHeight="1">
      <c r="C12638" s="701"/>
      <c r="D12638" s="811"/>
      <c r="E12638" s="1276">
        <f>[11]building!Y12969</f>
        <v>0</v>
      </c>
      <c r="F12638" s="748">
        <f t="shared" si="436"/>
        <v>0</v>
      </c>
      <c r="G12638" s="1205"/>
      <c r="H12638" s="1055"/>
      <c r="I12638" s="1055"/>
      <c r="J12638" s="1055"/>
      <c r="K12638" s="1205"/>
      <c r="L12638" s="1055"/>
      <c r="M12638" s="1205"/>
      <c r="N12638" s="1054"/>
      <c r="O12638" s="1207"/>
      <c r="Q12638" s="1207"/>
    </row>
    <row r="12639" spans="3:17" s="700" customFormat="1" ht="70.5" hidden="1" customHeight="1">
      <c r="C12639" s="701"/>
      <c r="D12639" s="811"/>
      <c r="E12639" s="1276">
        <f>[11]building!Y12970</f>
        <v>0</v>
      </c>
      <c r="F12639" s="748">
        <f t="shared" si="436"/>
        <v>0</v>
      </c>
      <c r="G12639" s="1205"/>
      <c r="H12639" s="1055"/>
      <c r="I12639" s="1055"/>
      <c r="J12639" s="1055"/>
      <c r="K12639" s="1205"/>
      <c r="L12639" s="1055"/>
      <c r="M12639" s="1205"/>
      <c r="N12639" s="1054"/>
      <c r="O12639" s="1207"/>
      <c r="Q12639" s="1207"/>
    </row>
    <row r="12640" spans="3:17" s="700" customFormat="1" ht="70.5" hidden="1" customHeight="1">
      <c r="C12640" s="701"/>
      <c r="D12640" s="811"/>
      <c r="E12640" s="1276">
        <f>[11]building!Y12971</f>
        <v>0</v>
      </c>
      <c r="F12640" s="748">
        <f t="shared" si="436"/>
        <v>0</v>
      </c>
      <c r="G12640" s="1205"/>
      <c r="H12640" s="1055"/>
      <c r="I12640" s="1055"/>
      <c r="J12640" s="1055"/>
      <c r="K12640" s="1205"/>
      <c r="L12640" s="1055"/>
      <c r="M12640" s="1205"/>
      <c r="N12640" s="1054"/>
      <c r="O12640" s="1207"/>
      <c r="Q12640" s="1207"/>
    </row>
    <row r="12641" spans="3:17" s="700" customFormat="1" ht="70.5" hidden="1" customHeight="1">
      <c r="C12641" s="701"/>
      <c r="D12641" s="811"/>
      <c r="E12641" s="1276">
        <f>[11]building!Y12972</f>
        <v>0</v>
      </c>
      <c r="F12641" s="748">
        <f t="shared" si="436"/>
        <v>0</v>
      </c>
      <c r="G12641" s="1205"/>
      <c r="H12641" s="1055"/>
      <c r="I12641" s="1055"/>
      <c r="J12641" s="1055"/>
      <c r="K12641" s="1205"/>
      <c r="L12641" s="1055"/>
      <c r="M12641" s="1205"/>
      <c r="N12641" s="1054"/>
      <c r="O12641" s="1207"/>
      <c r="Q12641" s="1207"/>
    </row>
    <row r="12642" spans="3:17" s="700" customFormat="1" ht="70.5" hidden="1" customHeight="1">
      <c r="C12642" s="701"/>
      <c r="D12642" s="811"/>
      <c r="E12642" s="1276">
        <f>[11]building!Y12973</f>
        <v>0</v>
      </c>
      <c r="F12642" s="748">
        <f t="shared" si="436"/>
        <v>0</v>
      </c>
      <c r="G12642" s="1205"/>
      <c r="H12642" s="1055"/>
      <c r="I12642" s="1055"/>
      <c r="J12642" s="1055"/>
      <c r="K12642" s="1205"/>
      <c r="L12642" s="1055"/>
      <c r="M12642" s="1205"/>
      <c r="N12642" s="1054"/>
      <c r="O12642" s="1207"/>
      <c r="Q12642" s="1207"/>
    </row>
    <row r="12643" spans="3:17" s="700" customFormat="1" ht="70.5" hidden="1" customHeight="1">
      <c r="C12643" s="701"/>
      <c r="D12643" s="811"/>
      <c r="E12643" s="1276">
        <f>[11]building!Y12974</f>
        <v>0</v>
      </c>
      <c r="F12643" s="748">
        <f t="shared" si="436"/>
        <v>0</v>
      </c>
      <c r="G12643" s="1205"/>
      <c r="H12643" s="1055"/>
      <c r="I12643" s="1055"/>
      <c r="J12643" s="1055"/>
      <c r="K12643" s="1205"/>
      <c r="L12643" s="1055"/>
      <c r="M12643" s="1205"/>
      <c r="N12643" s="1054"/>
      <c r="O12643" s="1207"/>
      <c r="Q12643" s="1207"/>
    </row>
    <row r="12644" spans="3:17" s="700" customFormat="1" ht="70.5" hidden="1" customHeight="1">
      <c r="C12644" s="701"/>
      <c r="D12644" s="811"/>
      <c r="E12644" s="1276">
        <f>[11]building!Y12975</f>
        <v>0</v>
      </c>
      <c r="F12644" s="748">
        <f t="shared" si="436"/>
        <v>0</v>
      </c>
      <c r="G12644" s="1205"/>
      <c r="H12644" s="1055"/>
      <c r="I12644" s="1055"/>
      <c r="J12644" s="1055"/>
      <c r="K12644" s="1205"/>
      <c r="L12644" s="1055"/>
      <c r="M12644" s="1205"/>
      <c r="N12644" s="1054"/>
      <c r="O12644" s="1207"/>
      <c r="Q12644" s="1207"/>
    </row>
    <row r="12645" spans="3:17" s="700" customFormat="1" ht="70.5" hidden="1" customHeight="1">
      <c r="C12645" s="701"/>
      <c r="D12645" s="811"/>
      <c r="E12645" s="1276">
        <f>[11]building!Y12976</f>
        <v>0</v>
      </c>
      <c r="F12645" s="748">
        <f t="shared" si="436"/>
        <v>0</v>
      </c>
      <c r="G12645" s="1205"/>
      <c r="H12645" s="1055"/>
      <c r="I12645" s="1055"/>
      <c r="J12645" s="1055"/>
      <c r="K12645" s="1205"/>
      <c r="L12645" s="1055"/>
      <c r="M12645" s="1205"/>
      <c r="N12645" s="1054"/>
      <c r="O12645" s="1207"/>
      <c r="Q12645" s="1207"/>
    </row>
    <row r="12646" spans="3:17" s="700" customFormat="1" ht="70.5" hidden="1" customHeight="1">
      <c r="C12646" s="701"/>
      <c r="D12646" s="811"/>
      <c r="E12646" s="1276">
        <f>[11]building!Y12977</f>
        <v>0</v>
      </c>
      <c r="F12646" s="748">
        <f t="shared" si="436"/>
        <v>0</v>
      </c>
      <c r="G12646" s="1205"/>
      <c r="H12646" s="1055"/>
      <c r="I12646" s="1055"/>
      <c r="J12646" s="1055"/>
      <c r="K12646" s="1205"/>
      <c r="L12646" s="1055"/>
      <c r="M12646" s="1205"/>
      <c r="N12646" s="1054"/>
      <c r="O12646" s="1207"/>
      <c r="Q12646" s="1207"/>
    </row>
    <row r="12647" spans="3:17" s="700" customFormat="1" ht="70.5" hidden="1" customHeight="1">
      <c r="C12647" s="701"/>
      <c r="D12647" s="811"/>
      <c r="E12647" s="1276">
        <f>[11]building!Y12978</f>
        <v>0</v>
      </c>
      <c r="F12647" s="748">
        <f t="shared" si="436"/>
        <v>0</v>
      </c>
      <c r="G12647" s="1205"/>
      <c r="H12647" s="1055"/>
      <c r="I12647" s="1055"/>
      <c r="J12647" s="1055"/>
      <c r="K12647" s="1205"/>
      <c r="L12647" s="1055"/>
      <c r="M12647" s="1205"/>
      <c r="N12647" s="1054"/>
      <c r="O12647" s="1207"/>
      <c r="Q12647" s="1207"/>
    </row>
    <row r="12648" spans="3:17" s="700" customFormat="1" ht="70.5" hidden="1" customHeight="1">
      <c r="C12648" s="701"/>
      <c r="D12648" s="811"/>
      <c r="E12648" s="1276">
        <f>[11]building!Y12979</f>
        <v>0</v>
      </c>
      <c r="F12648" s="748">
        <f t="shared" si="436"/>
        <v>0</v>
      </c>
      <c r="G12648" s="1205"/>
      <c r="H12648" s="1055"/>
      <c r="I12648" s="1055"/>
      <c r="J12648" s="1055"/>
      <c r="K12648" s="1205"/>
      <c r="L12648" s="1055"/>
      <c r="M12648" s="1205"/>
      <c r="N12648" s="1054"/>
      <c r="O12648" s="1207"/>
      <c r="Q12648" s="1207"/>
    </row>
    <row r="12649" spans="3:17" s="700" customFormat="1" ht="70.5" hidden="1" customHeight="1">
      <c r="C12649" s="701"/>
      <c r="D12649" s="811"/>
      <c r="E12649" s="1276">
        <f>[11]building!Y12980</f>
        <v>0</v>
      </c>
      <c r="F12649" s="748">
        <f t="shared" si="436"/>
        <v>0</v>
      </c>
      <c r="G12649" s="1205"/>
      <c r="H12649" s="1055"/>
      <c r="I12649" s="1055"/>
      <c r="J12649" s="1055"/>
      <c r="K12649" s="1205"/>
      <c r="L12649" s="1055"/>
      <c r="M12649" s="1205"/>
      <c r="N12649" s="1054"/>
      <c r="O12649" s="1207"/>
      <c r="Q12649" s="1207"/>
    </row>
    <row r="12650" spans="3:17" s="700" customFormat="1" ht="70.5" hidden="1" customHeight="1">
      <c r="C12650" s="701"/>
      <c r="D12650" s="811"/>
      <c r="E12650" s="1276">
        <f>[11]building!Y12981</f>
        <v>0</v>
      </c>
      <c r="F12650" s="748">
        <f t="shared" si="436"/>
        <v>0</v>
      </c>
      <c r="G12650" s="1205"/>
      <c r="H12650" s="1055"/>
      <c r="I12650" s="1055"/>
      <c r="J12650" s="1055"/>
      <c r="K12650" s="1205"/>
      <c r="L12650" s="1055"/>
      <c r="M12650" s="1205"/>
      <c r="N12650" s="1054"/>
      <c r="O12650" s="1207"/>
      <c r="Q12650" s="1207"/>
    </row>
    <row r="12651" spans="3:17" s="700" customFormat="1" ht="70.5" hidden="1" customHeight="1">
      <c r="C12651" s="701"/>
      <c r="D12651" s="811"/>
      <c r="E12651" s="1276">
        <f>[11]building!Y12982</f>
        <v>0</v>
      </c>
      <c r="F12651" s="748">
        <f t="shared" si="436"/>
        <v>0</v>
      </c>
      <c r="G12651" s="1205"/>
      <c r="H12651" s="1055"/>
      <c r="I12651" s="1055"/>
      <c r="J12651" s="1055"/>
      <c r="K12651" s="1205"/>
      <c r="L12651" s="1055"/>
      <c r="M12651" s="1205"/>
      <c r="N12651" s="1054"/>
      <c r="O12651" s="1207"/>
      <c r="Q12651" s="1207"/>
    </row>
    <row r="12652" spans="3:17" s="700" customFormat="1" ht="70.5" hidden="1" customHeight="1">
      <c r="C12652" s="701"/>
      <c r="D12652" s="811"/>
      <c r="E12652" s="1276">
        <f>[11]building!Y12983</f>
        <v>0</v>
      </c>
      <c r="F12652" s="748">
        <f t="shared" si="436"/>
        <v>0</v>
      </c>
      <c r="G12652" s="1205"/>
      <c r="H12652" s="1055"/>
      <c r="I12652" s="1055"/>
      <c r="J12652" s="1055"/>
      <c r="K12652" s="1205"/>
      <c r="L12652" s="1055"/>
      <c r="M12652" s="1205"/>
      <c r="N12652" s="1054"/>
      <c r="O12652" s="1207"/>
      <c r="Q12652" s="1207"/>
    </row>
    <row r="12653" spans="3:17" s="700" customFormat="1" ht="70.5" hidden="1" customHeight="1">
      <c r="C12653" s="701"/>
      <c r="D12653" s="811"/>
      <c r="E12653" s="1276">
        <f>[11]building!Y12984</f>
        <v>0</v>
      </c>
      <c r="F12653" s="748">
        <f t="shared" si="436"/>
        <v>0</v>
      </c>
      <c r="G12653" s="1205"/>
      <c r="H12653" s="1055"/>
      <c r="I12653" s="1055"/>
      <c r="J12653" s="1055"/>
      <c r="K12653" s="1205"/>
      <c r="L12653" s="1055"/>
      <c r="M12653" s="1205"/>
      <c r="N12653" s="1054"/>
      <c r="O12653" s="1207"/>
      <c r="Q12653" s="1207"/>
    </row>
    <row r="12654" spans="3:17" s="700" customFormat="1" ht="70.5" hidden="1" customHeight="1">
      <c r="C12654" s="701"/>
      <c r="D12654" s="811"/>
      <c r="E12654" s="1276">
        <f>[11]building!Y12985</f>
        <v>0</v>
      </c>
      <c r="F12654" s="748">
        <f t="shared" si="436"/>
        <v>0</v>
      </c>
      <c r="G12654" s="1205"/>
      <c r="H12654" s="1055"/>
      <c r="I12654" s="1055"/>
      <c r="J12654" s="1055"/>
      <c r="K12654" s="1205"/>
      <c r="L12654" s="1055"/>
      <c r="M12654" s="1205"/>
      <c r="N12654" s="1054"/>
      <c r="O12654" s="1207"/>
      <c r="Q12654" s="1207"/>
    </row>
    <row r="12655" spans="3:17" s="700" customFormat="1" ht="70.5" hidden="1" customHeight="1">
      <c r="C12655" s="701"/>
      <c r="D12655" s="811"/>
      <c r="E12655" s="1276">
        <f>[11]building!Y12986</f>
        <v>0</v>
      </c>
      <c r="F12655" s="748">
        <f t="shared" si="436"/>
        <v>0</v>
      </c>
      <c r="G12655" s="1205"/>
      <c r="H12655" s="1055"/>
      <c r="I12655" s="1055"/>
      <c r="J12655" s="1055"/>
      <c r="K12655" s="1205"/>
      <c r="L12655" s="1055"/>
      <c r="M12655" s="1205"/>
      <c r="N12655" s="1054"/>
      <c r="O12655" s="1207"/>
      <c r="Q12655" s="1207"/>
    </row>
    <row r="12656" spans="3:17" s="700" customFormat="1" ht="70.5" hidden="1" customHeight="1">
      <c r="C12656" s="701"/>
      <c r="D12656" s="811"/>
      <c r="E12656" s="1276">
        <f>[11]building!Y12987</f>
        <v>0</v>
      </c>
      <c r="F12656" s="748">
        <f t="shared" si="436"/>
        <v>0</v>
      </c>
      <c r="G12656" s="1205"/>
      <c r="H12656" s="1055"/>
      <c r="I12656" s="1055"/>
      <c r="J12656" s="1055"/>
      <c r="K12656" s="1205"/>
      <c r="L12656" s="1055"/>
      <c r="M12656" s="1205"/>
      <c r="N12656" s="1054"/>
      <c r="O12656" s="1207"/>
      <c r="Q12656" s="1207"/>
    </row>
    <row r="12657" spans="3:17" s="700" customFormat="1" ht="70.5" hidden="1" customHeight="1">
      <c r="C12657" s="701"/>
      <c r="D12657" s="811"/>
      <c r="E12657" s="1276">
        <f>[11]building!Y12988</f>
        <v>0</v>
      </c>
      <c r="F12657" s="748">
        <f t="shared" si="436"/>
        <v>0</v>
      </c>
      <c r="G12657" s="1205"/>
      <c r="H12657" s="1055"/>
      <c r="I12657" s="1055"/>
      <c r="J12657" s="1055"/>
      <c r="K12657" s="1205"/>
      <c r="L12657" s="1055"/>
      <c r="M12657" s="1205"/>
      <c r="N12657" s="1054"/>
      <c r="O12657" s="1207"/>
      <c r="Q12657" s="1207"/>
    </row>
    <row r="12658" spans="3:17" s="700" customFormat="1" ht="70.5" hidden="1" customHeight="1">
      <c r="C12658" s="701"/>
      <c r="D12658" s="811"/>
      <c r="E12658" s="1276">
        <f>[11]building!Y12989</f>
        <v>0</v>
      </c>
      <c r="F12658" s="748">
        <f t="shared" si="436"/>
        <v>0</v>
      </c>
      <c r="G12658" s="1205"/>
      <c r="H12658" s="1055"/>
      <c r="I12658" s="1055"/>
      <c r="J12658" s="1055"/>
      <c r="K12658" s="1205"/>
      <c r="L12658" s="1055"/>
      <c r="M12658" s="1205"/>
      <c r="N12658" s="1054"/>
      <c r="O12658" s="1207"/>
      <c r="Q12658" s="1207"/>
    </row>
    <row r="12659" spans="3:17" s="700" customFormat="1" ht="70.5" hidden="1" customHeight="1">
      <c r="C12659" s="701"/>
      <c r="D12659" s="811"/>
      <c r="E12659" s="1276">
        <f>[11]building!Y12990</f>
        <v>0</v>
      </c>
      <c r="F12659" s="748">
        <f t="shared" si="436"/>
        <v>0</v>
      </c>
      <c r="G12659" s="1205"/>
      <c r="H12659" s="1055"/>
      <c r="I12659" s="1055"/>
      <c r="J12659" s="1055"/>
      <c r="K12659" s="1205"/>
      <c r="L12659" s="1055"/>
      <c r="M12659" s="1205"/>
      <c r="N12659" s="1054"/>
      <c r="O12659" s="1207"/>
      <c r="Q12659" s="1207"/>
    </row>
    <row r="12660" spans="3:17" s="700" customFormat="1" ht="70.5" hidden="1" customHeight="1">
      <c r="C12660" s="701"/>
      <c r="D12660" s="811"/>
      <c r="E12660" s="1276">
        <f>[11]building!Y12991</f>
        <v>0</v>
      </c>
      <c r="F12660" s="748">
        <f t="shared" si="436"/>
        <v>0</v>
      </c>
      <c r="G12660" s="1205"/>
      <c r="H12660" s="1055"/>
      <c r="I12660" s="1055"/>
      <c r="J12660" s="1055"/>
      <c r="K12660" s="1205"/>
      <c r="L12660" s="1055"/>
      <c r="M12660" s="1205"/>
      <c r="N12660" s="1054"/>
      <c r="O12660" s="1207"/>
      <c r="Q12660" s="1207"/>
    </row>
    <row r="12661" spans="3:17" s="700" customFormat="1" ht="70.5" hidden="1" customHeight="1">
      <c r="C12661" s="701"/>
      <c r="D12661" s="811"/>
      <c r="E12661" s="1276">
        <f>[11]building!Y12992</f>
        <v>0</v>
      </c>
      <c r="F12661" s="748">
        <f t="shared" si="436"/>
        <v>0</v>
      </c>
      <c r="G12661" s="1205"/>
      <c r="H12661" s="1055"/>
      <c r="I12661" s="1055"/>
      <c r="J12661" s="1055"/>
      <c r="K12661" s="1205"/>
      <c r="L12661" s="1055"/>
      <c r="M12661" s="1205"/>
      <c r="N12661" s="1054"/>
      <c r="O12661" s="1207"/>
      <c r="Q12661" s="1207"/>
    </row>
    <row r="12662" spans="3:17" s="700" customFormat="1" ht="70.5" hidden="1" customHeight="1">
      <c r="C12662" s="701"/>
      <c r="D12662" s="811"/>
      <c r="E12662" s="1276">
        <f>[11]building!Y12993</f>
        <v>0</v>
      </c>
      <c r="F12662" s="748">
        <f t="shared" si="436"/>
        <v>0</v>
      </c>
      <c r="G12662" s="1205"/>
      <c r="H12662" s="1055"/>
      <c r="I12662" s="1055"/>
      <c r="J12662" s="1055"/>
      <c r="K12662" s="1205"/>
      <c r="L12662" s="1055"/>
      <c r="M12662" s="1205"/>
      <c r="N12662" s="1054"/>
      <c r="O12662" s="1207"/>
      <c r="Q12662" s="1207"/>
    </row>
    <row r="12663" spans="3:17" s="700" customFormat="1" ht="70.5" hidden="1" customHeight="1">
      <c r="C12663" s="701"/>
      <c r="D12663" s="811"/>
      <c r="E12663" s="1276">
        <f>[11]building!Y12994</f>
        <v>0</v>
      </c>
      <c r="F12663" s="748">
        <f t="shared" si="436"/>
        <v>0</v>
      </c>
      <c r="G12663" s="1205"/>
      <c r="H12663" s="1055"/>
      <c r="I12663" s="1055"/>
      <c r="J12663" s="1055"/>
      <c r="K12663" s="1205"/>
      <c r="L12663" s="1055"/>
      <c r="M12663" s="1205"/>
      <c r="N12663" s="1054"/>
      <c r="O12663" s="1207"/>
      <c r="Q12663" s="1207"/>
    </row>
    <row r="12664" spans="3:17" s="700" customFormat="1" ht="70.5" hidden="1" customHeight="1">
      <c r="C12664" s="701"/>
      <c r="D12664" s="811"/>
      <c r="E12664" s="1276">
        <f>[11]building!Y12995</f>
        <v>0</v>
      </c>
      <c r="F12664" s="748">
        <f t="shared" si="436"/>
        <v>0</v>
      </c>
      <c r="G12664" s="1205"/>
      <c r="H12664" s="1055"/>
      <c r="I12664" s="1055"/>
      <c r="J12664" s="1055"/>
      <c r="K12664" s="1205"/>
      <c r="L12664" s="1055"/>
      <c r="M12664" s="1205"/>
      <c r="N12664" s="1054"/>
      <c r="O12664" s="1207"/>
      <c r="Q12664" s="1207"/>
    </row>
    <row r="12665" spans="3:17" s="700" customFormat="1" ht="70.5" hidden="1" customHeight="1">
      <c r="C12665" s="701"/>
      <c r="D12665" s="811"/>
      <c r="E12665" s="1276">
        <f>[11]building!Y12996</f>
        <v>0</v>
      </c>
      <c r="F12665" s="748">
        <f t="shared" si="436"/>
        <v>0</v>
      </c>
      <c r="G12665" s="1205"/>
      <c r="H12665" s="1055"/>
      <c r="I12665" s="1055"/>
      <c r="J12665" s="1055"/>
      <c r="K12665" s="1205"/>
      <c r="L12665" s="1055"/>
      <c r="M12665" s="1205"/>
      <c r="N12665" s="1054"/>
      <c r="O12665" s="1207"/>
      <c r="Q12665" s="1207"/>
    </row>
    <row r="12666" spans="3:17" s="700" customFormat="1" ht="70.5" hidden="1" customHeight="1">
      <c r="C12666" s="701"/>
      <c r="D12666" s="811"/>
      <c r="E12666" s="1276">
        <f>[11]building!Y12997</f>
        <v>0</v>
      </c>
      <c r="F12666" s="748">
        <f t="shared" si="436"/>
        <v>0</v>
      </c>
      <c r="G12666" s="1205"/>
      <c r="H12666" s="1055"/>
      <c r="I12666" s="1055"/>
      <c r="J12666" s="1055"/>
      <c r="K12666" s="1205"/>
      <c r="L12666" s="1055"/>
      <c r="M12666" s="1205"/>
      <c r="N12666" s="1054"/>
      <c r="O12666" s="1207"/>
      <c r="Q12666" s="1207"/>
    </row>
    <row r="12667" spans="3:17" s="700" customFormat="1" ht="70.5" hidden="1" customHeight="1">
      <c r="C12667" s="701"/>
      <c r="D12667" s="811"/>
      <c r="E12667" s="1276">
        <f>[11]building!Y12998</f>
        <v>0</v>
      </c>
      <c r="F12667" s="748">
        <f t="shared" si="436"/>
        <v>0</v>
      </c>
      <c r="G12667" s="1205"/>
      <c r="H12667" s="1055"/>
      <c r="I12667" s="1055"/>
      <c r="J12667" s="1055"/>
      <c r="K12667" s="1205"/>
      <c r="L12667" s="1055"/>
      <c r="M12667" s="1205"/>
      <c r="N12667" s="1054"/>
      <c r="O12667" s="1207"/>
      <c r="Q12667" s="1207"/>
    </row>
    <row r="12668" spans="3:17" s="700" customFormat="1" ht="70.5" hidden="1" customHeight="1">
      <c r="C12668" s="701"/>
      <c r="D12668" s="811"/>
      <c r="E12668" s="1276">
        <f>[11]building!Y12999</f>
        <v>0</v>
      </c>
      <c r="F12668" s="748">
        <f t="shared" si="436"/>
        <v>0</v>
      </c>
      <c r="G12668" s="1205"/>
      <c r="H12668" s="1055"/>
      <c r="I12668" s="1055"/>
      <c r="J12668" s="1055"/>
      <c r="K12668" s="1205"/>
      <c r="L12668" s="1055"/>
      <c r="M12668" s="1205"/>
      <c r="N12668" s="1054"/>
      <c r="O12668" s="1207"/>
      <c r="Q12668" s="1207"/>
    </row>
    <row r="12669" spans="3:17" s="700" customFormat="1" ht="70.5" hidden="1" customHeight="1">
      <c r="C12669" s="701"/>
      <c r="D12669" s="811"/>
      <c r="E12669" s="1276">
        <f>[11]building!Y13000</f>
        <v>0</v>
      </c>
      <c r="F12669" s="748">
        <f t="shared" si="436"/>
        <v>0</v>
      </c>
      <c r="G12669" s="1205"/>
      <c r="H12669" s="1055"/>
      <c r="I12669" s="1055"/>
      <c r="J12669" s="1055"/>
      <c r="K12669" s="1205"/>
      <c r="L12669" s="1055"/>
      <c r="M12669" s="1205"/>
      <c r="N12669" s="1054"/>
      <c r="O12669" s="1207"/>
      <c r="Q12669" s="1207"/>
    </row>
    <row r="12670" spans="3:17" s="700" customFormat="1" ht="70.5" hidden="1" customHeight="1">
      <c r="C12670" s="701"/>
      <c r="D12670" s="811"/>
      <c r="E12670" s="1276">
        <f>[11]building!Y13001</f>
        <v>0</v>
      </c>
      <c r="F12670" s="748">
        <f t="shared" si="436"/>
        <v>0</v>
      </c>
      <c r="G12670" s="1205"/>
      <c r="H12670" s="1055"/>
      <c r="I12670" s="1055"/>
      <c r="J12670" s="1055"/>
      <c r="K12670" s="1205"/>
      <c r="L12670" s="1055"/>
      <c r="M12670" s="1205"/>
      <c r="N12670" s="1054"/>
      <c r="O12670" s="1207"/>
      <c r="Q12670" s="1207"/>
    </row>
    <row r="12671" spans="3:17" s="700" customFormat="1" ht="70.5" hidden="1" customHeight="1">
      <c r="C12671" s="701"/>
      <c r="D12671" s="811"/>
      <c r="E12671" s="1276">
        <f>[11]building!Y13002</f>
        <v>0</v>
      </c>
      <c r="F12671" s="748">
        <f t="shared" si="436"/>
        <v>0</v>
      </c>
      <c r="G12671" s="1205"/>
      <c r="H12671" s="1055"/>
      <c r="I12671" s="1055"/>
      <c r="J12671" s="1055"/>
      <c r="K12671" s="1205"/>
      <c r="L12671" s="1055"/>
      <c r="M12671" s="1205"/>
      <c r="N12671" s="1054"/>
      <c r="O12671" s="1207"/>
      <c r="Q12671" s="1207"/>
    </row>
    <row r="12672" spans="3:17" s="700" customFormat="1" ht="70.5" hidden="1" customHeight="1">
      <c r="C12672" s="701"/>
      <c r="D12672" s="811"/>
      <c r="E12672" s="1276">
        <f>[11]building!Y13003</f>
        <v>0</v>
      </c>
      <c r="F12672" s="748">
        <f t="shared" ref="F12672:F12735" si="437">E12672*C12672</f>
        <v>0</v>
      </c>
      <c r="G12672" s="1205"/>
      <c r="H12672" s="1055"/>
      <c r="I12672" s="1055"/>
      <c r="J12672" s="1055"/>
      <c r="K12672" s="1205"/>
      <c r="L12672" s="1055"/>
      <c r="M12672" s="1205"/>
      <c r="N12672" s="1054"/>
      <c r="O12672" s="1207"/>
      <c r="Q12672" s="1207"/>
    </row>
    <row r="12673" spans="3:17" s="700" customFormat="1" ht="70.5" hidden="1" customHeight="1">
      <c r="C12673" s="701"/>
      <c r="D12673" s="811"/>
      <c r="E12673" s="1276">
        <f>[11]building!Y13004</f>
        <v>0</v>
      </c>
      <c r="F12673" s="748">
        <f t="shared" si="437"/>
        <v>0</v>
      </c>
      <c r="G12673" s="1205"/>
      <c r="H12673" s="1055"/>
      <c r="I12673" s="1055"/>
      <c r="J12673" s="1055"/>
      <c r="K12673" s="1205"/>
      <c r="L12673" s="1055"/>
      <c r="M12673" s="1205"/>
      <c r="N12673" s="1054"/>
      <c r="O12673" s="1207"/>
      <c r="Q12673" s="1207"/>
    </row>
    <row r="12674" spans="3:17" s="700" customFormat="1" ht="70.5" hidden="1" customHeight="1">
      <c r="C12674" s="701"/>
      <c r="D12674" s="811"/>
      <c r="E12674" s="1276">
        <f>[11]building!Y13005</f>
        <v>0</v>
      </c>
      <c r="F12674" s="748">
        <f t="shared" si="437"/>
        <v>0</v>
      </c>
      <c r="G12674" s="1205"/>
      <c r="H12674" s="1055"/>
      <c r="I12674" s="1055"/>
      <c r="J12674" s="1055"/>
      <c r="K12674" s="1205"/>
      <c r="L12674" s="1055"/>
      <c r="M12674" s="1205"/>
      <c r="N12674" s="1054"/>
      <c r="O12674" s="1207"/>
      <c r="Q12674" s="1207"/>
    </row>
    <row r="12675" spans="3:17" s="700" customFormat="1" ht="70.5" hidden="1" customHeight="1">
      <c r="C12675" s="701"/>
      <c r="D12675" s="811"/>
      <c r="E12675" s="1276">
        <f>[11]building!Y13006</f>
        <v>0</v>
      </c>
      <c r="F12675" s="748">
        <f t="shared" si="437"/>
        <v>0</v>
      </c>
      <c r="G12675" s="1205"/>
      <c r="H12675" s="1055"/>
      <c r="I12675" s="1055"/>
      <c r="J12675" s="1055"/>
      <c r="K12675" s="1205"/>
      <c r="L12675" s="1055"/>
      <c r="M12675" s="1205"/>
      <c r="N12675" s="1054"/>
      <c r="O12675" s="1207"/>
      <c r="Q12675" s="1207"/>
    </row>
    <row r="12676" spans="3:17" s="700" customFormat="1" ht="70.5" hidden="1" customHeight="1">
      <c r="C12676" s="701"/>
      <c r="D12676" s="811"/>
      <c r="E12676" s="1276">
        <f>[11]building!Y13007</f>
        <v>0</v>
      </c>
      <c r="F12676" s="748">
        <f t="shared" si="437"/>
        <v>0</v>
      </c>
      <c r="G12676" s="1205"/>
      <c r="H12676" s="1055"/>
      <c r="I12676" s="1055"/>
      <c r="J12676" s="1055"/>
      <c r="K12676" s="1205"/>
      <c r="L12676" s="1055"/>
      <c r="M12676" s="1205"/>
      <c r="N12676" s="1054"/>
      <c r="O12676" s="1207"/>
      <c r="Q12676" s="1207"/>
    </row>
    <row r="12677" spans="3:17" s="700" customFormat="1" ht="70.5" hidden="1" customHeight="1">
      <c r="C12677" s="701"/>
      <c r="D12677" s="811"/>
      <c r="E12677" s="1276">
        <f>[11]building!Y13008</f>
        <v>0</v>
      </c>
      <c r="F12677" s="748">
        <f t="shared" si="437"/>
        <v>0</v>
      </c>
      <c r="G12677" s="1205"/>
      <c r="H12677" s="1055"/>
      <c r="I12677" s="1055"/>
      <c r="J12677" s="1055"/>
      <c r="K12677" s="1205"/>
      <c r="L12677" s="1055"/>
      <c r="M12677" s="1205"/>
      <c r="N12677" s="1054"/>
      <c r="O12677" s="1207"/>
      <c r="Q12677" s="1207"/>
    </row>
    <row r="12678" spans="3:17" s="700" customFormat="1" ht="70.5" hidden="1" customHeight="1">
      <c r="C12678" s="701"/>
      <c r="D12678" s="811"/>
      <c r="E12678" s="1276">
        <f>[11]building!Y13009</f>
        <v>0</v>
      </c>
      <c r="F12678" s="748">
        <f t="shared" si="437"/>
        <v>0</v>
      </c>
      <c r="G12678" s="1205"/>
      <c r="H12678" s="1055"/>
      <c r="I12678" s="1055"/>
      <c r="J12678" s="1055"/>
      <c r="K12678" s="1205"/>
      <c r="L12678" s="1055"/>
      <c r="M12678" s="1205"/>
      <c r="N12678" s="1054"/>
      <c r="O12678" s="1207"/>
      <c r="Q12678" s="1207"/>
    </row>
    <row r="12679" spans="3:17" s="700" customFormat="1" ht="70.5" hidden="1" customHeight="1">
      <c r="C12679" s="701"/>
      <c r="D12679" s="811"/>
      <c r="E12679" s="1276">
        <f>[11]building!Y13010</f>
        <v>0</v>
      </c>
      <c r="F12679" s="748">
        <f t="shared" si="437"/>
        <v>0</v>
      </c>
      <c r="G12679" s="1205"/>
      <c r="H12679" s="1055"/>
      <c r="I12679" s="1055"/>
      <c r="J12679" s="1055"/>
      <c r="K12679" s="1205"/>
      <c r="L12679" s="1055"/>
      <c r="M12679" s="1205"/>
      <c r="N12679" s="1054"/>
      <c r="O12679" s="1207"/>
      <c r="Q12679" s="1207"/>
    </row>
    <row r="12680" spans="3:17" s="700" customFormat="1" ht="70.5" hidden="1" customHeight="1">
      <c r="C12680" s="701"/>
      <c r="D12680" s="811"/>
      <c r="E12680" s="1276">
        <f>[11]building!Y13011</f>
        <v>0</v>
      </c>
      <c r="F12680" s="748">
        <f t="shared" si="437"/>
        <v>0</v>
      </c>
      <c r="G12680" s="1205"/>
      <c r="H12680" s="1055"/>
      <c r="I12680" s="1055"/>
      <c r="J12680" s="1055"/>
      <c r="K12680" s="1205"/>
      <c r="L12680" s="1055"/>
      <c r="M12680" s="1205"/>
      <c r="N12680" s="1054"/>
      <c r="O12680" s="1207"/>
      <c r="Q12680" s="1207"/>
    </row>
    <row r="12681" spans="3:17" s="700" customFormat="1" ht="70.5" hidden="1" customHeight="1">
      <c r="C12681" s="701"/>
      <c r="D12681" s="811"/>
      <c r="E12681" s="1276">
        <f>[11]building!Y13012</f>
        <v>0</v>
      </c>
      <c r="F12681" s="748">
        <f t="shared" si="437"/>
        <v>0</v>
      </c>
      <c r="G12681" s="1205"/>
      <c r="H12681" s="1055"/>
      <c r="I12681" s="1055"/>
      <c r="J12681" s="1055"/>
      <c r="K12681" s="1205"/>
      <c r="L12681" s="1055"/>
      <c r="M12681" s="1205"/>
      <c r="N12681" s="1054"/>
      <c r="O12681" s="1207"/>
      <c r="Q12681" s="1207"/>
    </row>
    <row r="12682" spans="3:17" s="700" customFormat="1" ht="70.5" hidden="1" customHeight="1">
      <c r="C12682" s="701"/>
      <c r="D12682" s="811"/>
      <c r="E12682" s="1276">
        <f>[11]building!Y13013</f>
        <v>0</v>
      </c>
      <c r="F12682" s="748">
        <f t="shared" si="437"/>
        <v>0</v>
      </c>
      <c r="G12682" s="1205"/>
      <c r="H12682" s="1055"/>
      <c r="I12682" s="1055"/>
      <c r="J12682" s="1055"/>
      <c r="K12682" s="1205"/>
      <c r="L12682" s="1055"/>
      <c r="M12682" s="1205"/>
      <c r="N12682" s="1054"/>
      <c r="O12682" s="1207"/>
      <c r="Q12682" s="1207"/>
    </row>
    <row r="12683" spans="3:17" s="700" customFormat="1" ht="70.5" hidden="1" customHeight="1">
      <c r="C12683" s="701"/>
      <c r="D12683" s="811"/>
      <c r="E12683" s="1276">
        <f>[11]building!Y13014</f>
        <v>0</v>
      </c>
      <c r="F12683" s="748">
        <f t="shared" si="437"/>
        <v>0</v>
      </c>
      <c r="G12683" s="1205"/>
      <c r="H12683" s="1055"/>
      <c r="I12683" s="1055"/>
      <c r="J12683" s="1055"/>
      <c r="K12683" s="1205"/>
      <c r="L12683" s="1055"/>
      <c r="M12683" s="1205"/>
      <c r="N12683" s="1054"/>
      <c r="O12683" s="1207"/>
      <c r="Q12683" s="1207"/>
    </row>
    <row r="12684" spans="3:17" s="700" customFormat="1" ht="70.5" hidden="1" customHeight="1">
      <c r="C12684" s="701"/>
      <c r="D12684" s="811"/>
      <c r="E12684" s="1276">
        <f>[11]building!Y13015</f>
        <v>0</v>
      </c>
      <c r="F12684" s="748">
        <f t="shared" si="437"/>
        <v>0</v>
      </c>
      <c r="G12684" s="1205"/>
      <c r="H12684" s="1055"/>
      <c r="I12684" s="1055"/>
      <c r="J12684" s="1055"/>
      <c r="K12684" s="1205"/>
      <c r="L12684" s="1055"/>
      <c r="M12684" s="1205"/>
      <c r="N12684" s="1054"/>
      <c r="O12684" s="1207"/>
      <c r="Q12684" s="1207"/>
    </row>
    <row r="12685" spans="3:17" s="700" customFormat="1" ht="70.5" hidden="1" customHeight="1">
      <c r="C12685" s="701"/>
      <c r="D12685" s="811"/>
      <c r="E12685" s="1276">
        <f>[11]building!Y13016</f>
        <v>0</v>
      </c>
      <c r="F12685" s="748">
        <f t="shared" si="437"/>
        <v>0</v>
      </c>
      <c r="G12685" s="1205"/>
      <c r="H12685" s="1055"/>
      <c r="I12685" s="1055"/>
      <c r="J12685" s="1055"/>
      <c r="K12685" s="1205"/>
      <c r="L12685" s="1055"/>
      <c r="M12685" s="1205"/>
      <c r="N12685" s="1054"/>
      <c r="O12685" s="1207"/>
      <c r="Q12685" s="1207"/>
    </row>
    <row r="12686" spans="3:17" s="700" customFormat="1" ht="70.5" hidden="1" customHeight="1">
      <c r="C12686" s="701"/>
      <c r="D12686" s="811"/>
      <c r="E12686" s="1276">
        <f>[11]building!Y13017</f>
        <v>0</v>
      </c>
      <c r="F12686" s="748">
        <f t="shared" si="437"/>
        <v>0</v>
      </c>
      <c r="G12686" s="1205"/>
      <c r="H12686" s="1055"/>
      <c r="I12686" s="1055"/>
      <c r="J12686" s="1055"/>
      <c r="K12686" s="1205"/>
      <c r="L12686" s="1055"/>
      <c r="M12686" s="1205"/>
      <c r="N12686" s="1054"/>
      <c r="O12686" s="1207"/>
      <c r="Q12686" s="1207"/>
    </row>
    <row r="12687" spans="3:17" s="700" customFormat="1" ht="70.5" hidden="1" customHeight="1">
      <c r="C12687" s="701"/>
      <c r="D12687" s="811"/>
      <c r="E12687" s="1276">
        <f>[11]building!Y13018</f>
        <v>0</v>
      </c>
      <c r="F12687" s="748">
        <f t="shared" si="437"/>
        <v>0</v>
      </c>
      <c r="G12687" s="1205"/>
      <c r="H12687" s="1055"/>
      <c r="I12687" s="1055"/>
      <c r="J12687" s="1055"/>
      <c r="K12687" s="1205"/>
      <c r="L12687" s="1055"/>
      <c r="M12687" s="1205"/>
      <c r="N12687" s="1054"/>
      <c r="O12687" s="1207"/>
      <c r="Q12687" s="1207"/>
    </row>
    <row r="12688" spans="3:17" s="700" customFormat="1" ht="70.5" hidden="1" customHeight="1">
      <c r="C12688" s="701"/>
      <c r="D12688" s="811"/>
      <c r="E12688" s="1276">
        <f>[11]building!Y13019</f>
        <v>0</v>
      </c>
      <c r="F12688" s="748">
        <f t="shared" si="437"/>
        <v>0</v>
      </c>
      <c r="G12688" s="1205"/>
      <c r="H12688" s="1055"/>
      <c r="I12688" s="1055"/>
      <c r="J12688" s="1055"/>
      <c r="K12688" s="1205"/>
      <c r="L12688" s="1055"/>
      <c r="M12688" s="1205"/>
      <c r="N12688" s="1054"/>
      <c r="O12688" s="1207"/>
      <c r="Q12688" s="1207"/>
    </row>
    <row r="12689" spans="3:17" s="700" customFormat="1" ht="70.5" hidden="1" customHeight="1">
      <c r="C12689" s="701"/>
      <c r="D12689" s="811"/>
      <c r="E12689" s="1276">
        <f>[11]building!Y13020</f>
        <v>0</v>
      </c>
      <c r="F12689" s="748">
        <f t="shared" si="437"/>
        <v>0</v>
      </c>
      <c r="G12689" s="1205"/>
      <c r="H12689" s="1055"/>
      <c r="I12689" s="1055"/>
      <c r="J12689" s="1055"/>
      <c r="K12689" s="1205"/>
      <c r="L12689" s="1055"/>
      <c r="M12689" s="1205"/>
      <c r="N12689" s="1054"/>
      <c r="O12689" s="1207"/>
      <c r="Q12689" s="1207"/>
    </row>
    <row r="12690" spans="3:17" s="700" customFormat="1" ht="70.5" hidden="1" customHeight="1">
      <c r="C12690" s="701"/>
      <c r="D12690" s="811"/>
      <c r="E12690" s="1276">
        <f>[11]building!Y13021</f>
        <v>0</v>
      </c>
      <c r="F12690" s="748">
        <f t="shared" si="437"/>
        <v>0</v>
      </c>
      <c r="G12690" s="1205"/>
      <c r="H12690" s="1055"/>
      <c r="I12690" s="1055"/>
      <c r="J12690" s="1055"/>
      <c r="K12690" s="1205"/>
      <c r="L12690" s="1055"/>
      <c r="M12690" s="1205"/>
      <c r="N12690" s="1054"/>
      <c r="O12690" s="1207"/>
      <c r="Q12690" s="1207"/>
    </row>
    <row r="12691" spans="3:17" s="700" customFormat="1" ht="70.5" hidden="1" customHeight="1">
      <c r="C12691" s="701"/>
      <c r="D12691" s="811"/>
      <c r="E12691" s="1276">
        <f>[11]building!Y13022</f>
        <v>0</v>
      </c>
      <c r="F12691" s="748">
        <f t="shared" si="437"/>
        <v>0</v>
      </c>
      <c r="G12691" s="1205"/>
      <c r="H12691" s="1055"/>
      <c r="I12691" s="1055"/>
      <c r="J12691" s="1055"/>
      <c r="K12691" s="1205"/>
      <c r="L12691" s="1055"/>
      <c r="M12691" s="1205"/>
      <c r="N12691" s="1054"/>
      <c r="O12691" s="1207"/>
      <c r="Q12691" s="1207"/>
    </row>
    <row r="12692" spans="3:17" s="700" customFormat="1" ht="70.5" hidden="1" customHeight="1">
      <c r="C12692" s="701"/>
      <c r="D12692" s="811"/>
      <c r="E12692" s="1276">
        <f>[11]building!Y13023</f>
        <v>0</v>
      </c>
      <c r="F12692" s="748">
        <f t="shared" si="437"/>
        <v>0</v>
      </c>
      <c r="G12692" s="1205"/>
      <c r="H12692" s="1055"/>
      <c r="I12692" s="1055"/>
      <c r="J12692" s="1055"/>
      <c r="K12692" s="1205"/>
      <c r="L12692" s="1055"/>
      <c r="M12692" s="1205"/>
      <c r="N12692" s="1054"/>
      <c r="O12692" s="1207"/>
      <c r="Q12692" s="1207"/>
    </row>
    <row r="12693" spans="3:17" s="700" customFormat="1" ht="70.5" hidden="1" customHeight="1">
      <c r="C12693" s="701"/>
      <c r="D12693" s="811"/>
      <c r="E12693" s="1276">
        <f>[11]building!Y13024</f>
        <v>0</v>
      </c>
      <c r="F12693" s="748">
        <f t="shared" si="437"/>
        <v>0</v>
      </c>
      <c r="G12693" s="1205"/>
      <c r="H12693" s="1055"/>
      <c r="I12693" s="1055"/>
      <c r="J12693" s="1055"/>
      <c r="K12693" s="1205"/>
      <c r="L12693" s="1055"/>
      <c r="M12693" s="1205"/>
      <c r="N12693" s="1054"/>
      <c r="O12693" s="1207"/>
      <c r="Q12693" s="1207"/>
    </row>
    <row r="12694" spans="3:17" s="700" customFormat="1" ht="70.5" hidden="1" customHeight="1">
      <c r="C12694" s="701"/>
      <c r="D12694" s="811"/>
      <c r="E12694" s="1276">
        <f>[11]building!Y13025</f>
        <v>0</v>
      </c>
      <c r="F12694" s="748">
        <f t="shared" si="437"/>
        <v>0</v>
      </c>
      <c r="G12694" s="1205"/>
      <c r="H12694" s="1055"/>
      <c r="I12694" s="1055"/>
      <c r="J12694" s="1055"/>
      <c r="K12694" s="1205"/>
      <c r="L12694" s="1055"/>
      <c r="M12694" s="1205"/>
      <c r="N12694" s="1054"/>
      <c r="O12694" s="1207"/>
      <c r="Q12694" s="1207"/>
    </row>
    <row r="12695" spans="3:17" s="700" customFormat="1" ht="70.5" hidden="1" customHeight="1">
      <c r="C12695" s="701"/>
      <c r="D12695" s="811"/>
      <c r="E12695" s="1276">
        <f>[11]building!Y13026</f>
        <v>0</v>
      </c>
      <c r="F12695" s="748">
        <f t="shared" si="437"/>
        <v>0</v>
      </c>
      <c r="G12695" s="1205"/>
      <c r="H12695" s="1055"/>
      <c r="I12695" s="1055"/>
      <c r="J12695" s="1055"/>
      <c r="K12695" s="1205"/>
      <c r="L12695" s="1055"/>
      <c r="M12695" s="1205"/>
      <c r="N12695" s="1054"/>
      <c r="O12695" s="1207"/>
      <c r="Q12695" s="1207"/>
    </row>
    <row r="12696" spans="3:17" s="700" customFormat="1" ht="70.5" hidden="1" customHeight="1">
      <c r="C12696" s="701"/>
      <c r="D12696" s="811"/>
      <c r="E12696" s="1276">
        <f>[11]building!Y13027</f>
        <v>0</v>
      </c>
      <c r="F12696" s="748">
        <f t="shared" si="437"/>
        <v>0</v>
      </c>
      <c r="G12696" s="1205"/>
      <c r="H12696" s="1055"/>
      <c r="I12696" s="1055"/>
      <c r="J12696" s="1055"/>
      <c r="K12696" s="1205"/>
      <c r="L12696" s="1055"/>
      <c r="M12696" s="1205"/>
      <c r="N12696" s="1054"/>
      <c r="O12696" s="1207"/>
      <c r="Q12696" s="1207"/>
    </row>
    <row r="12697" spans="3:17" s="700" customFormat="1" ht="70.5" hidden="1" customHeight="1">
      <c r="C12697" s="701"/>
      <c r="D12697" s="811"/>
      <c r="E12697" s="1276">
        <f>[11]building!Y13028</f>
        <v>0</v>
      </c>
      <c r="F12697" s="748">
        <f t="shared" si="437"/>
        <v>0</v>
      </c>
      <c r="G12697" s="1205"/>
      <c r="H12697" s="1055"/>
      <c r="I12697" s="1055"/>
      <c r="J12697" s="1055"/>
      <c r="K12697" s="1205"/>
      <c r="L12697" s="1055"/>
      <c r="M12697" s="1205"/>
      <c r="N12697" s="1054"/>
      <c r="O12697" s="1207"/>
      <c r="Q12697" s="1207"/>
    </row>
    <row r="12698" spans="3:17" s="700" customFormat="1" ht="70.5" hidden="1" customHeight="1">
      <c r="C12698" s="701"/>
      <c r="D12698" s="811"/>
      <c r="E12698" s="1276">
        <f>[11]building!Y13029</f>
        <v>0</v>
      </c>
      <c r="F12698" s="748">
        <f t="shared" si="437"/>
        <v>0</v>
      </c>
      <c r="G12698" s="1205"/>
      <c r="H12698" s="1055"/>
      <c r="I12698" s="1055"/>
      <c r="J12698" s="1055"/>
      <c r="K12698" s="1205"/>
      <c r="L12698" s="1055"/>
      <c r="M12698" s="1205"/>
      <c r="N12698" s="1054"/>
      <c r="O12698" s="1207"/>
      <c r="Q12698" s="1207"/>
    </row>
    <row r="12699" spans="3:17" s="700" customFormat="1" ht="70.5" hidden="1" customHeight="1">
      <c r="C12699" s="701"/>
      <c r="D12699" s="811"/>
      <c r="E12699" s="1276">
        <f>[11]building!Y13030</f>
        <v>0</v>
      </c>
      <c r="F12699" s="748">
        <f t="shared" si="437"/>
        <v>0</v>
      </c>
      <c r="G12699" s="1205"/>
      <c r="H12699" s="1055"/>
      <c r="I12699" s="1055"/>
      <c r="J12699" s="1055"/>
      <c r="K12699" s="1205"/>
      <c r="L12699" s="1055"/>
      <c r="M12699" s="1205"/>
      <c r="N12699" s="1054"/>
      <c r="O12699" s="1207"/>
      <c r="Q12699" s="1207"/>
    </row>
    <row r="12700" spans="3:17" s="700" customFormat="1" ht="70.5" hidden="1" customHeight="1">
      <c r="C12700" s="701"/>
      <c r="D12700" s="811"/>
      <c r="E12700" s="1276">
        <f>[11]building!Y13031</f>
        <v>0</v>
      </c>
      <c r="F12700" s="748">
        <f t="shared" si="437"/>
        <v>0</v>
      </c>
      <c r="G12700" s="1205"/>
      <c r="H12700" s="1055"/>
      <c r="I12700" s="1055"/>
      <c r="J12700" s="1055"/>
      <c r="K12700" s="1205"/>
      <c r="L12700" s="1055"/>
      <c r="M12700" s="1205"/>
      <c r="N12700" s="1054"/>
      <c r="O12700" s="1207"/>
      <c r="Q12700" s="1207"/>
    </row>
    <row r="12701" spans="3:17" s="700" customFormat="1" ht="70.5" hidden="1" customHeight="1">
      <c r="C12701" s="701"/>
      <c r="D12701" s="811"/>
      <c r="E12701" s="1276">
        <f>[11]building!Y13032</f>
        <v>0</v>
      </c>
      <c r="F12701" s="748">
        <f t="shared" si="437"/>
        <v>0</v>
      </c>
      <c r="G12701" s="1205"/>
      <c r="H12701" s="1055"/>
      <c r="I12701" s="1055"/>
      <c r="J12701" s="1055"/>
      <c r="K12701" s="1205"/>
      <c r="L12701" s="1055"/>
      <c r="M12701" s="1205"/>
      <c r="N12701" s="1054"/>
      <c r="O12701" s="1207"/>
      <c r="Q12701" s="1207"/>
    </row>
    <row r="12702" spans="3:17" s="700" customFormat="1" ht="70.5" hidden="1" customHeight="1">
      <c r="C12702" s="701"/>
      <c r="D12702" s="811"/>
      <c r="E12702" s="1276">
        <f>[11]building!Y13033</f>
        <v>0</v>
      </c>
      <c r="F12702" s="748">
        <f t="shared" si="437"/>
        <v>0</v>
      </c>
      <c r="G12702" s="1205"/>
      <c r="H12702" s="1055"/>
      <c r="I12702" s="1055"/>
      <c r="J12702" s="1055"/>
      <c r="K12702" s="1205"/>
      <c r="L12702" s="1055"/>
      <c r="M12702" s="1205"/>
      <c r="N12702" s="1054"/>
      <c r="O12702" s="1207"/>
      <c r="Q12702" s="1207"/>
    </row>
    <row r="12703" spans="3:17" s="700" customFormat="1" ht="70.5" hidden="1" customHeight="1">
      <c r="C12703" s="701"/>
      <c r="D12703" s="811"/>
      <c r="E12703" s="1276">
        <f>[11]building!Y13034</f>
        <v>0</v>
      </c>
      <c r="F12703" s="748">
        <f t="shared" si="437"/>
        <v>0</v>
      </c>
      <c r="G12703" s="1205"/>
      <c r="H12703" s="1055"/>
      <c r="I12703" s="1055"/>
      <c r="J12703" s="1055"/>
      <c r="K12703" s="1205"/>
      <c r="L12703" s="1055"/>
      <c r="M12703" s="1205"/>
      <c r="N12703" s="1054"/>
      <c r="O12703" s="1207"/>
      <c r="Q12703" s="1207"/>
    </row>
    <row r="12704" spans="3:17" s="700" customFormat="1" ht="70.5" hidden="1" customHeight="1">
      <c r="C12704" s="701"/>
      <c r="D12704" s="811"/>
      <c r="E12704" s="1276">
        <f>[11]building!Y13035</f>
        <v>0</v>
      </c>
      <c r="F12704" s="748">
        <f t="shared" si="437"/>
        <v>0</v>
      </c>
      <c r="G12704" s="1205"/>
      <c r="H12704" s="1055"/>
      <c r="I12704" s="1055"/>
      <c r="J12704" s="1055"/>
      <c r="K12704" s="1205"/>
      <c r="L12704" s="1055"/>
      <c r="M12704" s="1205"/>
      <c r="N12704" s="1054"/>
      <c r="O12704" s="1207"/>
      <c r="Q12704" s="1207"/>
    </row>
    <row r="12705" spans="3:17" s="700" customFormat="1" ht="70.5" hidden="1" customHeight="1">
      <c r="C12705" s="701"/>
      <c r="D12705" s="811"/>
      <c r="E12705" s="1276">
        <f>[11]building!Y13036</f>
        <v>0</v>
      </c>
      <c r="F12705" s="748">
        <f t="shared" si="437"/>
        <v>0</v>
      </c>
      <c r="G12705" s="1205"/>
      <c r="H12705" s="1055"/>
      <c r="I12705" s="1055"/>
      <c r="J12705" s="1055"/>
      <c r="K12705" s="1205"/>
      <c r="L12705" s="1055"/>
      <c r="M12705" s="1205"/>
      <c r="N12705" s="1054"/>
      <c r="O12705" s="1207"/>
      <c r="Q12705" s="1207"/>
    </row>
    <row r="12706" spans="3:17" s="700" customFormat="1" ht="70.5" hidden="1" customHeight="1">
      <c r="C12706" s="701"/>
      <c r="D12706" s="811"/>
      <c r="E12706" s="1276">
        <f>[11]building!Y13037</f>
        <v>0</v>
      </c>
      <c r="F12706" s="748">
        <f t="shared" si="437"/>
        <v>0</v>
      </c>
      <c r="G12706" s="1205"/>
      <c r="H12706" s="1055"/>
      <c r="I12706" s="1055"/>
      <c r="J12706" s="1055"/>
      <c r="K12706" s="1205"/>
      <c r="L12706" s="1055"/>
      <c r="M12706" s="1205"/>
      <c r="N12706" s="1054"/>
      <c r="O12706" s="1207"/>
      <c r="Q12706" s="1207"/>
    </row>
    <row r="12707" spans="3:17" s="700" customFormat="1" ht="70.5" hidden="1" customHeight="1">
      <c r="C12707" s="701"/>
      <c r="D12707" s="811"/>
      <c r="E12707" s="1276">
        <f>[11]building!Y13038</f>
        <v>0</v>
      </c>
      <c r="F12707" s="748">
        <f t="shared" si="437"/>
        <v>0</v>
      </c>
      <c r="G12707" s="1205"/>
      <c r="H12707" s="1055"/>
      <c r="I12707" s="1055"/>
      <c r="J12707" s="1055"/>
      <c r="K12707" s="1205"/>
      <c r="L12707" s="1055"/>
      <c r="M12707" s="1205"/>
      <c r="N12707" s="1054"/>
      <c r="O12707" s="1207"/>
      <c r="Q12707" s="1207"/>
    </row>
    <row r="12708" spans="3:17" s="700" customFormat="1" ht="70.5" hidden="1" customHeight="1">
      <c r="C12708" s="701"/>
      <c r="D12708" s="811"/>
      <c r="E12708" s="1276">
        <f>[11]building!Y13039</f>
        <v>0</v>
      </c>
      <c r="F12708" s="748">
        <f t="shared" si="437"/>
        <v>0</v>
      </c>
      <c r="G12708" s="1205"/>
      <c r="H12708" s="1055"/>
      <c r="I12708" s="1055"/>
      <c r="J12708" s="1055"/>
      <c r="K12708" s="1205"/>
      <c r="L12708" s="1055"/>
      <c r="M12708" s="1205"/>
      <c r="N12708" s="1054"/>
      <c r="O12708" s="1207"/>
      <c r="Q12708" s="1207"/>
    </row>
    <row r="12709" spans="3:17" s="700" customFormat="1" ht="70.5" hidden="1" customHeight="1">
      <c r="C12709" s="701"/>
      <c r="D12709" s="811"/>
      <c r="E12709" s="1276">
        <f>[11]building!Y13040</f>
        <v>0</v>
      </c>
      <c r="F12709" s="748">
        <f t="shared" si="437"/>
        <v>0</v>
      </c>
      <c r="G12709" s="1205"/>
      <c r="H12709" s="1055"/>
      <c r="I12709" s="1055"/>
      <c r="J12709" s="1055"/>
      <c r="K12709" s="1205"/>
      <c r="L12709" s="1055"/>
      <c r="M12709" s="1205"/>
      <c r="N12709" s="1054"/>
      <c r="O12709" s="1207"/>
      <c r="Q12709" s="1207"/>
    </row>
    <row r="12710" spans="3:17" s="700" customFormat="1" ht="70.5" hidden="1" customHeight="1">
      <c r="C12710" s="701"/>
      <c r="D12710" s="811"/>
      <c r="E12710" s="1276">
        <f>[11]building!Y13041</f>
        <v>0</v>
      </c>
      <c r="F12710" s="748">
        <f t="shared" si="437"/>
        <v>0</v>
      </c>
      <c r="G12710" s="1205"/>
      <c r="H12710" s="1055"/>
      <c r="I12710" s="1055"/>
      <c r="J12710" s="1055"/>
      <c r="K12710" s="1205"/>
      <c r="L12710" s="1055"/>
      <c r="M12710" s="1205"/>
      <c r="N12710" s="1054"/>
      <c r="O12710" s="1207"/>
      <c r="Q12710" s="1207"/>
    </row>
    <row r="12711" spans="3:17" s="700" customFormat="1" ht="70.5" hidden="1" customHeight="1">
      <c r="C12711" s="701"/>
      <c r="D12711" s="811"/>
      <c r="E12711" s="1276">
        <f>[11]building!Y13042</f>
        <v>0</v>
      </c>
      <c r="F12711" s="748">
        <f t="shared" si="437"/>
        <v>0</v>
      </c>
      <c r="G12711" s="1205"/>
      <c r="H12711" s="1055"/>
      <c r="I12711" s="1055"/>
      <c r="J12711" s="1055"/>
      <c r="K12711" s="1205"/>
      <c r="L12711" s="1055"/>
      <c r="M12711" s="1205"/>
      <c r="N12711" s="1054"/>
      <c r="O12711" s="1207"/>
      <c r="Q12711" s="1207"/>
    </row>
    <row r="12712" spans="3:17" s="700" customFormat="1" ht="70.5" hidden="1" customHeight="1">
      <c r="C12712" s="701"/>
      <c r="D12712" s="811"/>
      <c r="E12712" s="1276">
        <f>[11]building!Y13043</f>
        <v>0</v>
      </c>
      <c r="F12712" s="748">
        <f t="shared" si="437"/>
        <v>0</v>
      </c>
      <c r="G12712" s="1205"/>
      <c r="H12712" s="1055"/>
      <c r="I12712" s="1055"/>
      <c r="J12712" s="1055"/>
      <c r="K12712" s="1205"/>
      <c r="L12712" s="1055"/>
      <c r="M12712" s="1205"/>
      <c r="N12712" s="1054"/>
      <c r="O12712" s="1207"/>
      <c r="Q12712" s="1207"/>
    </row>
    <row r="12713" spans="3:17" s="700" customFormat="1" ht="70.5" hidden="1" customHeight="1">
      <c r="C12713" s="701"/>
      <c r="D12713" s="811"/>
      <c r="E12713" s="1276">
        <f>[11]building!Y13044</f>
        <v>0</v>
      </c>
      <c r="F12713" s="748">
        <f t="shared" si="437"/>
        <v>0</v>
      </c>
      <c r="G12713" s="1205"/>
      <c r="H12713" s="1055"/>
      <c r="I12713" s="1055"/>
      <c r="J12713" s="1055"/>
      <c r="K12713" s="1205"/>
      <c r="L12713" s="1055"/>
      <c r="M12713" s="1205"/>
      <c r="N12713" s="1054"/>
      <c r="O12713" s="1207"/>
      <c r="Q12713" s="1207"/>
    </row>
    <row r="12714" spans="3:17" s="700" customFormat="1" ht="70.5" hidden="1" customHeight="1">
      <c r="C12714" s="701"/>
      <c r="D12714" s="811"/>
      <c r="E12714" s="1276">
        <f>[11]building!Y13045</f>
        <v>0</v>
      </c>
      <c r="F12714" s="748">
        <f t="shared" si="437"/>
        <v>0</v>
      </c>
      <c r="G12714" s="1205"/>
      <c r="H12714" s="1055"/>
      <c r="I12714" s="1055"/>
      <c r="J12714" s="1055"/>
      <c r="K12714" s="1205"/>
      <c r="L12714" s="1055"/>
      <c r="M12714" s="1205"/>
      <c r="N12714" s="1054"/>
      <c r="O12714" s="1207"/>
      <c r="Q12714" s="1207"/>
    </row>
    <row r="12715" spans="3:17" s="700" customFormat="1" ht="70.5" hidden="1" customHeight="1">
      <c r="C12715" s="701"/>
      <c r="D12715" s="811"/>
      <c r="E12715" s="1276">
        <f>[11]building!Y13046</f>
        <v>0</v>
      </c>
      <c r="F12715" s="748">
        <f t="shared" si="437"/>
        <v>0</v>
      </c>
      <c r="G12715" s="1205"/>
      <c r="H12715" s="1055"/>
      <c r="I12715" s="1055"/>
      <c r="J12715" s="1055"/>
      <c r="K12715" s="1205"/>
      <c r="L12715" s="1055"/>
      <c r="M12715" s="1205"/>
      <c r="N12715" s="1054"/>
      <c r="O12715" s="1207"/>
      <c r="Q12715" s="1207"/>
    </row>
    <row r="12716" spans="3:17" s="700" customFormat="1" ht="70.5" hidden="1" customHeight="1">
      <c r="C12716" s="701"/>
      <c r="D12716" s="811"/>
      <c r="E12716" s="1276">
        <f>[11]building!Y13047</f>
        <v>0</v>
      </c>
      <c r="F12716" s="748">
        <f t="shared" si="437"/>
        <v>0</v>
      </c>
      <c r="G12716" s="1205"/>
      <c r="H12716" s="1055"/>
      <c r="I12716" s="1055"/>
      <c r="J12716" s="1055"/>
      <c r="K12716" s="1205"/>
      <c r="L12716" s="1055"/>
      <c r="M12716" s="1205"/>
      <c r="N12716" s="1054"/>
      <c r="O12716" s="1207"/>
      <c r="Q12716" s="1207"/>
    </row>
    <row r="12717" spans="3:17" s="700" customFormat="1" ht="70.5" hidden="1" customHeight="1">
      <c r="C12717" s="701"/>
      <c r="D12717" s="811"/>
      <c r="E12717" s="1276">
        <f>[11]building!Y13048</f>
        <v>0</v>
      </c>
      <c r="F12717" s="748">
        <f t="shared" si="437"/>
        <v>0</v>
      </c>
      <c r="G12717" s="1205"/>
      <c r="H12717" s="1055"/>
      <c r="I12717" s="1055"/>
      <c r="J12717" s="1055"/>
      <c r="K12717" s="1205"/>
      <c r="L12717" s="1055"/>
      <c r="M12717" s="1205"/>
      <c r="N12717" s="1054"/>
      <c r="O12717" s="1207"/>
      <c r="Q12717" s="1207"/>
    </row>
    <row r="12718" spans="3:17" s="700" customFormat="1" ht="70.5" hidden="1" customHeight="1">
      <c r="C12718" s="701"/>
      <c r="D12718" s="811"/>
      <c r="E12718" s="1276">
        <f>[11]building!Y13049</f>
        <v>0</v>
      </c>
      <c r="F12718" s="748">
        <f t="shared" si="437"/>
        <v>0</v>
      </c>
      <c r="G12718" s="1205"/>
      <c r="H12718" s="1055"/>
      <c r="I12718" s="1055"/>
      <c r="J12718" s="1055"/>
      <c r="K12718" s="1205"/>
      <c r="L12718" s="1055"/>
      <c r="M12718" s="1205"/>
      <c r="N12718" s="1054"/>
      <c r="O12718" s="1207"/>
      <c r="Q12718" s="1207"/>
    </row>
    <row r="12719" spans="3:17" s="700" customFormat="1" ht="70.5" hidden="1" customHeight="1">
      <c r="C12719" s="701"/>
      <c r="D12719" s="811"/>
      <c r="E12719" s="1276">
        <f>[11]building!Y13050</f>
        <v>0</v>
      </c>
      <c r="F12719" s="748">
        <f t="shared" si="437"/>
        <v>0</v>
      </c>
      <c r="G12719" s="1205"/>
      <c r="H12719" s="1055"/>
      <c r="I12719" s="1055"/>
      <c r="J12719" s="1055"/>
      <c r="K12719" s="1205"/>
      <c r="L12719" s="1055"/>
      <c r="M12719" s="1205"/>
      <c r="N12719" s="1054"/>
      <c r="O12719" s="1207"/>
      <c r="Q12719" s="1207"/>
    </row>
    <row r="12720" spans="3:17" s="700" customFormat="1" ht="70.5" hidden="1" customHeight="1">
      <c r="C12720" s="701"/>
      <c r="D12720" s="811"/>
      <c r="E12720" s="1276">
        <f>[11]building!Y13051</f>
        <v>0</v>
      </c>
      <c r="F12720" s="748">
        <f t="shared" si="437"/>
        <v>0</v>
      </c>
      <c r="G12720" s="1205"/>
      <c r="H12720" s="1055"/>
      <c r="I12720" s="1055"/>
      <c r="J12720" s="1055"/>
      <c r="K12720" s="1205"/>
      <c r="L12720" s="1055"/>
      <c r="M12720" s="1205"/>
      <c r="N12720" s="1054"/>
      <c r="O12720" s="1207"/>
      <c r="Q12720" s="1207"/>
    </row>
    <row r="12721" spans="3:17" s="700" customFormat="1" ht="70.5" hidden="1" customHeight="1">
      <c r="C12721" s="701"/>
      <c r="D12721" s="811"/>
      <c r="E12721" s="1276">
        <f>[11]building!Y13052</f>
        <v>0</v>
      </c>
      <c r="F12721" s="748">
        <f t="shared" si="437"/>
        <v>0</v>
      </c>
      <c r="G12721" s="1205"/>
      <c r="H12721" s="1055"/>
      <c r="I12721" s="1055"/>
      <c r="J12721" s="1055"/>
      <c r="K12721" s="1205"/>
      <c r="L12721" s="1055"/>
      <c r="M12721" s="1205"/>
      <c r="N12721" s="1054"/>
      <c r="O12721" s="1207"/>
      <c r="Q12721" s="1207"/>
    </row>
    <row r="12722" spans="3:17" s="700" customFormat="1" ht="70.5" hidden="1" customHeight="1">
      <c r="C12722" s="701"/>
      <c r="D12722" s="811"/>
      <c r="E12722" s="1276">
        <f>[11]building!Y13053</f>
        <v>0</v>
      </c>
      <c r="F12722" s="748">
        <f t="shared" si="437"/>
        <v>0</v>
      </c>
      <c r="G12722" s="1205"/>
      <c r="H12722" s="1055"/>
      <c r="I12722" s="1055"/>
      <c r="J12722" s="1055"/>
      <c r="K12722" s="1205"/>
      <c r="L12722" s="1055"/>
      <c r="M12722" s="1205"/>
      <c r="N12722" s="1054"/>
      <c r="O12722" s="1207"/>
      <c r="Q12722" s="1207"/>
    </row>
    <row r="12723" spans="3:17" s="700" customFormat="1" ht="70.5" hidden="1" customHeight="1">
      <c r="C12723" s="701"/>
      <c r="D12723" s="811"/>
      <c r="E12723" s="1276">
        <f>[11]building!Y13054</f>
        <v>0</v>
      </c>
      <c r="F12723" s="748">
        <f t="shared" si="437"/>
        <v>0</v>
      </c>
      <c r="G12723" s="1205"/>
      <c r="H12723" s="1055"/>
      <c r="I12723" s="1055"/>
      <c r="J12723" s="1055"/>
      <c r="K12723" s="1205"/>
      <c r="L12723" s="1055"/>
      <c r="M12723" s="1205"/>
      <c r="N12723" s="1054"/>
      <c r="O12723" s="1207"/>
      <c r="Q12723" s="1207"/>
    </row>
    <row r="12724" spans="3:17" s="700" customFormat="1" ht="70.5" hidden="1" customHeight="1">
      <c r="C12724" s="701"/>
      <c r="D12724" s="811"/>
      <c r="E12724" s="1276">
        <f>[11]building!Y13055</f>
        <v>0</v>
      </c>
      <c r="F12724" s="748">
        <f t="shared" si="437"/>
        <v>0</v>
      </c>
      <c r="G12724" s="1205"/>
      <c r="H12724" s="1055"/>
      <c r="I12724" s="1055"/>
      <c r="J12724" s="1055"/>
      <c r="K12724" s="1205"/>
      <c r="L12724" s="1055"/>
      <c r="M12724" s="1205"/>
      <c r="N12724" s="1054"/>
      <c r="O12724" s="1207"/>
      <c r="Q12724" s="1207"/>
    </row>
    <row r="12725" spans="3:17" s="700" customFormat="1" ht="70.5" hidden="1" customHeight="1">
      <c r="C12725" s="701"/>
      <c r="D12725" s="811"/>
      <c r="E12725" s="1276">
        <f>[11]building!Y13056</f>
        <v>0</v>
      </c>
      <c r="F12725" s="748">
        <f t="shared" si="437"/>
        <v>0</v>
      </c>
      <c r="G12725" s="1205"/>
      <c r="H12725" s="1055"/>
      <c r="I12725" s="1055"/>
      <c r="J12725" s="1055"/>
      <c r="K12725" s="1205"/>
      <c r="L12725" s="1055"/>
      <c r="M12725" s="1205"/>
      <c r="N12725" s="1054"/>
      <c r="O12725" s="1207"/>
      <c r="Q12725" s="1207"/>
    </row>
    <row r="12726" spans="3:17" s="700" customFormat="1" ht="70.5" hidden="1" customHeight="1">
      <c r="C12726" s="701"/>
      <c r="D12726" s="811"/>
      <c r="E12726" s="1276">
        <f>[11]building!Y13057</f>
        <v>0</v>
      </c>
      <c r="F12726" s="748">
        <f t="shared" si="437"/>
        <v>0</v>
      </c>
      <c r="G12726" s="1205"/>
      <c r="H12726" s="1055"/>
      <c r="I12726" s="1055"/>
      <c r="J12726" s="1055"/>
      <c r="K12726" s="1205"/>
      <c r="L12726" s="1055"/>
      <c r="M12726" s="1205"/>
      <c r="N12726" s="1054"/>
      <c r="O12726" s="1207"/>
      <c r="Q12726" s="1207"/>
    </row>
    <row r="12727" spans="3:17" s="700" customFormat="1" ht="70.5" hidden="1" customHeight="1">
      <c r="C12727" s="701"/>
      <c r="D12727" s="811"/>
      <c r="E12727" s="1276">
        <f>[11]building!Y13058</f>
        <v>0</v>
      </c>
      <c r="F12727" s="748">
        <f t="shared" si="437"/>
        <v>0</v>
      </c>
      <c r="G12727" s="1205"/>
      <c r="H12727" s="1055"/>
      <c r="I12727" s="1055"/>
      <c r="J12727" s="1055"/>
      <c r="K12727" s="1205"/>
      <c r="L12727" s="1055"/>
      <c r="M12727" s="1205"/>
      <c r="N12727" s="1054"/>
      <c r="O12727" s="1207"/>
      <c r="Q12727" s="1207"/>
    </row>
    <row r="12728" spans="3:17" s="700" customFormat="1" ht="70.5" hidden="1" customHeight="1">
      <c r="C12728" s="701"/>
      <c r="D12728" s="811"/>
      <c r="E12728" s="1276">
        <f>[11]building!Y13059</f>
        <v>0</v>
      </c>
      <c r="F12728" s="748">
        <f t="shared" si="437"/>
        <v>0</v>
      </c>
      <c r="G12728" s="1205"/>
      <c r="H12728" s="1055"/>
      <c r="I12728" s="1055"/>
      <c r="J12728" s="1055"/>
      <c r="K12728" s="1205"/>
      <c r="L12728" s="1055"/>
      <c r="M12728" s="1205"/>
      <c r="N12728" s="1054"/>
      <c r="O12728" s="1207"/>
      <c r="Q12728" s="1207"/>
    </row>
    <row r="12729" spans="3:17" s="700" customFormat="1" ht="70.5" hidden="1" customHeight="1">
      <c r="C12729" s="701"/>
      <c r="D12729" s="811"/>
      <c r="E12729" s="1276">
        <f>[11]building!Y13060</f>
        <v>0</v>
      </c>
      <c r="F12729" s="748">
        <f t="shared" si="437"/>
        <v>0</v>
      </c>
      <c r="G12729" s="1205"/>
      <c r="H12729" s="1055"/>
      <c r="I12729" s="1055"/>
      <c r="J12729" s="1055"/>
      <c r="K12729" s="1205"/>
      <c r="L12729" s="1055"/>
      <c r="M12729" s="1205"/>
      <c r="N12729" s="1054"/>
      <c r="O12729" s="1207"/>
      <c r="Q12729" s="1207"/>
    </row>
    <row r="12730" spans="3:17" s="700" customFormat="1" ht="70.5" hidden="1" customHeight="1">
      <c r="C12730" s="701"/>
      <c r="D12730" s="811"/>
      <c r="E12730" s="1276">
        <f>[11]building!Y13061</f>
        <v>0</v>
      </c>
      <c r="F12730" s="748">
        <f t="shared" si="437"/>
        <v>0</v>
      </c>
      <c r="G12730" s="1205"/>
      <c r="H12730" s="1055"/>
      <c r="I12730" s="1055"/>
      <c r="J12730" s="1055"/>
      <c r="K12730" s="1205"/>
      <c r="L12730" s="1055"/>
      <c r="M12730" s="1205"/>
      <c r="N12730" s="1054"/>
      <c r="O12730" s="1207"/>
      <c r="Q12730" s="1207"/>
    </row>
    <row r="12731" spans="3:17" s="700" customFormat="1" ht="70.5" hidden="1" customHeight="1">
      <c r="C12731" s="701"/>
      <c r="D12731" s="811"/>
      <c r="E12731" s="1276">
        <f>[11]building!Y13062</f>
        <v>0</v>
      </c>
      <c r="F12731" s="748">
        <f t="shared" si="437"/>
        <v>0</v>
      </c>
      <c r="G12731" s="1205"/>
      <c r="H12731" s="1055"/>
      <c r="I12731" s="1055"/>
      <c r="J12731" s="1055"/>
      <c r="K12731" s="1205"/>
      <c r="L12731" s="1055"/>
      <c r="M12731" s="1205"/>
      <c r="N12731" s="1054"/>
      <c r="O12731" s="1207"/>
      <c r="Q12731" s="1207"/>
    </row>
    <row r="12732" spans="3:17" s="700" customFormat="1" ht="70.5" hidden="1" customHeight="1">
      <c r="C12732" s="701"/>
      <c r="D12732" s="811"/>
      <c r="E12732" s="1276">
        <f>[11]building!Y13063</f>
        <v>0</v>
      </c>
      <c r="F12732" s="748">
        <f t="shared" si="437"/>
        <v>0</v>
      </c>
      <c r="G12732" s="1205"/>
      <c r="H12732" s="1055"/>
      <c r="I12732" s="1055"/>
      <c r="J12732" s="1055"/>
      <c r="K12732" s="1205"/>
      <c r="L12732" s="1055"/>
      <c r="M12732" s="1205"/>
      <c r="N12732" s="1054"/>
      <c r="O12732" s="1207"/>
      <c r="Q12732" s="1207"/>
    </row>
    <row r="12733" spans="3:17" s="700" customFormat="1" ht="70.5" hidden="1" customHeight="1">
      <c r="C12733" s="701"/>
      <c r="D12733" s="811"/>
      <c r="E12733" s="1276">
        <f>[11]building!Y13064</f>
        <v>0</v>
      </c>
      <c r="F12733" s="748">
        <f t="shared" si="437"/>
        <v>0</v>
      </c>
      <c r="G12733" s="1205"/>
      <c r="H12733" s="1055"/>
      <c r="I12733" s="1055"/>
      <c r="J12733" s="1055"/>
      <c r="K12733" s="1205"/>
      <c r="L12733" s="1055"/>
      <c r="M12733" s="1205"/>
      <c r="N12733" s="1054"/>
      <c r="O12733" s="1207"/>
      <c r="Q12733" s="1207"/>
    </row>
    <row r="12734" spans="3:17" s="700" customFormat="1" ht="70.5" hidden="1" customHeight="1">
      <c r="C12734" s="701"/>
      <c r="D12734" s="811"/>
      <c r="E12734" s="1276">
        <f>[11]building!Y13065</f>
        <v>0</v>
      </c>
      <c r="F12734" s="748">
        <f t="shared" si="437"/>
        <v>0</v>
      </c>
      <c r="G12734" s="1205"/>
      <c r="H12734" s="1055"/>
      <c r="I12734" s="1055"/>
      <c r="J12734" s="1055"/>
      <c r="K12734" s="1205"/>
      <c r="L12734" s="1055"/>
      <c r="M12734" s="1205"/>
      <c r="N12734" s="1054"/>
      <c r="O12734" s="1207"/>
      <c r="Q12734" s="1207"/>
    </row>
    <row r="12735" spans="3:17" s="700" customFormat="1" ht="70.5" hidden="1" customHeight="1">
      <c r="C12735" s="701"/>
      <c r="D12735" s="811"/>
      <c r="E12735" s="1276">
        <f>[11]building!Y13066</f>
        <v>0</v>
      </c>
      <c r="F12735" s="748">
        <f t="shared" si="437"/>
        <v>0</v>
      </c>
      <c r="G12735" s="1205"/>
      <c r="H12735" s="1055"/>
      <c r="I12735" s="1055"/>
      <c r="J12735" s="1055"/>
      <c r="K12735" s="1205"/>
      <c r="L12735" s="1055"/>
      <c r="M12735" s="1205"/>
      <c r="N12735" s="1054"/>
      <c r="O12735" s="1207"/>
      <c r="Q12735" s="1207"/>
    </row>
    <row r="12736" spans="3:17" s="700" customFormat="1" ht="70.5" hidden="1" customHeight="1">
      <c r="C12736" s="701"/>
      <c r="D12736" s="811"/>
      <c r="E12736" s="1276">
        <f>[11]building!Y13067</f>
        <v>0</v>
      </c>
      <c r="F12736" s="748">
        <f t="shared" ref="F12736:F12799" si="438">E12736*C12736</f>
        <v>0</v>
      </c>
      <c r="G12736" s="1205"/>
      <c r="H12736" s="1055"/>
      <c r="I12736" s="1055"/>
      <c r="J12736" s="1055"/>
      <c r="K12736" s="1205"/>
      <c r="L12736" s="1055"/>
      <c r="M12736" s="1205"/>
      <c r="N12736" s="1054"/>
      <c r="O12736" s="1207"/>
      <c r="Q12736" s="1207"/>
    </row>
    <row r="12737" spans="3:17" s="700" customFormat="1" ht="70.5" hidden="1" customHeight="1">
      <c r="C12737" s="701"/>
      <c r="D12737" s="811"/>
      <c r="E12737" s="1276">
        <f>[11]building!Y13068</f>
        <v>0</v>
      </c>
      <c r="F12737" s="748">
        <f t="shared" si="438"/>
        <v>0</v>
      </c>
      <c r="G12737" s="1205"/>
      <c r="H12737" s="1055"/>
      <c r="I12737" s="1055"/>
      <c r="J12737" s="1055"/>
      <c r="K12737" s="1205"/>
      <c r="L12737" s="1055"/>
      <c r="M12737" s="1205"/>
      <c r="N12737" s="1054"/>
      <c r="O12737" s="1207"/>
      <c r="Q12737" s="1207"/>
    </row>
    <row r="12738" spans="3:17" s="700" customFormat="1" ht="70.5" hidden="1" customHeight="1">
      <c r="C12738" s="701"/>
      <c r="D12738" s="811"/>
      <c r="E12738" s="1276">
        <f>[11]building!Y13069</f>
        <v>0</v>
      </c>
      <c r="F12738" s="748">
        <f t="shared" si="438"/>
        <v>0</v>
      </c>
      <c r="G12738" s="1205"/>
      <c r="H12738" s="1055"/>
      <c r="I12738" s="1055"/>
      <c r="J12738" s="1055"/>
      <c r="K12738" s="1205"/>
      <c r="L12738" s="1055"/>
      <c r="M12738" s="1205"/>
      <c r="N12738" s="1054"/>
      <c r="O12738" s="1207"/>
      <c r="Q12738" s="1207"/>
    </row>
    <row r="12739" spans="3:17" s="700" customFormat="1" ht="70.5" hidden="1" customHeight="1">
      <c r="C12739" s="701"/>
      <c r="D12739" s="811"/>
      <c r="E12739" s="1276">
        <f>[11]building!Y13070</f>
        <v>0</v>
      </c>
      <c r="F12739" s="748">
        <f t="shared" si="438"/>
        <v>0</v>
      </c>
      <c r="G12739" s="1205"/>
      <c r="H12739" s="1055"/>
      <c r="I12739" s="1055"/>
      <c r="J12739" s="1055"/>
      <c r="K12739" s="1205"/>
      <c r="L12739" s="1055"/>
      <c r="M12739" s="1205"/>
      <c r="N12739" s="1054"/>
      <c r="O12739" s="1207"/>
      <c r="Q12739" s="1207"/>
    </row>
    <row r="12740" spans="3:17" s="700" customFormat="1" ht="70.5" hidden="1" customHeight="1">
      <c r="C12740" s="701"/>
      <c r="D12740" s="811"/>
      <c r="E12740" s="1276">
        <f>[11]building!Y13071</f>
        <v>0</v>
      </c>
      <c r="F12740" s="748">
        <f t="shared" si="438"/>
        <v>0</v>
      </c>
      <c r="G12740" s="1205"/>
      <c r="H12740" s="1055"/>
      <c r="I12740" s="1055"/>
      <c r="J12740" s="1055"/>
      <c r="K12740" s="1205"/>
      <c r="L12740" s="1055"/>
      <c r="M12740" s="1205"/>
      <c r="N12740" s="1054"/>
      <c r="O12740" s="1207"/>
      <c r="Q12740" s="1207"/>
    </row>
    <row r="12741" spans="3:17" s="700" customFormat="1" ht="70.5" hidden="1" customHeight="1">
      <c r="C12741" s="701"/>
      <c r="D12741" s="811"/>
      <c r="E12741" s="1276">
        <f>[11]building!Y13072</f>
        <v>0</v>
      </c>
      <c r="F12741" s="748">
        <f t="shared" si="438"/>
        <v>0</v>
      </c>
      <c r="G12741" s="1205"/>
      <c r="H12741" s="1055"/>
      <c r="I12741" s="1055"/>
      <c r="J12741" s="1055"/>
      <c r="K12741" s="1205"/>
      <c r="L12741" s="1055"/>
      <c r="M12741" s="1205"/>
      <c r="N12741" s="1054"/>
      <c r="O12741" s="1207"/>
      <c r="Q12741" s="1207"/>
    </row>
    <row r="12742" spans="3:17" s="700" customFormat="1" ht="70.5" hidden="1" customHeight="1">
      <c r="C12742" s="701"/>
      <c r="D12742" s="811"/>
      <c r="E12742" s="1276">
        <f>[11]building!Y13073</f>
        <v>0</v>
      </c>
      <c r="F12742" s="748">
        <f t="shared" si="438"/>
        <v>0</v>
      </c>
      <c r="G12742" s="1205"/>
      <c r="H12742" s="1055"/>
      <c r="I12742" s="1055"/>
      <c r="J12742" s="1055"/>
      <c r="K12742" s="1205"/>
      <c r="L12742" s="1055"/>
      <c r="M12742" s="1205"/>
      <c r="N12742" s="1054"/>
      <c r="O12742" s="1207"/>
      <c r="Q12742" s="1207"/>
    </row>
    <row r="12743" spans="3:17" s="700" customFormat="1" ht="70.5" hidden="1" customHeight="1">
      <c r="C12743" s="701"/>
      <c r="D12743" s="811"/>
      <c r="E12743" s="1276">
        <f>[11]building!Y13074</f>
        <v>0</v>
      </c>
      <c r="F12743" s="748">
        <f t="shared" si="438"/>
        <v>0</v>
      </c>
      <c r="G12743" s="1205"/>
      <c r="H12743" s="1055"/>
      <c r="I12743" s="1055"/>
      <c r="J12743" s="1055"/>
      <c r="K12743" s="1205"/>
      <c r="L12743" s="1055"/>
      <c r="M12743" s="1205"/>
      <c r="N12743" s="1054"/>
      <c r="O12743" s="1207"/>
      <c r="Q12743" s="1207"/>
    </row>
    <row r="12744" spans="3:17" s="700" customFormat="1" ht="70.5" hidden="1" customHeight="1">
      <c r="C12744" s="701"/>
      <c r="D12744" s="811"/>
      <c r="E12744" s="1276">
        <f>[11]building!Y13075</f>
        <v>0</v>
      </c>
      <c r="F12744" s="748">
        <f t="shared" si="438"/>
        <v>0</v>
      </c>
      <c r="G12744" s="1205"/>
      <c r="H12744" s="1055"/>
      <c r="I12744" s="1055"/>
      <c r="J12744" s="1055"/>
      <c r="K12744" s="1205"/>
      <c r="L12744" s="1055"/>
      <c r="M12744" s="1205"/>
      <c r="N12744" s="1054"/>
      <c r="O12744" s="1207"/>
      <c r="Q12744" s="1207"/>
    </row>
    <row r="12745" spans="3:17" s="700" customFormat="1" ht="70.5" hidden="1" customHeight="1">
      <c r="C12745" s="701"/>
      <c r="D12745" s="811"/>
      <c r="E12745" s="1276">
        <f>[11]building!Y13076</f>
        <v>0</v>
      </c>
      <c r="F12745" s="748">
        <f t="shared" si="438"/>
        <v>0</v>
      </c>
      <c r="G12745" s="1205"/>
      <c r="H12745" s="1055"/>
      <c r="I12745" s="1055"/>
      <c r="J12745" s="1055"/>
      <c r="K12745" s="1205"/>
      <c r="L12745" s="1055"/>
      <c r="M12745" s="1205"/>
      <c r="N12745" s="1054"/>
      <c r="O12745" s="1207"/>
      <c r="Q12745" s="1207"/>
    </row>
    <row r="12746" spans="3:17" s="700" customFormat="1" ht="70.5" hidden="1" customHeight="1">
      <c r="C12746" s="701"/>
      <c r="D12746" s="811"/>
      <c r="E12746" s="1276">
        <f>[11]building!Y13077</f>
        <v>0</v>
      </c>
      <c r="F12746" s="748">
        <f t="shared" si="438"/>
        <v>0</v>
      </c>
      <c r="G12746" s="1205"/>
      <c r="H12746" s="1055"/>
      <c r="I12746" s="1055"/>
      <c r="J12746" s="1055"/>
      <c r="K12746" s="1205"/>
      <c r="L12746" s="1055"/>
      <c r="M12746" s="1205"/>
      <c r="N12746" s="1054"/>
      <c r="O12746" s="1207"/>
      <c r="Q12746" s="1207"/>
    </row>
    <row r="12747" spans="3:17" s="700" customFormat="1" ht="70.5" hidden="1" customHeight="1">
      <c r="C12747" s="701"/>
      <c r="D12747" s="811"/>
      <c r="E12747" s="1276">
        <f>[11]building!Y13078</f>
        <v>0</v>
      </c>
      <c r="F12747" s="748">
        <f t="shared" si="438"/>
        <v>0</v>
      </c>
      <c r="G12747" s="1205"/>
      <c r="H12747" s="1055"/>
      <c r="I12747" s="1055"/>
      <c r="J12747" s="1055"/>
      <c r="K12747" s="1205"/>
      <c r="L12747" s="1055"/>
      <c r="M12747" s="1205"/>
      <c r="N12747" s="1054"/>
      <c r="O12747" s="1207"/>
      <c r="Q12747" s="1207"/>
    </row>
    <row r="12748" spans="3:17" s="700" customFormat="1" ht="70.5" hidden="1" customHeight="1">
      <c r="C12748" s="701"/>
      <c r="D12748" s="811"/>
      <c r="E12748" s="1276">
        <f>[11]building!Y13079</f>
        <v>0</v>
      </c>
      <c r="F12748" s="748">
        <f t="shared" si="438"/>
        <v>0</v>
      </c>
      <c r="G12748" s="1205"/>
      <c r="H12748" s="1055"/>
      <c r="I12748" s="1055"/>
      <c r="J12748" s="1055"/>
      <c r="K12748" s="1205"/>
      <c r="L12748" s="1055"/>
      <c r="M12748" s="1205"/>
      <c r="N12748" s="1054"/>
      <c r="O12748" s="1207"/>
      <c r="Q12748" s="1207"/>
    </row>
    <row r="12749" spans="3:17" s="700" customFormat="1" ht="70.5" hidden="1" customHeight="1">
      <c r="C12749" s="701"/>
      <c r="D12749" s="811"/>
      <c r="E12749" s="1276">
        <f>[11]building!Y13080</f>
        <v>0</v>
      </c>
      <c r="F12749" s="748">
        <f t="shared" si="438"/>
        <v>0</v>
      </c>
      <c r="G12749" s="1205"/>
      <c r="H12749" s="1055"/>
      <c r="I12749" s="1055"/>
      <c r="J12749" s="1055"/>
      <c r="K12749" s="1205"/>
      <c r="L12749" s="1055"/>
      <c r="M12749" s="1205"/>
      <c r="N12749" s="1054"/>
      <c r="O12749" s="1207"/>
      <c r="Q12749" s="1207"/>
    </row>
    <row r="12750" spans="3:17" s="700" customFormat="1" ht="70.5" hidden="1" customHeight="1">
      <c r="C12750" s="701"/>
      <c r="D12750" s="811"/>
      <c r="E12750" s="1276">
        <f>[11]building!Y13081</f>
        <v>0</v>
      </c>
      <c r="F12750" s="748">
        <f t="shared" si="438"/>
        <v>0</v>
      </c>
      <c r="G12750" s="1205"/>
      <c r="H12750" s="1055"/>
      <c r="I12750" s="1055"/>
      <c r="J12750" s="1055"/>
      <c r="K12750" s="1205"/>
      <c r="L12750" s="1055"/>
      <c r="M12750" s="1205"/>
      <c r="N12750" s="1054"/>
      <c r="O12750" s="1207"/>
      <c r="Q12750" s="1207"/>
    </row>
    <row r="12751" spans="3:17" s="700" customFormat="1" ht="70.5" hidden="1" customHeight="1">
      <c r="C12751" s="701"/>
      <c r="D12751" s="811"/>
      <c r="E12751" s="1276">
        <f>[11]building!Y13082</f>
        <v>0</v>
      </c>
      <c r="F12751" s="748">
        <f t="shared" si="438"/>
        <v>0</v>
      </c>
      <c r="G12751" s="1205"/>
      <c r="H12751" s="1055"/>
      <c r="I12751" s="1055"/>
      <c r="J12751" s="1055"/>
      <c r="K12751" s="1205"/>
      <c r="L12751" s="1055"/>
      <c r="M12751" s="1205"/>
      <c r="N12751" s="1054"/>
      <c r="O12751" s="1207"/>
      <c r="Q12751" s="1207"/>
    </row>
    <row r="12752" spans="3:17" s="700" customFormat="1" ht="70.5" hidden="1" customHeight="1">
      <c r="C12752" s="701"/>
      <c r="D12752" s="811"/>
      <c r="E12752" s="1276">
        <f>[11]building!Y13083</f>
        <v>0</v>
      </c>
      <c r="F12752" s="748">
        <f t="shared" si="438"/>
        <v>0</v>
      </c>
      <c r="G12752" s="1205"/>
      <c r="H12752" s="1055"/>
      <c r="I12752" s="1055"/>
      <c r="J12752" s="1055"/>
      <c r="K12752" s="1205"/>
      <c r="L12752" s="1055"/>
      <c r="M12752" s="1205"/>
      <c r="N12752" s="1054"/>
      <c r="O12752" s="1207"/>
      <c r="Q12752" s="1207"/>
    </row>
    <row r="12753" spans="3:17" s="700" customFormat="1" ht="70.5" hidden="1" customHeight="1">
      <c r="C12753" s="701"/>
      <c r="D12753" s="811"/>
      <c r="E12753" s="1276">
        <f>[11]building!Y13084</f>
        <v>0</v>
      </c>
      <c r="F12753" s="748">
        <f t="shared" si="438"/>
        <v>0</v>
      </c>
      <c r="G12753" s="1205"/>
      <c r="H12753" s="1055"/>
      <c r="I12753" s="1055"/>
      <c r="J12753" s="1055"/>
      <c r="K12753" s="1205"/>
      <c r="L12753" s="1055"/>
      <c r="M12753" s="1205"/>
      <c r="N12753" s="1054"/>
      <c r="O12753" s="1207"/>
      <c r="Q12753" s="1207"/>
    </row>
    <row r="12754" spans="3:17" s="700" customFormat="1" ht="70.5" hidden="1" customHeight="1">
      <c r="C12754" s="701"/>
      <c r="D12754" s="811"/>
      <c r="E12754" s="1276">
        <f>[11]building!Y13085</f>
        <v>0</v>
      </c>
      <c r="F12754" s="748">
        <f t="shared" si="438"/>
        <v>0</v>
      </c>
      <c r="G12754" s="1205"/>
      <c r="H12754" s="1055"/>
      <c r="I12754" s="1055"/>
      <c r="J12754" s="1055"/>
      <c r="K12754" s="1205"/>
      <c r="L12754" s="1055"/>
      <c r="M12754" s="1205"/>
      <c r="N12754" s="1054"/>
      <c r="O12754" s="1207"/>
      <c r="Q12754" s="1207"/>
    </row>
    <row r="12755" spans="3:17" s="700" customFormat="1" ht="70.5" hidden="1" customHeight="1">
      <c r="C12755" s="701"/>
      <c r="D12755" s="811"/>
      <c r="E12755" s="1276">
        <f>[11]building!Y13086</f>
        <v>0</v>
      </c>
      <c r="F12755" s="748">
        <f t="shared" si="438"/>
        <v>0</v>
      </c>
      <c r="G12755" s="1205"/>
      <c r="H12755" s="1055"/>
      <c r="I12755" s="1055"/>
      <c r="J12755" s="1055"/>
      <c r="K12755" s="1205"/>
      <c r="L12755" s="1055"/>
      <c r="M12755" s="1205"/>
      <c r="N12755" s="1054"/>
      <c r="O12755" s="1207"/>
      <c r="Q12755" s="1207"/>
    </row>
    <row r="12756" spans="3:17" s="700" customFormat="1" ht="70.5" hidden="1" customHeight="1">
      <c r="C12756" s="701"/>
      <c r="D12756" s="811"/>
      <c r="E12756" s="1276">
        <f>[11]building!Y13087</f>
        <v>0</v>
      </c>
      <c r="F12756" s="748">
        <f t="shared" si="438"/>
        <v>0</v>
      </c>
      <c r="G12756" s="1205"/>
      <c r="H12756" s="1055"/>
      <c r="I12756" s="1055"/>
      <c r="J12756" s="1055"/>
      <c r="K12756" s="1205"/>
      <c r="L12756" s="1055"/>
      <c r="M12756" s="1205"/>
      <c r="N12756" s="1054"/>
      <c r="O12756" s="1207"/>
      <c r="Q12756" s="1207"/>
    </row>
    <row r="12757" spans="3:17" s="700" customFormat="1" ht="70.5" hidden="1" customHeight="1">
      <c r="C12757" s="701"/>
      <c r="D12757" s="811"/>
      <c r="E12757" s="1276">
        <f>[11]building!Y13088</f>
        <v>0</v>
      </c>
      <c r="F12757" s="748">
        <f t="shared" si="438"/>
        <v>0</v>
      </c>
      <c r="G12757" s="1205"/>
      <c r="H12757" s="1055"/>
      <c r="I12757" s="1055"/>
      <c r="J12757" s="1055"/>
      <c r="K12757" s="1205"/>
      <c r="L12757" s="1055"/>
      <c r="M12757" s="1205"/>
      <c r="N12757" s="1054"/>
      <c r="O12757" s="1207"/>
      <c r="Q12757" s="1207"/>
    </row>
    <row r="12758" spans="3:17" s="700" customFormat="1" ht="70.5" hidden="1" customHeight="1">
      <c r="C12758" s="701"/>
      <c r="D12758" s="811"/>
      <c r="E12758" s="1276">
        <f>[11]building!Y13089</f>
        <v>0</v>
      </c>
      <c r="F12758" s="748">
        <f t="shared" si="438"/>
        <v>0</v>
      </c>
      <c r="G12758" s="1205"/>
      <c r="H12758" s="1055"/>
      <c r="I12758" s="1055"/>
      <c r="J12758" s="1055"/>
      <c r="K12758" s="1205"/>
      <c r="L12758" s="1055"/>
      <c r="M12758" s="1205"/>
      <c r="N12758" s="1054"/>
      <c r="O12758" s="1207"/>
      <c r="Q12758" s="1207"/>
    </row>
    <row r="12759" spans="3:17" s="700" customFormat="1" ht="70.5" hidden="1" customHeight="1">
      <c r="C12759" s="701"/>
      <c r="D12759" s="811"/>
      <c r="E12759" s="1276">
        <f>[11]building!Y13090</f>
        <v>0</v>
      </c>
      <c r="F12759" s="748">
        <f t="shared" si="438"/>
        <v>0</v>
      </c>
      <c r="G12759" s="1205"/>
      <c r="H12759" s="1055"/>
      <c r="I12759" s="1055"/>
      <c r="J12759" s="1055"/>
      <c r="K12759" s="1205"/>
      <c r="L12759" s="1055"/>
      <c r="M12759" s="1205"/>
      <c r="N12759" s="1054"/>
      <c r="O12759" s="1207"/>
      <c r="Q12759" s="1207"/>
    </row>
    <row r="12760" spans="3:17" s="700" customFormat="1" ht="70.5" hidden="1" customHeight="1">
      <c r="C12760" s="701"/>
      <c r="D12760" s="811"/>
      <c r="E12760" s="1276">
        <f>[11]building!Y13091</f>
        <v>0</v>
      </c>
      <c r="F12760" s="748">
        <f t="shared" si="438"/>
        <v>0</v>
      </c>
      <c r="G12760" s="1205"/>
      <c r="H12760" s="1055"/>
      <c r="I12760" s="1055"/>
      <c r="J12760" s="1055"/>
      <c r="K12760" s="1205"/>
      <c r="L12760" s="1055"/>
      <c r="M12760" s="1205"/>
      <c r="N12760" s="1054"/>
      <c r="O12760" s="1207"/>
      <c r="Q12760" s="1207"/>
    </row>
    <row r="12761" spans="3:17" s="700" customFormat="1" ht="70.5" hidden="1" customHeight="1">
      <c r="C12761" s="701"/>
      <c r="D12761" s="811"/>
      <c r="E12761" s="1276">
        <f>[11]building!Y13092</f>
        <v>0</v>
      </c>
      <c r="F12761" s="748">
        <f t="shared" si="438"/>
        <v>0</v>
      </c>
      <c r="G12761" s="1205"/>
      <c r="H12761" s="1055"/>
      <c r="I12761" s="1055"/>
      <c r="J12761" s="1055"/>
      <c r="K12761" s="1205"/>
      <c r="L12761" s="1055"/>
      <c r="M12761" s="1205"/>
      <c r="N12761" s="1054"/>
      <c r="O12761" s="1207"/>
      <c r="Q12761" s="1207"/>
    </row>
    <row r="12762" spans="3:17" s="700" customFormat="1" ht="70.5" hidden="1" customHeight="1">
      <c r="C12762" s="701"/>
      <c r="D12762" s="811"/>
      <c r="E12762" s="1276">
        <f>[11]building!Y13093</f>
        <v>0</v>
      </c>
      <c r="F12762" s="748">
        <f t="shared" si="438"/>
        <v>0</v>
      </c>
      <c r="G12762" s="1205"/>
      <c r="H12762" s="1055"/>
      <c r="I12762" s="1055"/>
      <c r="J12762" s="1055"/>
      <c r="K12762" s="1205"/>
      <c r="L12762" s="1055"/>
      <c r="M12762" s="1205"/>
      <c r="N12762" s="1054"/>
      <c r="O12762" s="1207"/>
      <c r="Q12762" s="1207"/>
    </row>
    <row r="12763" spans="3:17" s="700" customFormat="1" ht="70.5" hidden="1" customHeight="1">
      <c r="C12763" s="701"/>
      <c r="D12763" s="811"/>
      <c r="E12763" s="1276">
        <f>[11]building!Y13094</f>
        <v>0</v>
      </c>
      <c r="F12763" s="748">
        <f t="shared" si="438"/>
        <v>0</v>
      </c>
      <c r="G12763" s="1205"/>
      <c r="H12763" s="1055"/>
      <c r="I12763" s="1055"/>
      <c r="J12763" s="1055"/>
      <c r="K12763" s="1205"/>
      <c r="L12763" s="1055"/>
      <c r="M12763" s="1205"/>
      <c r="N12763" s="1054"/>
      <c r="O12763" s="1207"/>
      <c r="Q12763" s="1207"/>
    </row>
    <row r="12764" spans="3:17" s="700" customFormat="1" ht="70.5" hidden="1" customHeight="1">
      <c r="C12764" s="701"/>
      <c r="D12764" s="811"/>
      <c r="E12764" s="1276">
        <f>[11]building!Y13095</f>
        <v>0</v>
      </c>
      <c r="F12764" s="748">
        <f t="shared" si="438"/>
        <v>0</v>
      </c>
      <c r="G12764" s="1205"/>
      <c r="H12764" s="1055"/>
      <c r="I12764" s="1055"/>
      <c r="J12764" s="1055"/>
      <c r="K12764" s="1205"/>
      <c r="L12764" s="1055"/>
      <c r="M12764" s="1205"/>
      <c r="N12764" s="1054"/>
      <c r="O12764" s="1207"/>
      <c r="Q12764" s="1207"/>
    </row>
    <row r="12765" spans="3:17" s="700" customFormat="1" ht="70.5" hidden="1" customHeight="1">
      <c r="C12765" s="701"/>
      <c r="D12765" s="811"/>
      <c r="E12765" s="1276">
        <f>[11]building!Y13096</f>
        <v>0</v>
      </c>
      <c r="F12765" s="748">
        <f t="shared" si="438"/>
        <v>0</v>
      </c>
      <c r="G12765" s="1205"/>
      <c r="H12765" s="1055"/>
      <c r="I12765" s="1055"/>
      <c r="J12765" s="1055"/>
      <c r="K12765" s="1205"/>
      <c r="L12765" s="1055"/>
      <c r="M12765" s="1205"/>
      <c r="N12765" s="1054"/>
      <c r="O12765" s="1207"/>
      <c r="Q12765" s="1207"/>
    </row>
    <row r="12766" spans="3:17" s="700" customFormat="1" ht="70.5" hidden="1" customHeight="1">
      <c r="C12766" s="701"/>
      <c r="D12766" s="811"/>
      <c r="E12766" s="1276">
        <f>[11]building!Y13097</f>
        <v>0</v>
      </c>
      <c r="F12766" s="748">
        <f t="shared" si="438"/>
        <v>0</v>
      </c>
      <c r="G12766" s="1205"/>
      <c r="H12766" s="1055"/>
      <c r="I12766" s="1055"/>
      <c r="J12766" s="1055"/>
      <c r="K12766" s="1205"/>
      <c r="L12766" s="1055"/>
      <c r="M12766" s="1205"/>
      <c r="N12766" s="1054"/>
      <c r="O12766" s="1207"/>
      <c r="Q12766" s="1207"/>
    </row>
    <row r="12767" spans="3:17" s="700" customFormat="1" ht="70.5" hidden="1" customHeight="1">
      <c r="C12767" s="701"/>
      <c r="D12767" s="811"/>
      <c r="E12767" s="1276">
        <f>[11]building!Y13098</f>
        <v>0</v>
      </c>
      <c r="F12767" s="748">
        <f t="shared" si="438"/>
        <v>0</v>
      </c>
      <c r="G12767" s="1205"/>
      <c r="H12767" s="1055"/>
      <c r="I12767" s="1055"/>
      <c r="J12767" s="1055"/>
      <c r="K12767" s="1205"/>
      <c r="L12767" s="1055"/>
      <c r="M12767" s="1205"/>
      <c r="N12767" s="1054"/>
      <c r="O12767" s="1207"/>
      <c r="Q12767" s="1207"/>
    </row>
    <row r="12768" spans="3:17" s="700" customFormat="1" ht="70.5" hidden="1" customHeight="1">
      <c r="C12768" s="701"/>
      <c r="D12768" s="811"/>
      <c r="E12768" s="1276">
        <f>[11]building!Y13099</f>
        <v>0</v>
      </c>
      <c r="F12768" s="748">
        <f t="shared" si="438"/>
        <v>0</v>
      </c>
      <c r="G12768" s="1205"/>
      <c r="H12768" s="1055"/>
      <c r="I12768" s="1055"/>
      <c r="J12768" s="1055"/>
      <c r="K12768" s="1205"/>
      <c r="L12768" s="1055"/>
      <c r="M12768" s="1205"/>
      <c r="N12768" s="1054"/>
      <c r="O12768" s="1207"/>
      <c r="Q12768" s="1207"/>
    </row>
    <row r="12769" spans="3:17" s="700" customFormat="1" ht="70.5" hidden="1" customHeight="1">
      <c r="C12769" s="701"/>
      <c r="D12769" s="811"/>
      <c r="E12769" s="1276">
        <f>[11]building!Y13100</f>
        <v>0</v>
      </c>
      <c r="F12769" s="748">
        <f t="shared" si="438"/>
        <v>0</v>
      </c>
      <c r="G12769" s="1205"/>
      <c r="H12769" s="1055"/>
      <c r="I12769" s="1055"/>
      <c r="J12769" s="1055"/>
      <c r="K12769" s="1205"/>
      <c r="L12769" s="1055"/>
      <c r="M12769" s="1205"/>
      <c r="N12769" s="1054"/>
      <c r="O12769" s="1207"/>
      <c r="Q12769" s="1207"/>
    </row>
    <row r="12770" spans="3:17" s="700" customFormat="1" ht="70.5" hidden="1" customHeight="1">
      <c r="C12770" s="701"/>
      <c r="D12770" s="811"/>
      <c r="E12770" s="1276">
        <f>[11]building!Y13101</f>
        <v>0</v>
      </c>
      <c r="F12770" s="748">
        <f t="shared" si="438"/>
        <v>0</v>
      </c>
      <c r="G12770" s="1205"/>
      <c r="H12770" s="1055"/>
      <c r="I12770" s="1055"/>
      <c r="J12770" s="1055"/>
      <c r="K12770" s="1205"/>
      <c r="L12770" s="1055"/>
      <c r="M12770" s="1205"/>
      <c r="N12770" s="1054"/>
      <c r="O12770" s="1207"/>
      <c r="Q12770" s="1207"/>
    </row>
    <row r="12771" spans="3:17" s="700" customFormat="1" ht="70.5" hidden="1" customHeight="1">
      <c r="C12771" s="701"/>
      <c r="D12771" s="811"/>
      <c r="E12771" s="1276">
        <f>[11]building!Y13102</f>
        <v>0</v>
      </c>
      <c r="F12771" s="748">
        <f t="shared" si="438"/>
        <v>0</v>
      </c>
      <c r="G12771" s="1205"/>
      <c r="H12771" s="1055"/>
      <c r="I12771" s="1055"/>
      <c r="J12771" s="1055"/>
      <c r="K12771" s="1205"/>
      <c r="L12771" s="1055"/>
      <c r="M12771" s="1205"/>
      <c r="N12771" s="1054"/>
      <c r="O12771" s="1207"/>
      <c r="Q12771" s="1207"/>
    </row>
    <row r="12772" spans="3:17" s="700" customFormat="1" ht="70.5" hidden="1" customHeight="1">
      <c r="C12772" s="701"/>
      <c r="D12772" s="811"/>
      <c r="E12772" s="1276">
        <f>[11]building!Y13103</f>
        <v>0</v>
      </c>
      <c r="F12772" s="748">
        <f t="shared" si="438"/>
        <v>0</v>
      </c>
      <c r="G12772" s="1205"/>
      <c r="H12772" s="1055"/>
      <c r="I12772" s="1055"/>
      <c r="J12772" s="1055"/>
      <c r="K12772" s="1205"/>
      <c r="L12772" s="1055"/>
      <c r="M12772" s="1205"/>
      <c r="N12772" s="1054"/>
      <c r="O12772" s="1207"/>
      <c r="Q12772" s="1207"/>
    </row>
    <row r="12773" spans="3:17" s="700" customFormat="1" ht="70.5" hidden="1" customHeight="1">
      <c r="C12773" s="701"/>
      <c r="D12773" s="811"/>
      <c r="E12773" s="1276">
        <f>[11]building!Y13104</f>
        <v>0</v>
      </c>
      <c r="F12773" s="748">
        <f t="shared" si="438"/>
        <v>0</v>
      </c>
      <c r="G12773" s="1205"/>
      <c r="H12773" s="1055"/>
      <c r="I12773" s="1055"/>
      <c r="J12773" s="1055"/>
      <c r="K12773" s="1205"/>
      <c r="L12773" s="1055"/>
      <c r="M12773" s="1205"/>
      <c r="N12773" s="1054"/>
      <c r="O12773" s="1207"/>
      <c r="Q12773" s="1207"/>
    </row>
    <row r="12774" spans="3:17" s="700" customFormat="1" ht="70.5" hidden="1" customHeight="1">
      <c r="C12774" s="701"/>
      <c r="D12774" s="811"/>
      <c r="E12774" s="1276">
        <f>[11]building!Y13105</f>
        <v>0</v>
      </c>
      <c r="F12774" s="748">
        <f t="shared" si="438"/>
        <v>0</v>
      </c>
      <c r="G12774" s="1205"/>
      <c r="H12774" s="1055"/>
      <c r="I12774" s="1055"/>
      <c r="J12774" s="1055"/>
      <c r="K12774" s="1205"/>
      <c r="L12774" s="1055"/>
      <c r="M12774" s="1205"/>
      <c r="N12774" s="1054"/>
      <c r="O12774" s="1207"/>
      <c r="Q12774" s="1207"/>
    </row>
    <row r="12775" spans="3:17" s="700" customFormat="1" ht="70.5" hidden="1" customHeight="1">
      <c r="C12775" s="701"/>
      <c r="D12775" s="811"/>
      <c r="E12775" s="1276">
        <f>[11]building!Y13106</f>
        <v>0</v>
      </c>
      <c r="F12775" s="748">
        <f t="shared" si="438"/>
        <v>0</v>
      </c>
      <c r="G12775" s="1205"/>
      <c r="H12775" s="1055"/>
      <c r="I12775" s="1055"/>
      <c r="J12775" s="1055"/>
      <c r="K12775" s="1205"/>
      <c r="L12775" s="1055"/>
      <c r="M12775" s="1205"/>
      <c r="N12775" s="1054"/>
      <c r="O12775" s="1207"/>
      <c r="Q12775" s="1207"/>
    </row>
    <row r="12776" spans="3:17" s="700" customFormat="1" ht="70.5" hidden="1" customHeight="1">
      <c r="C12776" s="701"/>
      <c r="D12776" s="811"/>
      <c r="E12776" s="1276">
        <f>[11]building!Y13107</f>
        <v>0</v>
      </c>
      <c r="F12776" s="748">
        <f t="shared" si="438"/>
        <v>0</v>
      </c>
      <c r="G12776" s="1205"/>
      <c r="H12776" s="1055"/>
      <c r="I12776" s="1055"/>
      <c r="J12776" s="1055"/>
      <c r="K12776" s="1205"/>
      <c r="L12776" s="1055"/>
      <c r="M12776" s="1205"/>
      <c r="N12776" s="1054"/>
      <c r="O12776" s="1207"/>
      <c r="Q12776" s="1207"/>
    </row>
    <row r="12777" spans="3:17" s="700" customFormat="1" ht="70.5" hidden="1" customHeight="1">
      <c r="C12777" s="701"/>
      <c r="D12777" s="811"/>
      <c r="E12777" s="1276">
        <f>[11]building!Y13108</f>
        <v>0</v>
      </c>
      <c r="F12777" s="748">
        <f t="shared" si="438"/>
        <v>0</v>
      </c>
      <c r="G12777" s="1205"/>
      <c r="H12777" s="1055"/>
      <c r="I12777" s="1055"/>
      <c r="J12777" s="1055"/>
      <c r="K12777" s="1205"/>
      <c r="L12777" s="1055"/>
      <c r="M12777" s="1205"/>
      <c r="N12777" s="1054"/>
      <c r="O12777" s="1207"/>
      <c r="Q12777" s="1207"/>
    </row>
    <row r="12778" spans="3:17" s="700" customFormat="1" ht="70.5" hidden="1" customHeight="1">
      <c r="C12778" s="701"/>
      <c r="D12778" s="811"/>
      <c r="E12778" s="1276">
        <f>[11]building!Y13109</f>
        <v>0</v>
      </c>
      <c r="F12778" s="748">
        <f t="shared" si="438"/>
        <v>0</v>
      </c>
      <c r="G12778" s="1205"/>
      <c r="H12778" s="1055"/>
      <c r="I12778" s="1055"/>
      <c r="J12778" s="1055"/>
      <c r="K12778" s="1205"/>
      <c r="L12778" s="1055"/>
      <c r="M12778" s="1205"/>
      <c r="N12778" s="1054"/>
      <c r="O12778" s="1207"/>
      <c r="Q12778" s="1207"/>
    </row>
    <row r="12779" spans="3:17" s="700" customFormat="1" ht="70.5" hidden="1" customHeight="1">
      <c r="C12779" s="701"/>
      <c r="D12779" s="811"/>
      <c r="E12779" s="1276">
        <f>[11]building!Y13110</f>
        <v>0</v>
      </c>
      <c r="F12779" s="748">
        <f t="shared" si="438"/>
        <v>0</v>
      </c>
      <c r="G12779" s="1205"/>
      <c r="H12779" s="1055"/>
      <c r="I12779" s="1055"/>
      <c r="J12779" s="1055"/>
      <c r="K12779" s="1205"/>
      <c r="L12779" s="1055"/>
      <c r="M12779" s="1205"/>
      <c r="N12779" s="1054"/>
      <c r="O12779" s="1207"/>
      <c r="Q12779" s="1207"/>
    </row>
    <row r="12780" spans="3:17" s="700" customFormat="1" ht="70.5" hidden="1" customHeight="1">
      <c r="C12780" s="701"/>
      <c r="D12780" s="811"/>
      <c r="E12780" s="1276">
        <f>[11]building!Y13111</f>
        <v>0</v>
      </c>
      <c r="F12780" s="748">
        <f t="shared" si="438"/>
        <v>0</v>
      </c>
      <c r="G12780" s="1205"/>
      <c r="H12780" s="1055"/>
      <c r="I12780" s="1055"/>
      <c r="J12780" s="1055"/>
      <c r="K12780" s="1205"/>
      <c r="L12780" s="1055"/>
      <c r="M12780" s="1205"/>
      <c r="N12780" s="1054"/>
      <c r="O12780" s="1207"/>
      <c r="Q12780" s="1207"/>
    </row>
    <row r="12781" spans="3:17" s="700" customFormat="1" ht="70.5" hidden="1" customHeight="1">
      <c r="C12781" s="701"/>
      <c r="D12781" s="811"/>
      <c r="E12781" s="1276">
        <f>[11]building!Y13112</f>
        <v>0</v>
      </c>
      <c r="F12781" s="748">
        <f t="shared" si="438"/>
        <v>0</v>
      </c>
      <c r="G12781" s="1205"/>
      <c r="H12781" s="1055"/>
      <c r="I12781" s="1055"/>
      <c r="J12781" s="1055"/>
      <c r="K12781" s="1205"/>
      <c r="L12781" s="1055"/>
      <c r="M12781" s="1205"/>
      <c r="N12781" s="1054"/>
      <c r="O12781" s="1207"/>
      <c r="Q12781" s="1207"/>
    </row>
    <row r="12782" spans="3:17" s="700" customFormat="1" ht="70.5" hidden="1" customHeight="1">
      <c r="C12782" s="701"/>
      <c r="D12782" s="811"/>
      <c r="E12782" s="1276">
        <f>[11]building!Y13113</f>
        <v>0</v>
      </c>
      <c r="F12782" s="748">
        <f t="shared" si="438"/>
        <v>0</v>
      </c>
      <c r="G12782" s="1205"/>
      <c r="H12782" s="1055"/>
      <c r="I12782" s="1055"/>
      <c r="J12782" s="1055"/>
      <c r="K12782" s="1205"/>
      <c r="L12782" s="1055"/>
      <c r="M12782" s="1205"/>
      <c r="N12782" s="1054"/>
      <c r="O12782" s="1207"/>
      <c r="Q12782" s="1207"/>
    </row>
    <row r="12783" spans="3:17" s="700" customFormat="1" ht="70.5" hidden="1" customHeight="1">
      <c r="C12783" s="701"/>
      <c r="D12783" s="811"/>
      <c r="E12783" s="1276">
        <f>[11]building!Y13114</f>
        <v>0</v>
      </c>
      <c r="F12783" s="748">
        <f t="shared" si="438"/>
        <v>0</v>
      </c>
      <c r="G12783" s="1205"/>
      <c r="H12783" s="1055"/>
      <c r="I12783" s="1055"/>
      <c r="J12783" s="1055"/>
      <c r="K12783" s="1205"/>
      <c r="L12783" s="1055"/>
      <c r="M12783" s="1205"/>
      <c r="N12783" s="1054"/>
      <c r="O12783" s="1207"/>
      <c r="Q12783" s="1207"/>
    </row>
    <row r="12784" spans="3:17" s="700" customFormat="1" ht="70.5" hidden="1" customHeight="1">
      <c r="C12784" s="701"/>
      <c r="D12784" s="811"/>
      <c r="E12784" s="1276">
        <f>[11]building!Y13115</f>
        <v>0</v>
      </c>
      <c r="F12784" s="748">
        <f t="shared" si="438"/>
        <v>0</v>
      </c>
      <c r="G12784" s="1205"/>
      <c r="H12784" s="1055"/>
      <c r="I12784" s="1055"/>
      <c r="J12784" s="1055"/>
      <c r="K12784" s="1205"/>
      <c r="L12784" s="1055"/>
      <c r="M12784" s="1205"/>
      <c r="N12784" s="1054"/>
      <c r="O12784" s="1207"/>
      <c r="Q12784" s="1207"/>
    </row>
    <row r="12785" spans="3:17" s="700" customFormat="1" ht="70.5" hidden="1" customHeight="1">
      <c r="C12785" s="701"/>
      <c r="D12785" s="811"/>
      <c r="E12785" s="1276">
        <f>[11]building!Y13116</f>
        <v>0</v>
      </c>
      <c r="F12785" s="748">
        <f t="shared" si="438"/>
        <v>0</v>
      </c>
      <c r="G12785" s="1205"/>
      <c r="H12785" s="1055"/>
      <c r="I12785" s="1055"/>
      <c r="J12785" s="1055"/>
      <c r="K12785" s="1205"/>
      <c r="L12785" s="1055"/>
      <c r="M12785" s="1205"/>
      <c r="N12785" s="1054"/>
      <c r="O12785" s="1207"/>
      <c r="Q12785" s="1207"/>
    </row>
    <row r="12786" spans="3:17" s="700" customFormat="1" ht="70.5" hidden="1" customHeight="1">
      <c r="C12786" s="701"/>
      <c r="D12786" s="811"/>
      <c r="E12786" s="1276">
        <f>[11]building!Y13117</f>
        <v>0</v>
      </c>
      <c r="F12786" s="748">
        <f t="shared" si="438"/>
        <v>0</v>
      </c>
      <c r="G12786" s="1205"/>
      <c r="H12786" s="1055"/>
      <c r="I12786" s="1055"/>
      <c r="J12786" s="1055"/>
      <c r="K12786" s="1205"/>
      <c r="L12786" s="1055"/>
      <c r="M12786" s="1205"/>
      <c r="N12786" s="1054"/>
      <c r="O12786" s="1207"/>
      <c r="Q12786" s="1207"/>
    </row>
    <row r="12787" spans="3:17" s="700" customFormat="1" ht="70.5" hidden="1" customHeight="1">
      <c r="C12787" s="701"/>
      <c r="D12787" s="811"/>
      <c r="E12787" s="1276">
        <f>[11]building!Y13118</f>
        <v>0</v>
      </c>
      <c r="F12787" s="748">
        <f t="shared" si="438"/>
        <v>0</v>
      </c>
      <c r="G12787" s="1205"/>
      <c r="H12787" s="1055"/>
      <c r="I12787" s="1055"/>
      <c r="J12787" s="1055"/>
      <c r="K12787" s="1205"/>
      <c r="L12787" s="1055"/>
      <c r="M12787" s="1205"/>
      <c r="N12787" s="1054"/>
      <c r="O12787" s="1207"/>
      <c r="Q12787" s="1207"/>
    </row>
    <row r="12788" spans="3:17" s="700" customFormat="1" ht="70.5" hidden="1" customHeight="1">
      <c r="C12788" s="701"/>
      <c r="D12788" s="811"/>
      <c r="E12788" s="1276">
        <f>[11]building!Y13119</f>
        <v>0</v>
      </c>
      <c r="F12788" s="748">
        <f t="shared" si="438"/>
        <v>0</v>
      </c>
      <c r="G12788" s="1205"/>
      <c r="H12788" s="1055"/>
      <c r="I12788" s="1055"/>
      <c r="J12788" s="1055"/>
      <c r="K12788" s="1205"/>
      <c r="L12788" s="1055"/>
      <c r="M12788" s="1205"/>
      <c r="N12788" s="1054"/>
      <c r="O12788" s="1207"/>
      <c r="Q12788" s="1207"/>
    </row>
    <row r="12789" spans="3:17" s="700" customFormat="1" ht="70.5" hidden="1" customHeight="1">
      <c r="C12789" s="701"/>
      <c r="D12789" s="811"/>
      <c r="E12789" s="1276">
        <f>[11]building!Y13120</f>
        <v>0</v>
      </c>
      <c r="F12789" s="748">
        <f t="shared" si="438"/>
        <v>0</v>
      </c>
      <c r="G12789" s="1205"/>
      <c r="H12789" s="1055"/>
      <c r="I12789" s="1055"/>
      <c r="J12789" s="1055"/>
      <c r="K12789" s="1205"/>
      <c r="L12789" s="1055"/>
      <c r="M12789" s="1205"/>
      <c r="N12789" s="1054"/>
      <c r="O12789" s="1207"/>
      <c r="Q12789" s="1207"/>
    </row>
    <row r="12790" spans="3:17" s="700" customFormat="1" ht="70.5" hidden="1" customHeight="1">
      <c r="C12790" s="701"/>
      <c r="D12790" s="811"/>
      <c r="E12790" s="1276">
        <f>[11]building!Y13121</f>
        <v>0</v>
      </c>
      <c r="F12790" s="748">
        <f t="shared" si="438"/>
        <v>0</v>
      </c>
      <c r="G12790" s="1205"/>
      <c r="H12790" s="1055"/>
      <c r="I12790" s="1055"/>
      <c r="J12790" s="1055"/>
      <c r="K12790" s="1205"/>
      <c r="L12790" s="1055"/>
      <c r="M12790" s="1205"/>
      <c r="N12790" s="1054"/>
      <c r="O12790" s="1207"/>
      <c r="Q12790" s="1207"/>
    </row>
    <row r="12791" spans="3:17" s="700" customFormat="1" ht="70.5" hidden="1" customHeight="1">
      <c r="C12791" s="701"/>
      <c r="D12791" s="811"/>
      <c r="E12791" s="1276">
        <f>[11]building!Y13122</f>
        <v>0</v>
      </c>
      <c r="F12791" s="748">
        <f t="shared" si="438"/>
        <v>0</v>
      </c>
      <c r="G12791" s="1205"/>
      <c r="H12791" s="1055"/>
      <c r="I12791" s="1055"/>
      <c r="J12791" s="1055"/>
      <c r="K12791" s="1205"/>
      <c r="L12791" s="1055"/>
      <c r="M12791" s="1205"/>
      <c r="N12791" s="1054"/>
      <c r="O12791" s="1207"/>
      <c r="Q12791" s="1207"/>
    </row>
    <row r="12792" spans="3:17" s="700" customFormat="1" ht="70.5" hidden="1" customHeight="1">
      <c r="C12792" s="701"/>
      <c r="D12792" s="811"/>
      <c r="E12792" s="1276">
        <f>[11]building!Y13123</f>
        <v>0</v>
      </c>
      <c r="F12792" s="748">
        <f t="shared" si="438"/>
        <v>0</v>
      </c>
      <c r="G12792" s="1205"/>
      <c r="H12792" s="1055"/>
      <c r="I12792" s="1055"/>
      <c r="J12792" s="1055"/>
      <c r="K12792" s="1205"/>
      <c r="L12792" s="1055"/>
      <c r="M12792" s="1205"/>
      <c r="N12792" s="1054"/>
      <c r="O12792" s="1207"/>
      <c r="Q12792" s="1207"/>
    </row>
    <row r="12793" spans="3:17" s="700" customFormat="1" ht="70.5" hidden="1" customHeight="1">
      <c r="C12793" s="701"/>
      <c r="D12793" s="811"/>
      <c r="E12793" s="1276">
        <f>[11]building!Y13124</f>
        <v>0</v>
      </c>
      <c r="F12793" s="748">
        <f t="shared" si="438"/>
        <v>0</v>
      </c>
      <c r="G12793" s="1205"/>
      <c r="H12793" s="1055"/>
      <c r="I12793" s="1055"/>
      <c r="J12793" s="1055"/>
      <c r="K12793" s="1205"/>
      <c r="L12793" s="1055"/>
      <c r="M12793" s="1205"/>
      <c r="N12793" s="1054"/>
      <c r="O12793" s="1207"/>
      <c r="Q12793" s="1207"/>
    </row>
    <row r="12794" spans="3:17" s="700" customFormat="1" ht="70.5" hidden="1" customHeight="1">
      <c r="C12794" s="701"/>
      <c r="D12794" s="811"/>
      <c r="E12794" s="1276">
        <f>[11]building!Y13125</f>
        <v>0</v>
      </c>
      <c r="F12794" s="748">
        <f t="shared" si="438"/>
        <v>0</v>
      </c>
      <c r="G12794" s="1205"/>
      <c r="H12794" s="1055"/>
      <c r="I12794" s="1055"/>
      <c r="J12794" s="1055"/>
      <c r="K12794" s="1205"/>
      <c r="L12794" s="1055"/>
      <c r="M12794" s="1205"/>
      <c r="N12794" s="1054"/>
      <c r="O12794" s="1207"/>
      <c r="Q12794" s="1207"/>
    </row>
    <row r="12795" spans="3:17" s="700" customFormat="1" ht="70.5" hidden="1" customHeight="1">
      <c r="C12795" s="701"/>
      <c r="D12795" s="811"/>
      <c r="E12795" s="1276">
        <f>[11]building!Y13126</f>
        <v>0</v>
      </c>
      <c r="F12795" s="748">
        <f t="shared" si="438"/>
        <v>0</v>
      </c>
      <c r="G12795" s="1205"/>
      <c r="H12795" s="1055"/>
      <c r="I12795" s="1055"/>
      <c r="J12795" s="1055"/>
      <c r="K12795" s="1205"/>
      <c r="L12795" s="1055"/>
      <c r="M12795" s="1205"/>
      <c r="N12795" s="1054"/>
      <c r="O12795" s="1207"/>
      <c r="Q12795" s="1207"/>
    </row>
    <row r="12796" spans="3:17" s="700" customFormat="1" ht="70.5" hidden="1" customHeight="1">
      <c r="C12796" s="701"/>
      <c r="D12796" s="811"/>
      <c r="E12796" s="1276">
        <f>[11]building!Y13127</f>
        <v>0</v>
      </c>
      <c r="F12796" s="748">
        <f t="shared" si="438"/>
        <v>0</v>
      </c>
      <c r="G12796" s="1205"/>
      <c r="H12796" s="1055"/>
      <c r="I12796" s="1055"/>
      <c r="J12796" s="1055"/>
      <c r="K12796" s="1205"/>
      <c r="L12796" s="1055"/>
      <c r="M12796" s="1205"/>
      <c r="N12796" s="1054"/>
      <c r="O12796" s="1207"/>
      <c r="Q12796" s="1207"/>
    </row>
    <row r="12797" spans="3:17" s="700" customFormat="1" ht="70.5" hidden="1" customHeight="1">
      <c r="C12797" s="701"/>
      <c r="D12797" s="811"/>
      <c r="E12797" s="1276">
        <f>[11]building!Y13128</f>
        <v>0</v>
      </c>
      <c r="F12797" s="748">
        <f t="shared" si="438"/>
        <v>0</v>
      </c>
      <c r="G12797" s="1205"/>
      <c r="H12797" s="1055"/>
      <c r="I12797" s="1055"/>
      <c r="J12797" s="1055"/>
      <c r="K12797" s="1205"/>
      <c r="L12797" s="1055"/>
      <c r="M12797" s="1205"/>
      <c r="N12797" s="1054"/>
      <c r="O12797" s="1207"/>
      <c r="Q12797" s="1207"/>
    </row>
    <row r="12798" spans="3:17" s="700" customFormat="1" ht="70.5" hidden="1" customHeight="1">
      <c r="C12798" s="701"/>
      <c r="D12798" s="811"/>
      <c r="E12798" s="1276">
        <f>[11]building!Y13129</f>
        <v>0</v>
      </c>
      <c r="F12798" s="748">
        <f t="shared" si="438"/>
        <v>0</v>
      </c>
      <c r="G12798" s="1205"/>
      <c r="H12798" s="1055"/>
      <c r="I12798" s="1055"/>
      <c r="J12798" s="1055"/>
      <c r="K12798" s="1205"/>
      <c r="L12798" s="1055"/>
      <c r="M12798" s="1205"/>
      <c r="N12798" s="1054"/>
      <c r="O12798" s="1207"/>
      <c r="Q12798" s="1207"/>
    </row>
    <row r="12799" spans="3:17" s="700" customFormat="1" ht="70.5" hidden="1" customHeight="1">
      <c r="C12799" s="701"/>
      <c r="D12799" s="811"/>
      <c r="E12799" s="1276">
        <f>[11]building!Y13130</f>
        <v>0</v>
      </c>
      <c r="F12799" s="748">
        <f t="shared" si="438"/>
        <v>0</v>
      </c>
      <c r="G12799" s="1205"/>
      <c r="H12799" s="1055"/>
      <c r="I12799" s="1055"/>
      <c r="J12799" s="1055"/>
      <c r="K12799" s="1205"/>
      <c r="L12799" s="1055"/>
      <c r="M12799" s="1205"/>
      <c r="N12799" s="1054"/>
      <c r="O12799" s="1207"/>
      <c r="Q12799" s="1207"/>
    </row>
    <row r="12800" spans="3:17" s="700" customFormat="1" ht="70.5" hidden="1" customHeight="1">
      <c r="C12800" s="701"/>
      <c r="D12800" s="811"/>
      <c r="E12800" s="1276">
        <f>[11]building!Y13131</f>
        <v>0</v>
      </c>
      <c r="F12800" s="748">
        <f t="shared" ref="F12800:F12863" si="439">E12800*C12800</f>
        <v>0</v>
      </c>
      <c r="G12800" s="1205"/>
      <c r="H12800" s="1055"/>
      <c r="I12800" s="1055"/>
      <c r="J12800" s="1055"/>
      <c r="K12800" s="1205"/>
      <c r="L12800" s="1055"/>
      <c r="M12800" s="1205"/>
      <c r="N12800" s="1054"/>
      <c r="O12800" s="1207"/>
      <c r="Q12800" s="1207"/>
    </row>
    <row r="12801" spans="3:17" s="700" customFormat="1" ht="70.5" hidden="1" customHeight="1">
      <c r="C12801" s="701"/>
      <c r="D12801" s="811"/>
      <c r="E12801" s="1276">
        <f>[11]building!Y13132</f>
        <v>0</v>
      </c>
      <c r="F12801" s="748">
        <f t="shared" si="439"/>
        <v>0</v>
      </c>
      <c r="G12801" s="1205"/>
      <c r="H12801" s="1055"/>
      <c r="I12801" s="1055"/>
      <c r="J12801" s="1055"/>
      <c r="K12801" s="1205"/>
      <c r="L12801" s="1055"/>
      <c r="M12801" s="1205"/>
      <c r="N12801" s="1054"/>
      <c r="O12801" s="1207"/>
      <c r="Q12801" s="1207"/>
    </row>
    <row r="12802" spans="3:17" s="700" customFormat="1" ht="70.5" hidden="1" customHeight="1">
      <c r="C12802" s="701"/>
      <c r="D12802" s="811"/>
      <c r="E12802" s="1276">
        <f>[11]building!Y13133</f>
        <v>0</v>
      </c>
      <c r="F12802" s="748">
        <f t="shared" si="439"/>
        <v>0</v>
      </c>
      <c r="G12802" s="1205"/>
      <c r="H12802" s="1055"/>
      <c r="I12802" s="1055"/>
      <c r="J12802" s="1055"/>
      <c r="K12802" s="1205"/>
      <c r="L12802" s="1055"/>
      <c r="M12802" s="1205"/>
      <c r="N12802" s="1054"/>
      <c r="O12802" s="1207"/>
      <c r="Q12802" s="1207"/>
    </row>
    <row r="12803" spans="3:17" s="700" customFormat="1" ht="70.5" hidden="1" customHeight="1">
      <c r="C12803" s="701"/>
      <c r="D12803" s="811"/>
      <c r="E12803" s="1276">
        <f>[11]building!Y13134</f>
        <v>0</v>
      </c>
      <c r="F12803" s="748">
        <f t="shared" si="439"/>
        <v>0</v>
      </c>
      <c r="G12803" s="1205"/>
      <c r="H12803" s="1055"/>
      <c r="I12803" s="1055"/>
      <c r="J12803" s="1055"/>
      <c r="K12803" s="1205"/>
      <c r="L12803" s="1055"/>
      <c r="M12803" s="1205"/>
      <c r="N12803" s="1054"/>
      <c r="O12803" s="1207"/>
      <c r="Q12803" s="1207"/>
    </row>
    <row r="12804" spans="3:17" s="700" customFormat="1" ht="70.5" hidden="1" customHeight="1">
      <c r="C12804" s="701"/>
      <c r="D12804" s="811"/>
      <c r="E12804" s="1276">
        <f>[11]building!Y13135</f>
        <v>0</v>
      </c>
      <c r="F12804" s="748">
        <f t="shared" si="439"/>
        <v>0</v>
      </c>
      <c r="G12804" s="1205"/>
      <c r="H12804" s="1055"/>
      <c r="I12804" s="1055"/>
      <c r="J12804" s="1055"/>
      <c r="K12804" s="1205"/>
      <c r="L12804" s="1055"/>
      <c r="M12804" s="1205"/>
      <c r="N12804" s="1054"/>
      <c r="O12804" s="1207"/>
      <c r="Q12804" s="1207"/>
    </row>
    <row r="12805" spans="3:17" s="700" customFormat="1" ht="70.5" hidden="1" customHeight="1">
      <c r="C12805" s="701"/>
      <c r="D12805" s="811"/>
      <c r="E12805" s="1276">
        <f>[11]building!Y13136</f>
        <v>0</v>
      </c>
      <c r="F12805" s="748">
        <f t="shared" si="439"/>
        <v>0</v>
      </c>
      <c r="G12805" s="1205"/>
      <c r="H12805" s="1055"/>
      <c r="I12805" s="1055"/>
      <c r="J12805" s="1055"/>
      <c r="K12805" s="1205"/>
      <c r="L12805" s="1055"/>
      <c r="M12805" s="1205"/>
      <c r="N12805" s="1054"/>
      <c r="O12805" s="1207"/>
      <c r="Q12805" s="1207"/>
    </row>
    <row r="12806" spans="3:17" s="700" customFormat="1" ht="70.5" hidden="1" customHeight="1">
      <c r="C12806" s="701"/>
      <c r="D12806" s="811"/>
      <c r="E12806" s="1276">
        <f>[11]building!Y13137</f>
        <v>0</v>
      </c>
      <c r="F12806" s="748">
        <f t="shared" si="439"/>
        <v>0</v>
      </c>
      <c r="G12806" s="1205"/>
      <c r="H12806" s="1055"/>
      <c r="I12806" s="1055"/>
      <c r="J12806" s="1055"/>
      <c r="K12806" s="1205"/>
      <c r="L12806" s="1055"/>
      <c r="M12806" s="1205"/>
      <c r="N12806" s="1054"/>
      <c r="O12806" s="1207"/>
      <c r="Q12806" s="1207"/>
    </row>
    <row r="12807" spans="3:17" s="700" customFormat="1" ht="70.5" hidden="1" customHeight="1">
      <c r="C12807" s="701"/>
      <c r="D12807" s="811"/>
      <c r="E12807" s="1276">
        <f>[11]building!Y13138</f>
        <v>0</v>
      </c>
      <c r="F12807" s="748">
        <f t="shared" si="439"/>
        <v>0</v>
      </c>
      <c r="G12807" s="1205"/>
      <c r="H12807" s="1055"/>
      <c r="I12807" s="1055"/>
      <c r="J12807" s="1055"/>
      <c r="K12807" s="1205"/>
      <c r="L12807" s="1055"/>
      <c r="M12807" s="1205"/>
      <c r="N12807" s="1054"/>
      <c r="O12807" s="1207"/>
      <c r="Q12807" s="1207"/>
    </row>
    <row r="12808" spans="3:17" s="700" customFormat="1" ht="70.5" hidden="1" customHeight="1">
      <c r="C12808" s="701"/>
      <c r="D12808" s="811"/>
      <c r="E12808" s="1276">
        <f>[11]building!Y13139</f>
        <v>0</v>
      </c>
      <c r="F12808" s="748">
        <f t="shared" si="439"/>
        <v>0</v>
      </c>
      <c r="G12808" s="1205"/>
      <c r="H12808" s="1055"/>
      <c r="I12808" s="1055"/>
      <c r="J12808" s="1055"/>
      <c r="K12808" s="1205"/>
      <c r="L12808" s="1055"/>
      <c r="M12808" s="1205"/>
      <c r="N12808" s="1054"/>
      <c r="O12808" s="1207"/>
      <c r="Q12808" s="1207"/>
    </row>
    <row r="12809" spans="3:17" s="700" customFormat="1" ht="70.5" hidden="1" customHeight="1">
      <c r="C12809" s="701"/>
      <c r="D12809" s="811"/>
      <c r="E12809" s="1276">
        <f>[11]building!Y13140</f>
        <v>0</v>
      </c>
      <c r="F12809" s="748">
        <f t="shared" si="439"/>
        <v>0</v>
      </c>
      <c r="G12809" s="1205"/>
      <c r="H12809" s="1055"/>
      <c r="I12809" s="1055"/>
      <c r="J12809" s="1055"/>
      <c r="K12809" s="1205"/>
      <c r="L12809" s="1055"/>
      <c r="M12809" s="1205"/>
      <c r="N12809" s="1054"/>
      <c r="O12809" s="1207"/>
      <c r="Q12809" s="1207"/>
    </row>
    <row r="12810" spans="3:17" s="700" customFormat="1" ht="70.5" hidden="1" customHeight="1">
      <c r="C12810" s="701"/>
      <c r="D12810" s="811"/>
      <c r="E12810" s="1276">
        <f>[11]building!Y13141</f>
        <v>0</v>
      </c>
      <c r="F12810" s="748">
        <f t="shared" si="439"/>
        <v>0</v>
      </c>
      <c r="G12810" s="1205"/>
      <c r="H12810" s="1055"/>
      <c r="I12810" s="1055"/>
      <c r="J12810" s="1055"/>
      <c r="K12810" s="1205"/>
      <c r="L12810" s="1055"/>
      <c r="M12810" s="1205"/>
      <c r="N12810" s="1054"/>
      <c r="O12810" s="1207"/>
      <c r="Q12810" s="1207"/>
    </row>
    <row r="12811" spans="3:17" s="700" customFormat="1" ht="70.5" hidden="1" customHeight="1">
      <c r="C12811" s="701"/>
      <c r="D12811" s="811"/>
      <c r="E12811" s="1276">
        <f>[11]building!Y13142</f>
        <v>0</v>
      </c>
      <c r="F12811" s="748">
        <f t="shared" si="439"/>
        <v>0</v>
      </c>
      <c r="G12811" s="1205"/>
      <c r="H12811" s="1055"/>
      <c r="I12811" s="1055"/>
      <c r="J12811" s="1055"/>
      <c r="K12811" s="1205"/>
      <c r="L12811" s="1055"/>
      <c r="M12811" s="1205"/>
      <c r="N12811" s="1054"/>
      <c r="O12811" s="1207"/>
      <c r="Q12811" s="1207"/>
    </row>
    <row r="12812" spans="3:17" s="700" customFormat="1" ht="70.5" hidden="1" customHeight="1">
      <c r="C12812" s="701"/>
      <c r="D12812" s="811"/>
      <c r="E12812" s="1276">
        <f>[11]building!Y13143</f>
        <v>0</v>
      </c>
      <c r="F12812" s="748">
        <f t="shared" si="439"/>
        <v>0</v>
      </c>
      <c r="G12812" s="1205"/>
      <c r="H12812" s="1055"/>
      <c r="I12812" s="1055"/>
      <c r="J12812" s="1055"/>
      <c r="K12812" s="1205"/>
      <c r="L12812" s="1055"/>
      <c r="M12812" s="1205"/>
      <c r="N12812" s="1054"/>
      <c r="O12812" s="1207"/>
      <c r="Q12812" s="1207"/>
    </row>
    <row r="12813" spans="3:17" s="700" customFormat="1" ht="70.5" hidden="1" customHeight="1">
      <c r="C12813" s="701"/>
      <c r="D12813" s="811"/>
      <c r="E12813" s="1276">
        <f>[11]building!Y13144</f>
        <v>0</v>
      </c>
      <c r="F12813" s="748">
        <f t="shared" si="439"/>
        <v>0</v>
      </c>
      <c r="G12813" s="1205"/>
      <c r="H12813" s="1055"/>
      <c r="I12813" s="1055"/>
      <c r="J12813" s="1055"/>
      <c r="K12813" s="1205"/>
      <c r="L12813" s="1055"/>
      <c r="M12813" s="1205"/>
      <c r="N12813" s="1054"/>
      <c r="O12813" s="1207"/>
      <c r="Q12813" s="1207"/>
    </row>
    <row r="12814" spans="3:17" s="700" customFormat="1" ht="70.5" hidden="1" customHeight="1">
      <c r="C12814" s="701"/>
      <c r="D12814" s="811"/>
      <c r="E12814" s="1276">
        <f>[11]building!Y13145</f>
        <v>0</v>
      </c>
      <c r="F12814" s="748">
        <f t="shared" si="439"/>
        <v>0</v>
      </c>
      <c r="G12814" s="1205"/>
      <c r="H12814" s="1055"/>
      <c r="I12814" s="1055"/>
      <c r="J12814" s="1055"/>
      <c r="K12814" s="1205"/>
      <c r="L12814" s="1055"/>
      <c r="M12814" s="1205"/>
      <c r="N12814" s="1054"/>
      <c r="O12814" s="1207"/>
      <c r="Q12814" s="1207"/>
    </row>
    <row r="12815" spans="3:17" s="700" customFormat="1" ht="70.5" hidden="1" customHeight="1">
      <c r="C12815" s="701"/>
      <c r="D12815" s="811"/>
      <c r="E12815" s="1276">
        <f>[11]building!Y13146</f>
        <v>0</v>
      </c>
      <c r="F12815" s="748">
        <f t="shared" si="439"/>
        <v>0</v>
      </c>
      <c r="G12815" s="1205"/>
      <c r="H12815" s="1055"/>
      <c r="I12815" s="1055"/>
      <c r="J12815" s="1055"/>
      <c r="K12815" s="1205"/>
      <c r="L12815" s="1055"/>
      <c r="M12815" s="1205"/>
      <c r="N12815" s="1054"/>
      <c r="O12815" s="1207"/>
      <c r="Q12815" s="1207"/>
    </row>
    <row r="12816" spans="3:17" s="700" customFormat="1" ht="70.5" hidden="1" customHeight="1">
      <c r="C12816" s="701"/>
      <c r="D12816" s="811"/>
      <c r="E12816" s="1276">
        <f>[11]building!Y13147</f>
        <v>0</v>
      </c>
      <c r="F12816" s="748">
        <f t="shared" si="439"/>
        <v>0</v>
      </c>
      <c r="G12816" s="1205"/>
      <c r="H12816" s="1055"/>
      <c r="I12816" s="1055"/>
      <c r="J12816" s="1055"/>
      <c r="K12816" s="1205"/>
      <c r="L12816" s="1055"/>
      <c r="M12816" s="1205"/>
      <c r="N12816" s="1054"/>
      <c r="O12816" s="1207"/>
      <c r="Q12816" s="1207"/>
    </row>
    <row r="12817" spans="3:17" s="700" customFormat="1" ht="70.5" hidden="1" customHeight="1">
      <c r="C12817" s="701"/>
      <c r="D12817" s="811"/>
      <c r="E12817" s="1276">
        <f>[11]building!Y13148</f>
        <v>0</v>
      </c>
      <c r="F12817" s="748">
        <f t="shared" si="439"/>
        <v>0</v>
      </c>
      <c r="G12817" s="1205"/>
      <c r="H12817" s="1055"/>
      <c r="I12817" s="1055"/>
      <c r="J12817" s="1055"/>
      <c r="K12817" s="1205"/>
      <c r="L12817" s="1055"/>
      <c r="M12817" s="1205"/>
      <c r="N12817" s="1054"/>
      <c r="O12817" s="1207"/>
      <c r="Q12817" s="1207"/>
    </row>
    <row r="12818" spans="3:17" s="700" customFormat="1" ht="70.5" hidden="1" customHeight="1">
      <c r="C12818" s="701"/>
      <c r="D12818" s="811"/>
      <c r="E12818" s="1276">
        <f>[11]building!Y13149</f>
        <v>0</v>
      </c>
      <c r="F12818" s="748">
        <f t="shared" si="439"/>
        <v>0</v>
      </c>
      <c r="G12818" s="1205"/>
      <c r="H12818" s="1055"/>
      <c r="I12818" s="1055"/>
      <c r="J12818" s="1055"/>
      <c r="K12818" s="1205"/>
      <c r="L12818" s="1055"/>
      <c r="M12818" s="1205"/>
      <c r="N12818" s="1054"/>
      <c r="O12818" s="1207"/>
      <c r="Q12818" s="1207"/>
    </row>
    <row r="12819" spans="3:17" s="700" customFormat="1" ht="70.5" hidden="1" customHeight="1">
      <c r="C12819" s="701"/>
      <c r="D12819" s="811"/>
      <c r="E12819" s="1276">
        <f>[11]building!Y13150</f>
        <v>0</v>
      </c>
      <c r="F12819" s="748">
        <f t="shared" si="439"/>
        <v>0</v>
      </c>
      <c r="G12819" s="1205"/>
      <c r="H12819" s="1055"/>
      <c r="I12819" s="1055"/>
      <c r="J12819" s="1055"/>
      <c r="K12819" s="1205"/>
      <c r="L12819" s="1055"/>
      <c r="M12819" s="1205"/>
      <c r="N12819" s="1054"/>
      <c r="O12819" s="1207"/>
      <c r="Q12819" s="1207"/>
    </row>
    <row r="12820" spans="3:17" s="700" customFormat="1" ht="70.5" hidden="1" customHeight="1">
      <c r="C12820" s="701"/>
      <c r="D12820" s="811"/>
      <c r="E12820" s="1276">
        <f>[11]building!Y13151</f>
        <v>0</v>
      </c>
      <c r="F12820" s="748">
        <f t="shared" si="439"/>
        <v>0</v>
      </c>
      <c r="G12820" s="1205"/>
      <c r="H12820" s="1055"/>
      <c r="I12820" s="1055"/>
      <c r="J12820" s="1055"/>
      <c r="K12820" s="1205"/>
      <c r="L12820" s="1055"/>
      <c r="M12820" s="1205"/>
      <c r="N12820" s="1054"/>
      <c r="O12820" s="1207"/>
      <c r="Q12820" s="1207"/>
    </row>
    <row r="12821" spans="3:17" s="700" customFormat="1" ht="70.5" hidden="1" customHeight="1">
      <c r="C12821" s="701"/>
      <c r="D12821" s="811"/>
      <c r="E12821" s="1276">
        <f>[11]building!Y13152</f>
        <v>0</v>
      </c>
      <c r="F12821" s="748">
        <f t="shared" si="439"/>
        <v>0</v>
      </c>
      <c r="G12821" s="1205"/>
      <c r="H12821" s="1055"/>
      <c r="I12821" s="1055"/>
      <c r="J12821" s="1055"/>
      <c r="K12821" s="1205"/>
      <c r="L12821" s="1055"/>
      <c r="M12821" s="1205"/>
      <c r="N12821" s="1054"/>
      <c r="O12821" s="1207"/>
      <c r="Q12821" s="1207"/>
    </row>
    <row r="12822" spans="3:17" s="700" customFormat="1" ht="70.5" hidden="1" customHeight="1">
      <c r="C12822" s="701"/>
      <c r="D12822" s="811"/>
      <c r="E12822" s="1276">
        <f>[11]building!Y13153</f>
        <v>0</v>
      </c>
      <c r="F12822" s="748">
        <f t="shared" si="439"/>
        <v>0</v>
      </c>
      <c r="G12822" s="1205"/>
      <c r="H12822" s="1055"/>
      <c r="I12822" s="1055"/>
      <c r="J12822" s="1055"/>
      <c r="K12822" s="1205"/>
      <c r="L12822" s="1055"/>
      <c r="M12822" s="1205"/>
      <c r="N12822" s="1054"/>
      <c r="O12822" s="1207"/>
      <c r="Q12822" s="1207"/>
    </row>
    <row r="12823" spans="3:17" s="700" customFormat="1" ht="70.5" hidden="1" customHeight="1">
      <c r="C12823" s="701"/>
      <c r="D12823" s="811"/>
      <c r="E12823" s="1276">
        <f>[11]building!Y13154</f>
        <v>0</v>
      </c>
      <c r="F12823" s="748">
        <f t="shared" si="439"/>
        <v>0</v>
      </c>
      <c r="G12823" s="1205"/>
      <c r="H12823" s="1055"/>
      <c r="I12823" s="1055"/>
      <c r="J12823" s="1055"/>
      <c r="K12823" s="1205"/>
      <c r="L12823" s="1055"/>
      <c r="M12823" s="1205"/>
      <c r="N12823" s="1054"/>
      <c r="O12823" s="1207"/>
      <c r="Q12823" s="1207"/>
    </row>
    <row r="12824" spans="3:17" s="700" customFormat="1" ht="70.5" hidden="1" customHeight="1">
      <c r="C12824" s="701"/>
      <c r="D12824" s="811"/>
      <c r="E12824" s="1276">
        <f>[11]building!Y13155</f>
        <v>0</v>
      </c>
      <c r="F12824" s="748">
        <f t="shared" si="439"/>
        <v>0</v>
      </c>
      <c r="G12824" s="1205"/>
      <c r="H12824" s="1055"/>
      <c r="I12824" s="1055"/>
      <c r="J12824" s="1055"/>
      <c r="K12824" s="1205"/>
      <c r="L12824" s="1055"/>
      <c r="M12824" s="1205"/>
      <c r="N12824" s="1054"/>
      <c r="O12824" s="1207"/>
      <c r="Q12824" s="1207"/>
    </row>
    <row r="12825" spans="3:17" s="700" customFormat="1" ht="70.5" hidden="1" customHeight="1">
      <c r="C12825" s="701"/>
      <c r="D12825" s="811"/>
      <c r="E12825" s="1276">
        <f>[11]building!Y13156</f>
        <v>0</v>
      </c>
      <c r="F12825" s="748">
        <f t="shared" si="439"/>
        <v>0</v>
      </c>
      <c r="G12825" s="1205"/>
      <c r="H12825" s="1055"/>
      <c r="I12825" s="1055"/>
      <c r="J12825" s="1055"/>
      <c r="K12825" s="1205"/>
      <c r="L12825" s="1055"/>
      <c r="M12825" s="1205"/>
      <c r="N12825" s="1054"/>
      <c r="O12825" s="1207"/>
      <c r="Q12825" s="1207"/>
    </row>
    <row r="12826" spans="3:17" s="700" customFormat="1" ht="70.5" hidden="1" customHeight="1">
      <c r="C12826" s="701"/>
      <c r="D12826" s="811"/>
      <c r="E12826" s="1276">
        <f>[11]building!Y13157</f>
        <v>0</v>
      </c>
      <c r="F12826" s="748">
        <f t="shared" si="439"/>
        <v>0</v>
      </c>
      <c r="G12826" s="1205"/>
      <c r="H12826" s="1055"/>
      <c r="I12826" s="1055"/>
      <c r="J12826" s="1055"/>
      <c r="K12826" s="1205"/>
      <c r="L12826" s="1055"/>
      <c r="M12826" s="1205"/>
      <c r="N12826" s="1054"/>
      <c r="O12826" s="1207"/>
      <c r="Q12826" s="1207"/>
    </row>
    <row r="12827" spans="3:17" s="700" customFormat="1" ht="70.5" hidden="1" customHeight="1">
      <c r="C12827" s="701"/>
      <c r="D12827" s="811"/>
      <c r="E12827" s="1276">
        <f>[11]building!Y13158</f>
        <v>0</v>
      </c>
      <c r="F12827" s="748">
        <f t="shared" si="439"/>
        <v>0</v>
      </c>
      <c r="G12827" s="1205"/>
      <c r="H12827" s="1055"/>
      <c r="I12827" s="1055"/>
      <c r="J12827" s="1055"/>
      <c r="K12827" s="1205"/>
      <c r="L12827" s="1055"/>
      <c r="M12827" s="1205"/>
      <c r="N12827" s="1054"/>
      <c r="O12827" s="1207"/>
      <c r="Q12827" s="1207"/>
    </row>
    <row r="12828" spans="3:17" s="700" customFormat="1" ht="70.5" hidden="1" customHeight="1">
      <c r="C12828" s="701"/>
      <c r="D12828" s="811"/>
      <c r="E12828" s="1276">
        <f>[11]building!Y13159</f>
        <v>0</v>
      </c>
      <c r="F12828" s="748">
        <f t="shared" si="439"/>
        <v>0</v>
      </c>
      <c r="G12828" s="1205"/>
      <c r="H12828" s="1055"/>
      <c r="I12828" s="1055"/>
      <c r="J12828" s="1055"/>
      <c r="K12828" s="1205"/>
      <c r="L12828" s="1055"/>
      <c r="M12828" s="1205"/>
      <c r="N12828" s="1054"/>
      <c r="O12828" s="1207"/>
      <c r="Q12828" s="1207"/>
    </row>
    <row r="12829" spans="3:17" s="700" customFormat="1" ht="70.5" hidden="1" customHeight="1">
      <c r="C12829" s="701"/>
      <c r="D12829" s="811"/>
      <c r="E12829" s="1276">
        <f>[11]building!Y13160</f>
        <v>0</v>
      </c>
      <c r="F12829" s="748">
        <f t="shared" si="439"/>
        <v>0</v>
      </c>
      <c r="G12829" s="1205"/>
      <c r="H12829" s="1055"/>
      <c r="I12829" s="1055"/>
      <c r="J12829" s="1055"/>
      <c r="K12829" s="1205"/>
      <c r="L12829" s="1055"/>
      <c r="M12829" s="1205"/>
      <c r="N12829" s="1054"/>
      <c r="O12829" s="1207"/>
      <c r="Q12829" s="1207"/>
    </row>
    <row r="12830" spans="3:17" s="700" customFormat="1" ht="70.5" hidden="1" customHeight="1">
      <c r="C12830" s="701"/>
      <c r="D12830" s="811"/>
      <c r="E12830" s="1276">
        <f>[11]building!Y13161</f>
        <v>0</v>
      </c>
      <c r="F12830" s="748">
        <f t="shared" si="439"/>
        <v>0</v>
      </c>
      <c r="G12830" s="1205"/>
      <c r="H12830" s="1055"/>
      <c r="I12830" s="1055"/>
      <c r="J12830" s="1055"/>
      <c r="K12830" s="1205"/>
      <c r="L12830" s="1055"/>
      <c r="M12830" s="1205"/>
      <c r="N12830" s="1054"/>
      <c r="O12830" s="1207"/>
      <c r="Q12830" s="1207"/>
    </row>
    <row r="12831" spans="3:17" s="700" customFormat="1" ht="70.5" hidden="1" customHeight="1">
      <c r="C12831" s="701"/>
      <c r="D12831" s="811"/>
      <c r="E12831" s="1276">
        <f>[11]building!Y13162</f>
        <v>0</v>
      </c>
      <c r="F12831" s="748">
        <f t="shared" si="439"/>
        <v>0</v>
      </c>
      <c r="G12831" s="1205"/>
      <c r="H12831" s="1055"/>
      <c r="I12831" s="1055"/>
      <c r="J12831" s="1055"/>
      <c r="K12831" s="1205"/>
      <c r="L12831" s="1055"/>
      <c r="M12831" s="1205"/>
      <c r="N12831" s="1054"/>
      <c r="O12831" s="1207"/>
      <c r="Q12831" s="1207"/>
    </row>
    <row r="12832" spans="3:17" s="700" customFormat="1" ht="70.5" hidden="1" customHeight="1">
      <c r="C12832" s="701"/>
      <c r="D12832" s="811"/>
      <c r="E12832" s="1276">
        <f>[11]building!Y13163</f>
        <v>0</v>
      </c>
      <c r="F12832" s="748">
        <f t="shared" si="439"/>
        <v>0</v>
      </c>
      <c r="G12832" s="1205"/>
      <c r="H12832" s="1055"/>
      <c r="I12832" s="1055"/>
      <c r="J12832" s="1055"/>
      <c r="K12832" s="1205"/>
      <c r="L12832" s="1055"/>
      <c r="M12832" s="1205"/>
      <c r="N12832" s="1054"/>
      <c r="O12832" s="1207"/>
      <c r="Q12832" s="1207"/>
    </row>
    <row r="12833" spans="3:17" s="700" customFormat="1" ht="70.5" hidden="1" customHeight="1">
      <c r="C12833" s="701"/>
      <c r="D12833" s="811"/>
      <c r="E12833" s="1276">
        <f>[11]building!Y13164</f>
        <v>0</v>
      </c>
      <c r="F12833" s="748">
        <f t="shared" si="439"/>
        <v>0</v>
      </c>
      <c r="G12833" s="1205"/>
      <c r="H12833" s="1055"/>
      <c r="I12833" s="1055"/>
      <c r="J12833" s="1055"/>
      <c r="K12833" s="1205"/>
      <c r="L12833" s="1055"/>
      <c r="M12833" s="1205"/>
      <c r="N12833" s="1054"/>
      <c r="O12833" s="1207"/>
      <c r="Q12833" s="1207"/>
    </row>
    <row r="12834" spans="3:17" s="700" customFormat="1" ht="70.5" hidden="1" customHeight="1">
      <c r="C12834" s="701"/>
      <c r="D12834" s="811"/>
      <c r="E12834" s="1276">
        <f>[11]building!Y13165</f>
        <v>0</v>
      </c>
      <c r="F12834" s="748">
        <f t="shared" si="439"/>
        <v>0</v>
      </c>
      <c r="G12834" s="1205"/>
      <c r="H12834" s="1055"/>
      <c r="I12834" s="1055"/>
      <c r="J12834" s="1055"/>
      <c r="K12834" s="1205"/>
      <c r="L12834" s="1055"/>
      <c r="M12834" s="1205"/>
      <c r="N12834" s="1054"/>
      <c r="O12834" s="1207"/>
      <c r="Q12834" s="1207"/>
    </row>
    <row r="12835" spans="3:17" s="700" customFormat="1" ht="70.5" hidden="1" customHeight="1">
      <c r="C12835" s="701"/>
      <c r="D12835" s="811"/>
      <c r="E12835" s="1276">
        <f>[11]building!Y13166</f>
        <v>0</v>
      </c>
      <c r="F12835" s="748">
        <f t="shared" si="439"/>
        <v>0</v>
      </c>
      <c r="G12835" s="1205"/>
      <c r="H12835" s="1055"/>
      <c r="I12835" s="1055"/>
      <c r="J12835" s="1055"/>
      <c r="K12835" s="1205"/>
      <c r="L12835" s="1055"/>
      <c r="M12835" s="1205"/>
      <c r="N12835" s="1054"/>
      <c r="O12835" s="1207"/>
      <c r="Q12835" s="1207"/>
    </row>
    <row r="12836" spans="3:17" s="700" customFormat="1" ht="70.5" hidden="1" customHeight="1">
      <c r="C12836" s="701"/>
      <c r="D12836" s="811"/>
      <c r="E12836" s="1276">
        <f>[11]building!Y13167</f>
        <v>0</v>
      </c>
      <c r="F12836" s="748">
        <f t="shared" si="439"/>
        <v>0</v>
      </c>
      <c r="G12836" s="1205"/>
      <c r="H12836" s="1055"/>
      <c r="I12836" s="1055"/>
      <c r="J12836" s="1055"/>
      <c r="K12836" s="1205"/>
      <c r="L12836" s="1055"/>
      <c r="M12836" s="1205"/>
      <c r="N12836" s="1054"/>
      <c r="O12836" s="1207"/>
      <c r="Q12836" s="1207"/>
    </row>
    <row r="12837" spans="3:17" s="700" customFormat="1" ht="70.5" hidden="1" customHeight="1">
      <c r="C12837" s="701"/>
      <c r="D12837" s="811"/>
      <c r="E12837" s="1276">
        <f>[11]building!Y13168</f>
        <v>0</v>
      </c>
      <c r="F12837" s="748">
        <f t="shared" si="439"/>
        <v>0</v>
      </c>
      <c r="G12837" s="1205"/>
      <c r="H12837" s="1055"/>
      <c r="I12837" s="1055"/>
      <c r="J12837" s="1055"/>
      <c r="K12837" s="1205"/>
      <c r="L12837" s="1055"/>
      <c r="M12837" s="1205"/>
      <c r="N12837" s="1054"/>
      <c r="O12837" s="1207"/>
      <c r="Q12837" s="1207"/>
    </row>
    <row r="12838" spans="3:17" s="700" customFormat="1" ht="70.5" hidden="1" customHeight="1">
      <c r="C12838" s="701"/>
      <c r="D12838" s="811"/>
      <c r="E12838" s="1276">
        <f>[11]building!Y13169</f>
        <v>0</v>
      </c>
      <c r="F12838" s="748">
        <f t="shared" si="439"/>
        <v>0</v>
      </c>
      <c r="G12838" s="1205"/>
      <c r="H12838" s="1055"/>
      <c r="I12838" s="1055"/>
      <c r="J12838" s="1055"/>
      <c r="K12838" s="1205"/>
      <c r="L12838" s="1055"/>
      <c r="M12838" s="1205"/>
      <c r="N12838" s="1054"/>
      <c r="O12838" s="1207"/>
      <c r="Q12838" s="1207"/>
    </row>
    <row r="12839" spans="3:17" s="700" customFormat="1" ht="70.5" hidden="1" customHeight="1">
      <c r="C12839" s="701"/>
      <c r="D12839" s="811"/>
      <c r="E12839" s="1276">
        <f>[11]building!Y13170</f>
        <v>0</v>
      </c>
      <c r="F12839" s="748">
        <f t="shared" si="439"/>
        <v>0</v>
      </c>
      <c r="G12839" s="1205"/>
      <c r="H12839" s="1055"/>
      <c r="I12839" s="1055"/>
      <c r="J12839" s="1055"/>
      <c r="K12839" s="1205"/>
      <c r="L12839" s="1055"/>
      <c r="M12839" s="1205"/>
      <c r="N12839" s="1054"/>
      <c r="O12839" s="1207"/>
      <c r="Q12839" s="1207"/>
    </row>
    <row r="12840" spans="3:17" s="700" customFormat="1" ht="70.5" hidden="1" customHeight="1">
      <c r="C12840" s="701"/>
      <c r="D12840" s="811"/>
      <c r="E12840" s="1276">
        <f>[11]building!Y13171</f>
        <v>0</v>
      </c>
      <c r="F12840" s="748">
        <f t="shared" si="439"/>
        <v>0</v>
      </c>
      <c r="G12840" s="1205"/>
      <c r="H12840" s="1055"/>
      <c r="I12840" s="1055"/>
      <c r="J12840" s="1055"/>
      <c r="K12840" s="1205"/>
      <c r="L12840" s="1055"/>
      <c r="M12840" s="1205"/>
      <c r="N12840" s="1054"/>
      <c r="O12840" s="1207"/>
      <c r="Q12840" s="1207"/>
    </row>
    <row r="12841" spans="3:17" s="700" customFormat="1" ht="70.5" hidden="1" customHeight="1">
      <c r="C12841" s="701"/>
      <c r="D12841" s="811"/>
      <c r="E12841" s="1276">
        <f>[11]building!Y13172</f>
        <v>0</v>
      </c>
      <c r="F12841" s="748">
        <f t="shared" si="439"/>
        <v>0</v>
      </c>
      <c r="G12841" s="1205"/>
      <c r="H12841" s="1055"/>
      <c r="I12841" s="1055"/>
      <c r="J12841" s="1055"/>
      <c r="K12841" s="1205"/>
      <c r="L12841" s="1055"/>
      <c r="M12841" s="1205"/>
      <c r="N12841" s="1054"/>
      <c r="O12841" s="1207"/>
      <c r="Q12841" s="1207"/>
    </row>
    <row r="12842" spans="3:17" s="700" customFormat="1" ht="70.5" hidden="1" customHeight="1">
      <c r="C12842" s="701"/>
      <c r="D12842" s="811"/>
      <c r="E12842" s="1276">
        <f>[11]building!Y13173</f>
        <v>0</v>
      </c>
      <c r="F12842" s="748">
        <f t="shared" si="439"/>
        <v>0</v>
      </c>
      <c r="G12842" s="1205"/>
      <c r="H12842" s="1055"/>
      <c r="I12842" s="1055"/>
      <c r="J12842" s="1055"/>
      <c r="K12842" s="1205"/>
      <c r="L12842" s="1055"/>
      <c r="M12842" s="1205"/>
      <c r="N12842" s="1054"/>
      <c r="O12842" s="1207"/>
      <c r="Q12842" s="1207"/>
    </row>
    <row r="12843" spans="3:17" s="700" customFormat="1" ht="70.5" hidden="1" customHeight="1">
      <c r="C12843" s="701"/>
      <c r="D12843" s="811"/>
      <c r="E12843" s="1276">
        <f>[11]building!Y13174</f>
        <v>0</v>
      </c>
      <c r="F12843" s="748">
        <f t="shared" si="439"/>
        <v>0</v>
      </c>
      <c r="G12843" s="1205"/>
      <c r="H12843" s="1055"/>
      <c r="I12843" s="1055"/>
      <c r="J12843" s="1055"/>
      <c r="K12843" s="1205"/>
      <c r="L12843" s="1055"/>
      <c r="M12843" s="1205"/>
      <c r="N12843" s="1054"/>
      <c r="O12843" s="1207"/>
      <c r="Q12843" s="1207"/>
    </row>
    <row r="12844" spans="3:17" s="700" customFormat="1" ht="70.5" hidden="1" customHeight="1">
      <c r="C12844" s="701"/>
      <c r="D12844" s="811"/>
      <c r="E12844" s="1276">
        <f>[11]building!Y13175</f>
        <v>0</v>
      </c>
      <c r="F12844" s="748">
        <f t="shared" si="439"/>
        <v>0</v>
      </c>
      <c r="G12844" s="1205"/>
      <c r="H12844" s="1055"/>
      <c r="I12844" s="1055"/>
      <c r="J12844" s="1055"/>
      <c r="K12844" s="1205"/>
      <c r="L12844" s="1055"/>
      <c r="M12844" s="1205"/>
      <c r="N12844" s="1054"/>
      <c r="O12844" s="1207"/>
      <c r="Q12844" s="1207"/>
    </row>
    <row r="12845" spans="3:17" s="700" customFormat="1" ht="70.5" hidden="1" customHeight="1">
      <c r="C12845" s="701"/>
      <c r="D12845" s="811"/>
      <c r="E12845" s="1276">
        <f>[11]building!Y13176</f>
        <v>0</v>
      </c>
      <c r="F12845" s="748">
        <f t="shared" si="439"/>
        <v>0</v>
      </c>
      <c r="G12845" s="1205"/>
      <c r="H12845" s="1055"/>
      <c r="I12845" s="1055"/>
      <c r="J12845" s="1055"/>
      <c r="K12845" s="1205"/>
      <c r="L12845" s="1055"/>
      <c r="M12845" s="1205"/>
      <c r="N12845" s="1054"/>
      <c r="O12845" s="1207"/>
      <c r="Q12845" s="1207"/>
    </row>
    <row r="12846" spans="3:17" s="700" customFormat="1" ht="70.5" hidden="1" customHeight="1">
      <c r="C12846" s="701"/>
      <c r="D12846" s="811"/>
      <c r="E12846" s="1276">
        <f>[11]building!Y13177</f>
        <v>0</v>
      </c>
      <c r="F12846" s="748">
        <f t="shared" si="439"/>
        <v>0</v>
      </c>
      <c r="G12846" s="1205"/>
      <c r="H12846" s="1055"/>
      <c r="I12846" s="1055"/>
      <c r="J12846" s="1055"/>
      <c r="K12846" s="1205"/>
      <c r="L12846" s="1055"/>
      <c r="M12846" s="1205"/>
      <c r="N12846" s="1054"/>
      <c r="O12846" s="1207"/>
      <c r="Q12846" s="1207"/>
    </row>
    <row r="12847" spans="3:17" s="700" customFormat="1" ht="70.5" hidden="1" customHeight="1">
      <c r="C12847" s="701"/>
      <c r="D12847" s="811"/>
      <c r="E12847" s="1276">
        <f>[11]building!Y13178</f>
        <v>0</v>
      </c>
      <c r="F12847" s="748">
        <f t="shared" si="439"/>
        <v>0</v>
      </c>
      <c r="G12847" s="1205"/>
      <c r="H12847" s="1055"/>
      <c r="I12847" s="1055"/>
      <c r="J12847" s="1055"/>
      <c r="K12847" s="1205"/>
      <c r="L12847" s="1055"/>
      <c r="M12847" s="1205"/>
      <c r="N12847" s="1054"/>
      <c r="O12847" s="1207"/>
      <c r="Q12847" s="1207"/>
    </row>
    <row r="12848" spans="3:17" s="700" customFormat="1" ht="70.5" hidden="1" customHeight="1">
      <c r="C12848" s="701"/>
      <c r="D12848" s="811"/>
      <c r="E12848" s="1276">
        <f>[11]building!Y13179</f>
        <v>0</v>
      </c>
      <c r="F12848" s="748">
        <f t="shared" si="439"/>
        <v>0</v>
      </c>
      <c r="G12848" s="1205"/>
      <c r="H12848" s="1055"/>
      <c r="I12848" s="1055"/>
      <c r="J12848" s="1055"/>
      <c r="K12848" s="1205"/>
      <c r="L12848" s="1055"/>
      <c r="M12848" s="1205"/>
      <c r="N12848" s="1054"/>
      <c r="O12848" s="1207"/>
      <c r="Q12848" s="1207"/>
    </row>
    <row r="12849" spans="3:17" s="700" customFormat="1" ht="70.5" hidden="1" customHeight="1">
      <c r="C12849" s="701"/>
      <c r="D12849" s="811"/>
      <c r="E12849" s="1276">
        <f>[11]building!Y13180</f>
        <v>0</v>
      </c>
      <c r="F12849" s="748">
        <f t="shared" si="439"/>
        <v>0</v>
      </c>
      <c r="G12849" s="1205"/>
      <c r="H12849" s="1055"/>
      <c r="I12849" s="1055"/>
      <c r="J12849" s="1055"/>
      <c r="K12849" s="1205"/>
      <c r="L12849" s="1055"/>
      <c r="M12849" s="1205"/>
      <c r="N12849" s="1054"/>
      <c r="O12849" s="1207"/>
      <c r="Q12849" s="1207"/>
    </row>
    <row r="12850" spans="3:17" s="700" customFormat="1" ht="70.5" hidden="1" customHeight="1">
      <c r="C12850" s="701"/>
      <c r="D12850" s="811"/>
      <c r="E12850" s="1276">
        <f>[11]building!Y13181</f>
        <v>0</v>
      </c>
      <c r="F12850" s="748">
        <f t="shared" si="439"/>
        <v>0</v>
      </c>
      <c r="G12850" s="1205"/>
      <c r="H12850" s="1055"/>
      <c r="I12850" s="1055"/>
      <c r="J12850" s="1055"/>
      <c r="K12850" s="1205"/>
      <c r="L12850" s="1055"/>
      <c r="M12850" s="1205"/>
      <c r="N12850" s="1054"/>
      <c r="O12850" s="1207"/>
      <c r="Q12850" s="1207"/>
    </row>
    <row r="12851" spans="3:17" s="700" customFormat="1" ht="70.5" hidden="1" customHeight="1">
      <c r="C12851" s="701"/>
      <c r="D12851" s="811"/>
      <c r="E12851" s="1276">
        <f>[11]building!Y13182</f>
        <v>0</v>
      </c>
      <c r="F12851" s="748">
        <f t="shared" si="439"/>
        <v>0</v>
      </c>
      <c r="G12851" s="1205"/>
      <c r="H12851" s="1055"/>
      <c r="I12851" s="1055"/>
      <c r="J12851" s="1055"/>
      <c r="K12851" s="1205"/>
      <c r="L12851" s="1055"/>
      <c r="M12851" s="1205"/>
      <c r="N12851" s="1054"/>
      <c r="O12851" s="1207"/>
      <c r="Q12851" s="1207"/>
    </row>
    <row r="12852" spans="3:17" s="700" customFormat="1" ht="70.5" hidden="1" customHeight="1">
      <c r="C12852" s="701"/>
      <c r="D12852" s="811"/>
      <c r="E12852" s="1276">
        <f>[11]building!Y13183</f>
        <v>0</v>
      </c>
      <c r="F12852" s="748">
        <f t="shared" si="439"/>
        <v>0</v>
      </c>
      <c r="G12852" s="1205"/>
      <c r="H12852" s="1055"/>
      <c r="I12852" s="1055"/>
      <c r="J12852" s="1055"/>
      <c r="K12852" s="1205"/>
      <c r="L12852" s="1055"/>
      <c r="M12852" s="1205"/>
      <c r="N12852" s="1054"/>
      <c r="O12852" s="1207"/>
      <c r="Q12852" s="1207"/>
    </row>
    <row r="12853" spans="3:17" s="700" customFormat="1" ht="70.5" hidden="1" customHeight="1">
      <c r="C12853" s="701"/>
      <c r="D12853" s="811"/>
      <c r="E12853" s="1276">
        <f>[11]building!Y13184</f>
        <v>0</v>
      </c>
      <c r="F12853" s="748">
        <f t="shared" si="439"/>
        <v>0</v>
      </c>
      <c r="G12853" s="1205"/>
      <c r="H12853" s="1055"/>
      <c r="I12853" s="1055"/>
      <c r="J12853" s="1055"/>
      <c r="K12853" s="1205"/>
      <c r="L12853" s="1055"/>
      <c r="M12853" s="1205"/>
      <c r="N12853" s="1054"/>
      <c r="O12853" s="1207"/>
      <c r="Q12853" s="1207"/>
    </row>
    <row r="12854" spans="3:17" s="700" customFormat="1" ht="70.5" hidden="1" customHeight="1">
      <c r="C12854" s="701"/>
      <c r="D12854" s="811"/>
      <c r="E12854" s="1276">
        <f>[11]building!Y13185</f>
        <v>0</v>
      </c>
      <c r="F12854" s="748">
        <f t="shared" si="439"/>
        <v>0</v>
      </c>
      <c r="G12854" s="1205"/>
      <c r="H12854" s="1055"/>
      <c r="I12854" s="1055"/>
      <c r="J12854" s="1055"/>
      <c r="K12854" s="1205"/>
      <c r="L12854" s="1055"/>
      <c r="M12854" s="1205"/>
      <c r="N12854" s="1054"/>
      <c r="O12854" s="1207"/>
      <c r="Q12854" s="1207"/>
    </row>
    <row r="12855" spans="3:17" s="700" customFormat="1" ht="70.5" hidden="1" customHeight="1">
      <c r="C12855" s="701"/>
      <c r="D12855" s="811"/>
      <c r="E12855" s="1276">
        <f>[11]building!Y13186</f>
        <v>0</v>
      </c>
      <c r="F12855" s="748">
        <f t="shared" si="439"/>
        <v>0</v>
      </c>
      <c r="G12855" s="1205"/>
      <c r="H12855" s="1055"/>
      <c r="I12855" s="1055"/>
      <c r="J12855" s="1055"/>
      <c r="K12855" s="1205"/>
      <c r="L12855" s="1055"/>
      <c r="M12855" s="1205"/>
      <c r="N12855" s="1054"/>
      <c r="O12855" s="1207"/>
      <c r="Q12855" s="1207"/>
    </row>
    <row r="12856" spans="3:17" s="700" customFormat="1" ht="70.5" hidden="1" customHeight="1">
      <c r="C12856" s="701"/>
      <c r="D12856" s="811"/>
      <c r="E12856" s="1276">
        <f>[11]building!Y13187</f>
        <v>0</v>
      </c>
      <c r="F12856" s="748">
        <f t="shared" si="439"/>
        <v>0</v>
      </c>
      <c r="G12856" s="1205"/>
      <c r="H12856" s="1055"/>
      <c r="I12856" s="1055"/>
      <c r="J12856" s="1055"/>
      <c r="K12856" s="1205"/>
      <c r="L12856" s="1055"/>
      <c r="M12856" s="1205"/>
      <c r="N12856" s="1054"/>
      <c r="O12856" s="1207"/>
      <c r="Q12856" s="1207"/>
    </row>
    <row r="12857" spans="3:17" s="700" customFormat="1" ht="70.5" hidden="1" customHeight="1">
      <c r="C12857" s="701"/>
      <c r="D12857" s="811"/>
      <c r="E12857" s="1276">
        <f>[11]building!Y13188</f>
        <v>0</v>
      </c>
      <c r="F12857" s="748">
        <f t="shared" si="439"/>
        <v>0</v>
      </c>
      <c r="G12857" s="1205"/>
      <c r="H12857" s="1055"/>
      <c r="I12857" s="1055"/>
      <c r="J12857" s="1055"/>
      <c r="K12857" s="1205"/>
      <c r="L12857" s="1055"/>
      <c r="M12857" s="1205"/>
      <c r="N12857" s="1054"/>
      <c r="O12857" s="1207"/>
      <c r="Q12857" s="1207"/>
    </row>
    <row r="12858" spans="3:17" s="700" customFormat="1" ht="70.5" hidden="1" customHeight="1">
      <c r="C12858" s="701"/>
      <c r="D12858" s="811"/>
      <c r="E12858" s="1276">
        <f>[11]building!Y13189</f>
        <v>0</v>
      </c>
      <c r="F12858" s="748">
        <f t="shared" si="439"/>
        <v>0</v>
      </c>
      <c r="G12858" s="1205"/>
      <c r="H12858" s="1055"/>
      <c r="I12858" s="1055"/>
      <c r="J12858" s="1055"/>
      <c r="K12858" s="1205"/>
      <c r="L12858" s="1055"/>
      <c r="M12858" s="1205"/>
      <c r="N12858" s="1054"/>
      <c r="O12858" s="1207"/>
      <c r="Q12858" s="1207"/>
    </row>
    <row r="12859" spans="3:17" s="700" customFormat="1" ht="70.5" hidden="1" customHeight="1">
      <c r="C12859" s="701"/>
      <c r="D12859" s="811"/>
      <c r="E12859" s="1276">
        <f>[11]building!Y13190</f>
        <v>0</v>
      </c>
      <c r="F12859" s="748">
        <f t="shared" si="439"/>
        <v>0</v>
      </c>
      <c r="G12859" s="1205"/>
      <c r="H12859" s="1055"/>
      <c r="I12859" s="1055"/>
      <c r="J12859" s="1055"/>
      <c r="K12859" s="1205"/>
      <c r="L12859" s="1055"/>
      <c r="M12859" s="1205"/>
      <c r="N12859" s="1054"/>
      <c r="O12859" s="1207"/>
      <c r="Q12859" s="1207"/>
    </row>
    <row r="12860" spans="3:17" s="700" customFormat="1" ht="70.5" hidden="1" customHeight="1">
      <c r="C12860" s="701"/>
      <c r="D12860" s="811"/>
      <c r="E12860" s="1276">
        <f>[11]building!Y13191</f>
        <v>0</v>
      </c>
      <c r="F12860" s="748">
        <f t="shared" si="439"/>
        <v>0</v>
      </c>
      <c r="G12860" s="1205"/>
      <c r="H12860" s="1055"/>
      <c r="I12860" s="1055"/>
      <c r="J12860" s="1055"/>
      <c r="K12860" s="1205"/>
      <c r="L12860" s="1055"/>
      <c r="M12860" s="1205"/>
      <c r="N12860" s="1054"/>
      <c r="O12860" s="1207"/>
      <c r="Q12860" s="1207"/>
    </row>
    <row r="12861" spans="3:17" s="700" customFormat="1" ht="70.5" hidden="1" customHeight="1">
      <c r="C12861" s="701"/>
      <c r="D12861" s="811"/>
      <c r="E12861" s="1276">
        <f>[11]building!Y13192</f>
        <v>0</v>
      </c>
      <c r="F12861" s="748">
        <f t="shared" si="439"/>
        <v>0</v>
      </c>
      <c r="G12861" s="1205"/>
      <c r="H12861" s="1055"/>
      <c r="I12861" s="1055"/>
      <c r="J12861" s="1055"/>
      <c r="K12861" s="1205"/>
      <c r="L12861" s="1055"/>
      <c r="M12861" s="1205"/>
      <c r="N12861" s="1054"/>
      <c r="O12861" s="1207"/>
      <c r="Q12861" s="1207"/>
    </row>
    <row r="12862" spans="3:17" s="700" customFormat="1" ht="70.5" hidden="1" customHeight="1">
      <c r="C12862" s="701"/>
      <c r="D12862" s="811"/>
      <c r="E12862" s="1276">
        <f>[11]building!Y13193</f>
        <v>0</v>
      </c>
      <c r="F12862" s="748">
        <f t="shared" si="439"/>
        <v>0</v>
      </c>
      <c r="G12862" s="1205"/>
      <c r="H12862" s="1055"/>
      <c r="I12862" s="1055"/>
      <c r="J12862" s="1055"/>
      <c r="K12862" s="1205"/>
      <c r="L12862" s="1055"/>
      <c r="M12862" s="1205"/>
      <c r="N12862" s="1054"/>
      <c r="O12862" s="1207"/>
      <c r="Q12862" s="1207"/>
    </row>
    <row r="12863" spans="3:17" s="700" customFormat="1" ht="70.5" hidden="1" customHeight="1">
      <c r="C12863" s="701"/>
      <c r="D12863" s="811"/>
      <c r="E12863" s="1276">
        <f>[11]building!Y13194</f>
        <v>0</v>
      </c>
      <c r="F12863" s="748">
        <f t="shared" si="439"/>
        <v>0</v>
      </c>
      <c r="G12863" s="1205"/>
      <c r="H12863" s="1055"/>
      <c r="I12863" s="1055"/>
      <c r="J12863" s="1055"/>
      <c r="K12863" s="1205"/>
      <c r="L12863" s="1055"/>
      <c r="M12863" s="1205"/>
      <c r="N12863" s="1054"/>
      <c r="O12863" s="1207"/>
      <c r="Q12863" s="1207"/>
    </row>
    <row r="12864" spans="3:17" s="700" customFormat="1" ht="70.5" hidden="1" customHeight="1">
      <c r="C12864" s="701"/>
      <c r="D12864" s="811"/>
      <c r="E12864" s="1276">
        <f>[11]building!Y13195</f>
        <v>0</v>
      </c>
      <c r="F12864" s="748">
        <f t="shared" ref="F12864:F12927" si="440">E12864*C12864</f>
        <v>0</v>
      </c>
      <c r="G12864" s="1205"/>
      <c r="H12864" s="1055"/>
      <c r="I12864" s="1055"/>
      <c r="J12864" s="1055"/>
      <c r="K12864" s="1205"/>
      <c r="L12864" s="1055"/>
      <c r="M12864" s="1205"/>
      <c r="N12864" s="1054"/>
      <c r="O12864" s="1207"/>
      <c r="Q12864" s="1207"/>
    </row>
    <row r="12865" spans="3:17" s="700" customFormat="1" ht="70.5" hidden="1" customHeight="1">
      <c r="C12865" s="701"/>
      <c r="D12865" s="811"/>
      <c r="E12865" s="1276">
        <f>[11]building!Y13196</f>
        <v>0</v>
      </c>
      <c r="F12865" s="748">
        <f t="shared" si="440"/>
        <v>0</v>
      </c>
      <c r="G12865" s="1205"/>
      <c r="H12865" s="1055"/>
      <c r="I12865" s="1055"/>
      <c r="J12865" s="1055"/>
      <c r="K12865" s="1205"/>
      <c r="L12865" s="1055"/>
      <c r="M12865" s="1205"/>
      <c r="N12865" s="1054"/>
      <c r="O12865" s="1207"/>
      <c r="Q12865" s="1207"/>
    </row>
    <row r="12866" spans="3:17" s="700" customFormat="1" ht="70.5" hidden="1" customHeight="1">
      <c r="C12866" s="701"/>
      <c r="D12866" s="811"/>
      <c r="E12866" s="1276">
        <f>[11]building!Y13197</f>
        <v>0</v>
      </c>
      <c r="F12866" s="748">
        <f t="shared" si="440"/>
        <v>0</v>
      </c>
      <c r="G12866" s="1205"/>
      <c r="H12866" s="1055"/>
      <c r="I12866" s="1055"/>
      <c r="J12866" s="1055"/>
      <c r="K12866" s="1205"/>
      <c r="L12866" s="1055"/>
      <c r="M12866" s="1205"/>
      <c r="N12866" s="1054"/>
      <c r="O12866" s="1207"/>
      <c r="Q12866" s="1207"/>
    </row>
    <row r="12867" spans="3:17" s="700" customFormat="1" ht="70.5" hidden="1" customHeight="1">
      <c r="C12867" s="701"/>
      <c r="D12867" s="811"/>
      <c r="E12867" s="1276">
        <f>[11]building!Y13198</f>
        <v>0</v>
      </c>
      <c r="F12867" s="748">
        <f t="shared" si="440"/>
        <v>0</v>
      </c>
      <c r="G12867" s="1205"/>
      <c r="H12867" s="1055"/>
      <c r="I12867" s="1055"/>
      <c r="J12867" s="1055"/>
      <c r="K12867" s="1205"/>
      <c r="L12867" s="1055"/>
      <c r="M12867" s="1205"/>
      <c r="N12867" s="1054"/>
      <c r="O12867" s="1207"/>
      <c r="Q12867" s="1207"/>
    </row>
    <row r="12868" spans="3:17" s="700" customFormat="1" ht="70.5" hidden="1" customHeight="1">
      <c r="C12868" s="701"/>
      <c r="D12868" s="811"/>
      <c r="E12868" s="1276">
        <f>[11]building!Y13199</f>
        <v>0</v>
      </c>
      <c r="F12868" s="748">
        <f t="shared" si="440"/>
        <v>0</v>
      </c>
      <c r="G12868" s="1205"/>
      <c r="H12868" s="1055"/>
      <c r="I12868" s="1055"/>
      <c r="J12868" s="1055"/>
      <c r="K12868" s="1205"/>
      <c r="L12868" s="1055"/>
      <c r="M12868" s="1205"/>
      <c r="N12868" s="1054"/>
      <c r="O12868" s="1207"/>
      <c r="Q12868" s="1207"/>
    </row>
    <row r="12869" spans="3:17" s="700" customFormat="1" ht="70.5" hidden="1" customHeight="1">
      <c r="C12869" s="701"/>
      <c r="D12869" s="811"/>
      <c r="E12869" s="1276">
        <f>[11]building!Y13200</f>
        <v>0</v>
      </c>
      <c r="F12869" s="748">
        <f t="shared" si="440"/>
        <v>0</v>
      </c>
      <c r="G12869" s="1205"/>
      <c r="H12869" s="1055"/>
      <c r="I12869" s="1055"/>
      <c r="J12869" s="1055"/>
      <c r="K12869" s="1205"/>
      <c r="L12869" s="1055"/>
      <c r="M12869" s="1205"/>
      <c r="N12869" s="1054"/>
      <c r="O12869" s="1207"/>
      <c r="Q12869" s="1207"/>
    </row>
    <row r="12870" spans="3:17" s="700" customFormat="1" ht="70.5" hidden="1" customHeight="1">
      <c r="C12870" s="701"/>
      <c r="D12870" s="811"/>
      <c r="E12870" s="1276">
        <f>[11]building!Y13201</f>
        <v>0</v>
      </c>
      <c r="F12870" s="748">
        <f t="shared" si="440"/>
        <v>0</v>
      </c>
      <c r="G12870" s="1205"/>
      <c r="H12870" s="1055"/>
      <c r="I12870" s="1055"/>
      <c r="J12870" s="1055"/>
      <c r="K12870" s="1205"/>
      <c r="L12870" s="1055"/>
      <c r="M12870" s="1205"/>
      <c r="N12870" s="1054"/>
      <c r="O12870" s="1207"/>
      <c r="Q12870" s="1207"/>
    </row>
    <row r="12871" spans="3:17" s="700" customFormat="1" ht="70.5" hidden="1" customHeight="1">
      <c r="C12871" s="701"/>
      <c r="D12871" s="811"/>
      <c r="E12871" s="1276">
        <f>[11]building!Y13202</f>
        <v>0</v>
      </c>
      <c r="F12871" s="748">
        <f t="shared" si="440"/>
        <v>0</v>
      </c>
      <c r="G12871" s="1205"/>
      <c r="H12871" s="1055"/>
      <c r="I12871" s="1055"/>
      <c r="J12871" s="1055"/>
      <c r="K12871" s="1205"/>
      <c r="L12871" s="1055"/>
      <c r="M12871" s="1205"/>
      <c r="N12871" s="1054"/>
      <c r="O12871" s="1207"/>
      <c r="Q12871" s="1207"/>
    </row>
    <row r="12872" spans="3:17" s="700" customFormat="1" ht="70.5" hidden="1" customHeight="1">
      <c r="C12872" s="701"/>
      <c r="D12872" s="811"/>
      <c r="E12872" s="1276">
        <f>[11]building!Y13203</f>
        <v>0</v>
      </c>
      <c r="F12872" s="748">
        <f t="shared" si="440"/>
        <v>0</v>
      </c>
      <c r="G12872" s="1205"/>
      <c r="H12872" s="1055"/>
      <c r="I12872" s="1055"/>
      <c r="J12872" s="1055"/>
      <c r="K12872" s="1205"/>
      <c r="L12872" s="1055"/>
      <c r="M12872" s="1205"/>
      <c r="N12872" s="1054"/>
      <c r="O12872" s="1207"/>
      <c r="Q12872" s="1207"/>
    </row>
    <row r="12873" spans="3:17" s="700" customFormat="1" ht="70.5" hidden="1" customHeight="1">
      <c r="C12873" s="701"/>
      <c r="D12873" s="811"/>
      <c r="E12873" s="1276">
        <f>[11]building!Y13204</f>
        <v>0</v>
      </c>
      <c r="F12873" s="748">
        <f t="shared" si="440"/>
        <v>0</v>
      </c>
      <c r="G12873" s="1205"/>
      <c r="H12873" s="1055"/>
      <c r="I12873" s="1055"/>
      <c r="J12873" s="1055"/>
      <c r="K12873" s="1205"/>
      <c r="L12873" s="1055"/>
      <c r="M12873" s="1205"/>
      <c r="N12873" s="1054"/>
      <c r="O12873" s="1207"/>
      <c r="Q12873" s="1207"/>
    </row>
    <row r="12874" spans="3:17" s="700" customFormat="1" ht="70.5" hidden="1" customHeight="1">
      <c r="C12874" s="701"/>
      <c r="D12874" s="811"/>
      <c r="E12874" s="1276">
        <f>[11]building!Y13205</f>
        <v>0</v>
      </c>
      <c r="F12874" s="748">
        <f t="shared" si="440"/>
        <v>0</v>
      </c>
      <c r="G12874" s="1205"/>
      <c r="H12874" s="1055"/>
      <c r="I12874" s="1055"/>
      <c r="J12874" s="1055"/>
      <c r="K12874" s="1205"/>
      <c r="L12874" s="1055"/>
      <c r="M12874" s="1205"/>
      <c r="N12874" s="1054"/>
      <c r="O12874" s="1207"/>
      <c r="Q12874" s="1207"/>
    </row>
    <row r="12875" spans="3:17" s="700" customFormat="1" ht="70.5" hidden="1" customHeight="1">
      <c r="C12875" s="701"/>
      <c r="D12875" s="811"/>
      <c r="E12875" s="1276">
        <f>[11]building!Y13206</f>
        <v>0</v>
      </c>
      <c r="F12875" s="748">
        <f t="shared" si="440"/>
        <v>0</v>
      </c>
      <c r="G12875" s="1205"/>
      <c r="H12875" s="1055"/>
      <c r="I12875" s="1055"/>
      <c r="J12875" s="1055"/>
      <c r="K12875" s="1205"/>
      <c r="L12875" s="1055"/>
      <c r="M12875" s="1205"/>
      <c r="N12875" s="1054"/>
      <c r="O12875" s="1207"/>
      <c r="Q12875" s="1207"/>
    </row>
    <row r="12876" spans="3:17" s="700" customFormat="1" ht="70.5" hidden="1" customHeight="1">
      <c r="C12876" s="701"/>
      <c r="D12876" s="811"/>
      <c r="E12876" s="1276">
        <f>[11]building!Y13207</f>
        <v>0</v>
      </c>
      <c r="F12876" s="748">
        <f t="shared" si="440"/>
        <v>0</v>
      </c>
      <c r="G12876" s="1205"/>
      <c r="H12876" s="1055"/>
      <c r="I12876" s="1055"/>
      <c r="J12876" s="1055"/>
      <c r="K12876" s="1205"/>
      <c r="L12876" s="1055"/>
      <c r="M12876" s="1205"/>
      <c r="N12876" s="1054"/>
      <c r="O12876" s="1207"/>
      <c r="Q12876" s="1207"/>
    </row>
    <row r="12877" spans="3:17" s="700" customFormat="1" ht="70.5" hidden="1" customHeight="1">
      <c r="C12877" s="701"/>
      <c r="D12877" s="811"/>
      <c r="E12877" s="1276">
        <f>[11]building!Y13208</f>
        <v>0</v>
      </c>
      <c r="F12877" s="748">
        <f t="shared" si="440"/>
        <v>0</v>
      </c>
      <c r="G12877" s="1205"/>
      <c r="H12877" s="1055"/>
      <c r="I12877" s="1055"/>
      <c r="J12877" s="1055"/>
      <c r="K12877" s="1205"/>
      <c r="L12877" s="1055"/>
      <c r="M12877" s="1205"/>
      <c r="N12877" s="1054"/>
      <c r="O12877" s="1207"/>
      <c r="Q12877" s="1207"/>
    </row>
    <row r="12878" spans="3:17" s="700" customFormat="1" ht="70.5" hidden="1" customHeight="1">
      <c r="C12878" s="701"/>
      <c r="D12878" s="811"/>
      <c r="E12878" s="1276">
        <f>[11]building!Y13209</f>
        <v>0</v>
      </c>
      <c r="F12878" s="748">
        <f t="shared" si="440"/>
        <v>0</v>
      </c>
      <c r="G12878" s="1205"/>
      <c r="H12878" s="1055"/>
      <c r="I12878" s="1055"/>
      <c r="J12878" s="1055"/>
      <c r="K12878" s="1205"/>
      <c r="L12878" s="1055"/>
      <c r="M12878" s="1205"/>
      <c r="N12878" s="1054"/>
      <c r="O12878" s="1207"/>
      <c r="Q12878" s="1207"/>
    </row>
    <row r="12879" spans="3:17" s="700" customFormat="1" ht="70.5" hidden="1" customHeight="1">
      <c r="C12879" s="701"/>
      <c r="D12879" s="811"/>
      <c r="E12879" s="1276">
        <f>[11]building!Y13210</f>
        <v>0</v>
      </c>
      <c r="F12879" s="748">
        <f t="shared" si="440"/>
        <v>0</v>
      </c>
      <c r="G12879" s="1205"/>
      <c r="H12879" s="1055"/>
      <c r="I12879" s="1055"/>
      <c r="J12879" s="1055"/>
      <c r="K12879" s="1205"/>
      <c r="L12879" s="1055"/>
      <c r="M12879" s="1205"/>
      <c r="N12879" s="1054"/>
      <c r="O12879" s="1207"/>
      <c r="Q12879" s="1207"/>
    </row>
    <row r="12880" spans="3:17" s="700" customFormat="1" ht="70.5" hidden="1" customHeight="1">
      <c r="C12880" s="701"/>
      <c r="D12880" s="811"/>
      <c r="E12880" s="1276">
        <f>[11]building!Y13211</f>
        <v>0</v>
      </c>
      <c r="F12880" s="748">
        <f t="shared" si="440"/>
        <v>0</v>
      </c>
      <c r="G12880" s="1205"/>
      <c r="H12880" s="1055"/>
      <c r="I12880" s="1055"/>
      <c r="J12880" s="1055"/>
      <c r="K12880" s="1205"/>
      <c r="L12880" s="1055"/>
      <c r="M12880" s="1205"/>
      <c r="N12880" s="1054"/>
      <c r="O12880" s="1207"/>
      <c r="Q12880" s="1207"/>
    </row>
    <row r="12881" spans="3:17" s="700" customFormat="1" ht="70.5" hidden="1" customHeight="1">
      <c r="C12881" s="701"/>
      <c r="D12881" s="811"/>
      <c r="E12881" s="1276">
        <f>[11]building!Y13212</f>
        <v>0</v>
      </c>
      <c r="F12881" s="748">
        <f t="shared" si="440"/>
        <v>0</v>
      </c>
      <c r="G12881" s="1205"/>
      <c r="H12881" s="1055"/>
      <c r="I12881" s="1055"/>
      <c r="J12881" s="1055"/>
      <c r="K12881" s="1205"/>
      <c r="L12881" s="1055"/>
      <c r="M12881" s="1205"/>
      <c r="N12881" s="1054"/>
      <c r="O12881" s="1207"/>
      <c r="Q12881" s="1207"/>
    </row>
    <row r="12882" spans="3:17" s="700" customFormat="1" ht="70.5" hidden="1" customHeight="1">
      <c r="C12882" s="701"/>
      <c r="D12882" s="811"/>
      <c r="E12882" s="1276">
        <f>[11]building!Y13213</f>
        <v>0</v>
      </c>
      <c r="F12882" s="748">
        <f t="shared" si="440"/>
        <v>0</v>
      </c>
      <c r="G12882" s="1205"/>
      <c r="H12882" s="1055"/>
      <c r="I12882" s="1055"/>
      <c r="J12882" s="1055"/>
      <c r="K12882" s="1205"/>
      <c r="L12882" s="1055"/>
      <c r="M12882" s="1205"/>
      <c r="N12882" s="1054"/>
      <c r="O12882" s="1207"/>
      <c r="Q12882" s="1207"/>
    </row>
    <row r="12883" spans="3:17" s="700" customFormat="1" ht="70.5" hidden="1" customHeight="1">
      <c r="C12883" s="701"/>
      <c r="D12883" s="811"/>
      <c r="E12883" s="1276">
        <f>[11]building!Y13214</f>
        <v>0</v>
      </c>
      <c r="F12883" s="748">
        <f t="shared" si="440"/>
        <v>0</v>
      </c>
      <c r="G12883" s="1205"/>
      <c r="H12883" s="1055"/>
      <c r="I12883" s="1055"/>
      <c r="J12883" s="1055"/>
      <c r="K12883" s="1205"/>
      <c r="L12883" s="1055"/>
      <c r="M12883" s="1205"/>
      <c r="N12883" s="1054"/>
      <c r="O12883" s="1207"/>
      <c r="Q12883" s="1207"/>
    </row>
    <row r="12884" spans="3:17" s="700" customFormat="1" ht="70.5" hidden="1" customHeight="1">
      <c r="C12884" s="701"/>
      <c r="D12884" s="811"/>
      <c r="E12884" s="1276">
        <f>[11]building!Y13215</f>
        <v>0</v>
      </c>
      <c r="F12884" s="748">
        <f t="shared" si="440"/>
        <v>0</v>
      </c>
      <c r="G12884" s="1205"/>
      <c r="H12884" s="1055"/>
      <c r="I12884" s="1055"/>
      <c r="J12884" s="1055"/>
      <c r="K12884" s="1205"/>
      <c r="L12884" s="1055"/>
      <c r="M12884" s="1205"/>
      <c r="N12884" s="1054"/>
      <c r="O12884" s="1207"/>
      <c r="Q12884" s="1207"/>
    </row>
    <row r="12885" spans="3:17" s="700" customFormat="1" ht="70.5" hidden="1" customHeight="1">
      <c r="C12885" s="701"/>
      <c r="D12885" s="811"/>
      <c r="E12885" s="1276">
        <f>[11]building!Y13216</f>
        <v>0</v>
      </c>
      <c r="F12885" s="748">
        <f t="shared" si="440"/>
        <v>0</v>
      </c>
      <c r="G12885" s="1205"/>
      <c r="H12885" s="1055"/>
      <c r="I12885" s="1055"/>
      <c r="J12885" s="1055"/>
      <c r="K12885" s="1205"/>
      <c r="L12885" s="1055"/>
      <c r="M12885" s="1205"/>
      <c r="N12885" s="1054"/>
      <c r="O12885" s="1207"/>
      <c r="Q12885" s="1207"/>
    </row>
    <row r="12886" spans="3:17" s="700" customFormat="1" ht="70.5" hidden="1" customHeight="1">
      <c r="C12886" s="701"/>
      <c r="D12886" s="811"/>
      <c r="E12886" s="1276">
        <f>[11]building!Y13217</f>
        <v>0</v>
      </c>
      <c r="F12886" s="748">
        <f t="shared" si="440"/>
        <v>0</v>
      </c>
      <c r="G12886" s="1205"/>
      <c r="H12886" s="1055"/>
      <c r="I12886" s="1055"/>
      <c r="J12886" s="1055"/>
      <c r="K12886" s="1205"/>
      <c r="L12886" s="1055"/>
      <c r="M12886" s="1205"/>
      <c r="N12886" s="1054"/>
      <c r="O12886" s="1207"/>
      <c r="Q12886" s="1207"/>
    </row>
    <row r="12887" spans="3:17" s="700" customFormat="1" ht="70.5" hidden="1" customHeight="1">
      <c r="C12887" s="701"/>
      <c r="D12887" s="811"/>
      <c r="E12887" s="1276">
        <f>[11]building!Y13218</f>
        <v>0</v>
      </c>
      <c r="F12887" s="748">
        <f t="shared" si="440"/>
        <v>0</v>
      </c>
      <c r="G12887" s="1205"/>
      <c r="H12887" s="1055"/>
      <c r="I12887" s="1055"/>
      <c r="J12887" s="1055"/>
      <c r="K12887" s="1205"/>
      <c r="L12887" s="1055"/>
      <c r="M12887" s="1205"/>
      <c r="N12887" s="1054"/>
      <c r="O12887" s="1207"/>
      <c r="Q12887" s="1207"/>
    </row>
    <row r="12888" spans="3:17" s="700" customFormat="1" ht="70.5" hidden="1" customHeight="1">
      <c r="C12888" s="701"/>
      <c r="D12888" s="811"/>
      <c r="E12888" s="1276">
        <f>[11]building!Y13219</f>
        <v>0</v>
      </c>
      <c r="F12888" s="748">
        <f t="shared" si="440"/>
        <v>0</v>
      </c>
      <c r="G12888" s="1205"/>
      <c r="H12888" s="1055"/>
      <c r="I12888" s="1055"/>
      <c r="J12888" s="1055"/>
      <c r="K12888" s="1205"/>
      <c r="L12888" s="1055"/>
      <c r="M12888" s="1205"/>
      <c r="N12888" s="1054"/>
      <c r="O12888" s="1207"/>
      <c r="Q12888" s="1207"/>
    </row>
    <row r="12889" spans="3:17" s="700" customFormat="1" ht="70.5" hidden="1" customHeight="1">
      <c r="C12889" s="701"/>
      <c r="D12889" s="811"/>
      <c r="E12889" s="1276">
        <f>[11]building!Y13220</f>
        <v>0</v>
      </c>
      <c r="F12889" s="748">
        <f t="shared" si="440"/>
        <v>0</v>
      </c>
      <c r="G12889" s="1205"/>
      <c r="H12889" s="1055"/>
      <c r="I12889" s="1055"/>
      <c r="J12889" s="1055"/>
      <c r="K12889" s="1205"/>
      <c r="L12889" s="1055"/>
      <c r="M12889" s="1205"/>
      <c r="N12889" s="1054"/>
      <c r="O12889" s="1207"/>
      <c r="Q12889" s="1207"/>
    </row>
    <row r="12890" spans="3:17" s="700" customFormat="1" ht="70.5" hidden="1" customHeight="1">
      <c r="C12890" s="701"/>
      <c r="D12890" s="811"/>
      <c r="E12890" s="1276">
        <f>[11]building!Y13221</f>
        <v>0</v>
      </c>
      <c r="F12890" s="748">
        <f t="shared" si="440"/>
        <v>0</v>
      </c>
      <c r="G12890" s="1205"/>
      <c r="H12890" s="1055"/>
      <c r="I12890" s="1055"/>
      <c r="J12890" s="1055"/>
      <c r="K12890" s="1205"/>
      <c r="L12890" s="1055"/>
      <c r="M12890" s="1205"/>
      <c r="N12890" s="1054"/>
      <c r="O12890" s="1207"/>
      <c r="Q12890" s="1207"/>
    </row>
    <row r="12891" spans="3:17" s="700" customFormat="1" ht="70.5" hidden="1" customHeight="1">
      <c r="C12891" s="701"/>
      <c r="D12891" s="811"/>
      <c r="E12891" s="1276">
        <f>[11]building!Y13222</f>
        <v>0</v>
      </c>
      <c r="F12891" s="748">
        <f t="shared" si="440"/>
        <v>0</v>
      </c>
      <c r="G12891" s="1205"/>
      <c r="H12891" s="1055"/>
      <c r="I12891" s="1055"/>
      <c r="J12891" s="1055"/>
      <c r="K12891" s="1205"/>
      <c r="L12891" s="1055"/>
      <c r="M12891" s="1205"/>
      <c r="N12891" s="1054"/>
      <c r="O12891" s="1207"/>
      <c r="Q12891" s="1207"/>
    </row>
    <row r="12892" spans="3:17" s="700" customFormat="1" ht="70.5" hidden="1" customHeight="1">
      <c r="C12892" s="701"/>
      <c r="D12892" s="811"/>
      <c r="E12892" s="1276">
        <f>[11]building!Y13223</f>
        <v>0</v>
      </c>
      <c r="F12892" s="748">
        <f t="shared" si="440"/>
        <v>0</v>
      </c>
      <c r="G12892" s="1205"/>
      <c r="H12892" s="1055"/>
      <c r="I12892" s="1055"/>
      <c r="J12892" s="1055"/>
      <c r="K12892" s="1205"/>
      <c r="L12892" s="1055"/>
      <c r="M12892" s="1205"/>
      <c r="N12892" s="1054"/>
      <c r="O12892" s="1207"/>
      <c r="Q12892" s="1207"/>
    </row>
    <row r="12893" spans="3:17" s="700" customFormat="1" ht="70.5" hidden="1" customHeight="1">
      <c r="C12893" s="701"/>
      <c r="D12893" s="811"/>
      <c r="E12893" s="1276">
        <f>[11]building!Y13224</f>
        <v>0</v>
      </c>
      <c r="F12893" s="748">
        <f t="shared" si="440"/>
        <v>0</v>
      </c>
      <c r="G12893" s="1205"/>
      <c r="H12893" s="1055"/>
      <c r="I12893" s="1055"/>
      <c r="J12893" s="1055"/>
      <c r="K12893" s="1205"/>
      <c r="L12893" s="1055"/>
      <c r="M12893" s="1205"/>
      <c r="N12893" s="1054"/>
      <c r="O12893" s="1207"/>
      <c r="Q12893" s="1207"/>
    </row>
    <row r="12894" spans="3:17" s="700" customFormat="1" ht="70.5" hidden="1" customHeight="1">
      <c r="C12894" s="701"/>
      <c r="D12894" s="811"/>
      <c r="E12894" s="1276">
        <f>[11]building!Y13225</f>
        <v>0</v>
      </c>
      <c r="F12894" s="748">
        <f t="shared" si="440"/>
        <v>0</v>
      </c>
      <c r="G12894" s="1205"/>
      <c r="H12894" s="1055"/>
      <c r="I12894" s="1055"/>
      <c r="J12894" s="1055"/>
      <c r="K12894" s="1205"/>
      <c r="L12894" s="1055"/>
      <c r="M12894" s="1205"/>
      <c r="N12894" s="1054"/>
      <c r="O12894" s="1207"/>
      <c r="Q12894" s="1207"/>
    </row>
    <row r="12895" spans="3:17" s="700" customFormat="1" ht="70.5" hidden="1" customHeight="1">
      <c r="C12895" s="701"/>
      <c r="D12895" s="811"/>
      <c r="E12895" s="1276">
        <f>[11]building!Y13226</f>
        <v>0</v>
      </c>
      <c r="F12895" s="748">
        <f t="shared" si="440"/>
        <v>0</v>
      </c>
      <c r="G12895" s="1205"/>
      <c r="H12895" s="1055"/>
      <c r="I12895" s="1055"/>
      <c r="J12895" s="1055"/>
      <c r="K12895" s="1205"/>
      <c r="L12895" s="1055"/>
      <c r="M12895" s="1205"/>
      <c r="N12895" s="1054"/>
      <c r="O12895" s="1207"/>
      <c r="Q12895" s="1207"/>
    </row>
    <row r="12896" spans="3:17" s="700" customFormat="1" ht="70.5" hidden="1" customHeight="1">
      <c r="C12896" s="701"/>
      <c r="D12896" s="811"/>
      <c r="E12896" s="1276">
        <f>[11]building!Y13227</f>
        <v>0</v>
      </c>
      <c r="F12896" s="748">
        <f t="shared" si="440"/>
        <v>0</v>
      </c>
      <c r="G12896" s="1205"/>
      <c r="H12896" s="1055"/>
      <c r="I12896" s="1055"/>
      <c r="J12896" s="1055"/>
      <c r="K12896" s="1205"/>
      <c r="L12896" s="1055"/>
      <c r="M12896" s="1205"/>
      <c r="N12896" s="1054"/>
      <c r="O12896" s="1207"/>
      <c r="Q12896" s="1207"/>
    </row>
    <row r="12897" spans="3:17" s="700" customFormat="1" ht="70.5" hidden="1" customHeight="1">
      <c r="C12897" s="701"/>
      <c r="D12897" s="811"/>
      <c r="E12897" s="1276">
        <f>[11]building!Y13228</f>
        <v>0</v>
      </c>
      <c r="F12897" s="748">
        <f t="shared" si="440"/>
        <v>0</v>
      </c>
      <c r="G12897" s="1205"/>
      <c r="H12897" s="1055"/>
      <c r="I12897" s="1055"/>
      <c r="J12897" s="1055"/>
      <c r="K12897" s="1205"/>
      <c r="L12897" s="1055"/>
      <c r="M12897" s="1205"/>
      <c r="N12897" s="1054"/>
      <c r="O12897" s="1207"/>
      <c r="Q12897" s="1207"/>
    </row>
    <row r="12898" spans="3:17" s="700" customFormat="1" ht="70.5" hidden="1" customHeight="1">
      <c r="C12898" s="701"/>
      <c r="D12898" s="811"/>
      <c r="E12898" s="1276">
        <f>[11]building!Y13229</f>
        <v>0</v>
      </c>
      <c r="F12898" s="748">
        <f t="shared" si="440"/>
        <v>0</v>
      </c>
      <c r="G12898" s="1205"/>
      <c r="H12898" s="1055"/>
      <c r="I12898" s="1055"/>
      <c r="J12898" s="1055"/>
      <c r="K12898" s="1205"/>
      <c r="L12898" s="1055"/>
      <c r="M12898" s="1205"/>
      <c r="N12898" s="1054"/>
      <c r="O12898" s="1207"/>
      <c r="Q12898" s="1207"/>
    </row>
    <row r="12899" spans="3:17" s="700" customFormat="1" ht="70.5" hidden="1" customHeight="1">
      <c r="C12899" s="701"/>
      <c r="D12899" s="811"/>
      <c r="E12899" s="1276">
        <f>[11]building!Y13230</f>
        <v>0</v>
      </c>
      <c r="F12899" s="748">
        <f t="shared" si="440"/>
        <v>0</v>
      </c>
      <c r="G12899" s="1205"/>
      <c r="H12899" s="1055"/>
      <c r="I12899" s="1055"/>
      <c r="J12899" s="1055"/>
      <c r="K12899" s="1205"/>
      <c r="L12899" s="1055"/>
      <c r="M12899" s="1205"/>
      <c r="N12899" s="1054"/>
      <c r="O12899" s="1207"/>
      <c r="Q12899" s="1207"/>
    </row>
    <row r="12900" spans="3:17" s="700" customFormat="1" ht="70.5" hidden="1" customHeight="1">
      <c r="C12900" s="701"/>
      <c r="D12900" s="811"/>
      <c r="E12900" s="1276">
        <f>[11]building!Y13231</f>
        <v>0</v>
      </c>
      <c r="F12900" s="748">
        <f t="shared" si="440"/>
        <v>0</v>
      </c>
      <c r="G12900" s="1205"/>
      <c r="H12900" s="1055"/>
      <c r="I12900" s="1055"/>
      <c r="J12900" s="1055"/>
      <c r="K12900" s="1205"/>
      <c r="L12900" s="1055"/>
      <c r="M12900" s="1205"/>
      <c r="N12900" s="1054"/>
      <c r="O12900" s="1207"/>
      <c r="Q12900" s="1207"/>
    </row>
    <row r="12901" spans="3:17" s="700" customFormat="1" ht="70.5" hidden="1" customHeight="1">
      <c r="C12901" s="701"/>
      <c r="D12901" s="811"/>
      <c r="E12901" s="1276">
        <f>[11]building!Y13232</f>
        <v>0</v>
      </c>
      <c r="F12901" s="748">
        <f t="shared" si="440"/>
        <v>0</v>
      </c>
      <c r="G12901" s="1205"/>
      <c r="H12901" s="1055"/>
      <c r="I12901" s="1055"/>
      <c r="J12901" s="1055"/>
      <c r="K12901" s="1205"/>
      <c r="L12901" s="1055"/>
      <c r="M12901" s="1205"/>
      <c r="N12901" s="1054"/>
      <c r="O12901" s="1207"/>
      <c r="Q12901" s="1207"/>
    </row>
    <row r="12902" spans="3:17" s="700" customFormat="1" ht="70.5" hidden="1" customHeight="1">
      <c r="C12902" s="701"/>
      <c r="D12902" s="811"/>
      <c r="E12902" s="1276">
        <f>[11]building!Y13233</f>
        <v>0</v>
      </c>
      <c r="F12902" s="748">
        <f t="shared" si="440"/>
        <v>0</v>
      </c>
      <c r="G12902" s="1205"/>
      <c r="H12902" s="1055"/>
      <c r="I12902" s="1055"/>
      <c r="J12902" s="1055"/>
      <c r="K12902" s="1205"/>
      <c r="L12902" s="1055"/>
      <c r="M12902" s="1205"/>
      <c r="N12902" s="1054"/>
      <c r="O12902" s="1207"/>
      <c r="Q12902" s="1207"/>
    </row>
    <row r="12903" spans="3:17" s="700" customFormat="1" ht="70.5" hidden="1" customHeight="1">
      <c r="C12903" s="701"/>
      <c r="D12903" s="811"/>
      <c r="E12903" s="1276">
        <f>[11]building!Y13234</f>
        <v>0</v>
      </c>
      <c r="F12903" s="748">
        <f t="shared" si="440"/>
        <v>0</v>
      </c>
      <c r="G12903" s="1205"/>
      <c r="H12903" s="1055"/>
      <c r="I12903" s="1055"/>
      <c r="J12903" s="1055"/>
      <c r="K12903" s="1205"/>
      <c r="L12903" s="1055"/>
      <c r="M12903" s="1205"/>
      <c r="N12903" s="1054"/>
      <c r="O12903" s="1207"/>
      <c r="Q12903" s="1207"/>
    </row>
    <row r="12904" spans="3:17" s="700" customFormat="1" ht="70.5" hidden="1" customHeight="1">
      <c r="C12904" s="701"/>
      <c r="D12904" s="811"/>
      <c r="E12904" s="1276">
        <f>[11]building!Y13235</f>
        <v>0</v>
      </c>
      <c r="F12904" s="748">
        <f t="shared" si="440"/>
        <v>0</v>
      </c>
      <c r="G12904" s="1205"/>
      <c r="H12904" s="1055"/>
      <c r="I12904" s="1055"/>
      <c r="J12904" s="1055"/>
      <c r="K12904" s="1205"/>
      <c r="L12904" s="1055"/>
      <c r="M12904" s="1205"/>
      <c r="N12904" s="1054"/>
      <c r="O12904" s="1207"/>
      <c r="Q12904" s="1207"/>
    </row>
    <row r="12905" spans="3:17" s="700" customFormat="1" ht="70.5" hidden="1" customHeight="1">
      <c r="C12905" s="701"/>
      <c r="D12905" s="811"/>
      <c r="E12905" s="1276">
        <f>[11]building!Y13236</f>
        <v>0</v>
      </c>
      <c r="F12905" s="748">
        <f t="shared" si="440"/>
        <v>0</v>
      </c>
      <c r="G12905" s="1205"/>
      <c r="H12905" s="1055"/>
      <c r="I12905" s="1055"/>
      <c r="J12905" s="1055"/>
      <c r="K12905" s="1205"/>
      <c r="L12905" s="1055"/>
      <c r="M12905" s="1205"/>
      <c r="N12905" s="1054"/>
      <c r="O12905" s="1207"/>
      <c r="Q12905" s="1207"/>
    </row>
    <row r="12906" spans="3:17" s="700" customFormat="1" ht="70.5" hidden="1" customHeight="1">
      <c r="C12906" s="701"/>
      <c r="D12906" s="811"/>
      <c r="E12906" s="1276">
        <f>[11]building!Y13237</f>
        <v>0</v>
      </c>
      <c r="F12906" s="748">
        <f t="shared" si="440"/>
        <v>0</v>
      </c>
      <c r="G12906" s="1205"/>
      <c r="H12906" s="1055"/>
      <c r="I12906" s="1055"/>
      <c r="J12906" s="1055"/>
      <c r="K12906" s="1205"/>
      <c r="L12906" s="1055"/>
      <c r="M12906" s="1205"/>
      <c r="N12906" s="1054"/>
      <c r="O12906" s="1207"/>
      <c r="Q12906" s="1207"/>
    </row>
    <row r="12907" spans="3:17" s="700" customFormat="1" ht="70.5" hidden="1" customHeight="1">
      <c r="C12907" s="701"/>
      <c r="D12907" s="811"/>
      <c r="E12907" s="1276">
        <f>[11]building!Y13238</f>
        <v>0</v>
      </c>
      <c r="F12907" s="748">
        <f t="shared" si="440"/>
        <v>0</v>
      </c>
      <c r="G12907" s="1205"/>
      <c r="H12907" s="1055"/>
      <c r="I12907" s="1055"/>
      <c r="J12907" s="1055"/>
      <c r="K12907" s="1205"/>
      <c r="L12907" s="1055"/>
      <c r="M12907" s="1205"/>
      <c r="N12907" s="1054"/>
      <c r="O12907" s="1207"/>
      <c r="Q12907" s="1207"/>
    </row>
    <row r="12908" spans="3:17" s="700" customFormat="1" ht="70.5" hidden="1" customHeight="1">
      <c r="C12908" s="701"/>
      <c r="D12908" s="811"/>
      <c r="E12908" s="1276">
        <f>[11]building!Y13239</f>
        <v>0</v>
      </c>
      <c r="F12908" s="748">
        <f t="shared" si="440"/>
        <v>0</v>
      </c>
      <c r="G12908" s="1205"/>
      <c r="H12908" s="1055"/>
      <c r="I12908" s="1055"/>
      <c r="J12908" s="1055"/>
      <c r="K12908" s="1205"/>
      <c r="L12908" s="1055"/>
      <c r="M12908" s="1205"/>
      <c r="N12908" s="1054"/>
      <c r="O12908" s="1207"/>
      <c r="Q12908" s="1207"/>
    </row>
    <row r="12909" spans="3:17" s="700" customFormat="1" ht="70.5" hidden="1" customHeight="1">
      <c r="C12909" s="701"/>
      <c r="D12909" s="811"/>
      <c r="E12909" s="1276">
        <f>[11]building!Y13240</f>
        <v>0</v>
      </c>
      <c r="F12909" s="748">
        <f t="shared" si="440"/>
        <v>0</v>
      </c>
      <c r="G12909" s="1205"/>
      <c r="H12909" s="1055"/>
      <c r="I12909" s="1055"/>
      <c r="J12909" s="1055"/>
      <c r="K12909" s="1205"/>
      <c r="L12909" s="1055"/>
      <c r="M12909" s="1205"/>
      <c r="N12909" s="1054"/>
      <c r="O12909" s="1207"/>
      <c r="Q12909" s="1207"/>
    </row>
    <row r="12910" spans="3:17" s="700" customFormat="1" ht="70.5" hidden="1" customHeight="1">
      <c r="C12910" s="701"/>
      <c r="D12910" s="811"/>
      <c r="E12910" s="1276">
        <f>[11]building!Y13241</f>
        <v>0</v>
      </c>
      <c r="F12910" s="748">
        <f t="shared" si="440"/>
        <v>0</v>
      </c>
      <c r="G12910" s="1205"/>
      <c r="H12910" s="1055"/>
      <c r="I12910" s="1055"/>
      <c r="J12910" s="1055"/>
      <c r="K12910" s="1205"/>
      <c r="L12910" s="1055"/>
      <c r="M12910" s="1205"/>
      <c r="N12910" s="1054"/>
      <c r="O12910" s="1207"/>
      <c r="Q12910" s="1207"/>
    </row>
    <row r="12911" spans="3:17" s="700" customFormat="1" ht="70.5" hidden="1" customHeight="1">
      <c r="C12911" s="701"/>
      <c r="D12911" s="811"/>
      <c r="E12911" s="1276">
        <f>[11]building!Y13242</f>
        <v>0</v>
      </c>
      <c r="F12911" s="748">
        <f t="shared" si="440"/>
        <v>0</v>
      </c>
      <c r="G12911" s="1205"/>
      <c r="H12911" s="1055"/>
      <c r="I12911" s="1055"/>
      <c r="J12911" s="1055"/>
      <c r="K12911" s="1205"/>
      <c r="L12911" s="1055"/>
      <c r="M12911" s="1205"/>
      <c r="N12911" s="1054"/>
      <c r="O12911" s="1207"/>
      <c r="Q12911" s="1207"/>
    </row>
    <row r="12912" spans="3:17" s="700" customFormat="1" ht="70.5" hidden="1" customHeight="1">
      <c r="C12912" s="701"/>
      <c r="D12912" s="811"/>
      <c r="E12912" s="1276">
        <f>[11]building!Y13243</f>
        <v>0</v>
      </c>
      <c r="F12912" s="748">
        <f t="shared" si="440"/>
        <v>0</v>
      </c>
      <c r="G12912" s="1205"/>
      <c r="H12912" s="1055"/>
      <c r="I12912" s="1055"/>
      <c r="J12912" s="1055"/>
      <c r="K12912" s="1205"/>
      <c r="L12912" s="1055"/>
      <c r="M12912" s="1205"/>
      <c r="N12912" s="1054"/>
      <c r="O12912" s="1207"/>
      <c r="Q12912" s="1207"/>
    </row>
    <row r="12913" spans="3:17" s="700" customFormat="1" ht="70.5" hidden="1" customHeight="1">
      <c r="C12913" s="701"/>
      <c r="D12913" s="811"/>
      <c r="E12913" s="1276">
        <f>[11]building!Y13244</f>
        <v>0</v>
      </c>
      <c r="F12913" s="748">
        <f t="shared" si="440"/>
        <v>0</v>
      </c>
      <c r="G12913" s="1205"/>
      <c r="H12913" s="1055"/>
      <c r="I12913" s="1055"/>
      <c r="J12913" s="1055"/>
      <c r="K12913" s="1205"/>
      <c r="L12913" s="1055"/>
      <c r="M12913" s="1205"/>
      <c r="N12913" s="1054"/>
      <c r="O12913" s="1207"/>
      <c r="Q12913" s="1207"/>
    </row>
    <row r="12914" spans="3:17" s="700" customFormat="1" ht="70.5" hidden="1" customHeight="1">
      <c r="C12914" s="701"/>
      <c r="D12914" s="811"/>
      <c r="E12914" s="1276">
        <f>[11]building!Y13245</f>
        <v>0</v>
      </c>
      <c r="F12914" s="748">
        <f t="shared" si="440"/>
        <v>0</v>
      </c>
      <c r="G12914" s="1205"/>
      <c r="H12914" s="1055"/>
      <c r="I12914" s="1055"/>
      <c r="J12914" s="1055"/>
      <c r="K12914" s="1205"/>
      <c r="L12914" s="1055"/>
      <c r="M12914" s="1205"/>
      <c r="N12914" s="1054"/>
      <c r="O12914" s="1207"/>
      <c r="Q12914" s="1207"/>
    </row>
    <row r="12915" spans="3:17" s="700" customFormat="1" ht="70.5" hidden="1" customHeight="1">
      <c r="C12915" s="701"/>
      <c r="D12915" s="811"/>
      <c r="E12915" s="1276">
        <f>[11]building!Y13246</f>
        <v>0</v>
      </c>
      <c r="F12915" s="748">
        <f t="shared" si="440"/>
        <v>0</v>
      </c>
      <c r="G12915" s="1205"/>
      <c r="H12915" s="1055"/>
      <c r="I12915" s="1055"/>
      <c r="J12915" s="1055"/>
      <c r="K12915" s="1205"/>
      <c r="L12915" s="1055"/>
      <c r="M12915" s="1205"/>
      <c r="N12915" s="1054"/>
      <c r="O12915" s="1207"/>
      <c r="Q12915" s="1207"/>
    </row>
    <row r="12916" spans="3:17" s="700" customFormat="1" ht="70.5" hidden="1" customHeight="1">
      <c r="C12916" s="701"/>
      <c r="D12916" s="811"/>
      <c r="E12916" s="1276">
        <f>[11]building!Y13247</f>
        <v>0</v>
      </c>
      <c r="F12916" s="748">
        <f t="shared" si="440"/>
        <v>0</v>
      </c>
      <c r="G12916" s="1205"/>
      <c r="H12916" s="1055"/>
      <c r="I12916" s="1055"/>
      <c r="J12916" s="1055"/>
      <c r="K12916" s="1205"/>
      <c r="L12916" s="1055"/>
      <c r="M12916" s="1205"/>
      <c r="N12916" s="1054"/>
      <c r="O12916" s="1207"/>
      <c r="Q12916" s="1207"/>
    </row>
    <row r="12917" spans="3:17" s="700" customFormat="1" ht="70.5" hidden="1" customHeight="1">
      <c r="C12917" s="701"/>
      <c r="D12917" s="811"/>
      <c r="E12917" s="1276">
        <f>[11]building!Y13248</f>
        <v>0</v>
      </c>
      <c r="F12917" s="748">
        <f t="shared" si="440"/>
        <v>0</v>
      </c>
      <c r="G12917" s="1205"/>
      <c r="H12917" s="1055"/>
      <c r="I12917" s="1055"/>
      <c r="J12917" s="1055"/>
      <c r="K12917" s="1205"/>
      <c r="L12917" s="1055"/>
      <c r="M12917" s="1205"/>
      <c r="N12917" s="1054"/>
      <c r="O12917" s="1207"/>
      <c r="Q12917" s="1207"/>
    </row>
    <row r="12918" spans="3:17" s="700" customFormat="1" ht="70.5" hidden="1" customHeight="1">
      <c r="C12918" s="701"/>
      <c r="D12918" s="811"/>
      <c r="E12918" s="1276">
        <f>[11]building!Y13249</f>
        <v>0</v>
      </c>
      <c r="F12918" s="748">
        <f t="shared" si="440"/>
        <v>0</v>
      </c>
      <c r="G12918" s="1205"/>
      <c r="H12918" s="1055"/>
      <c r="I12918" s="1055"/>
      <c r="J12918" s="1055"/>
      <c r="K12918" s="1205"/>
      <c r="L12918" s="1055"/>
      <c r="M12918" s="1205"/>
      <c r="N12918" s="1054"/>
      <c r="O12918" s="1207"/>
      <c r="Q12918" s="1207"/>
    </row>
    <row r="12919" spans="3:17" s="700" customFormat="1" ht="70.5" hidden="1" customHeight="1">
      <c r="C12919" s="701"/>
      <c r="D12919" s="811"/>
      <c r="E12919" s="1276">
        <f>[11]building!Y13250</f>
        <v>0</v>
      </c>
      <c r="F12919" s="748">
        <f t="shared" si="440"/>
        <v>0</v>
      </c>
      <c r="G12919" s="1205"/>
      <c r="H12919" s="1055"/>
      <c r="I12919" s="1055"/>
      <c r="J12919" s="1055"/>
      <c r="K12919" s="1205"/>
      <c r="L12919" s="1055"/>
      <c r="M12919" s="1205"/>
      <c r="N12919" s="1054"/>
      <c r="O12919" s="1207"/>
      <c r="Q12919" s="1207"/>
    </row>
    <row r="12920" spans="3:17" s="700" customFormat="1" ht="70.5" hidden="1" customHeight="1">
      <c r="C12920" s="701"/>
      <c r="D12920" s="811"/>
      <c r="E12920" s="1276">
        <f>[11]building!Y13251</f>
        <v>0</v>
      </c>
      <c r="F12920" s="748">
        <f t="shared" si="440"/>
        <v>0</v>
      </c>
      <c r="G12920" s="1205"/>
      <c r="H12920" s="1055"/>
      <c r="I12920" s="1055"/>
      <c r="J12920" s="1055"/>
      <c r="K12920" s="1205"/>
      <c r="L12920" s="1055"/>
      <c r="M12920" s="1205"/>
      <c r="N12920" s="1054"/>
      <c r="O12920" s="1207"/>
      <c r="Q12920" s="1207"/>
    </row>
    <row r="12921" spans="3:17" s="700" customFormat="1" ht="70.5" hidden="1" customHeight="1">
      <c r="C12921" s="701"/>
      <c r="D12921" s="811"/>
      <c r="E12921" s="1276">
        <f>[11]building!Y13252</f>
        <v>0</v>
      </c>
      <c r="F12921" s="748">
        <f t="shared" si="440"/>
        <v>0</v>
      </c>
      <c r="G12921" s="1205"/>
      <c r="H12921" s="1055"/>
      <c r="I12921" s="1055"/>
      <c r="J12921" s="1055"/>
      <c r="K12921" s="1205"/>
      <c r="L12921" s="1055"/>
      <c r="M12921" s="1205"/>
      <c r="N12921" s="1054"/>
      <c r="O12921" s="1207"/>
      <c r="Q12921" s="1207"/>
    </row>
    <row r="12922" spans="3:17" s="700" customFormat="1" ht="70.5" hidden="1" customHeight="1">
      <c r="C12922" s="701"/>
      <c r="D12922" s="811"/>
      <c r="E12922" s="1276">
        <f>[11]building!Y13253</f>
        <v>0</v>
      </c>
      <c r="F12922" s="748">
        <f t="shared" si="440"/>
        <v>0</v>
      </c>
      <c r="G12922" s="1205"/>
      <c r="H12922" s="1055"/>
      <c r="I12922" s="1055"/>
      <c r="J12922" s="1055"/>
      <c r="K12922" s="1205"/>
      <c r="L12922" s="1055"/>
      <c r="M12922" s="1205"/>
      <c r="N12922" s="1054"/>
      <c r="O12922" s="1207"/>
      <c r="Q12922" s="1207"/>
    </row>
    <row r="12923" spans="3:17" s="700" customFormat="1" ht="70.5" hidden="1" customHeight="1">
      <c r="C12923" s="701"/>
      <c r="D12923" s="811"/>
      <c r="E12923" s="1276">
        <f>[11]building!Y13254</f>
        <v>0</v>
      </c>
      <c r="F12923" s="748">
        <f t="shared" si="440"/>
        <v>0</v>
      </c>
      <c r="G12923" s="1205"/>
      <c r="H12923" s="1055"/>
      <c r="I12923" s="1055"/>
      <c r="J12923" s="1055"/>
      <c r="K12923" s="1205"/>
      <c r="L12923" s="1055"/>
      <c r="M12923" s="1205"/>
      <c r="N12923" s="1054"/>
      <c r="O12923" s="1207"/>
      <c r="Q12923" s="1207"/>
    </row>
    <row r="12924" spans="3:17" s="700" customFormat="1" ht="70.5" hidden="1" customHeight="1">
      <c r="C12924" s="701"/>
      <c r="D12924" s="811"/>
      <c r="E12924" s="1276">
        <f>[11]building!Y13255</f>
        <v>0</v>
      </c>
      <c r="F12924" s="748">
        <f t="shared" si="440"/>
        <v>0</v>
      </c>
      <c r="G12924" s="1205"/>
      <c r="H12924" s="1055"/>
      <c r="I12924" s="1055"/>
      <c r="J12924" s="1055"/>
      <c r="K12924" s="1205"/>
      <c r="L12924" s="1055"/>
      <c r="M12924" s="1205"/>
      <c r="N12924" s="1054"/>
      <c r="O12924" s="1207"/>
      <c r="Q12924" s="1207"/>
    </row>
    <row r="12925" spans="3:17" s="700" customFormat="1" ht="70.5" hidden="1" customHeight="1">
      <c r="C12925" s="701"/>
      <c r="D12925" s="811"/>
      <c r="E12925" s="1276">
        <f>[11]building!Y13256</f>
        <v>0</v>
      </c>
      <c r="F12925" s="748">
        <f t="shared" si="440"/>
        <v>0</v>
      </c>
      <c r="G12925" s="1205"/>
      <c r="H12925" s="1055"/>
      <c r="I12925" s="1055"/>
      <c r="J12925" s="1055"/>
      <c r="K12925" s="1205"/>
      <c r="L12925" s="1055"/>
      <c r="M12925" s="1205"/>
      <c r="N12925" s="1054"/>
      <c r="O12925" s="1207"/>
      <c r="Q12925" s="1207"/>
    </row>
    <row r="12926" spans="3:17" s="700" customFormat="1" ht="70.5" hidden="1" customHeight="1">
      <c r="C12926" s="701"/>
      <c r="D12926" s="811"/>
      <c r="E12926" s="1276">
        <f>[11]building!Y13257</f>
        <v>0</v>
      </c>
      <c r="F12926" s="748">
        <f t="shared" si="440"/>
        <v>0</v>
      </c>
      <c r="G12926" s="1205"/>
      <c r="H12926" s="1055"/>
      <c r="I12926" s="1055"/>
      <c r="J12926" s="1055"/>
      <c r="K12926" s="1205"/>
      <c r="L12926" s="1055"/>
      <c r="M12926" s="1205"/>
      <c r="N12926" s="1054"/>
      <c r="O12926" s="1207"/>
      <c r="Q12926" s="1207"/>
    </row>
    <row r="12927" spans="3:17" s="700" customFormat="1" ht="70.5" hidden="1" customHeight="1">
      <c r="C12927" s="701"/>
      <c r="D12927" s="811"/>
      <c r="E12927" s="1276">
        <f>[11]building!Y13258</f>
        <v>0</v>
      </c>
      <c r="F12927" s="748">
        <f t="shared" si="440"/>
        <v>0</v>
      </c>
      <c r="G12927" s="1205"/>
      <c r="H12927" s="1055"/>
      <c r="I12927" s="1055"/>
      <c r="J12927" s="1055"/>
      <c r="K12927" s="1205"/>
      <c r="L12927" s="1055"/>
      <c r="M12927" s="1205"/>
      <c r="N12927" s="1054"/>
      <c r="O12927" s="1207"/>
      <c r="Q12927" s="1207"/>
    </row>
    <row r="12928" spans="3:17" s="700" customFormat="1" ht="70.5" hidden="1" customHeight="1">
      <c r="C12928" s="701"/>
      <c r="D12928" s="811"/>
      <c r="E12928" s="1276">
        <f>[11]building!Y13259</f>
        <v>0</v>
      </c>
      <c r="F12928" s="748">
        <f t="shared" ref="F12928:F12991" si="441">E12928*C12928</f>
        <v>0</v>
      </c>
      <c r="G12928" s="1205"/>
      <c r="H12928" s="1055"/>
      <c r="I12928" s="1055"/>
      <c r="J12928" s="1055"/>
      <c r="K12928" s="1205"/>
      <c r="L12928" s="1055"/>
      <c r="M12928" s="1205"/>
      <c r="N12928" s="1054"/>
      <c r="O12928" s="1207"/>
      <c r="Q12928" s="1207"/>
    </row>
    <row r="12929" spans="3:17" s="700" customFormat="1" ht="70.5" hidden="1" customHeight="1">
      <c r="C12929" s="701"/>
      <c r="D12929" s="811"/>
      <c r="E12929" s="1276">
        <f>[11]building!Y13260</f>
        <v>0</v>
      </c>
      <c r="F12929" s="748">
        <f t="shared" si="441"/>
        <v>0</v>
      </c>
      <c r="G12929" s="1205"/>
      <c r="H12929" s="1055"/>
      <c r="I12929" s="1055"/>
      <c r="J12929" s="1055"/>
      <c r="K12929" s="1205"/>
      <c r="L12929" s="1055"/>
      <c r="M12929" s="1205"/>
      <c r="N12929" s="1054"/>
      <c r="O12929" s="1207"/>
      <c r="Q12929" s="1207"/>
    </row>
    <row r="12930" spans="3:17" s="700" customFormat="1" ht="70.5" hidden="1" customHeight="1">
      <c r="C12930" s="701"/>
      <c r="D12930" s="811"/>
      <c r="E12930" s="1276">
        <f>[11]building!Y13261</f>
        <v>0</v>
      </c>
      <c r="F12930" s="748">
        <f t="shared" si="441"/>
        <v>0</v>
      </c>
      <c r="G12930" s="1205"/>
      <c r="H12930" s="1055"/>
      <c r="I12930" s="1055"/>
      <c r="J12930" s="1055"/>
      <c r="K12930" s="1205"/>
      <c r="L12930" s="1055"/>
      <c r="M12930" s="1205"/>
      <c r="N12930" s="1054"/>
      <c r="O12930" s="1207"/>
      <c r="Q12930" s="1207"/>
    </row>
    <row r="12931" spans="3:17" s="700" customFormat="1" ht="70.5" hidden="1" customHeight="1">
      <c r="C12931" s="701"/>
      <c r="D12931" s="811"/>
      <c r="E12931" s="1276">
        <f>[11]building!Y13262</f>
        <v>0</v>
      </c>
      <c r="F12931" s="748">
        <f t="shared" si="441"/>
        <v>0</v>
      </c>
      <c r="G12931" s="1205"/>
      <c r="H12931" s="1055"/>
      <c r="I12931" s="1055"/>
      <c r="J12931" s="1055"/>
      <c r="K12931" s="1205"/>
      <c r="L12931" s="1055"/>
      <c r="M12931" s="1205"/>
      <c r="N12931" s="1054"/>
      <c r="O12931" s="1207"/>
      <c r="Q12931" s="1207"/>
    </row>
    <row r="12932" spans="3:17" s="700" customFormat="1" ht="70.5" hidden="1" customHeight="1">
      <c r="C12932" s="701"/>
      <c r="D12932" s="811"/>
      <c r="E12932" s="1276">
        <f>[11]building!Y13263</f>
        <v>0</v>
      </c>
      <c r="F12932" s="748">
        <f t="shared" si="441"/>
        <v>0</v>
      </c>
      <c r="G12932" s="1205"/>
      <c r="H12932" s="1055"/>
      <c r="I12932" s="1055"/>
      <c r="J12932" s="1055"/>
      <c r="K12932" s="1205"/>
      <c r="L12932" s="1055"/>
      <c r="M12932" s="1205"/>
      <c r="N12932" s="1054"/>
      <c r="O12932" s="1207"/>
      <c r="Q12932" s="1207"/>
    </row>
    <row r="12933" spans="3:17" s="700" customFormat="1" ht="70.5" hidden="1" customHeight="1">
      <c r="C12933" s="701"/>
      <c r="D12933" s="811"/>
      <c r="E12933" s="1276">
        <f>[11]building!Y13264</f>
        <v>0</v>
      </c>
      <c r="F12933" s="748">
        <f t="shared" si="441"/>
        <v>0</v>
      </c>
      <c r="G12933" s="1205"/>
      <c r="H12933" s="1055"/>
      <c r="I12933" s="1055"/>
      <c r="J12933" s="1055"/>
      <c r="K12933" s="1205"/>
      <c r="L12933" s="1055"/>
      <c r="M12933" s="1205"/>
      <c r="N12933" s="1054"/>
      <c r="O12933" s="1207"/>
      <c r="Q12933" s="1207"/>
    </row>
    <row r="12934" spans="3:17" s="700" customFormat="1" ht="70.5" hidden="1" customHeight="1">
      <c r="C12934" s="701"/>
      <c r="D12934" s="811"/>
      <c r="E12934" s="1276">
        <f>[11]building!Y13265</f>
        <v>0</v>
      </c>
      <c r="F12934" s="748">
        <f t="shared" si="441"/>
        <v>0</v>
      </c>
      <c r="G12934" s="1205"/>
      <c r="H12934" s="1055"/>
      <c r="I12934" s="1055"/>
      <c r="J12934" s="1055"/>
      <c r="K12934" s="1205"/>
      <c r="L12934" s="1055"/>
      <c r="M12934" s="1205"/>
      <c r="N12934" s="1054"/>
      <c r="O12934" s="1207"/>
      <c r="Q12934" s="1207"/>
    </row>
    <row r="12935" spans="3:17" s="700" customFormat="1" ht="70.5" hidden="1" customHeight="1">
      <c r="C12935" s="701"/>
      <c r="D12935" s="811"/>
      <c r="E12935" s="1276">
        <f>[11]building!Y13266</f>
        <v>0</v>
      </c>
      <c r="F12935" s="748">
        <f t="shared" si="441"/>
        <v>0</v>
      </c>
      <c r="G12935" s="1205"/>
      <c r="H12935" s="1055"/>
      <c r="I12935" s="1055"/>
      <c r="J12935" s="1055"/>
      <c r="K12935" s="1205"/>
      <c r="L12935" s="1055"/>
      <c r="M12935" s="1205"/>
      <c r="N12935" s="1054"/>
      <c r="O12935" s="1207"/>
      <c r="Q12935" s="1207"/>
    </row>
    <row r="12936" spans="3:17" s="700" customFormat="1" ht="70.5" hidden="1" customHeight="1">
      <c r="C12936" s="701"/>
      <c r="D12936" s="811"/>
      <c r="E12936" s="1276">
        <f>[11]building!Y13267</f>
        <v>0</v>
      </c>
      <c r="F12936" s="748">
        <f t="shared" si="441"/>
        <v>0</v>
      </c>
      <c r="G12936" s="1205"/>
      <c r="H12936" s="1055"/>
      <c r="I12936" s="1055"/>
      <c r="J12936" s="1055"/>
      <c r="K12936" s="1205"/>
      <c r="L12936" s="1055"/>
      <c r="M12936" s="1205"/>
      <c r="N12936" s="1054"/>
      <c r="O12936" s="1207"/>
      <c r="Q12936" s="1207"/>
    </row>
    <row r="12937" spans="3:17" s="700" customFormat="1" ht="70.5" hidden="1" customHeight="1">
      <c r="C12937" s="701"/>
      <c r="D12937" s="811"/>
      <c r="E12937" s="1276">
        <f>[11]building!Y13268</f>
        <v>0</v>
      </c>
      <c r="F12937" s="748">
        <f t="shared" si="441"/>
        <v>0</v>
      </c>
      <c r="G12937" s="1205"/>
      <c r="H12937" s="1055"/>
      <c r="I12937" s="1055"/>
      <c r="J12937" s="1055"/>
      <c r="K12937" s="1205"/>
      <c r="L12937" s="1055"/>
      <c r="M12937" s="1205"/>
      <c r="N12937" s="1054"/>
      <c r="O12937" s="1207"/>
      <c r="Q12937" s="1207"/>
    </row>
    <row r="12938" spans="3:17" s="700" customFormat="1" ht="70.5" hidden="1" customHeight="1">
      <c r="C12938" s="701"/>
      <c r="D12938" s="811"/>
      <c r="E12938" s="1276">
        <f>[11]building!Y13269</f>
        <v>0</v>
      </c>
      <c r="F12938" s="748">
        <f t="shared" si="441"/>
        <v>0</v>
      </c>
      <c r="G12938" s="1205"/>
      <c r="H12938" s="1055"/>
      <c r="I12938" s="1055"/>
      <c r="J12938" s="1055"/>
      <c r="K12938" s="1205"/>
      <c r="L12938" s="1055"/>
      <c r="M12938" s="1205"/>
      <c r="N12938" s="1054"/>
      <c r="O12938" s="1207"/>
      <c r="Q12938" s="1207"/>
    </row>
    <row r="12939" spans="3:17" s="700" customFormat="1" ht="70.5" hidden="1" customHeight="1">
      <c r="C12939" s="701"/>
      <c r="D12939" s="811"/>
      <c r="E12939" s="1276">
        <f>[11]building!Y13270</f>
        <v>0</v>
      </c>
      <c r="F12939" s="748">
        <f t="shared" si="441"/>
        <v>0</v>
      </c>
      <c r="G12939" s="1205"/>
      <c r="H12939" s="1055"/>
      <c r="I12939" s="1055"/>
      <c r="J12939" s="1055"/>
      <c r="K12939" s="1205"/>
      <c r="L12939" s="1055"/>
      <c r="M12939" s="1205"/>
      <c r="N12939" s="1054"/>
      <c r="O12939" s="1207"/>
      <c r="Q12939" s="1207"/>
    </row>
    <row r="12940" spans="3:17" s="700" customFormat="1" ht="70.5" hidden="1" customHeight="1">
      <c r="C12940" s="701"/>
      <c r="D12940" s="811"/>
      <c r="E12940" s="1276">
        <f>[11]building!Y13271</f>
        <v>0</v>
      </c>
      <c r="F12940" s="748">
        <f t="shared" si="441"/>
        <v>0</v>
      </c>
      <c r="G12940" s="1205"/>
      <c r="H12940" s="1055"/>
      <c r="I12940" s="1055"/>
      <c r="J12940" s="1055"/>
      <c r="K12940" s="1205"/>
      <c r="L12940" s="1055"/>
      <c r="M12940" s="1205"/>
      <c r="N12940" s="1054"/>
      <c r="O12940" s="1207"/>
      <c r="Q12940" s="1207"/>
    </row>
    <row r="12941" spans="3:17" s="700" customFormat="1" ht="70.5" hidden="1" customHeight="1">
      <c r="C12941" s="701"/>
      <c r="D12941" s="811"/>
      <c r="E12941" s="1276">
        <f>[11]building!Y13272</f>
        <v>0</v>
      </c>
      <c r="F12941" s="748">
        <f t="shared" si="441"/>
        <v>0</v>
      </c>
      <c r="G12941" s="1205"/>
      <c r="H12941" s="1055"/>
      <c r="I12941" s="1055"/>
      <c r="J12941" s="1055"/>
      <c r="K12941" s="1205"/>
      <c r="L12941" s="1055"/>
      <c r="M12941" s="1205"/>
      <c r="N12941" s="1054"/>
      <c r="O12941" s="1207"/>
      <c r="Q12941" s="1207"/>
    </row>
    <row r="12942" spans="3:17" s="700" customFormat="1" ht="70.5" hidden="1" customHeight="1">
      <c r="C12942" s="701"/>
      <c r="D12942" s="811"/>
      <c r="E12942" s="1276">
        <f>[11]building!Y13273</f>
        <v>0</v>
      </c>
      <c r="F12942" s="748">
        <f t="shared" si="441"/>
        <v>0</v>
      </c>
      <c r="G12942" s="1205"/>
      <c r="H12942" s="1055"/>
      <c r="I12942" s="1055"/>
      <c r="J12942" s="1055"/>
      <c r="K12942" s="1205"/>
      <c r="L12942" s="1055"/>
      <c r="M12942" s="1205"/>
      <c r="N12942" s="1054"/>
      <c r="O12942" s="1207"/>
      <c r="Q12942" s="1207"/>
    </row>
    <row r="12943" spans="3:17" s="700" customFormat="1" ht="70.5" hidden="1" customHeight="1">
      <c r="C12943" s="701"/>
      <c r="D12943" s="811"/>
      <c r="E12943" s="1276">
        <f>[11]building!Y13274</f>
        <v>0</v>
      </c>
      <c r="F12943" s="748">
        <f t="shared" si="441"/>
        <v>0</v>
      </c>
      <c r="G12943" s="1205"/>
      <c r="H12943" s="1055"/>
      <c r="I12943" s="1055"/>
      <c r="J12943" s="1055"/>
      <c r="K12943" s="1205"/>
      <c r="L12943" s="1055"/>
      <c r="M12943" s="1205"/>
      <c r="N12943" s="1054"/>
      <c r="O12943" s="1207"/>
      <c r="Q12943" s="1207"/>
    </row>
    <row r="12944" spans="3:17" s="700" customFormat="1" ht="70.5" hidden="1" customHeight="1">
      <c r="C12944" s="701"/>
      <c r="D12944" s="811"/>
      <c r="E12944" s="1276">
        <f>[11]building!Y13275</f>
        <v>0</v>
      </c>
      <c r="F12944" s="748">
        <f t="shared" si="441"/>
        <v>0</v>
      </c>
      <c r="G12944" s="1205"/>
      <c r="H12944" s="1055"/>
      <c r="I12944" s="1055"/>
      <c r="J12944" s="1055"/>
      <c r="K12944" s="1205"/>
      <c r="L12944" s="1055"/>
      <c r="M12944" s="1205"/>
      <c r="N12944" s="1054"/>
      <c r="O12944" s="1207"/>
      <c r="Q12944" s="1207"/>
    </row>
    <row r="12945" spans="3:17" s="700" customFormat="1" ht="70.5" hidden="1" customHeight="1">
      <c r="C12945" s="701"/>
      <c r="D12945" s="811"/>
      <c r="E12945" s="1276">
        <f>[11]building!Y13276</f>
        <v>0</v>
      </c>
      <c r="F12945" s="748">
        <f t="shared" si="441"/>
        <v>0</v>
      </c>
      <c r="G12945" s="1205"/>
      <c r="H12945" s="1055"/>
      <c r="I12945" s="1055"/>
      <c r="J12945" s="1055"/>
      <c r="K12945" s="1205"/>
      <c r="L12945" s="1055"/>
      <c r="M12945" s="1205"/>
      <c r="N12945" s="1054"/>
      <c r="O12945" s="1207"/>
      <c r="Q12945" s="1207"/>
    </row>
    <row r="12946" spans="3:17" s="700" customFormat="1" ht="70.5" hidden="1" customHeight="1">
      <c r="C12946" s="701"/>
      <c r="D12946" s="811"/>
      <c r="E12946" s="1276">
        <f>[11]building!Y13277</f>
        <v>0</v>
      </c>
      <c r="F12946" s="748">
        <f t="shared" si="441"/>
        <v>0</v>
      </c>
      <c r="G12946" s="1205"/>
      <c r="H12946" s="1055"/>
      <c r="I12946" s="1055"/>
      <c r="J12946" s="1055"/>
      <c r="K12946" s="1205"/>
      <c r="L12946" s="1055"/>
      <c r="M12946" s="1205"/>
      <c r="N12946" s="1054"/>
      <c r="O12946" s="1207"/>
      <c r="Q12946" s="1207"/>
    </row>
    <row r="12947" spans="3:17" s="700" customFormat="1" ht="70.5" hidden="1" customHeight="1">
      <c r="C12947" s="701"/>
      <c r="D12947" s="811"/>
      <c r="E12947" s="1276">
        <f>[11]building!Y13278</f>
        <v>0</v>
      </c>
      <c r="F12947" s="748">
        <f t="shared" si="441"/>
        <v>0</v>
      </c>
      <c r="G12947" s="1205"/>
      <c r="H12947" s="1055"/>
      <c r="I12947" s="1055"/>
      <c r="J12947" s="1055"/>
      <c r="K12947" s="1205"/>
      <c r="L12947" s="1055"/>
      <c r="M12947" s="1205"/>
      <c r="N12947" s="1054"/>
      <c r="O12947" s="1207"/>
      <c r="Q12947" s="1207"/>
    </row>
    <row r="12948" spans="3:17" s="700" customFormat="1" ht="70.5" hidden="1" customHeight="1">
      <c r="C12948" s="701"/>
      <c r="D12948" s="811"/>
      <c r="E12948" s="1276">
        <f>[11]building!Y13279</f>
        <v>0</v>
      </c>
      <c r="F12948" s="748">
        <f t="shared" si="441"/>
        <v>0</v>
      </c>
      <c r="G12948" s="1205"/>
      <c r="H12948" s="1055"/>
      <c r="I12948" s="1055"/>
      <c r="J12948" s="1055"/>
      <c r="K12948" s="1205"/>
      <c r="L12948" s="1055"/>
      <c r="M12948" s="1205"/>
      <c r="N12948" s="1054"/>
      <c r="O12948" s="1207"/>
      <c r="Q12948" s="1207"/>
    </row>
    <row r="12949" spans="3:17" s="700" customFormat="1" ht="70.5" hidden="1" customHeight="1">
      <c r="C12949" s="701"/>
      <c r="D12949" s="811"/>
      <c r="E12949" s="1276">
        <f>[11]building!Y13280</f>
        <v>0</v>
      </c>
      <c r="F12949" s="748">
        <f t="shared" si="441"/>
        <v>0</v>
      </c>
      <c r="G12949" s="1205"/>
      <c r="H12949" s="1055"/>
      <c r="I12949" s="1055"/>
      <c r="J12949" s="1055"/>
      <c r="K12949" s="1205"/>
      <c r="L12949" s="1055"/>
      <c r="M12949" s="1205"/>
      <c r="N12949" s="1054"/>
      <c r="O12949" s="1207"/>
      <c r="Q12949" s="1207"/>
    </row>
    <row r="12950" spans="3:17" s="700" customFormat="1" ht="70.5" hidden="1" customHeight="1">
      <c r="C12950" s="701"/>
      <c r="D12950" s="811"/>
      <c r="E12950" s="1276">
        <f>[11]building!Y13281</f>
        <v>0</v>
      </c>
      <c r="F12950" s="748">
        <f t="shared" si="441"/>
        <v>0</v>
      </c>
      <c r="G12950" s="1205"/>
      <c r="H12950" s="1055"/>
      <c r="I12950" s="1055"/>
      <c r="J12950" s="1055"/>
      <c r="K12950" s="1205"/>
      <c r="L12950" s="1055"/>
      <c r="M12950" s="1205"/>
      <c r="N12950" s="1054"/>
      <c r="O12950" s="1207"/>
      <c r="Q12950" s="1207"/>
    </row>
    <row r="12951" spans="3:17" s="700" customFormat="1" ht="70.5" hidden="1" customHeight="1">
      <c r="C12951" s="701"/>
      <c r="D12951" s="811"/>
      <c r="E12951" s="1276">
        <f>[11]building!Y13282</f>
        <v>0</v>
      </c>
      <c r="F12951" s="748">
        <f t="shared" si="441"/>
        <v>0</v>
      </c>
      <c r="G12951" s="1205"/>
      <c r="H12951" s="1055"/>
      <c r="I12951" s="1055"/>
      <c r="J12951" s="1055"/>
      <c r="K12951" s="1205"/>
      <c r="L12951" s="1055"/>
      <c r="M12951" s="1205"/>
      <c r="N12951" s="1054"/>
      <c r="O12951" s="1207"/>
      <c r="Q12951" s="1207"/>
    </row>
    <row r="12952" spans="3:17" s="700" customFormat="1" ht="70.5" hidden="1" customHeight="1">
      <c r="C12952" s="701"/>
      <c r="D12952" s="811"/>
      <c r="E12952" s="1276">
        <f>[11]building!Y13283</f>
        <v>0</v>
      </c>
      <c r="F12952" s="748">
        <f t="shared" si="441"/>
        <v>0</v>
      </c>
      <c r="G12952" s="1205"/>
      <c r="H12952" s="1055"/>
      <c r="I12952" s="1055"/>
      <c r="J12952" s="1055"/>
      <c r="K12952" s="1205"/>
      <c r="L12952" s="1055"/>
      <c r="M12952" s="1205"/>
      <c r="N12952" s="1054"/>
      <c r="O12952" s="1207"/>
      <c r="Q12952" s="1207"/>
    </row>
    <row r="12953" spans="3:17" s="700" customFormat="1" ht="70.5" hidden="1" customHeight="1">
      <c r="C12953" s="701"/>
      <c r="D12953" s="811"/>
      <c r="E12953" s="1276">
        <f>[11]building!Y13284</f>
        <v>0</v>
      </c>
      <c r="F12953" s="748">
        <f t="shared" si="441"/>
        <v>0</v>
      </c>
      <c r="G12953" s="1205"/>
      <c r="H12953" s="1055"/>
      <c r="I12953" s="1055"/>
      <c r="J12953" s="1055"/>
      <c r="K12953" s="1205"/>
      <c r="L12953" s="1055"/>
      <c r="M12953" s="1205"/>
      <c r="N12953" s="1054"/>
      <c r="O12953" s="1207"/>
      <c r="Q12953" s="1207"/>
    </row>
    <row r="12954" spans="3:17" s="700" customFormat="1" ht="70.5" hidden="1" customHeight="1">
      <c r="C12954" s="701"/>
      <c r="D12954" s="811"/>
      <c r="E12954" s="1276">
        <f>[11]building!Y13285</f>
        <v>0</v>
      </c>
      <c r="F12954" s="748">
        <f t="shared" si="441"/>
        <v>0</v>
      </c>
      <c r="G12954" s="1205"/>
      <c r="H12954" s="1055"/>
      <c r="I12954" s="1055"/>
      <c r="J12954" s="1055"/>
      <c r="K12954" s="1205"/>
      <c r="L12954" s="1055"/>
      <c r="M12954" s="1205"/>
      <c r="N12954" s="1054"/>
      <c r="O12954" s="1207"/>
      <c r="Q12954" s="1207"/>
    </row>
    <row r="12955" spans="3:17" s="700" customFormat="1" ht="70.5" hidden="1" customHeight="1">
      <c r="C12955" s="701"/>
      <c r="D12955" s="811"/>
      <c r="E12955" s="1276">
        <f>[11]building!Y13286</f>
        <v>0</v>
      </c>
      <c r="F12955" s="748">
        <f t="shared" si="441"/>
        <v>0</v>
      </c>
      <c r="G12955" s="1205"/>
      <c r="H12955" s="1055"/>
      <c r="I12955" s="1055"/>
      <c r="J12955" s="1055"/>
      <c r="K12955" s="1205"/>
      <c r="L12955" s="1055"/>
      <c r="M12955" s="1205"/>
      <c r="N12955" s="1054"/>
      <c r="O12955" s="1207"/>
      <c r="Q12955" s="1207"/>
    </row>
    <row r="12956" spans="3:17" s="700" customFormat="1" ht="70.5" hidden="1" customHeight="1">
      <c r="C12956" s="701"/>
      <c r="D12956" s="811"/>
      <c r="E12956" s="1276">
        <f>[11]building!Y13287</f>
        <v>0</v>
      </c>
      <c r="F12956" s="748">
        <f t="shared" si="441"/>
        <v>0</v>
      </c>
      <c r="G12956" s="1205"/>
      <c r="H12956" s="1055"/>
      <c r="I12956" s="1055"/>
      <c r="J12956" s="1055"/>
      <c r="K12956" s="1205"/>
      <c r="L12956" s="1055"/>
      <c r="M12956" s="1205"/>
      <c r="N12956" s="1054"/>
      <c r="O12956" s="1207"/>
      <c r="Q12956" s="1207"/>
    </row>
    <row r="12957" spans="3:17" s="700" customFormat="1" ht="70.5" hidden="1" customHeight="1">
      <c r="C12957" s="701"/>
      <c r="D12957" s="811"/>
      <c r="E12957" s="1276">
        <f>[11]building!Y13288</f>
        <v>0</v>
      </c>
      <c r="F12957" s="748">
        <f t="shared" si="441"/>
        <v>0</v>
      </c>
      <c r="G12957" s="1205"/>
      <c r="H12957" s="1055"/>
      <c r="I12957" s="1055"/>
      <c r="J12957" s="1055"/>
      <c r="K12957" s="1205"/>
      <c r="L12957" s="1055"/>
      <c r="M12957" s="1205"/>
      <c r="N12957" s="1054"/>
      <c r="O12957" s="1207"/>
      <c r="Q12957" s="1207"/>
    </row>
    <row r="12958" spans="3:17" s="700" customFormat="1" ht="70.5" hidden="1" customHeight="1">
      <c r="C12958" s="701"/>
      <c r="D12958" s="811"/>
      <c r="E12958" s="1276">
        <f>[11]building!Y13289</f>
        <v>0</v>
      </c>
      <c r="F12958" s="748">
        <f t="shared" si="441"/>
        <v>0</v>
      </c>
      <c r="G12958" s="1205"/>
      <c r="H12958" s="1055"/>
      <c r="I12958" s="1055"/>
      <c r="J12958" s="1055"/>
      <c r="K12958" s="1205"/>
      <c r="L12958" s="1055"/>
      <c r="M12958" s="1205"/>
      <c r="N12958" s="1054"/>
      <c r="O12958" s="1207"/>
      <c r="Q12958" s="1207"/>
    </row>
    <row r="12959" spans="3:17" s="700" customFormat="1" ht="70.5" hidden="1" customHeight="1">
      <c r="C12959" s="701"/>
      <c r="D12959" s="811"/>
      <c r="E12959" s="1276">
        <f>[11]building!Y13290</f>
        <v>0</v>
      </c>
      <c r="F12959" s="748">
        <f t="shared" si="441"/>
        <v>0</v>
      </c>
      <c r="G12959" s="1205"/>
      <c r="H12959" s="1055"/>
      <c r="I12959" s="1055"/>
      <c r="J12959" s="1055"/>
      <c r="K12959" s="1205"/>
      <c r="L12959" s="1055"/>
      <c r="M12959" s="1205"/>
      <c r="N12959" s="1054"/>
      <c r="O12959" s="1207"/>
      <c r="Q12959" s="1207"/>
    </row>
    <row r="12960" spans="3:17" s="700" customFormat="1" ht="70.5" hidden="1" customHeight="1">
      <c r="C12960" s="701"/>
      <c r="D12960" s="811"/>
      <c r="E12960" s="1276">
        <f>[11]building!Y13291</f>
        <v>0</v>
      </c>
      <c r="F12960" s="748">
        <f t="shared" si="441"/>
        <v>0</v>
      </c>
      <c r="G12960" s="1205"/>
      <c r="H12960" s="1055"/>
      <c r="I12960" s="1055"/>
      <c r="J12960" s="1055"/>
      <c r="K12960" s="1205"/>
      <c r="L12960" s="1055"/>
      <c r="M12960" s="1205"/>
      <c r="N12960" s="1054"/>
      <c r="O12960" s="1207"/>
      <c r="Q12960" s="1207"/>
    </row>
    <row r="12961" spans="3:17" s="700" customFormat="1" ht="70.5" hidden="1" customHeight="1">
      <c r="C12961" s="701"/>
      <c r="D12961" s="811"/>
      <c r="E12961" s="1276">
        <f>[11]building!Y13292</f>
        <v>0</v>
      </c>
      <c r="F12961" s="748">
        <f t="shared" si="441"/>
        <v>0</v>
      </c>
      <c r="G12961" s="1205"/>
      <c r="H12961" s="1055"/>
      <c r="I12961" s="1055"/>
      <c r="J12961" s="1055"/>
      <c r="K12961" s="1205"/>
      <c r="L12961" s="1055"/>
      <c r="M12961" s="1205"/>
      <c r="N12961" s="1054"/>
      <c r="O12961" s="1207"/>
      <c r="Q12961" s="1207"/>
    </row>
    <row r="12962" spans="3:17" s="700" customFormat="1" ht="70.5" hidden="1" customHeight="1">
      <c r="C12962" s="701"/>
      <c r="D12962" s="811"/>
      <c r="E12962" s="1276">
        <f>[11]building!Y13293</f>
        <v>0</v>
      </c>
      <c r="F12962" s="748">
        <f t="shared" si="441"/>
        <v>0</v>
      </c>
      <c r="G12962" s="1205"/>
      <c r="H12962" s="1055"/>
      <c r="I12962" s="1055"/>
      <c r="J12962" s="1055"/>
      <c r="K12962" s="1205"/>
      <c r="L12962" s="1055"/>
      <c r="M12962" s="1205"/>
      <c r="N12962" s="1054"/>
      <c r="O12962" s="1207"/>
      <c r="Q12962" s="1207"/>
    </row>
    <row r="12963" spans="3:17" s="700" customFormat="1" ht="70.5" hidden="1" customHeight="1">
      <c r="C12963" s="701"/>
      <c r="D12963" s="811"/>
      <c r="E12963" s="1276">
        <f>[11]building!Y13294</f>
        <v>0</v>
      </c>
      <c r="F12963" s="748">
        <f t="shared" si="441"/>
        <v>0</v>
      </c>
      <c r="G12963" s="1205"/>
      <c r="H12963" s="1055"/>
      <c r="I12963" s="1055"/>
      <c r="J12963" s="1055"/>
      <c r="K12963" s="1205"/>
      <c r="L12963" s="1055"/>
      <c r="M12963" s="1205"/>
      <c r="N12963" s="1054"/>
      <c r="O12963" s="1207"/>
      <c r="Q12963" s="1207"/>
    </row>
    <row r="12964" spans="3:17" s="700" customFormat="1" ht="70.5" hidden="1" customHeight="1">
      <c r="C12964" s="701"/>
      <c r="D12964" s="811"/>
      <c r="E12964" s="1276">
        <f>[11]building!Y13295</f>
        <v>0</v>
      </c>
      <c r="F12964" s="748">
        <f t="shared" si="441"/>
        <v>0</v>
      </c>
      <c r="G12964" s="1205"/>
      <c r="H12964" s="1055"/>
      <c r="I12964" s="1055"/>
      <c r="J12964" s="1055"/>
      <c r="K12964" s="1205"/>
      <c r="L12964" s="1055"/>
      <c r="M12964" s="1205"/>
      <c r="N12964" s="1054"/>
      <c r="O12964" s="1207"/>
      <c r="Q12964" s="1207"/>
    </row>
    <row r="12965" spans="3:17" s="700" customFormat="1" ht="70.5" hidden="1" customHeight="1">
      <c r="C12965" s="701"/>
      <c r="D12965" s="811"/>
      <c r="E12965" s="1276">
        <f>[11]building!Y13296</f>
        <v>0</v>
      </c>
      <c r="F12965" s="748">
        <f t="shared" si="441"/>
        <v>0</v>
      </c>
      <c r="G12965" s="1205"/>
      <c r="H12965" s="1055"/>
      <c r="I12965" s="1055"/>
      <c r="J12965" s="1055"/>
      <c r="K12965" s="1205"/>
      <c r="L12965" s="1055"/>
      <c r="M12965" s="1205"/>
      <c r="N12965" s="1054"/>
      <c r="O12965" s="1207"/>
      <c r="Q12965" s="1207"/>
    </row>
    <row r="12966" spans="3:17" s="700" customFormat="1" ht="70.5" hidden="1" customHeight="1">
      <c r="C12966" s="701"/>
      <c r="D12966" s="811"/>
      <c r="E12966" s="1276">
        <f>[11]building!Y13297</f>
        <v>0</v>
      </c>
      <c r="F12966" s="748">
        <f t="shared" si="441"/>
        <v>0</v>
      </c>
      <c r="G12966" s="1205"/>
      <c r="H12966" s="1055"/>
      <c r="I12966" s="1055"/>
      <c r="J12966" s="1055"/>
      <c r="K12966" s="1205"/>
      <c r="L12966" s="1055"/>
      <c r="M12966" s="1205"/>
      <c r="N12966" s="1054"/>
      <c r="O12966" s="1207"/>
      <c r="Q12966" s="1207"/>
    </row>
    <row r="12967" spans="3:17" s="700" customFormat="1" ht="70.5" hidden="1" customHeight="1">
      <c r="C12967" s="701"/>
      <c r="D12967" s="811"/>
      <c r="E12967" s="1276">
        <f>[11]building!Y13298</f>
        <v>0</v>
      </c>
      <c r="F12967" s="748">
        <f t="shared" si="441"/>
        <v>0</v>
      </c>
      <c r="G12967" s="1205"/>
      <c r="H12967" s="1055"/>
      <c r="I12967" s="1055"/>
      <c r="J12967" s="1055"/>
      <c r="K12967" s="1205"/>
      <c r="L12967" s="1055"/>
      <c r="M12967" s="1205"/>
      <c r="N12967" s="1054"/>
      <c r="O12967" s="1207"/>
      <c r="Q12967" s="1207"/>
    </row>
    <row r="12968" spans="3:17" s="700" customFormat="1" ht="70.5" hidden="1" customHeight="1">
      <c r="C12968" s="701"/>
      <c r="D12968" s="811"/>
      <c r="E12968" s="1276">
        <f>[11]building!Y13299</f>
        <v>0</v>
      </c>
      <c r="F12968" s="748">
        <f t="shared" si="441"/>
        <v>0</v>
      </c>
      <c r="G12968" s="1205"/>
      <c r="H12968" s="1055"/>
      <c r="I12968" s="1055"/>
      <c r="J12968" s="1055"/>
      <c r="K12968" s="1205"/>
      <c r="L12968" s="1055"/>
      <c r="M12968" s="1205"/>
      <c r="N12968" s="1054"/>
      <c r="O12968" s="1207"/>
      <c r="Q12968" s="1207"/>
    </row>
    <row r="12969" spans="3:17" s="700" customFormat="1" ht="70.5" hidden="1" customHeight="1">
      <c r="C12969" s="701"/>
      <c r="D12969" s="811"/>
      <c r="E12969" s="1276">
        <f>[11]building!Y13300</f>
        <v>0</v>
      </c>
      <c r="F12969" s="748">
        <f t="shared" si="441"/>
        <v>0</v>
      </c>
      <c r="G12969" s="1205"/>
      <c r="H12969" s="1055"/>
      <c r="I12969" s="1055"/>
      <c r="J12969" s="1055"/>
      <c r="K12969" s="1205"/>
      <c r="L12969" s="1055"/>
      <c r="M12969" s="1205"/>
      <c r="N12969" s="1054"/>
      <c r="O12969" s="1207"/>
      <c r="Q12969" s="1207"/>
    </row>
    <row r="12970" spans="3:17" s="700" customFormat="1" ht="70.5" hidden="1" customHeight="1">
      <c r="C12970" s="701"/>
      <c r="D12970" s="811"/>
      <c r="E12970" s="1276">
        <f>[11]building!Y13301</f>
        <v>0</v>
      </c>
      <c r="F12970" s="748">
        <f t="shared" si="441"/>
        <v>0</v>
      </c>
      <c r="G12970" s="1205"/>
      <c r="H12970" s="1055"/>
      <c r="I12970" s="1055"/>
      <c r="J12970" s="1055"/>
      <c r="K12970" s="1205"/>
      <c r="L12970" s="1055"/>
      <c r="M12970" s="1205"/>
      <c r="N12970" s="1054"/>
      <c r="O12970" s="1207"/>
      <c r="Q12970" s="1207"/>
    </row>
    <row r="12971" spans="3:17" s="700" customFormat="1" ht="70.5" hidden="1" customHeight="1">
      <c r="C12971" s="701"/>
      <c r="D12971" s="811"/>
      <c r="E12971" s="1276">
        <f>[11]building!Y13302</f>
        <v>0</v>
      </c>
      <c r="F12971" s="748">
        <f t="shared" si="441"/>
        <v>0</v>
      </c>
      <c r="G12971" s="1205"/>
      <c r="H12971" s="1055"/>
      <c r="I12971" s="1055"/>
      <c r="J12971" s="1055"/>
      <c r="K12971" s="1205"/>
      <c r="L12971" s="1055"/>
      <c r="M12971" s="1205"/>
      <c r="N12971" s="1054"/>
      <c r="O12971" s="1207"/>
      <c r="Q12971" s="1207"/>
    </row>
    <row r="12972" spans="3:17" s="700" customFormat="1" ht="70.5" hidden="1" customHeight="1">
      <c r="C12972" s="701"/>
      <c r="D12972" s="811"/>
      <c r="E12972" s="1276">
        <f>[11]building!Y13303</f>
        <v>0</v>
      </c>
      <c r="F12972" s="748">
        <f t="shared" si="441"/>
        <v>0</v>
      </c>
      <c r="G12972" s="1205"/>
      <c r="H12972" s="1055"/>
      <c r="I12972" s="1055"/>
      <c r="J12972" s="1055"/>
      <c r="K12972" s="1205"/>
      <c r="L12972" s="1055"/>
      <c r="M12972" s="1205"/>
      <c r="N12972" s="1054"/>
      <c r="O12972" s="1207"/>
      <c r="Q12972" s="1207"/>
    </row>
    <row r="12973" spans="3:17" s="700" customFormat="1" ht="70.5" hidden="1" customHeight="1">
      <c r="C12973" s="701"/>
      <c r="D12973" s="811"/>
      <c r="E12973" s="1276">
        <f>[11]building!Y13304</f>
        <v>0</v>
      </c>
      <c r="F12973" s="748">
        <f t="shared" si="441"/>
        <v>0</v>
      </c>
      <c r="G12973" s="1205"/>
      <c r="H12973" s="1055"/>
      <c r="I12973" s="1055"/>
      <c r="J12973" s="1055"/>
      <c r="K12973" s="1205"/>
      <c r="L12973" s="1055"/>
      <c r="M12973" s="1205"/>
      <c r="N12973" s="1054"/>
      <c r="O12973" s="1207"/>
      <c r="Q12973" s="1207"/>
    </row>
    <row r="12974" spans="3:17" s="700" customFormat="1" ht="70.5" hidden="1" customHeight="1">
      <c r="C12974" s="701"/>
      <c r="D12974" s="811"/>
      <c r="E12974" s="1276">
        <f>[11]building!Y13305</f>
        <v>0</v>
      </c>
      <c r="F12974" s="748">
        <f t="shared" si="441"/>
        <v>0</v>
      </c>
      <c r="G12974" s="1205"/>
      <c r="H12974" s="1055"/>
      <c r="I12974" s="1055"/>
      <c r="J12974" s="1055"/>
      <c r="K12974" s="1205"/>
      <c r="L12974" s="1055"/>
      <c r="M12974" s="1205"/>
      <c r="N12974" s="1054"/>
      <c r="O12974" s="1207"/>
      <c r="Q12974" s="1207"/>
    </row>
    <row r="12975" spans="3:17" s="700" customFormat="1" ht="70.5" hidden="1" customHeight="1">
      <c r="C12975" s="701"/>
      <c r="D12975" s="811"/>
      <c r="E12975" s="1276">
        <f>[11]building!Y13306</f>
        <v>0</v>
      </c>
      <c r="F12975" s="748">
        <f t="shared" si="441"/>
        <v>0</v>
      </c>
      <c r="G12975" s="1205"/>
      <c r="H12975" s="1055"/>
      <c r="I12975" s="1055"/>
      <c r="J12975" s="1055"/>
      <c r="K12975" s="1205"/>
      <c r="L12975" s="1055"/>
      <c r="M12975" s="1205"/>
      <c r="N12975" s="1054"/>
      <c r="O12975" s="1207"/>
      <c r="Q12975" s="1207"/>
    </row>
    <row r="12976" spans="3:17" s="700" customFormat="1" ht="70.5" hidden="1" customHeight="1">
      <c r="C12976" s="701"/>
      <c r="D12976" s="811"/>
      <c r="E12976" s="1276">
        <f>[11]building!Y13307</f>
        <v>0</v>
      </c>
      <c r="F12976" s="748">
        <f t="shared" si="441"/>
        <v>0</v>
      </c>
      <c r="G12976" s="1205"/>
      <c r="H12976" s="1055"/>
      <c r="I12976" s="1055"/>
      <c r="J12976" s="1055"/>
      <c r="K12976" s="1205"/>
      <c r="L12976" s="1055"/>
      <c r="M12976" s="1205"/>
      <c r="N12976" s="1054"/>
      <c r="O12976" s="1207"/>
      <c r="Q12976" s="1207"/>
    </row>
    <row r="12977" spans="3:17" s="700" customFormat="1" ht="70.5" hidden="1" customHeight="1">
      <c r="C12977" s="701"/>
      <c r="D12977" s="811"/>
      <c r="E12977" s="1276">
        <f>[11]building!Y13308</f>
        <v>0</v>
      </c>
      <c r="F12977" s="748">
        <f t="shared" si="441"/>
        <v>0</v>
      </c>
      <c r="G12977" s="1205"/>
      <c r="H12977" s="1055"/>
      <c r="I12977" s="1055"/>
      <c r="J12977" s="1055"/>
      <c r="K12977" s="1205"/>
      <c r="L12977" s="1055"/>
      <c r="M12977" s="1205"/>
      <c r="N12977" s="1054"/>
      <c r="O12977" s="1207"/>
      <c r="Q12977" s="1207"/>
    </row>
    <row r="12978" spans="3:17" s="700" customFormat="1" ht="70.5" hidden="1" customHeight="1">
      <c r="C12978" s="701"/>
      <c r="D12978" s="811"/>
      <c r="E12978" s="1276">
        <f>[11]building!Y13309</f>
        <v>0</v>
      </c>
      <c r="F12978" s="748">
        <f t="shared" si="441"/>
        <v>0</v>
      </c>
      <c r="G12978" s="1205"/>
      <c r="H12978" s="1055"/>
      <c r="I12978" s="1055"/>
      <c r="J12978" s="1055"/>
      <c r="K12978" s="1205"/>
      <c r="L12978" s="1055"/>
      <c r="M12978" s="1205"/>
      <c r="N12978" s="1054"/>
      <c r="O12978" s="1207"/>
      <c r="Q12978" s="1207"/>
    </row>
    <row r="12979" spans="3:17" s="700" customFormat="1" ht="70.5" hidden="1" customHeight="1">
      <c r="C12979" s="701"/>
      <c r="D12979" s="811"/>
      <c r="E12979" s="1276">
        <f>[11]building!Y13310</f>
        <v>0</v>
      </c>
      <c r="F12979" s="748">
        <f t="shared" si="441"/>
        <v>0</v>
      </c>
      <c r="G12979" s="1205"/>
      <c r="H12979" s="1055"/>
      <c r="I12979" s="1055"/>
      <c r="J12979" s="1055"/>
      <c r="K12979" s="1205"/>
      <c r="L12979" s="1055"/>
      <c r="M12979" s="1205"/>
      <c r="N12979" s="1054"/>
      <c r="O12979" s="1207"/>
      <c r="Q12979" s="1207"/>
    </row>
    <row r="12980" spans="3:17" s="700" customFormat="1" ht="70.5" hidden="1" customHeight="1">
      <c r="C12980" s="701"/>
      <c r="D12980" s="811"/>
      <c r="E12980" s="1276">
        <f>[11]building!Y13311</f>
        <v>0</v>
      </c>
      <c r="F12980" s="748">
        <f t="shared" si="441"/>
        <v>0</v>
      </c>
      <c r="G12980" s="1205"/>
      <c r="H12980" s="1055"/>
      <c r="I12980" s="1055"/>
      <c r="J12980" s="1055"/>
      <c r="K12980" s="1205"/>
      <c r="L12980" s="1055"/>
      <c r="M12980" s="1205"/>
      <c r="N12980" s="1054"/>
      <c r="O12980" s="1207"/>
      <c r="Q12980" s="1207"/>
    </row>
    <row r="12981" spans="3:17" s="700" customFormat="1" ht="70.5" hidden="1" customHeight="1">
      <c r="C12981" s="701"/>
      <c r="D12981" s="811"/>
      <c r="E12981" s="1276">
        <f>[11]building!Y13312</f>
        <v>0</v>
      </c>
      <c r="F12981" s="748">
        <f t="shared" si="441"/>
        <v>0</v>
      </c>
      <c r="G12981" s="1205"/>
      <c r="H12981" s="1055"/>
      <c r="I12981" s="1055"/>
      <c r="J12981" s="1055"/>
      <c r="K12981" s="1205"/>
      <c r="L12981" s="1055"/>
      <c r="M12981" s="1205"/>
      <c r="N12981" s="1054"/>
      <c r="O12981" s="1207"/>
      <c r="Q12981" s="1207"/>
    </row>
    <row r="12982" spans="3:17" s="700" customFormat="1" ht="70.5" hidden="1" customHeight="1">
      <c r="C12982" s="701"/>
      <c r="D12982" s="811"/>
      <c r="E12982" s="1276">
        <f>[11]building!Y13313</f>
        <v>0</v>
      </c>
      <c r="F12982" s="748">
        <f t="shared" si="441"/>
        <v>0</v>
      </c>
      <c r="G12982" s="1205"/>
      <c r="H12982" s="1055"/>
      <c r="I12982" s="1055"/>
      <c r="J12982" s="1055"/>
      <c r="K12982" s="1205"/>
      <c r="L12982" s="1055"/>
      <c r="M12982" s="1205"/>
      <c r="N12982" s="1054"/>
      <c r="O12982" s="1207"/>
      <c r="Q12982" s="1207"/>
    </row>
    <row r="12983" spans="3:17" s="700" customFormat="1" ht="70.5" hidden="1" customHeight="1">
      <c r="C12983" s="701"/>
      <c r="D12983" s="811"/>
      <c r="E12983" s="1276">
        <f>[11]building!Y13314</f>
        <v>0</v>
      </c>
      <c r="F12983" s="748">
        <f t="shared" si="441"/>
        <v>0</v>
      </c>
      <c r="G12983" s="1205"/>
      <c r="H12983" s="1055"/>
      <c r="I12983" s="1055"/>
      <c r="J12983" s="1055"/>
      <c r="K12983" s="1205"/>
      <c r="L12983" s="1055"/>
      <c r="M12983" s="1205"/>
      <c r="N12983" s="1054"/>
      <c r="O12983" s="1207"/>
      <c r="Q12983" s="1207"/>
    </row>
    <row r="12984" spans="3:17" s="700" customFormat="1" ht="70.5" hidden="1" customHeight="1">
      <c r="C12984" s="701"/>
      <c r="D12984" s="811"/>
      <c r="E12984" s="1276">
        <f>[11]building!Y13315</f>
        <v>0</v>
      </c>
      <c r="F12984" s="748">
        <f t="shared" si="441"/>
        <v>0</v>
      </c>
      <c r="G12984" s="1205"/>
      <c r="H12984" s="1055"/>
      <c r="I12984" s="1055"/>
      <c r="J12984" s="1055"/>
      <c r="K12984" s="1205"/>
      <c r="L12984" s="1055"/>
      <c r="M12984" s="1205"/>
      <c r="N12984" s="1054"/>
      <c r="O12984" s="1207"/>
      <c r="Q12984" s="1207"/>
    </row>
    <row r="12985" spans="3:17" s="700" customFormat="1" ht="70.5" hidden="1" customHeight="1">
      <c r="C12985" s="701"/>
      <c r="D12985" s="811"/>
      <c r="E12985" s="1276">
        <f>[11]building!Y13316</f>
        <v>0</v>
      </c>
      <c r="F12985" s="748">
        <f t="shared" si="441"/>
        <v>0</v>
      </c>
      <c r="G12985" s="1205"/>
      <c r="H12985" s="1055"/>
      <c r="I12985" s="1055"/>
      <c r="J12985" s="1055"/>
      <c r="K12985" s="1205"/>
      <c r="L12985" s="1055"/>
      <c r="M12985" s="1205"/>
      <c r="N12985" s="1054"/>
      <c r="O12985" s="1207"/>
      <c r="Q12985" s="1207"/>
    </row>
    <row r="12986" spans="3:17" s="700" customFormat="1" ht="70.5" hidden="1" customHeight="1">
      <c r="C12986" s="701"/>
      <c r="D12986" s="811"/>
      <c r="E12986" s="1276">
        <f>[11]building!Y13317</f>
        <v>0</v>
      </c>
      <c r="F12986" s="748">
        <f t="shared" si="441"/>
        <v>0</v>
      </c>
      <c r="G12986" s="1205"/>
      <c r="H12986" s="1055"/>
      <c r="I12986" s="1055"/>
      <c r="J12986" s="1055"/>
      <c r="K12986" s="1205"/>
      <c r="L12986" s="1055"/>
      <c r="M12986" s="1205"/>
      <c r="N12986" s="1054"/>
      <c r="O12986" s="1207"/>
      <c r="Q12986" s="1207"/>
    </row>
    <row r="12987" spans="3:17" s="700" customFormat="1" ht="70.5" hidden="1" customHeight="1">
      <c r="C12987" s="701"/>
      <c r="D12987" s="811"/>
      <c r="E12987" s="1276">
        <f>[11]building!Y13318</f>
        <v>0</v>
      </c>
      <c r="F12987" s="748">
        <f t="shared" si="441"/>
        <v>0</v>
      </c>
      <c r="G12987" s="1205"/>
      <c r="H12987" s="1055"/>
      <c r="I12987" s="1055"/>
      <c r="J12987" s="1055"/>
      <c r="K12987" s="1205"/>
      <c r="L12987" s="1055"/>
      <c r="M12987" s="1205"/>
      <c r="N12987" s="1054"/>
      <c r="O12987" s="1207"/>
      <c r="Q12987" s="1207"/>
    </row>
    <row r="12988" spans="3:17" s="700" customFormat="1" ht="70.5" hidden="1" customHeight="1">
      <c r="C12988" s="701"/>
      <c r="D12988" s="811"/>
      <c r="E12988" s="1276">
        <f>[11]building!Y13319</f>
        <v>0</v>
      </c>
      <c r="F12988" s="748">
        <f t="shared" si="441"/>
        <v>0</v>
      </c>
      <c r="G12988" s="1205"/>
      <c r="H12988" s="1055"/>
      <c r="I12988" s="1055"/>
      <c r="J12988" s="1055"/>
      <c r="K12988" s="1205"/>
      <c r="L12988" s="1055"/>
      <c r="M12988" s="1205"/>
      <c r="N12988" s="1054"/>
      <c r="O12988" s="1207"/>
      <c r="Q12988" s="1207"/>
    </row>
    <row r="12989" spans="3:17" s="700" customFormat="1" ht="70.5" hidden="1" customHeight="1">
      <c r="C12989" s="701"/>
      <c r="D12989" s="811"/>
      <c r="E12989" s="1276">
        <f>[11]building!Y13320</f>
        <v>0</v>
      </c>
      <c r="F12989" s="748">
        <f t="shared" si="441"/>
        <v>0</v>
      </c>
      <c r="G12989" s="1205"/>
      <c r="H12989" s="1055"/>
      <c r="I12989" s="1055"/>
      <c r="J12989" s="1055"/>
      <c r="K12989" s="1205"/>
      <c r="L12989" s="1055"/>
      <c r="M12989" s="1205"/>
      <c r="N12989" s="1054"/>
      <c r="O12989" s="1207"/>
      <c r="Q12989" s="1207"/>
    </row>
    <row r="12990" spans="3:17" s="700" customFormat="1" ht="70.5" hidden="1" customHeight="1">
      <c r="C12990" s="701"/>
      <c r="D12990" s="811"/>
      <c r="E12990" s="1276">
        <f>[11]building!Y13321</f>
        <v>0</v>
      </c>
      <c r="F12990" s="748">
        <f t="shared" si="441"/>
        <v>0</v>
      </c>
      <c r="G12990" s="1205"/>
      <c r="H12990" s="1055"/>
      <c r="I12990" s="1055"/>
      <c r="J12990" s="1055"/>
      <c r="K12990" s="1205"/>
      <c r="L12990" s="1055"/>
      <c r="M12990" s="1205"/>
      <c r="N12990" s="1054"/>
      <c r="O12990" s="1207"/>
      <c r="Q12990" s="1207"/>
    </row>
    <row r="12991" spans="3:17" s="700" customFormat="1" ht="70.5" hidden="1" customHeight="1">
      <c r="C12991" s="701"/>
      <c r="D12991" s="811"/>
      <c r="E12991" s="1276">
        <f>[11]building!Y13322</f>
        <v>0</v>
      </c>
      <c r="F12991" s="748">
        <f t="shared" si="441"/>
        <v>0</v>
      </c>
      <c r="G12991" s="1205"/>
      <c r="H12991" s="1055"/>
      <c r="I12991" s="1055"/>
      <c r="J12991" s="1055"/>
      <c r="K12991" s="1205"/>
      <c r="L12991" s="1055"/>
      <c r="M12991" s="1205"/>
      <c r="N12991" s="1054"/>
      <c r="O12991" s="1207"/>
      <c r="Q12991" s="1207"/>
    </row>
    <row r="12992" spans="3:17" s="700" customFormat="1" ht="70.5" hidden="1" customHeight="1">
      <c r="C12992" s="701"/>
      <c r="D12992" s="811"/>
      <c r="E12992" s="1276">
        <f>[11]building!Y13323</f>
        <v>0</v>
      </c>
      <c r="F12992" s="748">
        <f t="shared" ref="F12992:F13055" si="442">E12992*C12992</f>
        <v>0</v>
      </c>
      <c r="G12992" s="1205"/>
      <c r="H12992" s="1055"/>
      <c r="I12992" s="1055"/>
      <c r="J12992" s="1055"/>
      <c r="K12992" s="1205"/>
      <c r="L12992" s="1055"/>
      <c r="M12992" s="1205"/>
      <c r="N12992" s="1054"/>
      <c r="O12992" s="1207"/>
      <c r="Q12992" s="1207"/>
    </row>
    <row r="12993" spans="3:17" s="700" customFormat="1" ht="70.5" hidden="1" customHeight="1">
      <c r="C12993" s="701"/>
      <c r="D12993" s="811"/>
      <c r="E12993" s="1276">
        <f>[11]building!Y13324</f>
        <v>0</v>
      </c>
      <c r="F12993" s="748">
        <f t="shared" si="442"/>
        <v>0</v>
      </c>
      <c r="G12993" s="1205"/>
      <c r="H12993" s="1055"/>
      <c r="I12993" s="1055"/>
      <c r="J12993" s="1055"/>
      <c r="K12993" s="1205"/>
      <c r="L12993" s="1055"/>
      <c r="M12993" s="1205"/>
      <c r="N12993" s="1054"/>
      <c r="O12993" s="1207"/>
      <c r="Q12993" s="1207"/>
    </row>
    <row r="12994" spans="3:17" s="700" customFormat="1" ht="70.5" hidden="1" customHeight="1">
      <c r="C12994" s="701"/>
      <c r="D12994" s="811"/>
      <c r="E12994" s="1276">
        <f>[11]building!Y13325</f>
        <v>0</v>
      </c>
      <c r="F12994" s="748">
        <f t="shared" si="442"/>
        <v>0</v>
      </c>
      <c r="G12994" s="1205"/>
      <c r="H12994" s="1055"/>
      <c r="I12994" s="1055"/>
      <c r="J12994" s="1055"/>
      <c r="K12994" s="1205"/>
      <c r="L12994" s="1055"/>
      <c r="M12994" s="1205"/>
      <c r="N12994" s="1054"/>
      <c r="O12994" s="1207"/>
      <c r="Q12994" s="1207"/>
    </row>
    <row r="12995" spans="3:17" s="700" customFormat="1" ht="70.5" hidden="1" customHeight="1">
      <c r="C12995" s="701"/>
      <c r="D12995" s="811"/>
      <c r="E12995" s="1276">
        <f>[11]building!Y13326</f>
        <v>0</v>
      </c>
      <c r="F12995" s="748">
        <f t="shared" si="442"/>
        <v>0</v>
      </c>
      <c r="G12995" s="1205"/>
      <c r="H12995" s="1055"/>
      <c r="I12995" s="1055"/>
      <c r="J12995" s="1055"/>
      <c r="K12995" s="1205"/>
      <c r="L12995" s="1055"/>
      <c r="M12995" s="1205"/>
      <c r="N12995" s="1054"/>
      <c r="O12995" s="1207"/>
      <c r="Q12995" s="1207"/>
    </row>
    <row r="12996" spans="3:17" s="700" customFormat="1" ht="70.5" hidden="1" customHeight="1">
      <c r="C12996" s="701"/>
      <c r="D12996" s="811"/>
      <c r="E12996" s="1276">
        <f>[11]building!Y13327</f>
        <v>0</v>
      </c>
      <c r="F12996" s="748">
        <f t="shared" si="442"/>
        <v>0</v>
      </c>
      <c r="G12996" s="1205"/>
      <c r="H12996" s="1055"/>
      <c r="I12996" s="1055"/>
      <c r="J12996" s="1055"/>
      <c r="K12996" s="1205"/>
      <c r="L12996" s="1055"/>
      <c r="M12996" s="1205"/>
      <c r="N12996" s="1054"/>
      <c r="O12996" s="1207"/>
      <c r="Q12996" s="1207"/>
    </row>
    <row r="12997" spans="3:17" s="700" customFormat="1" ht="70.5" hidden="1" customHeight="1">
      <c r="C12997" s="701"/>
      <c r="D12997" s="811"/>
      <c r="E12997" s="1276">
        <f>[11]building!Y13328</f>
        <v>0</v>
      </c>
      <c r="F12997" s="748">
        <f t="shared" si="442"/>
        <v>0</v>
      </c>
      <c r="G12997" s="1205"/>
      <c r="H12997" s="1055"/>
      <c r="I12997" s="1055"/>
      <c r="J12997" s="1055"/>
      <c r="K12997" s="1205"/>
      <c r="L12997" s="1055"/>
      <c r="M12997" s="1205"/>
      <c r="N12997" s="1054"/>
      <c r="O12997" s="1207"/>
      <c r="Q12997" s="1207"/>
    </row>
    <row r="12998" spans="3:17" s="700" customFormat="1" ht="70.5" hidden="1" customHeight="1">
      <c r="C12998" s="701"/>
      <c r="D12998" s="811"/>
      <c r="E12998" s="1276">
        <f>[11]building!Y13329</f>
        <v>0</v>
      </c>
      <c r="F12998" s="748">
        <f t="shared" si="442"/>
        <v>0</v>
      </c>
      <c r="G12998" s="1205"/>
      <c r="H12998" s="1055"/>
      <c r="I12998" s="1055"/>
      <c r="J12998" s="1055"/>
      <c r="K12998" s="1205"/>
      <c r="L12998" s="1055"/>
      <c r="M12998" s="1205"/>
      <c r="N12998" s="1054"/>
      <c r="O12998" s="1207"/>
      <c r="Q12998" s="1207"/>
    </row>
    <row r="12999" spans="3:17" s="700" customFormat="1" ht="70.5" hidden="1" customHeight="1">
      <c r="C12999" s="701"/>
      <c r="D12999" s="811"/>
      <c r="E12999" s="1276">
        <f>[11]building!Y13330</f>
        <v>0</v>
      </c>
      <c r="F12999" s="748">
        <f t="shared" si="442"/>
        <v>0</v>
      </c>
      <c r="G12999" s="1205"/>
      <c r="H12999" s="1055"/>
      <c r="I12999" s="1055"/>
      <c r="J12999" s="1055"/>
      <c r="K12999" s="1205"/>
      <c r="L12999" s="1055"/>
      <c r="M12999" s="1205"/>
      <c r="N12999" s="1054"/>
      <c r="O12999" s="1207"/>
      <c r="Q12999" s="1207"/>
    </row>
    <row r="13000" spans="3:17" s="700" customFormat="1" ht="70.5" hidden="1" customHeight="1">
      <c r="C13000" s="701"/>
      <c r="D13000" s="811"/>
      <c r="E13000" s="1276">
        <f>[11]building!Y13331</f>
        <v>0</v>
      </c>
      <c r="F13000" s="748">
        <f t="shared" si="442"/>
        <v>0</v>
      </c>
      <c r="G13000" s="1205"/>
      <c r="H13000" s="1055"/>
      <c r="I13000" s="1055"/>
      <c r="J13000" s="1055"/>
      <c r="K13000" s="1205"/>
      <c r="L13000" s="1055"/>
      <c r="M13000" s="1205"/>
      <c r="N13000" s="1054"/>
      <c r="O13000" s="1207"/>
      <c r="Q13000" s="1207"/>
    </row>
    <row r="13001" spans="3:17" s="700" customFormat="1" ht="70.5" hidden="1" customHeight="1">
      <c r="C13001" s="701"/>
      <c r="D13001" s="811"/>
      <c r="E13001" s="1276">
        <f>[11]building!Y13332</f>
        <v>0</v>
      </c>
      <c r="F13001" s="748">
        <f t="shared" si="442"/>
        <v>0</v>
      </c>
      <c r="G13001" s="1205"/>
      <c r="H13001" s="1055"/>
      <c r="I13001" s="1055"/>
      <c r="J13001" s="1055"/>
      <c r="K13001" s="1205"/>
      <c r="L13001" s="1055"/>
      <c r="M13001" s="1205"/>
      <c r="N13001" s="1054"/>
      <c r="O13001" s="1207"/>
      <c r="Q13001" s="1207"/>
    </row>
    <row r="13002" spans="3:17" s="700" customFormat="1" ht="70.5" hidden="1" customHeight="1">
      <c r="C13002" s="701"/>
      <c r="D13002" s="811"/>
      <c r="E13002" s="1276">
        <f>[11]building!Y13333</f>
        <v>0</v>
      </c>
      <c r="F13002" s="748">
        <f t="shared" si="442"/>
        <v>0</v>
      </c>
      <c r="G13002" s="1205"/>
      <c r="H13002" s="1055"/>
      <c r="I13002" s="1055"/>
      <c r="J13002" s="1055"/>
      <c r="K13002" s="1205"/>
      <c r="L13002" s="1055"/>
      <c r="M13002" s="1205"/>
      <c r="N13002" s="1054"/>
      <c r="O13002" s="1207"/>
      <c r="Q13002" s="1207"/>
    </row>
    <row r="13003" spans="3:17" s="700" customFormat="1" ht="70.5" hidden="1" customHeight="1">
      <c r="C13003" s="701"/>
      <c r="D13003" s="811"/>
      <c r="E13003" s="1276">
        <f>[11]building!Y13334</f>
        <v>0</v>
      </c>
      <c r="F13003" s="748">
        <f t="shared" si="442"/>
        <v>0</v>
      </c>
      <c r="G13003" s="1205"/>
      <c r="H13003" s="1055"/>
      <c r="I13003" s="1055"/>
      <c r="J13003" s="1055"/>
      <c r="K13003" s="1205"/>
      <c r="L13003" s="1055"/>
      <c r="M13003" s="1205"/>
      <c r="N13003" s="1054"/>
      <c r="O13003" s="1207"/>
      <c r="Q13003" s="1207"/>
    </row>
    <row r="13004" spans="3:17" s="700" customFormat="1" ht="70.5" hidden="1" customHeight="1">
      <c r="C13004" s="701"/>
      <c r="D13004" s="811"/>
      <c r="E13004" s="1276">
        <f>[11]building!Y13335</f>
        <v>0</v>
      </c>
      <c r="F13004" s="748">
        <f t="shared" si="442"/>
        <v>0</v>
      </c>
      <c r="G13004" s="1205"/>
      <c r="H13004" s="1055"/>
      <c r="I13004" s="1055"/>
      <c r="J13004" s="1055"/>
      <c r="K13004" s="1205"/>
      <c r="L13004" s="1055"/>
      <c r="M13004" s="1205"/>
      <c r="N13004" s="1054"/>
      <c r="O13004" s="1207"/>
      <c r="Q13004" s="1207"/>
    </row>
    <row r="13005" spans="3:17" s="700" customFormat="1" ht="70.5" hidden="1" customHeight="1">
      <c r="C13005" s="701"/>
      <c r="D13005" s="811"/>
      <c r="E13005" s="1276">
        <f>[11]building!Y13336</f>
        <v>0</v>
      </c>
      <c r="F13005" s="748">
        <f t="shared" si="442"/>
        <v>0</v>
      </c>
      <c r="G13005" s="1205"/>
      <c r="H13005" s="1055"/>
      <c r="I13005" s="1055"/>
      <c r="J13005" s="1055"/>
      <c r="K13005" s="1205"/>
      <c r="L13005" s="1055"/>
      <c r="M13005" s="1205"/>
      <c r="N13005" s="1054"/>
      <c r="O13005" s="1207"/>
      <c r="Q13005" s="1207"/>
    </row>
    <row r="13006" spans="3:17" s="700" customFormat="1" ht="70.5" hidden="1" customHeight="1">
      <c r="C13006" s="701"/>
      <c r="D13006" s="811"/>
      <c r="E13006" s="1276">
        <f>[11]building!Y13337</f>
        <v>0</v>
      </c>
      <c r="F13006" s="748">
        <f t="shared" si="442"/>
        <v>0</v>
      </c>
      <c r="G13006" s="1205"/>
      <c r="H13006" s="1055"/>
      <c r="I13006" s="1055"/>
      <c r="J13006" s="1055"/>
      <c r="K13006" s="1205"/>
      <c r="L13006" s="1055"/>
      <c r="M13006" s="1205"/>
      <c r="N13006" s="1054"/>
      <c r="O13006" s="1207"/>
      <c r="Q13006" s="1207"/>
    </row>
    <row r="13007" spans="3:17" s="700" customFormat="1" ht="70.5" hidden="1" customHeight="1">
      <c r="C13007" s="701"/>
      <c r="D13007" s="811"/>
      <c r="E13007" s="1276">
        <f>[11]building!Y13338</f>
        <v>0</v>
      </c>
      <c r="F13007" s="748">
        <f t="shared" si="442"/>
        <v>0</v>
      </c>
      <c r="G13007" s="1205"/>
      <c r="H13007" s="1055"/>
      <c r="I13007" s="1055"/>
      <c r="J13007" s="1055"/>
      <c r="K13007" s="1205"/>
      <c r="L13007" s="1055"/>
      <c r="M13007" s="1205"/>
      <c r="N13007" s="1054"/>
      <c r="O13007" s="1207"/>
      <c r="Q13007" s="1207"/>
    </row>
    <row r="13008" spans="3:17" s="700" customFormat="1" ht="70.5" hidden="1" customHeight="1">
      <c r="C13008" s="701"/>
      <c r="D13008" s="811"/>
      <c r="E13008" s="1276">
        <f>[11]building!Y13339</f>
        <v>0</v>
      </c>
      <c r="F13008" s="748">
        <f t="shared" si="442"/>
        <v>0</v>
      </c>
      <c r="G13008" s="1205"/>
      <c r="H13008" s="1055"/>
      <c r="I13008" s="1055"/>
      <c r="J13008" s="1055"/>
      <c r="K13008" s="1205"/>
      <c r="L13008" s="1055"/>
      <c r="M13008" s="1205"/>
      <c r="N13008" s="1054"/>
      <c r="O13008" s="1207"/>
      <c r="Q13008" s="1207"/>
    </row>
    <row r="13009" spans="3:17" s="700" customFormat="1" ht="70.5" hidden="1" customHeight="1">
      <c r="C13009" s="701"/>
      <c r="D13009" s="811"/>
      <c r="E13009" s="1276">
        <f>[11]building!Y13340</f>
        <v>0</v>
      </c>
      <c r="F13009" s="748">
        <f t="shared" si="442"/>
        <v>0</v>
      </c>
      <c r="G13009" s="1205"/>
      <c r="H13009" s="1055"/>
      <c r="I13009" s="1055"/>
      <c r="J13009" s="1055"/>
      <c r="K13009" s="1205"/>
      <c r="L13009" s="1055"/>
      <c r="M13009" s="1205"/>
      <c r="N13009" s="1054"/>
      <c r="O13009" s="1207"/>
      <c r="Q13009" s="1207"/>
    </row>
    <row r="13010" spans="3:17" s="700" customFormat="1" ht="70.5" hidden="1" customHeight="1">
      <c r="C13010" s="701"/>
      <c r="D13010" s="811"/>
      <c r="E13010" s="1276">
        <f>[11]building!Y13341</f>
        <v>0</v>
      </c>
      <c r="F13010" s="748">
        <f t="shared" si="442"/>
        <v>0</v>
      </c>
      <c r="G13010" s="1205"/>
      <c r="H13010" s="1055"/>
      <c r="I13010" s="1055"/>
      <c r="J13010" s="1055"/>
      <c r="K13010" s="1205"/>
      <c r="L13010" s="1055"/>
      <c r="M13010" s="1205"/>
      <c r="N13010" s="1054"/>
      <c r="O13010" s="1207"/>
      <c r="Q13010" s="1207"/>
    </row>
    <row r="13011" spans="3:17" s="700" customFormat="1" ht="70.5" hidden="1" customHeight="1">
      <c r="C13011" s="701"/>
      <c r="D13011" s="811"/>
      <c r="E13011" s="1276">
        <f>[11]building!Y13342</f>
        <v>0</v>
      </c>
      <c r="F13011" s="748">
        <f t="shared" si="442"/>
        <v>0</v>
      </c>
      <c r="G13011" s="1205"/>
      <c r="H13011" s="1055"/>
      <c r="I13011" s="1055"/>
      <c r="J13011" s="1055"/>
      <c r="K13011" s="1205"/>
      <c r="L13011" s="1055"/>
      <c r="M13011" s="1205"/>
      <c r="N13011" s="1054"/>
      <c r="O13011" s="1207"/>
      <c r="Q13011" s="1207"/>
    </row>
    <row r="13012" spans="3:17" s="700" customFormat="1" ht="70.5" hidden="1" customHeight="1">
      <c r="C13012" s="701"/>
      <c r="D13012" s="811"/>
      <c r="E13012" s="1276">
        <f>[11]building!Y13343</f>
        <v>0</v>
      </c>
      <c r="F13012" s="748">
        <f t="shared" si="442"/>
        <v>0</v>
      </c>
      <c r="G13012" s="1205"/>
      <c r="H13012" s="1055"/>
      <c r="I13012" s="1055"/>
      <c r="J13012" s="1055"/>
      <c r="K13012" s="1205"/>
      <c r="L13012" s="1055"/>
      <c r="M13012" s="1205"/>
      <c r="N13012" s="1054"/>
      <c r="O13012" s="1207"/>
      <c r="Q13012" s="1207"/>
    </row>
    <row r="13013" spans="3:17" s="700" customFormat="1" ht="70.5" hidden="1" customHeight="1">
      <c r="C13013" s="701"/>
      <c r="D13013" s="811"/>
      <c r="E13013" s="1276">
        <f>[11]building!Y13344</f>
        <v>0</v>
      </c>
      <c r="F13013" s="748">
        <f t="shared" si="442"/>
        <v>0</v>
      </c>
      <c r="G13013" s="1205"/>
      <c r="H13013" s="1055"/>
      <c r="I13013" s="1055"/>
      <c r="J13013" s="1055"/>
      <c r="K13013" s="1205"/>
      <c r="L13013" s="1055"/>
      <c r="M13013" s="1205"/>
      <c r="N13013" s="1054"/>
      <c r="O13013" s="1207"/>
      <c r="Q13013" s="1207"/>
    </row>
    <row r="13014" spans="3:17" s="700" customFormat="1" ht="70.5" hidden="1" customHeight="1">
      <c r="C13014" s="701"/>
      <c r="D13014" s="811"/>
      <c r="E13014" s="1276">
        <f>[11]building!Y13345</f>
        <v>0</v>
      </c>
      <c r="F13014" s="748">
        <f t="shared" si="442"/>
        <v>0</v>
      </c>
      <c r="G13014" s="1205"/>
      <c r="H13014" s="1055"/>
      <c r="I13014" s="1055"/>
      <c r="J13014" s="1055"/>
      <c r="K13014" s="1205"/>
      <c r="L13014" s="1055"/>
      <c r="M13014" s="1205"/>
      <c r="N13014" s="1054"/>
      <c r="O13014" s="1207"/>
      <c r="Q13014" s="1207"/>
    </row>
    <row r="13015" spans="3:17" s="700" customFormat="1" ht="70.5" hidden="1" customHeight="1">
      <c r="C13015" s="701"/>
      <c r="D13015" s="811"/>
      <c r="E13015" s="1276">
        <f>[11]building!Y13346</f>
        <v>0</v>
      </c>
      <c r="F13015" s="748">
        <f t="shared" si="442"/>
        <v>0</v>
      </c>
      <c r="G13015" s="1205"/>
      <c r="H13015" s="1055"/>
      <c r="I13015" s="1055"/>
      <c r="J13015" s="1055"/>
      <c r="K13015" s="1205"/>
      <c r="L13015" s="1055"/>
      <c r="M13015" s="1205"/>
      <c r="N13015" s="1054"/>
      <c r="O13015" s="1207"/>
      <c r="Q13015" s="1207"/>
    </row>
    <row r="13016" spans="3:17" s="700" customFormat="1" ht="70.5" hidden="1" customHeight="1">
      <c r="C13016" s="701"/>
      <c r="D13016" s="811"/>
      <c r="E13016" s="1276">
        <f>[11]building!Y13347</f>
        <v>0</v>
      </c>
      <c r="F13016" s="748">
        <f t="shared" si="442"/>
        <v>0</v>
      </c>
      <c r="G13016" s="1205"/>
      <c r="H13016" s="1055"/>
      <c r="I13016" s="1055"/>
      <c r="J13016" s="1055"/>
      <c r="K13016" s="1205"/>
      <c r="L13016" s="1055"/>
      <c r="M13016" s="1205"/>
      <c r="N13016" s="1054"/>
      <c r="O13016" s="1207"/>
      <c r="Q13016" s="1207"/>
    </row>
    <row r="13017" spans="3:17" s="700" customFormat="1" ht="70.5" hidden="1" customHeight="1">
      <c r="C13017" s="701"/>
      <c r="D13017" s="811"/>
      <c r="E13017" s="1276">
        <f>[11]building!Y13348</f>
        <v>0</v>
      </c>
      <c r="F13017" s="748">
        <f t="shared" si="442"/>
        <v>0</v>
      </c>
      <c r="G13017" s="1205"/>
      <c r="H13017" s="1055"/>
      <c r="I13017" s="1055"/>
      <c r="J13017" s="1055"/>
      <c r="K13017" s="1205"/>
      <c r="L13017" s="1055"/>
      <c r="M13017" s="1205"/>
      <c r="N13017" s="1054"/>
      <c r="O13017" s="1207"/>
      <c r="Q13017" s="1207"/>
    </row>
    <row r="13018" spans="3:17" s="700" customFormat="1" ht="70.5" hidden="1" customHeight="1">
      <c r="C13018" s="701"/>
      <c r="D13018" s="811"/>
      <c r="E13018" s="1276">
        <f>[11]building!Y13349</f>
        <v>0</v>
      </c>
      <c r="F13018" s="748">
        <f t="shared" si="442"/>
        <v>0</v>
      </c>
      <c r="G13018" s="1205"/>
      <c r="H13018" s="1055"/>
      <c r="I13018" s="1055"/>
      <c r="J13018" s="1055"/>
      <c r="K13018" s="1205"/>
      <c r="L13018" s="1055"/>
      <c r="M13018" s="1205"/>
      <c r="N13018" s="1054"/>
      <c r="O13018" s="1207"/>
      <c r="Q13018" s="1207"/>
    </row>
    <row r="13019" spans="3:17" s="700" customFormat="1" ht="70.5" hidden="1" customHeight="1">
      <c r="C13019" s="701"/>
      <c r="D13019" s="811"/>
      <c r="E13019" s="1276">
        <f>[11]building!Y13350</f>
        <v>0</v>
      </c>
      <c r="F13019" s="748">
        <f t="shared" si="442"/>
        <v>0</v>
      </c>
      <c r="G13019" s="1205"/>
      <c r="H13019" s="1055"/>
      <c r="I13019" s="1055"/>
      <c r="J13019" s="1055"/>
      <c r="K13019" s="1205"/>
      <c r="L13019" s="1055"/>
      <c r="M13019" s="1205"/>
      <c r="N13019" s="1054"/>
      <c r="O13019" s="1207"/>
      <c r="Q13019" s="1207"/>
    </row>
    <row r="13020" spans="3:17" s="700" customFormat="1" ht="70.5" hidden="1" customHeight="1">
      <c r="C13020" s="701"/>
      <c r="D13020" s="811"/>
      <c r="E13020" s="1276">
        <f>[11]building!Y13351</f>
        <v>0</v>
      </c>
      <c r="F13020" s="748">
        <f t="shared" si="442"/>
        <v>0</v>
      </c>
      <c r="G13020" s="1205"/>
      <c r="H13020" s="1055"/>
      <c r="I13020" s="1055"/>
      <c r="J13020" s="1055"/>
      <c r="K13020" s="1205"/>
      <c r="L13020" s="1055"/>
      <c r="M13020" s="1205"/>
      <c r="N13020" s="1054"/>
      <c r="O13020" s="1207"/>
      <c r="Q13020" s="1207"/>
    </row>
    <row r="13021" spans="3:17" s="700" customFormat="1" ht="70.5" hidden="1" customHeight="1">
      <c r="C13021" s="701"/>
      <c r="D13021" s="811"/>
      <c r="E13021" s="1276">
        <f>[11]building!Y13352</f>
        <v>0</v>
      </c>
      <c r="F13021" s="748">
        <f t="shared" si="442"/>
        <v>0</v>
      </c>
      <c r="G13021" s="1205"/>
      <c r="H13021" s="1055"/>
      <c r="I13021" s="1055"/>
      <c r="J13021" s="1055"/>
      <c r="K13021" s="1205"/>
      <c r="L13021" s="1055"/>
      <c r="M13021" s="1205"/>
      <c r="N13021" s="1054"/>
      <c r="O13021" s="1207"/>
      <c r="Q13021" s="1207"/>
    </row>
    <row r="13022" spans="3:17" s="700" customFormat="1" ht="70.5" hidden="1" customHeight="1">
      <c r="C13022" s="701"/>
      <c r="D13022" s="811"/>
      <c r="E13022" s="1276">
        <f>[11]building!Y13353</f>
        <v>0</v>
      </c>
      <c r="F13022" s="748">
        <f t="shared" si="442"/>
        <v>0</v>
      </c>
      <c r="G13022" s="1205"/>
      <c r="H13022" s="1055"/>
      <c r="I13022" s="1055"/>
      <c r="J13022" s="1055"/>
      <c r="K13022" s="1205"/>
      <c r="L13022" s="1055"/>
      <c r="M13022" s="1205"/>
      <c r="N13022" s="1054"/>
      <c r="O13022" s="1207"/>
      <c r="Q13022" s="1207"/>
    </row>
    <row r="13023" spans="3:17" s="700" customFormat="1" ht="70.5" hidden="1" customHeight="1">
      <c r="C13023" s="701"/>
      <c r="D13023" s="811"/>
      <c r="E13023" s="1276">
        <f>[11]building!Y13354</f>
        <v>0</v>
      </c>
      <c r="F13023" s="748">
        <f t="shared" si="442"/>
        <v>0</v>
      </c>
      <c r="G13023" s="1205"/>
      <c r="H13023" s="1055"/>
      <c r="I13023" s="1055"/>
      <c r="J13023" s="1055"/>
      <c r="K13023" s="1205"/>
      <c r="L13023" s="1055"/>
      <c r="M13023" s="1205"/>
      <c r="N13023" s="1054"/>
      <c r="O13023" s="1207"/>
      <c r="Q13023" s="1207"/>
    </row>
    <row r="13024" spans="3:17" s="700" customFormat="1" ht="70.5" hidden="1" customHeight="1">
      <c r="C13024" s="701"/>
      <c r="D13024" s="811"/>
      <c r="E13024" s="1276">
        <f>[11]building!Y13355</f>
        <v>0</v>
      </c>
      <c r="F13024" s="748">
        <f t="shared" si="442"/>
        <v>0</v>
      </c>
      <c r="G13024" s="1205"/>
      <c r="H13024" s="1055"/>
      <c r="I13024" s="1055"/>
      <c r="J13024" s="1055"/>
      <c r="K13024" s="1205"/>
      <c r="L13024" s="1055"/>
      <c r="M13024" s="1205"/>
      <c r="N13024" s="1054"/>
      <c r="O13024" s="1207"/>
      <c r="Q13024" s="1207"/>
    </row>
    <row r="13025" spans="3:17" s="700" customFormat="1" ht="70.5" hidden="1" customHeight="1">
      <c r="C13025" s="701"/>
      <c r="D13025" s="811"/>
      <c r="E13025" s="1276">
        <f>[11]building!Y13356</f>
        <v>0</v>
      </c>
      <c r="F13025" s="748">
        <f t="shared" si="442"/>
        <v>0</v>
      </c>
      <c r="G13025" s="1205"/>
      <c r="H13025" s="1055"/>
      <c r="I13025" s="1055"/>
      <c r="J13025" s="1055"/>
      <c r="K13025" s="1205"/>
      <c r="L13025" s="1055"/>
      <c r="M13025" s="1205"/>
      <c r="N13025" s="1054"/>
      <c r="O13025" s="1207"/>
      <c r="Q13025" s="1207"/>
    </row>
    <row r="13026" spans="3:17" s="700" customFormat="1" ht="70.5" hidden="1" customHeight="1">
      <c r="C13026" s="701"/>
      <c r="D13026" s="811"/>
      <c r="E13026" s="1276">
        <f>[11]building!Y13357</f>
        <v>0</v>
      </c>
      <c r="F13026" s="748">
        <f t="shared" si="442"/>
        <v>0</v>
      </c>
      <c r="G13026" s="1205"/>
      <c r="H13026" s="1055"/>
      <c r="I13026" s="1055"/>
      <c r="J13026" s="1055"/>
      <c r="K13026" s="1205"/>
      <c r="L13026" s="1055"/>
      <c r="M13026" s="1205"/>
      <c r="N13026" s="1054"/>
      <c r="O13026" s="1207"/>
      <c r="Q13026" s="1207"/>
    </row>
    <row r="13027" spans="3:17" s="700" customFormat="1" ht="70.5" hidden="1" customHeight="1">
      <c r="C13027" s="701"/>
      <c r="D13027" s="811"/>
      <c r="E13027" s="1276">
        <f>[11]building!Y13358</f>
        <v>0</v>
      </c>
      <c r="F13027" s="748">
        <f t="shared" si="442"/>
        <v>0</v>
      </c>
      <c r="G13027" s="1205"/>
      <c r="H13027" s="1055"/>
      <c r="I13027" s="1055"/>
      <c r="J13027" s="1055"/>
      <c r="K13027" s="1205"/>
      <c r="L13027" s="1055"/>
      <c r="M13027" s="1205"/>
      <c r="N13027" s="1054"/>
      <c r="O13027" s="1207"/>
      <c r="Q13027" s="1207"/>
    </row>
    <row r="13028" spans="3:17" s="700" customFormat="1" ht="70.5" hidden="1" customHeight="1">
      <c r="C13028" s="701"/>
      <c r="D13028" s="811"/>
      <c r="E13028" s="1276">
        <f>[11]building!Y13359</f>
        <v>0</v>
      </c>
      <c r="F13028" s="748">
        <f t="shared" si="442"/>
        <v>0</v>
      </c>
      <c r="G13028" s="1205"/>
      <c r="H13028" s="1055"/>
      <c r="I13028" s="1055"/>
      <c r="J13028" s="1055"/>
      <c r="K13028" s="1205"/>
      <c r="L13028" s="1055"/>
      <c r="M13028" s="1205"/>
      <c r="N13028" s="1054"/>
      <c r="O13028" s="1207"/>
      <c r="Q13028" s="1207"/>
    </row>
    <row r="13029" spans="3:17" s="700" customFormat="1" ht="70.5" hidden="1" customHeight="1">
      <c r="C13029" s="701"/>
      <c r="D13029" s="811"/>
      <c r="E13029" s="1276">
        <f>[11]building!Y13360</f>
        <v>0</v>
      </c>
      <c r="F13029" s="748">
        <f t="shared" si="442"/>
        <v>0</v>
      </c>
      <c r="G13029" s="1205"/>
      <c r="H13029" s="1055"/>
      <c r="I13029" s="1055"/>
      <c r="J13029" s="1055"/>
      <c r="K13029" s="1205"/>
      <c r="L13029" s="1055"/>
      <c r="M13029" s="1205"/>
      <c r="N13029" s="1054"/>
      <c r="O13029" s="1207"/>
      <c r="Q13029" s="1207"/>
    </row>
    <row r="13030" spans="3:17" s="700" customFormat="1" ht="70.5" hidden="1" customHeight="1">
      <c r="C13030" s="701"/>
      <c r="D13030" s="811"/>
      <c r="E13030" s="1276">
        <f>[11]building!Y13361</f>
        <v>0</v>
      </c>
      <c r="F13030" s="748">
        <f t="shared" si="442"/>
        <v>0</v>
      </c>
      <c r="G13030" s="1205"/>
      <c r="H13030" s="1055"/>
      <c r="I13030" s="1055"/>
      <c r="J13030" s="1055"/>
      <c r="K13030" s="1205"/>
      <c r="L13030" s="1055"/>
      <c r="M13030" s="1205"/>
      <c r="N13030" s="1054"/>
      <c r="O13030" s="1207"/>
      <c r="Q13030" s="1207"/>
    </row>
    <row r="13031" spans="3:17" s="700" customFormat="1" ht="70.5" hidden="1" customHeight="1">
      <c r="C13031" s="701"/>
      <c r="D13031" s="811"/>
      <c r="E13031" s="1276">
        <f>[11]building!Y13362</f>
        <v>0</v>
      </c>
      <c r="F13031" s="748">
        <f t="shared" si="442"/>
        <v>0</v>
      </c>
      <c r="G13031" s="1205"/>
      <c r="H13031" s="1055"/>
      <c r="I13031" s="1055"/>
      <c r="J13031" s="1055"/>
      <c r="K13031" s="1205"/>
      <c r="L13031" s="1055"/>
      <c r="M13031" s="1205"/>
      <c r="N13031" s="1054"/>
      <c r="O13031" s="1207"/>
      <c r="Q13031" s="1207"/>
    </row>
    <row r="13032" spans="3:17" s="700" customFormat="1" ht="70.5" hidden="1" customHeight="1">
      <c r="C13032" s="701"/>
      <c r="D13032" s="811"/>
      <c r="E13032" s="1276">
        <f>[11]building!Y13363</f>
        <v>0</v>
      </c>
      <c r="F13032" s="748">
        <f t="shared" si="442"/>
        <v>0</v>
      </c>
      <c r="G13032" s="1205"/>
      <c r="H13032" s="1055"/>
      <c r="I13032" s="1055"/>
      <c r="J13032" s="1055"/>
      <c r="K13032" s="1205"/>
      <c r="L13032" s="1055"/>
      <c r="M13032" s="1205"/>
      <c r="N13032" s="1054"/>
      <c r="O13032" s="1207"/>
      <c r="Q13032" s="1207"/>
    </row>
    <row r="13033" spans="3:17" s="700" customFormat="1" ht="70.5" hidden="1" customHeight="1">
      <c r="C13033" s="701"/>
      <c r="D13033" s="811"/>
      <c r="E13033" s="1276">
        <f>[11]building!Y13364</f>
        <v>0</v>
      </c>
      <c r="F13033" s="748">
        <f t="shared" si="442"/>
        <v>0</v>
      </c>
      <c r="G13033" s="1205"/>
      <c r="H13033" s="1055"/>
      <c r="I13033" s="1055"/>
      <c r="J13033" s="1055"/>
      <c r="K13033" s="1205"/>
      <c r="L13033" s="1055"/>
      <c r="M13033" s="1205"/>
      <c r="N13033" s="1054"/>
      <c r="O13033" s="1207"/>
      <c r="Q13033" s="1207"/>
    </row>
    <row r="13034" spans="3:17" s="700" customFormat="1" ht="70.5" hidden="1" customHeight="1">
      <c r="C13034" s="701"/>
      <c r="D13034" s="811"/>
      <c r="E13034" s="1276">
        <f>[11]building!Y13365</f>
        <v>0</v>
      </c>
      <c r="F13034" s="748">
        <f t="shared" si="442"/>
        <v>0</v>
      </c>
      <c r="G13034" s="1205"/>
      <c r="H13034" s="1055"/>
      <c r="I13034" s="1055"/>
      <c r="J13034" s="1055"/>
      <c r="K13034" s="1205"/>
      <c r="L13034" s="1055"/>
      <c r="M13034" s="1205"/>
      <c r="N13034" s="1054"/>
      <c r="O13034" s="1207"/>
      <c r="Q13034" s="1207"/>
    </row>
    <row r="13035" spans="3:17" s="700" customFormat="1" ht="70.5" hidden="1" customHeight="1">
      <c r="C13035" s="701"/>
      <c r="D13035" s="811"/>
      <c r="E13035" s="1276">
        <f>[11]building!Y13366</f>
        <v>0</v>
      </c>
      <c r="F13035" s="748">
        <f t="shared" si="442"/>
        <v>0</v>
      </c>
      <c r="G13035" s="1205"/>
      <c r="H13035" s="1055"/>
      <c r="I13035" s="1055"/>
      <c r="J13035" s="1055"/>
      <c r="K13035" s="1205"/>
      <c r="L13035" s="1055"/>
      <c r="M13035" s="1205"/>
      <c r="N13035" s="1054"/>
      <c r="O13035" s="1207"/>
      <c r="Q13035" s="1207"/>
    </row>
    <row r="13036" spans="3:17" s="700" customFormat="1" ht="70.5" hidden="1" customHeight="1">
      <c r="C13036" s="701"/>
      <c r="D13036" s="811"/>
      <c r="E13036" s="1276">
        <f>[11]building!Y13367</f>
        <v>0</v>
      </c>
      <c r="F13036" s="748">
        <f t="shared" si="442"/>
        <v>0</v>
      </c>
      <c r="G13036" s="1205"/>
      <c r="H13036" s="1055"/>
      <c r="I13036" s="1055"/>
      <c r="J13036" s="1055"/>
      <c r="K13036" s="1205"/>
      <c r="L13036" s="1055"/>
      <c r="M13036" s="1205"/>
      <c r="N13036" s="1054"/>
      <c r="O13036" s="1207"/>
      <c r="Q13036" s="1207"/>
    </row>
    <row r="13037" spans="3:17" s="700" customFormat="1" ht="70.5" hidden="1" customHeight="1">
      <c r="C13037" s="701"/>
      <c r="D13037" s="811"/>
      <c r="E13037" s="1276">
        <f>[11]building!Y13368</f>
        <v>0</v>
      </c>
      <c r="F13037" s="748">
        <f t="shared" si="442"/>
        <v>0</v>
      </c>
      <c r="G13037" s="1205"/>
      <c r="H13037" s="1055"/>
      <c r="I13037" s="1055"/>
      <c r="J13037" s="1055"/>
      <c r="K13037" s="1205"/>
      <c r="L13037" s="1055"/>
      <c r="M13037" s="1205"/>
      <c r="N13037" s="1054"/>
      <c r="O13037" s="1207"/>
      <c r="Q13037" s="1207"/>
    </row>
    <row r="13038" spans="3:17" s="700" customFormat="1" ht="70.5" hidden="1" customHeight="1">
      <c r="C13038" s="701"/>
      <c r="D13038" s="811"/>
      <c r="E13038" s="1276">
        <f>[11]building!Y13369</f>
        <v>0</v>
      </c>
      <c r="F13038" s="748">
        <f t="shared" si="442"/>
        <v>0</v>
      </c>
      <c r="G13038" s="1205"/>
      <c r="H13038" s="1055"/>
      <c r="I13038" s="1055"/>
      <c r="J13038" s="1055"/>
      <c r="K13038" s="1205"/>
      <c r="L13038" s="1055"/>
      <c r="M13038" s="1205"/>
      <c r="N13038" s="1054"/>
      <c r="O13038" s="1207"/>
      <c r="Q13038" s="1207"/>
    </row>
    <row r="13039" spans="3:17" s="700" customFormat="1" ht="70.5" hidden="1" customHeight="1">
      <c r="C13039" s="701"/>
      <c r="D13039" s="811"/>
      <c r="E13039" s="1276">
        <f>[11]building!Y13370</f>
        <v>0</v>
      </c>
      <c r="F13039" s="748">
        <f t="shared" si="442"/>
        <v>0</v>
      </c>
      <c r="G13039" s="1205"/>
      <c r="H13039" s="1055"/>
      <c r="I13039" s="1055"/>
      <c r="J13039" s="1055"/>
      <c r="K13039" s="1205"/>
      <c r="L13039" s="1055"/>
      <c r="M13039" s="1205"/>
      <c r="N13039" s="1054"/>
      <c r="O13039" s="1207"/>
      <c r="Q13039" s="1207"/>
    </row>
    <row r="13040" spans="3:17" s="700" customFormat="1" ht="70.5" hidden="1" customHeight="1">
      <c r="C13040" s="701"/>
      <c r="D13040" s="811"/>
      <c r="E13040" s="1276">
        <f>[11]building!Y13371</f>
        <v>0</v>
      </c>
      <c r="F13040" s="748">
        <f t="shared" si="442"/>
        <v>0</v>
      </c>
      <c r="G13040" s="1205"/>
      <c r="H13040" s="1055"/>
      <c r="I13040" s="1055"/>
      <c r="J13040" s="1055"/>
      <c r="K13040" s="1205"/>
      <c r="L13040" s="1055"/>
      <c r="M13040" s="1205"/>
      <c r="N13040" s="1054"/>
      <c r="O13040" s="1207"/>
      <c r="Q13040" s="1207"/>
    </row>
    <row r="13041" spans="3:17" s="700" customFormat="1" ht="70.5" hidden="1" customHeight="1">
      <c r="C13041" s="701"/>
      <c r="D13041" s="811"/>
      <c r="E13041" s="1276">
        <f>[11]building!Y13372</f>
        <v>0</v>
      </c>
      <c r="F13041" s="748">
        <f t="shared" si="442"/>
        <v>0</v>
      </c>
      <c r="G13041" s="1205"/>
      <c r="H13041" s="1055"/>
      <c r="I13041" s="1055"/>
      <c r="J13041" s="1055"/>
      <c r="K13041" s="1205"/>
      <c r="L13041" s="1055"/>
      <c r="M13041" s="1205"/>
      <c r="N13041" s="1054"/>
      <c r="O13041" s="1207"/>
      <c r="Q13041" s="1207"/>
    </row>
    <row r="13042" spans="3:17" s="700" customFormat="1" ht="70.5" hidden="1" customHeight="1">
      <c r="C13042" s="701"/>
      <c r="D13042" s="811"/>
      <c r="E13042" s="1276">
        <f>[11]building!Y13373</f>
        <v>0</v>
      </c>
      <c r="F13042" s="748">
        <f t="shared" si="442"/>
        <v>0</v>
      </c>
      <c r="G13042" s="1205"/>
      <c r="H13042" s="1055"/>
      <c r="I13042" s="1055"/>
      <c r="J13042" s="1055"/>
      <c r="K13042" s="1205"/>
      <c r="L13042" s="1055"/>
      <c r="M13042" s="1205"/>
      <c r="N13042" s="1054"/>
      <c r="O13042" s="1207"/>
      <c r="Q13042" s="1207"/>
    </row>
    <row r="13043" spans="3:17" s="700" customFormat="1" ht="70.5" hidden="1" customHeight="1">
      <c r="C13043" s="701"/>
      <c r="D13043" s="811"/>
      <c r="E13043" s="1276">
        <f>[11]building!Y13374</f>
        <v>0</v>
      </c>
      <c r="F13043" s="748">
        <f t="shared" si="442"/>
        <v>0</v>
      </c>
      <c r="G13043" s="1205"/>
      <c r="H13043" s="1055"/>
      <c r="I13043" s="1055"/>
      <c r="J13043" s="1055"/>
      <c r="K13043" s="1205"/>
      <c r="L13043" s="1055"/>
      <c r="M13043" s="1205"/>
      <c r="N13043" s="1054"/>
      <c r="O13043" s="1207"/>
      <c r="Q13043" s="1207"/>
    </row>
    <row r="13044" spans="3:17" s="700" customFormat="1" ht="70.5" hidden="1" customHeight="1">
      <c r="C13044" s="701"/>
      <c r="D13044" s="811"/>
      <c r="E13044" s="1276">
        <f>[11]building!Y13375</f>
        <v>0</v>
      </c>
      <c r="F13044" s="748">
        <f t="shared" si="442"/>
        <v>0</v>
      </c>
      <c r="G13044" s="1205"/>
      <c r="H13044" s="1055"/>
      <c r="I13044" s="1055"/>
      <c r="J13044" s="1055"/>
      <c r="K13044" s="1205"/>
      <c r="L13044" s="1055"/>
      <c r="M13044" s="1205"/>
      <c r="N13044" s="1054"/>
      <c r="O13044" s="1207"/>
      <c r="Q13044" s="1207"/>
    </row>
    <row r="13045" spans="3:17" s="700" customFormat="1" ht="70.5" hidden="1" customHeight="1">
      <c r="C13045" s="701"/>
      <c r="D13045" s="811"/>
      <c r="E13045" s="1276">
        <f>[11]building!Y13376</f>
        <v>0</v>
      </c>
      <c r="F13045" s="748">
        <f t="shared" si="442"/>
        <v>0</v>
      </c>
      <c r="G13045" s="1205"/>
      <c r="H13045" s="1055"/>
      <c r="I13045" s="1055"/>
      <c r="J13045" s="1055"/>
      <c r="K13045" s="1205"/>
      <c r="L13045" s="1055"/>
      <c r="M13045" s="1205"/>
      <c r="N13045" s="1054"/>
      <c r="O13045" s="1207"/>
      <c r="Q13045" s="1207"/>
    </row>
    <row r="13046" spans="3:17" s="700" customFormat="1" ht="70.5" hidden="1" customHeight="1">
      <c r="C13046" s="701"/>
      <c r="D13046" s="811"/>
      <c r="E13046" s="1276">
        <f>[11]building!Y13377</f>
        <v>0</v>
      </c>
      <c r="F13046" s="748">
        <f t="shared" si="442"/>
        <v>0</v>
      </c>
      <c r="G13046" s="1205"/>
      <c r="H13046" s="1055"/>
      <c r="I13046" s="1055"/>
      <c r="J13046" s="1055"/>
      <c r="K13046" s="1205"/>
      <c r="L13046" s="1055"/>
      <c r="M13046" s="1205"/>
      <c r="N13046" s="1054"/>
      <c r="O13046" s="1207"/>
      <c r="Q13046" s="1207"/>
    </row>
    <row r="13047" spans="3:17" s="700" customFormat="1" ht="70.5" hidden="1" customHeight="1">
      <c r="C13047" s="701"/>
      <c r="D13047" s="811"/>
      <c r="E13047" s="1276">
        <f>[11]building!Y13378</f>
        <v>0</v>
      </c>
      <c r="F13047" s="748">
        <f t="shared" si="442"/>
        <v>0</v>
      </c>
      <c r="G13047" s="1205"/>
      <c r="H13047" s="1055"/>
      <c r="I13047" s="1055"/>
      <c r="J13047" s="1055"/>
      <c r="K13047" s="1205"/>
      <c r="L13047" s="1055"/>
      <c r="M13047" s="1205"/>
      <c r="N13047" s="1054"/>
      <c r="O13047" s="1207"/>
      <c r="Q13047" s="1207"/>
    </row>
    <row r="13048" spans="3:17" s="700" customFormat="1" ht="70.5" hidden="1" customHeight="1">
      <c r="C13048" s="701"/>
      <c r="D13048" s="811"/>
      <c r="E13048" s="1276">
        <f>[11]building!Y13379</f>
        <v>0</v>
      </c>
      <c r="F13048" s="748">
        <f t="shared" si="442"/>
        <v>0</v>
      </c>
      <c r="G13048" s="1205"/>
      <c r="H13048" s="1055"/>
      <c r="I13048" s="1055"/>
      <c r="J13048" s="1055"/>
      <c r="K13048" s="1205"/>
      <c r="L13048" s="1055"/>
      <c r="M13048" s="1205"/>
      <c r="N13048" s="1054"/>
      <c r="O13048" s="1207"/>
      <c r="Q13048" s="1207"/>
    </row>
    <row r="13049" spans="3:17" s="700" customFormat="1" ht="70.5" hidden="1" customHeight="1">
      <c r="C13049" s="701"/>
      <c r="D13049" s="811"/>
      <c r="E13049" s="1276">
        <f>[11]building!Y13380</f>
        <v>0</v>
      </c>
      <c r="F13049" s="748">
        <f t="shared" si="442"/>
        <v>0</v>
      </c>
      <c r="G13049" s="1205"/>
      <c r="H13049" s="1055"/>
      <c r="I13049" s="1055"/>
      <c r="J13049" s="1055"/>
      <c r="K13049" s="1205"/>
      <c r="L13049" s="1055"/>
      <c r="M13049" s="1205"/>
      <c r="N13049" s="1054"/>
      <c r="O13049" s="1207"/>
      <c r="Q13049" s="1207"/>
    </row>
    <row r="13050" spans="3:17" s="700" customFormat="1" ht="70.5" hidden="1" customHeight="1">
      <c r="C13050" s="701"/>
      <c r="D13050" s="811"/>
      <c r="E13050" s="1276">
        <f>[11]building!Y13381</f>
        <v>0</v>
      </c>
      <c r="F13050" s="748">
        <f t="shared" si="442"/>
        <v>0</v>
      </c>
      <c r="G13050" s="1205"/>
      <c r="H13050" s="1055"/>
      <c r="I13050" s="1055"/>
      <c r="J13050" s="1055"/>
      <c r="K13050" s="1205"/>
      <c r="L13050" s="1055"/>
      <c r="M13050" s="1205"/>
      <c r="N13050" s="1054"/>
      <c r="O13050" s="1207"/>
      <c r="Q13050" s="1207"/>
    </row>
    <row r="13051" spans="3:17" s="700" customFormat="1" ht="70.5" hidden="1" customHeight="1">
      <c r="C13051" s="701"/>
      <c r="D13051" s="811"/>
      <c r="E13051" s="1276">
        <f>[11]building!Y13382</f>
        <v>0</v>
      </c>
      <c r="F13051" s="748">
        <f t="shared" si="442"/>
        <v>0</v>
      </c>
      <c r="G13051" s="1205"/>
      <c r="H13051" s="1055"/>
      <c r="I13051" s="1055"/>
      <c r="J13051" s="1055"/>
      <c r="K13051" s="1205"/>
      <c r="L13051" s="1055"/>
      <c r="M13051" s="1205"/>
      <c r="N13051" s="1054"/>
      <c r="O13051" s="1207"/>
      <c r="Q13051" s="1207"/>
    </row>
    <row r="13052" spans="3:17" s="700" customFormat="1" ht="70.5" hidden="1" customHeight="1">
      <c r="C13052" s="701"/>
      <c r="D13052" s="811"/>
      <c r="E13052" s="1276">
        <f>[11]building!Y13383</f>
        <v>0</v>
      </c>
      <c r="F13052" s="748">
        <f t="shared" si="442"/>
        <v>0</v>
      </c>
      <c r="G13052" s="1205"/>
      <c r="H13052" s="1055"/>
      <c r="I13052" s="1055"/>
      <c r="J13052" s="1055"/>
      <c r="K13052" s="1205"/>
      <c r="L13052" s="1055"/>
      <c r="M13052" s="1205"/>
      <c r="N13052" s="1054"/>
      <c r="O13052" s="1207"/>
      <c r="Q13052" s="1207"/>
    </row>
    <row r="13053" spans="3:17" s="700" customFormat="1" ht="70.5" hidden="1" customHeight="1">
      <c r="C13053" s="701"/>
      <c r="D13053" s="811"/>
      <c r="E13053" s="1276">
        <f>[11]building!Y13384</f>
        <v>0</v>
      </c>
      <c r="F13053" s="748">
        <f t="shared" si="442"/>
        <v>0</v>
      </c>
      <c r="G13053" s="1205"/>
      <c r="H13053" s="1055"/>
      <c r="I13053" s="1055"/>
      <c r="J13053" s="1055"/>
      <c r="K13053" s="1205"/>
      <c r="L13053" s="1055"/>
      <c r="M13053" s="1205"/>
      <c r="N13053" s="1054"/>
      <c r="O13053" s="1207"/>
      <c r="Q13053" s="1207"/>
    </row>
    <row r="13054" spans="3:17" s="700" customFormat="1" ht="70.5" hidden="1" customHeight="1">
      <c r="C13054" s="701"/>
      <c r="D13054" s="811"/>
      <c r="E13054" s="1276">
        <f>[11]building!Y13385</f>
        <v>0</v>
      </c>
      <c r="F13054" s="748">
        <f t="shared" si="442"/>
        <v>0</v>
      </c>
      <c r="G13054" s="1205"/>
      <c r="H13054" s="1055"/>
      <c r="I13054" s="1055"/>
      <c r="J13054" s="1055"/>
      <c r="K13054" s="1205"/>
      <c r="L13054" s="1055"/>
      <c r="M13054" s="1205"/>
      <c r="N13054" s="1054"/>
      <c r="O13054" s="1207"/>
      <c r="Q13054" s="1207"/>
    </row>
    <row r="13055" spans="3:17" s="700" customFormat="1" ht="70.5" hidden="1" customHeight="1">
      <c r="C13055" s="701"/>
      <c r="D13055" s="811"/>
      <c r="E13055" s="1276">
        <f>[11]building!Y13386</f>
        <v>0</v>
      </c>
      <c r="F13055" s="748">
        <f t="shared" si="442"/>
        <v>0</v>
      </c>
      <c r="G13055" s="1205"/>
      <c r="H13055" s="1055"/>
      <c r="I13055" s="1055"/>
      <c r="J13055" s="1055"/>
      <c r="K13055" s="1205"/>
      <c r="L13055" s="1055"/>
      <c r="M13055" s="1205"/>
      <c r="N13055" s="1054"/>
      <c r="O13055" s="1207"/>
      <c r="Q13055" s="1207"/>
    </row>
    <row r="13056" spans="3:17" s="700" customFormat="1" ht="70.5" hidden="1" customHeight="1">
      <c r="C13056" s="701"/>
      <c r="D13056" s="811"/>
      <c r="E13056" s="1276">
        <f>[11]building!Y13387</f>
        <v>0</v>
      </c>
      <c r="F13056" s="748">
        <f t="shared" ref="F13056:F13119" si="443">E13056*C13056</f>
        <v>0</v>
      </c>
      <c r="G13056" s="1205"/>
      <c r="H13056" s="1055"/>
      <c r="I13056" s="1055"/>
      <c r="J13056" s="1055"/>
      <c r="K13056" s="1205"/>
      <c r="L13056" s="1055"/>
      <c r="M13056" s="1205"/>
      <c r="N13056" s="1054"/>
      <c r="O13056" s="1207"/>
      <c r="Q13056" s="1207"/>
    </row>
    <row r="13057" spans="3:17" s="700" customFormat="1" ht="70.5" hidden="1" customHeight="1">
      <c r="C13057" s="701"/>
      <c r="D13057" s="811"/>
      <c r="E13057" s="1276">
        <f>[11]building!Y13388</f>
        <v>0</v>
      </c>
      <c r="F13057" s="748">
        <f t="shared" si="443"/>
        <v>0</v>
      </c>
      <c r="G13057" s="1205"/>
      <c r="H13057" s="1055"/>
      <c r="I13057" s="1055"/>
      <c r="J13057" s="1055"/>
      <c r="K13057" s="1205"/>
      <c r="L13057" s="1055"/>
      <c r="M13057" s="1205"/>
      <c r="N13057" s="1054"/>
      <c r="O13057" s="1207"/>
      <c r="Q13057" s="1207"/>
    </row>
    <row r="13058" spans="3:17" s="700" customFormat="1" ht="70.5" hidden="1" customHeight="1">
      <c r="C13058" s="701"/>
      <c r="D13058" s="811"/>
      <c r="E13058" s="1276">
        <f>[11]building!Y13389</f>
        <v>0</v>
      </c>
      <c r="F13058" s="748">
        <f t="shared" si="443"/>
        <v>0</v>
      </c>
      <c r="G13058" s="1205"/>
      <c r="H13058" s="1055"/>
      <c r="I13058" s="1055"/>
      <c r="J13058" s="1055"/>
      <c r="K13058" s="1205"/>
      <c r="L13058" s="1055"/>
      <c r="M13058" s="1205"/>
      <c r="N13058" s="1054"/>
      <c r="O13058" s="1207"/>
      <c r="Q13058" s="1207"/>
    </row>
    <row r="13059" spans="3:17" s="700" customFormat="1" ht="70.5" hidden="1" customHeight="1">
      <c r="C13059" s="701"/>
      <c r="D13059" s="811"/>
      <c r="E13059" s="1276">
        <f>[11]building!Y13390</f>
        <v>0</v>
      </c>
      <c r="F13059" s="748">
        <f t="shared" si="443"/>
        <v>0</v>
      </c>
      <c r="G13059" s="1205"/>
      <c r="H13059" s="1055"/>
      <c r="I13059" s="1055"/>
      <c r="J13059" s="1055"/>
      <c r="K13059" s="1205"/>
      <c r="L13059" s="1055"/>
      <c r="M13059" s="1205"/>
      <c r="N13059" s="1054"/>
      <c r="O13059" s="1207"/>
      <c r="Q13059" s="1207"/>
    </row>
    <row r="13060" spans="3:17" s="700" customFormat="1" ht="70.5" hidden="1" customHeight="1">
      <c r="C13060" s="701"/>
      <c r="D13060" s="811"/>
      <c r="E13060" s="1276">
        <f>[11]building!Y13391</f>
        <v>0</v>
      </c>
      <c r="F13060" s="748">
        <f t="shared" si="443"/>
        <v>0</v>
      </c>
      <c r="G13060" s="1205"/>
      <c r="H13060" s="1055"/>
      <c r="I13060" s="1055"/>
      <c r="J13060" s="1055"/>
      <c r="K13060" s="1205"/>
      <c r="L13060" s="1055"/>
      <c r="M13060" s="1205"/>
      <c r="N13060" s="1054"/>
      <c r="O13060" s="1207"/>
      <c r="Q13060" s="1207"/>
    </row>
    <row r="13061" spans="3:17" s="700" customFormat="1" ht="70.5" hidden="1" customHeight="1">
      <c r="C13061" s="701"/>
      <c r="D13061" s="811"/>
      <c r="E13061" s="1276">
        <f>[11]building!Y13392</f>
        <v>0</v>
      </c>
      <c r="F13061" s="748">
        <f t="shared" si="443"/>
        <v>0</v>
      </c>
      <c r="G13061" s="1205"/>
      <c r="H13061" s="1055"/>
      <c r="I13061" s="1055"/>
      <c r="J13061" s="1055"/>
      <c r="K13061" s="1205"/>
      <c r="L13061" s="1055"/>
      <c r="M13061" s="1205"/>
      <c r="N13061" s="1054"/>
      <c r="O13061" s="1207"/>
      <c r="Q13061" s="1207"/>
    </row>
    <row r="13062" spans="3:17" s="700" customFormat="1" ht="70.5" hidden="1" customHeight="1">
      <c r="C13062" s="701"/>
      <c r="D13062" s="811"/>
      <c r="E13062" s="1276">
        <f>[11]building!Y13393</f>
        <v>0</v>
      </c>
      <c r="F13062" s="748">
        <f t="shared" si="443"/>
        <v>0</v>
      </c>
      <c r="G13062" s="1205"/>
      <c r="H13062" s="1055"/>
      <c r="I13062" s="1055"/>
      <c r="J13062" s="1055"/>
      <c r="K13062" s="1205"/>
      <c r="L13062" s="1055"/>
      <c r="M13062" s="1205"/>
      <c r="N13062" s="1054"/>
      <c r="O13062" s="1207"/>
      <c r="Q13062" s="1207"/>
    </row>
    <row r="13063" spans="3:17" s="700" customFormat="1" ht="70.5" hidden="1" customHeight="1">
      <c r="C13063" s="701"/>
      <c r="D13063" s="811"/>
      <c r="E13063" s="1276">
        <f>[11]building!Y13394</f>
        <v>0</v>
      </c>
      <c r="F13063" s="748">
        <f t="shared" si="443"/>
        <v>0</v>
      </c>
      <c r="G13063" s="1205"/>
      <c r="H13063" s="1055"/>
      <c r="I13063" s="1055"/>
      <c r="J13063" s="1055"/>
      <c r="K13063" s="1205"/>
      <c r="L13063" s="1055"/>
      <c r="M13063" s="1205"/>
      <c r="N13063" s="1054"/>
      <c r="O13063" s="1207"/>
      <c r="Q13063" s="1207"/>
    </row>
    <row r="13064" spans="3:17" s="700" customFormat="1" ht="70.5" hidden="1" customHeight="1">
      <c r="C13064" s="701"/>
      <c r="D13064" s="811"/>
      <c r="E13064" s="1276">
        <f>[11]building!Y13395</f>
        <v>0</v>
      </c>
      <c r="F13064" s="748">
        <f t="shared" si="443"/>
        <v>0</v>
      </c>
      <c r="G13064" s="1205"/>
      <c r="H13064" s="1055"/>
      <c r="I13064" s="1055"/>
      <c r="J13064" s="1055"/>
      <c r="K13064" s="1205"/>
      <c r="L13064" s="1055"/>
      <c r="M13064" s="1205"/>
      <c r="N13064" s="1054"/>
      <c r="O13064" s="1207"/>
      <c r="Q13064" s="1207"/>
    </row>
    <row r="13065" spans="3:17" s="700" customFormat="1" ht="70.5" hidden="1" customHeight="1">
      <c r="C13065" s="701"/>
      <c r="D13065" s="811"/>
      <c r="E13065" s="1276">
        <f>[11]building!Y13396</f>
        <v>0</v>
      </c>
      <c r="F13065" s="748">
        <f t="shared" si="443"/>
        <v>0</v>
      </c>
      <c r="G13065" s="1205"/>
      <c r="H13065" s="1055"/>
      <c r="I13065" s="1055"/>
      <c r="J13065" s="1055"/>
      <c r="K13065" s="1205"/>
      <c r="L13065" s="1055"/>
      <c r="M13065" s="1205"/>
      <c r="N13065" s="1054"/>
      <c r="O13065" s="1207"/>
      <c r="Q13065" s="1207"/>
    </row>
    <row r="13066" spans="3:17" s="700" customFormat="1" ht="70.5" hidden="1" customHeight="1">
      <c r="C13066" s="701"/>
      <c r="D13066" s="811"/>
      <c r="E13066" s="1276">
        <f>[11]building!Y13397</f>
        <v>0</v>
      </c>
      <c r="F13066" s="748">
        <f t="shared" si="443"/>
        <v>0</v>
      </c>
      <c r="G13066" s="1205"/>
      <c r="H13066" s="1055"/>
      <c r="I13066" s="1055"/>
      <c r="J13066" s="1055"/>
      <c r="K13066" s="1205"/>
      <c r="L13066" s="1055"/>
      <c r="M13066" s="1205"/>
      <c r="N13066" s="1054"/>
      <c r="O13066" s="1207"/>
      <c r="Q13066" s="1207"/>
    </row>
    <row r="13067" spans="3:17" s="700" customFormat="1" ht="70.5" hidden="1" customHeight="1">
      <c r="C13067" s="701"/>
      <c r="D13067" s="811"/>
      <c r="E13067" s="1276">
        <f>[11]building!Y13398</f>
        <v>0</v>
      </c>
      <c r="F13067" s="748">
        <f t="shared" si="443"/>
        <v>0</v>
      </c>
      <c r="G13067" s="1205"/>
      <c r="H13067" s="1055"/>
      <c r="I13067" s="1055"/>
      <c r="J13067" s="1055"/>
      <c r="K13067" s="1205"/>
      <c r="L13067" s="1055"/>
      <c r="M13067" s="1205"/>
      <c r="N13067" s="1054"/>
      <c r="O13067" s="1207"/>
      <c r="Q13067" s="1207"/>
    </row>
    <row r="13068" spans="3:17" s="700" customFormat="1" ht="70.5" hidden="1" customHeight="1">
      <c r="C13068" s="701"/>
      <c r="D13068" s="811"/>
      <c r="E13068" s="1276">
        <f>[11]building!Y13399</f>
        <v>0</v>
      </c>
      <c r="F13068" s="748">
        <f t="shared" si="443"/>
        <v>0</v>
      </c>
      <c r="G13068" s="1205"/>
      <c r="H13068" s="1055"/>
      <c r="I13068" s="1055"/>
      <c r="J13068" s="1055"/>
      <c r="K13068" s="1205"/>
      <c r="L13068" s="1055"/>
      <c r="M13068" s="1205"/>
      <c r="N13068" s="1054"/>
      <c r="O13068" s="1207"/>
      <c r="Q13068" s="1207"/>
    </row>
    <row r="13069" spans="3:17" s="700" customFormat="1" ht="70.5" hidden="1" customHeight="1">
      <c r="C13069" s="701"/>
      <c r="D13069" s="811"/>
      <c r="E13069" s="1276">
        <f>[11]building!Y13400</f>
        <v>0</v>
      </c>
      <c r="F13069" s="748">
        <f t="shared" si="443"/>
        <v>0</v>
      </c>
      <c r="G13069" s="1205"/>
      <c r="H13069" s="1055"/>
      <c r="I13069" s="1055"/>
      <c r="J13069" s="1055"/>
      <c r="K13069" s="1205"/>
      <c r="L13069" s="1055"/>
      <c r="M13069" s="1205"/>
      <c r="N13069" s="1054"/>
      <c r="O13069" s="1207"/>
      <c r="Q13069" s="1207"/>
    </row>
    <row r="13070" spans="3:17" s="700" customFormat="1" ht="70.5" hidden="1" customHeight="1">
      <c r="C13070" s="701"/>
      <c r="D13070" s="811"/>
      <c r="E13070" s="1276">
        <f>[11]building!Y13401</f>
        <v>0</v>
      </c>
      <c r="F13070" s="748">
        <f t="shared" si="443"/>
        <v>0</v>
      </c>
      <c r="G13070" s="1205"/>
      <c r="H13070" s="1055"/>
      <c r="I13070" s="1055"/>
      <c r="J13070" s="1055"/>
      <c r="K13070" s="1205"/>
      <c r="L13070" s="1055"/>
      <c r="M13070" s="1205"/>
      <c r="N13070" s="1054"/>
      <c r="O13070" s="1207"/>
      <c r="Q13070" s="1207"/>
    </row>
    <row r="13071" spans="3:17" s="700" customFormat="1" ht="70.5" hidden="1" customHeight="1">
      <c r="C13071" s="701"/>
      <c r="D13071" s="811"/>
      <c r="E13071" s="1276">
        <f>[11]building!Y13402</f>
        <v>0</v>
      </c>
      <c r="F13071" s="748">
        <f t="shared" si="443"/>
        <v>0</v>
      </c>
      <c r="G13071" s="1205"/>
      <c r="H13071" s="1055"/>
      <c r="I13071" s="1055"/>
      <c r="J13071" s="1055"/>
      <c r="K13071" s="1205"/>
      <c r="L13071" s="1055"/>
      <c r="M13071" s="1205"/>
      <c r="N13071" s="1054"/>
      <c r="O13071" s="1207"/>
      <c r="Q13071" s="1207"/>
    </row>
    <row r="13072" spans="3:17" s="700" customFormat="1" ht="70.5" hidden="1" customHeight="1">
      <c r="C13072" s="701"/>
      <c r="D13072" s="811"/>
      <c r="E13072" s="1276">
        <f>[11]building!Y13403</f>
        <v>0</v>
      </c>
      <c r="F13072" s="748">
        <f t="shared" si="443"/>
        <v>0</v>
      </c>
      <c r="G13072" s="1205"/>
      <c r="H13072" s="1055"/>
      <c r="I13072" s="1055"/>
      <c r="J13072" s="1055"/>
      <c r="K13072" s="1205"/>
      <c r="L13072" s="1055"/>
      <c r="M13072" s="1205"/>
      <c r="N13072" s="1054"/>
      <c r="O13072" s="1207"/>
      <c r="Q13072" s="1207"/>
    </row>
    <row r="13073" spans="3:17" s="700" customFormat="1" ht="70.5" hidden="1" customHeight="1">
      <c r="C13073" s="701"/>
      <c r="D13073" s="811"/>
      <c r="E13073" s="1276">
        <f>[11]building!Y13404</f>
        <v>0</v>
      </c>
      <c r="F13073" s="748">
        <f t="shared" si="443"/>
        <v>0</v>
      </c>
      <c r="G13073" s="1205"/>
      <c r="H13073" s="1055"/>
      <c r="I13073" s="1055"/>
      <c r="J13073" s="1055"/>
      <c r="K13073" s="1205"/>
      <c r="L13073" s="1055"/>
      <c r="M13073" s="1205"/>
      <c r="N13073" s="1054"/>
      <c r="O13073" s="1207"/>
      <c r="Q13073" s="1207"/>
    </row>
    <row r="13074" spans="3:17" s="700" customFormat="1" ht="70.5" hidden="1" customHeight="1">
      <c r="C13074" s="701"/>
      <c r="D13074" s="811"/>
      <c r="E13074" s="1276">
        <f>[11]building!Y13405</f>
        <v>0</v>
      </c>
      <c r="F13074" s="748">
        <f t="shared" si="443"/>
        <v>0</v>
      </c>
      <c r="G13074" s="1205"/>
      <c r="H13074" s="1055"/>
      <c r="I13074" s="1055"/>
      <c r="J13074" s="1055"/>
      <c r="K13074" s="1205"/>
      <c r="L13074" s="1055"/>
      <c r="M13074" s="1205"/>
      <c r="N13074" s="1054"/>
      <c r="O13074" s="1207"/>
      <c r="Q13074" s="1207"/>
    </row>
    <row r="13075" spans="3:17" s="700" customFormat="1" ht="70.5" hidden="1" customHeight="1">
      <c r="C13075" s="701"/>
      <c r="D13075" s="811"/>
      <c r="E13075" s="1276">
        <f>[11]building!Y13406</f>
        <v>0</v>
      </c>
      <c r="F13075" s="748">
        <f t="shared" si="443"/>
        <v>0</v>
      </c>
      <c r="G13075" s="1205"/>
      <c r="H13075" s="1055"/>
      <c r="I13075" s="1055"/>
      <c r="J13075" s="1055"/>
      <c r="K13075" s="1205"/>
      <c r="L13075" s="1055"/>
      <c r="M13075" s="1205"/>
      <c r="N13075" s="1054"/>
      <c r="O13075" s="1207"/>
      <c r="Q13075" s="1207"/>
    </row>
    <row r="13076" spans="3:17" s="700" customFormat="1" ht="70.5" hidden="1" customHeight="1">
      <c r="C13076" s="701"/>
      <c r="D13076" s="811"/>
      <c r="E13076" s="1276">
        <f>[11]building!Y13407</f>
        <v>0</v>
      </c>
      <c r="F13076" s="748">
        <f t="shared" si="443"/>
        <v>0</v>
      </c>
      <c r="G13076" s="1205"/>
      <c r="H13076" s="1055"/>
      <c r="I13076" s="1055"/>
      <c r="J13076" s="1055"/>
      <c r="K13076" s="1205"/>
      <c r="L13076" s="1055"/>
      <c r="M13076" s="1205"/>
      <c r="N13076" s="1054"/>
      <c r="O13076" s="1207"/>
      <c r="Q13076" s="1207"/>
    </row>
    <row r="13077" spans="3:17" s="700" customFormat="1" ht="70.5" hidden="1" customHeight="1">
      <c r="C13077" s="701"/>
      <c r="D13077" s="811"/>
      <c r="E13077" s="1276">
        <f>[11]building!Y13408</f>
        <v>0</v>
      </c>
      <c r="F13077" s="748">
        <f t="shared" si="443"/>
        <v>0</v>
      </c>
      <c r="G13077" s="1205"/>
      <c r="H13077" s="1055"/>
      <c r="I13077" s="1055"/>
      <c r="J13077" s="1055"/>
      <c r="K13077" s="1205"/>
      <c r="L13077" s="1055"/>
      <c r="M13077" s="1205"/>
      <c r="N13077" s="1054"/>
      <c r="O13077" s="1207"/>
      <c r="Q13077" s="1207"/>
    </row>
    <row r="13078" spans="3:17" s="700" customFormat="1" ht="70.5" hidden="1" customHeight="1">
      <c r="C13078" s="701"/>
      <c r="D13078" s="811"/>
      <c r="E13078" s="1276">
        <f>[11]building!Y13409</f>
        <v>0</v>
      </c>
      <c r="F13078" s="748">
        <f t="shared" si="443"/>
        <v>0</v>
      </c>
      <c r="G13078" s="1205"/>
      <c r="H13078" s="1055"/>
      <c r="I13078" s="1055"/>
      <c r="J13078" s="1055"/>
      <c r="K13078" s="1205"/>
      <c r="L13078" s="1055"/>
      <c r="M13078" s="1205"/>
      <c r="N13078" s="1054"/>
      <c r="O13078" s="1207"/>
      <c r="Q13078" s="1207"/>
    </row>
    <row r="13079" spans="3:17" s="700" customFormat="1" ht="70.5" hidden="1" customHeight="1">
      <c r="C13079" s="701"/>
      <c r="D13079" s="811"/>
      <c r="E13079" s="1276">
        <f>[11]building!Y13410</f>
        <v>0</v>
      </c>
      <c r="F13079" s="748">
        <f t="shared" si="443"/>
        <v>0</v>
      </c>
      <c r="G13079" s="1205"/>
      <c r="H13079" s="1055"/>
      <c r="I13079" s="1055"/>
      <c r="J13079" s="1055"/>
      <c r="K13079" s="1205"/>
      <c r="L13079" s="1055"/>
      <c r="M13079" s="1205"/>
      <c r="N13079" s="1054"/>
      <c r="O13079" s="1207"/>
      <c r="Q13079" s="1207"/>
    </row>
    <row r="13080" spans="3:17" s="700" customFormat="1" ht="70.5" hidden="1" customHeight="1">
      <c r="C13080" s="701"/>
      <c r="D13080" s="811"/>
      <c r="E13080" s="1276">
        <f>[11]building!Y13411</f>
        <v>0</v>
      </c>
      <c r="F13080" s="748">
        <f t="shared" si="443"/>
        <v>0</v>
      </c>
      <c r="G13080" s="1205"/>
      <c r="H13080" s="1055"/>
      <c r="I13080" s="1055"/>
      <c r="J13080" s="1055"/>
      <c r="K13080" s="1205"/>
      <c r="L13080" s="1055"/>
      <c r="M13080" s="1205"/>
      <c r="N13080" s="1054"/>
      <c r="O13080" s="1207"/>
      <c r="Q13080" s="1207"/>
    </row>
    <row r="13081" spans="3:17" s="700" customFormat="1" ht="70.5" hidden="1" customHeight="1">
      <c r="C13081" s="701"/>
      <c r="D13081" s="811"/>
      <c r="E13081" s="1276">
        <f>[11]building!Y13412</f>
        <v>0</v>
      </c>
      <c r="F13081" s="748">
        <f t="shared" si="443"/>
        <v>0</v>
      </c>
      <c r="G13081" s="1205"/>
      <c r="H13081" s="1055"/>
      <c r="I13081" s="1055"/>
      <c r="J13081" s="1055"/>
      <c r="K13081" s="1205"/>
      <c r="L13081" s="1055"/>
      <c r="M13081" s="1205"/>
      <c r="N13081" s="1054"/>
      <c r="O13081" s="1207"/>
      <c r="Q13081" s="1207"/>
    </row>
    <row r="13082" spans="3:17" s="700" customFormat="1" ht="70.5" hidden="1" customHeight="1">
      <c r="C13082" s="701"/>
      <c r="D13082" s="811"/>
      <c r="E13082" s="1276">
        <f>[11]building!Y13413</f>
        <v>0</v>
      </c>
      <c r="F13082" s="748">
        <f t="shared" si="443"/>
        <v>0</v>
      </c>
      <c r="G13082" s="1205"/>
      <c r="H13082" s="1055"/>
      <c r="I13082" s="1055"/>
      <c r="J13082" s="1055"/>
      <c r="K13082" s="1205"/>
      <c r="L13082" s="1055"/>
      <c r="M13082" s="1205"/>
      <c r="N13082" s="1054"/>
      <c r="O13082" s="1207"/>
      <c r="Q13082" s="1207"/>
    </row>
    <row r="13083" spans="3:17" s="700" customFormat="1" ht="70.5" hidden="1" customHeight="1">
      <c r="C13083" s="701"/>
      <c r="D13083" s="811"/>
      <c r="E13083" s="1276">
        <f>[11]building!Y13414</f>
        <v>0</v>
      </c>
      <c r="F13083" s="748">
        <f t="shared" si="443"/>
        <v>0</v>
      </c>
      <c r="G13083" s="1205"/>
      <c r="H13083" s="1055"/>
      <c r="I13083" s="1055"/>
      <c r="J13083" s="1055"/>
      <c r="K13083" s="1205"/>
      <c r="L13083" s="1055"/>
      <c r="M13083" s="1205"/>
      <c r="N13083" s="1054"/>
      <c r="O13083" s="1207"/>
      <c r="Q13083" s="1207"/>
    </row>
    <row r="13084" spans="3:17" s="700" customFormat="1" ht="70.5" hidden="1" customHeight="1">
      <c r="C13084" s="701"/>
      <c r="D13084" s="811"/>
      <c r="E13084" s="1276">
        <f>[11]building!Y13415</f>
        <v>0</v>
      </c>
      <c r="F13084" s="748">
        <f t="shared" si="443"/>
        <v>0</v>
      </c>
      <c r="G13084" s="1205"/>
      <c r="H13084" s="1055"/>
      <c r="I13084" s="1055"/>
      <c r="J13084" s="1055"/>
      <c r="K13084" s="1205"/>
      <c r="L13084" s="1055"/>
      <c r="M13084" s="1205"/>
      <c r="N13084" s="1054"/>
      <c r="O13084" s="1207"/>
      <c r="Q13084" s="1207"/>
    </row>
    <row r="13085" spans="3:17" s="700" customFormat="1" ht="70.5" hidden="1" customHeight="1">
      <c r="C13085" s="701"/>
      <c r="D13085" s="811"/>
      <c r="E13085" s="1276">
        <f>[11]building!Y13416</f>
        <v>0</v>
      </c>
      <c r="F13085" s="748">
        <f t="shared" si="443"/>
        <v>0</v>
      </c>
      <c r="G13085" s="1205"/>
      <c r="H13085" s="1055"/>
      <c r="I13085" s="1055"/>
      <c r="J13085" s="1055"/>
      <c r="K13085" s="1205"/>
      <c r="L13085" s="1055"/>
      <c r="M13085" s="1205"/>
      <c r="N13085" s="1054"/>
      <c r="O13085" s="1207"/>
      <c r="Q13085" s="1207"/>
    </row>
    <row r="13086" spans="3:17" s="700" customFormat="1" ht="70.5" hidden="1" customHeight="1">
      <c r="C13086" s="701"/>
      <c r="D13086" s="811"/>
      <c r="E13086" s="1276">
        <f>[11]building!Y13417</f>
        <v>0</v>
      </c>
      <c r="F13086" s="748">
        <f t="shared" si="443"/>
        <v>0</v>
      </c>
      <c r="G13086" s="1205"/>
      <c r="H13086" s="1055"/>
      <c r="I13086" s="1055"/>
      <c r="J13086" s="1055"/>
      <c r="K13086" s="1205"/>
      <c r="L13086" s="1055"/>
      <c r="M13086" s="1205"/>
      <c r="N13086" s="1054"/>
      <c r="O13086" s="1207"/>
      <c r="Q13086" s="1207"/>
    </row>
    <row r="13087" spans="3:17" s="700" customFormat="1" ht="70.5" hidden="1" customHeight="1">
      <c r="C13087" s="701"/>
      <c r="D13087" s="811"/>
      <c r="E13087" s="1276">
        <f>[11]building!Y13418</f>
        <v>0</v>
      </c>
      <c r="F13087" s="748">
        <f t="shared" si="443"/>
        <v>0</v>
      </c>
      <c r="G13087" s="1205"/>
      <c r="H13087" s="1055"/>
      <c r="I13087" s="1055"/>
      <c r="J13087" s="1055"/>
      <c r="K13087" s="1205"/>
      <c r="L13087" s="1055"/>
      <c r="M13087" s="1205"/>
      <c r="N13087" s="1054"/>
      <c r="O13087" s="1207"/>
      <c r="Q13087" s="1207"/>
    </row>
    <row r="13088" spans="3:17" s="700" customFormat="1" ht="70.5" hidden="1" customHeight="1">
      <c r="C13088" s="701"/>
      <c r="D13088" s="811"/>
      <c r="E13088" s="1276">
        <f>[11]building!Y13419</f>
        <v>0</v>
      </c>
      <c r="F13088" s="748">
        <f t="shared" si="443"/>
        <v>0</v>
      </c>
      <c r="G13088" s="1205"/>
      <c r="H13088" s="1055"/>
      <c r="I13088" s="1055"/>
      <c r="J13088" s="1055"/>
      <c r="K13088" s="1205"/>
      <c r="L13088" s="1055"/>
      <c r="M13088" s="1205"/>
      <c r="N13088" s="1054"/>
      <c r="O13088" s="1207"/>
      <c r="Q13088" s="1207"/>
    </row>
    <row r="13089" spans="3:17" s="700" customFormat="1" ht="70.5" hidden="1" customHeight="1">
      <c r="C13089" s="701"/>
      <c r="D13089" s="811"/>
      <c r="E13089" s="1276">
        <f>[11]building!Y13420</f>
        <v>0</v>
      </c>
      <c r="F13089" s="748">
        <f t="shared" si="443"/>
        <v>0</v>
      </c>
      <c r="G13089" s="1205"/>
      <c r="H13089" s="1055"/>
      <c r="I13089" s="1055"/>
      <c r="J13089" s="1055"/>
      <c r="K13089" s="1205"/>
      <c r="L13089" s="1055"/>
      <c r="M13089" s="1205"/>
      <c r="N13089" s="1054"/>
      <c r="O13089" s="1207"/>
      <c r="Q13089" s="1207"/>
    </row>
    <row r="13090" spans="3:17" s="700" customFormat="1" ht="70.5" hidden="1" customHeight="1">
      <c r="C13090" s="701"/>
      <c r="D13090" s="811"/>
      <c r="E13090" s="1276">
        <f>[11]building!Y13421</f>
        <v>0</v>
      </c>
      <c r="F13090" s="748">
        <f t="shared" si="443"/>
        <v>0</v>
      </c>
      <c r="G13090" s="1205"/>
      <c r="H13090" s="1055"/>
      <c r="I13090" s="1055"/>
      <c r="J13090" s="1055"/>
      <c r="K13090" s="1205"/>
      <c r="L13090" s="1055"/>
      <c r="M13090" s="1205"/>
      <c r="N13090" s="1054"/>
      <c r="O13090" s="1207"/>
      <c r="Q13090" s="1207"/>
    </row>
    <row r="13091" spans="3:17" s="700" customFormat="1" ht="70.5" hidden="1" customHeight="1">
      <c r="C13091" s="701"/>
      <c r="D13091" s="811"/>
      <c r="E13091" s="1276">
        <f>[11]building!Y13422</f>
        <v>0</v>
      </c>
      <c r="F13091" s="748">
        <f t="shared" si="443"/>
        <v>0</v>
      </c>
      <c r="G13091" s="1205"/>
      <c r="H13091" s="1055"/>
      <c r="I13091" s="1055"/>
      <c r="J13091" s="1055"/>
      <c r="K13091" s="1205"/>
      <c r="L13091" s="1055"/>
      <c r="M13091" s="1205"/>
      <c r="N13091" s="1054"/>
      <c r="O13091" s="1207"/>
      <c r="Q13091" s="1207"/>
    </row>
    <row r="13092" spans="3:17" s="700" customFormat="1" ht="70.5" hidden="1" customHeight="1">
      <c r="C13092" s="701"/>
      <c r="D13092" s="811"/>
      <c r="E13092" s="1276">
        <f>[11]building!Y13423</f>
        <v>0</v>
      </c>
      <c r="F13092" s="748">
        <f t="shared" si="443"/>
        <v>0</v>
      </c>
      <c r="G13092" s="1205"/>
      <c r="H13092" s="1055"/>
      <c r="I13092" s="1055"/>
      <c r="J13092" s="1055"/>
      <c r="K13092" s="1205"/>
      <c r="L13092" s="1055"/>
      <c r="M13092" s="1205"/>
      <c r="N13092" s="1054"/>
      <c r="O13092" s="1207"/>
      <c r="Q13092" s="1207"/>
    </row>
    <row r="13093" spans="3:17" s="700" customFormat="1" ht="70.5" hidden="1" customHeight="1">
      <c r="C13093" s="701"/>
      <c r="D13093" s="811"/>
      <c r="E13093" s="1276">
        <f>[11]building!Y13424</f>
        <v>0</v>
      </c>
      <c r="F13093" s="748">
        <f t="shared" si="443"/>
        <v>0</v>
      </c>
      <c r="G13093" s="1205"/>
      <c r="H13093" s="1055"/>
      <c r="I13093" s="1055"/>
      <c r="J13093" s="1055"/>
      <c r="K13093" s="1205"/>
      <c r="L13093" s="1055"/>
      <c r="M13093" s="1205"/>
      <c r="N13093" s="1054"/>
      <c r="O13093" s="1207"/>
      <c r="Q13093" s="1207"/>
    </row>
    <row r="13094" spans="3:17" s="700" customFormat="1" ht="70.5" hidden="1" customHeight="1">
      <c r="C13094" s="701"/>
      <c r="D13094" s="811"/>
      <c r="E13094" s="1276">
        <f>[11]building!Y13425</f>
        <v>0</v>
      </c>
      <c r="F13094" s="748">
        <f t="shared" si="443"/>
        <v>0</v>
      </c>
      <c r="G13094" s="1205"/>
      <c r="H13094" s="1055"/>
      <c r="I13094" s="1055"/>
      <c r="J13094" s="1055"/>
      <c r="K13094" s="1205"/>
      <c r="L13094" s="1055"/>
      <c r="M13094" s="1205"/>
      <c r="N13094" s="1054"/>
      <c r="O13094" s="1207"/>
      <c r="Q13094" s="1207"/>
    </row>
    <row r="13095" spans="3:17" s="700" customFormat="1" ht="70.5" hidden="1" customHeight="1">
      <c r="C13095" s="701"/>
      <c r="D13095" s="811"/>
      <c r="E13095" s="1276">
        <f>[11]building!Y13426</f>
        <v>0</v>
      </c>
      <c r="F13095" s="748">
        <f t="shared" si="443"/>
        <v>0</v>
      </c>
      <c r="G13095" s="1205"/>
      <c r="H13095" s="1055"/>
      <c r="I13095" s="1055"/>
      <c r="J13095" s="1055"/>
      <c r="K13095" s="1205"/>
      <c r="L13095" s="1055"/>
      <c r="M13095" s="1205"/>
      <c r="N13095" s="1054"/>
      <c r="O13095" s="1207"/>
      <c r="Q13095" s="1207"/>
    </row>
    <row r="13096" spans="3:17" s="700" customFormat="1" ht="70.5" hidden="1" customHeight="1">
      <c r="C13096" s="701"/>
      <c r="D13096" s="811"/>
      <c r="E13096" s="1276">
        <f>[11]building!Y13427</f>
        <v>0</v>
      </c>
      <c r="F13096" s="748">
        <f t="shared" si="443"/>
        <v>0</v>
      </c>
      <c r="G13096" s="1205"/>
      <c r="H13096" s="1055"/>
      <c r="I13096" s="1055"/>
      <c r="J13096" s="1055"/>
      <c r="K13096" s="1205"/>
      <c r="L13096" s="1055"/>
      <c r="M13096" s="1205"/>
      <c r="N13096" s="1054"/>
      <c r="O13096" s="1207"/>
      <c r="Q13096" s="1207"/>
    </row>
    <row r="13097" spans="3:17" s="700" customFormat="1" ht="70.5" hidden="1" customHeight="1">
      <c r="C13097" s="701"/>
      <c r="D13097" s="811"/>
      <c r="E13097" s="1276">
        <f>[11]building!Y13428</f>
        <v>0</v>
      </c>
      <c r="F13097" s="748">
        <f t="shared" si="443"/>
        <v>0</v>
      </c>
      <c r="G13097" s="1205"/>
      <c r="H13097" s="1055"/>
      <c r="I13097" s="1055"/>
      <c r="J13097" s="1055"/>
      <c r="K13097" s="1205"/>
      <c r="L13097" s="1055"/>
      <c r="M13097" s="1205"/>
      <c r="N13097" s="1054"/>
      <c r="O13097" s="1207"/>
      <c r="Q13097" s="1207"/>
    </row>
    <row r="13098" spans="3:17" s="700" customFormat="1" ht="70.5" hidden="1" customHeight="1">
      <c r="C13098" s="701"/>
      <c r="D13098" s="811"/>
      <c r="E13098" s="1276">
        <f>[11]building!Y13429</f>
        <v>0</v>
      </c>
      <c r="F13098" s="748">
        <f t="shared" si="443"/>
        <v>0</v>
      </c>
      <c r="G13098" s="1205"/>
      <c r="H13098" s="1055"/>
      <c r="I13098" s="1055"/>
      <c r="J13098" s="1055"/>
      <c r="K13098" s="1205"/>
      <c r="L13098" s="1055"/>
      <c r="M13098" s="1205"/>
      <c r="N13098" s="1054"/>
      <c r="O13098" s="1207"/>
      <c r="Q13098" s="1207"/>
    </row>
    <row r="13099" spans="3:17" s="700" customFormat="1" ht="70.5" hidden="1" customHeight="1">
      <c r="C13099" s="701"/>
      <c r="D13099" s="811"/>
      <c r="E13099" s="1276">
        <f>[11]building!Y13430</f>
        <v>0</v>
      </c>
      <c r="F13099" s="748">
        <f t="shared" si="443"/>
        <v>0</v>
      </c>
      <c r="G13099" s="1205"/>
      <c r="H13099" s="1055"/>
      <c r="I13099" s="1055"/>
      <c r="J13099" s="1055"/>
      <c r="K13099" s="1205"/>
      <c r="L13099" s="1055"/>
      <c r="M13099" s="1205"/>
      <c r="N13099" s="1054"/>
      <c r="O13099" s="1207"/>
      <c r="Q13099" s="1207"/>
    </row>
    <row r="13100" spans="3:17" s="700" customFormat="1" ht="70.5" hidden="1" customHeight="1">
      <c r="C13100" s="701"/>
      <c r="D13100" s="811"/>
      <c r="E13100" s="1276">
        <f>[11]building!Y13431</f>
        <v>0</v>
      </c>
      <c r="F13100" s="748">
        <f t="shared" si="443"/>
        <v>0</v>
      </c>
      <c r="G13100" s="1205"/>
      <c r="H13100" s="1055"/>
      <c r="I13100" s="1055"/>
      <c r="J13100" s="1055"/>
      <c r="K13100" s="1205"/>
      <c r="L13100" s="1055"/>
      <c r="M13100" s="1205"/>
      <c r="N13100" s="1054"/>
      <c r="O13100" s="1207"/>
      <c r="Q13100" s="1207"/>
    </row>
    <row r="13101" spans="3:17" s="700" customFormat="1" ht="70.5" hidden="1" customHeight="1">
      <c r="C13101" s="701"/>
      <c r="D13101" s="811"/>
      <c r="E13101" s="1276">
        <f>[11]building!Y13432</f>
        <v>0</v>
      </c>
      <c r="F13101" s="748">
        <f t="shared" si="443"/>
        <v>0</v>
      </c>
      <c r="G13101" s="1205"/>
      <c r="H13101" s="1055"/>
      <c r="I13101" s="1055"/>
      <c r="J13101" s="1055"/>
      <c r="K13101" s="1205"/>
      <c r="L13101" s="1055"/>
      <c r="M13101" s="1205"/>
      <c r="N13101" s="1054"/>
      <c r="O13101" s="1207"/>
      <c r="Q13101" s="1207"/>
    </row>
    <row r="13102" spans="3:17" s="700" customFormat="1" ht="70.5" hidden="1" customHeight="1">
      <c r="C13102" s="701"/>
      <c r="D13102" s="811"/>
      <c r="E13102" s="1276">
        <f>[11]building!Y13433</f>
        <v>0</v>
      </c>
      <c r="F13102" s="748">
        <f t="shared" si="443"/>
        <v>0</v>
      </c>
      <c r="G13102" s="1205"/>
      <c r="H13102" s="1055"/>
      <c r="I13102" s="1055"/>
      <c r="J13102" s="1055"/>
      <c r="K13102" s="1205"/>
      <c r="L13102" s="1055"/>
      <c r="M13102" s="1205"/>
      <c r="N13102" s="1054"/>
      <c r="O13102" s="1207"/>
      <c r="Q13102" s="1207"/>
    </row>
    <row r="13103" spans="3:17" s="700" customFormat="1" ht="70.5" hidden="1" customHeight="1">
      <c r="C13103" s="701"/>
      <c r="D13103" s="811"/>
      <c r="E13103" s="1276">
        <f>[11]building!Y13434</f>
        <v>0</v>
      </c>
      <c r="F13103" s="748">
        <f t="shared" si="443"/>
        <v>0</v>
      </c>
      <c r="G13103" s="1205"/>
      <c r="H13103" s="1055"/>
      <c r="I13103" s="1055"/>
      <c r="J13103" s="1055"/>
      <c r="K13103" s="1205"/>
      <c r="L13103" s="1055"/>
      <c r="M13103" s="1205"/>
      <c r="N13103" s="1054"/>
      <c r="O13103" s="1207"/>
      <c r="Q13103" s="1207"/>
    </row>
    <row r="13104" spans="3:17" s="700" customFormat="1" ht="70.5" hidden="1" customHeight="1">
      <c r="C13104" s="701"/>
      <c r="D13104" s="811"/>
      <c r="E13104" s="1276">
        <f>[11]building!Y13435</f>
        <v>0</v>
      </c>
      <c r="F13104" s="748">
        <f t="shared" si="443"/>
        <v>0</v>
      </c>
      <c r="G13104" s="1205"/>
      <c r="H13104" s="1055"/>
      <c r="I13104" s="1055"/>
      <c r="J13104" s="1055"/>
      <c r="K13104" s="1205"/>
      <c r="L13104" s="1055"/>
      <c r="M13104" s="1205"/>
      <c r="N13104" s="1054"/>
      <c r="O13104" s="1207"/>
      <c r="Q13104" s="1207"/>
    </row>
    <row r="13105" spans="3:17" s="700" customFormat="1" ht="70.5" hidden="1" customHeight="1">
      <c r="C13105" s="701"/>
      <c r="D13105" s="811"/>
      <c r="E13105" s="1276">
        <f>[11]building!Y13436</f>
        <v>0</v>
      </c>
      <c r="F13105" s="748">
        <f t="shared" si="443"/>
        <v>0</v>
      </c>
      <c r="G13105" s="1205"/>
      <c r="H13105" s="1055"/>
      <c r="I13105" s="1055"/>
      <c r="J13105" s="1055"/>
      <c r="K13105" s="1205"/>
      <c r="L13105" s="1055"/>
      <c r="M13105" s="1205"/>
      <c r="N13105" s="1054"/>
      <c r="O13105" s="1207"/>
      <c r="Q13105" s="1207"/>
    </row>
    <row r="13106" spans="3:17" s="700" customFormat="1" ht="70.5" hidden="1" customHeight="1">
      <c r="C13106" s="701"/>
      <c r="D13106" s="811"/>
      <c r="E13106" s="1276">
        <f>[11]building!Y13437</f>
        <v>0</v>
      </c>
      <c r="F13106" s="748">
        <f t="shared" si="443"/>
        <v>0</v>
      </c>
      <c r="G13106" s="1205"/>
      <c r="H13106" s="1055"/>
      <c r="I13106" s="1055"/>
      <c r="J13106" s="1055"/>
      <c r="K13106" s="1205"/>
      <c r="L13106" s="1055"/>
      <c r="M13106" s="1205"/>
      <c r="N13106" s="1054"/>
      <c r="O13106" s="1207"/>
      <c r="Q13106" s="1207"/>
    </row>
    <row r="13107" spans="3:17" s="700" customFormat="1" ht="70.5" hidden="1" customHeight="1">
      <c r="C13107" s="701"/>
      <c r="D13107" s="811"/>
      <c r="E13107" s="1276">
        <f>[11]building!Y13438</f>
        <v>0</v>
      </c>
      <c r="F13107" s="748">
        <f t="shared" si="443"/>
        <v>0</v>
      </c>
      <c r="G13107" s="1205"/>
      <c r="H13107" s="1055"/>
      <c r="I13107" s="1055"/>
      <c r="J13107" s="1055"/>
      <c r="K13107" s="1205"/>
      <c r="L13107" s="1055"/>
      <c r="M13107" s="1205"/>
      <c r="N13107" s="1054"/>
      <c r="O13107" s="1207"/>
      <c r="Q13107" s="1207"/>
    </row>
    <row r="13108" spans="3:17" s="700" customFormat="1" ht="70.5" hidden="1" customHeight="1">
      <c r="C13108" s="701"/>
      <c r="D13108" s="811"/>
      <c r="E13108" s="1276">
        <f>[11]building!Y13439</f>
        <v>0</v>
      </c>
      <c r="F13108" s="748">
        <f t="shared" si="443"/>
        <v>0</v>
      </c>
      <c r="G13108" s="1205"/>
      <c r="H13108" s="1055"/>
      <c r="I13108" s="1055"/>
      <c r="J13108" s="1055"/>
      <c r="K13108" s="1205"/>
      <c r="L13108" s="1055"/>
      <c r="M13108" s="1205"/>
      <c r="N13108" s="1054"/>
      <c r="O13108" s="1207"/>
      <c r="Q13108" s="1207"/>
    </row>
    <row r="13109" spans="3:17" s="700" customFormat="1" ht="70.5" hidden="1" customHeight="1">
      <c r="C13109" s="701"/>
      <c r="D13109" s="811"/>
      <c r="E13109" s="1276">
        <f>[11]building!Y13440</f>
        <v>0</v>
      </c>
      <c r="F13109" s="748">
        <f t="shared" si="443"/>
        <v>0</v>
      </c>
      <c r="G13109" s="1205"/>
      <c r="H13109" s="1055"/>
      <c r="I13109" s="1055"/>
      <c r="J13109" s="1055"/>
      <c r="K13109" s="1205"/>
      <c r="L13109" s="1055"/>
      <c r="M13109" s="1205"/>
      <c r="N13109" s="1054"/>
      <c r="O13109" s="1207"/>
      <c r="Q13109" s="1207"/>
    </row>
    <row r="13110" spans="3:17" s="700" customFormat="1" ht="70.5" hidden="1" customHeight="1">
      <c r="C13110" s="701"/>
      <c r="D13110" s="811"/>
      <c r="E13110" s="1276">
        <f>[11]building!Y13441</f>
        <v>0</v>
      </c>
      <c r="F13110" s="748">
        <f t="shared" si="443"/>
        <v>0</v>
      </c>
      <c r="G13110" s="1205"/>
      <c r="H13110" s="1055"/>
      <c r="I13110" s="1055"/>
      <c r="J13110" s="1055"/>
      <c r="K13110" s="1205"/>
      <c r="L13110" s="1055"/>
      <c r="M13110" s="1205"/>
      <c r="N13110" s="1054"/>
      <c r="O13110" s="1207"/>
      <c r="Q13110" s="1207"/>
    </row>
    <row r="13111" spans="3:17" s="700" customFormat="1" ht="70.5" hidden="1" customHeight="1">
      <c r="C13111" s="701"/>
      <c r="D13111" s="811"/>
      <c r="E13111" s="1276">
        <f>[11]building!Y13442</f>
        <v>0</v>
      </c>
      <c r="F13111" s="748">
        <f t="shared" si="443"/>
        <v>0</v>
      </c>
      <c r="G13111" s="1205"/>
      <c r="H13111" s="1055"/>
      <c r="I13111" s="1055"/>
      <c r="J13111" s="1055"/>
      <c r="K13111" s="1205"/>
      <c r="L13111" s="1055"/>
      <c r="M13111" s="1205"/>
      <c r="N13111" s="1054"/>
      <c r="O13111" s="1207"/>
      <c r="Q13111" s="1207"/>
    </row>
    <row r="13112" spans="3:17" s="700" customFormat="1" ht="70.5" hidden="1" customHeight="1">
      <c r="C13112" s="701"/>
      <c r="D13112" s="811"/>
      <c r="E13112" s="1276">
        <f>[11]building!Y13443</f>
        <v>0</v>
      </c>
      <c r="F13112" s="748">
        <f t="shared" si="443"/>
        <v>0</v>
      </c>
      <c r="G13112" s="1205"/>
      <c r="H13112" s="1055"/>
      <c r="I13112" s="1055"/>
      <c r="J13112" s="1055"/>
      <c r="K13112" s="1205"/>
      <c r="L13112" s="1055"/>
      <c r="M13112" s="1205"/>
      <c r="N13112" s="1054"/>
      <c r="O13112" s="1207"/>
      <c r="Q13112" s="1207"/>
    </row>
    <row r="13113" spans="3:17" s="700" customFormat="1" ht="70.5" hidden="1" customHeight="1">
      <c r="C13113" s="701"/>
      <c r="D13113" s="811"/>
      <c r="E13113" s="1276">
        <f>[11]building!Y13444</f>
        <v>0</v>
      </c>
      <c r="F13113" s="748">
        <f t="shared" si="443"/>
        <v>0</v>
      </c>
      <c r="G13113" s="1205"/>
      <c r="H13113" s="1055"/>
      <c r="I13113" s="1055"/>
      <c r="J13113" s="1055"/>
      <c r="K13113" s="1205"/>
      <c r="L13113" s="1055"/>
      <c r="M13113" s="1205"/>
      <c r="N13113" s="1054"/>
      <c r="O13113" s="1207"/>
      <c r="Q13113" s="1207"/>
    </row>
    <row r="13114" spans="3:17" s="700" customFormat="1" ht="70.5" hidden="1" customHeight="1">
      <c r="C13114" s="701"/>
      <c r="D13114" s="811"/>
      <c r="E13114" s="1276">
        <f>[11]building!Y13445</f>
        <v>0</v>
      </c>
      <c r="F13114" s="748">
        <f t="shared" si="443"/>
        <v>0</v>
      </c>
      <c r="G13114" s="1205"/>
      <c r="H13114" s="1055"/>
      <c r="I13114" s="1055"/>
      <c r="J13114" s="1055"/>
      <c r="K13114" s="1205"/>
      <c r="L13114" s="1055"/>
      <c r="M13114" s="1205"/>
      <c r="N13114" s="1054"/>
      <c r="O13114" s="1207"/>
      <c r="Q13114" s="1207"/>
    </row>
    <row r="13115" spans="3:17" s="700" customFormat="1" ht="70.5" hidden="1" customHeight="1">
      <c r="C13115" s="701"/>
      <c r="D13115" s="811"/>
      <c r="E13115" s="1276">
        <f>[11]building!Y13446</f>
        <v>0</v>
      </c>
      <c r="F13115" s="748">
        <f t="shared" si="443"/>
        <v>0</v>
      </c>
      <c r="G13115" s="1205"/>
      <c r="H13115" s="1055"/>
      <c r="I13115" s="1055"/>
      <c r="J13115" s="1055"/>
      <c r="K13115" s="1205"/>
      <c r="L13115" s="1055"/>
      <c r="M13115" s="1205"/>
      <c r="N13115" s="1054"/>
      <c r="O13115" s="1207"/>
      <c r="Q13115" s="1207"/>
    </row>
    <row r="13116" spans="3:17" s="700" customFormat="1" ht="70.5" hidden="1" customHeight="1">
      <c r="C13116" s="701"/>
      <c r="D13116" s="811"/>
      <c r="E13116" s="1276">
        <f>[11]building!Y13447</f>
        <v>0</v>
      </c>
      <c r="F13116" s="748">
        <f t="shared" si="443"/>
        <v>0</v>
      </c>
      <c r="G13116" s="1205"/>
      <c r="H13116" s="1055"/>
      <c r="I13116" s="1055"/>
      <c r="J13116" s="1055"/>
      <c r="K13116" s="1205"/>
      <c r="L13116" s="1055"/>
      <c r="M13116" s="1205"/>
      <c r="N13116" s="1054"/>
      <c r="O13116" s="1207"/>
      <c r="Q13116" s="1207"/>
    </row>
    <row r="13117" spans="3:17" s="700" customFormat="1" ht="70.5" hidden="1" customHeight="1">
      <c r="C13117" s="701"/>
      <c r="D13117" s="811"/>
      <c r="E13117" s="1276">
        <f>[11]building!Y13448</f>
        <v>0</v>
      </c>
      <c r="F13117" s="748">
        <f t="shared" si="443"/>
        <v>0</v>
      </c>
      <c r="G13117" s="1205"/>
      <c r="H13117" s="1055"/>
      <c r="I13117" s="1055"/>
      <c r="J13117" s="1055"/>
      <c r="K13117" s="1205"/>
      <c r="L13117" s="1055"/>
      <c r="M13117" s="1205"/>
      <c r="N13117" s="1054"/>
      <c r="O13117" s="1207"/>
      <c r="Q13117" s="1207"/>
    </row>
    <row r="13118" spans="3:17" s="700" customFormat="1" ht="70.5" hidden="1" customHeight="1">
      <c r="C13118" s="701"/>
      <c r="D13118" s="811"/>
      <c r="E13118" s="1276">
        <f>[11]building!Y13449</f>
        <v>0</v>
      </c>
      <c r="F13118" s="748">
        <f t="shared" si="443"/>
        <v>0</v>
      </c>
      <c r="G13118" s="1205"/>
      <c r="H13118" s="1055"/>
      <c r="I13118" s="1055"/>
      <c r="J13118" s="1055"/>
      <c r="K13118" s="1205"/>
      <c r="L13118" s="1055"/>
      <c r="M13118" s="1205"/>
      <c r="N13118" s="1054"/>
      <c r="O13118" s="1207"/>
      <c r="Q13118" s="1207"/>
    </row>
    <row r="13119" spans="3:17" s="700" customFormat="1" ht="70.5" hidden="1" customHeight="1">
      <c r="C13119" s="701"/>
      <c r="D13119" s="811"/>
      <c r="E13119" s="1276">
        <f>[11]building!Y13450</f>
        <v>0</v>
      </c>
      <c r="F13119" s="748">
        <f t="shared" si="443"/>
        <v>0</v>
      </c>
      <c r="G13119" s="1205"/>
      <c r="H13119" s="1055"/>
      <c r="I13119" s="1055"/>
      <c r="J13119" s="1055"/>
      <c r="K13119" s="1205"/>
      <c r="L13119" s="1055"/>
      <c r="M13119" s="1205"/>
      <c r="N13119" s="1054"/>
      <c r="O13119" s="1207"/>
      <c r="Q13119" s="1207"/>
    </row>
    <row r="13120" spans="3:17" s="700" customFormat="1" ht="70.5" hidden="1" customHeight="1">
      <c r="C13120" s="701"/>
      <c r="D13120" s="811"/>
      <c r="E13120" s="1276">
        <f>[11]building!Y13451</f>
        <v>0</v>
      </c>
      <c r="F13120" s="748">
        <f t="shared" ref="F13120:F13183" si="444">E13120*C13120</f>
        <v>0</v>
      </c>
      <c r="G13120" s="1205"/>
      <c r="H13120" s="1055"/>
      <c r="I13120" s="1055"/>
      <c r="J13120" s="1055"/>
      <c r="K13120" s="1205"/>
      <c r="L13120" s="1055"/>
      <c r="M13120" s="1205"/>
      <c r="N13120" s="1054"/>
      <c r="O13120" s="1207"/>
      <c r="Q13120" s="1207"/>
    </row>
    <row r="13121" spans="3:17" s="700" customFormat="1" ht="70.5" hidden="1" customHeight="1">
      <c r="C13121" s="701"/>
      <c r="D13121" s="811"/>
      <c r="E13121" s="1276">
        <f>[11]building!Y13452</f>
        <v>0</v>
      </c>
      <c r="F13121" s="748">
        <f t="shared" si="444"/>
        <v>0</v>
      </c>
      <c r="G13121" s="1205"/>
      <c r="H13121" s="1055"/>
      <c r="I13121" s="1055"/>
      <c r="J13121" s="1055"/>
      <c r="K13121" s="1205"/>
      <c r="L13121" s="1055"/>
      <c r="M13121" s="1205"/>
      <c r="N13121" s="1054"/>
      <c r="O13121" s="1207"/>
      <c r="Q13121" s="1207"/>
    </row>
    <row r="13122" spans="3:17" s="700" customFormat="1" ht="70.5" hidden="1" customHeight="1">
      <c r="C13122" s="701"/>
      <c r="D13122" s="811"/>
      <c r="E13122" s="1276">
        <f>[11]building!Y13453</f>
        <v>0</v>
      </c>
      <c r="F13122" s="748">
        <f t="shared" si="444"/>
        <v>0</v>
      </c>
      <c r="G13122" s="1205"/>
      <c r="H13122" s="1055"/>
      <c r="I13122" s="1055"/>
      <c r="J13122" s="1055"/>
      <c r="K13122" s="1205"/>
      <c r="L13122" s="1055"/>
      <c r="M13122" s="1205"/>
      <c r="N13122" s="1054"/>
      <c r="O13122" s="1207"/>
      <c r="Q13122" s="1207"/>
    </row>
    <row r="13123" spans="3:17" s="700" customFormat="1" ht="70.5" hidden="1" customHeight="1">
      <c r="C13123" s="701"/>
      <c r="D13123" s="811"/>
      <c r="E13123" s="1276">
        <f>[11]building!Y13454</f>
        <v>0</v>
      </c>
      <c r="F13123" s="748">
        <f t="shared" si="444"/>
        <v>0</v>
      </c>
      <c r="G13123" s="1205"/>
      <c r="H13123" s="1055"/>
      <c r="I13123" s="1055"/>
      <c r="J13123" s="1055"/>
      <c r="K13123" s="1205"/>
      <c r="L13123" s="1055"/>
      <c r="M13123" s="1205"/>
      <c r="N13123" s="1054"/>
      <c r="O13123" s="1207"/>
      <c r="Q13123" s="1207"/>
    </row>
    <row r="13124" spans="3:17" s="700" customFormat="1" ht="70.5" hidden="1" customHeight="1">
      <c r="C13124" s="701"/>
      <c r="D13124" s="811"/>
      <c r="E13124" s="1276">
        <f>[11]building!Y13455</f>
        <v>0</v>
      </c>
      <c r="F13124" s="748">
        <f t="shared" si="444"/>
        <v>0</v>
      </c>
      <c r="G13124" s="1205"/>
      <c r="H13124" s="1055"/>
      <c r="I13124" s="1055"/>
      <c r="J13124" s="1055"/>
      <c r="K13124" s="1205"/>
      <c r="L13124" s="1055"/>
      <c r="M13124" s="1205"/>
      <c r="N13124" s="1054"/>
      <c r="O13124" s="1207"/>
      <c r="Q13124" s="1207"/>
    </row>
    <row r="13125" spans="3:17" s="700" customFormat="1" ht="70.5" hidden="1" customHeight="1">
      <c r="C13125" s="701"/>
      <c r="D13125" s="811"/>
      <c r="E13125" s="1276">
        <f>[11]building!Y13456</f>
        <v>0</v>
      </c>
      <c r="F13125" s="748">
        <f t="shared" si="444"/>
        <v>0</v>
      </c>
      <c r="G13125" s="1205"/>
      <c r="H13125" s="1055"/>
      <c r="I13125" s="1055"/>
      <c r="J13125" s="1055"/>
      <c r="K13125" s="1205"/>
      <c r="L13125" s="1055"/>
      <c r="M13125" s="1205"/>
      <c r="N13125" s="1054"/>
      <c r="O13125" s="1207"/>
      <c r="Q13125" s="1207"/>
    </row>
    <row r="13126" spans="3:17" s="700" customFormat="1" ht="70.5" hidden="1" customHeight="1">
      <c r="C13126" s="701"/>
      <c r="D13126" s="811"/>
      <c r="E13126" s="1276">
        <f>[11]building!Y13457</f>
        <v>0</v>
      </c>
      <c r="F13126" s="748">
        <f t="shared" si="444"/>
        <v>0</v>
      </c>
      <c r="G13126" s="1205"/>
      <c r="H13126" s="1055"/>
      <c r="I13126" s="1055"/>
      <c r="J13126" s="1055"/>
      <c r="K13126" s="1205"/>
      <c r="L13126" s="1055"/>
      <c r="M13126" s="1205"/>
      <c r="N13126" s="1054"/>
      <c r="O13126" s="1207"/>
      <c r="Q13126" s="1207"/>
    </row>
    <row r="13127" spans="3:17" s="700" customFormat="1" ht="70.5" hidden="1" customHeight="1">
      <c r="C13127" s="701"/>
      <c r="D13127" s="811"/>
      <c r="E13127" s="1276">
        <f>[11]building!Y13458</f>
        <v>0</v>
      </c>
      <c r="F13127" s="748">
        <f t="shared" si="444"/>
        <v>0</v>
      </c>
      <c r="G13127" s="1205"/>
      <c r="H13127" s="1055"/>
      <c r="I13127" s="1055"/>
      <c r="J13127" s="1055"/>
      <c r="K13127" s="1205"/>
      <c r="L13127" s="1055"/>
      <c r="M13127" s="1205"/>
      <c r="N13127" s="1054"/>
      <c r="O13127" s="1207"/>
      <c r="Q13127" s="1207"/>
    </row>
    <row r="13128" spans="3:17" s="700" customFormat="1" ht="70.5" hidden="1" customHeight="1">
      <c r="C13128" s="701"/>
      <c r="D13128" s="811"/>
      <c r="E13128" s="1276">
        <f>[11]building!Y13459</f>
        <v>0</v>
      </c>
      <c r="F13128" s="748">
        <f t="shared" si="444"/>
        <v>0</v>
      </c>
      <c r="G13128" s="1205"/>
      <c r="H13128" s="1055"/>
      <c r="I13128" s="1055"/>
      <c r="J13128" s="1055"/>
      <c r="K13128" s="1205"/>
      <c r="L13128" s="1055"/>
      <c r="M13128" s="1205"/>
      <c r="N13128" s="1054"/>
      <c r="O13128" s="1207"/>
      <c r="Q13128" s="1207"/>
    </row>
    <row r="13129" spans="3:17" s="700" customFormat="1" ht="70.5" hidden="1" customHeight="1">
      <c r="C13129" s="701"/>
      <c r="D13129" s="811"/>
      <c r="E13129" s="1276">
        <f>[11]building!Y13460</f>
        <v>0</v>
      </c>
      <c r="F13129" s="748">
        <f t="shared" si="444"/>
        <v>0</v>
      </c>
      <c r="G13129" s="1205"/>
      <c r="H13129" s="1055"/>
      <c r="I13129" s="1055"/>
      <c r="J13129" s="1055"/>
      <c r="K13129" s="1205"/>
      <c r="L13129" s="1055"/>
      <c r="M13129" s="1205"/>
      <c r="N13129" s="1054"/>
      <c r="O13129" s="1207"/>
      <c r="Q13129" s="1207"/>
    </row>
    <row r="13130" spans="3:17" s="700" customFormat="1" ht="70.5" hidden="1" customHeight="1">
      <c r="C13130" s="701"/>
      <c r="D13130" s="811"/>
      <c r="E13130" s="1276">
        <f>[11]building!Y13461</f>
        <v>0</v>
      </c>
      <c r="F13130" s="748">
        <f t="shared" si="444"/>
        <v>0</v>
      </c>
      <c r="G13130" s="1205"/>
      <c r="H13130" s="1055"/>
      <c r="I13130" s="1055"/>
      <c r="J13130" s="1055"/>
      <c r="K13130" s="1205"/>
      <c r="L13130" s="1055"/>
      <c r="M13130" s="1205"/>
      <c r="N13130" s="1054"/>
      <c r="O13130" s="1207"/>
      <c r="Q13130" s="1207"/>
    </row>
    <row r="13131" spans="3:17" s="700" customFormat="1" ht="70.5" hidden="1" customHeight="1">
      <c r="C13131" s="701"/>
      <c r="D13131" s="811"/>
      <c r="E13131" s="1276">
        <f>[11]building!Y13462</f>
        <v>0</v>
      </c>
      <c r="F13131" s="748">
        <f t="shared" si="444"/>
        <v>0</v>
      </c>
      <c r="G13131" s="1205"/>
      <c r="H13131" s="1055"/>
      <c r="I13131" s="1055"/>
      <c r="J13131" s="1055"/>
      <c r="K13131" s="1205"/>
      <c r="L13131" s="1055"/>
      <c r="M13131" s="1205"/>
      <c r="N13131" s="1054"/>
      <c r="O13131" s="1207"/>
      <c r="Q13131" s="1207"/>
    </row>
    <row r="13132" spans="3:17" s="700" customFormat="1" ht="70.5" hidden="1" customHeight="1">
      <c r="C13132" s="701"/>
      <c r="D13132" s="811"/>
      <c r="E13132" s="1276">
        <f>[11]building!Y13463</f>
        <v>0</v>
      </c>
      <c r="F13132" s="748">
        <f t="shared" si="444"/>
        <v>0</v>
      </c>
      <c r="G13132" s="1205"/>
      <c r="H13132" s="1055"/>
      <c r="I13132" s="1055"/>
      <c r="J13132" s="1055"/>
      <c r="K13132" s="1205"/>
      <c r="L13132" s="1055"/>
      <c r="M13132" s="1205"/>
      <c r="N13132" s="1054"/>
      <c r="O13132" s="1207"/>
      <c r="Q13132" s="1207"/>
    </row>
    <row r="13133" spans="3:17" s="700" customFormat="1" ht="70.5" hidden="1" customHeight="1">
      <c r="C13133" s="701"/>
      <c r="D13133" s="811"/>
      <c r="E13133" s="1276">
        <f>[11]building!Y13464</f>
        <v>0</v>
      </c>
      <c r="F13133" s="748">
        <f t="shared" si="444"/>
        <v>0</v>
      </c>
      <c r="G13133" s="1205"/>
      <c r="H13133" s="1055"/>
      <c r="I13133" s="1055"/>
      <c r="J13133" s="1055"/>
      <c r="K13133" s="1205"/>
      <c r="L13133" s="1055"/>
      <c r="M13133" s="1205"/>
      <c r="N13133" s="1054"/>
      <c r="O13133" s="1207"/>
      <c r="Q13133" s="1207"/>
    </row>
    <row r="13134" spans="3:17" s="700" customFormat="1" ht="70.5" hidden="1" customHeight="1">
      <c r="C13134" s="701"/>
      <c r="D13134" s="811"/>
      <c r="E13134" s="1276">
        <f>[11]building!Y13465</f>
        <v>0</v>
      </c>
      <c r="F13134" s="748">
        <f t="shared" si="444"/>
        <v>0</v>
      </c>
      <c r="G13134" s="1205"/>
      <c r="H13134" s="1055"/>
      <c r="I13134" s="1055"/>
      <c r="J13134" s="1055"/>
      <c r="K13134" s="1205"/>
      <c r="L13134" s="1055"/>
      <c r="M13134" s="1205"/>
      <c r="N13134" s="1054"/>
      <c r="O13134" s="1207"/>
      <c r="Q13134" s="1207"/>
    </row>
    <row r="13135" spans="3:17" s="700" customFormat="1" ht="70.5" hidden="1" customHeight="1">
      <c r="C13135" s="701"/>
      <c r="D13135" s="811"/>
      <c r="E13135" s="1276">
        <f>[11]building!Y13466</f>
        <v>0</v>
      </c>
      <c r="F13135" s="748">
        <f t="shared" si="444"/>
        <v>0</v>
      </c>
      <c r="G13135" s="1205"/>
      <c r="H13135" s="1055"/>
      <c r="I13135" s="1055"/>
      <c r="J13135" s="1055"/>
      <c r="K13135" s="1205"/>
      <c r="L13135" s="1055"/>
      <c r="M13135" s="1205"/>
      <c r="N13135" s="1054"/>
      <c r="O13135" s="1207"/>
      <c r="Q13135" s="1207"/>
    </row>
    <row r="13136" spans="3:17" s="700" customFormat="1" ht="70.5" hidden="1" customHeight="1">
      <c r="C13136" s="701"/>
      <c r="D13136" s="811"/>
      <c r="E13136" s="1276">
        <f>[11]building!Y13467</f>
        <v>0</v>
      </c>
      <c r="F13136" s="748">
        <f t="shared" si="444"/>
        <v>0</v>
      </c>
      <c r="G13136" s="1205"/>
      <c r="H13136" s="1055"/>
      <c r="I13136" s="1055"/>
      <c r="J13136" s="1055"/>
      <c r="K13136" s="1205"/>
      <c r="L13136" s="1055"/>
      <c r="M13136" s="1205"/>
      <c r="N13136" s="1054"/>
      <c r="O13136" s="1207"/>
      <c r="Q13136" s="1207"/>
    </row>
    <row r="13137" spans="3:17" s="700" customFormat="1" ht="70.5" hidden="1" customHeight="1">
      <c r="C13137" s="701"/>
      <c r="D13137" s="811"/>
      <c r="E13137" s="1276">
        <f>[11]building!Y13468</f>
        <v>0</v>
      </c>
      <c r="F13137" s="748">
        <f t="shared" si="444"/>
        <v>0</v>
      </c>
      <c r="G13137" s="1205"/>
      <c r="H13137" s="1055"/>
      <c r="I13137" s="1055"/>
      <c r="J13137" s="1055"/>
      <c r="K13137" s="1205"/>
      <c r="L13137" s="1055"/>
      <c r="M13137" s="1205"/>
      <c r="N13137" s="1054"/>
      <c r="O13137" s="1207"/>
      <c r="Q13137" s="1207"/>
    </row>
    <row r="13138" spans="3:17" s="700" customFormat="1" ht="70.5" hidden="1" customHeight="1">
      <c r="C13138" s="701"/>
      <c r="D13138" s="811"/>
      <c r="E13138" s="1276">
        <f>[11]building!Y13469</f>
        <v>0</v>
      </c>
      <c r="F13138" s="748">
        <f t="shared" si="444"/>
        <v>0</v>
      </c>
      <c r="G13138" s="1205"/>
      <c r="H13138" s="1055"/>
      <c r="I13138" s="1055"/>
      <c r="J13138" s="1055"/>
      <c r="K13138" s="1205"/>
      <c r="L13138" s="1055"/>
      <c r="M13138" s="1205"/>
      <c r="N13138" s="1054"/>
      <c r="O13138" s="1207"/>
      <c r="Q13138" s="1207"/>
    </row>
    <row r="13139" spans="3:17" s="700" customFormat="1" ht="70.5" hidden="1" customHeight="1">
      <c r="C13139" s="701"/>
      <c r="D13139" s="811"/>
      <c r="E13139" s="1276">
        <f>[11]building!Y13470</f>
        <v>0</v>
      </c>
      <c r="F13139" s="748">
        <f t="shared" si="444"/>
        <v>0</v>
      </c>
      <c r="G13139" s="1205"/>
      <c r="H13139" s="1055"/>
      <c r="I13139" s="1055"/>
      <c r="J13139" s="1055"/>
      <c r="K13139" s="1205"/>
      <c r="L13139" s="1055"/>
      <c r="M13139" s="1205"/>
      <c r="N13139" s="1054"/>
      <c r="O13139" s="1207"/>
      <c r="Q13139" s="1207"/>
    </row>
    <row r="13140" spans="3:17" s="700" customFormat="1" ht="70.5" hidden="1" customHeight="1">
      <c r="C13140" s="701"/>
      <c r="D13140" s="811"/>
      <c r="E13140" s="1276">
        <f>[11]building!Y13471</f>
        <v>0</v>
      </c>
      <c r="F13140" s="748">
        <f t="shared" si="444"/>
        <v>0</v>
      </c>
      <c r="G13140" s="1205"/>
      <c r="H13140" s="1055"/>
      <c r="I13140" s="1055"/>
      <c r="J13140" s="1055"/>
      <c r="K13140" s="1205"/>
      <c r="L13140" s="1055"/>
      <c r="M13140" s="1205"/>
      <c r="N13140" s="1054"/>
      <c r="O13140" s="1207"/>
      <c r="Q13140" s="1207"/>
    </row>
    <row r="13141" spans="3:17" s="700" customFormat="1" ht="70.5" hidden="1" customHeight="1">
      <c r="C13141" s="701"/>
      <c r="D13141" s="811"/>
      <c r="E13141" s="1276">
        <f>[11]building!Y13472</f>
        <v>0</v>
      </c>
      <c r="F13141" s="748">
        <f t="shared" si="444"/>
        <v>0</v>
      </c>
      <c r="G13141" s="1205"/>
      <c r="H13141" s="1055"/>
      <c r="I13141" s="1055"/>
      <c r="J13141" s="1055"/>
      <c r="K13141" s="1205"/>
      <c r="L13141" s="1055"/>
      <c r="M13141" s="1205"/>
      <c r="N13141" s="1054"/>
      <c r="O13141" s="1207"/>
      <c r="Q13141" s="1207"/>
    </row>
    <row r="13142" spans="3:17" s="700" customFormat="1" ht="70.5" hidden="1" customHeight="1">
      <c r="C13142" s="701"/>
      <c r="D13142" s="811"/>
      <c r="E13142" s="1276">
        <f>[11]building!Y13473</f>
        <v>0</v>
      </c>
      <c r="F13142" s="748">
        <f t="shared" si="444"/>
        <v>0</v>
      </c>
      <c r="G13142" s="1205"/>
      <c r="H13142" s="1055"/>
      <c r="I13142" s="1055"/>
      <c r="J13142" s="1055"/>
      <c r="K13142" s="1205"/>
      <c r="L13142" s="1055"/>
      <c r="M13142" s="1205"/>
      <c r="N13142" s="1054"/>
      <c r="O13142" s="1207"/>
      <c r="Q13142" s="1207"/>
    </row>
    <row r="13143" spans="3:17" s="700" customFormat="1" ht="70.5" hidden="1" customHeight="1">
      <c r="C13143" s="701"/>
      <c r="D13143" s="811"/>
      <c r="E13143" s="1276">
        <f>[11]building!Y13474</f>
        <v>0</v>
      </c>
      <c r="F13143" s="748">
        <f t="shared" si="444"/>
        <v>0</v>
      </c>
      <c r="G13143" s="1205"/>
      <c r="H13143" s="1055"/>
      <c r="I13143" s="1055"/>
      <c r="J13143" s="1055"/>
      <c r="K13143" s="1205"/>
      <c r="L13143" s="1055"/>
      <c r="M13143" s="1205"/>
      <c r="N13143" s="1054"/>
      <c r="O13143" s="1207"/>
      <c r="Q13143" s="1207"/>
    </row>
    <row r="13144" spans="3:17" s="700" customFormat="1" ht="70.5" hidden="1" customHeight="1">
      <c r="C13144" s="701"/>
      <c r="D13144" s="811"/>
      <c r="E13144" s="1276">
        <f>[11]building!Y13475</f>
        <v>0</v>
      </c>
      <c r="F13144" s="748">
        <f t="shared" si="444"/>
        <v>0</v>
      </c>
      <c r="G13144" s="1205"/>
      <c r="H13144" s="1055"/>
      <c r="I13144" s="1055"/>
      <c r="J13144" s="1055"/>
      <c r="K13144" s="1205"/>
      <c r="L13144" s="1055"/>
      <c r="M13144" s="1205"/>
      <c r="N13144" s="1054"/>
      <c r="O13144" s="1207"/>
      <c r="Q13144" s="1207"/>
    </row>
    <row r="13145" spans="3:17" s="700" customFormat="1" ht="70.5" hidden="1" customHeight="1">
      <c r="C13145" s="701"/>
      <c r="D13145" s="811"/>
      <c r="E13145" s="1276">
        <f>[11]building!Y13476</f>
        <v>0</v>
      </c>
      <c r="F13145" s="748">
        <f t="shared" si="444"/>
        <v>0</v>
      </c>
      <c r="G13145" s="1205"/>
      <c r="H13145" s="1055"/>
      <c r="I13145" s="1055"/>
      <c r="J13145" s="1055"/>
      <c r="K13145" s="1205"/>
      <c r="L13145" s="1055"/>
      <c r="M13145" s="1205"/>
      <c r="N13145" s="1054"/>
      <c r="O13145" s="1207"/>
      <c r="Q13145" s="1207"/>
    </row>
    <row r="13146" spans="3:17" s="700" customFormat="1" ht="70.5" hidden="1" customHeight="1">
      <c r="C13146" s="701"/>
      <c r="D13146" s="811"/>
      <c r="E13146" s="1276">
        <f>[11]building!Y13477</f>
        <v>0</v>
      </c>
      <c r="F13146" s="748">
        <f t="shared" si="444"/>
        <v>0</v>
      </c>
      <c r="G13146" s="1205"/>
      <c r="H13146" s="1055"/>
      <c r="I13146" s="1055"/>
      <c r="J13146" s="1055"/>
      <c r="K13146" s="1205"/>
      <c r="L13146" s="1055"/>
      <c r="M13146" s="1205"/>
      <c r="N13146" s="1054"/>
      <c r="O13146" s="1207"/>
      <c r="Q13146" s="1207"/>
    </row>
    <row r="13147" spans="3:17" s="700" customFormat="1" ht="70.5" hidden="1" customHeight="1">
      <c r="C13147" s="701"/>
      <c r="D13147" s="811"/>
      <c r="E13147" s="1276">
        <f>[11]building!Y13478</f>
        <v>0</v>
      </c>
      <c r="F13147" s="748">
        <f t="shared" si="444"/>
        <v>0</v>
      </c>
      <c r="G13147" s="1205"/>
      <c r="H13147" s="1055"/>
      <c r="I13147" s="1055"/>
      <c r="J13147" s="1055"/>
      <c r="K13147" s="1205"/>
      <c r="L13147" s="1055"/>
      <c r="M13147" s="1205"/>
      <c r="N13147" s="1054"/>
      <c r="O13147" s="1207"/>
      <c r="Q13147" s="1207"/>
    </row>
    <row r="13148" spans="3:17" s="700" customFormat="1" ht="70.5" hidden="1" customHeight="1">
      <c r="C13148" s="701"/>
      <c r="D13148" s="811"/>
      <c r="E13148" s="1276">
        <f>[11]building!Y13479</f>
        <v>0</v>
      </c>
      <c r="F13148" s="748">
        <f t="shared" si="444"/>
        <v>0</v>
      </c>
      <c r="G13148" s="1205"/>
      <c r="H13148" s="1055"/>
      <c r="I13148" s="1055"/>
      <c r="J13148" s="1055"/>
      <c r="K13148" s="1205"/>
      <c r="L13148" s="1055"/>
      <c r="M13148" s="1205"/>
      <c r="N13148" s="1054"/>
      <c r="O13148" s="1207"/>
      <c r="Q13148" s="1207"/>
    </row>
    <row r="13149" spans="3:17" s="700" customFormat="1" ht="70.5" hidden="1" customHeight="1">
      <c r="C13149" s="701"/>
      <c r="D13149" s="811"/>
      <c r="E13149" s="1276">
        <f>[11]building!Y13480</f>
        <v>0</v>
      </c>
      <c r="F13149" s="748">
        <f t="shared" si="444"/>
        <v>0</v>
      </c>
      <c r="G13149" s="1205"/>
      <c r="H13149" s="1055"/>
      <c r="I13149" s="1055"/>
      <c r="J13149" s="1055"/>
      <c r="K13149" s="1205"/>
      <c r="L13149" s="1055"/>
      <c r="M13149" s="1205"/>
      <c r="N13149" s="1054"/>
      <c r="O13149" s="1207"/>
      <c r="Q13149" s="1207"/>
    </row>
    <row r="13150" spans="3:17" s="700" customFormat="1" ht="70.5" hidden="1" customHeight="1">
      <c r="C13150" s="701"/>
      <c r="D13150" s="811"/>
      <c r="E13150" s="1276">
        <f>[11]building!Y13481</f>
        <v>0</v>
      </c>
      <c r="F13150" s="748">
        <f t="shared" si="444"/>
        <v>0</v>
      </c>
      <c r="G13150" s="1205"/>
      <c r="H13150" s="1055"/>
      <c r="I13150" s="1055"/>
      <c r="J13150" s="1055"/>
      <c r="K13150" s="1205"/>
      <c r="L13150" s="1055"/>
      <c r="M13150" s="1205"/>
      <c r="N13150" s="1054"/>
      <c r="O13150" s="1207"/>
      <c r="Q13150" s="1207"/>
    </row>
    <row r="13151" spans="3:17" s="700" customFormat="1" ht="70.5" hidden="1" customHeight="1">
      <c r="C13151" s="701"/>
      <c r="D13151" s="811"/>
      <c r="E13151" s="1276">
        <f>[11]building!Y13482</f>
        <v>0</v>
      </c>
      <c r="F13151" s="748">
        <f t="shared" si="444"/>
        <v>0</v>
      </c>
      <c r="G13151" s="1205"/>
      <c r="H13151" s="1055"/>
      <c r="I13151" s="1055"/>
      <c r="J13151" s="1055"/>
      <c r="K13151" s="1205"/>
      <c r="L13151" s="1055"/>
      <c r="M13151" s="1205"/>
      <c r="N13151" s="1054"/>
      <c r="O13151" s="1207"/>
      <c r="Q13151" s="1207"/>
    </row>
    <row r="13152" spans="3:17" s="700" customFormat="1" ht="70.5" hidden="1" customHeight="1">
      <c r="C13152" s="701"/>
      <c r="D13152" s="811"/>
      <c r="E13152" s="1276">
        <f>[11]building!Y13483</f>
        <v>0</v>
      </c>
      <c r="F13152" s="748">
        <f t="shared" si="444"/>
        <v>0</v>
      </c>
      <c r="G13152" s="1205"/>
      <c r="H13152" s="1055"/>
      <c r="I13152" s="1055"/>
      <c r="J13152" s="1055"/>
      <c r="K13152" s="1205"/>
      <c r="L13152" s="1055"/>
      <c r="M13152" s="1205"/>
      <c r="N13152" s="1054"/>
      <c r="O13152" s="1207"/>
      <c r="Q13152" s="1207"/>
    </row>
    <row r="13153" spans="3:17" s="700" customFormat="1" ht="70.5" hidden="1" customHeight="1">
      <c r="C13153" s="701"/>
      <c r="D13153" s="811"/>
      <c r="E13153" s="1276">
        <f>[11]building!Y13484</f>
        <v>0</v>
      </c>
      <c r="F13153" s="748">
        <f t="shared" si="444"/>
        <v>0</v>
      </c>
      <c r="G13153" s="1205"/>
      <c r="H13153" s="1055"/>
      <c r="I13153" s="1055"/>
      <c r="J13153" s="1055"/>
      <c r="K13153" s="1205"/>
      <c r="L13153" s="1055"/>
      <c r="M13153" s="1205"/>
      <c r="N13153" s="1054"/>
      <c r="O13153" s="1207"/>
      <c r="Q13153" s="1207"/>
    </row>
    <row r="13154" spans="3:17" s="700" customFormat="1" ht="70.5" hidden="1" customHeight="1">
      <c r="C13154" s="701"/>
      <c r="D13154" s="811"/>
      <c r="E13154" s="1276">
        <f>[11]building!Y13485</f>
        <v>0</v>
      </c>
      <c r="F13154" s="748">
        <f t="shared" si="444"/>
        <v>0</v>
      </c>
      <c r="G13154" s="1205"/>
      <c r="H13154" s="1055"/>
      <c r="I13154" s="1055"/>
      <c r="J13154" s="1055"/>
      <c r="K13154" s="1205"/>
      <c r="L13154" s="1055"/>
      <c r="M13154" s="1205"/>
      <c r="N13154" s="1054"/>
      <c r="O13154" s="1207"/>
      <c r="Q13154" s="1207"/>
    </row>
    <row r="13155" spans="3:17" s="700" customFormat="1" ht="70.5" hidden="1" customHeight="1">
      <c r="C13155" s="701"/>
      <c r="D13155" s="811"/>
      <c r="E13155" s="1276">
        <f>[11]building!Y13486</f>
        <v>0</v>
      </c>
      <c r="F13155" s="748">
        <f t="shared" si="444"/>
        <v>0</v>
      </c>
      <c r="G13155" s="1205"/>
      <c r="H13155" s="1055"/>
      <c r="I13155" s="1055"/>
      <c r="J13155" s="1055"/>
      <c r="K13155" s="1205"/>
      <c r="L13155" s="1055"/>
      <c r="M13155" s="1205"/>
      <c r="N13155" s="1054"/>
      <c r="O13155" s="1207"/>
      <c r="Q13155" s="1207"/>
    </row>
    <row r="13156" spans="3:17" s="700" customFormat="1" ht="70.5" hidden="1" customHeight="1">
      <c r="C13156" s="701"/>
      <c r="D13156" s="811"/>
      <c r="E13156" s="1276">
        <f>[11]building!Y13487</f>
        <v>0</v>
      </c>
      <c r="F13156" s="748">
        <f t="shared" si="444"/>
        <v>0</v>
      </c>
      <c r="G13156" s="1205"/>
      <c r="H13156" s="1055"/>
      <c r="I13156" s="1055"/>
      <c r="J13156" s="1055"/>
      <c r="K13156" s="1205"/>
      <c r="L13156" s="1055"/>
      <c r="M13156" s="1205"/>
      <c r="N13156" s="1054"/>
      <c r="O13156" s="1207"/>
      <c r="Q13156" s="1207"/>
    </row>
    <row r="13157" spans="3:17" s="700" customFormat="1" ht="70.5" hidden="1" customHeight="1">
      <c r="C13157" s="701"/>
      <c r="D13157" s="811"/>
      <c r="E13157" s="1276">
        <f>[11]building!Y13488</f>
        <v>0</v>
      </c>
      <c r="F13157" s="748">
        <f t="shared" si="444"/>
        <v>0</v>
      </c>
      <c r="G13157" s="1205"/>
      <c r="H13157" s="1055"/>
      <c r="I13157" s="1055"/>
      <c r="J13157" s="1055"/>
      <c r="K13157" s="1205"/>
      <c r="L13157" s="1055"/>
      <c r="M13157" s="1205"/>
      <c r="N13157" s="1054"/>
      <c r="O13157" s="1207"/>
      <c r="Q13157" s="1207"/>
    </row>
    <row r="13158" spans="3:17" s="700" customFormat="1" ht="70.5" hidden="1" customHeight="1">
      <c r="C13158" s="701"/>
      <c r="D13158" s="811"/>
      <c r="E13158" s="1276">
        <f>[11]building!Y13489</f>
        <v>0</v>
      </c>
      <c r="F13158" s="748">
        <f t="shared" si="444"/>
        <v>0</v>
      </c>
      <c r="G13158" s="1205"/>
      <c r="H13158" s="1055"/>
      <c r="I13158" s="1055"/>
      <c r="J13158" s="1055"/>
      <c r="K13158" s="1205"/>
      <c r="L13158" s="1055"/>
      <c r="M13158" s="1205"/>
      <c r="N13158" s="1054"/>
      <c r="O13158" s="1207"/>
      <c r="Q13158" s="1207"/>
    </row>
    <row r="13159" spans="3:17" s="700" customFormat="1" ht="70.5" hidden="1" customHeight="1">
      <c r="C13159" s="701"/>
      <c r="D13159" s="811"/>
      <c r="E13159" s="1276">
        <f>[11]building!Y13490</f>
        <v>0</v>
      </c>
      <c r="F13159" s="748">
        <f t="shared" si="444"/>
        <v>0</v>
      </c>
      <c r="G13159" s="1205"/>
      <c r="H13159" s="1055"/>
      <c r="I13159" s="1055"/>
      <c r="J13159" s="1055"/>
      <c r="K13159" s="1205"/>
      <c r="L13159" s="1055"/>
      <c r="M13159" s="1205"/>
      <c r="N13159" s="1054"/>
      <c r="O13159" s="1207"/>
      <c r="Q13159" s="1207"/>
    </row>
    <row r="13160" spans="3:17" s="700" customFormat="1" ht="70.5" hidden="1" customHeight="1">
      <c r="C13160" s="701"/>
      <c r="D13160" s="811"/>
      <c r="E13160" s="1276">
        <f>[11]building!Y13491</f>
        <v>0</v>
      </c>
      <c r="F13160" s="748">
        <f t="shared" si="444"/>
        <v>0</v>
      </c>
      <c r="G13160" s="1205"/>
      <c r="H13160" s="1055"/>
      <c r="I13160" s="1055"/>
      <c r="J13160" s="1055"/>
      <c r="K13160" s="1205"/>
      <c r="L13160" s="1055"/>
      <c r="M13160" s="1205"/>
      <c r="N13160" s="1054"/>
      <c r="O13160" s="1207"/>
      <c r="Q13160" s="1207"/>
    </row>
    <row r="13161" spans="3:17" s="700" customFormat="1" ht="70.5" hidden="1" customHeight="1">
      <c r="C13161" s="701"/>
      <c r="D13161" s="811"/>
      <c r="E13161" s="1276">
        <f>[11]building!Y13492</f>
        <v>0</v>
      </c>
      <c r="F13161" s="748">
        <f t="shared" si="444"/>
        <v>0</v>
      </c>
      <c r="G13161" s="1205"/>
      <c r="H13161" s="1055"/>
      <c r="I13161" s="1055"/>
      <c r="J13161" s="1055"/>
      <c r="K13161" s="1205"/>
      <c r="L13161" s="1055"/>
      <c r="M13161" s="1205"/>
      <c r="N13161" s="1054"/>
      <c r="O13161" s="1207"/>
      <c r="Q13161" s="1207"/>
    </row>
    <row r="13162" spans="3:17" s="700" customFormat="1" ht="70.5" hidden="1" customHeight="1">
      <c r="C13162" s="701"/>
      <c r="D13162" s="811"/>
      <c r="E13162" s="1276">
        <f>[11]building!Y13493</f>
        <v>0</v>
      </c>
      <c r="F13162" s="748">
        <f t="shared" si="444"/>
        <v>0</v>
      </c>
      <c r="G13162" s="1205"/>
      <c r="H13162" s="1055"/>
      <c r="I13162" s="1055"/>
      <c r="J13162" s="1055"/>
      <c r="K13162" s="1205"/>
      <c r="L13162" s="1055"/>
      <c r="M13162" s="1205"/>
      <c r="N13162" s="1054"/>
      <c r="O13162" s="1207"/>
      <c r="Q13162" s="1207"/>
    </row>
    <row r="13163" spans="3:17" s="700" customFormat="1" ht="70.5" hidden="1" customHeight="1">
      <c r="C13163" s="701"/>
      <c r="D13163" s="811"/>
      <c r="E13163" s="1276">
        <f>[11]building!Y13494</f>
        <v>0</v>
      </c>
      <c r="F13163" s="748">
        <f t="shared" si="444"/>
        <v>0</v>
      </c>
      <c r="G13163" s="1205"/>
      <c r="H13163" s="1055"/>
      <c r="I13163" s="1055"/>
      <c r="J13163" s="1055"/>
      <c r="K13163" s="1205"/>
      <c r="L13163" s="1055"/>
      <c r="M13163" s="1205"/>
      <c r="N13163" s="1054"/>
      <c r="O13163" s="1207"/>
      <c r="Q13163" s="1207"/>
    </row>
    <row r="13164" spans="3:17" s="700" customFormat="1" ht="70.5" hidden="1" customHeight="1">
      <c r="C13164" s="701"/>
      <c r="D13164" s="811"/>
      <c r="E13164" s="1276">
        <f>[11]building!Y13495</f>
        <v>0</v>
      </c>
      <c r="F13164" s="748">
        <f t="shared" si="444"/>
        <v>0</v>
      </c>
      <c r="G13164" s="1205"/>
      <c r="H13164" s="1055"/>
      <c r="I13164" s="1055"/>
      <c r="J13164" s="1055"/>
      <c r="K13164" s="1205"/>
      <c r="L13164" s="1055"/>
      <c r="M13164" s="1205"/>
      <c r="N13164" s="1054"/>
      <c r="O13164" s="1207"/>
      <c r="Q13164" s="1207"/>
    </row>
    <row r="13165" spans="3:17" s="700" customFormat="1" ht="70.5" hidden="1" customHeight="1">
      <c r="C13165" s="701"/>
      <c r="D13165" s="811"/>
      <c r="E13165" s="1276">
        <f>[11]building!Y13496</f>
        <v>0</v>
      </c>
      <c r="F13165" s="748">
        <f t="shared" si="444"/>
        <v>0</v>
      </c>
      <c r="G13165" s="1205"/>
      <c r="H13165" s="1055"/>
      <c r="I13165" s="1055"/>
      <c r="J13165" s="1055"/>
      <c r="K13165" s="1205"/>
      <c r="L13165" s="1055"/>
      <c r="M13165" s="1205"/>
      <c r="N13165" s="1054"/>
      <c r="O13165" s="1207"/>
      <c r="Q13165" s="1207"/>
    </row>
    <row r="13166" spans="3:17" s="700" customFormat="1" ht="70.5" hidden="1" customHeight="1">
      <c r="C13166" s="701"/>
      <c r="D13166" s="811"/>
      <c r="E13166" s="1276">
        <f>[11]building!Y13497</f>
        <v>0</v>
      </c>
      <c r="F13166" s="748">
        <f t="shared" si="444"/>
        <v>0</v>
      </c>
      <c r="G13166" s="1205"/>
      <c r="H13166" s="1055"/>
      <c r="I13166" s="1055"/>
      <c r="J13166" s="1055"/>
      <c r="K13166" s="1205"/>
      <c r="L13166" s="1055"/>
      <c r="M13166" s="1205"/>
      <c r="N13166" s="1054"/>
      <c r="O13166" s="1207"/>
      <c r="Q13166" s="1207"/>
    </row>
    <row r="13167" spans="3:17" s="700" customFormat="1" ht="70.5" hidden="1" customHeight="1">
      <c r="C13167" s="701"/>
      <c r="D13167" s="811"/>
      <c r="E13167" s="1276">
        <f>[11]building!Y13498</f>
        <v>0</v>
      </c>
      <c r="F13167" s="748">
        <f t="shared" si="444"/>
        <v>0</v>
      </c>
      <c r="G13167" s="1205"/>
      <c r="H13167" s="1055"/>
      <c r="I13167" s="1055"/>
      <c r="J13167" s="1055"/>
      <c r="K13167" s="1205"/>
      <c r="L13167" s="1055"/>
      <c r="M13167" s="1205"/>
      <c r="N13167" s="1054"/>
      <c r="O13167" s="1207"/>
      <c r="Q13167" s="1207"/>
    </row>
    <row r="13168" spans="3:17" s="700" customFormat="1" ht="70.5" hidden="1" customHeight="1">
      <c r="C13168" s="701"/>
      <c r="D13168" s="811"/>
      <c r="E13168" s="1276">
        <f>[11]building!Y13499</f>
        <v>0</v>
      </c>
      <c r="F13168" s="748">
        <f t="shared" si="444"/>
        <v>0</v>
      </c>
      <c r="G13168" s="1205"/>
      <c r="H13168" s="1055"/>
      <c r="I13168" s="1055"/>
      <c r="J13168" s="1055"/>
      <c r="K13168" s="1205"/>
      <c r="L13168" s="1055"/>
      <c r="M13168" s="1205"/>
      <c r="N13168" s="1054"/>
      <c r="O13168" s="1207"/>
      <c r="Q13168" s="1207"/>
    </row>
    <row r="13169" spans="3:17" s="700" customFormat="1" ht="70.5" hidden="1" customHeight="1">
      <c r="C13169" s="701"/>
      <c r="D13169" s="811"/>
      <c r="E13169" s="1276">
        <f>[11]building!Y13500</f>
        <v>0</v>
      </c>
      <c r="F13169" s="748">
        <f t="shared" si="444"/>
        <v>0</v>
      </c>
      <c r="G13169" s="1205"/>
      <c r="H13169" s="1055"/>
      <c r="I13169" s="1055"/>
      <c r="J13169" s="1055"/>
      <c r="K13169" s="1205"/>
      <c r="L13169" s="1055"/>
      <c r="M13169" s="1205"/>
      <c r="N13169" s="1054"/>
      <c r="O13169" s="1207"/>
      <c r="Q13169" s="1207"/>
    </row>
    <row r="13170" spans="3:17" s="700" customFormat="1" ht="70.5" hidden="1" customHeight="1">
      <c r="C13170" s="701"/>
      <c r="D13170" s="811"/>
      <c r="E13170" s="1276">
        <f>[11]building!Y13501</f>
        <v>0</v>
      </c>
      <c r="F13170" s="748">
        <f t="shared" si="444"/>
        <v>0</v>
      </c>
      <c r="G13170" s="1205"/>
      <c r="H13170" s="1055"/>
      <c r="I13170" s="1055"/>
      <c r="J13170" s="1055"/>
      <c r="K13170" s="1205"/>
      <c r="L13170" s="1055"/>
      <c r="M13170" s="1205"/>
      <c r="N13170" s="1054"/>
      <c r="O13170" s="1207"/>
      <c r="Q13170" s="1207"/>
    </row>
    <row r="13171" spans="3:17" s="700" customFormat="1" ht="70.5" hidden="1" customHeight="1">
      <c r="C13171" s="701"/>
      <c r="D13171" s="811"/>
      <c r="E13171" s="1276">
        <f>[11]building!Y13502</f>
        <v>0</v>
      </c>
      <c r="F13171" s="748">
        <f t="shared" si="444"/>
        <v>0</v>
      </c>
      <c r="G13171" s="1205"/>
      <c r="H13171" s="1055"/>
      <c r="I13171" s="1055"/>
      <c r="J13171" s="1055"/>
      <c r="K13171" s="1205"/>
      <c r="L13171" s="1055"/>
      <c r="M13171" s="1205"/>
      <c r="N13171" s="1054"/>
      <c r="O13171" s="1207"/>
      <c r="Q13171" s="1207"/>
    </row>
    <row r="13172" spans="3:17" s="700" customFormat="1" ht="70.5" hidden="1" customHeight="1">
      <c r="C13172" s="701"/>
      <c r="D13172" s="811"/>
      <c r="E13172" s="1276">
        <f>[11]building!Y13503</f>
        <v>0</v>
      </c>
      <c r="F13172" s="748">
        <f t="shared" si="444"/>
        <v>0</v>
      </c>
      <c r="G13172" s="1205"/>
      <c r="H13172" s="1055"/>
      <c r="I13172" s="1055"/>
      <c r="J13172" s="1055"/>
      <c r="K13172" s="1205"/>
      <c r="L13172" s="1055"/>
      <c r="M13172" s="1205"/>
      <c r="N13172" s="1054"/>
      <c r="O13172" s="1207"/>
      <c r="Q13172" s="1207"/>
    </row>
    <row r="13173" spans="3:17" s="700" customFormat="1" ht="70.5" hidden="1" customHeight="1">
      <c r="C13173" s="701"/>
      <c r="D13173" s="811"/>
      <c r="E13173" s="1276">
        <f>[11]building!Y13504</f>
        <v>0</v>
      </c>
      <c r="F13173" s="748">
        <f t="shared" si="444"/>
        <v>0</v>
      </c>
      <c r="G13173" s="1205"/>
      <c r="H13173" s="1055"/>
      <c r="I13173" s="1055"/>
      <c r="J13173" s="1055"/>
      <c r="K13173" s="1205"/>
      <c r="L13173" s="1055"/>
      <c r="M13173" s="1205"/>
      <c r="N13173" s="1054"/>
      <c r="O13173" s="1207"/>
      <c r="Q13173" s="1207"/>
    </row>
    <row r="13174" spans="3:17" s="700" customFormat="1" ht="70.5" hidden="1" customHeight="1">
      <c r="C13174" s="701"/>
      <c r="D13174" s="811"/>
      <c r="E13174" s="1276">
        <f>[11]building!Y13505</f>
        <v>0</v>
      </c>
      <c r="F13174" s="748">
        <f t="shared" si="444"/>
        <v>0</v>
      </c>
      <c r="G13174" s="1205"/>
      <c r="H13174" s="1055"/>
      <c r="I13174" s="1055"/>
      <c r="J13174" s="1055"/>
      <c r="K13174" s="1205"/>
      <c r="L13174" s="1055"/>
      <c r="M13174" s="1205"/>
      <c r="N13174" s="1054"/>
      <c r="O13174" s="1207"/>
      <c r="Q13174" s="1207"/>
    </row>
    <row r="13175" spans="3:17" s="700" customFormat="1" ht="70.5" hidden="1" customHeight="1">
      <c r="C13175" s="701"/>
      <c r="D13175" s="811"/>
      <c r="E13175" s="1276">
        <f>[11]building!Y13506</f>
        <v>0</v>
      </c>
      <c r="F13175" s="748">
        <f t="shared" si="444"/>
        <v>0</v>
      </c>
      <c r="G13175" s="1205"/>
      <c r="H13175" s="1055"/>
      <c r="I13175" s="1055"/>
      <c r="J13175" s="1055"/>
      <c r="K13175" s="1205"/>
      <c r="L13175" s="1055"/>
      <c r="M13175" s="1205"/>
      <c r="N13175" s="1054"/>
      <c r="O13175" s="1207"/>
      <c r="Q13175" s="1207"/>
    </row>
    <row r="13176" spans="3:17" s="700" customFormat="1" ht="70.5" hidden="1" customHeight="1">
      <c r="C13176" s="701"/>
      <c r="D13176" s="811"/>
      <c r="E13176" s="1276">
        <f>[11]building!Y13507</f>
        <v>0</v>
      </c>
      <c r="F13176" s="748">
        <f t="shared" si="444"/>
        <v>0</v>
      </c>
      <c r="G13176" s="1205"/>
      <c r="H13176" s="1055"/>
      <c r="I13176" s="1055"/>
      <c r="J13176" s="1055"/>
      <c r="K13176" s="1205"/>
      <c r="L13176" s="1055"/>
      <c r="M13176" s="1205"/>
      <c r="N13176" s="1054"/>
      <c r="O13176" s="1207"/>
      <c r="Q13176" s="1207"/>
    </row>
    <row r="13177" spans="3:17" s="700" customFormat="1" ht="70.5" hidden="1" customHeight="1">
      <c r="C13177" s="701"/>
      <c r="D13177" s="811"/>
      <c r="E13177" s="1276">
        <f>[11]building!Y13508</f>
        <v>0</v>
      </c>
      <c r="F13177" s="748">
        <f t="shared" si="444"/>
        <v>0</v>
      </c>
      <c r="G13177" s="1205"/>
      <c r="H13177" s="1055"/>
      <c r="I13177" s="1055"/>
      <c r="J13177" s="1055"/>
      <c r="K13177" s="1205"/>
      <c r="L13177" s="1055"/>
      <c r="M13177" s="1205"/>
      <c r="N13177" s="1054"/>
      <c r="O13177" s="1207"/>
      <c r="Q13177" s="1207"/>
    </row>
    <row r="13178" spans="3:17" s="700" customFormat="1" ht="70.5" hidden="1" customHeight="1">
      <c r="C13178" s="701"/>
      <c r="D13178" s="811"/>
      <c r="E13178" s="1276">
        <f>[11]building!Y13509</f>
        <v>0</v>
      </c>
      <c r="F13178" s="748">
        <f t="shared" si="444"/>
        <v>0</v>
      </c>
      <c r="G13178" s="1205"/>
      <c r="H13178" s="1055"/>
      <c r="I13178" s="1055"/>
      <c r="J13178" s="1055"/>
      <c r="K13178" s="1205"/>
      <c r="L13178" s="1055"/>
      <c r="M13178" s="1205"/>
      <c r="N13178" s="1054"/>
      <c r="O13178" s="1207"/>
      <c r="Q13178" s="1207"/>
    </row>
    <row r="13179" spans="3:17" s="700" customFormat="1" ht="70.5" hidden="1" customHeight="1">
      <c r="C13179" s="701"/>
      <c r="D13179" s="811"/>
      <c r="E13179" s="1276">
        <f>[11]building!Y13510</f>
        <v>0</v>
      </c>
      <c r="F13179" s="748">
        <f t="shared" si="444"/>
        <v>0</v>
      </c>
      <c r="G13179" s="1205"/>
      <c r="H13179" s="1055"/>
      <c r="I13179" s="1055"/>
      <c r="J13179" s="1055"/>
      <c r="K13179" s="1205"/>
      <c r="L13179" s="1055"/>
      <c r="M13179" s="1205"/>
      <c r="N13179" s="1054"/>
      <c r="O13179" s="1207"/>
      <c r="Q13179" s="1207"/>
    </row>
    <row r="13180" spans="3:17" s="700" customFormat="1" ht="70.5" hidden="1" customHeight="1">
      <c r="C13180" s="701"/>
      <c r="D13180" s="811"/>
      <c r="E13180" s="1276">
        <f>[11]building!Y13511</f>
        <v>0</v>
      </c>
      <c r="F13180" s="748">
        <f t="shared" si="444"/>
        <v>0</v>
      </c>
      <c r="G13180" s="1205"/>
      <c r="H13180" s="1055"/>
      <c r="I13180" s="1055"/>
      <c r="J13180" s="1055"/>
      <c r="K13180" s="1205"/>
      <c r="L13180" s="1055"/>
      <c r="M13180" s="1205"/>
      <c r="N13180" s="1054"/>
      <c r="O13180" s="1207"/>
      <c r="Q13180" s="1207"/>
    </row>
    <row r="13181" spans="3:17" s="700" customFormat="1" ht="70.5" hidden="1" customHeight="1">
      <c r="C13181" s="701"/>
      <c r="D13181" s="811"/>
      <c r="E13181" s="1276">
        <f>[11]building!Y13512</f>
        <v>0</v>
      </c>
      <c r="F13181" s="748">
        <f t="shared" si="444"/>
        <v>0</v>
      </c>
      <c r="G13181" s="1205"/>
      <c r="H13181" s="1055"/>
      <c r="I13181" s="1055"/>
      <c r="J13181" s="1055"/>
      <c r="K13181" s="1205"/>
      <c r="L13181" s="1055"/>
      <c r="M13181" s="1205"/>
      <c r="N13181" s="1054"/>
      <c r="O13181" s="1207"/>
      <c r="Q13181" s="1207"/>
    </row>
    <row r="13182" spans="3:17" s="700" customFormat="1" ht="70.5" hidden="1" customHeight="1">
      <c r="C13182" s="701"/>
      <c r="D13182" s="811"/>
      <c r="E13182" s="1276">
        <f>[11]building!Y13513</f>
        <v>0</v>
      </c>
      <c r="F13182" s="748">
        <f t="shared" si="444"/>
        <v>0</v>
      </c>
      <c r="G13182" s="1205"/>
      <c r="H13182" s="1055"/>
      <c r="I13182" s="1055"/>
      <c r="J13182" s="1055"/>
      <c r="K13182" s="1205"/>
      <c r="L13182" s="1055"/>
      <c r="M13182" s="1205"/>
      <c r="N13182" s="1054"/>
      <c r="O13182" s="1207"/>
      <c r="Q13182" s="1207"/>
    </row>
    <row r="13183" spans="3:17" s="700" customFormat="1" ht="70.5" hidden="1" customHeight="1">
      <c r="C13183" s="701"/>
      <c r="D13183" s="811"/>
      <c r="E13183" s="1276">
        <f>[11]building!Y13514</f>
        <v>0</v>
      </c>
      <c r="F13183" s="748">
        <f t="shared" si="444"/>
        <v>0</v>
      </c>
      <c r="G13183" s="1205"/>
      <c r="H13183" s="1055"/>
      <c r="I13183" s="1055"/>
      <c r="J13183" s="1055"/>
      <c r="K13183" s="1205"/>
      <c r="L13183" s="1055"/>
      <c r="M13183" s="1205"/>
      <c r="N13183" s="1054"/>
      <c r="O13183" s="1207"/>
      <c r="Q13183" s="1207"/>
    </row>
    <row r="13184" spans="3:17" s="700" customFormat="1" ht="70.5" hidden="1" customHeight="1">
      <c r="C13184" s="701"/>
      <c r="D13184" s="811"/>
      <c r="E13184" s="1276">
        <f>[11]building!Y13515</f>
        <v>0</v>
      </c>
      <c r="F13184" s="748">
        <f t="shared" ref="F13184:F13247" si="445">E13184*C13184</f>
        <v>0</v>
      </c>
      <c r="G13184" s="1205"/>
      <c r="H13184" s="1055"/>
      <c r="I13184" s="1055"/>
      <c r="J13184" s="1055"/>
      <c r="K13184" s="1205"/>
      <c r="L13184" s="1055"/>
      <c r="M13184" s="1205"/>
      <c r="N13184" s="1054"/>
      <c r="O13184" s="1207"/>
      <c r="Q13184" s="1207"/>
    </row>
    <row r="13185" spans="3:17" s="700" customFormat="1" ht="70.5" hidden="1" customHeight="1">
      <c r="C13185" s="701"/>
      <c r="D13185" s="811"/>
      <c r="E13185" s="1276">
        <f>[11]building!Y13516</f>
        <v>0</v>
      </c>
      <c r="F13185" s="748">
        <f t="shared" si="445"/>
        <v>0</v>
      </c>
      <c r="G13185" s="1205"/>
      <c r="H13185" s="1055"/>
      <c r="I13185" s="1055"/>
      <c r="J13185" s="1055"/>
      <c r="K13185" s="1205"/>
      <c r="L13185" s="1055"/>
      <c r="M13185" s="1205"/>
      <c r="N13185" s="1054"/>
      <c r="O13185" s="1207"/>
      <c r="Q13185" s="1207"/>
    </row>
    <row r="13186" spans="3:17" s="700" customFormat="1" ht="70.5" hidden="1" customHeight="1">
      <c r="C13186" s="701"/>
      <c r="D13186" s="811"/>
      <c r="E13186" s="1276">
        <f>[11]building!Y13517</f>
        <v>0</v>
      </c>
      <c r="F13186" s="748">
        <f t="shared" si="445"/>
        <v>0</v>
      </c>
      <c r="G13186" s="1205"/>
      <c r="H13186" s="1055"/>
      <c r="I13186" s="1055"/>
      <c r="J13186" s="1055"/>
      <c r="K13186" s="1205"/>
      <c r="L13186" s="1055"/>
      <c r="M13186" s="1205"/>
      <c r="N13186" s="1054"/>
      <c r="O13186" s="1207"/>
      <c r="Q13186" s="1207"/>
    </row>
    <row r="13187" spans="3:17" s="700" customFormat="1" ht="70.5" hidden="1" customHeight="1">
      <c r="C13187" s="701"/>
      <c r="D13187" s="811"/>
      <c r="E13187" s="1276">
        <f>[11]building!Y13518</f>
        <v>0</v>
      </c>
      <c r="F13187" s="748">
        <f t="shared" si="445"/>
        <v>0</v>
      </c>
      <c r="G13187" s="1205"/>
      <c r="H13187" s="1055"/>
      <c r="I13187" s="1055"/>
      <c r="J13187" s="1055"/>
      <c r="K13187" s="1205"/>
      <c r="L13187" s="1055"/>
      <c r="M13187" s="1205"/>
      <c r="N13187" s="1054"/>
      <c r="O13187" s="1207"/>
      <c r="Q13187" s="1207"/>
    </row>
    <row r="13188" spans="3:17" s="700" customFormat="1" ht="70.5" hidden="1" customHeight="1">
      <c r="C13188" s="701"/>
      <c r="D13188" s="811"/>
      <c r="E13188" s="1276">
        <f>[11]building!Y13519</f>
        <v>0</v>
      </c>
      <c r="F13188" s="748">
        <f t="shared" si="445"/>
        <v>0</v>
      </c>
      <c r="G13188" s="1205"/>
      <c r="H13188" s="1055"/>
      <c r="I13188" s="1055"/>
      <c r="J13188" s="1055"/>
      <c r="K13188" s="1205"/>
      <c r="L13188" s="1055"/>
      <c r="M13188" s="1205"/>
      <c r="N13188" s="1054"/>
      <c r="O13188" s="1207"/>
      <c r="Q13188" s="1207"/>
    </row>
    <row r="13189" spans="3:17" s="700" customFormat="1" ht="70.5" hidden="1" customHeight="1">
      <c r="C13189" s="701"/>
      <c r="D13189" s="811"/>
      <c r="E13189" s="1276">
        <f>[11]building!Y13520</f>
        <v>0</v>
      </c>
      <c r="F13189" s="748">
        <f t="shared" si="445"/>
        <v>0</v>
      </c>
      <c r="G13189" s="1205"/>
      <c r="H13189" s="1055"/>
      <c r="I13189" s="1055"/>
      <c r="J13189" s="1055"/>
      <c r="K13189" s="1205"/>
      <c r="L13189" s="1055"/>
      <c r="M13189" s="1205"/>
      <c r="N13189" s="1054"/>
      <c r="O13189" s="1207"/>
      <c r="Q13189" s="1207"/>
    </row>
    <row r="13190" spans="3:17" s="700" customFormat="1" ht="70.5" hidden="1" customHeight="1">
      <c r="C13190" s="701"/>
      <c r="D13190" s="811"/>
      <c r="E13190" s="1276">
        <f>[11]building!Y13521</f>
        <v>0</v>
      </c>
      <c r="F13190" s="748">
        <f t="shared" si="445"/>
        <v>0</v>
      </c>
      <c r="G13190" s="1205"/>
      <c r="H13190" s="1055"/>
      <c r="I13190" s="1055"/>
      <c r="J13190" s="1055"/>
      <c r="K13190" s="1205"/>
      <c r="L13190" s="1055"/>
      <c r="M13190" s="1205"/>
      <c r="N13190" s="1054"/>
      <c r="O13190" s="1207"/>
      <c r="Q13190" s="1207"/>
    </row>
    <row r="13191" spans="3:17" s="700" customFormat="1" ht="70.5" hidden="1" customHeight="1">
      <c r="C13191" s="701"/>
      <c r="D13191" s="811"/>
      <c r="E13191" s="1276">
        <f>[11]building!Y13522</f>
        <v>0</v>
      </c>
      <c r="F13191" s="748">
        <f t="shared" si="445"/>
        <v>0</v>
      </c>
      <c r="G13191" s="1205"/>
      <c r="H13191" s="1055"/>
      <c r="I13191" s="1055"/>
      <c r="J13191" s="1055"/>
      <c r="K13191" s="1205"/>
      <c r="L13191" s="1055"/>
      <c r="M13191" s="1205"/>
      <c r="N13191" s="1054"/>
      <c r="O13191" s="1207"/>
      <c r="Q13191" s="1207"/>
    </row>
    <row r="13192" spans="3:17" s="700" customFormat="1" ht="70.5" hidden="1" customHeight="1">
      <c r="C13192" s="701"/>
      <c r="D13192" s="811"/>
      <c r="E13192" s="1276">
        <f>[11]building!Y13523</f>
        <v>0</v>
      </c>
      <c r="F13192" s="748">
        <f t="shared" si="445"/>
        <v>0</v>
      </c>
      <c r="G13192" s="1205"/>
      <c r="H13192" s="1055"/>
      <c r="I13192" s="1055"/>
      <c r="J13192" s="1055"/>
      <c r="K13192" s="1205"/>
      <c r="L13192" s="1055"/>
      <c r="M13192" s="1205"/>
      <c r="N13192" s="1054"/>
      <c r="O13192" s="1207"/>
      <c r="Q13192" s="1207"/>
    </row>
    <row r="13193" spans="3:17" s="700" customFormat="1" ht="70.5" hidden="1" customHeight="1">
      <c r="C13193" s="701"/>
      <c r="D13193" s="811"/>
      <c r="E13193" s="1276">
        <f>[11]building!Y13524</f>
        <v>0</v>
      </c>
      <c r="F13193" s="748">
        <f t="shared" si="445"/>
        <v>0</v>
      </c>
      <c r="G13193" s="1205"/>
      <c r="H13193" s="1055"/>
      <c r="I13193" s="1055"/>
      <c r="J13193" s="1055"/>
      <c r="K13193" s="1205"/>
      <c r="L13193" s="1055"/>
      <c r="M13193" s="1205"/>
      <c r="N13193" s="1054"/>
      <c r="O13193" s="1207"/>
      <c r="Q13193" s="1207"/>
    </row>
    <row r="13194" spans="3:17" s="700" customFormat="1" ht="70.5" hidden="1" customHeight="1">
      <c r="C13194" s="701"/>
      <c r="D13194" s="811"/>
      <c r="E13194" s="1276">
        <f>[11]building!Y13525</f>
        <v>0</v>
      </c>
      <c r="F13194" s="748">
        <f t="shared" si="445"/>
        <v>0</v>
      </c>
      <c r="G13194" s="1205"/>
      <c r="H13194" s="1055"/>
      <c r="I13194" s="1055"/>
      <c r="J13194" s="1055"/>
      <c r="K13194" s="1205"/>
      <c r="L13194" s="1055"/>
      <c r="M13194" s="1205"/>
      <c r="N13194" s="1054"/>
      <c r="O13194" s="1207"/>
      <c r="Q13194" s="1207"/>
    </row>
    <row r="13195" spans="3:17" s="700" customFormat="1" ht="70.5" hidden="1" customHeight="1">
      <c r="C13195" s="701"/>
      <c r="D13195" s="811"/>
      <c r="E13195" s="1276">
        <f>[11]building!Y13526</f>
        <v>0</v>
      </c>
      <c r="F13195" s="748">
        <f t="shared" si="445"/>
        <v>0</v>
      </c>
      <c r="G13195" s="1205"/>
      <c r="H13195" s="1055"/>
      <c r="I13195" s="1055"/>
      <c r="J13195" s="1055"/>
      <c r="K13195" s="1205"/>
      <c r="L13195" s="1055"/>
      <c r="M13195" s="1205"/>
      <c r="N13195" s="1054"/>
      <c r="O13195" s="1207"/>
      <c r="Q13195" s="1207"/>
    </row>
    <row r="13196" spans="3:17" s="700" customFormat="1" ht="70.5" hidden="1" customHeight="1">
      <c r="C13196" s="701"/>
      <c r="D13196" s="811"/>
      <c r="E13196" s="1276">
        <f>[11]building!Y13527</f>
        <v>0</v>
      </c>
      <c r="F13196" s="748">
        <f t="shared" si="445"/>
        <v>0</v>
      </c>
      <c r="G13196" s="1205"/>
      <c r="H13196" s="1055"/>
      <c r="I13196" s="1055"/>
      <c r="J13196" s="1055"/>
      <c r="K13196" s="1205"/>
      <c r="L13196" s="1055"/>
      <c r="M13196" s="1205"/>
      <c r="N13196" s="1054"/>
      <c r="O13196" s="1207"/>
      <c r="Q13196" s="1207"/>
    </row>
    <row r="13197" spans="3:17" s="700" customFormat="1" ht="70.5" hidden="1" customHeight="1">
      <c r="C13197" s="701"/>
      <c r="D13197" s="811"/>
      <c r="E13197" s="1276">
        <f>[11]building!Y13528</f>
        <v>0</v>
      </c>
      <c r="F13197" s="748">
        <f t="shared" si="445"/>
        <v>0</v>
      </c>
      <c r="G13197" s="1205"/>
      <c r="H13197" s="1055"/>
      <c r="I13197" s="1055"/>
      <c r="J13197" s="1055"/>
      <c r="K13197" s="1205"/>
      <c r="L13197" s="1055"/>
      <c r="M13197" s="1205"/>
      <c r="N13197" s="1054"/>
      <c r="O13197" s="1207"/>
      <c r="Q13197" s="1207"/>
    </row>
    <row r="13198" spans="3:17" s="700" customFormat="1" ht="70.5" hidden="1" customHeight="1">
      <c r="C13198" s="701"/>
      <c r="D13198" s="811"/>
      <c r="E13198" s="1276">
        <f>[11]building!Y13529</f>
        <v>0</v>
      </c>
      <c r="F13198" s="748">
        <f t="shared" si="445"/>
        <v>0</v>
      </c>
      <c r="G13198" s="1205"/>
      <c r="H13198" s="1055"/>
      <c r="I13198" s="1055"/>
      <c r="J13198" s="1055"/>
      <c r="K13198" s="1205"/>
      <c r="L13198" s="1055"/>
      <c r="M13198" s="1205"/>
      <c r="N13198" s="1054"/>
      <c r="O13198" s="1207"/>
      <c r="Q13198" s="1207"/>
    </row>
    <row r="13199" spans="3:17" s="700" customFormat="1" ht="70.5" hidden="1" customHeight="1">
      <c r="C13199" s="701"/>
      <c r="D13199" s="811"/>
      <c r="E13199" s="1276">
        <f>[11]building!Y13530</f>
        <v>0</v>
      </c>
      <c r="F13199" s="748">
        <f t="shared" si="445"/>
        <v>0</v>
      </c>
      <c r="G13199" s="1205"/>
      <c r="H13199" s="1055"/>
      <c r="I13199" s="1055"/>
      <c r="J13199" s="1055"/>
      <c r="K13199" s="1205"/>
      <c r="L13199" s="1055"/>
      <c r="M13199" s="1205"/>
      <c r="N13199" s="1054"/>
      <c r="O13199" s="1207"/>
      <c r="Q13199" s="1207"/>
    </row>
    <row r="13200" spans="3:17" s="700" customFormat="1" ht="70.5" hidden="1" customHeight="1">
      <c r="C13200" s="701"/>
      <c r="D13200" s="811"/>
      <c r="E13200" s="1276">
        <f>[11]building!Y13531</f>
        <v>0</v>
      </c>
      <c r="F13200" s="748">
        <f t="shared" si="445"/>
        <v>0</v>
      </c>
      <c r="G13200" s="1205"/>
      <c r="H13200" s="1055"/>
      <c r="I13200" s="1055"/>
      <c r="J13200" s="1055"/>
      <c r="K13200" s="1205"/>
      <c r="L13200" s="1055"/>
      <c r="M13200" s="1205"/>
      <c r="N13200" s="1054"/>
      <c r="O13200" s="1207"/>
      <c r="Q13200" s="1207"/>
    </row>
    <row r="13201" spans="3:17" s="700" customFormat="1" ht="70.5" hidden="1" customHeight="1">
      <c r="C13201" s="701"/>
      <c r="D13201" s="811"/>
      <c r="E13201" s="1276">
        <f>[11]building!Y13532</f>
        <v>0</v>
      </c>
      <c r="F13201" s="748">
        <f t="shared" si="445"/>
        <v>0</v>
      </c>
      <c r="G13201" s="1205"/>
      <c r="H13201" s="1055"/>
      <c r="I13201" s="1055"/>
      <c r="J13201" s="1055"/>
      <c r="K13201" s="1205"/>
      <c r="L13201" s="1055"/>
      <c r="M13201" s="1205"/>
      <c r="N13201" s="1054"/>
      <c r="O13201" s="1207"/>
      <c r="Q13201" s="1207"/>
    </row>
    <row r="13202" spans="3:17" s="700" customFormat="1" ht="70.5" hidden="1" customHeight="1">
      <c r="C13202" s="701"/>
      <c r="D13202" s="811"/>
      <c r="E13202" s="1276">
        <f>[11]building!Y13533</f>
        <v>0</v>
      </c>
      <c r="F13202" s="748">
        <f t="shared" si="445"/>
        <v>0</v>
      </c>
      <c r="G13202" s="1205"/>
      <c r="H13202" s="1055"/>
      <c r="I13202" s="1055"/>
      <c r="J13202" s="1055"/>
      <c r="K13202" s="1205"/>
      <c r="L13202" s="1055"/>
      <c r="M13202" s="1205"/>
      <c r="N13202" s="1054"/>
      <c r="O13202" s="1207"/>
      <c r="Q13202" s="1207"/>
    </row>
    <row r="13203" spans="3:17" s="700" customFormat="1" ht="70.5" hidden="1" customHeight="1">
      <c r="C13203" s="701"/>
      <c r="D13203" s="811"/>
      <c r="E13203" s="1276">
        <f>[11]building!Y13534</f>
        <v>0</v>
      </c>
      <c r="F13203" s="748">
        <f t="shared" si="445"/>
        <v>0</v>
      </c>
      <c r="G13203" s="1205"/>
      <c r="H13203" s="1055"/>
      <c r="I13203" s="1055"/>
      <c r="J13203" s="1055"/>
      <c r="K13203" s="1205"/>
      <c r="L13203" s="1055"/>
      <c r="M13203" s="1205"/>
      <c r="N13203" s="1054"/>
      <c r="O13203" s="1207"/>
      <c r="Q13203" s="1207"/>
    </row>
    <row r="13204" spans="3:17" s="700" customFormat="1" ht="70.5" hidden="1" customHeight="1">
      <c r="C13204" s="701"/>
      <c r="D13204" s="811"/>
      <c r="E13204" s="1276">
        <f>[11]building!Y13535</f>
        <v>0</v>
      </c>
      <c r="F13204" s="748">
        <f t="shared" si="445"/>
        <v>0</v>
      </c>
      <c r="G13204" s="1205"/>
      <c r="H13204" s="1055"/>
      <c r="I13204" s="1055"/>
      <c r="J13204" s="1055"/>
      <c r="K13204" s="1205"/>
      <c r="L13204" s="1055"/>
      <c r="M13204" s="1205"/>
      <c r="N13204" s="1054"/>
      <c r="O13204" s="1207"/>
      <c r="Q13204" s="1207"/>
    </row>
    <row r="13205" spans="3:17" s="700" customFormat="1" ht="70.5" hidden="1" customHeight="1">
      <c r="C13205" s="701"/>
      <c r="D13205" s="811"/>
      <c r="E13205" s="1276">
        <f>[11]building!Y13536</f>
        <v>0</v>
      </c>
      <c r="F13205" s="748">
        <f t="shared" si="445"/>
        <v>0</v>
      </c>
      <c r="G13205" s="1205"/>
      <c r="H13205" s="1055"/>
      <c r="I13205" s="1055"/>
      <c r="J13205" s="1055"/>
      <c r="K13205" s="1205"/>
      <c r="L13205" s="1055"/>
      <c r="M13205" s="1205"/>
      <c r="N13205" s="1054"/>
      <c r="O13205" s="1207"/>
      <c r="Q13205" s="1207"/>
    </row>
    <row r="13206" spans="3:17" s="700" customFormat="1" ht="70.5" hidden="1" customHeight="1">
      <c r="C13206" s="701"/>
      <c r="D13206" s="811"/>
      <c r="E13206" s="1276">
        <f>[11]building!Y13537</f>
        <v>0</v>
      </c>
      <c r="F13206" s="748">
        <f t="shared" si="445"/>
        <v>0</v>
      </c>
      <c r="G13206" s="1205"/>
      <c r="H13206" s="1055"/>
      <c r="I13206" s="1055"/>
      <c r="J13206" s="1055"/>
      <c r="K13206" s="1205"/>
      <c r="L13206" s="1055"/>
      <c r="M13206" s="1205"/>
      <c r="N13206" s="1054"/>
      <c r="O13206" s="1207"/>
      <c r="Q13206" s="1207"/>
    </row>
    <row r="13207" spans="3:17" s="700" customFormat="1" ht="70.5" hidden="1" customHeight="1">
      <c r="C13207" s="701"/>
      <c r="D13207" s="811"/>
      <c r="E13207" s="1276">
        <f>[11]building!Y13538</f>
        <v>0</v>
      </c>
      <c r="F13207" s="748">
        <f t="shared" si="445"/>
        <v>0</v>
      </c>
      <c r="G13207" s="1205"/>
      <c r="H13207" s="1055"/>
      <c r="I13207" s="1055"/>
      <c r="J13207" s="1055"/>
      <c r="K13207" s="1205"/>
      <c r="L13207" s="1055"/>
      <c r="M13207" s="1205"/>
      <c r="N13207" s="1054"/>
      <c r="O13207" s="1207"/>
      <c r="Q13207" s="1207"/>
    </row>
    <row r="13208" spans="3:17" s="700" customFormat="1" ht="70.5" hidden="1" customHeight="1">
      <c r="C13208" s="701"/>
      <c r="D13208" s="811"/>
      <c r="E13208" s="1276">
        <f>[11]building!Y13539</f>
        <v>0</v>
      </c>
      <c r="F13208" s="748">
        <f t="shared" si="445"/>
        <v>0</v>
      </c>
      <c r="G13208" s="1205"/>
      <c r="H13208" s="1055"/>
      <c r="I13208" s="1055"/>
      <c r="J13208" s="1055"/>
      <c r="K13208" s="1205"/>
      <c r="L13208" s="1055"/>
      <c r="M13208" s="1205"/>
      <c r="N13208" s="1054"/>
      <c r="O13208" s="1207"/>
      <c r="Q13208" s="1207"/>
    </row>
    <row r="13209" spans="3:17" s="700" customFormat="1" ht="70.5" hidden="1" customHeight="1">
      <c r="C13209" s="701"/>
      <c r="D13209" s="811"/>
      <c r="E13209" s="1276">
        <f>[11]building!Y13540</f>
        <v>0</v>
      </c>
      <c r="F13209" s="748">
        <f t="shared" si="445"/>
        <v>0</v>
      </c>
      <c r="G13209" s="1205"/>
      <c r="H13209" s="1055"/>
      <c r="I13209" s="1055"/>
      <c r="J13209" s="1055"/>
      <c r="K13209" s="1205"/>
      <c r="L13209" s="1055"/>
      <c r="M13209" s="1205"/>
      <c r="N13209" s="1054"/>
      <c r="O13209" s="1207"/>
      <c r="Q13209" s="1207"/>
    </row>
    <row r="13210" spans="3:17" s="700" customFormat="1" ht="70.5" hidden="1" customHeight="1">
      <c r="C13210" s="701"/>
      <c r="D13210" s="811"/>
      <c r="E13210" s="1276">
        <f>[11]building!Y13541</f>
        <v>0</v>
      </c>
      <c r="F13210" s="748">
        <f t="shared" si="445"/>
        <v>0</v>
      </c>
      <c r="G13210" s="1205"/>
      <c r="H13210" s="1055"/>
      <c r="I13210" s="1055"/>
      <c r="J13210" s="1055"/>
      <c r="K13210" s="1205"/>
      <c r="L13210" s="1055"/>
      <c r="M13210" s="1205"/>
      <c r="N13210" s="1054"/>
      <c r="O13210" s="1207"/>
      <c r="Q13210" s="1207"/>
    </row>
    <row r="13211" spans="3:17" s="700" customFormat="1" ht="70.5" hidden="1" customHeight="1">
      <c r="C13211" s="701"/>
      <c r="D13211" s="811"/>
      <c r="E13211" s="1276">
        <f>[11]building!Y13542</f>
        <v>0</v>
      </c>
      <c r="F13211" s="748">
        <f t="shared" si="445"/>
        <v>0</v>
      </c>
      <c r="G13211" s="1205"/>
      <c r="H13211" s="1055"/>
      <c r="I13211" s="1055"/>
      <c r="J13211" s="1055"/>
      <c r="K13211" s="1205"/>
      <c r="L13211" s="1055"/>
      <c r="M13211" s="1205"/>
      <c r="N13211" s="1054"/>
      <c r="O13211" s="1207"/>
      <c r="Q13211" s="1207"/>
    </row>
    <row r="13212" spans="3:17" s="700" customFormat="1" ht="70.5" hidden="1" customHeight="1">
      <c r="C13212" s="701"/>
      <c r="D13212" s="811"/>
      <c r="E13212" s="1276">
        <f>[11]building!Y13543</f>
        <v>0</v>
      </c>
      <c r="F13212" s="748">
        <f t="shared" si="445"/>
        <v>0</v>
      </c>
      <c r="G13212" s="1205"/>
      <c r="H13212" s="1055"/>
      <c r="I13212" s="1055"/>
      <c r="J13212" s="1055"/>
      <c r="K13212" s="1205"/>
      <c r="L13212" s="1055"/>
      <c r="M13212" s="1205"/>
      <c r="N13212" s="1054"/>
      <c r="O13212" s="1207"/>
      <c r="Q13212" s="1207"/>
    </row>
    <row r="13213" spans="3:17" s="700" customFormat="1" ht="70.5" hidden="1" customHeight="1">
      <c r="C13213" s="701"/>
      <c r="D13213" s="811"/>
      <c r="E13213" s="1276">
        <f>[11]building!Y13544</f>
        <v>0</v>
      </c>
      <c r="F13213" s="748">
        <f t="shared" si="445"/>
        <v>0</v>
      </c>
      <c r="G13213" s="1205"/>
      <c r="H13213" s="1055"/>
      <c r="I13213" s="1055"/>
      <c r="J13213" s="1055"/>
      <c r="K13213" s="1205"/>
      <c r="L13213" s="1055"/>
      <c r="M13213" s="1205"/>
      <c r="N13213" s="1054"/>
      <c r="O13213" s="1207"/>
      <c r="Q13213" s="1207"/>
    </row>
    <row r="13214" spans="3:17" s="700" customFormat="1" ht="70.5" hidden="1" customHeight="1">
      <c r="C13214" s="701"/>
      <c r="D13214" s="811"/>
      <c r="E13214" s="1276">
        <f>[11]building!Y13545</f>
        <v>0</v>
      </c>
      <c r="F13214" s="748">
        <f t="shared" si="445"/>
        <v>0</v>
      </c>
      <c r="G13214" s="1205"/>
      <c r="H13214" s="1055"/>
      <c r="I13214" s="1055"/>
      <c r="J13214" s="1055"/>
      <c r="K13214" s="1205"/>
      <c r="L13214" s="1055"/>
      <c r="M13214" s="1205"/>
      <c r="N13214" s="1054"/>
      <c r="O13214" s="1207"/>
      <c r="Q13214" s="1207"/>
    </row>
    <row r="13215" spans="3:17" s="700" customFormat="1" ht="70.5" hidden="1" customHeight="1">
      <c r="C13215" s="701"/>
      <c r="D13215" s="811"/>
      <c r="E13215" s="1276">
        <f>[11]building!Y13546</f>
        <v>0</v>
      </c>
      <c r="F13215" s="748">
        <f t="shared" si="445"/>
        <v>0</v>
      </c>
      <c r="G13215" s="1205"/>
      <c r="H13215" s="1055"/>
      <c r="I13215" s="1055"/>
      <c r="J13215" s="1055"/>
      <c r="K13215" s="1205"/>
      <c r="L13215" s="1055"/>
      <c r="M13215" s="1205"/>
      <c r="N13215" s="1054"/>
      <c r="O13215" s="1207"/>
      <c r="Q13215" s="1207"/>
    </row>
    <row r="13216" spans="3:17" s="700" customFormat="1" ht="70.5" hidden="1" customHeight="1">
      <c r="C13216" s="701"/>
      <c r="D13216" s="811"/>
      <c r="E13216" s="1276">
        <f>[11]building!Y13547</f>
        <v>0</v>
      </c>
      <c r="F13216" s="748">
        <f t="shared" si="445"/>
        <v>0</v>
      </c>
      <c r="G13216" s="1205"/>
      <c r="H13216" s="1055"/>
      <c r="I13216" s="1055"/>
      <c r="J13216" s="1055"/>
      <c r="K13216" s="1205"/>
      <c r="L13216" s="1055"/>
      <c r="M13216" s="1205"/>
      <c r="N13216" s="1054"/>
      <c r="O13216" s="1207"/>
      <c r="Q13216" s="1207"/>
    </row>
    <row r="13217" spans="3:17" s="700" customFormat="1" ht="70.5" hidden="1" customHeight="1">
      <c r="C13217" s="701"/>
      <c r="D13217" s="811"/>
      <c r="E13217" s="1276">
        <f>[11]building!Y13548</f>
        <v>0</v>
      </c>
      <c r="F13217" s="748">
        <f t="shared" si="445"/>
        <v>0</v>
      </c>
      <c r="G13217" s="1205"/>
      <c r="H13217" s="1055"/>
      <c r="I13217" s="1055"/>
      <c r="J13217" s="1055"/>
      <c r="K13217" s="1205"/>
      <c r="L13217" s="1055"/>
      <c r="M13217" s="1205"/>
      <c r="N13217" s="1054"/>
      <c r="O13217" s="1207"/>
      <c r="Q13217" s="1207"/>
    </row>
    <row r="13218" spans="3:17" s="700" customFormat="1" ht="70.5" hidden="1" customHeight="1">
      <c r="C13218" s="701"/>
      <c r="D13218" s="811"/>
      <c r="E13218" s="1276">
        <f>[11]building!Y13549</f>
        <v>0</v>
      </c>
      <c r="F13218" s="748">
        <f t="shared" si="445"/>
        <v>0</v>
      </c>
      <c r="G13218" s="1205"/>
      <c r="H13218" s="1055"/>
      <c r="I13218" s="1055"/>
      <c r="J13218" s="1055"/>
      <c r="K13218" s="1205"/>
      <c r="L13218" s="1055"/>
      <c r="M13218" s="1205"/>
      <c r="N13218" s="1054"/>
      <c r="O13218" s="1207"/>
      <c r="Q13218" s="1207"/>
    </row>
    <row r="13219" spans="3:17" s="700" customFormat="1" ht="70.5" hidden="1" customHeight="1">
      <c r="C13219" s="701"/>
      <c r="D13219" s="811"/>
      <c r="E13219" s="1276">
        <f>[11]building!Y13550</f>
        <v>0</v>
      </c>
      <c r="F13219" s="748">
        <f t="shared" si="445"/>
        <v>0</v>
      </c>
      <c r="G13219" s="1205"/>
      <c r="H13219" s="1055"/>
      <c r="I13219" s="1055"/>
      <c r="J13219" s="1055"/>
      <c r="K13219" s="1205"/>
      <c r="L13219" s="1055"/>
      <c r="M13219" s="1205"/>
      <c r="N13219" s="1054"/>
      <c r="O13219" s="1207"/>
      <c r="Q13219" s="1207"/>
    </row>
    <row r="13220" spans="3:17" s="700" customFormat="1" ht="70.5" hidden="1" customHeight="1">
      <c r="C13220" s="701"/>
      <c r="D13220" s="811"/>
      <c r="E13220" s="1276">
        <f>[11]building!Y13551</f>
        <v>0</v>
      </c>
      <c r="F13220" s="748">
        <f t="shared" si="445"/>
        <v>0</v>
      </c>
      <c r="G13220" s="1205"/>
      <c r="H13220" s="1055"/>
      <c r="I13220" s="1055"/>
      <c r="J13220" s="1055"/>
      <c r="K13220" s="1205"/>
      <c r="L13220" s="1055"/>
      <c r="M13220" s="1205"/>
      <c r="N13220" s="1054"/>
      <c r="O13220" s="1207"/>
      <c r="Q13220" s="1207"/>
    </row>
    <row r="13221" spans="3:17" s="700" customFormat="1" ht="70.5" hidden="1" customHeight="1">
      <c r="C13221" s="701"/>
      <c r="D13221" s="811"/>
      <c r="E13221" s="1276">
        <f>[11]building!Y13552</f>
        <v>0</v>
      </c>
      <c r="F13221" s="748">
        <f t="shared" si="445"/>
        <v>0</v>
      </c>
      <c r="G13221" s="1205"/>
      <c r="H13221" s="1055"/>
      <c r="I13221" s="1055"/>
      <c r="J13221" s="1055"/>
      <c r="K13221" s="1205"/>
      <c r="L13221" s="1055"/>
      <c r="M13221" s="1205"/>
      <c r="N13221" s="1054"/>
      <c r="O13221" s="1207"/>
      <c r="Q13221" s="1207"/>
    </row>
    <row r="13222" spans="3:17" s="700" customFormat="1" ht="70.5" hidden="1" customHeight="1">
      <c r="C13222" s="701"/>
      <c r="D13222" s="811"/>
      <c r="E13222" s="1276">
        <f>[11]building!Y13553</f>
        <v>0</v>
      </c>
      <c r="F13222" s="748">
        <f t="shared" si="445"/>
        <v>0</v>
      </c>
      <c r="G13222" s="1205"/>
      <c r="H13222" s="1055"/>
      <c r="I13222" s="1055"/>
      <c r="J13222" s="1055"/>
      <c r="K13222" s="1205"/>
      <c r="L13222" s="1055"/>
      <c r="M13222" s="1205"/>
      <c r="N13222" s="1054"/>
      <c r="O13222" s="1207"/>
      <c r="Q13222" s="1207"/>
    </row>
    <row r="13223" spans="3:17" s="700" customFormat="1" ht="70.5" hidden="1" customHeight="1">
      <c r="C13223" s="701"/>
      <c r="D13223" s="811"/>
      <c r="E13223" s="1276">
        <f>[11]building!Y13554</f>
        <v>0</v>
      </c>
      <c r="F13223" s="748">
        <f t="shared" si="445"/>
        <v>0</v>
      </c>
      <c r="G13223" s="1205"/>
      <c r="H13223" s="1055"/>
      <c r="I13223" s="1055"/>
      <c r="J13223" s="1055"/>
      <c r="K13223" s="1205"/>
      <c r="L13223" s="1055"/>
      <c r="M13223" s="1205"/>
      <c r="N13223" s="1054"/>
      <c r="O13223" s="1207"/>
      <c r="Q13223" s="1207"/>
    </row>
    <row r="13224" spans="3:17" s="700" customFormat="1" ht="70.5" hidden="1" customHeight="1">
      <c r="C13224" s="701"/>
      <c r="D13224" s="811"/>
      <c r="E13224" s="1276">
        <f>[11]building!Y13555</f>
        <v>0</v>
      </c>
      <c r="F13224" s="748">
        <f t="shared" si="445"/>
        <v>0</v>
      </c>
      <c r="G13224" s="1205"/>
      <c r="H13224" s="1055"/>
      <c r="I13224" s="1055"/>
      <c r="J13224" s="1055"/>
      <c r="K13224" s="1205"/>
      <c r="L13224" s="1055"/>
      <c r="M13224" s="1205"/>
      <c r="N13224" s="1054"/>
      <c r="O13224" s="1207"/>
      <c r="Q13224" s="1207"/>
    </row>
    <row r="13225" spans="3:17" s="700" customFormat="1" ht="70.5" hidden="1" customHeight="1">
      <c r="C13225" s="701"/>
      <c r="D13225" s="811"/>
      <c r="E13225" s="1276">
        <f>[11]building!Y13556</f>
        <v>0</v>
      </c>
      <c r="F13225" s="748">
        <f t="shared" si="445"/>
        <v>0</v>
      </c>
      <c r="G13225" s="1205"/>
      <c r="H13225" s="1055"/>
      <c r="I13225" s="1055"/>
      <c r="J13225" s="1055"/>
      <c r="K13225" s="1205"/>
      <c r="L13225" s="1055"/>
      <c r="M13225" s="1205"/>
      <c r="N13225" s="1054"/>
      <c r="O13225" s="1207"/>
      <c r="Q13225" s="1207"/>
    </row>
    <row r="13226" spans="3:17" s="700" customFormat="1" ht="70.5" hidden="1" customHeight="1">
      <c r="C13226" s="701"/>
      <c r="D13226" s="811"/>
      <c r="E13226" s="1276">
        <f>[11]building!Y13557</f>
        <v>0</v>
      </c>
      <c r="F13226" s="748">
        <f t="shared" si="445"/>
        <v>0</v>
      </c>
      <c r="G13226" s="1205"/>
      <c r="H13226" s="1055"/>
      <c r="I13226" s="1055"/>
      <c r="J13226" s="1055"/>
      <c r="K13226" s="1205"/>
      <c r="L13226" s="1055"/>
      <c r="M13226" s="1205"/>
      <c r="N13226" s="1054"/>
      <c r="O13226" s="1207"/>
      <c r="Q13226" s="1207"/>
    </row>
    <row r="13227" spans="3:17" s="700" customFormat="1" ht="70.5" hidden="1" customHeight="1">
      <c r="C13227" s="701"/>
      <c r="D13227" s="811"/>
      <c r="E13227" s="1276">
        <f>[11]building!Y13558</f>
        <v>0</v>
      </c>
      <c r="F13227" s="748">
        <f t="shared" si="445"/>
        <v>0</v>
      </c>
      <c r="G13227" s="1205"/>
      <c r="H13227" s="1055"/>
      <c r="I13227" s="1055"/>
      <c r="J13227" s="1055"/>
      <c r="K13227" s="1205"/>
      <c r="L13227" s="1055"/>
      <c r="M13227" s="1205"/>
      <c r="N13227" s="1054"/>
      <c r="O13227" s="1207"/>
      <c r="Q13227" s="1207"/>
    </row>
    <row r="13228" spans="3:17" s="700" customFormat="1" ht="70.5" hidden="1" customHeight="1">
      <c r="C13228" s="701"/>
      <c r="D13228" s="811"/>
      <c r="E13228" s="1276">
        <f>[11]building!Y13559</f>
        <v>0</v>
      </c>
      <c r="F13228" s="748">
        <f t="shared" si="445"/>
        <v>0</v>
      </c>
      <c r="G13228" s="1205"/>
      <c r="H13228" s="1055"/>
      <c r="I13228" s="1055"/>
      <c r="J13228" s="1055"/>
      <c r="K13228" s="1205"/>
      <c r="L13228" s="1055"/>
      <c r="M13228" s="1205"/>
      <c r="N13228" s="1054"/>
      <c r="O13228" s="1207"/>
      <c r="Q13228" s="1207"/>
    </row>
    <row r="13229" spans="3:17" s="700" customFormat="1" ht="70.5" hidden="1" customHeight="1">
      <c r="C13229" s="701"/>
      <c r="D13229" s="811"/>
      <c r="E13229" s="1276">
        <f>[11]building!Y13560</f>
        <v>0</v>
      </c>
      <c r="F13229" s="748">
        <f t="shared" si="445"/>
        <v>0</v>
      </c>
      <c r="G13229" s="1205"/>
      <c r="H13229" s="1055"/>
      <c r="I13229" s="1055"/>
      <c r="J13229" s="1055"/>
      <c r="K13229" s="1205"/>
      <c r="L13229" s="1055"/>
      <c r="M13229" s="1205"/>
      <c r="N13229" s="1054"/>
      <c r="O13229" s="1207"/>
      <c r="Q13229" s="1207"/>
    </row>
    <row r="13230" spans="3:17" s="700" customFormat="1" ht="70.5" hidden="1" customHeight="1">
      <c r="C13230" s="701"/>
      <c r="D13230" s="811"/>
      <c r="E13230" s="1276">
        <f>[11]building!Y13561</f>
        <v>0</v>
      </c>
      <c r="F13230" s="748">
        <f t="shared" si="445"/>
        <v>0</v>
      </c>
      <c r="G13230" s="1205"/>
      <c r="H13230" s="1055"/>
      <c r="I13230" s="1055"/>
      <c r="J13230" s="1055"/>
      <c r="K13230" s="1205"/>
      <c r="L13230" s="1055"/>
      <c r="M13230" s="1205"/>
      <c r="N13230" s="1054"/>
      <c r="O13230" s="1207"/>
      <c r="Q13230" s="1207"/>
    </row>
    <row r="13231" spans="3:17" s="700" customFormat="1" ht="70.5" hidden="1" customHeight="1">
      <c r="C13231" s="701"/>
      <c r="D13231" s="811"/>
      <c r="E13231" s="1276">
        <f>[11]building!Y13562</f>
        <v>0</v>
      </c>
      <c r="F13231" s="748">
        <f t="shared" si="445"/>
        <v>0</v>
      </c>
      <c r="G13231" s="1205"/>
      <c r="H13231" s="1055"/>
      <c r="I13231" s="1055"/>
      <c r="J13231" s="1055"/>
      <c r="K13231" s="1205"/>
      <c r="L13231" s="1055"/>
      <c r="M13231" s="1205"/>
      <c r="N13231" s="1054"/>
      <c r="O13231" s="1207"/>
      <c r="Q13231" s="1207"/>
    </row>
    <row r="13232" spans="3:17" s="700" customFormat="1" ht="70.5" hidden="1" customHeight="1">
      <c r="C13232" s="701"/>
      <c r="D13232" s="811"/>
      <c r="E13232" s="1276">
        <f>[11]building!Y13563</f>
        <v>0</v>
      </c>
      <c r="F13232" s="748">
        <f t="shared" si="445"/>
        <v>0</v>
      </c>
      <c r="G13232" s="1205"/>
      <c r="H13232" s="1055"/>
      <c r="I13232" s="1055"/>
      <c r="J13232" s="1055"/>
      <c r="K13232" s="1205"/>
      <c r="L13232" s="1055"/>
      <c r="M13232" s="1205"/>
      <c r="N13232" s="1054"/>
      <c r="O13232" s="1207"/>
      <c r="Q13232" s="1207"/>
    </row>
    <row r="13233" spans="3:17" s="700" customFormat="1" ht="70.5" hidden="1" customHeight="1">
      <c r="C13233" s="701"/>
      <c r="D13233" s="811"/>
      <c r="E13233" s="1276">
        <f>[11]building!Y13564</f>
        <v>0</v>
      </c>
      <c r="F13233" s="748">
        <f t="shared" si="445"/>
        <v>0</v>
      </c>
      <c r="G13233" s="1205"/>
      <c r="H13233" s="1055"/>
      <c r="I13233" s="1055"/>
      <c r="J13233" s="1055"/>
      <c r="K13233" s="1205"/>
      <c r="L13233" s="1055"/>
      <c r="M13233" s="1205"/>
      <c r="N13233" s="1054"/>
      <c r="O13233" s="1207"/>
      <c r="Q13233" s="1207"/>
    </row>
    <row r="13234" spans="3:17" s="700" customFormat="1" ht="70.5" hidden="1" customHeight="1">
      <c r="C13234" s="701"/>
      <c r="D13234" s="811"/>
      <c r="E13234" s="1276">
        <f>[11]building!Y13565</f>
        <v>0</v>
      </c>
      <c r="F13234" s="748">
        <f t="shared" si="445"/>
        <v>0</v>
      </c>
      <c r="G13234" s="1205"/>
      <c r="H13234" s="1055"/>
      <c r="I13234" s="1055"/>
      <c r="J13234" s="1055"/>
      <c r="K13234" s="1205"/>
      <c r="L13234" s="1055"/>
      <c r="M13234" s="1205"/>
      <c r="N13234" s="1054"/>
      <c r="O13234" s="1207"/>
      <c r="Q13234" s="1207"/>
    </row>
    <row r="13235" spans="3:17" s="700" customFormat="1" ht="70.5" hidden="1" customHeight="1">
      <c r="C13235" s="701"/>
      <c r="D13235" s="811"/>
      <c r="E13235" s="1276">
        <f>[11]building!Y13566</f>
        <v>0</v>
      </c>
      <c r="F13235" s="748">
        <f t="shared" si="445"/>
        <v>0</v>
      </c>
      <c r="G13235" s="1205"/>
      <c r="H13235" s="1055"/>
      <c r="I13235" s="1055"/>
      <c r="J13235" s="1055"/>
      <c r="K13235" s="1205"/>
      <c r="L13235" s="1055"/>
      <c r="M13235" s="1205"/>
      <c r="N13235" s="1054"/>
      <c r="O13235" s="1207"/>
      <c r="Q13235" s="1207"/>
    </row>
    <row r="13236" spans="3:17" s="700" customFormat="1" ht="70.5" hidden="1" customHeight="1">
      <c r="C13236" s="701"/>
      <c r="D13236" s="811"/>
      <c r="E13236" s="1276">
        <f>[11]building!Y13567</f>
        <v>0</v>
      </c>
      <c r="F13236" s="748">
        <f t="shared" si="445"/>
        <v>0</v>
      </c>
      <c r="G13236" s="1205"/>
      <c r="H13236" s="1055"/>
      <c r="I13236" s="1055"/>
      <c r="J13236" s="1055"/>
      <c r="K13236" s="1205"/>
      <c r="L13236" s="1055"/>
      <c r="M13236" s="1205"/>
      <c r="N13236" s="1054"/>
      <c r="O13236" s="1207"/>
      <c r="Q13236" s="1207"/>
    </row>
    <row r="13237" spans="3:17" s="700" customFormat="1" ht="70.5" hidden="1" customHeight="1">
      <c r="C13237" s="701"/>
      <c r="D13237" s="811"/>
      <c r="E13237" s="1276">
        <f>[11]building!Y13568</f>
        <v>0</v>
      </c>
      <c r="F13237" s="748">
        <f t="shared" si="445"/>
        <v>0</v>
      </c>
      <c r="G13237" s="1205"/>
      <c r="H13237" s="1055"/>
      <c r="I13237" s="1055"/>
      <c r="J13237" s="1055"/>
      <c r="K13237" s="1205"/>
      <c r="L13237" s="1055"/>
      <c r="M13237" s="1205"/>
      <c r="N13237" s="1054"/>
      <c r="O13237" s="1207"/>
      <c r="Q13237" s="1207"/>
    </row>
    <row r="13238" spans="3:17" s="700" customFormat="1" ht="70.5" hidden="1" customHeight="1">
      <c r="C13238" s="701"/>
      <c r="D13238" s="811"/>
      <c r="E13238" s="1276">
        <f>[11]building!Y13569</f>
        <v>0</v>
      </c>
      <c r="F13238" s="748">
        <f t="shared" si="445"/>
        <v>0</v>
      </c>
      <c r="G13238" s="1205"/>
      <c r="H13238" s="1055"/>
      <c r="I13238" s="1055"/>
      <c r="J13238" s="1055"/>
      <c r="K13238" s="1205"/>
      <c r="L13238" s="1055"/>
      <c r="M13238" s="1205"/>
      <c r="N13238" s="1054"/>
      <c r="O13238" s="1207"/>
      <c r="Q13238" s="1207"/>
    </row>
    <row r="13239" spans="3:17" s="700" customFormat="1" ht="70.5" hidden="1" customHeight="1">
      <c r="C13239" s="701"/>
      <c r="D13239" s="811"/>
      <c r="E13239" s="1276">
        <f>[11]building!Y13570</f>
        <v>0</v>
      </c>
      <c r="F13239" s="748">
        <f t="shared" si="445"/>
        <v>0</v>
      </c>
      <c r="G13239" s="1205"/>
      <c r="H13239" s="1055"/>
      <c r="I13239" s="1055"/>
      <c r="J13239" s="1055"/>
      <c r="K13239" s="1205"/>
      <c r="L13239" s="1055"/>
      <c r="M13239" s="1205"/>
      <c r="N13239" s="1054"/>
      <c r="O13239" s="1207"/>
      <c r="Q13239" s="1207"/>
    </row>
    <row r="13240" spans="3:17" s="700" customFormat="1" ht="70.5" hidden="1" customHeight="1">
      <c r="C13240" s="701"/>
      <c r="D13240" s="811"/>
      <c r="E13240" s="1276">
        <f>[11]building!Y13571</f>
        <v>0</v>
      </c>
      <c r="F13240" s="748">
        <f t="shared" si="445"/>
        <v>0</v>
      </c>
      <c r="G13240" s="1205"/>
      <c r="H13240" s="1055"/>
      <c r="I13240" s="1055"/>
      <c r="J13240" s="1055"/>
      <c r="K13240" s="1205"/>
      <c r="L13240" s="1055"/>
      <c r="M13240" s="1205"/>
      <c r="N13240" s="1054"/>
      <c r="O13240" s="1207"/>
      <c r="Q13240" s="1207"/>
    </row>
    <row r="13241" spans="3:17" s="700" customFormat="1" ht="70.5" hidden="1" customHeight="1">
      <c r="C13241" s="701"/>
      <c r="D13241" s="811"/>
      <c r="E13241" s="1276">
        <f>[11]building!Y13572</f>
        <v>0</v>
      </c>
      <c r="F13241" s="748">
        <f t="shared" si="445"/>
        <v>0</v>
      </c>
      <c r="G13241" s="1205"/>
      <c r="H13241" s="1055"/>
      <c r="I13241" s="1055"/>
      <c r="J13241" s="1055"/>
      <c r="K13241" s="1205"/>
      <c r="L13241" s="1055"/>
      <c r="M13241" s="1205"/>
      <c r="N13241" s="1054"/>
      <c r="O13241" s="1207"/>
      <c r="Q13241" s="1207"/>
    </row>
    <row r="13242" spans="3:17" s="700" customFormat="1" ht="70.5" hidden="1" customHeight="1">
      <c r="C13242" s="701"/>
      <c r="D13242" s="811"/>
      <c r="E13242" s="1276">
        <f>[11]building!Y13573</f>
        <v>0</v>
      </c>
      <c r="F13242" s="748">
        <f t="shared" si="445"/>
        <v>0</v>
      </c>
      <c r="G13242" s="1205"/>
      <c r="H13242" s="1055"/>
      <c r="I13242" s="1055"/>
      <c r="J13242" s="1055"/>
      <c r="K13242" s="1205"/>
      <c r="L13242" s="1055"/>
      <c r="M13242" s="1205"/>
      <c r="N13242" s="1054"/>
      <c r="O13242" s="1207"/>
      <c r="Q13242" s="1207"/>
    </row>
    <row r="13243" spans="3:17" s="700" customFormat="1" ht="70.5" hidden="1" customHeight="1">
      <c r="C13243" s="701"/>
      <c r="D13243" s="811"/>
      <c r="E13243" s="1276">
        <f>[11]building!Y13574</f>
        <v>0</v>
      </c>
      <c r="F13243" s="748">
        <f t="shared" si="445"/>
        <v>0</v>
      </c>
      <c r="G13243" s="1205"/>
      <c r="H13243" s="1055"/>
      <c r="I13243" s="1055"/>
      <c r="J13243" s="1055"/>
      <c r="K13243" s="1205"/>
      <c r="L13243" s="1055"/>
      <c r="M13243" s="1205"/>
      <c r="N13243" s="1054"/>
      <c r="O13243" s="1207"/>
      <c r="Q13243" s="1207"/>
    </row>
    <row r="13244" spans="3:17" s="700" customFormat="1" ht="70.5" hidden="1" customHeight="1">
      <c r="C13244" s="701"/>
      <c r="D13244" s="811"/>
      <c r="E13244" s="1276">
        <f>[11]building!Y13575</f>
        <v>0</v>
      </c>
      <c r="F13244" s="748">
        <f t="shared" si="445"/>
        <v>0</v>
      </c>
      <c r="G13244" s="1205"/>
      <c r="H13244" s="1055"/>
      <c r="I13244" s="1055"/>
      <c r="J13244" s="1055"/>
      <c r="K13244" s="1205"/>
      <c r="L13244" s="1055"/>
      <c r="M13244" s="1205"/>
      <c r="N13244" s="1054"/>
      <c r="O13244" s="1207"/>
      <c r="Q13244" s="1207"/>
    </row>
    <row r="13245" spans="3:17" s="700" customFormat="1" ht="70.5" hidden="1" customHeight="1">
      <c r="C13245" s="701"/>
      <c r="D13245" s="811"/>
      <c r="E13245" s="1276">
        <f>[11]building!Y13576</f>
        <v>0</v>
      </c>
      <c r="F13245" s="748">
        <f t="shared" si="445"/>
        <v>0</v>
      </c>
      <c r="G13245" s="1205"/>
      <c r="H13245" s="1055"/>
      <c r="I13245" s="1055"/>
      <c r="J13245" s="1055"/>
      <c r="K13245" s="1205"/>
      <c r="L13245" s="1055"/>
      <c r="M13245" s="1205"/>
      <c r="N13245" s="1054"/>
      <c r="O13245" s="1207"/>
      <c r="Q13245" s="1207"/>
    </row>
    <row r="13246" spans="3:17" s="700" customFormat="1" ht="70.5" hidden="1" customHeight="1">
      <c r="C13246" s="701"/>
      <c r="D13246" s="811"/>
      <c r="E13246" s="1276">
        <f>[11]building!Y13577</f>
        <v>0</v>
      </c>
      <c r="F13246" s="748">
        <f t="shared" si="445"/>
        <v>0</v>
      </c>
      <c r="G13246" s="1205"/>
      <c r="H13246" s="1055"/>
      <c r="I13246" s="1055"/>
      <c r="J13246" s="1055"/>
      <c r="K13246" s="1205"/>
      <c r="L13246" s="1055"/>
      <c r="M13246" s="1205"/>
      <c r="N13246" s="1054"/>
      <c r="O13246" s="1207"/>
      <c r="Q13246" s="1207"/>
    </row>
    <row r="13247" spans="3:17" s="700" customFormat="1" ht="70.5" hidden="1" customHeight="1">
      <c r="C13247" s="701"/>
      <c r="D13247" s="811"/>
      <c r="E13247" s="1276">
        <f>[11]building!Y13578</f>
        <v>0</v>
      </c>
      <c r="F13247" s="748">
        <f t="shared" si="445"/>
        <v>0</v>
      </c>
      <c r="G13247" s="1205"/>
      <c r="H13247" s="1055"/>
      <c r="I13247" s="1055"/>
      <c r="J13247" s="1055"/>
      <c r="K13247" s="1205"/>
      <c r="L13247" s="1055"/>
      <c r="M13247" s="1205"/>
      <c r="N13247" s="1054"/>
      <c r="O13247" s="1207"/>
      <c r="Q13247" s="1207"/>
    </row>
    <row r="13248" spans="3:17" s="700" customFormat="1" ht="70.5" hidden="1" customHeight="1">
      <c r="C13248" s="701"/>
      <c r="D13248" s="811"/>
      <c r="E13248" s="1276">
        <f>[11]building!Y13579</f>
        <v>0</v>
      </c>
      <c r="F13248" s="748">
        <f t="shared" ref="F13248:F13311" si="446">E13248*C13248</f>
        <v>0</v>
      </c>
      <c r="G13248" s="1205"/>
      <c r="H13248" s="1055"/>
      <c r="I13248" s="1055"/>
      <c r="J13248" s="1055"/>
      <c r="K13248" s="1205"/>
      <c r="L13248" s="1055"/>
      <c r="M13248" s="1205"/>
      <c r="N13248" s="1054"/>
      <c r="O13248" s="1207"/>
      <c r="Q13248" s="1207"/>
    </row>
    <row r="13249" spans="3:17" s="700" customFormat="1" ht="70.5" hidden="1" customHeight="1">
      <c r="C13249" s="701"/>
      <c r="D13249" s="811"/>
      <c r="E13249" s="1276">
        <f>[11]building!Y13580</f>
        <v>0</v>
      </c>
      <c r="F13249" s="748">
        <f t="shared" si="446"/>
        <v>0</v>
      </c>
      <c r="G13249" s="1205"/>
      <c r="H13249" s="1055"/>
      <c r="I13249" s="1055"/>
      <c r="J13249" s="1055"/>
      <c r="K13249" s="1205"/>
      <c r="L13249" s="1055"/>
      <c r="M13249" s="1205"/>
      <c r="N13249" s="1054"/>
      <c r="O13249" s="1207"/>
      <c r="Q13249" s="1207"/>
    </row>
    <row r="13250" spans="3:17" s="700" customFormat="1" ht="70.5" hidden="1" customHeight="1">
      <c r="C13250" s="701"/>
      <c r="D13250" s="811"/>
      <c r="E13250" s="1276">
        <f>[11]building!Y13581</f>
        <v>0</v>
      </c>
      <c r="F13250" s="748">
        <f t="shared" si="446"/>
        <v>0</v>
      </c>
      <c r="G13250" s="1205"/>
      <c r="H13250" s="1055"/>
      <c r="I13250" s="1055"/>
      <c r="J13250" s="1055"/>
      <c r="K13250" s="1205"/>
      <c r="L13250" s="1055"/>
      <c r="M13250" s="1205"/>
      <c r="N13250" s="1054"/>
      <c r="O13250" s="1207"/>
      <c r="Q13250" s="1207"/>
    </row>
    <row r="13251" spans="3:17" s="700" customFormat="1" ht="70.5" hidden="1" customHeight="1">
      <c r="C13251" s="701"/>
      <c r="D13251" s="811"/>
      <c r="E13251" s="1276">
        <f>[11]building!Y13582</f>
        <v>0</v>
      </c>
      <c r="F13251" s="748">
        <f t="shared" si="446"/>
        <v>0</v>
      </c>
      <c r="G13251" s="1205"/>
      <c r="H13251" s="1055"/>
      <c r="I13251" s="1055"/>
      <c r="J13251" s="1055"/>
      <c r="K13251" s="1205"/>
      <c r="L13251" s="1055"/>
      <c r="M13251" s="1205"/>
      <c r="N13251" s="1054"/>
      <c r="O13251" s="1207"/>
      <c r="Q13251" s="1207"/>
    </row>
    <row r="13252" spans="3:17" s="700" customFormat="1" ht="70.5" hidden="1" customHeight="1">
      <c r="C13252" s="701"/>
      <c r="D13252" s="811"/>
      <c r="E13252" s="1276">
        <f>[11]building!Y13583</f>
        <v>0</v>
      </c>
      <c r="F13252" s="748">
        <f t="shared" si="446"/>
        <v>0</v>
      </c>
      <c r="G13252" s="1205"/>
      <c r="H13252" s="1055"/>
      <c r="I13252" s="1055"/>
      <c r="J13252" s="1055"/>
      <c r="K13252" s="1205"/>
      <c r="L13252" s="1055"/>
      <c r="M13252" s="1205"/>
      <c r="N13252" s="1054"/>
      <c r="O13252" s="1207"/>
      <c r="Q13252" s="1207"/>
    </row>
    <row r="13253" spans="3:17" s="700" customFormat="1" ht="70.5" hidden="1" customHeight="1">
      <c r="C13253" s="701"/>
      <c r="D13253" s="811"/>
      <c r="E13253" s="1276">
        <f>[11]building!Y13584</f>
        <v>0</v>
      </c>
      <c r="F13253" s="748">
        <f t="shared" si="446"/>
        <v>0</v>
      </c>
      <c r="G13253" s="1205"/>
      <c r="H13253" s="1055"/>
      <c r="I13253" s="1055"/>
      <c r="J13253" s="1055"/>
      <c r="K13253" s="1205"/>
      <c r="L13253" s="1055"/>
      <c r="M13253" s="1205"/>
      <c r="N13253" s="1054"/>
      <c r="O13253" s="1207"/>
      <c r="Q13253" s="1207"/>
    </row>
    <row r="13254" spans="3:17" s="700" customFormat="1" ht="70.5" hidden="1" customHeight="1">
      <c r="C13254" s="701"/>
      <c r="D13254" s="811"/>
      <c r="E13254" s="1276">
        <f>[11]building!Y13585</f>
        <v>0</v>
      </c>
      <c r="F13254" s="748">
        <f t="shared" si="446"/>
        <v>0</v>
      </c>
      <c r="G13254" s="1205"/>
      <c r="H13254" s="1055"/>
      <c r="I13254" s="1055"/>
      <c r="J13254" s="1055"/>
      <c r="K13254" s="1205"/>
      <c r="L13254" s="1055"/>
      <c r="M13254" s="1205"/>
      <c r="N13254" s="1054"/>
      <c r="O13254" s="1207"/>
      <c r="Q13254" s="1207"/>
    </row>
    <row r="13255" spans="3:17" s="700" customFormat="1" ht="70.5" hidden="1" customHeight="1">
      <c r="C13255" s="701"/>
      <c r="D13255" s="811"/>
      <c r="E13255" s="1276">
        <f>[11]building!Y13586</f>
        <v>0</v>
      </c>
      <c r="F13255" s="748">
        <f t="shared" si="446"/>
        <v>0</v>
      </c>
      <c r="G13255" s="1205"/>
      <c r="H13255" s="1055"/>
      <c r="I13255" s="1055"/>
      <c r="J13255" s="1055"/>
      <c r="K13255" s="1205"/>
      <c r="L13255" s="1055"/>
      <c r="M13255" s="1205"/>
      <c r="N13255" s="1054"/>
      <c r="O13255" s="1207"/>
      <c r="Q13255" s="1207"/>
    </row>
    <row r="13256" spans="3:17" s="700" customFormat="1" ht="70.5" hidden="1" customHeight="1">
      <c r="C13256" s="701"/>
      <c r="D13256" s="811"/>
      <c r="E13256" s="1276">
        <f>[11]building!Y13587</f>
        <v>0</v>
      </c>
      <c r="F13256" s="748">
        <f t="shared" si="446"/>
        <v>0</v>
      </c>
      <c r="G13256" s="1205"/>
      <c r="H13256" s="1055"/>
      <c r="I13256" s="1055"/>
      <c r="J13256" s="1055"/>
      <c r="K13256" s="1205"/>
      <c r="L13256" s="1055"/>
      <c r="M13256" s="1205"/>
      <c r="N13256" s="1054"/>
      <c r="O13256" s="1207"/>
      <c r="Q13256" s="1207"/>
    </row>
    <row r="13257" spans="3:17" s="700" customFormat="1" ht="70.5" hidden="1" customHeight="1">
      <c r="C13257" s="701"/>
      <c r="D13257" s="811"/>
      <c r="E13257" s="1276">
        <f>[11]building!Y13588</f>
        <v>0</v>
      </c>
      <c r="F13257" s="748">
        <f t="shared" si="446"/>
        <v>0</v>
      </c>
      <c r="G13257" s="1205"/>
      <c r="H13257" s="1055"/>
      <c r="I13257" s="1055"/>
      <c r="J13257" s="1055"/>
      <c r="K13257" s="1205"/>
      <c r="L13257" s="1055"/>
      <c r="M13257" s="1205"/>
      <c r="N13257" s="1054"/>
      <c r="O13257" s="1207"/>
      <c r="Q13257" s="1207"/>
    </row>
    <row r="13258" spans="3:17" s="700" customFormat="1" ht="70.5" hidden="1" customHeight="1">
      <c r="C13258" s="701"/>
      <c r="D13258" s="811"/>
      <c r="E13258" s="1276">
        <f>[11]building!Y13589</f>
        <v>0</v>
      </c>
      <c r="F13258" s="748">
        <f t="shared" si="446"/>
        <v>0</v>
      </c>
      <c r="G13258" s="1205"/>
      <c r="H13258" s="1055"/>
      <c r="I13258" s="1055"/>
      <c r="J13258" s="1055"/>
      <c r="K13258" s="1205"/>
      <c r="L13258" s="1055"/>
      <c r="M13258" s="1205"/>
      <c r="N13258" s="1054"/>
      <c r="O13258" s="1207"/>
      <c r="Q13258" s="1207"/>
    </row>
    <row r="13259" spans="3:17" s="700" customFormat="1" ht="70.5" hidden="1" customHeight="1">
      <c r="C13259" s="701"/>
      <c r="D13259" s="811"/>
      <c r="E13259" s="1276">
        <f>[11]building!Y13590</f>
        <v>0</v>
      </c>
      <c r="F13259" s="748">
        <f t="shared" si="446"/>
        <v>0</v>
      </c>
      <c r="G13259" s="1205"/>
      <c r="H13259" s="1055"/>
      <c r="I13259" s="1055"/>
      <c r="J13259" s="1055"/>
      <c r="K13259" s="1205"/>
      <c r="L13259" s="1055"/>
      <c r="M13259" s="1205"/>
      <c r="N13259" s="1054"/>
      <c r="O13259" s="1207"/>
      <c r="Q13259" s="1207"/>
    </row>
    <row r="13260" spans="3:17" s="700" customFormat="1" ht="70.5" hidden="1" customHeight="1">
      <c r="C13260" s="701"/>
      <c r="D13260" s="811"/>
      <c r="E13260" s="1276">
        <f>[11]building!Y13591</f>
        <v>0</v>
      </c>
      <c r="F13260" s="748">
        <f t="shared" si="446"/>
        <v>0</v>
      </c>
      <c r="G13260" s="1205"/>
      <c r="H13260" s="1055"/>
      <c r="I13260" s="1055"/>
      <c r="J13260" s="1055"/>
      <c r="K13260" s="1205"/>
      <c r="L13260" s="1055"/>
      <c r="M13260" s="1205"/>
      <c r="N13260" s="1054"/>
      <c r="O13260" s="1207"/>
      <c r="Q13260" s="1207"/>
    </row>
    <row r="13261" spans="3:17" s="700" customFormat="1" ht="70.5" hidden="1" customHeight="1">
      <c r="C13261" s="701"/>
      <c r="D13261" s="811"/>
      <c r="E13261" s="1276">
        <f>[11]building!Y13592</f>
        <v>0</v>
      </c>
      <c r="F13261" s="748">
        <f t="shared" si="446"/>
        <v>0</v>
      </c>
      <c r="G13261" s="1205"/>
      <c r="H13261" s="1055"/>
      <c r="I13261" s="1055"/>
      <c r="J13261" s="1055"/>
      <c r="K13261" s="1205"/>
      <c r="L13261" s="1055"/>
      <c r="M13261" s="1205"/>
      <c r="N13261" s="1054"/>
      <c r="O13261" s="1207"/>
      <c r="Q13261" s="1207"/>
    </row>
    <row r="13262" spans="3:17" s="700" customFormat="1" ht="70.5" hidden="1" customHeight="1">
      <c r="C13262" s="701"/>
      <c r="D13262" s="811"/>
      <c r="E13262" s="1276">
        <f>[11]building!Y13593</f>
        <v>0</v>
      </c>
      <c r="F13262" s="748">
        <f t="shared" si="446"/>
        <v>0</v>
      </c>
      <c r="G13262" s="1205"/>
      <c r="H13262" s="1055"/>
      <c r="I13262" s="1055"/>
      <c r="J13262" s="1055"/>
      <c r="K13262" s="1205"/>
      <c r="L13262" s="1055"/>
      <c r="M13262" s="1205"/>
      <c r="N13262" s="1054"/>
      <c r="O13262" s="1207"/>
      <c r="Q13262" s="1207"/>
    </row>
    <row r="13263" spans="3:17" s="700" customFormat="1" ht="70.5" hidden="1" customHeight="1">
      <c r="C13263" s="701"/>
      <c r="D13263" s="811"/>
      <c r="E13263" s="1276">
        <f>[11]building!Y13594</f>
        <v>0</v>
      </c>
      <c r="F13263" s="748">
        <f t="shared" si="446"/>
        <v>0</v>
      </c>
      <c r="G13263" s="1205"/>
      <c r="H13263" s="1055"/>
      <c r="I13263" s="1055"/>
      <c r="J13263" s="1055"/>
      <c r="K13263" s="1205"/>
      <c r="L13263" s="1055"/>
      <c r="M13263" s="1205"/>
      <c r="N13263" s="1054"/>
      <c r="O13263" s="1207"/>
      <c r="Q13263" s="1207"/>
    </row>
    <row r="13264" spans="3:17" s="700" customFormat="1" ht="70.5" hidden="1" customHeight="1">
      <c r="C13264" s="701"/>
      <c r="D13264" s="811"/>
      <c r="E13264" s="1276">
        <f>[11]building!Y13595</f>
        <v>0</v>
      </c>
      <c r="F13264" s="748">
        <f t="shared" si="446"/>
        <v>0</v>
      </c>
      <c r="G13264" s="1205"/>
      <c r="H13264" s="1055"/>
      <c r="I13264" s="1055"/>
      <c r="J13264" s="1055"/>
      <c r="K13264" s="1205"/>
      <c r="L13264" s="1055"/>
      <c r="M13264" s="1205"/>
      <c r="N13264" s="1054"/>
      <c r="O13264" s="1207"/>
      <c r="Q13264" s="1207"/>
    </row>
    <row r="13265" spans="3:17" s="700" customFormat="1" ht="70.5" hidden="1" customHeight="1">
      <c r="C13265" s="701"/>
      <c r="D13265" s="811"/>
      <c r="E13265" s="1276">
        <f>[11]building!Y13596</f>
        <v>0</v>
      </c>
      <c r="F13265" s="748">
        <f t="shared" si="446"/>
        <v>0</v>
      </c>
      <c r="G13265" s="1205"/>
      <c r="H13265" s="1055"/>
      <c r="I13265" s="1055"/>
      <c r="J13265" s="1055"/>
      <c r="K13265" s="1205"/>
      <c r="L13265" s="1055"/>
      <c r="M13265" s="1205"/>
      <c r="N13265" s="1054"/>
      <c r="O13265" s="1207"/>
      <c r="Q13265" s="1207"/>
    </row>
    <row r="13266" spans="3:17" s="700" customFormat="1" ht="70.5" hidden="1" customHeight="1">
      <c r="C13266" s="701"/>
      <c r="D13266" s="811"/>
      <c r="E13266" s="1276">
        <f>[11]building!Y13597</f>
        <v>0</v>
      </c>
      <c r="F13266" s="748">
        <f t="shared" si="446"/>
        <v>0</v>
      </c>
      <c r="G13266" s="1205"/>
      <c r="H13266" s="1055"/>
      <c r="I13266" s="1055"/>
      <c r="J13266" s="1055"/>
      <c r="K13266" s="1205"/>
      <c r="L13266" s="1055"/>
      <c r="M13266" s="1205"/>
      <c r="N13266" s="1054"/>
      <c r="O13266" s="1207"/>
      <c r="Q13266" s="1207"/>
    </row>
    <row r="13267" spans="3:17" s="700" customFormat="1" ht="70.5" hidden="1" customHeight="1">
      <c r="C13267" s="701"/>
      <c r="D13267" s="811"/>
      <c r="E13267" s="1276">
        <f>[11]building!Y13598</f>
        <v>0</v>
      </c>
      <c r="F13267" s="748">
        <f t="shared" si="446"/>
        <v>0</v>
      </c>
      <c r="G13267" s="1205"/>
      <c r="H13267" s="1055"/>
      <c r="I13267" s="1055"/>
      <c r="J13267" s="1055"/>
      <c r="K13267" s="1205"/>
      <c r="L13267" s="1055"/>
      <c r="M13267" s="1205"/>
      <c r="N13267" s="1054"/>
      <c r="O13267" s="1207"/>
      <c r="Q13267" s="1207"/>
    </row>
    <row r="13268" spans="3:17" s="700" customFormat="1" ht="70.5" hidden="1" customHeight="1">
      <c r="C13268" s="701"/>
      <c r="D13268" s="811"/>
      <c r="E13268" s="1276">
        <f>[11]building!Y13599</f>
        <v>0</v>
      </c>
      <c r="F13268" s="748">
        <f t="shared" si="446"/>
        <v>0</v>
      </c>
      <c r="G13268" s="1205"/>
      <c r="H13268" s="1055"/>
      <c r="I13268" s="1055"/>
      <c r="J13268" s="1055"/>
      <c r="K13268" s="1205"/>
      <c r="L13268" s="1055"/>
      <c r="M13268" s="1205"/>
      <c r="N13268" s="1054"/>
      <c r="O13268" s="1207"/>
      <c r="Q13268" s="1207"/>
    </row>
    <row r="13269" spans="3:17" s="700" customFormat="1" ht="70.5" hidden="1" customHeight="1">
      <c r="C13269" s="701"/>
      <c r="D13269" s="811"/>
      <c r="E13269" s="1276">
        <f>[11]building!Y13600</f>
        <v>0</v>
      </c>
      <c r="F13269" s="748">
        <f t="shared" si="446"/>
        <v>0</v>
      </c>
      <c r="G13269" s="1205"/>
      <c r="H13269" s="1055"/>
      <c r="I13269" s="1055"/>
      <c r="J13269" s="1055"/>
      <c r="K13269" s="1205"/>
      <c r="L13269" s="1055"/>
      <c r="M13269" s="1205"/>
      <c r="N13269" s="1054"/>
      <c r="O13269" s="1207"/>
      <c r="Q13269" s="1207"/>
    </row>
    <row r="13270" spans="3:17" s="700" customFormat="1" ht="70.5" hidden="1" customHeight="1">
      <c r="C13270" s="701"/>
      <c r="D13270" s="811"/>
      <c r="E13270" s="1276">
        <f>[11]building!Y13601</f>
        <v>0</v>
      </c>
      <c r="F13270" s="748">
        <f t="shared" si="446"/>
        <v>0</v>
      </c>
      <c r="G13270" s="1205"/>
      <c r="H13270" s="1055"/>
      <c r="I13270" s="1055"/>
      <c r="J13270" s="1055"/>
      <c r="K13270" s="1205"/>
      <c r="L13270" s="1055"/>
      <c r="M13270" s="1205"/>
      <c r="N13270" s="1054"/>
      <c r="O13270" s="1207"/>
      <c r="Q13270" s="1207"/>
    </row>
    <row r="13271" spans="3:17" s="700" customFormat="1" ht="70.5" hidden="1" customHeight="1">
      <c r="C13271" s="701"/>
      <c r="D13271" s="811"/>
      <c r="E13271" s="1276">
        <f>[11]building!Y13602</f>
        <v>0</v>
      </c>
      <c r="F13271" s="748">
        <f t="shared" si="446"/>
        <v>0</v>
      </c>
      <c r="G13271" s="1205"/>
      <c r="H13271" s="1055"/>
      <c r="I13271" s="1055"/>
      <c r="J13271" s="1055"/>
      <c r="K13271" s="1205"/>
      <c r="L13271" s="1055"/>
      <c r="M13271" s="1205"/>
      <c r="N13271" s="1054"/>
      <c r="O13271" s="1207"/>
      <c r="Q13271" s="1207"/>
    </row>
    <row r="13272" spans="3:17" s="700" customFormat="1" ht="70.5" hidden="1" customHeight="1">
      <c r="C13272" s="701"/>
      <c r="D13272" s="811"/>
      <c r="E13272" s="1276">
        <f>[11]building!Y13603</f>
        <v>0</v>
      </c>
      <c r="F13272" s="748">
        <f t="shared" si="446"/>
        <v>0</v>
      </c>
      <c r="G13272" s="1205"/>
      <c r="H13272" s="1055"/>
      <c r="I13272" s="1055"/>
      <c r="J13272" s="1055"/>
      <c r="K13272" s="1205"/>
      <c r="L13272" s="1055"/>
      <c r="M13272" s="1205"/>
      <c r="N13272" s="1054"/>
      <c r="O13272" s="1207"/>
      <c r="Q13272" s="1207"/>
    </row>
    <row r="13273" spans="3:17" s="700" customFormat="1" ht="70.5" hidden="1" customHeight="1">
      <c r="C13273" s="701"/>
      <c r="D13273" s="811"/>
      <c r="E13273" s="1276">
        <f>[11]building!Y13604</f>
        <v>0</v>
      </c>
      <c r="F13273" s="748">
        <f t="shared" si="446"/>
        <v>0</v>
      </c>
      <c r="G13273" s="1205"/>
      <c r="H13273" s="1055"/>
      <c r="I13273" s="1055"/>
      <c r="J13273" s="1055"/>
      <c r="K13273" s="1205"/>
      <c r="L13273" s="1055"/>
      <c r="M13273" s="1205"/>
      <c r="N13273" s="1054"/>
      <c r="O13273" s="1207"/>
      <c r="Q13273" s="1207"/>
    </row>
    <row r="13274" spans="3:17" s="700" customFormat="1" ht="70.5" hidden="1" customHeight="1">
      <c r="C13274" s="701"/>
      <c r="D13274" s="811"/>
      <c r="E13274" s="1276">
        <f>[11]building!Y13605</f>
        <v>0</v>
      </c>
      <c r="F13274" s="748">
        <f t="shared" si="446"/>
        <v>0</v>
      </c>
      <c r="G13274" s="1205"/>
      <c r="H13274" s="1055"/>
      <c r="I13274" s="1055"/>
      <c r="J13274" s="1055"/>
      <c r="K13274" s="1205"/>
      <c r="L13274" s="1055"/>
      <c r="M13274" s="1205"/>
      <c r="N13274" s="1054"/>
      <c r="O13274" s="1207"/>
      <c r="Q13274" s="1207"/>
    </row>
    <row r="13275" spans="3:17" s="700" customFormat="1" ht="70.5" hidden="1" customHeight="1">
      <c r="C13275" s="701"/>
      <c r="D13275" s="811"/>
      <c r="E13275" s="1276">
        <f>[11]building!Y13606</f>
        <v>0</v>
      </c>
      <c r="F13275" s="748">
        <f t="shared" si="446"/>
        <v>0</v>
      </c>
      <c r="G13275" s="1205"/>
      <c r="H13275" s="1055"/>
      <c r="I13275" s="1055"/>
      <c r="J13275" s="1055"/>
      <c r="K13275" s="1205"/>
      <c r="L13275" s="1055"/>
      <c r="M13275" s="1205"/>
      <c r="N13275" s="1054"/>
      <c r="O13275" s="1207"/>
      <c r="Q13275" s="1207"/>
    </row>
    <row r="13276" spans="3:17" s="700" customFormat="1" ht="70.5" hidden="1" customHeight="1">
      <c r="C13276" s="701"/>
      <c r="D13276" s="811"/>
      <c r="E13276" s="1276">
        <f>[11]building!Y13607</f>
        <v>0</v>
      </c>
      <c r="F13276" s="748">
        <f t="shared" si="446"/>
        <v>0</v>
      </c>
      <c r="G13276" s="1205"/>
      <c r="H13276" s="1055"/>
      <c r="I13276" s="1055"/>
      <c r="J13276" s="1055"/>
      <c r="K13276" s="1205"/>
      <c r="L13276" s="1055"/>
      <c r="M13276" s="1205"/>
      <c r="N13276" s="1054"/>
      <c r="O13276" s="1207"/>
      <c r="Q13276" s="1207"/>
    </row>
    <row r="13277" spans="3:17" s="700" customFormat="1" ht="70.5" hidden="1" customHeight="1">
      <c r="C13277" s="701"/>
      <c r="D13277" s="811"/>
      <c r="E13277" s="1276">
        <f>[11]building!Y13608</f>
        <v>0</v>
      </c>
      <c r="F13277" s="748">
        <f t="shared" si="446"/>
        <v>0</v>
      </c>
      <c r="G13277" s="1205"/>
      <c r="H13277" s="1055"/>
      <c r="I13277" s="1055"/>
      <c r="J13277" s="1055"/>
      <c r="K13277" s="1205"/>
      <c r="L13277" s="1055"/>
      <c r="M13277" s="1205"/>
      <c r="N13277" s="1054"/>
      <c r="O13277" s="1207"/>
      <c r="Q13277" s="1207"/>
    </row>
    <row r="13278" spans="3:17" s="700" customFormat="1" ht="70.5" hidden="1" customHeight="1">
      <c r="C13278" s="701"/>
      <c r="D13278" s="811"/>
      <c r="E13278" s="1276">
        <f>[11]building!Y13609</f>
        <v>0</v>
      </c>
      <c r="F13278" s="748">
        <f t="shared" si="446"/>
        <v>0</v>
      </c>
      <c r="G13278" s="1205"/>
      <c r="H13278" s="1055"/>
      <c r="I13278" s="1055"/>
      <c r="J13278" s="1055"/>
      <c r="K13278" s="1205"/>
      <c r="L13278" s="1055"/>
      <c r="M13278" s="1205"/>
      <c r="N13278" s="1054"/>
      <c r="O13278" s="1207"/>
      <c r="Q13278" s="1207"/>
    </row>
    <row r="13279" spans="3:17" s="700" customFormat="1" ht="70.5" hidden="1" customHeight="1">
      <c r="C13279" s="701"/>
      <c r="D13279" s="811"/>
      <c r="E13279" s="1276">
        <f>[11]building!Y13610</f>
        <v>0</v>
      </c>
      <c r="F13279" s="748">
        <f t="shared" si="446"/>
        <v>0</v>
      </c>
      <c r="G13279" s="1205"/>
      <c r="H13279" s="1055"/>
      <c r="I13279" s="1055"/>
      <c r="J13279" s="1055"/>
      <c r="K13279" s="1205"/>
      <c r="L13279" s="1055"/>
      <c r="M13279" s="1205"/>
      <c r="N13279" s="1054"/>
      <c r="O13279" s="1207"/>
      <c r="Q13279" s="1207"/>
    </row>
    <row r="13280" spans="3:17" s="700" customFormat="1" ht="70.5" hidden="1" customHeight="1">
      <c r="C13280" s="701"/>
      <c r="D13280" s="811"/>
      <c r="E13280" s="1276">
        <f>[11]building!Y13611</f>
        <v>0</v>
      </c>
      <c r="F13280" s="748">
        <f t="shared" si="446"/>
        <v>0</v>
      </c>
      <c r="G13280" s="1205"/>
      <c r="H13280" s="1055"/>
      <c r="I13280" s="1055"/>
      <c r="J13280" s="1055"/>
      <c r="K13280" s="1205"/>
      <c r="L13280" s="1055"/>
      <c r="M13280" s="1205"/>
      <c r="N13280" s="1054"/>
      <c r="O13280" s="1207"/>
      <c r="Q13280" s="1207"/>
    </row>
    <row r="13281" spans="3:17" s="700" customFormat="1" ht="70.5" hidden="1" customHeight="1">
      <c r="C13281" s="701"/>
      <c r="D13281" s="811"/>
      <c r="E13281" s="1276">
        <f>[11]building!Y13612</f>
        <v>0</v>
      </c>
      <c r="F13281" s="748">
        <f t="shared" si="446"/>
        <v>0</v>
      </c>
      <c r="G13281" s="1205"/>
      <c r="H13281" s="1055"/>
      <c r="I13281" s="1055"/>
      <c r="J13281" s="1055"/>
      <c r="K13281" s="1205"/>
      <c r="L13281" s="1055"/>
      <c r="M13281" s="1205"/>
      <c r="N13281" s="1054"/>
      <c r="O13281" s="1207"/>
      <c r="Q13281" s="1207"/>
    </row>
    <row r="13282" spans="3:17" s="700" customFormat="1" ht="70.5" hidden="1" customHeight="1">
      <c r="C13282" s="701"/>
      <c r="D13282" s="811"/>
      <c r="E13282" s="1276">
        <f>[11]building!Y13613</f>
        <v>0</v>
      </c>
      <c r="F13282" s="748">
        <f t="shared" si="446"/>
        <v>0</v>
      </c>
      <c r="G13282" s="1205"/>
      <c r="H13282" s="1055"/>
      <c r="I13282" s="1055"/>
      <c r="J13282" s="1055"/>
      <c r="K13282" s="1205"/>
      <c r="L13282" s="1055"/>
      <c r="M13282" s="1205"/>
      <c r="N13282" s="1054"/>
      <c r="O13282" s="1207"/>
      <c r="Q13282" s="1207"/>
    </row>
    <row r="13283" spans="3:17" s="700" customFormat="1" ht="70.5" hidden="1" customHeight="1">
      <c r="C13283" s="701"/>
      <c r="D13283" s="811"/>
      <c r="E13283" s="1276">
        <f>[11]building!Y13614</f>
        <v>0</v>
      </c>
      <c r="F13283" s="748">
        <f t="shared" si="446"/>
        <v>0</v>
      </c>
      <c r="G13283" s="1205"/>
      <c r="H13283" s="1055"/>
      <c r="I13283" s="1055"/>
      <c r="J13283" s="1055"/>
      <c r="K13283" s="1205"/>
      <c r="L13283" s="1055"/>
      <c r="M13283" s="1205"/>
      <c r="N13283" s="1054"/>
      <c r="O13283" s="1207"/>
      <c r="Q13283" s="1207"/>
    </row>
    <row r="13284" spans="3:17" s="700" customFormat="1" ht="70.5" hidden="1" customHeight="1">
      <c r="C13284" s="701"/>
      <c r="D13284" s="811"/>
      <c r="E13284" s="1276">
        <f>[11]building!Y13615</f>
        <v>0</v>
      </c>
      <c r="F13284" s="748">
        <f t="shared" si="446"/>
        <v>0</v>
      </c>
      <c r="G13284" s="1205"/>
      <c r="H13284" s="1055"/>
      <c r="I13284" s="1055"/>
      <c r="J13284" s="1055"/>
      <c r="K13284" s="1205"/>
      <c r="L13284" s="1055"/>
      <c r="M13284" s="1205"/>
      <c r="N13284" s="1054"/>
      <c r="O13284" s="1207"/>
      <c r="Q13284" s="1207"/>
    </row>
    <row r="13285" spans="3:17" s="700" customFormat="1" ht="70.5" hidden="1" customHeight="1">
      <c r="C13285" s="701"/>
      <c r="D13285" s="811"/>
      <c r="E13285" s="1276">
        <f>[11]building!Y13616</f>
        <v>0</v>
      </c>
      <c r="F13285" s="748">
        <f t="shared" si="446"/>
        <v>0</v>
      </c>
      <c r="G13285" s="1205"/>
      <c r="H13285" s="1055"/>
      <c r="I13285" s="1055"/>
      <c r="J13285" s="1055"/>
      <c r="K13285" s="1205"/>
      <c r="L13285" s="1055"/>
      <c r="M13285" s="1205"/>
      <c r="N13285" s="1054"/>
      <c r="O13285" s="1207"/>
      <c r="Q13285" s="1207"/>
    </row>
    <row r="13286" spans="3:17" s="700" customFormat="1" ht="70.5" hidden="1" customHeight="1">
      <c r="C13286" s="701"/>
      <c r="D13286" s="811"/>
      <c r="E13286" s="1276">
        <f>[11]building!Y13617</f>
        <v>0</v>
      </c>
      <c r="F13286" s="748">
        <f t="shared" si="446"/>
        <v>0</v>
      </c>
      <c r="G13286" s="1205"/>
      <c r="H13286" s="1055"/>
      <c r="I13286" s="1055"/>
      <c r="J13286" s="1055"/>
      <c r="K13286" s="1205"/>
      <c r="L13286" s="1055"/>
      <c r="M13286" s="1205"/>
      <c r="N13286" s="1054"/>
      <c r="O13286" s="1207"/>
      <c r="Q13286" s="1207"/>
    </row>
    <row r="13287" spans="3:17" s="700" customFormat="1" ht="70.5" hidden="1" customHeight="1">
      <c r="C13287" s="701"/>
      <c r="D13287" s="811"/>
      <c r="E13287" s="1276">
        <f>[11]building!Y13618</f>
        <v>0</v>
      </c>
      <c r="F13287" s="748">
        <f t="shared" si="446"/>
        <v>0</v>
      </c>
      <c r="G13287" s="1205"/>
      <c r="H13287" s="1055"/>
      <c r="I13287" s="1055"/>
      <c r="J13287" s="1055"/>
      <c r="K13287" s="1205"/>
      <c r="L13287" s="1055"/>
      <c r="M13287" s="1205"/>
      <c r="N13287" s="1054"/>
      <c r="O13287" s="1207"/>
      <c r="Q13287" s="1207"/>
    </row>
    <row r="13288" spans="3:17" s="700" customFormat="1" ht="70.5" hidden="1" customHeight="1">
      <c r="C13288" s="701"/>
      <c r="D13288" s="811"/>
      <c r="E13288" s="1276">
        <f>[11]building!Y13619</f>
        <v>0</v>
      </c>
      <c r="F13288" s="748">
        <f t="shared" si="446"/>
        <v>0</v>
      </c>
      <c r="G13288" s="1205"/>
      <c r="H13288" s="1055"/>
      <c r="I13288" s="1055"/>
      <c r="J13288" s="1055"/>
      <c r="K13288" s="1205"/>
      <c r="L13288" s="1055"/>
      <c r="M13288" s="1205"/>
      <c r="N13288" s="1054"/>
      <c r="O13288" s="1207"/>
      <c r="Q13288" s="1207"/>
    </row>
    <row r="13289" spans="3:17" s="700" customFormat="1" ht="70.5" hidden="1" customHeight="1">
      <c r="C13289" s="701"/>
      <c r="D13289" s="811"/>
      <c r="E13289" s="1276">
        <f>[11]building!Y13620</f>
        <v>0</v>
      </c>
      <c r="F13289" s="748">
        <f t="shared" si="446"/>
        <v>0</v>
      </c>
      <c r="G13289" s="1205"/>
      <c r="H13289" s="1055"/>
      <c r="I13289" s="1055"/>
      <c r="J13289" s="1055"/>
      <c r="K13289" s="1205"/>
      <c r="L13289" s="1055"/>
      <c r="M13289" s="1205"/>
      <c r="N13289" s="1054"/>
      <c r="O13289" s="1207"/>
      <c r="Q13289" s="1207"/>
    </row>
    <row r="13290" spans="3:17" s="700" customFormat="1" ht="70.5" hidden="1" customHeight="1">
      <c r="C13290" s="701"/>
      <c r="D13290" s="811"/>
      <c r="E13290" s="1276">
        <f>[11]building!Y13621</f>
        <v>0</v>
      </c>
      <c r="F13290" s="748">
        <f t="shared" si="446"/>
        <v>0</v>
      </c>
      <c r="G13290" s="1205"/>
      <c r="H13290" s="1055"/>
      <c r="I13290" s="1055"/>
      <c r="J13290" s="1055"/>
      <c r="K13290" s="1205"/>
      <c r="L13290" s="1055"/>
      <c r="M13290" s="1205"/>
      <c r="N13290" s="1054"/>
      <c r="O13290" s="1207"/>
      <c r="Q13290" s="1207"/>
    </row>
    <row r="13291" spans="3:17" s="700" customFormat="1" ht="70.5" hidden="1" customHeight="1">
      <c r="C13291" s="701"/>
      <c r="D13291" s="811"/>
      <c r="E13291" s="1276">
        <f>[11]building!Y13622</f>
        <v>0</v>
      </c>
      <c r="F13291" s="748">
        <f t="shared" si="446"/>
        <v>0</v>
      </c>
      <c r="G13291" s="1205"/>
      <c r="H13291" s="1055"/>
      <c r="I13291" s="1055"/>
      <c r="J13291" s="1055"/>
      <c r="K13291" s="1205"/>
      <c r="L13291" s="1055"/>
      <c r="M13291" s="1205"/>
      <c r="N13291" s="1054"/>
      <c r="O13291" s="1207"/>
      <c r="Q13291" s="1207"/>
    </row>
    <row r="13292" spans="3:17" s="700" customFormat="1" ht="70.5" hidden="1" customHeight="1">
      <c r="C13292" s="701"/>
      <c r="D13292" s="811"/>
      <c r="E13292" s="1276">
        <f>[11]building!Y13623</f>
        <v>0</v>
      </c>
      <c r="F13292" s="748">
        <f t="shared" si="446"/>
        <v>0</v>
      </c>
      <c r="G13292" s="1205"/>
      <c r="H13292" s="1055"/>
      <c r="I13292" s="1055"/>
      <c r="J13292" s="1055"/>
      <c r="K13292" s="1205"/>
      <c r="L13292" s="1055"/>
      <c r="M13292" s="1205"/>
      <c r="N13292" s="1054"/>
      <c r="O13292" s="1207"/>
      <c r="Q13292" s="1207"/>
    </row>
    <row r="13293" spans="3:17" s="700" customFormat="1" ht="70.5" hidden="1" customHeight="1">
      <c r="C13293" s="701"/>
      <c r="D13293" s="811"/>
      <c r="E13293" s="1276">
        <f>[11]building!Y13624</f>
        <v>0</v>
      </c>
      <c r="F13293" s="748">
        <f t="shared" si="446"/>
        <v>0</v>
      </c>
      <c r="G13293" s="1205"/>
      <c r="H13293" s="1055"/>
      <c r="I13293" s="1055"/>
      <c r="J13293" s="1055"/>
      <c r="K13293" s="1205"/>
      <c r="L13293" s="1055"/>
      <c r="M13293" s="1205"/>
      <c r="N13293" s="1054"/>
      <c r="O13293" s="1207"/>
      <c r="Q13293" s="1207"/>
    </row>
    <row r="13294" spans="3:17" s="700" customFormat="1" ht="70.5" hidden="1" customHeight="1">
      <c r="C13294" s="701"/>
      <c r="D13294" s="811"/>
      <c r="E13294" s="1276">
        <f>[11]building!Y13625</f>
        <v>0</v>
      </c>
      <c r="F13294" s="748">
        <f t="shared" si="446"/>
        <v>0</v>
      </c>
      <c r="G13294" s="1205"/>
      <c r="H13294" s="1055"/>
      <c r="I13294" s="1055"/>
      <c r="J13294" s="1055"/>
      <c r="K13294" s="1205"/>
      <c r="L13294" s="1055"/>
      <c r="M13294" s="1205"/>
      <c r="N13294" s="1054"/>
      <c r="O13294" s="1207"/>
      <c r="Q13294" s="1207"/>
    </row>
    <row r="13295" spans="3:17" s="700" customFormat="1" ht="70.5" hidden="1" customHeight="1">
      <c r="C13295" s="701"/>
      <c r="D13295" s="811"/>
      <c r="E13295" s="1276">
        <f>[11]building!Y13626</f>
        <v>0</v>
      </c>
      <c r="F13295" s="748">
        <f t="shared" si="446"/>
        <v>0</v>
      </c>
      <c r="G13295" s="1205"/>
      <c r="H13295" s="1055"/>
      <c r="I13295" s="1055"/>
      <c r="J13295" s="1055"/>
      <c r="K13295" s="1205"/>
      <c r="L13295" s="1055"/>
      <c r="M13295" s="1205"/>
      <c r="N13295" s="1054"/>
      <c r="O13295" s="1207"/>
      <c r="Q13295" s="1207"/>
    </row>
    <row r="13296" spans="3:17" s="700" customFormat="1" ht="70.5" hidden="1" customHeight="1">
      <c r="C13296" s="701"/>
      <c r="D13296" s="811"/>
      <c r="E13296" s="1276">
        <f>[11]building!Y13627</f>
        <v>0</v>
      </c>
      <c r="F13296" s="748">
        <f t="shared" si="446"/>
        <v>0</v>
      </c>
      <c r="G13296" s="1205"/>
      <c r="H13296" s="1055"/>
      <c r="I13296" s="1055"/>
      <c r="J13296" s="1055"/>
      <c r="K13296" s="1205"/>
      <c r="L13296" s="1055"/>
      <c r="M13296" s="1205"/>
      <c r="N13296" s="1054"/>
      <c r="O13296" s="1207"/>
      <c r="Q13296" s="1207"/>
    </row>
    <row r="13297" spans="3:17" s="700" customFormat="1" ht="70.5" hidden="1" customHeight="1">
      <c r="C13297" s="701"/>
      <c r="D13297" s="811"/>
      <c r="E13297" s="1276">
        <f>[11]building!Y13628</f>
        <v>0</v>
      </c>
      <c r="F13297" s="748">
        <f t="shared" si="446"/>
        <v>0</v>
      </c>
      <c r="G13297" s="1205"/>
      <c r="H13297" s="1055"/>
      <c r="I13297" s="1055"/>
      <c r="J13297" s="1055"/>
      <c r="K13297" s="1205"/>
      <c r="L13297" s="1055"/>
      <c r="M13297" s="1205"/>
      <c r="N13297" s="1054"/>
      <c r="O13297" s="1207"/>
      <c r="Q13297" s="1207"/>
    </row>
    <row r="13298" spans="3:17" s="700" customFormat="1" ht="70.5" hidden="1" customHeight="1">
      <c r="C13298" s="701"/>
      <c r="D13298" s="811"/>
      <c r="E13298" s="1276">
        <f>[11]building!Y13629</f>
        <v>0</v>
      </c>
      <c r="F13298" s="748">
        <f t="shared" si="446"/>
        <v>0</v>
      </c>
      <c r="G13298" s="1205"/>
      <c r="H13298" s="1055"/>
      <c r="I13298" s="1055"/>
      <c r="J13298" s="1055"/>
      <c r="K13298" s="1205"/>
      <c r="L13298" s="1055"/>
      <c r="M13298" s="1205"/>
      <c r="N13298" s="1054"/>
      <c r="O13298" s="1207"/>
      <c r="Q13298" s="1207"/>
    </row>
    <row r="13299" spans="3:17" s="700" customFormat="1" ht="70.5" hidden="1" customHeight="1">
      <c r="C13299" s="701"/>
      <c r="D13299" s="811"/>
      <c r="E13299" s="1276">
        <f>[11]building!Y13630</f>
        <v>0</v>
      </c>
      <c r="F13299" s="748">
        <f t="shared" si="446"/>
        <v>0</v>
      </c>
      <c r="G13299" s="1205"/>
      <c r="H13299" s="1055"/>
      <c r="I13299" s="1055"/>
      <c r="J13299" s="1055"/>
      <c r="K13299" s="1205"/>
      <c r="L13299" s="1055"/>
      <c r="M13299" s="1205"/>
      <c r="N13299" s="1054"/>
      <c r="O13299" s="1207"/>
      <c r="Q13299" s="1207"/>
    </row>
    <row r="13300" spans="3:17" s="700" customFormat="1" ht="70.5" hidden="1" customHeight="1">
      <c r="C13300" s="701"/>
      <c r="D13300" s="811"/>
      <c r="E13300" s="1276">
        <f>[11]building!Y13631</f>
        <v>0</v>
      </c>
      <c r="F13300" s="748">
        <f t="shared" si="446"/>
        <v>0</v>
      </c>
      <c r="G13300" s="1205"/>
      <c r="H13300" s="1055"/>
      <c r="I13300" s="1055"/>
      <c r="J13300" s="1055"/>
      <c r="K13300" s="1205"/>
      <c r="L13300" s="1055"/>
      <c r="M13300" s="1205"/>
      <c r="N13300" s="1054"/>
      <c r="O13300" s="1207"/>
      <c r="Q13300" s="1207"/>
    </row>
    <row r="13301" spans="3:17" s="700" customFormat="1" ht="70.5" hidden="1" customHeight="1">
      <c r="C13301" s="701"/>
      <c r="D13301" s="811"/>
      <c r="E13301" s="1276">
        <f>[11]building!Y13632</f>
        <v>0</v>
      </c>
      <c r="F13301" s="748">
        <f t="shared" si="446"/>
        <v>0</v>
      </c>
      <c r="G13301" s="1205"/>
      <c r="H13301" s="1055"/>
      <c r="I13301" s="1055"/>
      <c r="J13301" s="1055"/>
      <c r="K13301" s="1205"/>
      <c r="L13301" s="1055"/>
      <c r="M13301" s="1205"/>
      <c r="N13301" s="1054"/>
      <c r="O13301" s="1207"/>
      <c r="Q13301" s="1207"/>
    </row>
    <row r="13302" spans="3:17" s="700" customFormat="1" ht="70.5" hidden="1" customHeight="1">
      <c r="C13302" s="701"/>
      <c r="D13302" s="811"/>
      <c r="E13302" s="1276">
        <f>[11]building!Y13633</f>
        <v>0</v>
      </c>
      <c r="F13302" s="748">
        <f t="shared" si="446"/>
        <v>0</v>
      </c>
      <c r="G13302" s="1205"/>
      <c r="H13302" s="1055"/>
      <c r="I13302" s="1055"/>
      <c r="J13302" s="1055"/>
      <c r="K13302" s="1205"/>
      <c r="L13302" s="1055"/>
      <c r="M13302" s="1205"/>
      <c r="N13302" s="1054"/>
      <c r="O13302" s="1207"/>
      <c r="Q13302" s="1207"/>
    </row>
    <row r="13303" spans="3:17" s="700" customFormat="1" ht="70.5" hidden="1" customHeight="1">
      <c r="C13303" s="701"/>
      <c r="D13303" s="811"/>
      <c r="E13303" s="1276">
        <f>[11]building!Y13634</f>
        <v>0</v>
      </c>
      <c r="F13303" s="748">
        <f t="shared" si="446"/>
        <v>0</v>
      </c>
      <c r="G13303" s="1205"/>
      <c r="H13303" s="1055"/>
      <c r="I13303" s="1055"/>
      <c r="J13303" s="1055"/>
      <c r="K13303" s="1205"/>
      <c r="L13303" s="1055"/>
      <c r="M13303" s="1205"/>
      <c r="N13303" s="1054"/>
      <c r="O13303" s="1207"/>
      <c r="Q13303" s="1207"/>
    </row>
    <row r="13304" spans="3:17" s="700" customFormat="1" ht="70.5" hidden="1" customHeight="1">
      <c r="C13304" s="701"/>
      <c r="D13304" s="811"/>
      <c r="E13304" s="1276">
        <f>[11]building!Y13635</f>
        <v>0</v>
      </c>
      <c r="F13304" s="748">
        <f t="shared" si="446"/>
        <v>0</v>
      </c>
      <c r="G13304" s="1205"/>
      <c r="H13304" s="1055"/>
      <c r="I13304" s="1055"/>
      <c r="J13304" s="1055"/>
      <c r="K13304" s="1205"/>
      <c r="L13304" s="1055"/>
      <c r="M13304" s="1205"/>
      <c r="N13304" s="1054"/>
      <c r="O13304" s="1207"/>
      <c r="Q13304" s="1207"/>
    </row>
    <row r="13305" spans="3:17" s="700" customFormat="1" ht="70.5" hidden="1" customHeight="1">
      <c r="C13305" s="701"/>
      <c r="D13305" s="811"/>
      <c r="E13305" s="1276">
        <f>[11]building!Y13636</f>
        <v>0</v>
      </c>
      <c r="F13305" s="748">
        <f t="shared" si="446"/>
        <v>0</v>
      </c>
      <c r="G13305" s="1205"/>
      <c r="H13305" s="1055"/>
      <c r="I13305" s="1055"/>
      <c r="J13305" s="1055"/>
      <c r="K13305" s="1205"/>
      <c r="L13305" s="1055"/>
      <c r="M13305" s="1205"/>
      <c r="N13305" s="1054"/>
      <c r="O13305" s="1207"/>
      <c r="Q13305" s="1207"/>
    </row>
    <row r="13306" spans="3:17" s="700" customFormat="1" ht="70.5" hidden="1" customHeight="1">
      <c r="C13306" s="701"/>
      <c r="D13306" s="811"/>
      <c r="E13306" s="1276">
        <f>[11]building!Y13637</f>
        <v>0</v>
      </c>
      <c r="F13306" s="748">
        <f t="shared" si="446"/>
        <v>0</v>
      </c>
      <c r="G13306" s="1205"/>
      <c r="H13306" s="1055"/>
      <c r="I13306" s="1055"/>
      <c r="J13306" s="1055"/>
      <c r="K13306" s="1205"/>
      <c r="L13306" s="1055"/>
      <c r="M13306" s="1205"/>
      <c r="N13306" s="1054"/>
      <c r="O13306" s="1207"/>
      <c r="Q13306" s="1207"/>
    </row>
    <row r="13307" spans="3:17" s="700" customFormat="1" ht="70.5" hidden="1" customHeight="1">
      <c r="C13307" s="701"/>
      <c r="D13307" s="811"/>
      <c r="E13307" s="1276">
        <f>[11]building!Y13638</f>
        <v>0</v>
      </c>
      <c r="F13307" s="748">
        <f t="shared" si="446"/>
        <v>0</v>
      </c>
      <c r="G13307" s="1205"/>
      <c r="H13307" s="1055"/>
      <c r="I13307" s="1055"/>
      <c r="J13307" s="1055"/>
      <c r="K13307" s="1205"/>
      <c r="L13307" s="1055"/>
      <c r="M13307" s="1205"/>
      <c r="N13307" s="1054"/>
      <c r="O13307" s="1207"/>
      <c r="Q13307" s="1207"/>
    </row>
    <row r="13308" spans="3:17" s="700" customFormat="1" ht="70.5" hidden="1" customHeight="1">
      <c r="C13308" s="701"/>
      <c r="D13308" s="811"/>
      <c r="E13308" s="1276">
        <f>[11]building!Y13639</f>
        <v>0</v>
      </c>
      <c r="F13308" s="748">
        <f t="shared" si="446"/>
        <v>0</v>
      </c>
      <c r="G13308" s="1205"/>
      <c r="H13308" s="1055"/>
      <c r="I13308" s="1055"/>
      <c r="J13308" s="1055"/>
      <c r="K13308" s="1205"/>
      <c r="L13308" s="1055"/>
      <c r="M13308" s="1205"/>
      <c r="N13308" s="1054"/>
      <c r="O13308" s="1207"/>
      <c r="Q13308" s="1207"/>
    </row>
    <row r="13309" spans="3:17" s="700" customFormat="1" ht="70.5" hidden="1" customHeight="1">
      <c r="C13309" s="701"/>
      <c r="D13309" s="811"/>
      <c r="E13309" s="1276">
        <f>[11]building!Y13640</f>
        <v>0</v>
      </c>
      <c r="F13309" s="748">
        <f t="shared" si="446"/>
        <v>0</v>
      </c>
      <c r="G13309" s="1205"/>
      <c r="H13309" s="1055"/>
      <c r="I13309" s="1055"/>
      <c r="J13309" s="1055"/>
      <c r="K13309" s="1205"/>
      <c r="L13309" s="1055"/>
      <c r="M13309" s="1205"/>
      <c r="N13309" s="1054"/>
      <c r="O13309" s="1207"/>
      <c r="Q13309" s="1207"/>
    </row>
    <row r="13310" spans="3:17" s="700" customFormat="1" ht="70.5" hidden="1" customHeight="1">
      <c r="C13310" s="701"/>
      <c r="D13310" s="811"/>
      <c r="E13310" s="1276">
        <f>[11]building!Y13641</f>
        <v>0</v>
      </c>
      <c r="F13310" s="748">
        <f t="shared" si="446"/>
        <v>0</v>
      </c>
      <c r="G13310" s="1205"/>
      <c r="H13310" s="1055"/>
      <c r="I13310" s="1055"/>
      <c r="J13310" s="1055"/>
      <c r="K13310" s="1205"/>
      <c r="L13310" s="1055"/>
      <c r="M13310" s="1205"/>
      <c r="N13310" s="1054"/>
      <c r="O13310" s="1207"/>
      <c r="Q13310" s="1207"/>
    </row>
    <row r="13311" spans="3:17" s="700" customFormat="1" ht="70.5" hidden="1" customHeight="1">
      <c r="C13311" s="701"/>
      <c r="D13311" s="811"/>
      <c r="E13311" s="1276">
        <f>[11]building!Y13642</f>
        <v>0</v>
      </c>
      <c r="F13311" s="748">
        <f t="shared" si="446"/>
        <v>0</v>
      </c>
      <c r="G13311" s="1205"/>
      <c r="H13311" s="1055"/>
      <c r="I13311" s="1055"/>
      <c r="J13311" s="1055"/>
      <c r="K13311" s="1205"/>
      <c r="L13311" s="1055"/>
      <c r="M13311" s="1205"/>
      <c r="N13311" s="1054"/>
      <c r="O13311" s="1207"/>
      <c r="Q13311" s="1207"/>
    </row>
    <row r="13312" spans="3:17" s="700" customFormat="1" ht="70.5" hidden="1" customHeight="1">
      <c r="C13312" s="701"/>
      <c r="D13312" s="811"/>
      <c r="E13312" s="1276">
        <f>[11]building!Y13643</f>
        <v>0</v>
      </c>
      <c r="F13312" s="748">
        <f t="shared" ref="F13312:F13375" si="447">E13312*C13312</f>
        <v>0</v>
      </c>
      <c r="G13312" s="1205"/>
      <c r="H13312" s="1055"/>
      <c r="I13312" s="1055"/>
      <c r="J13312" s="1055"/>
      <c r="K13312" s="1205"/>
      <c r="L13312" s="1055"/>
      <c r="M13312" s="1205"/>
      <c r="N13312" s="1054"/>
      <c r="O13312" s="1207"/>
      <c r="Q13312" s="1207"/>
    </row>
    <row r="13313" spans="3:17" s="700" customFormat="1" ht="70.5" hidden="1" customHeight="1">
      <c r="C13313" s="701"/>
      <c r="D13313" s="811"/>
      <c r="E13313" s="1276">
        <f>[11]building!Y13644</f>
        <v>0</v>
      </c>
      <c r="F13313" s="748">
        <f t="shared" si="447"/>
        <v>0</v>
      </c>
      <c r="G13313" s="1205"/>
      <c r="H13313" s="1055"/>
      <c r="I13313" s="1055"/>
      <c r="J13313" s="1055"/>
      <c r="K13313" s="1205"/>
      <c r="L13313" s="1055"/>
      <c r="M13313" s="1205"/>
      <c r="N13313" s="1054"/>
      <c r="O13313" s="1207"/>
      <c r="Q13313" s="1207"/>
    </row>
    <row r="13314" spans="3:17" s="700" customFormat="1" ht="70.5" hidden="1" customHeight="1">
      <c r="C13314" s="701"/>
      <c r="D13314" s="811"/>
      <c r="E13314" s="1276">
        <f>[11]building!Y13645</f>
        <v>0</v>
      </c>
      <c r="F13314" s="748">
        <f t="shared" si="447"/>
        <v>0</v>
      </c>
      <c r="G13314" s="1205"/>
      <c r="H13314" s="1055"/>
      <c r="I13314" s="1055"/>
      <c r="J13314" s="1055"/>
      <c r="K13314" s="1205"/>
      <c r="L13314" s="1055"/>
      <c r="M13314" s="1205"/>
      <c r="N13314" s="1054"/>
      <c r="O13314" s="1207"/>
      <c r="Q13314" s="1207"/>
    </row>
    <row r="13315" spans="3:17" s="700" customFormat="1" ht="70.5" hidden="1" customHeight="1">
      <c r="C13315" s="701"/>
      <c r="D13315" s="811"/>
      <c r="E13315" s="1276">
        <f>[11]building!Y13646</f>
        <v>0</v>
      </c>
      <c r="F13315" s="748">
        <f t="shared" si="447"/>
        <v>0</v>
      </c>
      <c r="G13315" s="1205"/>
      <c r="H13315" s="1055"/>
      <c r="I13315" s="1055"/>
      <c r="J13315" s="1055"/>
      <c r="K13315" s="1205"/>
      <c r="L13315" s="1055"/>
      <c r="M13315" s="1205"/>
      <c r="N13315" s="1054"/>
      <c r="O13315" s="1207"/>
      <c r="Q13315" s="1207"/>
    </row>
    <row r="13316" spans="3:17" s="700" customFormat="1" ht="70.5" hidden="1" customHeight="1">
      <c r="C13316" s="701"/>
      <c r="D13316" s="811"/>
      <c r="E13316" s="1276">
        <f>[11]building!Y13647</f>
        <v>0</v>
      </c>
      <c r="F13316" s="748">
        <f t="shared" si="447"/>
        <v>0</v>
      </c>
      <c r="G13316" s="1205"/>
      <c r="H13316" s="1055"/>
      <c r="I13316" s="1055"/>
      <c r="J13316" s="1055"/>
      <c r="K13316" s="1205"/>
      <c r="L13316" s="1055"/>
      <c r="M13316" s="1205"/>
      <c r="N13316" s="1054"/>
      <c r="O13316" s="1207"/>
      <c r="Q13316" s="1207"/>
    </row>
    <row r="13317" spans="3:17" s="700" customFormat="1" ht="70.5" hidden="1" customHeight="1">
      <c r="C13317" s="701"/>
      <c r="D13317" s="811"/>
      <c r="E13317" s="1276">
        <f>[11]building!Y13648</f>
        <v>0</v>
      </c>
      <c r="F13317" s="748">
        <f t="shared" si="447"/>
        <v>0</v>
      </c>
      <c r="G13317" s="1205"/>
      <c r="H13317" s="1055"/>
      <c r="I13317" s="1055"/>
      <c r="J13317" s="1055"/>
      <c r="K13317" s="1205"/>
      <c r="L13317" s="1055"/>
      <c r="M13317" s="1205"/>
      <c r="N13317" s="1054"/>
      <c r="O13317" s="1207"/>
      <c r="Q13317" s="1207"/>
    </row>
    <row r="13318" spans="3:17" s="700" customFormat="1" ht="70.5" hidden="1" customHeight="1">
      <c r="C13318" s="701"/>
      <c r="D13318" s="811"/>
      <c r="E13318" s="1276">
        <f>[11]building!Y13649</f>
        <v>0</v>
      </c>
      <c r="F13318" s="748">
        <f t="shared" si="447"/>
        <v>0</v>
      </c>
      <c r="G13318" s="1205"/>
      <c r="H13318" s="1055"/>
      <c r="I13318" s="1055"/>
      <c r="J13318" s="1055"/>
      <c r="K13318" s="1205"/>
      <c r="L13318" s="1055"/>
      <c r="M13318" s="1205"/>
      <c r="N13318" s="1054"/>
      <c r="O13318" s="1207"/>
      <c r="Q13318" s="1207"/>
    </row>
    <row r="13319" spans="3:17" s="700" customFormat="1" ht="70.5" hidden="1" customHeight="1">
      <c r="C13319" s="701"/>
      <c r="D13319" s="811"/>
      <c r="E13319" s="1276">
        <f>[11]building!Y13650</f>
        <v>0</v>
      </c>
      <c r="F13319" s="748">
        <f t="shared" si="447"/>
        <v>0</v>
      </c>
      <c r="G13319" s="1205"/>
      <c r="H13319" s="1055"/>
      <c r="I13319" s="1055"/>
      <c r="J13319" s="1055"/>
      <c r="K13319" s="1205"/>
      <c r="L13319" s="1055"/>
      <c r="M13319" s="1205"/>
      <c r="N13319" s="1054"/>
      <c r="O13319" s="1207"/>
      <c r="Q13319" s="1207"/>
    </row>
    <row r="13320" spans="3:17" s="700" customFormat="1" ht="70.5" hidden="1" customHeight="1">
      <c r="C13320" s="701"/>
      <c r="D13320" s="811"/>
      <c r="E13320" s="1276">
        <f>[11]building!Y13651</f>
        <v>0</v>
      </c>
      <c r="F13320" s="748">
        <f t="shared" si="447"/>
        <v>0</v>
      </c>
      <c r="G13320" s="1205"/>
      <c r="H13320" s="1055"/>
      <c r="I13320" s="1055"/>
      <c r="J13320" s="1055"/>
      <c r="K13320" s="1205"/>
      <c r="L13320" s="1055"/>
      <c r="M13320" s="1205"/>
      <c r="N13320" s="1054"/>
      <c r="O13320" s="1207"/>
      <c r="Q13320" s="1207"/>
    </row>
    <row r="13321" spans="3:17" s="700" customFormat="1" ht="70.5" hidden="1" customHeight="1">
      <c r="C13321" s="701"/>
      <c r="D13321" s="811"/>
      <c r="E13321" s="1276">
        <f>[11]building!Y13652</f>
        <v>0</v>
      </c>
      <c r="F13321" s="748">
        <f t="shared" si="447"/>
        <v>0</v>
      </c>
      <c r="G13321" s="1205"/>
      <c r="H13321" s="1055"/>
      <c r="I13321" s="1055"/>
      <c r="J13321" s="1055"/>
      <c r="K13321" s="1205"/>
      <c r="L13321" s="1055"/>
      <c r="M13321" s="1205"/>
      <c r="N13321" s="1054"/>
      <c r="O13321" s="1207"/>
      <c r="Q13321" s="1207"/>
    </row>
    <row r="13322" spans="3:17" s="700" customFormat="1" ht="70.5" hidden="1" customHeight="1">
      <c r="C13322" s="701"/>
      <c r="D13322" s="811"/>
      <c r="E13322" s="1276">
        <f>[11]building!Y13653</f>
        <v>0</v>
      </c>
      <c r="F13322" s="748">
        <f t="shared" si="447"/>
        <v>0</v>
      </c>
      <c r="G13322" s="1205"/>
      <c r="H13322" s="1055"/>
      <c r="I13322" s="1055"/>
      <c r="J13322" s="1055"/>
      <c r="K13322" s="1205"/>
      <c r="L13322" s="1055"/>
      <c r="M13322" s="1205"/>
      <c r="N13322" s="1054"/>
      <c r="O13322" s="1207"/>
      <c r="Q13322" s="1207"/>
    </row>
    <row r="13323" spans="3:17" s="700" customFormat="1" ht="70.5" hidden="1" customHeight="1">
      <c r="C13323" s="701"/>
      <c r="D13323" s="811"/>
      <c r="E13323" s="1276">
        <f>[11]building!Y13654</f>
        <v>0</v>
      </c>
      <c r="F13323" s="748">
        <f t="shared" si="447"/>
        <v>0</v>
      </c>
      <c r="G13323" s="1205"/>
      <c r="H13323" s="1055"/>
      <c r="I13323" s="1055"/>
      <c r="J13323" s="1055"/>
      <c r="K13323" s="1205"/>
      <c r="L13323" s="1055"/>
      <c r="M13323" s="1205"/>
      <c r="N13323" s="1054"/>
      <c r="O13323" s="1207"/>
      <c r="Q13323" s="1207"/>
    </row>
    <row r="13324" spans="3:17" s="700" customFormat="1" ht="70.5" hidden="1" customHeight="1">
      <c r="C13324" s="701"/>
      <c r="D13324" s="811"/>
      <c r="E13324" s="1276">
        <f>[11]building!Y13655</f>
        <v>0</v>
      </c>
      <c r="F13324" s="748">
        <f t="shared" si="447"/>
        <v>0</v>
      </c>
      <c r="G13324" s="1205"/>
      <c r="H13324" s="1055"/>
      <c r="I13324" s="1055"/>
      <c r="J13324" s="1055"/>
      <c r="K13324" s="1205"/>
      <c r="L13324" s="1055"/>
      <c r="M13324" s="1205"/>
      <c r="N13324" s="1054"/>
      <c r="O13324" s="1207"/>
      <c r="Q13324" s="1207"/>
    </row>
    <row r="13325" spans="3:17" s="700" customFormat="1" ht="70.5" hidden="1" customHeight="1">
      <c r="C13325" s="701"/>
      <c r="D13325" s="811"/>
      <c r="E13325" s="1276">
        <f>[11]building!Y13656</f>
        <v>0</v>
      </c>
      <c r="F13325" s="748">
        <f t="shared" si="447"/>
        <v>0</v>
      </c>
      <c r="G13325" s="1205"/>
      <c r="H13325" s="1055"/>
      <c r="I13325" s="1055"/>
      <c r="J13325" s="1055"/>
      <c r="K13325" s="1205"/>
      <c r="L13325" s="1055"/>
      <c r="M13325" s="1205"/>
      <c r="N13325" s="1054"/>
      <c r="O13325" s="1207"/>
      <c r="Q13325" s="1207"/>
    </row>
    <row r="13326" spans="3:17" s="700" customFormat="1" ht="70.5" hidden="1" customHeight="1">
      <c r="C13326" s="701"/>
      <c r="D13326" s="811"/>
      <c r="E13326" s="1276">
        <f>[11]building!Y13657</f>
        <v>0</v>
      </c>
      <c r="F13326" s="748">
        <f t="shared" si="447"/>
        <v>0</v>
      </c>
      <c r="G13326" s="1205"/>
      <c r="H13326" s="1055"/>
      <c r="I13326" s="1055"/>
      <c r="J13326" s="1055"/>
      <c r="K13326" s="1205"/>
      <c r="L13326" s="1055"/>
      <c r="M13326" s="1205"/>
      <c r="N13326" s="1054"/>
      <c r="O13326" s="1207"/>
      <c r="Q13326" s="1207"/>
    </row>
    <row r="13327" spans="3:17" s="700" customFormat="1" ht="70.5" hidden="1" customHeight="1">
      <c r="C13327" s="701"/>
      <c r="D13327" s="811"/>
      <c r="E13327" s="1276">
        <f>[11]building!Y13658</f>
        <v>0</v>
      </c>
      <c r="F13327" s="748">
        <f t="shared" si="447"/>
        <v>0</v>
      </c>
      <c r="G13327" s="1205"/>
      <c r="H13327" s="1055"/>
      <c r="I13327" s="1055"/>
      <c r="J13327" s="1055"/>
      <c r="K13327" s="1205"/>
      <c r="L13327" s="1055"/>
      <c r="M13327" s="1205"/>
      <c r="N13327" s="1054"/>
      <c r="O13327" s="1207"/>
      <c r="Q13327" s="1207"/>
    </row>
    <row r="13328" spans="3:17" s="700" customFormat="1" ht="70.5" hidden="1" customHeight="1">
      <c r="C13328" s="701"/>
      <c r="D13328" s="811"/>
      <c r="E13328" s="1276">
        <f>[11]building!Y13659</f>
        <v>0</v>
      </c>
      <c r="F13328" s="748">
        <f t="shared" si="447"/>
        <v>0</v>
      </c>
      <c r="G13328" s="1205"/>
      <c r="H13328" s="1055"/>
      <c r="I13328" s="1055"/>
      <c r="J13328" s="1055"/>
      <c r="K13328" s="1205"/>
      <c r="L13328" s="1055"/>
      <c r="M13328" s="1205"/>
      <c r="N13328" s="1054"/>
      <c r="O13328" s="1207"/>
      <c r="Q13328" s="1207"/>
    </row>
    <row r="13329" spans="3:17" s="700" customFormat="1" ht="70.5" hidden="1" customHeight="1">
      <c r="C13329" s="701"/>
      <c r="D13329" s="811"/>
      <c r="E13329" s="1276">
        <f>[11]building!Y13660</f>
        <v>0</v>
      </c>
      <c r="F13329" s="748">
        <f t="shared" si="447"/>
        <v>0</v>
      </c>
      <c r="G13329" s="1205"/>
      <c r="H13329" s="1055"/>
      <c r="I13329" s="1055"/>
      <c r="J13329" s="1055"/>
      <c r="K13329" s="1205"/>
      <c r="L13329" s="1055"/>
      <c r="M13329" s="1205"/>
      <c r="N13329" s="1054"/>
      <c r="O13329" s="1207"/>
      <c r="Q13329" s="1207"/>
    </row>
    <row r="13330" spans="3:17" s="700" customFormat="1" ht="70.5" hidden="1" customHeight="1">
      <c r="C13330" s="701"/>
      <c r="D13330" s="811"/>
      <c r="E13330" s="1276">
        <f>[11]building!Y13661</f>
        <v>0</v>
      </c>
      <c r="F13330" s="748">
        <f t="shared" si="447"/>
        <v>0</v>
      </c>
      <c r="G13330" s="1205"/>
      <c r="H13330" s="1055"/>
      <c r="I13330" s="1055"/>
      <c r="J13330" s="1055"/>
      <c r="K13330" s="1205"/>
      <c r="L13330" s="1055"/>
      <c r="M13330" s="1205"/>
      <c r="N13330" s="1054"/>
      <c r="O13330" s="1207"/>
      <c r="Q13330" s="1207"/>
    </row>
    <row r="13331" spans="3:17" s="700" customFormat="1" ht="70.5" hidden="1" customHeight="1">
      <c r="C13331" s="701"/>
      <c r="D13331" s="811"/>
      <c r="E13331" s="1276">
        <f>[11]building!Y13662</f>
        <v>0</v>
      </c>
      <c r="F13331" s="748">
        <f t="shared" si="447"/>
        <v>0</v>
      </c>
      <c r="G13331" s="1205"/>
      <c r="H13331" s="1055"/>
      <c r="I13331" s="1055"/>
      <c r="J13331" s="1055"/>
      <c r="K13331" s="1205"/>
      <c r="L13331" s="1055"/>
      <c r="M13331" s="1205"/>
      <c r="N13331" s="1054"/>
      <c r="O13331" s="1207"/>
      <c r="Q13331" s="1207"/>
    </row>
    <row r="13332" spans="3:17" s="700" customFormat="1" ht="70.5" hidden="1" customHeight="1">
      <c r="C13332" s="701"/>
      <c r="D13332" s="811"/>
      <c r="E13332" s="1276">
        <f>[11]building!Y13663</f>
        <v>0</v>
      </c>
      <c r="F13332" s="748">
        <f t="shared" si="447"/>
        <v>0</v>
      </c>
      <c r="G13332" s="1205"/>
      <c r="H13332" s="1055"/>
      <c r="I13332" s="1055"/>
      <c r="J13332" s="1055"/>
      <c r="K13332" s="1205"/>
      <c r="L13332" s="1055"/>
      <c r="M13332" s="1205"/>
      <c r="N13332" s="1054"/>
      <c r="O13332" s="1207"/>
      <c r="Q13332" s="1207"/>
    </row>
    <row r="13333" spans="3:17" s="700" customFormat="1" ht="70.5" hidden="1" customHeight="1">
      <c r="C13333" s="701"/>
      <c r="D13333" s="811"/>
      <c r="E13333" s="1276">
        <f>[11]building!Y13664</f>
        <v>0</v>
      </c>
      <c r="F13333" s="748">
        <f t="shared" si="447"/>
        <v>0</v>
      </c>
      <c r="G13333" s="1205"/>
      <c r="H13333" s="1055"/>
      <c r="I13333" s="1055"/>
      <c r="J13333" s="1055"/>
      <c r="K13333" s="1205"/>
      <c r="L13333" s="1055"/>
      <c r="M13333" s="1205"/>
      <c r="N13333" s="1054"/>
      <c r="O13333" s="1207"/>
      <c r="Q13333" s="1207"/>
    </row>
    <row r="13334" spans="3:17" s="700" customFormat="1" ht="70.5" hidden="1" customHeight="1">
      <c r="C13334" s="701"/>
      <c r="D13334" s="811"/>
      <c r="E13334" s="1276">
        <f>[11]building!Y13665</f>
        <v>0</v>
      </c>
      <c r="F13334" s="748">
        <f t="shared" si="447"/>
        <v>0</v>
      </c>
      <c r="G13334" s="1205"/>
      <c r="H13334" s="1055"/>
      <c r="I13334" s="1055"/>
      <c r="J13334" s="1055"/>
      <c r="K13334" s="1205"/>
      <c r="L13334" s="1055"/>
      <c r="M13334" s="1205"/>
      <c r="N13334" s="1054"/>
      <c r="O13334" s="1207"/>
      <c r="Q13334" s="1207"/>
    </row>
    <row r="13335" spans="3:17" s="700" customFormat="1" ht="70.5" hidden="1" customHeight="1">
      <c r="C13335" s="701"/>
      <c r="D13335" s="811"/>
      <c r="E13335" s="1276">
        <f>[11]building!Y13666</f>
        <v>0</v>
      </c>
      <c r="F13335" s="748">
        <f t="shared" si="447"/>
        <v>0</v>
      </c>
      <c r="G13335" s="1205"/>
      <c r="H13335" s="1055"/>
      <c r="I13335" s="1055"/>
      <c r="J13335" s="1055"/>
      <c r="K13335" s="1205"/>
      <c r="L13335" s="1055"/>
      <c r="M13335" s="1205"/>
      <c r="N13335" s="1054"/>
      <c r="O13335" s="1207"/>
      <c r="Q13335" s="1207"/>
    </row>
    <row r="13336" spans="3:17" s="700" customFormat="1" ht="70.5" hidden="1" customHeight="1">
      <c r="C13336" s="701"/>
      <c r="D13336" s="811"/>
      <c r="E13336" s="1276">
        <f>[11]building!Y13667</f>
        <v>0</v>
      </c>
      <c r="F13336" s="748">
        <f t="shared" si="447"/>
        <v>0</v>
      </c>
      <c r="G13336" s="1205"/>
      <c r="H13336" s="1055"/>
      <c r="I13336" s="1055"/>
      <c r="J13336" s="1055"/>
      <c r="K13336" s="1205"/>
      <c r="L13336" s="1055"/>
      <c r="M13336" s="1205"/>
      <c r="N13336" s="1054"/>
      <c r="O13336" s="1207"/>
      <c r="Q13336" s="1207"/>
    </row>
    <row r="13337" spans="3:17" s="700" customFormat="1" ht="70.5" hidden="1" customHeight="1">
      <c r="C13337" s="701"/>
      <c r="D13337" s="811"/>
      <c r="E13337" s="1276">
        <f>[11]building!Y13668</f>
        <v>0</v>
      </c>
      <c r="F13337" s="748">
        <f t="shared" si="447"/>
        <v>0</v>
      </c>
      <c r="G13337" s="1205"/>
      <c r="H13337" s="1055"/>
      <c r="I13337" s="1055"/>
      <c r="J13337" s="1055"/>
      <c r="K13337" s="1205"/>
      <c r="L13337" s="1055"/>
      <c r="M13337" s="1205"/>
      <c r="N13337" s="1054"/>
      <c r="O13337" s="1207"/>
      <c r="Q13337" s="1207"/>
    </row>
    <row r="13338" spans="3:17" s="700" customFormat="1" ht="70.5" hidden="1" customHeight="1">
      <c r="C13338" s="701"/>
      <c r="D13338" s="811"/>
      <c r="E13338" s="1276">
        <f>[11]building!Y13669</f>
        <v>0</v>
      </c>
      <c r="F13338" s="748">
        <f t="shared" si="447"/>
        <v>0</v>
      </c>
      <c r="G13338" s="1205"/>
      <c r="H13338" s="1055"/>
      <c r="I13338" s="1055"/>
      <c r="J13338" s="1055"/>
      <c r="K13338" s="1205"/>
      <c r="L13338" s="1055"/>
      <c r="M13338" s="1205"/>
      <c r="N13338" s="1054"/>
      <c r="O13338" s="1207"/>
      <c r="Q13338" s="1207"/>
    </row>
    <row r="13339" spans="3:17" s="700" customFormat="1" ht="70.5" hidden="1" customHeight="1">
      <c r="C13339" s="701"/>
      <c r="D13339" s="811"/>
      <c r="E13339" s="1276">
        <f>[11]building!Y13670</f>
        <v>0</v>
      </c>
      <c r="F13339" s="748">
        <f t="shared" si="447"/>
        <v>0</v>
      </c>
      <c r="G13339" s="1205"/>
      <c r="H13339" s="1055"/>
      <c r="I13339" s="1055"/>
      <c r="J13339" s="1055"/>
      <c r="K13339" s="1205"/>
      <c r="L13339" s="1055"/>
      <c r="M13339" s="1205"/>
      <c r="N13339" s="1054"/>
      <c r="O13339" s="1207"/>
      <c r="Q13339" s="1207"/>
    </row>
    <row r="13340" spans="3:17" s="700" customFormat="1" ht="70.5" hidden="1" customHeight="1">
      <c r="C13340" s="701"/>
      <c r="D13340" s="811"/>
      <c r="E13340" s="1276">
        <f>[11]building!Y13671</f>
        <v>0</v>
      </c>
      <c r="F13340" s="748">
        <f t="shared" si="447"/>
        <v>0</v>
      </c>
      <c r="G13340" s="1205"/>
      <c r="H13340" s="1055"/>
      <c r="I13340" s="1055"/>
      <c r="J13340" s="1055"/>
      <c r="K13340" s="1205"/>
      <c r="L13340" s="1055"/>
      <c r="M13340" s="1205"/>
      <c r="N13340" s="1054"/>
      <c r="O13340" s="1207"/>
      <c r="Q13340" s="1207"/>
    </row>
    <row r="13341" spans="3:17" s="700" customFormat="1" ht="70.5" hidden="1" customHeight="1">
      <c r="C13341" s="701"/>
      <c r="D13341" s="811"/>
      <c r="E13341" s="1276">
        <f>[11]building!Y13672</f>
        <v>0</v>
      </c>
      <c r="F13341" s="748">
        <f t="shared" si="447"/>
        <v>0</v>
      </c>
      <c r="G13341" s="1205"/>
      <c r="H13341" s="1055"/>
      <c r="I13341" s="1055"/>
      <c r="J13341" s="1055"/>
      <c r="K13341" s="1205"/>
      <c r="L13341" s="1055"/>
      <c r="M13341" s="1205"/>
      <c r="N13341" s="1054"/>
      <c r="O13341" s="1207"/>
      <c r="Q13341" s="1207"/>
    </row>
    <row r="13342" spans="3:17" s="700" customFormat="1" ht="70.5" hidden="1" customHeight="1">
      <c r="C13342" s="701"/>
      <c r="D13342" s="811"/>
      <c r="E13342" s="1276">
        <f>[11]building!Y13673</f>
        <v>0</v>
      </c>
      <c r="F13342" s="748">
        <f t="shared" si="447"/>
        <v>0</v>
      </c>
      <c r="G13342" s="1205"/>
      <c r="H13342" s="1055"/>
      <c r="I13342" s="1055"/>
      <c r="J13342" s="1055"/>
      <c r="K13342" s="1205"/>
      <c r="L13342" s="1055"/>
      <c r="M13342" s="1205"/>
      <c r="N13342" s="1054"/>
      <c r="O13342" s="1207"/>
      <c r="Q13342" s="1207"/>
    </row>
    <row r="13343" spans="3:17" s="700" customFormat="1" ht="70.5" hidden="1" customHeight="1">
      <c r="C13343" s="701"/>
      <c r="D13343" s="811"/>
      <c r="E13343" s="1276">
        <f>[11]building!Y13674</f>
        <v>0</v>
      </c>
      <c r="F13343" s="748">
        <f t="shared" si="447"/>
        <v>0</v>
      </c>
      <c r="G13343" s="1205"/>
      <c r="H13343" s="1055"/>
      <c r="I13343" s="1055"/>
      <c r="J13343" s="1055"/>
      <c r="K13343" s="1205"/>
      <c r="L13343" s="1055"/>
      <c r="M13343" s="1205"/>
      <c r="N13343" s="1054"/>
      <c r="O13343" s="1207"/>
      <c r="Q13343" s="1207"/>
    </row>
    <row r="13344" spans="3:17" s="700" customFormat="1" ht="70.5" hidden="1" customHeight="1">
      <c r="C13344" s="701"/>
      <c r="D13344" s="811"/>
      <c r="E13344" s="1276">
        <f>[11]building!Y13675</f>
        <v>0</v>
      </c>
      <c r="F13344" s="748">
        <f t="shared" si="447"/>
        <v>0</v>
      </c>
      <c r="G13344" s="1205"/>
      <c r="H13344" s="1055"/>
      <c r="I13344" s="1055"/>
      <c r="J13344" s="1055"/>
      <c r="K13344" s="1205"/>
      <c r="L13344" s="1055"/>
      <c r="M13344" s="1205"/>
      <c r="N13344" s="1054"/>
      <c r="O13344" s="1207"/>
      <c r="Q13344" s="1207"/>
    </row>
    <row r="13345" spans="3:17" s="700" customFormat="1" ht="70.5" hidden="1" customHeight="1">
      <c r="C13345" s="701"/>
      <c r="D13345" s="811"/>
      <c r="E13345" s="1276">
        <f>[11]building!Y13676</f>
        <v>0</v>
      </c>
      <c r="F13345" s="748">
        <f t="shared" si="447"/>
        <v>0</v>
      </c>
      <c r="G13345" s="1205"/>
      <c r="H13345" s="1055"/>
      <c r="I13345" s="1055"/>
      <c r="J13345" s="1055"/>
      <c r="K13345" s="1205"/>
      <c r="L13345" s="1055"/>
      <c r="M13345" s="1205"/>
      <c r="N13345" s="1054"/>
      <c r="O13345" s="1207"/>
      <c r="Q13345" s="1207"/>
    </row>
    <row r="13346" spans="3:17" s="700" customFormat="1" ht="70.5" hidden="1" customHeight="1">
      <c r="C13346" s="701"/>
      <c r="D13346" s="811"/>
      <c r="E13346" s="1276">
        <f>[11]building!Y13677</f>
        <v>0</v>
      </c>
      <c r="F13346" s="748">
        <f t="shared" si="447"/>
        <v>0</v>
      </c>
      <c r="G13346" s="1205"/>
      <c r="H13346" s="1055"/>
      <c r="I13346" s="1055"/>
      <c r="J13346" s="1055"/>
      <c r="K13346" s="1205"/>
      <c r="L13346" s="1055"/>
      <c r="M13346" s="1205"/>
      <c r="N13346" s="1054"/>
      <c r="O13346" s="1207"/>
      <c r="Q13346" s="1207"/>
    </row>
    <row r="13347" spans="3:17" s="700" customFormat="1" ht="70.5" hidden="1" customHeight="1">
      <c r="C13347" s="701"/>
      <c r="D13347" s="811"/>
      <c r="E13347" s="1276">
        <f>[11]building!Y13678</f>
        <v>0</v>
      </c>
      <c r="F13347" s="748">
        <f t="shared" si="447"/>
        <v>0</v>
      </c>
      <c r="G13347" s="1205"/>
      <c r="H13347" s="1055"/>
      <c r="I13347" s="1055"/>
      <c r="J13347" s="1055"/>
      <c r="K13347" s="1205"/>
      <c r="L13347" s="1055"/>
      <c r="M13347" s="1205"/>
      <c r="N13347" s="1054"/>
      <c r="O13347" s="1207"/>
      <c r="Q13347" s="1207"/>
    </row>
    <row r="13348" spans="3:17" s="700" customFormat="1" ht="70.5" hidden="1" customHeight="1">
      <c r="C13348" s="701"/>
      <c r="D13348" s="811"/>
      <c r="E13348" s="1276">
        <f>[11]building!Y13679</f>
        <v>0</v>
      </c>
      <c r="F13348" s="748">
        <f t="shared" si="447"/>
        <v>0</v>
      </c>
      <c r="G13348" s="1205"/>
      <c r="H13348" s="1055"/>
      <c r="I13348" s="1055"/>
      <c r="J13348" s="1055"/>
      <c r="K13348" s="1205"/>
      <c r="L13348" s="1055"/>
      <c r="M13348" s="1205"/>
      <c r="N13348" s="1054"/>
      <c r="O13348" s="1207"/>
      <c r="Q13348" s="1207"/>
    </row>
    <row r="13349" spans="3:17" s="700" customFormat="1" ht="70.5" hidden="1" customHeight="1">
      <c r="C13349" s="701"/>
      <c r="D13349" s="811"/>
      <c r="E13349" s="1276">
        <f>[11]building!Y13680</f>
        <v>0</v>
      </c>
      <c r="F13349" s="748">
        <f t="shared" si="447"/>
        <v>0</v>
      </c>
      <c r="G13349" s="1205"/>
      <c r="H13349" s="1055"/>
      <c r="I13349" s="1055"/>
      <c r="J13349" s="1055"/>
      <c r="K13349" s="1205"/>
      <c r="L13349" s="1055"/>
      <c r="M13349" s="1205"/>
      <c r="N13349" s="1054"/>
      <c r="O13349" s="1207"/>
      <c r="Q13349" s="1207"/>
    </row>
    <row r="13350" spans="3:17" s="700" customFormat="1" ht="70.5" hidden="1" customHeight="1">
      <c r="C13350" s="701"/>
      <c r="D13350" s="811"/>
      <c r="E13350" s="1276">
        <f>[11]building!Y13681</f>
        <v>0</v>
      </c>
      <c r="F13350" s="748">
        <f t="shared" si="447"/>
        <v>0</v>
      </c>
      <c r="G13350" s="1205"/>
      <c r="H13350" s="1055"/>
      <c r="I13350" s="1055"/>
      <c r="J13350" s="1055"/>
      <c r="K13350" s="1205"/>
      <c r="L13350" s="1055"/>
      <c r="M13350" s="1205"/>
      <c r="N13350" s="1054"/>
      <c r="O13350" s="1207"/>
      <c r="Q13350" s="1207"/>
    </row>
    <row r="13351" spans="3:17" s="700" customFormat="1" ht="70.5" hidden="1" customHeight="1">
      <c r="C13351" s="701"/>
      <c r="D13351" s="811"/>
      <c r="E13351" s="1276">
        <f>[11]building!Y13682</f>
        <v>0</v>
      </c>
      <c r="F13351" s="748">
        <f t="shared" si="447"/>
        <v>0</v>
      </c>
      <c r="G13351" s="1205"/>
      <c r="H13351" s="1055"/>
      <c r="I13351" s="1055"/>
      <c r="J13351" s="1055"/>
      <c r="K13351" s="1205"/>
      <c r="L13351" s="1055"/>
      <c r="M13351" s="1205"/>
      <c r="N13351" s="1054"/>
      <c r="O13351" s="1207"/>
      <c r="Q13351" s="1207"/>
    </row>
    <row r="13352" spans="3:17" s="700" customFormat="1" ht="70.5" hidden="1" customHeight="1">
      <c r="C13352" s="701"/>
      <c r="D13352" s="811"/>
      <c r="E13352" s="1276">
        <f>[11]building!Y13683</f>
        <v>0</v>
      </c>
      <c r="F13352" s="748">
        <f t="shared" si="447"/>
        <v>0</v>
      </c>
      <c r="G13352" s="1205"/>
      <c r="H13352" s="1055"/>
      <c r="I13352" s="1055"/>
      <c r="J13352" s="1055"/>
      <c r="K13352" s="1205"/>
      <c r="L13352" s="1055"/>
      <c r="M13352" s="1205"/>
      <c r="N13352" s="1054"/>
      <c r="O13352" s="1207"/>
      <c r="Q13352" s="1207"/>
    </row>
    <row r="13353" spans="3:17" s="700" customFormat="1" ht="70.5" hidden="1" customHeight="1">
      <c r="C13353" s="701"/>
      <c r="D13353" s="811"/>
      <c r="E13353" s="1276">
        <f>[11]building!Y13684</f>
        <v>0</v>
      </c>
      <c r="F13353" s="748">
        <f t="shared" si="447"/>
        <v>0</v>
      </c>
      <c r="G13353" s="1205"/>
      <c r="H13353" s="1055"/>
      <c r="I13353" s="1055"/>
      <c r="J13353" s="1055"/>
      <c r="K13353" s="1205"/>
      <c r="L13353" s="1055"/>
      <c r="M13353" s="1205"/>
      <c r="N13353" s="1054"/>
      <c r="O13353" s="1207"/>
      <c r="Q13353" s="1207"/>
    </row>
    <row r="13354" spans="3:17" s="700" customFormat="1" ht="70.5" hidden="1" customHeight="1">
      <c r="C13354" s="701"/>
      <c r="D13354" s="811"/>
      <c r="E13354" s="1276">
        <f>[11]building!Y13685</f>
        <v>0</v>
      </c>
      <c r="F13354" s="748">
        <f t="shared" si="447"/>
        <v>0</v>
      </c>
      <c r="G13354" s="1205"/>
      <c r="H13354" s="1055"/>
      <c r="I13354" s="1055"/>
      <c r="J13354" s="1055"/>
      <c r="K13354" s="1205"/>
      <c r="L13354" s="1055"/>
      <c r="M13354" s="1205"/>
      <c r="N13354" s="1054"/>
      <c r="O13354" s="1207"/>
      <c r="Q13354" s="1207"/>
    </row>
    <row r="13355" spans="3:17" s="700" customFormat="1" ht="70.5" hidden="1" customHeight="1">
      <c r="C13355" s="701"/>
      <c r="D13355" s="811"/>
      <c r="E13355" s="1276">
        <f>[11]building!Y13686</f>
        <v>0</v>
      </c>
      <c r="F13355" s="748">
        <f t="shared" si="447"/>
        <v>0</v>
      </c>
      <c r="G13355" s="1205"/>
      <c r="H13355" s="1055"/>
      <c r="I13355" s="1055"/>
      <c r="J13355" s="1055"/>
      <c r="K13355" s="1205"/>
      <c r="L13355" s="1055"/>
      <c r="M13355" s="1205"/>
      <c r="N13355" s="1054"/>
      <c r="O13355" s="1207"/>
      <c r="Q13355" s="1207"/>
    </row>
    <row r="13356" spans="3:17" s="700" customFormat="1" ht="70.5" hidden="1" customHeight="1">
      <c r="C13356" s="701"/>
      <c r="D13356" s="811"/>
      <c r="E13356" s="1276">
        <f>[11]building!Y13687</f>
        <v>0</v>
      </c>
      <c r="F13356" s="748">
        <f t="shared" si="447"/>
        <v>0</v>
      </c>
      <c r="G13356" s="1205"/>
      <c r="H13356" s="1055"/>
      <c r="I13356" s="1055"/>
      <c r="J13356" s="1055"/>
      <c r="K13356" s="1205"/>
      <c r="L13356" s="1055"/>
      <c r="M13356" s="1205"/>
      <c r="N13356" s="1054"/>
      <c r="O13356" s="1207"/>
      <c r="Q13356" s="1207"/>
    </row>
    <row r="13357" spans="3:17" s="700" customFormat="1" ht="70.5" hidden="1" customHeight="1">
      <c r="C13357" s="701"/>
      <c r="D13357" s="811"/>
      <c r="E13357" s="1276">
        <f>[11]building!Y13688</f>
        <v>0</v>
      </c>
      <c r="F13357" s="748">
        <f t="shared" si="447"/>
        <v>0</v>
      </c>
      <c r="G13357" s="1205"/>
      <c r="H13357" s="1055"/>
      <c r="I13357" s="1055"/>
      <c r="J13357" s="1055"/>
      <c r="K13357" s="1205"/>
      <c r="L13357" s="1055"/>
      <c r="M13357" s="1205"/>
      <c r="N13357" s="1054"/>
      <c r="O13357" s="1207"/>
      <c r="Q13357" s="1207"/>
    </row>
    <row r="13358" spans="3:17" s="700" customFormat="1" ht="70.5" hidden="1" customHeight="1">
      <c r="C13358" s="701"/>
      <c r="D13358" s="811"/>
      <c r="E13358" s="1276">
        <f>[11]building!Y13689</f>
        <v>0</v>
      </c>
      <c r="F13358" s="748">
        <f t="shared" si="447"/>
        <v>0</v>
      </c>
      <c r="G13358" s="1205"/>
      <c r="H13358" s="1055"/>
      <c r="I13358" s="1055"/>
      <c r="J13358" s="1055"/>
      <c r="K13358" s="1205"/>
      <c r="L13358" s="1055"/>
      <c r="M13358" s="1205"/>
      <c r="N13358" s="1054"/>
      <c r="O13358" s="1207"/>
      <c r="Q13358" s="1207"/>
    </row>
    <row r="13359" spans="3:17" s="700" customFormat="1" ht="70.5" hidden="1" customHeight="1">
      <c r="C13359" s="701"/>
      <c r="D13359" s="811"/>
      <c r="E13359" s="1276">
        <f>[11]building!Y13690</f>
        <v>0</v>
      </c>
      <c r="F13359" s="748">
        <f t="shared" si="447"/>
        <v>0</v>
      </c>
      <c r="G13359" s="1205"/>
      <c r="H13359" s="1055"/>
      <c r="I13359" s="1055"/>
      <c r="J13359" s="1055"/>
      <c r="K13359" s="1205"/>
      <c r="L13359" s="1055"/>
      <c r="M13359" s="1205"/>
      <c r="N13359" s="1054"/>
      <c r="O13359" s="1207"/>
      <c r="Q13359" s="1207"/>
    </row>
    <row r="13360" spans="3:17" s="700" customFormat="1" ht="70.5" hidden="1" customHeight="1">
      <c r="C13360" s="701"/>
      <c r="D13360" s="811"/>
      <c r="E13360" s="1276">
        <f>[11]building!Y13691</f>
        <v>0</v>
      </c>
      <c r="F13360" s="748">
        <f t="shared" si="447"/>
        <v>0</v>
      </c>
      <c r="G13360" s="1205"/>
      <c r="H13360" s="1055"/>
      <c r="I13360" s="1055"/>
      <c r="J13360" s="1055"/>
      <c r="K13360" s="1205"/>
      <c r="L13360" s="1055"/>
      <c r="M13360" s="1205"/>
      <c r="N13360" s="1054"/>
      <c r="O13360" s="1207"/>
      <c r="Q13360" s="1207"/>
    </row>
    <row r="13361" spans="3:17" s="700" customFormat="1" ht="70.5" hidden="1" customHeight="1">
      <c r="C13361" s="701"/>
      <c r="D13361" s="811"/>
      <c r="E13361" s="1276">
        <f>[11]building!Y13692</f>
        <v>0</v>
      </c>
      <c r="F13361" s="748">
        <f t="shared" si="447"/>
        <v>0</v>
      </c>
      <c r="G13361" s="1205"/>
      <c r="H13361" s="1055"/>
      <c r="I13361" s="1055"/>
      <c r="J13361" s="1055"/>
      <c r="K13361" s="1205"/>
      <c r="L13361" s="1055"/>
      <c r="M13361" s="1205"/>
      <c r="N13361" s="1054"/>
      <c r="O13361" s="1207"/>
      <c r="Q13361" s="1207"/>
    </row>
    <row r="13362" spans="3:17" s="700" customFormat="1" ht="70.5" hidden="1" customHeight="1">
      <c r="C13362" s="701"/>
      <c r="D13362" s="811"/>
      <c r="E13362" s="1276">
        <f>[11]building!Y13693</f>
        <v>0</v>
      </c>
      <c r="F13362" s="748">
        <f t="shared" si="447"/>
        <v>0</v>
      </c>
      <c r="G13362" s="1205"/>
      <c r="H13362" s="1055"/>
      <c r="I13362" s="1055"/>
      <c r="J13362" s="1055"/>
      <c r="K13362" s="1205"/>
      <c r="L13362" s="1055"/>
      <c r="M13362" s="1205"/>
      <c r="N13362" s="1054"/>
      <c r="O13362" s="1207"/>
      <c r="Q13362" s="1207"/>
    </row>
    <row r="13363" spans="3:17" s="700" customFormat="1" ht="70.5" hidden="1" customHeight="1">
      <c r="C13363" s="701"/>
      <c r="D13363" s="811"/>
      <c r="E13363" s="1276">
        <f>[11]building!Y13694</f>
        <v>0</v>
      </c>
      <c r="F13363" s="748">
        <f t="shared" si="447"/>
        <v>0</v>
      </c>
      <c r="G13363" s="1205"/>
      <c r="H13363" s="1055"/>
      <c r="I13363" s="1055"/>
      <c r="J13363" s="1055"/>
      <c r="K13363" s="1205"/>
      <c r="L13363" s="1055"/>
      <c r="M13363" s="1205"/>
      <c r="N13363" s="1054"/>
      <c r="O13363" s="1207"/>
      <c r="Q13363" s="1207"/>
    </row>
    <row r="13364" spans="3:17" s="700" customFormat="1" ht="70.5" hidden="1" customHeight="1">
      <c r="C13364" s="701"/>
      <c r="D13364" s="811"/>
      <c r="E13364" s="1276">
        <f>[11]building!Y13695</f>
        <v>0</v>
      </c>
      <c r="F13364" s="748">
        <f t="shared" si="447"/>
        <v>0</v>
      </c>
      <c r="G13364" s="1205"/>
      <c r="H13364" s="1055"/>
      <c r="I13364" s="1055"/>
      <c r="J13364" s="1055"/>
      <c r="K13364" s="1205"/>
      <c r="L13364" s="1055"/>
      <c r="M13364" s="1205"/>
      <c r="N13364" s="1054"/>
      <c r="O13364" s="1207"/>
      <c r="Q13364" s="1207"/>
    </row>
    <row r="13365" spans="3:17" s="700" customFormat="1" ht="70.5" hidden="1" customHeight="1">
      <c r="C13365" s="701"/>
      <c r="D13365" s="811"/>
      <c r="E13365" s="1276">
        <f>[11]building!Y13696</f>
        <v>0</v>
      </c>
      <c r="F13365" s="748">
        <f t="shared" si="447"/>
        <v>0</v>
      </c>
      <c r="G13365" s="1205"/>
      <c r="H13365" s="1055"/>
      <c r="I13365" s="1055"/>
      <c r="J13365" s="1055"/>
      <c r="K13365" s="1205"/>
      <c r="L13365" s="1055"/>
      <c r="M13365" s="1205"/>
      <c r="N13365" s="1054"/>
      <c r="O13365" s="1207"/>
      <c r="Q13365" s="1207"/>
    </row>
    <row r="13366" spans="3:17" s="700" customFormat="1" ht="70.5" hidden="1" customHeight="1">
      <c r="C13366" s="701"/>
      <c r="D13366" s="811"/>
      <c r="E13366" s="1276">
        <f>[11]building!Y13697</f>
        <v>0</v>
      </c>
      <c r="F13366" s="748">
        <f t="shared" si="447"/>
        <v>0</v>
      </c>
      <c r="G13366" s="1205"/>
      <c r="H13366" s="1055"/>
      <c r="I13366" s="1055"/>
      <c r="J13366" s="1055"/>
      <c r="K13366" s="1205"/>
      <c r="L13366" s="1055"/>
      <c r="M13366" s="1205"/>
      <c r="N13366" s="1054"/>
      <c r="O13366" s="1207"/>
      <c r="Q13366" s="1207"/>
    </row>
    <row r="13367" spans="3:17" s="700" customFormat="1" ht="70.5" hidden="1" customHeight="1">
      <c r="C13367" s="701"/>
      <c r="D13367" s="811"/>
      <c r="E13367" s="1276">
        <f>[11]building!Y13698</f>
        <v>0</v>
      </c>
      <c r="F13367" s="748">
        <f t="shared" si="447"/>
        <v>0</v>
      </c>
      <c r="G13367" s="1205"/>
      <c r="H13367" s="1055"/>
      <c r="I13367" s="1055"/>
      <c r="J13367" s="1055"/>
      <c r="K13367" s="1205"/>
      <c r="L13367" s="1055"/>
      <c r="M13367" s="1205"/>
      <c r="N13367" s="1054"/>
      <c r="O13367" s="1207"/>
      <c r="Q13367" s="1207"/>
    </row>
    <row r="13368" spans="3:17" s="700" customFormat="1" ht="70.5" hidden="1" customHeight="1">
      <c r="C13368" s="701"/>
      <c r="D13368" s="811"/>
      <c r="E13368" s="1276">
        <f>[11]building!Y13699</f>
        <v>0</v>
      </c>
      <c r="F13368" s="748">
        <f t="shared" si="447"/>
        <v>0</v>
      </c>
      <c r="G13368" s="1205"/>
      <c r="H13368" s="1055"/>
      <c r="I13368" s="1055"/>
      <c r="J13368" s="1055"/>
      <c r="K13368" s="1205"/>
      <c r="L13368" s="1055"/>
      <c r="M13368" s="1205"/>
      <c r="N13368" s="1054"/>
      <c r="O13368" s="1207"/>
      <c r="Q13368" s="1207"/>
    </row>
    <row r="13369" spans="3:17" s="700" customFormat="1" ht="70.5" hidden="1" customHeight="1">
      <c r="C13369" s="701"/>
      <c r="D13369" s="811"/>
      <c r="E13369" s="1276">
        <f>[11]building!Y13700</f>
        <v>0</v>
      </c>
      <c r="F13369" s="748">
        <f t="shared" si="447"/>
        <v>0</v>
      </c>
      <c r="G13369" s="1205"/>
      <c r="H13369" s="1055"/>
      <c r="I13369" s="1055"/>
      <c r="J13369" s="1055"/>
      <c r="K13369" s="1205"/>
      <c r="L13369" s="1055"/>
      <c r="M13369" s="1205"/>
      <c r="N13369" s="1054"/>
      <c r="O13369" s="1207"/>
      <c r="Q13369" s="1207"/>
    </row>
    <row r="13370" spans="3:17" s="700" customFormat="1" ht="70.5" hidden="1" customHeight="1">
      <c r="C13370" s="701"/>
      <c r="D13370" s="811"/>
      <c r="E13370" s="1276">
        <f>[11]building!Y13701</f>
        <v>0</v>
      </c>
      <c r="F13370" s="748">
        <f t="shared" si="447"/>
        <v>0</v>
      </c>
      <c r="G13370" s="1205"/>
      <c r="H13370" s="1055"/>
      <c r="I13370" s="1055"/>
      <c r="J13370" s="1055"/>
      <c r="K13370" s="1205"/>
      <c r="L13370" s="1055"/>
      <c r="M13370" s="1205"/>
      <c r="N13370" s="1054"/>
      <c r="O13370" s="1207"/>
      <c r="Q13370" s="1207"/>
    </row>
    <row r="13371" spans="3:17" s="700" customFormat="1" ht="70.5" hidden="1" customHeight="1">
      <c r="C13371" s="701"/>
      <c r="D13371" s="811"/>
      <c r="E13371" s="1276">
        <f>[11]building!Y13702</f>
        <v>0</v>
      </c>
      <c r="F13371" s="748">
        <f t="shared" si="447"/>
        <v>0</v>
      </c>
      <c r="G13371" s="1205"/>
      <c r="H13371" s="1055"/>
      <c r="I13371" s="1055"/>
      <c r="J13371" s="1055"/>
      <c r="K13371" s="1205"/>
      <c r="L13371" s="1055"/>
      <c r="M13371" s="1205"/>
      <c r="N13371" s="1054"/>
      <c r="O13371" s="1207"/>
      <c r="Q13371" s="1207"/>
    </row>
    <row r="13372" spans="3:17" s="700" customFormat="1" ht="70.5" hidden="1" customHeight="1">
      <c r="C13372" s="701"/>
      <c r="D13372" s="811"/>
      <c r="E13372" s="1276">
        <f>[11]building!Y13703</f>
        <v>0</v>
      </c>
      <c r="F13372" s="748">
        <f t="shared" si="447"/>
        <v>0</v>
      </c>
      <c r="G13372" s="1205"/>
      <c r="H13372" s="1055"/>
      <c r="I13372" s="1055"/>
      <c r="J13372" s="1055"/>
      <c r="K13372" s="1205"/>
      <c r="L13372" s="1055"/>
      <c r="M13372" s="1205"/>
      <c r="N13372" s="1054"/>
      <c r="O13372" s="1207"/>
      <c r="Q13372" s="1207"/>
    </row>
    <row r="13373" spans="3:17" s="700" customFormat="1" ht="70.5" hidden="1" customHeight="1">
      <c r="C13373" s="701"/>
      <c r="D13373" s="811"/>
      <c r="E13373" s="1276">
        <f>[11]building!Y13704</f>
        <v>0</v>
      </c>
      <c r="F13373" s="748">
        <f t="shared" si="447"/>
        <v>0</v>
      </c>
      <c r="G13373" s="1205"/>
      <c r="H13373" s="1055"/>
      <c r="I13373" s="1055"/>
      <c r="J13373" s="1055"/>
      <c r="K13373" s="1205"/>
      <c r="L13373" s="1055"/>
      <c r="M13373" s="1205"/>
      <c r="N13373" s="1054"/>
      <c r="O13373" s="1207"/>
      <c r="Q13373" s="1207"/>
    </row>
    <row r="13374" spans="3:17" s="700" customFormat="1" ht="70.5" hidden="1" customHeight="1">
      <c r="C13374" s="701"/>
      <c r="D13374" s="811"/>
      <c r="E13374" s="1276">
        <f>[11]building!Y13705</f>
        <v>0</v>
      </c>
      <c r="F13374" s="748">
        <f t="shared" si="447"/>
        <v>0</v>
      </c>
      <c r="G13374" s="1205"/>
      <c r="H13374" s="1055"/>
      <c r="I13374" s="1055"/>
      <c r="J13374" s="1055"/>
      <c r="K13374" s="1205"/>
      <c r="L13374" s="1055"/>
      <c r="M13374" s="1205"/>
      <c r="N13374" s="1054"/>
      <c r="O13374" s="1207"/>
      <c r="Q13374" s="1207"/>
    </row>
    <row r="13375" spans="3:17" s="700" customFormat="1" ht="70.5" hidden="1" customHeight="1">
      <c r="C13375" s="701"/>
      <c r="D13375" s="811"/>
      <c r="E13375" s="1276">
        <f>[11]building!Y13706</f>
        <v>0</v>
      </c>
      <c r="F13375" s="748">
        <f t="shared" si="447"/>
        <v>0</v>
      </c>
      <c r="G13375" s="1205"/>
      <c r="H13375" s="1055"/>
      <c r="I13375" s="1055"/>
      <c r="J13375" s="1055"/>
      <c r="K13375" s="1205"/>
      <c r="L13375" s="1055"/>
      <c r="M13375" s="1205"/>
      <c r="N13375" s="1054"/>
      <c r="O13375" s="1207"/>
      <c r="Q13375" s="1207"/>
    </row>
    <row r="13376" spans="3:17" s="700" customFormat="1" ht="70.5" hidden="1" customHeight="1">
      <c r="C13376" s="701"/>
      <c r="D13376" s="811"/>
      <c r="E13376" s="1276">
        <f>[11]building!Y13707</f>
        <v>0</v>
      </c>
      <c r="F13376" s="748">
        <f t="shared" ref="F13376:F13439" si="448">E13376*C13376</f>
        <v>0</v>
      </c>
      <c r="G13376" s="1205"/>
      <c r="H13376" s="1055"/>
      <c r="I13376" s="1055"/>
      <c r="J13376" s="1055"/>
      <c r="K13376" s="1205"/>
      <c r="L13376" s="1055"/>
      <c r="M13376" s="1205"/>
      <c r="N13376" s="1054"/>
      <c r="O13376" s="1207"/>
      <c r="Q13376" s="1207"/>
    </row>
    <row r="13377" spans="3:17" s="700" customFormat="1" ht="70.5" hidden="1" customHeight="1">
      <c r="C13377" s="701"/>
      <c r="D13377" s="811"/>
      <c r="E13377" s="1276">
        <f>[11]building!Y13708</f>
        <v>0</v>
      </c>
      <c r="F13377" s="748">
        <f t="shared" si="448"/>
        <v>0</v>
      </c>
      <c r="G13377" s="1205"/>
      <c r="H13377" s="1055"/>
      <c r="I13377" s="1055"/>
      <c r="J13377" s="1055"/>
      <c r="K13377" s="1205"/>
      <c r="L13377" s="1055"/>
      <c r="M13377" s="1205"/>
      <c r="N13377" s="1054"/>
      <c r="O13377" s="1207"/>
      <c r="Q13377" s="1207"/>
    </row>
    <row r="13378" spans="3:17" s="700" customFormat="1" ht="70.5" hidden="1" customHeight="1">
      <c r="C13378" s="701"/>
      <c r="D13378" s="811"/>
      <c r="E13378" s="1276">
        <f>[11]building!Y13709</f>
        <v>0</v>
      </c>
      <c r="F13378" s="748">
        <f t="shared" si="448"/>
        <v>0</v>
      </c>
      <c r="G13378" s="1205"/>
      <c r="H13378" s="1055"/>
      <c r="I13378" s="1055"/>
      <c r="J13378" s="1055"/>
      <c r="K13378" s="1205"/>
      <c r="L13378" s="1055"/>
      <c r="M13378" s="1205"/>
      <c r="N13378" s="1054"/>
      <c r="O13378" s="1207"/>
      <c r="Q13378" s="1207"/>
    </row>
    <row r="13379" spans="3:17" s="700" customFormat="1" ht="70.5" hidden="1" customHeight="1">
      <c r="C13379" s="701"/>
      <c r="D13379" s="811"/>
      <c r="E13379" s="1276">
        <f>[11]building!Y13710</f>
        <v>0</v>
      </c>
      <c r="F13379" s="748">
        <f t="shared" si="448"/>
        <v>0</v>
      </c>
      <c r="G13379" s="1205"/>
      <c r="H13379" s="1055"/>
      <c r="I13379" s="1055"/>
      <c r="J13379" s="1055"/>
      <c r="K13379" s="1205"/>
      <c r="L13379" s="1055"/>
      <c r="M13379" s="1205"/>
      <c r="N13379" s="1054"/>
      <c r="O13379" s="1207"/>
      <c r="Q13379" s="1207"/>
    </row>
    <row r="13380" spans="3:17" s="700" customFormat="1" ht="70.5" hidden="1" customHeight="1">
      <c r="C13380" s="701"/>
      <c r="D13380" s="811"/>
      <c r="E13380" s="1276">
        <f>[11]building!Y13711</f>
        <v>0</v>
      </c>
      <c r="F13380" s="748">
        <f t="shared" si="448"/>
        <v>0</v>
      </c>
      <c r="G13380" s="1205"/>
      <c r="H13380" s="1055"/>
      <c r="I13380" s="1055"/>
      <c r="J13380" s="1055"/>
      <c r="K13380" s="1205"/>
      <c r="L13380" s="1055"/>
      <c r="M13380" s="1205"/>
      <c r="N13380" s="1054"/>
      <c r="O13380" s="1207"/>
      <c r="Q13380" s="1207"/>
    </row>
    <row r="13381" spans="3:17" s="700" customFormat="1" ht="70.5" hidden="1" customHeight="1">
      <c r="C13381" s="701"/>
      <c r="D13381" s="811"/>
      <c r="E13381" s="1276">
        <f>[11]building!Y13712</f>
        <v>0</v>
      </c>
      <c r="F13381" s="748">
        <f t="shared" si="448"/>
        <v>0</v>
      </c>
      <c r="G13381" s="1205"/>
      <c r="H13381" s="1055"/>
      <c r="I13381" s="1055"/>
      <c r="J13381" s="1055"/>
      <c r="K13381" s="1205"/>
      <c r="L13381" s="1055"/>
      <c r="M13381" s="1205"/>
      <c r="N13381" s="1054"/>
      <c r="O13381" s="1207"/>
      <c r="Q13381" s="1207"/>
    </row>
    <row r="13382" spans="3:17" s="700" customFormat="1" ht="70.5" hidden="1" customHeight="1">
      <c r="C13382" s="701"/>
      <c r="D13382" s="811"/>
      <c r="E13382" s="1276">
        <f>[11]building!Y13713</f>
        <v>0</v>
      </c>
      <c r="F13382" s="748">
        <f t="shared" si="448"/>
        <v>0</v>
      </c>
      <c r="G13382" s="1205"/>
      <c r="H13382" s="1055"/>
      <c r="I13382" s="1055"/>
      <c r="J13382" s="1055"/>
      <c r="K13382" s="1205"/>
      <c r="L13382" s="1055"/>
      <c r="M13382" s="1205"/>
      <c r="N13382" s="1054"/>
      <c r="O13382" s="1207"/>
      <c r="Q13382" s="1207"/>
    </row>
    <row r="13383" spans="3:17" s="700" customFormat="1" ht="70.5" hidden="1" customHeight="1">
      <c r="C13383" s="701"/>
      <c r="D13383" s="811"/>
      <c r="E13383" s="1276">
        <f>[11]building!Y13714</f>
        <v>0</v>
      </c>
      <c r="F13383" s="748">
        <f t="shared" si="448"/>
        <v>0</v>
      </c>
      <c r="G13383" s="1205"/>
      <c r="H13383" s="1055"/>
      <c r="I13383" s="1055"/>
      <c r="J13383" s="1055"/>
      <c r="K13383" s="1205"/>
      <c r="L13383" s="1055"/>
      <c r="M13383" s="1205"/>
      <c r="N13383" s="1054"/>
      <c r="O13383" s="1207"/>
      <c r="Q13383" s="1207"/>
    </row>
    <row r="13384" spans="3:17" s="700" customFormat="1" ht="70.5" hidden="1" customHeight="1">
      <c r="C13384" s="701"/>
      <c r="D13384" s="811"/>
      <c r="E13384" s="1276">
        <f>[11]building!Y13715</f>
        <v>0</v>
      </c>
      <c r="F13384" s="748">
        <f t="shared" si="448"/>
        <v>0</v>
      </c>
      <c r="G13384" s="1205"/>
      <c r="H13384" s="1055"/>
      <c r="I13384" s="1055"/>
      <c r="J13384" s="1055"/>
      <c r="K13384" s="1205"/>
      <c r="L13384" s="1055"/>
      <c r="M13384" s="1205"/>
      <c r="N13384" s="1054"/>
      <c r="O13384" s="1207"/>
      <c r="Q13384" s="1207"/>
    </row>
    <row r="13385" spans="3:17" s="700" customFormat="1" ht="70.5" hidden="1" customHeight="1">
      <c r="C13385" s="701"/>
      <c r="D13385" s="811"/>
      <c r="E13385" s="1276">
        <f>[11]building!Y13716</f>
        <v>0</v>
      </c>
      <c r="F13385" s="748">
        <f t="shared" si="448"/>
        <v>0</v>
      </c>
      <c r="G13385" s="1205"/>
      <c r="H13385" s="1055"/>
      <c r="I13385" s="1055"/>
      <c r="J13385" s="1055"/>
      <c r="K13385" s="1205"/>
      <c r="L13385" s="1055"/>
      <c r="M13385" s="1205"/>
      <c r="N13385" s="1054"/>
      <c r="O13385" s="1207"/>
      <c r="Q13385" s="1207"/>
    </row>
    <row r="13386" spans="3:17" s="700" customFormat="1" ht="70.5" hidden="1" customHeight="1">
      <c r="C13386" s="701"/>
      <c r="D13386" s="811"/>
      <c r="E13386" s="1276">
        <f>[11]building!Y13717</f>
        <v>0</v>
      </c>
      <c r="F13386" s="748">
        <f t="shared" si="448"/>
        <v>0</v>
      </c>
      <c r="G13386" s="1205"/>
      <c r="H13386" s="1055"/>
      <c r="I13386" s="1055"/>
      <c r="J13386" s="1055"/>
      <c r="K13386" s="1205"/>
      <c r="L13386" s="1055"/>
      <c r="M13386" s="1205"/>
      <c r="N13386" s="1054"/>
      <c r="O13386" s="1207"/>
      <c r="Q13386" s="1207"/>
    </row>
    <row r="13387" spans="3:17" s="700" customFormat="1" ht="70.5" hidden="1" customHeight="1">
      <c r="C13387" s="701"/>
      <c r="D13387" s="811"/>
      <c r="E13387" s="1276">
        <f>[11]building!Y13718</f>
        <v>0</v>
      </c>
      <c r="F13387" s="748">
        <f t="shared" si="448"/>
        <v>0</v>
      </c>
      <c r="G13387" s="1205"/>
      <c r="H13387" s="1055"/>
      <c r="I13387" s="1055"/>
      <c r="J13387" s="1055"/>
      <c r="K13387" s="1205"/>
      <c r="L13387" s="1055"/>
      <c r="M13387" s="1205"/>
      <c r="N13387" s="1054"/>
      <c r="O13387" s="1207"/>
      <c r="Q13387" s="1207"/>
    </row>
    <row r="13388" spans="3:17" s="700" customFormat="1" ht="70.5" hidden="1" customHeight="1">
      <c r="C13388" s="701"/>
      <c r="D13388" s="811"/>
      <c r="E13388" s="1276">
        <f>[11]building!Y13719</f>
        <v>0</v>
      </c>
      <c r="F13388" s="748">
        <f t="shared" si="448"/>
        <v>0</v>
      </c>
      <c r="G13388" s="1205"/>
      <c r="H13388" s="1055"/>
      <c r="I13388" s="1055"/>
      <c r="J13388" s="1055"/>
      <c r="K13388" s="1205"/>
      <c r="L13388" s="1055"/>
      <c r="M13388" s="1205"/>
      <c r="N13388" s="1054"/>
      <c r="O13388" s="1207"/>
      <c r="Q13388" s="1207"/>
    </row>
    <row r="13389" spans="3:17" s="700" customFormat="1" ht="70.5" hidden="1" customHeight="1">
      <c r="C13389" s="701"/>
      <c r="D13389" s="811"/>
      <c r="E13389" s="1276">
        <f>[11]building!Y13720</f>
        <v>0</v>
      </c>
      <c r="F13389" s="748">
        <f t="shared" si="448"/>
        <v>0</v>
      </c>
      <c r="G13389" s="1205"/>
      <c r="H13389" s="1055"/>
      <c r="I13389" s="1055"/>
      <c r="J13389" s="1055"/>
      <c r="K13389" s="1205"/>
      <c r="L13389" s="1055"/>
      <c r="M13389" s="1205"/>
      <c r="N13389" s="1054"/>
      <c r="O13389" s="1207"/>
      <c r="Q13389" s="1207"/>
    </row>
    <row r="13390" spans="3:17" s="700" customFormat="1" ht="70.5" hidden="1" customHeight="1">
      <c r="C13390" s="701"/>
      <c r="D13390" s="811"/>
      <c r="E13390" s="1276">
        <f>[11]building!Y13721</f>
        <v>0</v>
      </c>
      <c r="F13390" s="748">
        <f t="shared" si="448"/>
        <v>0</v>
      </c>
      <c r="G13390" s="1205"/>
      <c r="H13390" s="1055"/>
      <c r="I13390" s="1055"/>
      <c r="J13390" s="1055"/>
      <c r="K13390" s="1205"/>
      <c r="L13390" s="1055"/>
      <c r="M13390" s="1205"/>
      <c r="N13390" s="1054"/>
      <c r="O13390" s="1207"/>
      <c r="Q13390" s="1207"/>
    </row>
    <row r="13391" spans="3:17" s="700" customFormat="1" ht="70.5" hidden="1" customHeight="1">
      <c r="C13391" s="701"/>
      <c r="D13391" s="811"/>
      <c r="E13391" s="1276">
        <f>[11]building!Y13722</f>
        <v>0</v>
      </c>
      <c r="F13391" s="748">
        <f t="shared" si="448"/>
        <v>0</v>
      </c>
      <c r="G13391" s="1205"/>
      <c r="H13391" s="1055"/>
      <c r="I13391" s="1055"/>
      <c r="J13391" s="1055"/>
      <c r="K13391" s="1205"/>
      <c r="L13391" s="1055"/>
      <c r="M13391" s="1205"/>
      <c r="N13391" s="1054"/>
      <c r="O13391" s="1207"/>
      <c r="Q13391" s="1207"/>
    </row>
    <row r="13392" spans="3:17" s="700" customFormat="1" ht="70.5" hidden="1" customHeight="1">
      <c r="C13392" s="701"/>
      <c r="D13392" s="811"/>
      <c r="E13392" s="1276">
        <f>[11]building!Y13723</f>
        <v>0</v>
      </c>
      <c r="F13392" s="748">
        <f t="shared" si="448"/>
        <v>0</v>
      </c>
      <c r="G13392" s="1205"/>
      <c r="H13392" s="1055"/>
      <c r="I13392" s="1055"/>
      <c r="J13392" s="1055"/>
      <c r="K13392" s="1205"/>
      <c r="L13392" s="1055"/>
      <c r="M13392" s="1205"/>
      <c r="N13392" s="1054"/>
      <c r="O13392" s="1207"/>
      <c r="Q13392" s="1207"/>
    </row>
    <row r="13393" spans="3:17" s="700" customFormat="1" ht="70.5" hidden="1" customHeight="1">
      <c r="C13393" s="701"/>
      <c r="D13393" s="811"/>
      <c r="E13393" s="1276">
        <f>[11]building!Y13724</f>
        <v>0</v>
      </c>
      <c r="F13393" s="748">
        <f t="shared" si="448"/>
        <v>0</v>
      </c>
      <c r="G13393" s="1205"/>
      <c r="H13393" s="1055"/>
      <c r="I13393" s="1055"/>
      <c r="J13393" s="1055"/>
      <c r="K13393" s="1205"/>
      <c r="L13393" s="1055"/>
      <c r="M13393" s="1205"/>
      <c r="N13393" s="1054"/>
      <c r="O13393" s="1207"/>
      <c r="Q13393" s="1207"/>
    </row>
    <row r="13394" spans="3:17" s="700" customFormat="1" ht="70.5" hidden="1" customHeight="1">
      <c r="C13394" s="701"/>
      <c r="D13394" s="811"/>
      <c r="E13394" s="1276">
        <f>[11]building!Y13725</f>
        <v>0</v>
      </c>
      <c r="F13394" s="748">
        <f t="shared" si="448"/>
        <v>0</v>
      </c>
      <c r="G13394" s="1205"/>
      <c r="H13394" s="1055"/>
      <c r="I13394" s="1055"/>
      <c r="J13394" s="1055"/>
      <c r="K13394" s="1205"/>
      <c r="L13394" s="1055"/>
      <c r="M13394" s="1205"/>
      <c r="N13394" s="1054"/>
      <c r="O13394" s="1207"/>
      <c r="Q13394" s="1207"/>
    </row>
    <row r="13395" spans="3:17" s="700" customFormat="1" ht="70.5" hidden="1" customHeight="1">
      <c r="C13395" s="701"/>
      <c r="D13395" s="811"/>
      <c r="E13395" s="1276">
        <f>[11]building!Y13726</f>
        <v>0</v>
      </c>
      <c r="F13395" s="748">
        <f t="shared" si="448"/>
        <v>0</v>
      </c>
      <c r="G13395" s="1205"/>
      <c r="H13395" s="1055"/>
      <c r="I13395" s="1055"/>
      <c r="J13395" s="1055"/>
      <c r="K13395" s="1205"/>
      <c r="L13395" s="1055"/>
      <c r="M13395" s="1205"/>
      <c r="N13395" s="1054"/>
      <c r="O13395" s="1207"/>
      <c r="Q13395" s="1207"/>
    </row>
    <row r="13396" spans="3:17" s="700" customFormat="1" ht="70.5" hidden="1" customHeight="1">
      <c r="C13396" s="701"/>
      <c r="D13396" s="811"/>
      <c r="E13396" s="1276">
        <f>[11]building!Y13727</f>
        <v>0</v>
      </c>
      <c r="F13396" s="748">
        <f t="shared" si="448"/>
        <v>0</v>
      </c>
      <c r="G13396" s="1205"/>
      <c r="H13396" s="1055"/>
      <c r="I13396" s="1055"/>
      <c r="J13396" s="1055"/>
      <c r="K13396" s="1205"/>
      <c r="L13396" s="1055"/>
      <c r="M13396" s="1205"/>
      <c r="N13396" s="1054"/>
      <c r="O13396" s="1207"/>
      <c r="Q13396" s="1207"/>
    </row>
    <row r="13397" spans="3:17" s="700" customFormat="1" ht="70.5" hidden="1" customHeight="1">
      <c r="C13397" s="701"/>
      <c r="D13397" s="811"/>
      <c r="E13397" s="1276">
        <f>[11]building!Y13728</f>
        <v>0</v>
      </c>
      <c r="F13397" s="748">
        <f t="shared" si="448"/>
        <v>0</v>
      </c>
      <c r="G13397" s="1205"/>
      <c r="H13397" s="1055"/>
      <c r="I13397" s="1055"/>
      <c r="J13397" s="1055"/>
      <c r="K13397" s="1205"/>
      <c r="L13397" s="1055"/>
      <c r="M13397" s="1205"/>
      <c r="N13397" s="1054"/>
      <c r="O13397" s="1207"/>
      <c r="Q13397" s="1207"/>
    </row>
    <row r="13398" spans="3:17" s="700" customFormat="1" ht="70.5" hidden="1" customHeight="1">
      <c r="C13398" s="701"/>
      <c r="D13398" s="811"/>
      <c r="E13398" s="1276">
        <f>[11]building!Y13729</f>
        <v>0</v>
      </c>
      <c r="F13398" s="748">
        <f t="shared" si="448"/>
        <v>0</v>
      </c>
      <c r="G13398" s="1205"/>
      <c r="H13398" s="1055"/>
      <c r="I13398" s="1055"/>
      <c r="J13398" s="1055"/>
      <c r="K13398" s="1205"/>
      <c r="L13398" s="1055"/>
      <c r="M13398" s="1205"/>
      <c r="N13398" s="1054"/>
      <c r="O13398" s="1207"/>
      <c r="Q13398" s="1207"/>
    </row>
    <row r="13399" spans="3:17" s="700" customFormat="1" ht="70.5" hidden="1" customHeight="1">
      <c r="C13399" s="701"/>
      <c r="D13399" s="811"/>
      <c r="E13399" s="1276">
        <f>[11]building!Y13730</f>
        <v>0</v>
      </c>
      <c r="F13399" s="748">
        <f t="shared" si="448"/>
        <v>0</v>
      </c>
      <c r="G13399" s="1205"/>
      <c r="H13399" s="1055"/>
      <c r="I13399" s="1055"/>
      <c r="J13399" s="1055"/>
      <c r="K13399" s="1205"/>
      <c r="L13399" s="1055"/>
      <c r="M13399" s="1205"/>
      <c r="N13399" s="1054"/>
      <c r="O13399" s="1207"/>
      <c r="Q13399" s="1207"/>
    </row>
    <row r="13400" spans="3:17" s="700" customFormat="1" ht="70.5" hidden="1" customHeight="1">
      <c r="C13400" s="701"/>
      <c r="D13400" s="811"/>
      <c r="E13400" s="1276">
        <f>[11]building!Y13731</f>
        <v>0</v>
      </c>
      <c r="F13400" s="748">
        <f t="shared" si="448"/>
        <v>0</v>
      </c>
      <c r="G13400" s="1205"/>
      <c r="H13400" s="1055"/>
      <c r="I13400" s="1055"/>
      <c r="J13400" s="1055"/>
      <c r="K13400" s="1205"/>
      <c r="L13400" s="1055"/>
      <c r="M13400" s="1205"/>
      <c r="N13400" s="1054"/>
      <c r="O13400" s="1207"/>
      <c r="Q13400" s="1207"/>
    </row>
    <row r="13401" spans="3:17" s="700" customFormat="1" ht="70.5" hidden="1" customHeight="1">
      <c r="C13401" s="701"/>
      <c r="D13401" s="811"/>
      <c r="E13401" s="1276">
        <f>[11]building!Y13732</f>
        <v>0</v>
      </c>
      <c r="F13401" s="748">
        <f t="shared" si="448"/>
        <v>0</v>
      </c>
      <c r="G13401" s="1205"/>
      <c r="H13401" s="1055"/>
      <c r="I13401" s="1055"/>
      <c r="J13401" s="1055"/>
      <c r="K13401" s="1205"/>
      <c r="L13401" s="1055"/>
      <c r="M13401" s="1205"/>
      <c r="N13401" s="1054"/>
      <c r="O13401" s="1207"/>
      <c r="Q13401" s="1207"/>
    </row>
    <row r="13402" spans="3:17" s="700" customFormat="1" ht="70.5" hidden="1" customHeight="1">
      <c r="C13402" s="701"/>
      <c r="D13402" s="811"/>
      <c r="E13402" s="1276">
        <f>[11]building!Y13733</f>
        <v>0</v>
      </c>
      <c r="F13402" s="748">
        <f t="shared" si="448"/>
        <v>0</v>
      </c>
      <c r="G13402" s="1205"/>
      <c r="H13402" s="1055"/>
      <c r="I13402" s="1055"/>
      <c r="J13402" s="1055"/>
      <c r="K13402" s="1205"/>
      <c r="L13402" s="1055"/>
      <c r="M13402" s="1205"/>
      <c r="N13402" s="1054"/>
      <c r="O13402" s="1207"/>
      <c r="Q13402" s="1207"/>
    </row>
    <row r="13403" spans="3:17" s="700" customFormat="1" ht="70.5" hidden="1" customHeight="1">
      <c r="C13403" s="701"/>
      <c r="D13403" s="811"/>
      <c r="E13403" s="1276">
        <f>[11]building!Y13734</f>
        <v>0</v>
      </c>
      <c r="F13403" s="748">
        <f t="shared" si="448"/>
        <v>0</v>
      </c>
      <c r="G13403" s="1205"/>
      <c r="H13403" s="1055"/>
      <c r="I13403" s="1055"/>
      <c r="J13403" s="1055"/>
      <c r="K13403" s="1205"/>
      <c r="L13403" s="1055"/>
      <c r="M13403" s="1205"/>
      <c r="N13403" s="1054"/>
      <c r="O13403" s="1207"/>
      <c r="Q13403" s="1207"/>
    </row>
    <row r="13404" spans="3:17" s="700" customFormat="1" ht="70.5" hidden="1" customHeight="1">
      <c r="C13404" s="701"/>
      <c r="D13404" s="811"/>
      <c r="E13404" s="1276">
        <f>[11]building!Y13735</f>
        <v>0</v>
      </c>
      <c r="F13404" s="748">
        <f t="shared" si="448"/>
        <v>0</v>
      </c>
      <c r="G13404" s="1205"/>
      <c r="H13404" s="1055"/>
      <c r="I13404" s="1055"/>
      <c r="J13404" s="1055"/>
      <c r="K13404" s="1205"/>
      <c r="L13404" s="1055"/>
      <c r="M13404" s="1205"/>
      <c r="N13404" s="1054"/>
      <c r="O13404" s="1207"/>
      <c r="Q13404" s="1207"/>
    </row>
    <row r="13405" spans="3:17" s="700" customFormat="1" ht="70.5" hidden="1" customHeight="1">
      <c r="C13405" s="701"/>
      <c r="D13405" s="811"/>
      <c r="E13405" s="1276">
        <f>[11]building!Y13736</f>
        <v>0</v>
      </c>
      <c r="F13405" s="748">
        <f t="shared" si="448"/>
        <v>0</v>
      </c>
      <c r="G13405" s="1205"/>
      <c r="H13405" s="1055"/>
      <c r="I13405" s="1055"/>
      <c r="J13405" s="1055"/>
      <c r="K13405" s="1205"/>
      <c r="L13405" s="1055"/>
      <c r="M13405" s="1205"/>
      <c r="N13405" s="1054"/>
      <c r="O13405" s="1207"/>
      <c r="Q13405" s="1207"/>
    </row>
    <row r="13406" spans="3:17" s="700" customFormat="1" ht="70.5" hidden="1" customHeight="1">
      <c r="C13406" s="701"/>
      <c r="D13406" s="811"/>
      <c r="E13406" s="1276">
        <f>[11]building!Y13737</f>
        <v>0</v>
      </c>
      <c r="F13406" s="748">
        <f t="shared" si="448"/>
        <v>0</v>
      </c>
      <c r="G13406" s="1205"/>
      <c r="H13406" s="1055"/>
      <c r="I13406" s="1055"/>
      <c r="J13406" s="1055"/>
      <c r="K13406" s="1205"/>
      <c r="L13406" s="1055"/>
      <c r="M13406" s="1205"/>
      <c r="N13406" s="1054"/>
      <c r="O13406" s="1207"/>
      <c r="Q13406" s="1207"/>
    </row>
    <row r="13407" spans="3:17" s="700" customFormat="1" ht="70.5" hidden="1" customHeight="1">
      <c r="C13407" s="701"/>
      <c r="D13407" s="811"/>
      <c r="E13407" s="1276">
        <f>[11]building!Y13738</f>
        <v>0</v>
      </c>
      <c r="F13407" s="748">
        <f t="shared" si="448"/>
        <v>0</v>
      </c>
      <c r="G13407" s="1205"/>
      <c r="H13407" s="1055"/>
      <c r="I13407" s="1055"/>
      <c r="J13407" s="1055"/>
      <c r="K13407" s="1205"/>
      <c r="L13407" s="1055"/>
      <c r="M13407" s="1205"/>
      <c r="N13407" s="1054"/>
      <c r="O13407" s="1207"/>
      <c r="Q13407" s="1207"/>
    </row>
    <row r="13408" spans="3:17" s="700" customFormat="1" ht="70.5" hidden="1" customHeight="1">
      <c r="C13408" s="701"/>
      <c r="D13408" s="811"/>
      <c r="E13408" s="1276">
        <f>[11]building!Y13739</f>
        <v>0</v>
      </c>
      <c r="F13408" s="748">
        <f t="shared" si="448"/>
        <v>0</v>
      </c>
      <c r="G13408" s="1205"/>
      <c r="H13408" s="1055"/>
      <c r="I13408" s="1055"/>
      <c r="J13408" s="1055"/>
      <c r="K13408" s="1205"/>
      <c r="L13408" s="1055"/>
      <c r="M13408" s="1205"/>
      <c r="N13408" s="1054"/>
      <c r="O13408" s="1207"/>
      <c r="Q13408" s="1207"/>
    </row>
    <row r="13409" spans="3:17" s="700" customFormat="1" ht="70.5" hidden="1" customHeight="1">
      <c r="C13409" s="701"/>
      <c r="D13409" s="811"/>
      <c r="E13409" s="1276">
        <f>[11]building!Y13740</f>
        <v>0</v>
      </c>
      <c r="F13409" s="748">
        <f t="shared" si="448"/>
        <v>0</v>
      </c>
      <c r="G13409" s="1205"/>
      <c r="H13409" s="1055"/>
      <c r="I13409" s="1055"/>
      <c r="J13409" s="1055"/>
      <c r="K13409" s="1205"/>
      <c r="L13409" s="1055"/>
      <c r="M13409" s="1205"/>
      <c r="N13409" s="1054"/>
      <c r="O13409" s="1207"/>
      <c r="Q13409" s="1207"/>
    </row>
    <row r="13410" spans="3:17" s="700" customFormat="1" ht="70.5" hidden="1" customHeight="1">
      <c r="C13410" s="701"/>
      <c r="D13410" s="811"/>
      <c r="E13410" s="1276">
        <f>[11]building!Y13741</f>
        <v>0</v>
      </c>
      <c r="F13410" s="748">
        <f t="shared" si="448"/>
        <v>0</v>
      </c>
      <c r="G13410" s="1205"/>
      <c r="H13410" s="1055"/>
      <c r="I13410" s="1055"/>
      <c r="J13410" s="1055"/>
      <c r="K13410" s="1205"/>
      <c r="L13410" s="1055"/>
      <c r="M13410" s="1205"/>
      <c r="N13410" s="1054"/>
      <c r="O13410" s="1207"/>
      <c r="Q13410" s="1207"/>
    </row>
    <row r="13411" spans="3:17" s="700" customFormat="1" ht="70.5" hidden="1" customHeight="1">
      <c r="C13411" s="701"/>
      <c r="D13411" s="811"/>
      <c r="E13411" s="1276">
        <f>[11]building!Y13742</f>
        <v>0</v>
      </c>
      <c r="F13411" s="748">
        <f t="shared" si="448"/>
        <v>0</v>
      </c>
      <c r="G13411" s="1205"/>
      <c r="H13411" s="1055"/>
      <c r="I13411" s="1055"/>
      <c r="J13411" s="1055"/>
      <c r="K13411" s="1205"/>
      <c r="L13411" s="1055"/>
      <c r="M13411" s="1205"/>
      <c r="N13411" s="1054"/>
      <c r="O13411" s="1207"/>
      <c r="Q13411" s="1207"/>
    </row>
    <row r="13412" spans="3:17" s="700" customFormat="1" ht="70.5" hidden="1" customHeight="1">
      <c r="C13412" s="701"/>
      <c r="D13412" s="811"/>
      <c r="E13412" s="1276">
        <f>[11]building!Y13743</f>
        <v>0</v>
      </c>
      <c r="F13412" s="748">
        <f t="shared" si="448"/>
        <v>0</v>
      </c>
      <c r="G13412" s="1205"/>
      <c r="H13412" s="1055"/>
      <c r="I13412" s="1055"/>
      <c r="J13412" s="1055"/>
      <c r="K13412" s="1205"/>
      <c r="L13412" s="1055"/>
      <c r="M13412" s="1205"/>
      <c r="N13412" s="1054"/>
      <c r="O13412" s="1207"/>
      <c r="Q13412" s="1207"/>
    </row>
    <row r="13413" spans="3:17" s="700" customFormat="1" ht="70.5" hidden="1" customHeight="1">
      <c r="C13413" s="701"/>
      <c r="D13413" s="811"/>
      <c r="E13413" s="1276">
        <f>[11]building!Y13744</f>
        <v>0</v>
      </c>
      <c r="F13413" s="748">
        <f t="shared" si="448"/>
        <v>0</v>
      </c>
      <c r="G13413" s="1205"/>
      <c r="H13413" s="1055"/>
      <c r="I13413" s="1055"/>
      <c r="J13413" s="1055"/>
      <c r="K13413" s="1205"/>
      <c r="L13413" s="1055"/>
      <c r="M13413" s="1205"/>
      <c r="N13413" s="1054"/>
      <c r="O13413" s="1207"/>
      <c r="Q13413" s="1207"/>
    </row>
    <row r="13414" spans="3:17" s="700" customFormat="1" ht="70.5" hidden="1" customHeight="1">
      <c r="C13414" s="701"/>
      <c r="D13414" s="811"/>
      <c r="E13414" s="1276">
        <f>[11]building!Y13745</f>
        <v>0</v>
      </c>
      <c r="F13414" s="748">
        <f t="shared" si="448"/>
        <v>0</v>
      </c>
      <c r="G13414" s="1205"/>
      <c r="H13414" s="1055"/>
      <c r="I13414" s="1055"/>
      <c r="J13414" s="1055"/>
      <c r="K13414" s="1205"/>
      <c r="L13414" s="1055"/>
      <c r="M13414" s="1205"/>
      <c r="N13414" s="1054"/>
      <c r="O13414" s="1207"/>
      <c r="Q13414" s="1207"/>
    </row>
    <row r="13415" spans="3:17" s="700" customFormat="1" ht="70.5" hidden="1" customHeight="1">
      <c r="C13415" s="701"/>
      <c r="D13415" s="811"/>
      <c r="E13415" s="1276">
        <f>[11]building!Y13746</f>
        <v>0</v>
      </c>
      <c r="F13415" s="748">
        <f t="shared" si="448"/>
        <v>0</v>
      </c>
      <c r="G13415" s="1205"/>
      <c r="H13415" s="1055"/>
      <c r="I13415" s="1055"/>
      <c r="J13415" s="1055"/>
      <c r="K13415" s="1205"/>
      <c r="L13415" s="1055"/>
      <c r="M13415" s="1205"/>
      <c r="N13415" s="1054"/>
      <c r="O13415" s="1207"/>
      <c r="Q13415" s="1207"/>
    </row>
    <row r="13416" spans="3:17" s="700" customFormat="1" ht="70.5" hidden="1" customHeight="1">
      <c r="C13416" s="701"/>
      <c r="D13416" s="811"/>
      <c r="E13416" s="1276">
        <f>[11]building!Y13747</f>
        <v>0</v>
      </c>
      <c r="F13416" s="748">
        <f t="shared" si="448"/>
        <v>0</v>
      </c>
      <c r="G13416" s="1205"/>
      <c r="H13416" s="1055"/>
      <c r="I13416" s="1055"/>
      <c r="J13416" s="1055"/>
      <c r="K13416" s="1205"/>
      <c r="L13416" s="1055"/>
      <c r="M13416" s="1205"/>
      <c r="N13416" s="1054"/>
      <c r="O13416" s="1207"/>
      <c r="Q13416" s="1207"/>
    </row>
    <row r="13417" spans="3:17" s="700" customFormat="1" ht="70.5" hidden="1" customHeight="1">
      <c r="C13417" s="701"/>
      <c r="D13417" s="811"/>
      <c r="E13417" s="1276">
        <f>[11]building!Y13748</f>
        <v>0</v>
      </c>
      <c r="F13417" s="748">
        <f t="shared" si="448"/>
        <v>0</v>
      </c>
      <c r="G13417" s="1205"/>
      <c r="H13417" s="1055"/>
      <c r="I13417" s="1055"/>
      <c r="J13417" s="1055"/>
      <c r="K13417" s="1205"/>
      <c r="L13417" s="1055"/>
      <c r="M13417" s="1205"/>
      <c r="N13417" s="1054"/>
      <c r="O13417" s="1207"/>
      <c r="Q13417" s="1207"/>
    </row>
    <row r="13418" spans="3:17" s="700" customFormat="1" ht="70.5" hidden="1" customHeight="1">
      <c r="C13418" s="701"/>
      <c r="D13418" s="811"/>
      <c r="E13418" s="1276">
        <f>[11]building!Y13749</f>
        <v>0</v>
      </c>
      <c r="F13418" s="748">
        <f t="shared" si="448"/>
        <v>0</v>
      </c>
      <c r="G13418" s="1205"/>
      <c r="H13418" s="1055"/>
      <c r="I13418" s="1055"/>
      <c r="J13418" s="1055"/>
      <c r="K13418" s="1205"/>
      <c r="L13418" s="1055"/>
      <c r="M13418" s="1205"/>
      <c r="N13418" s="1054"/>
      <c r="O13418" s="1207"/>
      <c r="Q13418" s="1207"/>
    </row>
    <row r="13419" spans="3:17" s="700" customFormat="1" ht="70.5" hidden="1" customHeight="1">
      <c r="C13419" s="701"/>
      <c r="D13419" s="811"/>
      <c r="E13419" s="1276">
        <f>[11]building!Y13750</f>
        <v>0</v>
      </c>
      <c r="F13419" s="748">
        <f t="shared" si="448"/>
        <v>0</v>
      </c>
      <c r="G13419" s="1205"/>
      <c r="H13419" s="1055"/>
      <c r="I13419" s="1055"/>
      <c r="J13419" s="1055"/>
      <c r="K13419" s="1205"/>
      <c r="L13419" s="1055"/>
      <c r="M13419" s="1205"/>
      <c r="N13419" s="1054"/>
      <c r="O13419" s="1207"/>
      <c r="Q13419" s="1207"/>
    </row>
    <row r="13420" spans="3:17" s="700" customFormat="1" ht="70.5" hidden="1" customHeight="1">
      <c r="C13420" s="701"/>
      <c r="D13420" s="811"/>
      <c r="E13420" s="1276">
        <f>[11]building!Y13751</f>
        <v>0</v>
      </c>
      <c r="F13420" s="748">
        <f t="shared" si="448"/>
        <v>0</v>
      </c>
      <c r="G13420" s="1205"/>
      <c r="H13420" s="1055"/>
      <c r="I13420" s="1055"/>
      <c r="J13420" s="1055"/>
      <c r="K13420" s="1205"/>
      <c r="L13420" s="1055"/>
      <c r="M13420" s="1205"/>
      <c r="N13420" s="1054"/>
      <c r="O13420" s="1207"/>
      <c r="Q13420" s="1207"/>
    </row>
    <row r="13421" spans="3:17" s="700" customFormat="1" ht="70.5" hidden="1" customHeight="1">
      <c r="C13421" s="701"/>
      <c r="D13421" s="811"/>
      <c r="E13421" s="1276">
        <f>[11]building!Y13752</f>
        <v>0</v>
      </c>
      <c r="F13421" s="748">
        <f t="shared" si="448"/>
        <v>0</v>
      </c>
      <c r="G13421" s="1205"/>
      <c r="H13421" s="1055"/>
      <c r="I13421" s="1055"/>
      <c r="J13421" s="1055"/>
      <c r="K13421" s="1205"/>
      <c r="L13421" s="1055"/>
      <c r="M13421" s="1205"/>
      <c r="N13421" s="1054"/>
      <c r="O13421" s="1207"/>
      <c r="Q13421" s="1207"/>
    </row>
    <row r="13422" spans="3:17" s="700" customFormat="1" ht="70.5" hidden="1" customHeight="1">
      <c r="C13422" s="701"/>
      <c r="D13422" s="811"/>
      <c r="E13422" s="1276">
        <f>[11]building!Y13753</f>
        <v>0</v>
      </c>
      <c r="F13422" s="748">
        <f t="shared" si="448"/>
        <v>0</v>
      </c>
      <c r="G13422" s="1205"/>
      <c r="H13422" s="1055"/>
      <c r="I13422" s="1055"/>
      <c r="J13422" s="1055"/>
      <c r="K13422" s="1205"/>
      <c r="L13422" s="1055"/>
      <c r="M13422" s="1205"/>
      <c r="N13422" s="1054"/>
      <c r="O13422" s="1207"/>
      <c r="Q13422" s="1207"/>
    </row>
    <row r="13423" spans="3:17" s="700" customFormat="1" ht="70.5" hidden="1" customHeight="1">
      <c r="C13423" s="701"/>
      <c r="D13423" s="811"/>
      <c r="E13423" s="1276">
        <f>[11]building!Y13754</f>
        <v>0</v>
      </c>
      <c r="F13423" s="748">
        <f t="shared" si="448"/>
        <v>0</v>
      </c>
      <c r="G13423" s="1205"/>
      <c r="H13423" s="1055"/>
      <c r="I13423" s="1055"/>
      <c r="J13423" s="1055"/>
      <c r="K13423" s="1205"/>
      <c r="L13423" s="1055"/>
      <c r="M13423" s="1205"/>
      <c r="N13423" s="1054"/>
      <c r="O13423" s="1207"/>
      <c r="Q13423" s="1207"/>
    </row>
    <row r="13424" spans="3:17" s="700" customFormat="1" ht="70.5" hidden="1" customHeight="1">
      <c r="C13424" s="701"/>
      <c r="D13424" s="811"/>
      <c r="E13424" s="1276">
        <f>[11]building!Y13755</f>
        <v>0</v>
      </c>
      <c r="F13424" s="748">
        <f t="shared" si="448"/>
        <v>0</v>
      </c>
      <c r="G13424" s="1205"/>
      <c r="H13424" s="1055"/>
      <c r="I13424" s="1055"/>
      <c r="J13424" s="1055"/>
      <c r="K13424" s="1205"/>
      <c r="L13424" s="1055"/>
      <c r="M13424" s="1205"/>
      <c r="N13424" s="1054"/>
      <c r="O13424" s="1207"/>
      <c r="Q13424" s="1207"/>
    </row>
    <row r="13425" spans="3:17" s="700" customFormat="1" ht="70.5" hidden="1" customHeight="1">
      <c r="C13425" s="701"/>
      <c r="D13425" s="811"/>
      <c r="E13425" s="1276">
        <f>[11]building!Y13756</f>
        <v>0</v>
      </c>
      <c r="F13425" s="748">
        <f t="shared" si="448"/>
        <v>0</v>
      </c>
      <c r="G13425" s="1205"/>
      <c r="H13425" s="1055"/>
      <c r="I13425" s="1055"/>
      <c r="J13425" s="1055"/>
      <c r="K13425" s="1205"/>
      <c r="L13425" s="1055"/>
      <c r="M13425" s="1205"/>
      <c r="N13425" s="1054"/>
      <c r="O13425" s="1207"/>
      <c r="Q13425" s="1207"/>
    </row>
    <row r="13426" spans="3:17" s="700" customFormat="1" ht="70.5" hidden="1" customHeight="1">
      <c r="C13426" s="701"/>
      <c r="D13426" s="811"/>
      <c r="E13426" s="1276">
        <f>[11]building!Y13757</f>
        <v>0</v>
      </c>
      <c r="F13426" s="748">
        <f t="shared" si="448"/>
        <v>0</v>
      </c>
      <c r="G13426" s="1205"/>
      <c r="H13426" s="1055"/>
      <c r="I13426" s="1055"/>
      <c r="J13426" s="1055"/>
      <c r="K13426" s="1205"/>
      <c r="L13426" s="1055"/>
      <c r="M13426" s="1205"/>
      <c r="N13426" s="1054"/>
      <c r="O13426" s="1207"/>
      <c r="Q13426" s="1207"/>
    </row>
    <row r="13427" spans="3:17" s="700" customFormat="1" ht="70.5" hidden="1" customHeight="1">
      <c r="C13427" s="701"/>
      <c r="D13427" s="811"/>
      <c r="E13427" s="1276">
        <f>[11]building!Y13758</f>
        <v>0</v>
      </c>
      <c r="F13427" s="748">
        <f t="shared" si="448"/>
        <v>0</v>
      </c>
      <c r="G13427" s="1205"/>
      <c r="H13427" s="1055"/>
      <c r="I13427" s="1055"/>
      <c r="J13427" s="1055"/>
      <c r="K13427" s="1205"/>
      <c r="L13427" s="1055"/>
      <c r="M13427" s="1205"/>
      <c r="N13427" s="1054"/>
      <c r="O13427" s="1207"/>
      <c r="Q13427" s="1207"/>
    </row>
    <row r="13428" spans="3:17" s="700" customFormat="1" ht="70.5" hidden="1" customHeight="1">
      <c r="C13428" s="701"/>
      <c r="D13428" s="811"/>
      <c r="E13428" s="1276">
        <f>[11]building!Y13759</f>
        <v>0</v>
      </c>
      <c r="F13428" s="748">
        <f t="shared" si="448"/>
        <v>0</v>
      </c>
      <c r="G13428" s="1205"/>
      <c r="H13428" s="1055"/>
      <c r="I13428" s="1055"/>
      <c r="J13428" s="1055"/>
      <c r="K13428" s="1205"/>
      <c r="L13428" s="1055"/>
      <c r="M13428" s="1205"/>
      <c r="N13428" s="1054"/>
      <c r="O13428" s="1207"/>
      <c r="Q13428" s="1207"/>
    </row>
    <row r="13429" spans="3:17" s="700" customFormat="1" ht="70.5" hidden="1" customHeight="1">
      <c r="C13429" s="701"/>
      <c r="D13429" s="811"/>
      <c r="E13429" s="1276">
        <f>[11]building!Y13760</f>
        <v>0</v>
      </c>
      <c r="F13429" s="748">
        <f t="shared" si="448"/>
        <v>0</v>
      </c>
      <c r="G13429" s="1205"/>
      <c r="H13429" s="1055"/>
      <c r="I13429" s="1055"/>
      <c r="J13429" s="1055"/>
      <c r="K13429" s="1205"/>
      <c r="L13429" s="1055"/>
      <c r="M13429" s="1205"/>
      <c r="N13429" s="1054"/>
      <c r="O13429" s="1207"/>
      <c r="Q13429" s="1207"/>
    </row>
    <row r="13430" spans="3:17" s="700" customFormat="1" ht="70.5" hidden="1" customHeight="1">
      <c r="C13430" s="701"/>
      <c r="D13430" s="811"/>
      <c r="E13430" s="1276">
        <f>[11]building!Y13761</f>
        <v>0</v>
      </c>
      <c r="F13430" s="748">
        <f t="shared" si="448"/>
        <v>0</v>
      </c>
      <c r="G13430" s="1205"/>
      <c r="H13430" s="1055"/>
      <c r="I13430" s="1055"/>
      <c r="J13430" s="1055"/>
      <c r="K13430" s="1205"/>
      <c r="L13430" s="1055"/>
      <c r="M13430" s="1205"/>
      <c r="N13430" s="1054"/>
      <c r="O13430" s="1207"/>
      <c r="Q13430" s="1207"/>
    </row>
    <row r="13431" spans="3:17" s="700" customFormat="1" ht="70.5" hidden="1" customHeight="1">
      <c r="C13431" s="701"/>
      <c r="D13431" s="811"/>
      <c r="E13431" s="1276">
        <f>[11]building!Y13762</f>
        <v>0</v>
      </c>
      <c r="F13431" s="748">
        <f t="shared" si="448"/>
        <v>0</v>
      </c>
      <c r="G13431" s="1205"/>
      <c r="H13431" s="1055"/>
      <c r="I13431" s="1055"/>
      <c r="J13431" s="1055"/>
      <c r="K13431" s="1205"/>
      <c r="L13431" s="1055"/>
      <c r="M13431" s="1205"/>
      <c r="N13431" s="1054"/>
      <c r="O13431" s="1207"/>
      <c r="Q13431" s="1207"/>
    </row>
    <row r="13432" spans="3:17" s="700" customFormat="1" ht="70.5" hidden="1" customHeight="1">
      <c r="C13432" s="701"/>
      <c r="D13432" s="811"/>
      <c r="E13432" s="1276">
        <f>[11]building!Y13763</f>
        <v>0</v>
      </c>
      <c r="F13432" s="748">
        <f t="shared" si="448"/>
        <v>0</v>
      </c>
      <c r="G13432" s="1205"/>
      <c r="H13432" s="1055"/>
      <c r="I13432" s="1055"/>
      <c r="J13432" s="1055"/>
      <c r="K13432" s="1205"/>
      <c r="L13432" s="1055"/>
      <c r="M13432" s="1205"/>
      <c r="N13432" s="1054"/>
      <c r="O13432" s="1207"/>
      <c r="Q13432" s="1207"/>
    </row>
    <row r="13433" spans="3:17" s="700" customFormat="1" ht="70.5" hidden="1" customHeight="1">
      <c r="C13433" s="701"/>
      <c r="D13433" s="811"/>
      <c r="E13433" s="1276">
        <f>[11]building!Y13764</f>
        <v>0</v>
      </c>
      <c r="F13433" s="748">
        <f t="shared" si="448"/>
        <v>0</v>
      </c>
      <c r="G13433" s="1205"/>
      <c r="H13433" s="1055"/>
      <c r="I13433" s="1055"/>
      <c r="J13433" s="1055"/>
      <c r="K13433" s="1205"/>
      <c r="L13433" s="1055"/>
      <c r="M13433" s="1205"/>
      <c r="N13433" s="1054"/>
      <c r="O13433" s="1207"/>
      <c r="Q13433" s="1207"/>
    </row>
    <row r="13434" spans="3:17" s="700" customFormat="1" ht="70.5" hidden="1" customHeight="1">
      <c r="C13434" s="701"/>
      <c r="D13434" s="811"/>
      <c r="E13434" s="1276">
        <f>[11]building!Y13765</f>
        <v>0</v>
      </c>
      <c r="F13434" s="748">
        <f t="shared" si="448"/>
        <v>0</v>
      </c>
      <c r="G13434" s="1205"/>
      <c r="H13434" s="1055"/>
      <c r="I13434" s="1055"/>
      <c r="J13434" s="1055"/>
      <c r="K13434" s="1205"/>
      <c r="L13434" s="1055"/>
      <c r="M13434" s="1205"/>
      <c r="N13434" s="1054"/>
      <c r="O13434" s="1207"/>
      <c r="Q13434" s="1207"/>
    </row>
    <row r="13435" spans="3:17" s="700" customFormat="1" ht="70.5" hidden="1" customHeight="1">
      <c r="C13435" s="701"/>
      <c r="D13435" s="811"/>
      <c r="E13435" s="1276">
        <f>[11]building!Y13766</f>
        <v>0</v>
      </c>
      <c r="F13435" s="748">
        <f t="shared" si="448"/>
        <v>0</v>
      </c>
      <c r="G13435" s="1205"/>
      <c r="H13435" s="1055"/>
      <c r="I13435" s="1055"/>
      <c r="J13435" s="1055"/>
      <c r="K13435" s="1205"/>
      <c r="L13435" s="1055"/>
      <c r="M13435" s="1205"/>
      <c r="N13435" s="1054"/>
      <c r="O13435" s="1207"/>
      <c r="Q13435" s="1207"/>
    </row>
    <row r="13436" spans="3:17" s="700" customFormat="1" ht="70.5" hidden="1" customHeight="1">
      <c r="C13436" s="701"/>
      <c r="D13436" s="811"/>
      <c r="E13436" s="1276">
        <f>[11]building!Y13767</f>
        <v>0</v>
      </c>
      <c r="F13436" s="748">
        <f t="shared" si="448"/>
        <v>0</v>
      </c>
      <c r="G13436" s="1205"/>
      <c r="H13436" s="1055"/>
      <c r="I13436" s="1055"/>
      <c r="J13436" s="1055"/>
      <c r="K13436" s="1205"/>
      <c r="L13436" s="1055"/>
      <c r="M13436" s="1205"/>
      <c r="N13436" s="1054"/>
      <c r="O13436" s="1207"/>
      <c r="Q13436" s="1207"/>
    </row>
    <row r="13437" spans="3:17" s="700" customFormat="1" ht="70.5" hidden="1" customHeight="1">
      <c r="C13437" s="701"/>
      <c r="D13437" s="811"/>
      <c r="E13437" s="1276">
        <f>[11]building!Y13768</f>
        <v>0</v>
      </c>
      <c r="F13437" s="748">
        <f t="shared" si="448"/>
        <v>0</v>
      </c>
      <c r="G13437" s="1205"/>
      <c r="H13437" s="1055"/>
      <c r="I13437" s="1055"/>
      <c r="J13437" s="1055"/>
      <c r="K13437" s="1205"/>
      <c r="L13437" s="1055"/>
      <c r="M13437" s="1205"/>
      <c r="N13437" s="1054"/>
      <c r="O13437" s="1207"/>
      <c r="Q13437" s="1207"/>
    </row>
    <row r="13438" spans="3:17" s="700" customFormat="1" ht="70.5" hidden="1" customHeight="1">
      <c r="C13438" s="701"/>
      <c r="D13438" s="811"/>
      <c r="E13438" s="1276">
        <f>[11]building!Y13769</f>
        <v>0</v>
      </c>
      <c r="F13438" s="748">
        <f t="shared" si="448"/>
        <v>0</v>
      </c>
      <c r="G13438" s="1205"/>
      <c r="H13438" s="1055"/>
      <c r="I13438" s="1055"/>
      <c r="J13438" s="1055"/>
      <c r="K13438" s="1205"/>
      <c r="L13438" s="1055"/>
      <c r="M13438" s="1205"/>
      <c r="N13438" s="1054"/>
      <c r="O13438" s="1207"/>
      <c r="Q13438" s="1207"/>
    </row>
    <row r="13439" spans="3:17" s="700" customFormat="1" ht="70.5" hidden="1" customHeight="1">
      <c r="C13439" s="701"/>
      <c r="D13439" s="811"/>
      <c r="E13439" s="1276">
        <f>[11]building!Y13770</f>
        <v>0</v>
      </c>
      <c r="F13439" s="748">
        <f t="shared" si="448"/>
        <v>0</v>
      </c>
      <c r="G13439" s="1205"/>
      <c r="H13439" s="1055"/>
      <c r="I13439" s="1055"/>
      <c r="J13439" s="1055"/>
      <c r="K13439" s="1205"/>
      <c r="L13439" s="1055"/>
      <c r="M13439" s="1205"/>
      <c r="N13439" s="1054"/>
      <c r="O13439" s="1207"/>
      <c r="Q13439" s="1207"/>
    </row>
    <row r="13440" spans="3:17" s="700" customFormat="1" ht="70.5" hidden="1" customHeight="1">
      <c r="C13440" s="701"/>
      <c r="D13440" s="811"/>
      <c r="E13440" s="1276">
        <f>[11]building!Y13771</f>
        <v>0</v>
      </c>
      <c r="F13440" s="748">
        <f t="shared" ref="F13440:F13503" si="449">E13440*C13440</f>
        <v>0</v>
      </c>
      <c r="G13440" s="1205"/>
      <c r="H13440" s="1055"/>
      <c r="I13440" s="1055"/>
      <c r="J13440" s="1055"/>
      <c r="K13440" s="1205"/>
      <c r="L13440" s="1055"/>
      <c r="M13440" s="1205"/>
      <c r="N13440" s="1054"/>
      <c r="O13440" s="1207"/>
      <c r="Q13440" s="1207"/>
    </row>
    <row r="13441" spans="3:17" s="700" customFormat="1" ht="70.5" hidden="1" customHeight="1">
      <c r="C13441" s="701"/>
      <c r="D13441" s="811"/>
      <c r="E13441" s="1276">
        <f>[11]building!Y13772</f>
        <v>0</v>
      </c>
      <c r="F13441" s="748">
        <f t="shared" si="449"/>
        <v>0</v>
      </c>
      <c r="G13441" s="1205"/>
      <c r="H13441" s="1055"/>
      <c r="I13441" s="1055"/>
      <c r="J13441" s="1055"/>
      <c r="K13441" s="1205"/>
      <c r="L13441" s="1055"/>
      <c r="M13441" s="1205"/>
      <c r="N13441" s="1054"/>
      <c r="O13441" s="1207"/>
      <c r="Q13441" s="1207"/>
    </row>
    <row r="13442" spans="3:17" s="700" customFormat="1" ht="70.5" hidden="1" customHeight="1">
      <c r="C13442" s="701"/>
      <c r="D13442" s="811"/>
      <c r="E13442" s="1276">
        <f>[11]building!Y13773</f>
        <v>0</v>
      </c>
      <c r="F13442" s="748">
        <f t="shared" si="449"/>
        <v>0</v>
      </c>
      <c r="G13442" s="1205"/>
      <c r="H13442" s="1055"/>
      <c r="I13442" s="1055"/>
      <c r="J13442" s="1055"/>
      <c r="K13442" s="1205"/>
      <c r="L13442" s="1055"/>
      <c r="M13442" s="1205"/>
      <c r="N13442" s="1054"/>
      <c r="O13442" s="1207"/>
      <c r="Q13442" s="1207"/>
    </row>
    <row r="13443" spans="3:17" s="700" customFormat="1" ht="70.5" hidden="1" customHeight="1">
      <c r="C13443" s="701"/>
      <c r="D13443" s="811"/>
      <c r="E13443" s="1276">
        <f>[11]building!Y13774</f>
        <v>0</v>
      </c>
      <c r="F13443" s="748">
        <f t="shared" si="449"/>
        <v>0</v>
      </c>
      <c r="G13443" s="1205"/>
      <c r="H13443" s="1055"/>
      <c r="I13443" s="1055"/>
      <c r="J13443" s="1055"/>
      <c r="K13443" s="1205"/>
      <c r="L13443" s="1055"/>
      <c r="M13443" s="1205"/>
      <c r="N13443" s="1054"/>
      <c r="O13443" s="1207"/>
      <c r="Q13443" s="1207"/>
    </row>
    <row r="13444" spans="3:17" s="700" customFormat="1" ht="70.5" hidden="1" customHeight="1">
      <c r="C13444" s="701"/>
      <c r="D13444" s="811"/>
      <c r="E13444" s="1276">
        <f>[11]building!Y13775</f>
        <v>0</v>
      </c>
      <c r="F13444" s="748">
        <f t="shared" si="449"/>
        <v>0</v>
      </c>
      <c r="G13444" s="1205"/>
      <c r="H13444" s="1055"/>
      <c r="I13444" s="1055"/>
      <c r="J13444" s="1055"/>
      <c r="K13444" s="1205"/>
      <c r="L13444" s="1055"/>
      <c r="M13444" s="1205"/>
      <c r="N13444" s="1054"/>
      <c r="O13444" s="1207"/>
      <c r="Q13444" s="1207"/>
    </row>
    <row r="13445" spans="3:17" s="700" customFormat="1" ht="70.5" hidden="1" customHeight="1">
      <c r="C13445" s="701"/>
      <c r="D13445" s="811"/>
      <c r="E13445" s="1276">
        <f>[11]building!Y13776</f>
        <v>0</v>
      </c>
      <c r="F13445" s="748">
        <f t="shared" si="449"/>
        <v>0</v>
      </c>
      <c r="G13445" s="1205"/>
      <c r="H13445" s="1055"/>
      <c r="I13445" s="1055"/>
      <c r="J13445" s="1055"/>
      <c r="K13445" s="1205"/>
      <c r="L13445" s="1055"/>
      <c r="M13445" s="1205"/>
      <c r="N13445" s="1054"/>
      <c r="O13445" s="1207"/>
      <c r="Q13445" s="1207"/>
    </row>
    <row r="13446" spans="3:17" s="700" customFormat="1" ht="70.5" hidden="1" customHeight="1">
      <c r="C13446" s="701"/>
      <c r="D13446" s="811"/>
      <c r="E13446" s="1276">
        <f>[11]building!Y13777</f>
        <v>0</v>
      </c>
      <c r="F13446" s="748">
        <f t="shared" si="449"/>
        <v>0</v>
      </c>
      <c r="G13446" s="1205"/>
      <c r="H13446" s="1055"/>
      <c r="I13446" s="1055"/>
      <c r="J13446" s="1055"/>
      <c r="K13446" s="1205"/>
      <c r="L13446" s="1055"/>
      <c r="M13446" s="1205"/>
      <c r="N13446" s="1054"/>
      <c r="O13446" s="1207"/>
      <c r="Q13446" s="1207"/>
    </row>
    <row r="13447" spans="3:17" s="700" customFormat="1" ht="70.5" hidden="1" customHeight="1">
      <c r="C13447" s="701"/>
      <c r="D13447" s="811"/>
      <c r="E13447" s="1276">
        <f>[11]building!Y13778</f>
        <v>0</v>
      </c>
      <c r="F13447" s="748">
        <f t="shared" si="449"/>
        <v>0</v>
      </c>
      <c r="G13447" s="1205"/>
      <c r="H13447" s="1055"/>
      <c r="I13447" s="1055"/>
      <c r="J13447" s="1055"/>
      <c r="K13447" s="1205"/>
      <c r="L13447" s="1055"/>
      <c r="M13447" s="1205"/>
      <c r="N13447" s="1054"/>
      <c r="O13447" s="1207"/>
      <c r="Q13447" s="1207"/>
    </row>
    <row r="13448" spans="3:17" s="700" customFormat="1" ht="70.5" hidden="1" customHeight="1">
      <c r="C13448" s="701"/>
      <c r="D13448" s="811"/>
      <c r="E13448" s="1276">
        <f>[11]building!Y13779</f>
        <v>0</v>
      </c>
      <c r="F13448" s="748">
        <f t="shared" si="449"/>
        <v>0</v>
      </c>
      <c r="G13448" s="1205"/>
      <c r="H13448" s="1055"/>
      <c r="I13448" s="1055"/>
      <c r="J13448" s="1055"/>
      <c r="K13448" s="1205"/>
      <c r="L13448" s="1055"/>
      <c r="M13448" s="1205"/>
      <c r="N13448" s="1054"/>
      <c r="O13448" s="1207"/>
      <c r="Q13448" s="1207"/>
    </row>
    <row r="13449" spans="3:17" s="700" customFormat="1" ht="70.5" hidden="1" customHeight="1">
      <c r="C13449" s="701"/>
      <c r="D13449" s="811"/>
      <c r="E13449" s="1276">
        <f>[11]building!Y13780</f>
        <v>0</v>
      </c>
      <c r="F13449" s="748">
        <f t="shared" si="449"/>
        <v>0</v>
      </c>
      <c r="G13449" s="1205"/>
      <c r="H13449" s="1055"/>
      <c r="I13449" s="1055"/>
      <c r="J13449" s="1055"/>
      <c r="K13449" s="1205"/>
      <c r="L13449" s="1055"/>
      <c r="M13449" s="1205"/>
      <c r="N13449" s="1054"/>
      <c r="O13449" s="1207"/>
      <c r="Q13449" s="1207"/>
    </row>
    <row r="13450" spans="3:17" s="700" customFormat="1" ht="70.5" hidden="1" customHeight="1">
      <c r="C13450" s="701"/>
      <c r="D13450" s="811"/>
      <c r="E13450" s="1276">
        <f>[11]building!Y13781</f>
        <v>0</v>
      </c>
      <c r="F13450" s="748">
        <f t="shared" si="449"/>
        <v>0</v>
      </c>
      <c r="G13450" s="1205"/>
      <c r="H13450" s="1055"/>
      <c r="I13450" s="1055"/>
      <c r="J13450" s="1055"/>
      <c r="K13450" s="1205"/>
      <c r="L13450" s="1055"/>
      <c r="M13450" s="1205"/>
      <c r="N13450" s="1054"/>
      <c r="O13450" s="1207"/>
      <c r="Q13450" s="1207"/>
    </row>
    <row r="13451" spans="3:17" s="700" customFormat="1" ht="70.5" hidden="1" customHeight="1">
      <c r="C13451" s="701"/>
      <c r="D13451" s="811"/>
      <c r="E13451" s="1276">
        <f>[11]building!Y13782</f>
        <v>0</v>
      </c>
      <c r="F13451" s="748">
        <f t="shared" si="449"/>
        <v>0</v>
      </c>
      <c r="G13451" s="1205"/>
      <c r="H13451" s="1055"/>
      <c r="I13451" s="1055"/>
      <c r="J13451" s="1055"/>
      <c r="K13451" s="1205"/>
      <c r="L13451" s="1055"/>
      <c r="M13451" s="1205"/>
      <c r="N13451" s="1054"/>
      <c r="O13451" s="1207"/>
      <c r="Q13451" s="1207"/>
    </row>
    <row r="13452" spans="3:17" s="700" customFormat="1" ht="70.5" hidden="1" customHeight="1">
      <c r="C13452" s="701"/>
      <c r="D13452" s="811"/>
      <c r="E13452" s="1276">
        <f>[11]building!Y13783</f>
        <v>0</v>
      </c>
      <c r="F13452" s="748">
        <f t="shared" si="449"/>
        <v>0</v>
      </c>
      <c r="G13452" s="1205"/>
      <c r="H13452" s="1055"/>
      <c r="I13452" s="1055"/>
      <c r="J13452" s="1055"/>
      <c r="K13452" s="1205"/>
      <c r="L13452" s="1055"/>
      <c r="M13452" s="1205"/>
      <c r="N13452" s="1054"/>
      <c r="O13452" s="1207"/>
      <c r="Q13452" s="1207"/>
    </row>
    <row r="13453" spans="3:17" s="700" customFormat="1" ht="70.5" hidden="1" customHeight="1">
      <c r="C13453" s="701"/>
      <c r="D13453" s="811"/>
      <c r="E13453" s="1276">
        <f>[11]building!Y13784</f>
        <v>0</v>
      </c>
      <c r="F13453" s="748">
        <f t="shared" si="449"/>
        <v>0</v>
      </c>
      <c r="G13453" s="1205"/>
      <c r="H13453" s="1055"/>
      <c r="I13453" s="1055"/>
      <c r="J13453" s="1055"/>
      <c r="K13453" s="1205"/>
      <c r="L13453" s="1055"/>
      <c r="M13453" s="1205"/>
      <c r="N13453" s="1054"/>
      <c r="O13453" s="1207"/>
      <c r="Q13453" s="1207"/>
    </row>
    <row r="13454" spans="3:17" s="700" customFormat="1" ht="70.5" hidden="1" customHeight="1">
      <c r="C13454" s="701"/>
      <c r="D13454" s="811"/>
      <c r="E13454" s="1276">
        <f>[11]building!Y13785</f>
        <v>0</v>
      </c>
      <c r="F13454" s="748">
        <f t="shared" si="449"/>
        <v>0</v>
      </c>
      <c r="G13454" s="1205"/>
      <c r="H13454" s="1055"/>
      <c r="I13454" s="1055"/>
      <c r="J13454" s="1055"/>
      <c r="K13454" s="1205"/>
      <c r="L13454" s="1055"/>
      <c r="M13454" s="1205"/>
      <c r="N13454" s="1054"/>
      <c r="O13454" s="1207"/>
      <c r="Q13454" s="1207"/>
    </row>
    <row r="13455" spans="3:17" s="700" customFormat="1" ht="70.5" hidden="1" customHeight="1">
      <c r="C13455" s="701"/>
      <c r="D13455" s="811"/>
      <c r="E13455" s="1276">
        <f>[11]building!Y13786</f>
        <v>0</v>
      </c>
      <c r="F13455" s="748">
        <f t="shared" si="449"/>
        <v>0</v>
      </c>
      <c r="G13455" s="1205"/>
      <c r="H13455" s="1055"/>
      <c r="I13455" s="1055"/>
      <c r="J13455" s="1055"/>
      <c r="K13455" s="1205"/>
      <c r="L13455" s="1055"/>
      <c r="M13455" s="1205"/>
      <c r="N13455" s="1054"/>
      <c r="O13455" s="1207"/>
      <c r="Q13455" s="1207"/>
    </row>
    <row r="13456" spans="3:17" s="700" customFormat="1" ht="70.5" hidden="1" customHeight="1">
      <c r="C13456" s="701"/>
      <c r="D13456" s="811"/>
      <c r="E13456" s="1276">
        <f>[11]building!Y13787</f>
        <v>0</v>
      </c>
      <c r="F13456" s="748">
        <f t="shared" si="449"/>
        <v>0</v>
      </c>
      <c r="G13456" s="1205"/>
      <c r="H13456" s="1055"/>
      <c r="I13456" s="1055"/>
      <c r="J13456" s="1055"/>
      <c r="K13456" s="1205"/>
      <c r="L13456" s="1055"/>
      <c r="M13456" s="1205"/>
      <c r="N13456" s="1054"/>
      <c r="O13456" s="1207"/>
      <c r="Q13456" s="1207"/>
    </row>
    <row r="13457" spans="3:17" s="700" customFormat="1" ht="70.5" hidden="1" customHeight="1">
      <c r="C13457" s="701"/>
      <c r="D13457" s="811"/>
      <c r="E13457" s="1276">
        <f>[11]building!Y13788</f>
        <v>0</v>
      </c>
      <c r="F13457" s="748">
        <f t="shared" si="449"/>
        <v>0</v>
      </c>
      <c r="G13457" s="1205"/>
      <c r="H13457" s="1055"/>
      <c r="I13457" s="1055"/>
      <c r="J13457" s="1055"/>
      <c r="K13457" s="1205"/>
      <c r="L13457" s="1055"/>
      <c r="M13457" s="1205"/>
      <c r="N13457" s="1054"/>
      <c r="O13457" s="1207"/>
      <c r="Q13457" s="1207"/>
    </row>
    <row r="13458" spans="3:17" s="700" customFormat="1" ht="70.5" hidden="1" customHeight="1">
      <c r="C13458" s="701"/>
      <c r="D13458" s="811"/>
      <c r="E13458" s="1276">
        <f>[11]building!Y13789</f>
        <v>0</v>
      </c>
      <c r="F13458" s="748">
        <f t="shared" si="449"/>
        <v>0</v>
      </c>
      <c r="G13458" s="1205"/>
      <c r="H13458" s="1055"/>
      <c r="I13458" s="1055"/>
      <c r="J13458" s="1055"/>
      <c r="K13458" s="1205"/>
      <c r="L13458" s="1055"/>
      <c r="M13458" s="1205"/>
      <c r="N13458" s="1054"/>
      <c r="O13458" s="1207"/>
      <c r="Q13458" s="1207"/>
    </row>
    <row r="13459" spans="3:17" s="700" customFormat="1" ht="70.5" hidden="1" customHeight="1">
      <c r="C13459" s="701"/>
      <c r="D13459" s="811"/>
      <c r="E13459" s="1276">
        <f>[11]building!Y13790</f>
        <v>0</v>
      </c>
      <c r="F13459" s="748">
        <f t="shared" si="449"/>
        <v>0</v>
      </c>
      <c r="G13459" s="1205"/>
      <c r="H13459" s="1055"/>
      <c r="I13459" s="1055"/>
      <c r="J13459" s="1055"/>
      <c r="K13459" s="1205"/>
      <c r="L13459" s="1055"/>
      <c r="M13459" s="1205"/>
      <c r="N13459" s="1054"/>
      <c r="O13459" s="1207"/>
      <c r="Q13459" s="1207"/>
    </row>
    <row r="13460" spans="3:17" s="700" customFormat="1" ht="70.5" hidden="1" customHeight="1">
      <c r="C13460" s="701"/>
      <c r="D13460" s="811"/>
      <c r="E13460" s="1276">
        <f>[11]building!Y13791</f>
        <v>0</v>
      </c>
      <c r="F13460" s="748">
        <f t="shared" si="449"/>
        <v>0</v>
      </c>
      <c r="G13460" s="1205"/>
      <c r="H13460" s="1055"/>
      <c r="I13460" s="1055"/>
      <c r="J13460" s="1055"/>
      <c r="K13460" s="1205"/>
      <c r="L13460" s="1055"/>
      <c r="M13460" s="1205"/>
      <c r="N13460" s="1054"/>
      <c r="O13460" s="1207"/>
      <c r="Q13460" s="1207"/>
    </row>
    <row r="13461" spans="3:17" s="700" customFormat="1" ht="70.5" hidden="1" customHeight="1">
      <c r="C13461" s="701"/>
      <c r="D13461" s="811"/>
      <c r="E13461" s="1276">
        <f>[11]building!Y13792</f>
        <v>0</v>
      </c>
      <c r="F13461" s="748">
        <f t="shared" si="449"/>
        <v>0</v>
      </c>
      <c r="G13461" s="1205"/>
      <c r="H13461" s="1055"/>
      <c r="I13461" s="1055"/>
      <c r="J13461" s="1055"/>
      <c r="K13461" s="1205"/>
      <c r="L13461" s="1055"/>
      <c r="M13461" s="1205"/>
      <c r="N13461" s="1054"/>
      <c r="O13461" s="1207"/>
      <c r="Q13461" s="1207"/>
    </row>
    <row r="13462" spans="3:17" s="700" customFormat="1" ht="70.5" hidden="1" customHeight="1">
      <c r="C13462" s="701"/>
      <c r="D13462" s="811"/>
      <c r="E13462" s="1276">
        <f>[11]building!Y13793</f>
        <v>0</v>
      </c>
      <c r="F13462" s="748">
        <f t="shared" si="449"/>
        <v>0</v>
      </c>
      <c r="G13462" s="1205"/>
      <c r="H13462" s="1055"/>
      <c r="I13462" s="1055"/>
      <c r="J13462" s="1055"/>
      <c r="K13462" s="1205"/>
      <c r="L13462" s="1055"/>
      <c r="M13462" s="1205"/>
      <c r="N13462" s="1054"/>
      <c r="O13462" s="1207"/>
      <c r="Q13462" s="1207"/>
    </row>
    <row r="13463" spans="3:17" s="700" customFormat="1" ht="70.5" hidden="1" customHeight="1">
      <c r="C13463" s="701"/>
      <c r="D13463" s="811"/>
      <c r="E13463" s="1276">
        <f>[11]building!Y13794</f>
        <v>0</v>
      </c>
      <c r="F13463" s="748">
        <f t="shared" si="449"/>
        <v>0</v>
      </c>
      <c r="G13463" s="1205"/>
      <c r="H13463" s="1055"/>
      <c r="I13463" s="1055"/>
      <c r="J13463" s="1055"/>
      <c r="K13463" s="1205"/>
      <c r="L13463" s="1055"/>
      <c r="M13463" s="1205"/>
      <c r="N13463" s="1054"/>
      <c r="O13463" s="1207"/>
      <c r="Q13463" s="1207"/>
    </row>
    <row r="13464" spans="3:17" s="700" customFormat="1" ht="70.5" hidden="1" customHeight="1">
      <c r="C13464" s="701"/>
      <c r="D13464" s="811"/>
      <c r="E13464" s="1276">
        <f>[11]building!Y13795</f>
        <v>0</v>
      </c>
      <c r="F13464" s="748">
        <f t="shared" si="449"/>
        <v>0</v>
      </c>
      <c r="G13464" s="1205"/>
      <c r="H13464" s="1055"/>
      <c r="I13464" s="1055"/>
      <c r="J13464" s="1055"/>
      <c r="K13464" s="1205"/>
      <c r="L13464" s="1055"/>
      <c r="M13464" s="1205"/>
      <c r="N13464" s="1054"/>
      <c r="O13464" s="1207"/>
      <c r="Q13464" s="1207"/>
    </row>
    <row r="13465" spans="3:17" s="700" customFormat="1" ht="70.5" hidden="1" customHeight="1">
      <c r="C13465" s="701"/>
      <c r="D13465" s="811"/>
      <c r="E13465" s="1276">
        <f>[11]building!Y13796</f>
        <v>0</v>
      </c>
      <c r="F13465" s="748">
        <f t="shared" si="449"/>
        <v>0</v>
      </c>
      <c r="G13465" s="1205"/>
      <c r="H13465" s="1055"/>
      <c r="I13465" s="1055"/>
      <c r="J13465" s="1055"/>
      <c r="K13465" s="1205"/>
      <c r="L13465" s="1055"/>
      <c r="M13465" s="1205"/>
      <c r="N13465" s="1054"/>
      <c r="O13465" s="1207"/>
      <c r="Q13465" s="1207"/>
    </row>
    <row r="13466" spans="3:17" s="700" customFormat="1" ht="70.5" hidden="1" customHeight="1">
      <c r="C13466" s="701"/>
      <c r="D13466" s="811"/>
      <c r="E13466" s="1276">
        <f>[11]building!Y13797</f>
        <v>0</v>
      </c>
      <c r="F13466" s="748">
        <f t="shared" si="449"/>
        <v>0</v>
      </c>
      <c r="G13466" s="1205"/>
      <c r="H13466" s="1055"/>
      <c r="I13466" s="1055"/>
      <c r="J13466" s="1055"/>
      <c r="K13466" s="1205"/>
      <c r="L13466" s="1055"/>
      <c r="M13466" s="1205"/>
      <c r="N13466" s="1054"/>
      <c r="O13466" s="1207"/>
      <c r="Q13466" s="1207"/>
    </row>
    <row r="13467" spans="3:17" s="700" customFormat="1" ht="70.5" hidden="1" customHeight="1">
      <c r="C13467" s="701"/>
      <c r="D13467" s="811"/>
      <c r="E13467" s="1276">
        <f>[11]building!Y13798</f>
        <v>0</v>
      </c>
      <c r="F13467" s="748">
        <f t="shared" si="449"/>
        <v>0</v>
      </c>
      <c r="G13467" s="1205"/>
      <c r="H13467" s="1055"/>
      <c r="I13467" s="1055"/>
      <c r="J13467" s="1055"/>
      <c r="K13467" s="1205"/>
      <c r="L13467" s="1055"/>
      <c r="M13467" s="1205"/>
      <c r="N13467" s="1054"/>
      <c r="O13467" s="1207"/>
      <c r="Q13467" s="1207"/>
    </row>
    <row r="13468" spans="3:17" s="700" customFormat="1" ht="70.5" hidden="1" customHeight="1">
      <c r="C13468" s="701"/>
      <c r="D13468" s="811"/>
      <c r="E13468" s="1276">
        <f>[11]building!Y13799</f>
        <v>0</v>
      </c>
      <c r="F13468" s="748">
        <f t="shared" si="449"/>
        <v>0</v>
      </c>
      <c r="G13468" s="1205"/>
      <c r="H13468" s="1055"/>
      <c r="I13468" s="1055"/>
      <c r="J13468" s="1055"/>
      <c r="K13468" s="1205"/>
      <c r="L13468" s="1055"/>
      <c r="M13468" s="1205"/>
      <c r="N13468" s="1054"/>
      <c r="O13468" s="1207"/>
      <c r="Q13468" s="1207"/>
    </row>
    <row r="13469" spans="3:17" s="700" customFormat="1" ht="70.5" hidden="1" customHeight="1">
      <c r="C13469" s="701"/>
      <c r="D13469" s="811"/>
      <c r="E13469" s="1276">
        <f>[11]building!Y13800</f>
        <v>0</v>
      </c>
      <c r="F13469" s="748">
        <f t="shared" si="449"/>
        <v>0</v>
      </c>
      <c r="G13469" s="1205"/>
      <c r="H13469" s="1055"/>
      <c r="I13469" s="1055"/>
      <c r="J13469" s="1055"/>
      <c r="K13469" s="1205"/>
      <c r="L13469" s="1055"/>
      <c r="M13469" s="1205"/>
      <c r="N13469" s="1054"/>
      <c r="O13469" s="1207"/>
      <c r="Q13469" s="1207"/>
    </row>
    <row r="13470" spans="3:17" s="700" customFormat="1" ht="70.5" hidden="1" customHeight="1">
      <c r="C13470" s="701"/>
      <c r="D13470" s="811"/>
      <c r="E13470" s="1276">
        <f>[11]building!Y13801</f>
        <v>0</v>
      </c>
      <c r="F13470" s="748">
        <f t="shared" si="449"/>
        <v>0</v>
      </c>
      <c r="G13470" s="1205"/>
      <c r="H13470" s="1055"/>
      <c r="I13470" s="1055"/>
      <c r="J13470" s="1055"/>
      <c r="K13470" s="1205"/>
      <c r="L13470" s="1055"/>
      <c r="M13470" s="1205"/>
      <c r="N13470" s="1054"/>
      <c r="O13470" s="1207"/>
      <c r="Q13470" s="1207"/>
    </row>
    <row r="13471" spans="3:17" s="700" customFormat="1" ht="70.5" hidden="1" customHeight="1">
      <c r="C13471" s="701"/>
      <c r="D13471" s="811"/>
      <c r="E13471" s="1276">
        <f>[11]building!Y13802</f>
        <v>0</v>
      </c>
      <c r="F13471" s="748">
        <f t="shared" si="449"/>
        <v>0</v>
      </c>
      <c r="G13471" s="1205"/>
      <c r="H13471" s="1055"/>
      <c r="I13471" s="1055"/>
      <c r="J13471" s="1055"/>
      <c r="K13471" s="1205"/>
      <c r="L13471" s="1055"/>
      <c r="M13471" s="1205"/>
      <c r="N13471" s="1054"/>
      <c r="O13471" s="1207"/>
      <c r="Q13471" s="1207"/>
    </row>
    <row r="13472" spans="3:17" s="700" customFormat="1" ht="70.5" hidden="1" customHeight="1">
      <c r="C13472" s="701"/>
      <c r="D13472" s="811"/>
      <c r="E13472" s="1276">
        <f>[11]building!Y13803</f>
        <v>0</v>
      </c>
      <c r="F13472" s="748">
        <f t="shared" si="449"/>
        <v>0</v>
      </c>
      <c r="G13472" s="1205"/>
      <c r="H13472" s="1055"/>
      <c r="I13472" s="1055"/>
      <c r="J13472" s="1055"/>
      <c r="K13472" s="1205"/>
      <c r="L13472" s="1055"/>
      <c r="M13472" s="1205"/>
      <c r="N13472" s="1054"/>
      <c r="O13472" s="1207"/>
      <c r="Q13472" s="1207"/>
    </row>
    <row r="13473" spans="3:17" s="700" customFormat="1" ht="70.5" hidden="1" customHeight="1">
      <c r="C13473" s="701"/>
      <c r="D13473" s="811"/>
      <c r="E13473" s="1276">
        <f>[11]building!Y13804</f>
        <v>0</v>
      </c>
      <c r="F13473" s="748">
        <f t="shared" si="449"/>
        <v>0</v>
      </c>
      <c r="G13473" s="1205"/>
      <c r="H13473" s="1055"/>
      <c r="I13473" s="1055"/>
      <c r="J13473" s="1055"/>
      <c r="K13473" s="1205"/>
      <c r="L13473" s="1055"/>
      <c r="M13473" s="1205"/>
      <c r="N13473" s="1054"/>
      <c r="O13473" s="1207"/>
      <c r="Q13473" s="1207"/>
    </row>
    <row r="13474" spans="3:17" s="700" customFormat="1" ht="70.5" hidden="1" customHeight="1">
      <c r="C13474" s="701"/>
      <c r="D13474" s="811"/>
      <c r="E13474" s="1276">
        <f>[11]building!Y13805</f>
        <v>0</v>
      </c>
      <c r="F13474" s="748">
        <f t="shared" si="449"/>
        <v>0</v>
      </c>
      <c r="G13474" s="1205"/>
      <c r="H13474" s="1055"/>
      <c r="I13474" s="1055"/>
      <c r="J13474" s="1055"/>
      <c r="K13474" s="1205"/>
      <c r="L13474" s="1055"/>
      <c r="M13474" s="1205"/>
      <c r="N13474" s="1054"/>
      <c r="O13474" s="1207"/>
      <c r="Q13474" s="1207"/>
    </row>
    <row r="13475" spans="3:17" s="700" customFormat="1" ht="70.5" hidden="1" customHeight="1">
      <c r="C13475" s="701"/>
      <c r="D13475" s="811"/>
      <c r="E13475" s="1276">
        <f>[11]building!Y13806</f>
        <v>0</v>
      </c>
      <c r="F13475" s="748">
        <f t="shared" si="449"/>
        <v>0</v>
      </c>
      <c r="G13475" s="1205"/>
      <c r="H13475" s="1055"/>
      <c r="I13475" s="1055"/>
      <c r="J13475" s="1055"/>
      <c r="K13475" s="1205"/>
      <c r="L13475" s="1055"/>
      <c r="M13475" s="1205"/>
      <c r="N13475" s="1054"/>
      <c r="O13475" s="1207"/>
      <c r="Q13475" s="1207"/>
    </row>
    <row r="13476" spans="3:17" s="700" customFormat="1" ht="70.5" hidden="1" customHeight="1">
      <c r="C13476" s="701"/>
      <c r="D13476" s="811"/>
      <c r="E13476" s="1276">
        <f>[11]building!Y13807</f>
        <v>0</v>
      </c>
      <c r="F13476" s="748">
        <f t="shared" si="449"/>
        <v>0</v>
      </c>
      <c r="G13476" s="1205"/>
      <c r="H13476" s="1055"/>
      <c r="I13476" s="1055"/>
      <c r="J13476" s="1055"/>
      <c r="K13476" s="1205"/>
      <c r="L13476" s="1055"/>
      <c r="M13476" s="1205"/>
      <c r="N13476" s="1054"/>
      <c r="O13476" s="1207"/>
      <c r="Q13476" s="1207"/>
    </row>
    <row r="13477" spans="3:17" s="700" customFormat="1" ht="70.5" hidden="1" customHeight="1">
      <c r="C13477" s="701"/>
      <c r="D13477" s="811"/>
      <c r="E13477" s="1276">
        <f>[11]building!Y13808</f>
        <v>0</v>
      </c>
      <c r="F13477" s="748">
        <f t="shared" si="449"/>
        <v>0</v>
      </c>
      <c r="G13477" s="1205"/>
      <c r="H13477" s="1055"/>
      <c r="I13477" s="1055"/>
      <c r="J13477" s="1055"/>
      <c r="K13477" s="1205"/>
      <c r="L13477" s="1055"/>
      <c r="M13477" s="1205"/>
      <c r="N13477" s="1054"/>
      <c r="O13477" s="1207"/>
      <c r="Q13477" s="1207"/>
    </row>
    <row r="13478" spans="3:17" s="700" customFormat="1" ht="70.5" hidden="1" customHeight="1">
      <c r="C13478" s="701"/>
      <c r="D13478" s="811"/>
      <c r="E13478" s="1276">
        <f>[11]building!Y13809</f>
        <v>0</v>
      </c>
      <c r="F13478" s="748">
        <f t="shared" si="449"/>
        <v>0</v>
      </c>
      <c r="G13478" s="1205"/>
      <c r="H13478" s="1055"/>
      <c r="I13478" s="1055"/>
      <c r="J13478" s="1055"/>
      <c r="K13478" s="1205"/>
      <c r="L13478" s="1055"/>
      <c r="M13478" s="1205"/>
      <c r="N13478" s="1054"/>
      <c r="O13478" s="1207"/>
      <c r="Q13478" s="1207"/>
    </row>
    <row r="13479" spans="3:17" s="700" customFormat="1" ht="70.5" hidden="1" customHeight="1">
      <c r="C13479" s="701"/>
      <c r="D13479" s="811"/>
      <c r="E13479" s="1276">
        <f>[11]building!Y13810</f>
        <v>0</v>
      </c>
      <c r="F13479" s="748">
        <f t="shared" si="449"/>
        <v>0</v>
      </c>
      <c r="G13479" s="1205"/>
      <c r="H13479" s="1055"/>
      <c r="I13479" s="1055"/>
      <c r="J13479" s="1055"/>
      <c r="K13479" s="1205"/>
      <c r="L13479" s="1055"/>
      <c r="M13479" s="1205"/>
      <c r="N13479" s="1054"/>
      <c r="O13479" s="1207"/>
      <c r="Q13479" s="1207"/>
    </row>
    <row r="13480" spans="3:17" s="700" customFormat="1" ht="70.5" hidden="1" customHeight="1">
      <c r="C13480" s="701"/>
      <c r="D13480" s="811"/>
      <c r="E13480" s="1276">
        <f>[11]building!Y13811</f>
        <v>0</v>
      </c>
      <c r="F13480" s="748">
        <f t="shared" si="449"/>
        <v>0</v>
      </c>
      <c r="G13480" s="1205"/>
      <c r="H13480" s="1055"/>
      <c r="I13480" s="1055"/>
      <c r="J13480" s="1055"/>
      <c r="K13480" s="1205"/>
      <c r="L13480" s="1055"/>
      <c r="M13480" s="1205"/>
      <c r="N13480" s="1054"/>
      <c r="O13480" s="1207"/>
      <c r="Q13480" s="1207"/>
    </row>
    <row r="13481" spans="3:17" s="700" customFormat="1" ht="70.5" hidden="1" customHeight="1">
      <c r="C13481" s="701"/>
      <c r="D13481" s="811"/>
      <c r="E13481" s="1276">
        <f>[11]building!Y13812</f>
        <v>0</v>
      </c>
      <c r="F13481" s="748">
        <f t="shared" si="449"/>
        <v>0</v>
      </c>
      <c r="G13481" s="1205"/>
      <c r="H13481" s="1055"/>
      <c r="I13481" s="1055"/>
      <c r="J13481" s="1055"/>
      <c r="K13481" s="1205"/>
      <c r="L13481" s="1055"/>
      <c r="M13481" s="1205"/>
      <c r="N13481" s="1054"/>
      <c r="O13481" s="1207"/>
      <c r="Q13481" s="1207"/>
    </row>
    <row r="13482" spans="3:17" s="700" customFormat="1" ht="70.5" hidden="1" customHeight="1">
      <c r="C13482" s="701"/>
      <c r="D13482" s="811"/>
      <c r="E13482" s="1276">
        <f>[11]building!Y13813</f>
        <v>0</v>
      </c>
      <c r="F13482" s="748">
        <f t="shared" si="449"/>
        <v>0</v>
      </c>
      <c r="G13482" s="1205"/>
      <c r="H13482" s="1055"/>
      <c r="I13482" s="1055"/>
      <c r="J13482" s="1055"/>
      <c r="K13482" s="1205"/>
      <c r="L13482" s="1055"/>
      <c r="M13482" s="1205"/>
      <c r="N13482" s="1054"/>
      <c r="O13482" s="1207"/>
      <c r="Q13482" s="1207"/>
    </row>
    <row r="13483" spans="3:17" s="700" customFormat="1" ht="70.5" hidden="1" customHeight="1">
      <c r="C13483" s="701"/>
      <c r="D13483" s="811"/>
      <c r="E13483" s="1276">
        <f>[11]building!Y13814</f>
        <v>0</v>
      </c>
      <c r="F13483" s="748">
        <f t="shared" si="449"/>
        <v>0</v>
      </c>
      <c r="G13483" s="1205"/>
      <c r="H13483" s="1055"/>
      <c r="I13483" s="1055"/>
      <c r="J13483" s="1055"/>
      <c r="K13483" s="1205"/>
      <c r="L13483" s="1055"/>
      <c r="M13483" s="1205"/>
      <c r="N13483" s="1054"/>
      <c r="O13483" s="1207"/>
      <c r="Q13483" s="1207"/>
    </row>
    <row r="13484" spans="3:17" s="700" customFormat="1" ht="70.5" hidden="1" customHeight="1">
      <c r="C13484" s="701"/>
      <c r="D13484" s="811"/>
      <c r="E13484" s="1276">
        <f>[11]building!Y13815</f>
        <v>0</v>
      </c>
      <c r="F13484" s="748">
        <f t="shared" si="449"/>
        <v>0</v>
      </c>
      <c r="G13484" s="1205"/>
      <c r="H13484" s="1055"/>
      <c r="I13484" s="1055"/>
      <c r="J13484" s="1055"/>
      <c r="K13484" s="1205"/>
      <c r="L13484" s="1055"/>
      <c r="M13484" s="1205"/>
      <c r="N13484" s="1054"/>
      <c r="O13484" s="1207"/>
      <c r="Q13484" s="1207"/>
    </row>
    <row r="13485" spans="3:17" s="700" customFormat="1" ht="70.5" hidden="1" customHeight="1">
      <c r="C13485" s="701"/>
      <c r="D13485" s="811"/>
      <c r="E13485" s="1276">
        <f>[11]building!Y13816</f>
        <v>0</v>
      </c>
      <c r="F13485" s="748">
        <f t="shared" si="449"/>
        <v>0</v>
      </c>
      <c r="G13485" s="1205"/>
      <c r="H13485" s="1055"/>
      <c r="I13485" s="1055"/>
      <c r="J13485" s="1055"/>
      <c r="K13485" s="1205"/>
      <c r="L13485" s="1055"/>
      <c r="M13485" s="1205"/>
      <c r="N13485" s="1054"/>
      <c r="O13485" s="1207"/>
      <c r="Q13485" s="1207"/>
    </row>
    <row r="13486" spans="3:17" s="700" customFormat="1" ht="70.5" hidden="1" customHeight="1">
      <c r="C13486" s="701"/>
      <c r="D13486" s="811"/>
      <c r="E13486" s="1276">
        <f>[11]building!Y13817</f>
        <v>0</v>
      </c>
      <c r="F13486" s="748">
        <f t="shared" si="449"/>
        <v>0</v>
      </c>
      <c r="G13486" s="1205"/>
      <c r="H13486" s="1055"/>
      <c r="I13486" s="1055"/>
      <c r="J13486" s="1055"/>
      <c r="K13486" s="1205"/>
      <c r="L13486" s="1055"/>
      <c r="M13486" s="1205"/>
      <c r="N13486" s="1054"/>
      <c r="O13486" s="1207"/>
      <c r="Q13486" s="1207"/>
    </row>
    <row r="13487" spans="3:17" s="700" customFormat="1" ht="70.5" hidden="1" customHeight="1">
      <c r="C13487" s="701"/>
      <c r="D13487" s="811"/>
      <c r="E13487" s="1276">
        <f>[11]building!Y13818</f>
        <v>0</v>
      </c>
      <c r="F13487" s="748">
        <f t="shared" si="449"/>
        <v>0</v>
      </c>
      <c r="G13487" s="1205"/>
      <c r="H13487" s="1055"/>
      <c r="I13487" s="1055"/>
      <c r="J13487" s="1055"/>
      <c r="K13487" s="1205"/>
      <c r="L13487" s="1055"/>
      <c r="M13487" s="1205"/>
      <c r="N13487" s="1054"/>
      <c r="O13487" s="1207"/>
      <c r="Q13487" s="1207"/>
    </row>
    <row r="13488" spans="3:17" s="700" customFormat="1" ht="70.5" hidden="1" customHeight="1">
      <c r="C13488" s="701"/>
      <c r="D13488" s="811"/>
      <c r="E13488" s="1276">
        <f>[11]building!Y13819</f>
        <v>0</v>
      </c>
      <c r="F13488" s="748">
        <f t="shared" si="449"/>
        <v>0</v>
      </c>
      <c r="G13488" s="1205"/>
      <c r="H13488" s="1055"/>
      <c r="I13488" s="1055"/>
      <c r="J13488" s="1055"/>
      <c r="K13488" s="1205"/>
      <c r="L13488" s="1055"/>
      <c r="M13488" s="1205"/>
      <c r="N13488" s="1054"/>
      <c r="O13488" s="1207"/>
      <c r="Q13488" s="1207"/>
    </row>
    <row r="13489" spans="3:17" s="700" customFormat="1" ht="70.5" hidden="1" customHeight="1">
      <c r="C13489" s="701"/>
      <c r="D13489" s="811"/>
      <c r="E13489" s="1276">
        <f>[11]building!Y13820</f>
        <v>0</v>
      </c>
      <c r="F13489" s="748">
        <f t="shared" si="449"/>
        <v>0</v>
      </c>
      <c r="G13489" s="1205"/>
      <c r="H13489" s="1055"/>
      <c r="I13489" s="1055"/>
      <c r="J13489" s="1055"/>
      <c r="K13489" s="1205"/>
      <c r="L13489" s="1055"/>
      <c r="M13489" s="1205"/>
      <c r="N13489" s="1054"/>
      <c r="O13489" s="1207"/>
      <c r="Q13489" s="1207"/>
    </row>
    <row r="13490" spans="3:17" s="700" customFormat="1" ht="70.5" hidden="1" customHeight="1">
      <c r="C13490" s="701"/>
      <c r="D13490" s="811"/>
      <c r="E13490" s="1276">
        <f>[11]building!Y13821</f>
        <v>0</v>
      </c>
      <c r="F13490" s="748">
        <f t="shared" si="449"/>
        <v>0</v>
      </c>
      <c r="G13490" s="1205"/>
      <c r="H13490" s="1055"/>
      <c r="I13490" s="1055"/>
      <c r="J13490" s="1055"/>
      <c r="K13490" s="1205"/>
      <c r="L13490" s="1055"/>
      <c r="M13490" s="1205"/>
      <c r="N13490" s="1054"/>
      <c r="O13490" s="1207"/>
      <c r="Q13490" s="1207"/>
    </row>
    <row r="13491" spans="3:17" s="700" customFormat="1" ht="70.5" hidden="1" customHeight="1">
      <c r="C13491" s="701"/>
      <c r="D13491" s="811"/>
      <c r="E13491" s="1276">
        <f>[11]building!Y13822</f>
        <v>0</v>
      </c>
      <c r="F13491" s="748">
        <f t="shared" si="449"/>
        <v>0</v>
      </c>
      <c r="G13491" s="1205"/>
      <c r="H13491" s="1055"/>
      <c r="I13491" s="1055"/>
      <c r="J13491" s="1055"/>
      <c r="K13491" s="1205"/>
      <c r="L13491" s="1055"/>
      <c r="M13491" s="1205"/>
      <c r="N13491" s="1054"/>
      <c r="O13491" s="1207"/>
      <c r="Q13491" s="1207"/>
    </row>
    <row r="13492" spans="3:17" s="700" customFormat="1" ht="70.5" hidden="1" customHeight="1">
      <c r="C13492" s="701"/>
      <c r="D13492" s="811"/>
      <c r="E13492" s="1276">
        <f>[11]building!Y13823</f>
        <v>0</v>
      </c>
      <c r="F13492" s="748">
        <f t="shared" si="449"/>
        <v>0</v>
      </c>
      <c r="G13492" s="1205"/>
      <c r="H13492" s="1055"/>
      <c r="I13492" s="1055"/>
      <c r="J13492" s="1055"/>
      <c r="K13492" s="1205"/>
      <c r="L13492" s="1055"/>
      <c r="M13492" s="1205"/>
      <c r="N13492" s="1054"/>
      <c r="O13492" s="1207"/>
      <c r="Q13492" s="1207"/>
    </row>
    <row r="13493" spans="3:17" s="700" customFormat="1" ht="70.5" hidden="1" customHeight="1">
      <c r="C13493" s="701"/>
      <c r="D13493" s="811"/>
      <c r="E13493" s="1276">
        <f>[11]building!Y13824</f>
        <v>0</v>
      </c>
      <c r="F13493" s="748">
        <f t="shared" si="449"/>
        <v>0</v>
      </c>
      <c r="G13493" s="1205"/>
      <c r="H13493" s="1055"/>
      <c r="I13493" s="1055"/>
      <c r="J13493" s="1055"/>
      <c r="K13493" s="1205"/>
      <c r="L13493" s="1055"/>
      <c r="M13493" s="1205"/>
      <c r="N13493" s="1054"/>
      <c r="O13493" s="1207"/>
      <c r="Q13493" s="1207"/>
    </row>
    <row r="13494" spans="3:17" s="700" customFormat="1" ht="70.5" hidden="1" customHeight="1">
      <c r="C13494" s="701"/>
      <c r="D13494" s="811"/>
      <c r="E13494" s="1276">
        <f>[11]building!Y13825</f>
        <v>0</v>
      </c>
      <c r="F13494" s="748">
        <f t="shared" si="449"/>
        <v>0</v>
      </c>
      <c r="G13494" s="1205"/>
      <c r="H13494" s="1055"/>
      <c r="I13494" s="1055"/>
      <c r="J13494" s="1055"/>
      <c r="K13494" s="1205"/>
      <c r="L13494" s="1055"/>
      <c r="M13494" s="1205"/>
      <c r="N13494" s="1054"/>
      <c r="O13494" s="1207"/>
      <c r="Q13494" s="1207"/>
    </row>
    <row r="13495" spans="3:17" s="700" customFormat="1" ht="70.5" hidden="1" customHeight="1">
      <c r="C13495" s="701"/>
      <c r="D13495" s="811"/>
      <c r="E13495" s="1276">
        <f>[11]building!Y13826</f>
        <v>0</v>
      </c>
      <c r="F13495" s="748">
        <f t="shared" si="449"/>
        <v>0</v>
      </c>
      <c r="G13495" s="1205"/>
      <c r="H13495" s="1055"/>
      <c r="I13495" s="1055"/>
      <c r="J13495" s="1055"/>
      <c r="K13495" s="1205"/>
      <c r="L13495" s="1055"/>
      <c r="M13495" s="1205"/>
      <c r="N13495" s="1054"/>
      <c r="O13495" s="1207"/>
      <c r="Q13495" s="1207"/>
    </row>
    <row r="13496" spans="3:17" s="700" customFormat="1" ht="70.5" hidden="1" customHeight="1">
      <c r="C13496" s="701"/>
      <c r="D13496" s="811"/>
      <c r="E13496" s="1276">
        <f>[11]building!Y13827</f>
        <v>0</v>
      </c>
      <c r="F13496" s="748">
        <f t="shared" si="449"/>
        <v>0</v>
      </c>
      <c r="G13496" s="1205"/>
      <c r="H13496" s="1055"/>
      <c r="I13496" s="1055"/>
      <c r="J13496" s="1055"/>
      <c r="K13496" s="1205"/>
      <c r="L13496" s="1055"/>
      <c r="M13496" s="1205"/>
      <c r="N13496" s="1054"/>
      <c r="O13496" s="1207"/>
      <c r="Q13496" s="1207"/>
    </row>
    <row r="13497" spans="3:17" s="700" customFormat="1" ht="70.5" hidden="1" customHeight="1">
      <c r="C13497" s="701"/>
      <c r="D13497" s="811"/>
      <c r="E13497" s="1276">
        <f>[11]building!Y13828</f>
        <v>0</v>
      </c>
      <c r="F13497" s="748">
        <f t="shared" si="449"/>
        <v>0</v>
      </c>
      <c r="G13497" s="1205"/>
      <c r="H13497" s="1055"/>
      <c r="I13497" s="1055"/>
      <c r="J13497" s="1055"/>
      <c r="K13497" s="1205"/>
      <c r="L13497" s="1055"/>
      <c r="M13497" s="1205"/>
      <c r="N13497" s="1054"/>
      <c r="O13497" s="1207"/>
      <c r="Q13497" s="1207"/>
    </row>
    <row r="13498" spans="3:17" s="700" customFormat="1" ht="70.5" hidden="1" customHeight="1">
      <c r="C13498" s="701"/>
      <c r="D13498" s="811"/>
      <c r="E13498" s="1276">
        <f>[11]building!Y13829</f>
        <v>0</v>
      </c>
      <c r="F13498" s="748">
        <f t="shared" si="449"/>
        <v>0</v>
      </c>
      <c r="G13498" s="1205"/>
      <c r="H13498" s="1055"/>
      <c r="I13498" s="1055"/>
      <c r="J13498" s="1055"/>
      <c r="K13498" s="1205"/>
      <c r="L13498" s="1055"/>
      <c r="M13498" s="1205"/>
      <c r="N13498" s="1054"/>
      <c r="O13498" s="1207"/>
      <c r="Q13498" s="1207"/>
    </row>
    <row r="13499" spans="3:17" s="700" customFormat="1" ht="70.5" hidden="1" customHeight="1">
      <c r="C13499" s="701"/>
      <c r="D13499" s="811"/>
      <c r="E13499" s="1276">
        <f>[11]building!Y13830</f>
        <v>0</v>
      </c>
      <c r="F13499" s="748">
        <f t="shared" si="449"/>
        <v>0</v>
      </c>
      <c r="G13499" s="1205"/>
      <c r="H13499" s="1055"/>
      <c r="I13499" s="1055"/>
      <c r="J13499" s="1055"/>
      <c r="K13499" s="1205"/>
      <c r="L13499" s="1055"/>
      <c r="M13499" s="1205"/>
      <c r="N13499" s="1054"/>
      <c r="O13499" s="1207"/>
      <c r="Q13499" s="1207"/>
    </row>
    <row r="13500" spans="3:17" s="700" customFormat="1" ht="70.5" hidden="1" customHeight="1">
      <c r="C13500" s="701"/>
      <c r="D13500" s="811"/>
      <c r="E13500" s="1276">
        <f>[11]building!Y13831</f>
        <v>0</v>
      </c>
      <c r="F13500" s="748">
        <f t="shared" si="449"/>
        <v>0</v>
      </c>
      <c r="G13500" s="1205"/>
      <c r="H13500" s="1055"/>
      <c r="I13500" s="1055"/>
      <c r="J13500" s="1055"/>
      <c r="K13500" s="1205"/>
      <c r="L13500" s="1055"/>
      <c r="M13500" s="1205"/>
      <c r="N13500" s="1054"/>
      <c r="O13500" s="1207"/>
      <c r="Q13500" s="1207"/>
    </row>
    <row r="13501" spans="3:17" s="700" customFormat="1" ht="70.5" hidden="1" customHeight="1">
      <c r="C13501" s="701"/>
      <c r="D13501" s="811"/>
      <c r="E13501" s="1276">
        <f>[11]building!Y13832</f>
        <v>0</v>
      </c>
      <c r="F13501" s="748">
        <f t="shared" si="449"/>
        <v>0</v>
      </c>
      <c r="G13501" s="1205"/>
      <c r="H13501" s="1055"/>
      <c r="I13501" s="1055"/>
      <c r="J13501" s="1055"/>
      <c r="K13501" s="1205"/>
      <c r="L13501" s="1055"/>
      <c r="M13501" s="1205"/>
      <c r="N13501" s="1054"/>
      <c r="O13501" s="1207"/>
      <c r="Q13501" s="1207"/>
    </row>
    <row r="13502" spans="3:17" s="700" customFormat="1" ht="70.5" hidden="1" customHeight="1">
      <c r="C13502" s="701"/>
      <c r="D13502" s="811"/>
      <c r="E13502" s="1276">
        <f>[11]building!Y13833</f>
        <v>0</v>
      </c>
      <c r="F13502" s="748">
        <f t="shared" si="449"/>
        <v>0</v>
      </c>
      <c r="G13502" s="1205"/>
      <c r="H13502" s="1055"/>
      <c r="I13502" s="1055"/>
      <c r="J13502" s="1055"/>
      <c r="K13502" s="1205"/>
      <c r="L13502" s="1055"/>
      <c r="M13502" s="1205"/>
      <c r="N13502" s="1054"/>
      <c r="O13502" s="1207"/>
      <c r="Q13502" s="1207"/>
    </row>
    <row r="13503" spans="3:17" s="700" customFormat="1" ht="70.5" hidden="1" customHeight="1">
      <c r="C13503" s="701"/>
      <c r="D13503" s="811"/>
      <c r="E13503" s="1276">
        <f>[11]building!Y13834</f>
        <v>0</v>
      </c>
      <c r="F13503" s="748">
        <f t="shared" si="449"/>
        <v>0</v>
      </c>
      <c r="G13503" s="1205"/>
      <c r="H13503" s="1055"/>
      <c r="I13503" s="1055"/>
      <c r="J13503" s="1055"/>
      <c r="K13503" s="1205"/>
      <c r="L13503" s="1055"/>
      <c r="M13503" s="1205"/>
      <c r="N13503" s="1054"/>
      <c r="O13503" s="1207"/>
      <c r="Q13503" s="1207"/>
    </row>
    <row r="13504" spans="3:17" s="700" customFormat="1" ht="70.5" hidden="1" customHeight="1">
      <c r="C13504" s="701"/>
      <c r="D13504" s="811"/>
      <c r="E13504" s="1276">
        <f>[11]building!Y13835</f>
        <v>0</v>
      </c>
      <c r="F13504" s="748">
        <f t="shared" ref="F13504:F13567" si="450">E13504*C13504</f>
        <v>0</v>
      </c>
      <c r="G13504" s="1205"/>
      <c r="H13504" s="1055"/>
      <c r="I13504" s="1055"/>
      <c r="J13504" s="1055"/>
      <c r="K13504" s="1205"/>
      <c r="L13504" s="1055"/>
      <c r="M13504" s="1205"/>
      <c r="N13504" s="1054"/>
      <c r="O13504" s="1207"/>
      <c r="Q13504" s="1207"/>
    </row>
    <row r="13505" spans="3:17" s="700" customFormat="1" ht="70.5" hidden="1" customHeight="1">
      <c r="C13505" s="701"/>
      <c r="D13505" s="811"/>
      <c r="E13505" s="1276">
        <f>[11]building!Y13836</f>
        <v>0</v>
      </c>
      <c r="F13505" s="748">
        <f t="shared" si="450"/>
        <v>0</v>
      </c>
      <c r="G13505" s="1205"/>
      <c r="H13505" s="1055"/>
      <c r="I13505" s="1055"/>
      <c r="J13505" s="1055"/>
      <c r="K13505" s="1205"/>
      <c r="L13505" s="1055"/>
      <c r="M13505" s="1205"/>
      <c r="N13505" s="1054"/>
      <c r="O13505" s="1207"/>
      <c r="Q13505" s="1207"/>
    </row>
    <row r="13506" spans="3:17" s="700" customFormat="1" ht="70.5" hidden="1" customHeight="1">
      <c r="C13506" s="701"/>
      <c r="D13506" s="811"/>
      <c r="E13506" s="1276">
        <f>[11]building!Y13837</f>
        <v>0</v>
      </c>
      <c r="F13506" s="748">
        <f t="shared" si="450"/>
        <v>0</v>
      </c>
      <c r="G13506" s="1205"/>
      <c r="H13506" s="1055"/>
      <c r="I13506" s="1055"/>
      <c r="J13506" s="1055"/>
      <c r="K13506" s="1205"/>
      <c r="L13506" s="1055"/>
      <c r="M13506" s="1205"/>
      <c r="N13506" s="1054"/>
      <c r="O13506" s="1207"/>
      <c r="Q13506" s="1207"/>
    </row>
    <row r="13507" spans="3:17" s="700" customFormat="1" ht="70.5" hidden="1" customHeight="1">
      <c r="C13507" s="701"/>
      <c r="D13507" s="811"/>
      <c r="E13507" s="1276">
        <f>[11]building!Y13838</f>
        <v>0</v>
      </c>
      <c r="F13507" s="748">
        <f t="shared" si="450"/>
        <v>0</v>
      </c>
      <c r="G13507" s="1205"/>
      <c r="H13507" s="1055"/>
      <c r="I13507" s="1055"/>
      <c r="J13507" s="1055"/>
      <c r="K13507" s="1205"/>
      <c r="L13507" s="1055"/>
      <c r="M13507" s="1205"/>
      <c r="N13507" s="1054"/>
      <c r="O13507" s="1207"/>
      <c r="Q13507" s="1207"/>
    </row>
    <row r="13508" spans="3:17" s="700" customFormat="1" ht="70.5" hidden="1" customHeight="1">
      <c r="C13508" s="701"/>
      <c r="D13508" s="811"/>
      <c r="E13508" s="1276">
        <f>[11]building!Y13839</f>
        <v>0</v>
      </c>
      <c r="F13508" s="748">
        <f t="shared" si="450"/>
        <v>0</v>
      </c>
      <c r="G13508" s="1205"/>
      <c r="H13508" s="1055"/>
      <c r="I13508" s="1055"/>
      <c r="J13508" s="1055"/>
      <c r="K13508" s="1205"/>
      <c r="L13508" s="1055"/>
      <c r="M13508" s="1205"/>
      <c r="N13508" s="1054"/>
      <c r="O13508" s="1207"/>
      <c r="Q13508" s="1207"/>
    </row>
    <row r="13509" spans="3:17" s="700" customFormat="1" ht="70.5" hidden="1" customHeight="1">
      <c r="C13509" s="701"/>
      <c r="D13509" s="811"/>
      <c r="E13509" s="1276">
        <f>[11]building!Y13840</f>
        <v>0</v>
      </c>
      <c r="F13509" s="748">
        <f t="shared" si="450"/>
        <v>0</v>
      </c>
      <c r="G13509" s="1205"/>
      <c r="H13509" s="1055"/>
      <c r="I13509" s="1055"/>
      <c r="J13509" s="1055"/>
      <c r="K13509" s="1205"/>
      <c r="L13509" s="1055"/>
      <c r="M13509" s="1205"/>
      <c r="N13509" s="1054"/>
      <c r="O13509" s="1207"/>
      <c r="Q13509" s="1207"/>
    </row>
    <row r="13510" spans="3:17" s="700" customFormat="1" ht="70.5" hidden="1" customHeight="1">
      <c r="C13510" s="701"/>
      <c r="D13510" s="811"/>
      <c r="E13510" s="1276">
        <f>[11]building!Y13841</f>
        <v>0</v>
      </c>
      <c r="F13510" s="748">
        <f t="shared" si="450"/>
        <v>0</v>
      </c>
      <c r="G13510" s="1205"/>
      <c r="H13510" s="1055"/>
      <c r="I13510" s="1055"/>
      <c r="J13510" s="1055"/>
      <c r="K13510" s="1205"/>
      <c r="L13510" s="1055"/>
      <c r="M13510" s="1205"/>
      <c r="N13510" s="1054"/>
      <c r="O13510" s="1207"/>
      <c r="Q13510" s="1207"/>
    </row>
    <row r="13511" spans="3:17" s="700" customFormat="1" ht="70.5" hidden="1" customHeight="1">
      <c r="C13511" s="701"/>
      <c r="D13511" s="811"/>
      <c r="E13511" s="1276">
        <f>[11]building!Y13842</f>
        <v>0</v>
      </c>
      <c r="F13511" s="748">
        <f t="shared" si="450"/>
        <v>0</v>
      </c>
      <c r="G13511" s="1205"/>
      <c r="H13511" s="1055"/>
      <c r="I13511" s="1055"/>
      <c r="J13511" s="1055"/>
      <c r="K13511" s="1205"/>
      <c r="L13511" s="1055"/>
      <c r="M13511" s="1205"/>
      <c r="N13511" s="1054"/>
      <c r="O13511" s="1207"/>
      <c r="Q13511" s="1207"/>
    </row>
    <row r="13512" spans="3:17" s="700" customFormat="1" ht="70.5" hidden="1" customHeight="1">
      <c r="C13512" s="701"/>
      <c r="D13512" s="811"/>
      <c r="E13512" s="1276">
        <f>[11]building!Y13843</f>
        <v>0</v>
      </c>
      <c r="F13512" s="748">
        <f t="shared" si="450"/>
        <v>0</v>
      </c>
      <c r="G13512" s="1205"/>
      <c r="H13512" s="1055"/>
      <c r="I13512" s="1055"/>
      <c r="J13512" s="1055"/>
      <c r="K13512" s="1205"/>
      <c r="L13512" s="1055"/>
      <c r="M13512" s="1205"/>
      <c r="N13512" s="1054"/>
      <c r="O13512" s="1207"/>
      <c r="Q13512" s="1207"/>
    </row>
    <row r="13513" spans="3:17" s="700" customFormat="1" ht="70.5" hidden="1" customHeight="1">
      <c r="C13513" s="701"/>
      <c r="D13513" s="811"/>
      <c r="E13513" s="1276">
        <f>[11]building!Y13844</f>
        <v>0</v>
      </c>
      <c r="F13513" s="748">
        <f t="shared" si="450"/>
        <v>0</v>
      </c>
      <c r="G13513" s="1205"/>
      <c r="H13513" s="1055"/>
      <c r="I13513" s="1055"/>
      <c r="J13513" s="1055"/>
      <c r="K13513" s="1205"/>
      <c r="L13513" s="1055"/>
      <c r="M13513" s="1205"/>
      <c r="N13513" s="1054"/>
      <c r="O13513" s="1207"/>
      <c r="Q13513" s="1207"/>
    </row>
    <row r="13514" spans="3:17" s="700" customFormat="1" ht="70.5" hidden="1" customHeight="1">
      <c r="C13514" s="701"/>
      <c r="D13514" s="811"/>
      <c r="E13514" s="1276">
        <f>[11]building!Y13845</f>
        <v>0</v>
      </c>
      <c r="F13514" s="748">
        <f t="shared" si="450"/>
        <v>0</v>
      </c>
      <c r="G13514" s="1205"/>
      <c r="H13514" s="1055"/>
      <c r="I13514" s="1055"/>
      <c r="J13514" s="1055"/>
      <c r="K13514" s="1205"/>
      <c r="L13514" s="1055"/>
      <c r="M13514" s="1205"/>
      <c r="N13514" s="1054"/>
      <c r="O13514" s="1207"/>
      <c r="Q13514" s="1207"/>
    </row>
    <row r="13515" spans="3:17" s="700" customFormat="1" ht="70.5" hidden="1" customHeight="1">
      <c r="C13515" s="701"/>
      <c r="D13515" s="811"/>
      <c r="E13515" s="1276">
        <f>[11]building!Y13846</f>
        <v>0</v>
      </c>
      <c r="F13515" s="748">
        <f t="shared" si="450"/>
        <v>0</v>
      </c>
      <c r="G13515" s="1205"/>
      <c r="H13515" s="1055"/>
      <c r="I13515" s="1055"/>
      <c r="J13515" s="1055"/>
      <c r="K13515" s="1205"/>
      <c r="L13515" s="1055"/>
      <c r="M13515" s="1205"/>
      <c r="N13515" s="1054"/>
      <c r="O13515" s="1207"/>
      <c r="Q13515" s="1207"/>
    </row>
    <row r="13516" spans="3:17" s="700" customFormat="1" ht="70.5" hidden="1" customHeight="1">
      <c r="C13516" s="701"/>
      <c r="D13516" s="811"/>
      <c r="E13516" s="1276">
        <f>[11]building!Y13847</f>
        <v>0</v>
      </c>
      <c r="F13516" s="748">
        <f t="shared" si="450"/>
        <v>0</v>
      </c>
      <c r="G13516" s="1205"/>
      <c r="H13516" s="1055"/>
      <c r="I13516" s="1055"/>
      <c r="J13516" s="1055"/>
      <c r="K13516" s="1205"/>
      <c r="L13516" s="1055"/>
      <c r="M13516" s="1205"/>
      <c r="N13516" s="1054"/>
      <c r="O13516" s="1207"/>
      <c r="Q13516" s="1207"/>
    </row>
    <row r="13517" spans="3:17" s="700" customFormat="1" ht="70.5" hidden="1" customHeight="1">
      <c r="C13517" s="701"/>
      <c r="D13517" s="811"/>
      <c r="E13517" s="1276">
        <f>[11]building!Y13848</f>
        <v>0</v>
      </c>
      <c r="F13517" s="748">
        <f t="shared" si="450"/>
        <v>0</v>
      </c>
      <c r="G13517" s="1205"/>
      <c r="H13517" s="1055"/>
      <c r="I13517" s="1055"/>
      <c r="J13517" s="1055"/>
      <c r="K13517" s="1205"/>
      <c r="L13517" s="1055"/>
      <c r="M13517" s="1205"/>
      <c r="N13517" s="1054"/>
      <c r="O13517" s="1207"/>
      <c r="Q13517" s="1207"/>
    </row>
    <row r="13518" spans="3:17" s="700" customFormat="1" ht="70.5" hidden="1" customHeight="1">
      <c r="C13518" s="701"/>
      <c r="D13518" s="811"/>
      <c r="E13518" s="1276">
        <f>[11]building!Y13849</f>
        <v>0</v>
      </c>
      <c r="F13518" s="748">
        <f t="shared" si="450"/>
        <v>0</v>
      </c>
      <c r="G13518" s="1205"/>
      <c r="H13518" s="1055"/>
      <c r="I13518" s="1055"/>
      <c r="J13518" s="1055"/>
      <c r="K13518" s="1205"/>
      <c r="L13518" s="1055"/>
      <c r="M13518" s="1205"/>
      <c r="N13518" s="1054"/>
      <c r="O13518" s="1207"/>
      <c r="Q13518" s="1207"/>
    </row>
    <row r="13519" spans="3:17" s="700" customFormat="1" ht="70.5" hidden="1" customHeight="1">
      <c r="C13519" s="701"/>
      <c r="D13519" s="811"/>
      <c r="E13519" s="1276">
        <f>[11]building!Y13850</f>
        <v>0</v>
      </c>
      <c r="F13519" s="748">
        <f t="shared" si="450"/>
        <v>0</v>
      </c>
      <c r="G13519" s="1205"/>
      <c r="H13519" s="1055"/>
      <c r="I13519" s="1055"/>
      <c r="J13519" s="1055"/>
      <c r="K13519" s="1205"/>
      <c r="L13519" s="1055"/>
      <c r="M13519" s="1205"/>
      <c r="N13519" s="1054"/>
      <c r="O13519" s="1207"/>
      <c r="Q13519" s="1207"/>
    </row>
    <row r="13520" spans="3:17" s="700" customFormat="1" ht="70.5" hidden="1" customHeight="1">
      <c r="C13520" s="701"/>
      <c r="D13520" s="811"/>
      <c r="E13520" s="1276">
        <f>[11]building!Y13851</f>
        <v>0</v>
      </c>
      <c r="F13520" s="748">
        <f t="shared" si="450"/>
        <v>0</v>
      </c>
      <c r="G13520" s="1205"/>
      <c r="H13520" s="1055"/>
      <c r="I13520" s="1055"/>
      <c r="J13520" s="1055"/>
      <c r="K13520" s="1205"/>
      <c r="L13520" s="1055"/>
      <c r="M13520" s="1205"/>
      <c r="N13520" s="1054"/>
      <c r="O13520" s="1207"/>
      <c r="Q13520" s="1207"/>
    </row>
    <row r="13521" spans="3:17" s="700" customFormat="1" ht="70.5" hidden="1" customHeight="1">
      <c r="C13521" s="701"/>
      <c r="D13521" s="811"/>
      <c r="E13521" s="1276">
        <f>[11]building!Y13852</f>
        <v>0</v>
      </c>
      <c r="F13521" s="748">
        <f t="shared" si="450"/>
        <v>0</v>
      </c>
      <c r="G13521" s="1205"/>
      <c r="H13521" s="1055"/>
      <c r="I13521" s="1055"/>
      <c r="J13521" s="1055"/>
      <c r="K13521" s="1205"/>
      <c r="L13521" s="1055"/>
      <c r="M13521" s="1205"/>
      <c r="N13521" s="1054"/>
      <c r="O13521" s="1207"/>
      <c r="Q13521" s="1207"/>
    </row>
    <row r="13522" spans="3:17" s="700" customFormat="1" ht="70.5" hidden="1" customHeight="1">
      <c r="C13522" s="701"/>
      <c r="D13522" s="811"/>
      <c r="E13522" s="1276">
        <f>[11]building!Y13853</f>
        <v>0</v>
      </c>
      <c r="F13522" s="748">
        <f t="shared" si="450"/>
        <v>0</v>
      </c>
      <c r="G13522" s="1205"/>
      <c r="H13522" s="1055"/>
      <c r="I13522" s="1055"/>
      <c r="J13522" s="1055"/>
      <c r="K13522" s="1205"/>
      <c r="L13522" s="1055"/>
      <c r="M13522" s="1205"/>
      <c r="N13522" s="1054"/>
      <c r="O13522" s="1207"/>
      <c r="Q13522" s="1207"/>
    </row>
    <row r="13523" spans="3:17" s="700" customFormat="1" ht="70.5" hidden="1" customHeight="1">
      <c r="C13523" s="701"/>
      <c r="D13523" s="811"/>
      <c r="E13523" s="1276">
        <f>[11]building!Y13854</f>
        <v>0</v>
      </c>
      <c r="F13523" s="748">
        <f t="shared" si="450"/>
        <v>0</v>
      </c>
      <c r="G13523" s="1205"/>
      <c r="H13523" s="1055"/>
      <c r="I13523" s="1055"/>
      <c r="J13523" s="1055"/>
      <c r="K13523" s="1205"/>
      <c r="L13523" s="1055"/>
      <c r="M13523" s="1205"/>
      <c r="N13523" s="1054"/>
      <c r="O13523" s="1207"/>
      <c r="Q13523" s="1207"/>
    </row>
    <row r="13524" spans="3:17" s="700" customFormat="1" ht="70.5" hidden="1" customHeight="1">
      <c r="C13524" s="701"/>
      <c r="D13524" s="811"/>
      <c r="E13524" s="1276">
        <f>[11]building!Y13855</f>
        <v>0</v>
      </c>
      <c r="F13524" s="748">
        <f t="shared" si="450"/>
        <v>0</v>
      </c>
      <c r="G13524" s="1205"/>
      <c r="H13524" s="1055"/>
      <c r="I13524" s="1055"/>
      <c r="J13524" s="1055"/>
      <c r="K13524" s="1205"/>
      <c r="L13524" s="1055"/>
      <c r="M13524" s="1205"/>
      <c r="N13524" s="1054"/>
      <c r="O13524" s="1207"/>
      <c r="Q13524" s="1207"/>
    </row>
    <row r="13525" spans="3:17" s="700" customFormat="1" ht="70.5" hidden="1" customHeight="1">
      <c r="C13525" s="701"/>
      <c r="D13525" s="811"/>
      <c r="E13525" s="1276">
        <f>[11]building!Y13856</f>
        <v>0</v>
      </c>
      <c r="F13525" s="748">
        <f t="shared" si="450"/>
        <v>0</v>
      </c>
      <c r="G13525" s="1205"/>
      <c r="H13525" s="1055"/>
      <c r="I13525" s="1055"/>
      <c r="J13525" s="1055"/>
      <c r="K13525" s="1205"/>
      <c r="L13525" s="1055"/>
      <c r="M13525" s="1205"/>
      <c r="N13525" s="1054"/>
      <c r="O13525" s="1207"/>
      <c r="Q13525" s="1207"/>
    </row>
    <row r="13526" spans="3:17" s="700" customFormat="1" ht="70.5" hidden="1" customHeight="1">
      <c r="C13526" s="701"/>
      <c r="D13526" s="811"/>
      <c r="E13526" s="1276">
        <f>[11]building!Y13857</f>
        <v>0</v>
      </c>
      <c r="F13526" s="748">
        <f t="shared" si="450"/>
        <v>0</v>
      </c>
      <c r="G13526" s="1205"/>
      <c r="H13526" s="1055"/>
      <c r="I13526" s="1055"/>
      <c r="J13526" s="1055"/>
      <c r="K13526" s="1205"/>
      <c r="L13526" s="1055"/>
      <c r="M13526" s="1205"/>
      <c r="N13526" s="1054"/>
      <c r="O13526" s="1207"/>
      <c r="Q13526" s="1207"/>
    </row>
    <row r="13527" spans="3:17" s="700" customFormat="1" ht="70.5" hidden="1" customHeight="1">
      <c r="C13527" s="701"/>
      <c r="D13527" s="811"/>
      <c r="E13527" s="1276">
        <f>[11]building!Y13858</f>
        <v>0</v>
      </c>
      <c r="F13527" s="748">
        <f t="shared" si="450"/>
        <v>0</v>
      </c>
      <c r="G13527" s="1205"/>
      <c r="H13527" s="1055"/>
      <c r="I13527" s="1055"/>
      <c r="J13527" s="1055"/>
      <c r="K13527" s="1205"/>
      <c r="L13527" s="1055"/>
      <c r="M13527" s="1205"/>
      <c r="N13527" s="1054"/>
      <c r="O13527" s="1207"/>
      <c r="Q13527" s="1207"/>
    </row>
    <row r="13528" spans="3:17" s="700" customFormat="1" ht="70.5" hidden="1" customHeight="1">
      <c r="C13528" s="701"/>
      <c r="D13528" s="811"/>
      <c r="E13528" s="1276">
        <f>[11]building!Y13859</f>
        <v>0</v>
      </c>
      <c r="F13528" s="748">
        <f t="shared" si="450"/>
        <v>0</v>
      </c>
      <c r="G13528" s="1205"/>
      <c r="H13528" s="1055"/>
      <c r="I13528" s="1055"/>
      <c r="J13528" s="1055"/>
      <c r="K13528" s="1205"/>
      <c r="L13528" s="1055"/>
      <c r="M13528" s="1205"/>
      <c r="N13528" s="1054"/>
      <c r="O13528" s="1207"/>
      <c r="Q13528" s="1207"/>
    </row>
    <row r="13529" spans="3:17" s="700" customFormat="1" ht="70.5" hidden="1" customHeight="1">
      <c r="C13529" s="701"/>
      <c r="D13529" s="811"/>
      <c r="E13529" s="1276">
        <f>[11]building!Y13860</f>
        <v>0</v>
      </c>
      <c r="F13529" s="748">
        <f t="shared" si="450"/>
        <v>0</v>
      </c>
      <c r="G13529" s="1205"/>
      <c r="H13529" s="1055"/>
      <c r="I13529" s="1055"/>
      <c r="J13529" s="1055"/>
      <c r="K13529" s="1205"/>
      <c r="L13529" s="1055"/>
      <c r="M13529" s="1205"/>
      <c r="N13529" s="1054"/>
      <c r="O13529" s="1207"/>
      <c r="Q13529" s="1207"/>
    </row>
    <row r="13530" spans="3:17" s="700" customFormat="1" ht="70.5" hidden="1" customHeight="1">
      <c r="C13530" s="701"/>
      <c r="D13530" s="811"/>
      <c r="E13530" s="1276">
        <f>[11]building!Y13861</f>
        <v>0</v>
      </c>
      <c r="F13530" s="748">
        <f t="shared" si="450"/>
        <v>0</v>
      </c>
      <c r="G13530" s="1205"/>
      <c r="H13530" s="1055"/>
      <c r="I13530" s="1055"/>
      <c r="J13530" s="1055"/>
      <c r="K13530" s="1205"/>
      <c r="L13530" s="1055"/>
      <c r="M13530" s="1205"/>
      <c r="N13530" s="1054"/>
      <c r="O13530" s="1207"/>
      <c r="Q13530" s="1207"/>
    </row>
    <row r="13531" spans="3:17" s="700" customFormat="1" ht="70.5" hidden="1" customHeight="1">
      <c r="C13531" s="701"/>
      <c r="D13531" s="811"/>
      <c r="E13531" s="1276">
        <f>[11]building!Y13862</f>
        <v>0</v>
      </c>
      <c r="F13531" s="748">
        <f t="shared" si="450"/>
        <v>0</v>
      </c>
      <c r="G13531" s="1205"/>
      <c r="H13531" s="1055"/>
      <c r="I13531" s="1055"/>
      <c r="J13531" s="1055"/>
      <c r="K13531" s="1205"/>
      <c r="L13531" s="1055"/>
      <c r="M13531" s="1205"/>
      <c r="N13531" s="1054"/>
      <c r="O13531" s="1207"/>
      <c r="Q13531" s="1207"/>
    </row>
    <row r="13532" spans="3:17" s="700" customFormat="1" ht="70.5" hidden="1" customHeight="1">
      <c r="C13532" s="701"/>
      <c r="D13532" s="811"/>
      <c r="E13532" s="1276">
        <f>[11]building!Y13863</f>
        <v>0</v>
      </c>
      <c r="F13532" s="748">
        <f t="shared" si="450"/>
        <v>0</v>
      </c>
      <c r="G13532" s="1205"/>
      <c r="H13532" s="1055"/>
      <c r="I13532" s="1055"/>
      <c r="J13532" s="1055"/>
      <c r="K13532" s="1205"/>
      <c r="L13532" s="1055"/>
      <c r="M13532" s="1205"/>
      <c r="N13532" s="1054"/>
      <c r="O13532" s="1207"/>
      <c r="Q13532" s="1207"/>
    </row>
    <row r="13533" spans="3:17" s="700" customFormat="1" ht="70.5" hidden="1" customHeight="1">
      <c r="C13533" s="701"/>
      <c r="D13533" s="811"/>
      <c r="E13533" s="1276">
        <f>[11]building!Y13864</f>
        <v>0</v>
      </c>
      <c r="F13533" s="748">
        <f t="shared" si="450"/>
        <v>0</v>
      </c>
      <c r="G13533" s="1205"/>
      <c r="H13533" s="1055"/>
      <c r="I13533" s="1055"/>
      <c r="J13533" s="1055"/>
      <c r="K13533" s="1205"/>
      <c r="L13533" s="1055"/>
      <c r="M13533" s="1205"/>
      <c r="N13533" s="1054"/>
      <c r="O13533" s="1207"/>
      <c r="Q13533" s="1207"/>
    </row>
    <row r="13534" spans="3:17" s="700" customFormat="1" ht="70.5" hidden="1" customHeight="1">
      <c r="C13534" s="701"/>
      <c r="D13534" s="811"/>
      <c r="E13534" s="1276">
        <f>[11]building!Y13865</f>
        <v>0</v>
      </c>
      <c r="F13534" s="748">
        <f t="shared" si="450"/>
        <v>0</v>
      </c>
      <c r="G13534" s="1205"/>
      <c r="H13534" s="1055"/>
      <c r="I13534" s="1055"/>
      <c r="J13534" s="1055"/>
      <c r="K13534" s="1205"/>
      <c r="L13534" s="1055"/>
      <c r="M13534" s="1205"/>
      <c r="N13534" s="1054"/>
      <c r="O13534" s="1207"/>
      <c r="Q13534" s="1207"/>
    </row>
    <row r="13535" spans="3:17" s="700" customFormat="1" ht="70.5" hidden="1" customHeight="1">
      <c r="C13535" s="701"/>
      <c r="D13535" s="811"/>
      <c r="E13535" s="1276">
        <f>[11]building!Y13866</f>
        <v>0</v>
      </c>
      <c r="F13535" s="748">
        <f t="shared" si="450"/>
        <v>0</v>
      </c>
      <c r="G13535" s="1205"/>
      <c r="H13535" s="1055"/>
      <c r="I13535" s="1055"/>
      <c r="J13535" s="1055"/>
      <c r="K13535" s="1205"/>
      <c r="L13535" s="1055"/>
      <c r="M13535" s="1205"/>
      <c r="N13535" s="1054"/>
      <c r="O13535" s="1207"/>
      <c r="Q13535" s="1207"/>
    </row>
    <row r="13536" spans="3:17" s="700" customFormat="1" ht="70.5" hidden="1" customHeight="1">
      <c r="C13536" s="701"/>
      <c r="D13536" s="811"/>
      <c r="E13536" s="1276">
        <f>[11]building!Y13867</f>
        <v>0</v>
      </c>
      <c r="F13536" s="748">
        <f t="shared" si="450"/>
        <v>0</v>
      </c>
      <c r="G13536" s="1205"/>
      <c r="H13536" s="1055"/>
      <c r="I13536" s="1055"/>
      <c r="J13536" s="1055"/>
      <c r="K13536" s="1205"/>
      <c r="L13536" s="1055"/>
      <c r="M13536" s="1205"/>
      <c r="N13536" s="1054"/>
      <c r="O13536" s="1207"/>
      <c r="Q13536" s="1207"/>
    </row>
    <row r="13537" spans="3:17" s="700" customFormat="1" ht="70.5" hidden="1" customHeight="1">
      <c r="C13537" s="701"/>
      <c r="D13537" s="811"/>
      <c r="E13537" s="1276">
        <f>[11]building!Y13868</f>
        <v>0</v>
      </c>
      <c r="F13537" s="748">
        <f t="shared" si="450"/>
        <v>0</v>
      </c>
      <c r="G13537" s="1205"/>
      <c r="H13537" s="1055"/>
      <c r="I13537" s="1055"/>
      <c r="J13537" s="1055"/>
      <c r="K13537" s="1205"/>
      <c r="L13537" s="1055"/>
      <c r="M13537" s="1205"/>
      <c r="N13537" s="1054"/>
      <c r="O13537" s="1207"/>
      <c r="Q13537" s="1207"/>
    </row>
    <row r="13538" spans="3:17" s="700" customFormat="1" ht="70.5" hidden="1" customHeight="1">
      <c r="C13538" s="701"/>
      <c r="D13538" s="811"/>
      <c r="E13538" s="1276">
        <f>[11]building!Y13869</f>
        <v>0</v>
      </c>
      <c r="F13538" s="748">
        <f t="shared" si="450"/>
        <v>0</v>
      </c>
      <c r="G13538" s="1205"/>
      <c r="H13538" s="1055"/>
      <c r="I13538" s="1055"/>
      <c r="J13538" s="1055"/>
      <c r="K13538" s="1205"/>
      <c r="L13538" s="1055"/>
      <c r="M13538" s="1205"/>
      <c r="N13538" s="1054"/>
      <c r="O13538" s="1207"/>
      <c r="Q13538" s="1207"/>
    </row>
    <row r="13539" spans="3:17" s="700" customFormat="1" ht="70.5" hidden="1" customHeight="1">
      <c r="C13539" s="701"/>
      <c r="D13539" s="811"/>
      <c r="E13539" s="1276">
        <f>[11]building!Y13870</f>
        <v>0</v>
      </c>
      <c r="F13539" s="748">
        <f t="shared" si="450"/>
        <v>0</v>
      </c>
      <c r="G13539" s="1205"/>
      <c r="H13539" s="1055"/>
      <c r="I13539" s="1055"/>
      <c r="J13539" s="1055"/>
      <c r="K13539" s="1205"/>
      <c r="L13539" s="1055"/>
      <c r="M13539" s="1205"/>
      <c r="N13539" s="1054"/>
      <c r="O13539" s="1207"/>
      <c r="Q13539" s="1207"/>
    </row>
    <row r="13540" spans="3:17" s="700" customFormat="1" ht="70.5" hidden="1" customHeight="1">
      <c r="C13540" s="701"/>
      <c r="D13540" s="811"/>
      <c r="E13540" s="1276">
        <f>[11]building!Y13871</f>
        <v>0</v>
      </c>
      <c r="F13540" s="748">
        <f t="shared" si="450"/>
        <v>0</v>
      </c>
      <c r="G13540" s="1205"/>
      <c r="H13540" s="1055"/>
      <c r="I13540" s="1055"/>
      <c r="J13540" s="1055"/>
      <c r="K13540" s="1205"/>
      <c r="L13540" s="1055"/>
      <c r="M13540" s="1205"/>
      <c r="N13540" s="1054"/>
      <c r="O13540" s="1207"/>
      <c r="Q13540" s="1207"/>
    </row>
    <row r="13541" spans="3:17" s="700" customFormat="1" ht="70.5" hidden="1" customHeight="1">
      <c r="C13541" s="701"/>
      <c r="D13541" s="811"/>
      <c r="E13541" s="1276">
        <f>[11]building!Y13872</f>
        <v>0</v>
      </c>
      <c r="F13541" s="748">
        <f t="shared" si="450"/>
        <v>0</v>
      </c>
      <c r="G13541" s="1205"/>
      <c r="H13541" s="1055"/>
      <c r="I13541" s="1055"/>
      <c r="J13541" s="1055"/>
      <c r="K13541" s="1205"/>
      <c r="L13541" s="1055"/>
      <c r="M13541" s="1205"/>
      <c r="N13541" s="1054"/>
      <c r="O13541" s="1207"/>
      <c r="Q13541" s="1207"/>
    </row>
    <row r="13542" spans="3:17" s="700" customFormat="1" ht="70.5" hidden="1" customHeight="1">
      <c r="C13542" s="701"/>
      <c r="D13542" s="811"/>
      <c r="E13542" s="1276">
        <f>[11]building!Y13873</f>
        <v>0</v>
      </c>
      <c r="F13542" s="748">
        <f t="shared" si="450"/>
        <v>0</v>
      </c>
      <c r="G13542" s="1205"/>
      <c r="H13542" s="1055"/>
      <c r="I13542" s="1055"/>
      <c r="J13542" s="1055"/>
      <c r="K13542" s="1205"/>
      <c r="L13542" s="1055"/>
      <c r="M13542" s="1205"/>
      <c r="N13542" s="1054"/>
      <c r="O13542" s="1207"/>
      <c r="Q13542" s="1207"/>
    </row>
    <row r="13543" spans="3:17" s="700" customFormat="1" ht="70.5" hidden="1" customHeight="1">
      <c r="C13543" s="701"/>
      <c r="D13543" s="811"/>
      <c r="E13543" s="1276">
        <f>[11]building!Y13874</f>
        <v>0</v>
      </c>
      <c r="F13543" s="748">
        <f t="shared" si="450"/>
        <v>0</v>
      </c>
      <c r="G13543" s="1205"/>
      <c r="H13543" s="1055"/>
      <c r="I13543" s="1055"/>
      <c r="J13543" s="1055"/>
      <c r="K13543" s="1205"/>
      <c r="L13543" s="1055"/>
      <c r="M13543" s="1205"/>
      <c r="N13543" s="1054"/>
      <c r="O13543" s="1207"/>
      <c r="Q13543" s="1207"/>
    </row>
    <row r="13544" spans="3:17" s="700" customFormat="1" ht="70.5" hidden="1" customHeight="1">
      <c r="C13544" s="701"/>
      <c r="D13544" s="811"/>
      <c r="E13544" s="1276">
        <f>[11]building!Y13875</f>
        <v>0</v>
      </c>
      <c r="F13544" s="748">
        <f t="shared" si="450"/>
        <v>0</v>
      </c>
      <c r="G13544" s="1205"/>
      <c r="H13544" s="1055"/>
      <c r="I13544" s="1055"/>
      <c r="J13544" s="1055"/>
      <c r="K13544" s="1205"/>
      <c r="L13544" s="1055"/>
      <c r="M13544" s="1205"/>
      <c r="N13544" s="1054"/>
      <c r="O13544" s="1207"/>
      <c r="Q13544" s="1207"/>
    </row>
    <row r="13545" spans="3:17" s="700" customFormat="1" ht="70.5" hidden="1" customHeight="1">
      <c r="C13545" s="701"/>
      <c r="D13545" s="811"/>
      <c r="E13545" s="1276">
        <f>[11]building!Y13876</f>
        <v>0</v>
      </c>
      <c r="F13545" s="748">
        <f t="shared" si="450"/>
        <v>0</v>
      </c>
      <c r="G13545" s="1205"/>
      <c r="H13545" s="1055"/>
      <c r="I13545" s="1055"/>
      <c r="J13545" s="1055"/>
      <c r="K13545" s="1205"/>
      <c r="L13545" s="1055"/>
      <c r="M13545" s="1205"/>
      <c r="N13545" s="1054"/>
      <c r="O13545" s="1207"/>
      <c r="Q13545" s="1207"/>
    </row>
    <row r="13546" spans="3:17" s="700" customFormat="1" ht="70.5" hidden="1" customHeight="1">
      <c r="C13546" s="701"/>
      <c r="D13546" s="811"/>
      <c r="E13546" s="1276">
        <f>[11]building!Y13877</f>
        <v>0</v>
      </c>
      <c r="F13546" s="748">
        <f t="shared" si="450"/>
        <v>0</v>
      </c>
      <c r="G13546" s="1205"/>
      <c r="H13546" s="1055"/>
      <c r="I13546" s="1055"/>
      <c r="J13546" s="1055"/>
      <c r="K13546" s="1205"/>
      <c r="L13546" s="1055"/>
      <c r="M13546" s="1205"/>
      <c r="N13546" s="1054"/>
      <c r="O13546" s="1207"/>
      <c r="Q13546" s="1207"/>
    </row>
    <row r="13547" spans="3:17" s="700" customFormat="1" ht="70.5" hidden="1" customHeight="1">
      <c r="C13547" s="701"/>
      <c r="D13547" s="811"/>
      <c r="E13547" s="1276">
        <f>[11]building!Y13878</f>
        <v>0</v>
      </c>
      <c r="F13547" s="748">
        <f t="shared" si="450"/>
        <v>0</v>
      </c>
      <c r="G13547" s="1205"/>
      <c r="H13547" s="1055"/>
      <c r="I13547" s="1055"/>
      <c r="J13547" s="1055"/>
      <c r="K13547" s="1205"/>
      <c r="L13547" s="1055"/>
      <c r="M13547" s="1205"/>
      <c r="N13547" s="1054"/>
      <c r="O13547" s="1207"/>
      <c r="Q13547" s="1207"/>
    </row>
    <row r="13548" spans="3:17" s="700" customFormat="1" ht="70.5" hidden="1" customHeight="1">
      <c r="C13548" s="701"/>
      <c r="D13548" s="811"/>
      <c r="E13548" s="1276">
        <f>[11]building!Y13879</f>
        <v>0</v>
      </c>
      <c r="F13548" s="748">
        <f t="shared" si="450"/>
        <v>0</v>
      </c>
      <c r="G13548" s="1205"/>
      <c r="H13548" s="1055"/>
      <c r="I13548" s="1055"/>
      <c r="J13548" s="1055"/>
      <c r="K13548" s="1205"/>
      <c r="L13548" s="1055"/>
      <c r="M13548" s="1205"/>
      <c r="N13548" s="1054"/>
      <c r="O13548" s="1207"/>
      <c r="Q13548" s="1207"/>
    </row>
    <row r="13549" spans="3:17" s="700" customFormat="1" ht="70.5" hidden="1" customHeight="1">
      <c r="C13549" s="701"/>
      <c r="D13549" s="811"/>
      <c r="E13549" s="1276">
        <f>[11]building!Y13880</f>
        <v>0</v>
      </c>
      <c r="F13549" s="748">
        <f t="shared" si="450"/>
        <v>0</v>
      </c>
      <c r="G13549" s="1205"/>
      <c r="H13549" s="1055"/>
      <c r="I13549" s="1055"/>
      <c r="J13549" s="1055"/>
      <c r="K13549" s="1205"/>
      <c r="L13549" s="1055"/>
      <c r="M13549" s="1205"/>
      <c r="N13549" s="1054"/>
      <c r="O13549" s="1207"/>
      <c r="Q13549" s="1207"/>
    </row>
    <row r="13550" spans="3:17" s="700" customFormat="1" ht="70.5" hidden="1" customHeight="1">
      <c r="C13550" s="701"/>
      <c r="D13550" s="811"/>
      <c r="E13550" s="1276">
        <f>[11]building!Y13881</f>
        <v>0</v>
      </c>
      <c r="F13550" s="748">
        <f t="shared" si="450"/>
        <v>0</v>
      </c>
      <c r="G13550" s="1205"/>
      <c r="H13550" s="1055"/>
      <c r="I13550" s="1055"/>
      <c r="J13550" s="1055"/>
      <c r="K13550" s="1205"/>
      <c r="L13550" s="1055"/>
      <c r="M13550" s="1205"/>
      <c r="N13550" s="1054"/>
      <c r="O13550" s="1207"/>
      <c r="Q13550" s="1207"/>
    </row>
    <row r="13551" spans="3:17" s="700" customFormat="1" ht="70.5" hidden="1" customHeight="1">
      <c r="C13551" s="701"/>
      <c r="D13551" s="811"/>
      <c r="E13551" s="1276">
        <f>[11]building!Y13882</f>
        <v>0</v>
      </c>
      <c r="F13551" s="748">
        <f t="shared" si="450"/>
        <v>0</v>
      </c>
      <c r="G13551" s="1205"/>
      <c r="H13551" s="1055"/>
      <c r="I13551" s="1055"/>
      <c r="J13551" s="1055"/>
      <c r="K13551" s="1205"/>
      <c r="L13551" s="1055"/>
      <c r="M13551" s="1205"/>
      <c r="N13551" s="1054"/>
      <c r="O13551" s="1207"/>
      <c r="Q13551" s="1207"/>
    </row>
    <row r="13552" spans="3:17" s="700" customFormat="1" ht="70.5" hidden="1" customHeight="1">
      <c r="C13552" s="701"/>
      <c r="D13552" s="811"/>
      <c r="E13552" s="1276">
        <f>[11]building!Y13883</f>
        <v>0</v>
      </c>
      <c r="F13552" s="748">
        <f t="shared" si="450"/>
        <v>0</v>
      </c>
      <c r="G13552" s="1205"/>
      <c r="H13552" s="1055"/>
      <c r="I13552" s="1055"/>
      <c r="J13552" s="1055"/>
      <c r="K13552" s="1205"/>
      <c r="L13552" s="1055"/>
      <c r="M13552" s="1205"/>
      <c r="N13552" s="1054"/>
      <c r="O13552" s="1207"/>
      <c r="Q13552" s="1207"/>
    </row>
    <row r="13553" spans="3:17" s="700" customFormat="1" ht="70.5" hidden="1" customHeight="1">
      <c r="C13553" s="701"/>
      <c r="D13553" s="811"/>
      <c r="E13553" s="1276">
        <f>[11]building!Y13884</f>
        <v>0</v>
      </c>
      <c r="F13553" s="748">
        <f t="shared" si="450"/>
        <v>0</v>
      </c>
      <c r="G13553" s="1205"/>
      <c r="H13553" s="1055"/>
      <c r="I13553" s="1055"/>
      <c r="J13553" s="1055"/>
      <c r="K13553" s="1205"/>
      <c r="L13553" s="1055"/>
      <c r="M13553" s="1205"/>
      <c r="N13553" s="1054"/>
      <c r="O13553" s="1207"/>
      <c r="Q13553" s="1207"/>
    </row>
    <row r="13554" spans="3:17" s="700" customFormat="1" ht="70.5" hidden="1" customHeight="1">
      <c r="C13554" s="701"/>
      <c r="D13554" s="811"/>
      <c r="E13554" s="1276">
        <f>[11]building!Y13885</f>
        <v>0</v>
      </c>
      <c r="F13554" s="748">
        <f t="shared" si="450"/>
        <v>0</v>
      </c>
      <c r="G13554" s="1205"/>
      <c r="H13554" s="1055"/>
      <c r="I13554" s="1055"/>
      <c r="J13554" s="1055"/>
      <c r="K13554" s="1205"/>
      <c r="L13554" s="1055"/>
      <c r="M13554" s="1205"/>
      <c r="N13554" s="1054"/>
      <c r="O13554" s="1207"/>
      <c r="Q13554" s="1207"/>
    </row>
    <row r="13555" spans="3:17" s="700" customFormat="1" ht="70.5" hidden="1" customHeight="1">
      <c r="C13555" s="701"/>
      <c r="D13555" s="811"/>
      <c r="E13555" s="1276">
        <f>[11]building!Y13886</f>
        <v>0</v>
      </c>
      <c r="F13555" s="748">
        <f t="shared" si="450"/>
        <v>0</v>
      </c>
      <c r="G13555" s="1205"/>
      <c r="H13555" s="1055"/>
      <c r="I13555" s="1055"/>
      <c r="J13555" s="1055"/>
      <c r="K13555" s="1205"/>
      <c r="L13555" s="1055"/>
      <c r="M13555" s="1205"/>
      <c r="N13555" s="1054"/>
      <c r="O13555" s="1207"/>
      <c r="Q13555" s="1207"/>
    </row>
    <row r="13556" spans="3:17" s="700" customFormat="1" ht="70.5" hidden="1" customHeight="1">
      <c r="C13556" s="701"/>
      <c r="D13556" s="811"/>
      <c r="E13556" s="1276">
        <f>[11]building!Y13887</f>
        <v>0</v>
      </c>
      <c r="F13556" s="748">
        <f t="shared" si="450"/>
        <v>0</v>
      </c>
      <c r="G13556" s="1205"/>
      <c r="H13556" s="1055"/>
      <c r="I13556" s="1055"/>
      <c r="J13556" s="1055"/>
      <c r="K13556" s="1205"/>
      <c r="L13556" s="1055"/>
      <c r="M13556" s="1205"/>
      <c r="N13556" s="1054"/>
      <c r="O13556" s="1207"/>
      <c r="Q13556" s="1207"/>
    </row>
    <row r="13557" spans="3:17" s="700" customFormat="1" ht="70.5" hidden="1" customHeight="1">
      <c r="C13557" s="701"/>
      <c r="D13557" s="811"/>
      <c r="E13557" s="1276">
        <f>[11]building!Y13888</f>
        <v>0</v>
      </c>
      <c r="F13557" s="748">
        <f t="shared" si="450"/>
        <v>0</v>
      </c>
      <c r="G13557" s="1205"/>
      <c r="H13557" s="1055"/>
      <c r="I13557" s="1055"/>
      <c r="J13557" s="1055"/>
      <c r="K13557" s="1205"/>
      <c r="L13557" s="1055"/>
      <c r="M13557" s="1205"/>
      <c r="N13557" s="1054"/>
      <c r="O13557" s="1207"/>
      <c r="Q13557" s="1207"/>
    </row>
    <row r="13558" spans="3:17" s="700" customFormat="1" ht="70.5" hidden="1" customHeight="1">
      <c r="C13558" s="701"/>
      <c r="D13558" s="811"/>
      <c r="E13558" s="1276">
        <f>[11]building!Y13889</f>
        <v>0</v>
      </c>
      <c r="F13558" s="748">
        <f t="shared" si="450"/>
        <v>0</v>
      </c>
      <c r="G13558" s="1205"/>
      <c r="H13558" s="1055"/>
      <c r="I13558" s="1055"/>
      <c r="J13558" s="1055"/>
      <c r="K13558" s="1205"/>
      <c r="L13558" s="1055"/>
      <c r="M13558" s="1205"/>
      <c r="N13558" s="1054"/>
      <c r="O13558" s="1207"/>
      <c r="Q13558" s="1207"/>
    </row>
    <row r="13559" spans="3:17" s="700" customFormat="1" ht="70.5" hidden="1" customHeight="1">
      <c r="C13559" s="701"/>
      <c r="D13559" s="811"/>
      <c r="E13559" s="1276">
        <f>[11]building!Y13890</f>
        <v>0</v>
      </c>
      <c r="F13559" s="748">
        <f t="shared" si="450"/>
        <v>0</v>
      </c>
      <c r="G13559" s="1205"/>
      <c r="H13559" s="1055"/>
      <c r="I13559" s="1055"/>
      <c r="J13559" s="1055"/>
      <c r="K13559" s="1205"/>
      <c r="L13559" s="1055"/>
      <c r="M13559" s="1205"/>
      <c r="N13559" s="1054"/>
      <c r="O13559" s="1207"/>
      <c r="Q13559" s="1207"/>
    </row>
    <row r="13560" spans="3:17" s="700" customFormat="1" ht="70.5" hidden="1" customHeight="1">
      <c r="C13560" s="701"/>
      <c r="D13560" s="811"/>
      <c r="E13560" s="1276">
        <f>[11]building!Y13891</f>
        <v>0</v>
      </c>
      <c r="F13560" s="748">
        <f t="shared" si="450"/>
        <v>0</v>
      </c>
      <c r="G13560" s="1205"/>
      <c r="H13560" s="1055"/>
      <c r="I13560" s="1055"/>
      <c r="J13560" s="1055"/>
      <c r="K13560" s="1205"/>
      <c r="L13560" s="1055"/>
      <c r="M13560" s="1205"/>
      <c r="N13560" s="1054"/>
      <c r="O13560" s="1207"/>
      <c r="Q13560" s="1207"/>
    </row>
    <row r="13561" spans="3:17" s="700" customFormat="1" ht="70.5" hidden="1" customHeight="1">
      <c r="C13561" s="701"/>
      <c r="D13561" s="811"/>
      <c r="E13561" s="1276">
        <f>[11]building!Y13892</f>
        <v>0</v>
      </c>
      <c r="F13561" s="748">
        <f t="shared" si="450"/>
        <v>0</v>
      </c>
      <c r="G13561" s="1205"/>
      <c r="H13561" s="1055"/>
      <c r="I13561" s="1055"/>
      <c r="J13561" s="1055"/>
      <c r="K13561" s="1205"/>
      <c r="L13561" s="1055"/>
      <c r="M13561" s="1205"/>
      <c r="N13561" s="1054"/>
      <c r="O13561" s="1207"/>
      <c r="Q13561" s="1207"/>
    </row>
    <row r="13562" spans="3:17" s="700" customFormat="1" ht="70.5" hidden="1" customHeight="1">
      <c r="C13562" s="701"/>
      <c r="D13562" s="811"/>
      <c r="E13562" s="1276">
        <f>[11]building!Y13893</f>
        <v>0</v>
      </c>
      <c r="F13562" s="748">
        <f t="shared" si="450"/>
        <v>0</v>
      </c>
      <c r="G13562" s="1205"/>
      <c r="H13562" s="1055"/>
      <c r="I13562" s="1055"/>
      <c r="J13562" s="1055"/>
      <c r="K13562" s="1205"/>
      <c r="L13562" s="1055"/>
      <c r="M13562" s="1205"/>
      <c r="N13562" s="1054"/>
      <c r="O13562" s="1207"/>
      <c r="Q13562" s="1207"/>
    </row>
    <row r="13563" spans="3:17" s="700" customFormat="1" ht="70.5" hidden="1" customHeight="1">
      <c r="C13563" s="701"/>
      <c r="D13563" s="811"/>
      <c r="E13563" s="1276">
        <f>[11]building!Y13894</f>
        <v>0</v>
      </c>
      <c r="F13563" s="748">
        <f t="shared" si="450"/>
        <v>0</v>
      </c>
      <c r="G13563" s="1205"/>
      <c r="H13563" s="1055"/>
      <c r="I13563" s="1055"/>
      <c r="J13563" s="1055"/>
      <c r="K13563" s="1205"/>
      <c r="L13563" s="1055"/>
      <c r="M13563" s="1205"/>
      <c r="N13563" s="1054"/>
      <c r="O13563" s="1207"/>
      <c r="Q13563" s="1207"/>
    </row>
    <row r="13564" spans="3:17" s="700" customFormat="1" ht="70.5" hidden="1" customHeight="1">
      <c r="C13564" s="701"/>
      <c r="D13564" s="811"/>
      <c r="E13564" s="1276">
        <f>[11]building!Y13895</f>
        <v>0</v>
      </c>
      <c r="F13564" s="748">
        <f t="shared" si="450"/>
        <v>0</v>
      </c>
      <c r="G13564" s="1205"/>
      <c r="H13564" s="1055"/>
      <c r="I13564" s="1055"/>
      <c r="J13564" s="1055"/>
      <c r="K13564" s="1205"/>
      <c r="L13564" s="1055"/>
      <c r="M13564" s="1205"/>
      <c r="N13564" s="1054"/>
      <c r="O13564" s="1207"/>
      <c r="Q13564" s="1207"/>
    </row>
    <row r="13565" spans="3:17" s="700" customFormat="1" ht="70.5" hidden="1" customHeight="1">
      <c r="C13565" s="701"/>
      <c r="D13565" s="811"/>
      <c r="E13565" s="1276">
        <f>[11]building!Y13896</f>
        <v>0</v>
      </c>
      <c r="F13565" s="748">
        <f t="shared" si="450"/>
        <v>0</v>
      </c>
      <c r="G13565" s="1205"/>
      <c r="H13565" s="1055"/>
      <c r="I13565" s="1055"/>
      <c r="J13565" s="1055"/>
      <c r="K13565" s="1205"/>
      <c r="L13565" s="1055"/>
      <c r="M13565" s="1205"/>
      <c r="N13565" s="1054"/>
      <c r="O13565" s="1207"/>
      <c r="Q13565" s="1207"/>
    </row>
    <row r="13566" spans="3:17" s="700" customFormat="1" ht="70.5" hidden="1" customHeight="1">
      <c r="C13566" s="701"/>
      <c r="D13566" s="811"/>
      <c r="E13566" s="1276">
        <f>[11]building!Y13897</f>
        <v>0</v>
      </c>
      <c r="F13566" s="748">
        <f t="shared" si="450"/>
        <v>0</v>
      </c>
      <c r="G13566" s="1205"/>
      <c r="H13566" s="1055"/>
      <c r="I13566" s="1055"/>
      <c r="J13566" s="1055"/>
      <c r="K13566" s="1205"/>
      <c r="L13566" s="1055"/>
      <c r="M13566" s="1205"/>
      <c r="N13566" s="1054"/>
      <c r="O13566" s="1207"/>
      <c r="Q13566" s="1207"/>
    </row>
    <row r="13567" spans="3:17" s="700" customFormat="1" ht="70.5" hidden="1" customHeight="1">
      <c r="C13567" s="701"/>
      <c r="D13567" s="811"/>
      <c r="E13567" s="1276">
        <f>[11]building!Y13898</f>
        <v>0</v>
      </c>
      <c r="F13567" s="748">
        <f t="shared" si="450"/>
        <v>0</v>
      </c>
      <c r="G13567" s="1205"/>
      <c r="H13567" s="1055"/>
      <c r="I13567" s="1055"/>
      <c r="J13567" s="1055"/>
      <c r="K13567" s="1205"/>
      <c r="L13567" s="1055"/>
      <c r="M13567" s="1205"/>
      <c r="N13567" s="1054"/>
      <c r="O13567" s="1207"/>
      <c r="Q13567" s="1207"/>
    </row>
    <row r="13568" spans="3:17" s="700" customFormat="1" ht="70.5" hidden="1" customHeight="1">
      <c r="C13568" s="701"/>
      <c r="D13568" s="811"/>
      <c r="E13568" s="1276">
        <f>[11]building!Y13899</f>
        <v>0</v>
      </c>
      <c r="F13568" s="748">
        <f t="shared" ref="F13568:F13631" si="451">E13568*C13568</f>
        <v>0</v>
      </c>
      <c r="G13568" s="1205"/>
      <c r="H13568" s="1055"/>
      <c r="I13568" s="1055"/>
      <c r="J13568" s="1055"/>
      <c r="K13568" s="1205"/>
      <c r="L13568" s="1055"/>
      <c r="M13568" s="1205"/>
      <c r="N13568" s="1054"/>
      <c r="O13568" s="1207"/>
      <c r="Q13568" s="1207"/>
    </row>
    <row r="13569" spans="3:17" s="700" customFormat="1" ht="70.5" hidden="1" customHeight="1">
      <c r="C13569" s="701"/>
      <c r="D13569" s="811"/>
      <c r="E13569" s="1276">
        <f>[11]building!Y13900</f>
        <v>0</v>
      </c>
      <c r="F13569" s="748">
        <f t="shared" si="451"/>
        <v>0</v>
      </c>
      <c r="G13569" s="1205"/>
      <c r="H13569" s="1055"/>
      <c r="I13569" s="1055"/>
      <c r="J13569" s="1055"/>
      <c r="K13569" s="1205"/>
      <c r="L13569" s="1055"/>
      <c r="M13569" s="1205"/>
      <c r="N13569" s="1054"/>
      <c r="O13569" s="1207"/>
      <c r="Q13569" s="1207"/>
    </row>
    <row r="13570" spans="3:17" s="700" customFormat="1" ht="70.5" hidden="1" customHeight="1">
      <c r="C13570" s="701"/>
      <c r="D13570" s="811"/>
      <c r="E13570" s="1276">
        <f>[11]building!Y13901</f>
        <v>0</v>
      </c>
      <c r="F13570" s="748">
        <f t="shared" si="451"/>
        <v>0</v>
      </c>
      <c r="G13570" s="1205"/>
      <c r="H13570" s="1055"/>
      <c r="I13570" s="1055"/>
      <c r="J13570" s="1055"/>
      <c r="K13570" s="1205"/>
      <c r="L13570" s="1055"/>
      <c r="M13570" s="1205"/>
      <c r="N13570" s="1054"/>
      <c r="O13570" s="1207"/>
      <c r="Q13570" s="1207"/>
    </row>
    <row r="13571" spans="3:17" s="700" customFormat="1" ht="70.5" hidden="1" customHeight="1">
      <c r="C13571" s="701"/>
      <c r="D13571" s="811"/>
      <c r="E13571" s="1276">
        <f>[11]building!Y13902</f>
        <v>0</v>
      </c>
      <c r="F13571" s="748">
        <f t="shared" si="451"/>
        <v>0</v>
      </c>
      <c r="G13571" s="1205"/>
      <c r="H13571" s="1055"/>
      <c r="I13571" s="1055"/>
      <c r="J13571" s="1055"/>
      <c r="K13571" s="1205"/>
      <c r="L13571" s="1055"/>
      <c r="M13571" s="1205"/>
      <c r="N13571" s="1054"/>
      <c r="O13571" s="1207"/>
      <c r="Q13571" s="1207"/>
    </row>
    <row r="13572" spans="3:17" s="700" customFormat="1" ht="70.5" hidden="1" customHeight="1">
      <c r="C13572" s="701"/>
      <c r="D13572" s="811"/>
      <c r="E13572" s="1276">
        <f>[11]building!Y13903</f>
        <v>0</v>
      </c>
      <c r="F13572" s="748">
        <f t="shared" si="451"/>
        <v>0</v>
      </c>
      <c r="G13572" s="1205"/>
      <c r="H13572" s="1055"/>
      <c r="I13572" s="1055"/>
      <c r="J13572" s="1055"/>
      <c r="K13572" s="1205"/>
      <c r="L13572" s="1055"/>
      <c r="M13572" s="1205"/>
      <c r="N13572" s="1054"/>
      <c r="O13572" s="1207"/>
      <c r="Q13572" s="1207"/>
    </row>
    <row r="13573" spans="3:17" s="700" customFormat="1" ht="70.5" hidden="1" customHeight="1">
      <c r="C13573" s="701"/>
      <c r="D13573" s="811"/>
      <c r="E13573" s="1276">
        <f>[11]building!Y13904</f>
        <v>0</v>
      </c>
      <c r="F13573" s="748">
        <f t="shared" si="451"/>
        <v>0</v>
      </c>
      <c r="G13573" s="1205"/>
      <c r="H13573" s="1055"/>
      <c r="I13573" s="1055"/>
      <c r="J13573" s="1055"/>
      <c r="K13573" s="1205"/>
      <c r="L13573" s="1055"/>
      <c r="M13573" s="1205"/>
      <c r="N13573" s="1054"/>
      <c r="O13573" s="1207"/>
      <c r="Q13573" s="1207"/>
    </row>
    <row r="13574" spans="3:17" s="700" customFormat="1" ht="70.5" hidden="1" customHeight="1">
      <c r="C13574" s="701"/>
      <c r="D13574" s="811"/>
      <c r="E13574" s="1276">
        <f>[11]building!Y13905</f>
        <v>0</v>
      </c>
      <c r="F13574" s="748">
        <f t="shared" si="451"/>
        <v>0</v>
      </c>
      <c r="G13574" s="1205"/>
      <c r="H13574" s="1055"/>
      <c r="I13574" s="1055"/>
      <c r="J13574" s="1055"/>
      <c r="K13574" s="1205"/>
      <c r="L13574" s="1055"/>
      <c r="M13574" s="1205"/>
      <c r="N13574" s="1054"/>
      <c r="O13574" s="1207"/>
      <c r="Q13574" s="1207"/>
    </row>
    <row r="13575" spans="3:17" s="700" customFormat="1" ht="70.5" hidden="1" customHeight="1">
      <c r="C13575" s="701"/>
      <c r="D13575" s="811"/>
      <c r="E13575" s="1276">
        <f>[11]building!Y13906</f>
        <v>0</v>
      </c>
      <c r="F13575" s="748">
        <f t="shared" si="451"/>
        <v>0</v>
      </c>
      <c r="G13575" s="1205"/>
      <c r="H13575" s="1055"/>
      <c r="I13575" s="1055"/>
      <c r="J13575" s="1055"/>
      <c r="K13575" s="1205"/>
      <c r="L13575" s="1055"/>
      <c r="M13575" s="1205"/>
      <c r="N13575" s="1054"/>
      <c r="O13575" s="1207"/>
      <c r="Q13575" s="1207"/>
    </row>
    <row r="13576" spans="3:17" s="700" customFormat="1" ht="70.5" hidden="1" customHeight="1">
      <c r="C13576" s="701"/>
      <c r="D13576" s="811"/>
      <c r="E13576" s="1276">
        <f>[11]building!Y13907</f>
        <v>0</v>
      </c>
      <c r="F13576" s="748">
        <f t="shared" si="451"/>
        <v>0</v>
      </c>
      <c r="G13576" s="1205"/>
      <c r="H13576" s="1055"/>
      <c r="I13576" s="1055"/>
      <c r="J13576" s="1055"/>
      <c r="K13576" s="1205"/>
      <c r="L13576" s="1055"/>
      <c r="M13576" s="1205"/>
      <c r="N13576" s="1054"/>
      <c r="O13576" s="1207"/>
      <c r="Q13576" s="1207"/>
    </row>
    <row r="13577" spans="3:17" s="700" customFormat="1" ht="70.5" hidden="1" customHeight="1">
      <c r="C13577" s="701"/>
      <c r="D13577" s="811"/>
      <c r="E13577" s="1276">
        <f>[11]building!Y13908</f>
        <v>0</v>
      </c>
      <c r="F13577" s="748">
        <f t="shared" si="451"/>
        <v>0</v>
      </c>
      <c r="G13577" s="1205"/>
      <c r="H13577" s="1055"/>
      <c r="I13577" s="1055"/>
      <c r="J13577" s="1055"/>
      <c r="K13577" s="1205"/>
      <c r="L13577" s="1055"/>
      <c r="M13577" s="1205"/>
      <c r="N13577" s="1054"/>
      <c r="O13577" s="1207"/>
      <c r="Q13577" s="1207"/>
    </row>
    <row r="13578" spans="3:17" s="700" customFormat="1" ht="70.5" hidden="1" customHeight="1">
      <c r="C13578" s="701"/>
      <c r="D13578" s="811"/>
      <c r="E13578" s="1276">
        <f>[11]building!Y13909</f>
        <v>0</v>
      </c>
      <c r="F13578" s="748">
        <f t="shared" si="451"/>
        <v>0</v>
      </c>
      <c r="G13578" s="1205"/>
      <c r="H13578" s="1055"/>
      <c r="I13578" s="1055"/>
      <c r="J13578" s="1055"/>
      <c r="K13578" s="1205"/>
      <c r="L13578" s="1055"/>
      <c r="M13578" s="1205"/>
      <c r="N13578" s="1054"/>
      <c r="O13578" s="1207"/>
      <c r="Q13578" s="1207"/>
    </row>
    <row r="13579" spans="3:17" s="700" customFormat="1" ht="70.5" hidden="1" customHeight="1">
      <c r="C13579" s="701"/>
      <c r="D13579" s="811"/>
      <c r="E13579" s="1276">
        <f>[11]building!Y13910</f>
        <v>0</v>
      </c>
      <c r="F13579" s="748">
        <f t="shared" si="451"/>
        <v>0</v>
      </c>
      <c r="G13579" s="1205"/>
      <c r="H13579" s="1055"/>
      <c r="I13579" s="1055"/>
      <c r="J13579" s="1055"/>
      <c r="K13579" s="1205"/>
      <c r="L13579" s="1055"/>
      <c r="M13579" s="1205"/>
      <c r="N13579" s="1054"/>
      <c r="O13579" s="1207"/>
      <c r="Q13579" s="1207"/>
    </row>
    <row r="13580" spans="3:17" s="700" customFormat="1" ht="70.5" hidden="1" customHeight="1">
      <c r="C13580" s="701"/>
      <c r="D13580" s="811"/>
      <c r="E13580" s="1276">
        <f>[11]building!Y13911</f>
        <v>0</v>
      </c>
      <c r="F13580" s="748">
        <f t="shared" si="451"/>
        <v>0</v>
      </c>
      <c r="G13580" s="1205"/>
      <c r="H13580" s="1055"/>
      <c r="I13580" s="1055"/>
      <c r="J13580" s="1055"/>
      <c r="K13580" s="1205"/>
      <c r="L13580" s="1055"/>
      <c r="M13580" s="1205"/>
      <c r="N13580" s="1054"/>
      <c r="O13580" s="1207"/>
      <c r="Q13580" s="1207"/>
    </row>
    <row r="13581" spans="3:17" s="700" customFormat="1" ht="70.5" hidden="1" customHeight="1">
      <c r="C13581" s="701"/>
      <c r="D13581" s="811"/>
      <c r="E13581" s="1276">
        <f>[11]building!Y13912</f>
        <v>0</v>
      </c>
      <c r="F13581" s="748">
        <f t="shared" si="451"/>
        <v>0</v>
      </c>
      <c r="G13581" s="1205"/>
      <c r="H13581" s="1055"/>
      <c r="I13581" s="1055"/>
      <c r="J13581" s="1055"/>
      <c r="K13581" s="1205"/>
      <c r="L13581" s="1055"/>
      <c r="M13581" s="1205"/>
      <c r="N13581" s="1054"/>
      <c r="O13581" s="1207"/>
      <c r="Q13581" s="1207"/>
    </row>
    <row r="13582" spans="3:17" s="700" customFormat="1" ht="70.5" hidden="1" customHeight="1">
      <c r="C13582" s="701"/>
      <c r="D13582" s="811"/>
      <c r="E13582" s="1276">
        <f>[11]building!Y13913</f>
        <v>0</v>
      </c>
      <c r="F13582" s="748">
        <f t="shared" si="451"/>
        <v>0</v>
      </c>
      <c r="G13582" s="1205"/>
      <c r="H13582" s="1055"/>
      <c r="I13582" s="1055"/>
      <c r="J13582" s="1055"/>
      <c r="K13582" s="1205"/>
      <c r="L13582" s="1055"/>
      <c r="M13582" s="1205"/>
      <c r="N13582" s="1054"/>
      <c r="O13582" s="1207"/>
      <c r="Q13582" s="1207"/>
    </row>
    <row r="13583" spans="3:17" s="700" customFormat="1" ht="70.5" hidden="1" customHeight="1">
      <c r="C13583" s="701"/>
      <c r="D13583" s="811"/>
      <c r="E13583" s="1276">
        <f>[11]building!Y13914</f>
        <v>0</v>
      </c>
      <c r="F13583" s="748">
        <f t="shared" si="451"/>
        <v>0</v>
      </c>
      <c r="G13583" s="1205"/>
      <c r="H13583" s="1055"/>
      <c r="I13583" s="1055"/>
      <c r="J13583" s="1055"/>
      <c r="K13583" s="1205"/>
      <c r="L13583" s="1055"/>
      <c r="M13583" s="1205"/>
      <c r="N13583" s="1054"/>
      <c r="O13583" s="1207"/>
      <c r="Q13583" s="1207"/>
    </row>
    <row r="13584" spans="3:17" s="700" customFormat="1" ht="70.5" hidden="1" customHeight="1">
      <c r="C13584" s="701"/>
      <c r="D13584" s="811"/>
      <c r="E13584" s="1276">
        <f>[11]building!Y13915</f>
        <v>0</v>
      </c>
      <c r="F13584" s="748">
        <f t="shared" si="451"/>
        <v>0</v>
      </c>
      <c r="G13584" s="1205"/>
      <c r="H13584" s="1055"/>
      <c r="I13584" s="1055"/>
      <c r="J13584" s="1055"/>
      <c r="K13584" s="1205"/>
      <c r="L13584" s="1055"/>
      <c r="M13584" s="1205"/>
      <c r="N13584" s="1054"/>
      <c r="O13584" s="1207"/>
      <c r="Q13584" s="1207"/>
    </row>
    <row r="13585" spans="3:17" s="700" customFormat="1" ht="70.5" hidden="1" customHeight="1">
      <c r="C13585" s="701"/>
      <c r="D13585" s="811"/>
      <c r="E13585" s="1276">
        <f>[11]building!Y13916</f>
        <v>0</v>
      </c>
      <c r="F13585" s="748">
        <f t="shared" si="451"/>
        <v>0</v>
      </c>
      <c r="G13585" s="1205"/>
      <c r="H13585" s="1055"/>
      <c r="I13585" s="1055"/>
      <c r="J13585" s="1055"/>
      <c r="K13585" s="1205"/>
      <c r="L13585" s="1055"/>
      <c r="M13585" s="1205"/>
      <c r="N13585" s="1054"/>
      <c r="O13585" s="1207"/>
      <c r="Q13585" s="1207"/>
    </row>
    <row r="13586" spans="3:17" s="700" customFormat="1" ht="70.5" hidden="1" customHeight="1">
      <c r="C13586" s="701"/>
      <c r="D13586" s="811"/>
      <c r="E13586" s="1276">
        <f>[11]building!Y13917</f>
        <v>0</v>
      </c>
      <c r="F13586" s="748">
        <f t="shared" si="451"/>
        <v>0</v>
      </c>
      <c r="G13586" s="1205"/>
      <c r="H13586" s="1055"/>
      <c r="I13586" s="1055"/>
      <c r="J13586" s="1055"/>
      <c r="K13586" s="1205"/>
      <c r="L13586" s="1055"/>
      <c r="M13586" s="1205"/>
      <c r="N13586" s="1054"/>
      <c r="O13586" s="1207"/>
      <c r="Q13586" s="1207"/>
    </row>
    <row r="13587" spans="3:17" s="700" customFormat="1" ht="70.5" hidden="1" customHeight="1">
      <c r="C13587" s="701"/>
      <c r="D13587" s="811"/>
      <c r="E13587" s="1276">
        <f>[11]building!Y13918</f>
        <v>0</v>
      </c>
      <c r="F13587" s="748">
        <f t="shared" si="451"/>
        <v>0</v>
      </c>
      <c r="G13587" s="1205"/>
      <c r="H13587" s="1055"/>
      <c r="I13587" s="1055"/>
      <c r="J13587" s="1055"/>
      <c r="K13587" s="1205"/>
      <c r="L13587" s="1055"/>
      <c r="M13587" s="1205"/>
      <c r="N13587" s="1054"/>
      <c r="O13587" s="1207"/>
      <c r="Q13587" s="1207"/>
    </row>
    <row r="13588" spans="3:17" s="700" customFormat="1" ht="70.5" hidden="1" customHeight="1">
      <c r="C13588" s="701"/>
      <c r="D13588" s="811"/>
      <c r="E13588" s="1276">
        <f>[11]building!Y13919</f>
        <v>0</v>
      </c>
      <c r="F13588" s="748">
        <f t="shared" si="451"/>
        <v>0</v>
      </c>
      <c r="G13588" s="1205"/>
      <c r="H13588" s="1055"/>
      <c r="I13588" s="1055"/>
      <c r="J13588" s="1055"/>
      <c r="K13588" s="1205"/>
      <c r="L13588" s="1055"/>
      <c r="M13588" s="1205"/>
      <c r="N13588" s="1054"/>
      <c r="O13588" s="1207"/>
      <c r="Q13588" s="1207"/>
    </row>
    <row r="13589" spans="3:17" s="700" customFormat="1" ht="70.5" hidden="1" customHeight="1">
      <c r="C13589" s="701"/>
      <c r="D13589" s="811"/>
      <c r="E13589" s="1276">
        <f>[11]building!Y13920</f>
        <v>0</v>
      </c>
      <c r="F13589" s="748">
        <f t="shared" si="451"/>
        <v>0</v>
      </c>
      <c r="G13589" s="1205"/>
      <c r="H13589" s="1055"/>
      <c r="I13589" s="1055"/>
      <c r="J13589" s="1055"/>
      <c r="K13589" s="1205"/>
      <c r="L13589" s="1055"/>
      <c r="M13589" s="1205"/>
      <c r="N13589" s="1054"/>
      <c r="O13589" s="1207"/>
      <c r="Q13589" s="1207"/>
    </row>
    <row r="13590" spans="3:17" s="700" customFormat="1" ht="70.5" hidden="1" customHeight="1">
      <c r="C13590" s="701"/>
      <c r="D13590" s="811"/>
      <c r="E13590" s="1276">
        <f>[11]building!Y13921</f>
        <v>0</v>
      </c>
      <c r="F13590" s="748">
        <f t="shared" si="451"/>
        <v>0</v>
      </c>
      <c r="G13590" s="1205"/>
      <c r="H13590" s="1055"/>
      <c r="I13590" s="1055"/>
      <c r="J13590" s="1055"/>
      <c r="K13590" s="1205"/>
      <c r="L13590" s="1055"/>
      <c r="M13590" s="1205"/>
      <c r="N13590" s="1054"/>
      <c r="O13590" s="1207"/>
      <c r="Q13590" s="1207"/>
    </row>
    <row r="13591" spans="3:17" s="700" customFormat="1" ht="70.5" hidden="1" customHeight="1">
      <c r="C13591" s="701"/>
      <c r="D13591" s="811"/>
      <c r="E13591" s="1276">
        <f>[11]building!Y13922</f>
        <v>0</v>
      </c>
      <c r="F13591" s="748">
        <f t="shared" si="451"/>
        <v>0</v>
      </c>
      <c r="G13591" s="1205"/>
      <c r="H13591" s="1055"/>
      <c r="I13591" s="1055"/>
      <c r="J13591" s="1055"/>
      <c r="K13591" s="1205"/>
      <c r="L13591" s="1055"/>
      <c r="M13591" s="1205"/>
      <c r="N13591" s="1054"/>
      <c r="O13591" s="1207"/>
      <c r="Q13591" s="1207"/>
    </row>
    <row r="13592" spans="3:17" s="700" customFormat="1" ht="70.5" hidden="1" customHeight="1">
      <c r="C13592" s="701"/>
      <c r="D13592" s="811"/>
      <c r="E13592" s="1276">
        <f>[11]building!Y13923</f>
        <v>0</v>
      </c>
      <c r="F13592" s="748">
        <f t="shared" si="451"/>
        <v>0</v>
      </c>
      <c r="G13592" s="1205"/>
      <c r="H13592" s="1055"/>
      <c r="I13592" s="1055"/>
      <c r="J13592" s="1055"/>
      <c r="K13592" s="1205"/>
      <c r="L13592" s="1055"/>
      <c r="M13592" s="1205"/>
      <c r="N13592" s="1054"/>
      <c r="O13592" s="1207"/>
      <c r="Q13592" s="1207"/>
    </row>
    <row r="13593" spans="3:17" s="700" customFormat="1" ht="70.5" hidden="1" customHeight="1">
      <c r="C13593" s="701"/>
      <c r="D13593" s="811"/>
      <c r="E13593" s="1276">
        <f>[11]building!Y13924</f>
        <v>0</v>
      </c>
      <c r="F13593" s="748">
        <f t="shared" si="451"/>
        <v>0</v>
      </c>
      <c r="G13593" s="1205"/>
      <c r="H13593" s="1055"/>
      <c r="I13593" s="1055"/>
      <c r="J13593" s="1055"/>
      <c r="K13593" s="1205"/>
      <c r="L13593" s="1055"/>
      <c r="M13593" s="1205"/>
      <c r="N13593" s="1054"/>
      <c r="O13593" s="1207"/>
      <c r="Q13593" s="1207"/>
    </row>
    <row r="13594" spans="3:17" s="700" customFormat="1" ht="70.5" hidden="1" customHeight="1">
      <c r="C13594" s="701"/>
      <c r="D13594" s="811"/>
      <c r="E13594" s="1276">
        <f>[11]building!Y13925</f>
        <v>0</v>
      </c>
      <c r="F13594" s="748">
        <f t="shared" si="451"/>
        <v>0</v>
      </c>
      <c r="G13594" s="1205"/>
      <c r="H13594" s="1055"/>
      <c r="I13594" s="1055"/>
      <c r="J13594" s="1055"/>
      <c r="K13594" s="1205"/>
      <c r="L13594" s="1055"/>
      <c r="M13594" s="1205"/>
      <c r="N13594" s="1054"/>
      <c r="O13594" s="1207"/>
      <c r="Q13594" s="1207"/>
    </row>
    <row r="13595" spans="3:17" s="700" customFormat="1" ht="70.5" hidden="1" customHeight="1">
      <c r="C13595" s="701"/>
      <c r="D13595" s="811"/>
      <c r="E13595" s="1276">
        <f>[11]building!Y13926</f>
        <v>0</v>
      </c>
      <c r="F13595" s="748">
        <f t="shared" si="451"/>
        <v>0</v>
      </c>
      <c r="G13595" s="1205"/>
      <c r="H13595" s="1055"/>
      <c r="I13595" s="1055"/>
      <c r="J13595" s="1055"/>
      <c r="K13595" s="1205"/>
      <c r="L13595" s="1055"/>
      <c r="M13595" s="1205"/>
      <c r="N13595" s="1054"/>
      <c r="O13595" s="1207"/>
      <c r="Q13595" s="1207"/>
    </row>
    <row r="13596" spans="3:17" s="700" customFormat="1" ht="70.5" hidden="1" customHeight="1">
      <c r="C13596" s="701"/>
      <c r="D13596" s="811"/>
      <c r="E13596" s="1276">
        <f>[11]building!Y13927</f>
        <v>0</v>
      </c>
      <c r="F13596" s="748">
        <f t="shared" si="451"/>
        <v>0</v>
      </c>
      <c r="G13596" s="1205"/>
      <c r="H13596" s="1055"/>
      <c r="I13596" s="1055"/>
      <c r="J13596" s="1055"/>
      <c r="K13596" s="1205"/>
      <c r="L13596" s="1055"/>
      <c r="M13596" s="1205"/>
      <c r="N13596" s="1054"/>
      <c r="O13596" s="1207"/>
      <c r="Q13596" s="1207"/>
    </row>
    <row r="13597" spans="3:17" s="700" customFormat="1" ht="70.5" hidden="1" customHeight="1">
      <c r="C13597" s="701"/>
      <c r="D13597" s="811"/>
      <c r="E13597" s="1276">
        <f>[11]building!Y13928</f>
        <v>0</v>
      </c>
      <c r="F13597" s="748">
        <f t="shared" si="451"/>
        <v>0</v>
      </c>
      <c r="G13597" s="1205"/>
      <c r="H13597" s="1055"/>
      <c r="I13597" s="1055"/>
      <c r="J13597" s="1055"/>
      <c r="K13597" s="1205"/>
      <c r="L13597" s="1055"/>
      <c r="M13597" s="1205"/>
      <c r="N13597" s="1054"/>
      <c r="O13597" s="1207"/>
      <c r="Q13597" s="1207"/>
    </row>
    <row r="13598" spans="3:17" s="700" customFormat="1" ht="70.5" hidden="1" customHeight="1">
      <c r="C13598" s="701"/>
      <c r="D13598" s="811"/>
      <c r="E13598" s="1276">
        <f>[11]building!Y13929</f>
        <v>0</v>
      </c>
      <c r="F13598" s="748">
        <f t="shared" si="451"/>
        <v>0</v>
      </c>
      <c r="G13598" s="1205"/>
      <c r="H13598" s="1055"/>
      <c r="I13598" s="1055"/>
      <c r="J13598" s="1055"/>
      <c r="K13598" s="1205"/>
      <c r="L13598" s="1055"/>
      <c r="M13598" s="1205"/>
      <c r="N13598" s="1054"/>
      <c r="O13598" s="1207"/>
      <c r="Q13598" s="1207"/>
    </row>
    <row r="13599" spans="3:17" s="700" customFormat="1" ht="70.5" hidden="1" customHeight="1">
      <c r="C13599" s="701"/>
      <c r="D13599" s="811"/>
      <c r="E13599" s="1276">
        <f>[11]building!Y13930</f>
        <v>0</v>
      </c>
      <c r="F13599" s="748">
        <f t="shared" si="451"/>
        <v>0</v>
      </c>
      <c r="G13599" s="1205"/>
      <c r="H13599" s="1055"/>
      <c r="I13599" s="1055"/>
      <c r="J13599" s="1055"/>
      <c r="K13599" s="1205"/>
      <c r="L13599" s="1055"/>
      <c r="M13599" s="1205"/>
      <c r="N13599" s="1054"/>
      <c r="O13599" s="1207"/>
      <c r="Q13599" s="1207"/>
    </row>
    <row r="13600" spans="3:17" s="700" customFormat="1" ht="70.5" hidden="1" customHeight="1">
      <c r="C13600" s="701"/>
      <c r="D13600" s="811"/>
      <c r="E13600" s="1276">
        <f>[11]building!Y13931</f>
        <v>0</v>
      </c>
      <c r="F13600" s="748">
        <f t="shared" si="451"/>
        <v>0</v>
      </c>
      <c r="G13600" s="1205"/>
      <c r="H13600" s="1055"/>
      <c r="I13600" s="1055"/>
      <c r="J13600" s="1055"/>
      <c r="K13600" s="1205"/>
      <c r="L13600" s="1055"/>
      <c r="M13600" s="1205"/>
      <c r="N13600" s="1054"/>
      <c r="O13600" s="1207"/>
      <c r="Q13600" s="1207"/>
    </row>
    <row r="13601" spans="3:17" s="700" customFormat="1" ht="70.5" hidden="1" customHeight="1">
      <c r="C13601" s="701"/>
      <c r="D13601" s="811"/>
      <c r="E13601" s="1276">
        <f>[11]building!Y13932</f>
        <v>0</v>
      </c>
      <c r="F13601" s="748">
        <f t="shared" si="451"/>
        <v>0</v>
      </c>
      <c r="G13601" s="1205"/>
      <c r="H13601" s="1055"/>
      <c r="I13601" s="1055"/>
      <c r="J13601" s="1055"/>
      <c r="K13601" s="1205"/>
      <c r="L13601" s="1055"/>
      <c r="M13601" s="1205"/>
      <c r="N13601" s="1054"/>
      <c r="O13601" s="1207"/>
      <c r="Q13601" s="1207"/>
    </row>
    <row r="13602" spans="3:17" s="700" customFormat="1" ht="70.5" hidden="1" customHeight="1">
      <c r="C13602" s="701"/>
      <c r="D13602" s="811"/>
      <c r="E13602" s="1276">
        <f>[11]building!Y13933</f>
        <v>0</v>
      </c>
      <c r="F13602" s="748">
        <f t="shared" si="451"/>
        <v>0</v>
      </c>
      <c r="G13602" s="1205"/>
      <c r="H13602" s="1055"/>
      <c r="I13602" s="1055"/>
      <c r="J13602" s="1055"/>
      <c r="K13602" s="1205"/>
      <c r="L13602" s="1055"/>
      <c r="M13602" s="1205"/>
      <c r="N13602" s="1054"/>
      <c r="O13602" s="1207"/>
      <c r="Q13602" s="1207"/>
    </row>
    <row r="13603" spans="3:17" s="700" customFormat="1" ht="70.5" hidden="1" customHeight="1">
      <c r="C13603" s="701"/>
      <c r="D13603" s="811"/>
      <c r="E13603" s="1276">
        <f>[11]building!Y13934</f>
        <v>0</v>
      </c>
      <c r="F13603" s="748">
        <f t="shared" si="451"/>
        <v>0</v>
      </c>
      <c r="G13603" s="1205"/>
      <c r="H13603" s="1055"/>
      <c r="I13603" s="1055"/>
      <c r="J13603" s="1055"/>
      <c r="K13603" s="1205"/>
      <c r="L13603" s="1055"/>
      <c r="M13603" s="1205"/>
      <c r="N13603" s="1054"/>
      <c r="O13603" s="1207"/>
      <c r="Q13603" s="1207"/>
    </row>
    <row r="13604" spans="3:17" s="700" customFormat="1" ht="70.5" hidden="1" customHeight="1">
      <c r="C13604" s="701"/>
      <c r="D13604" s="811"/>
      <c r="E13604" s="1276">
        <f>[11]building!Y13935</f>
        <v>0</v>
      </c>
      <c r="F13604" s="748">
        <f t="shared" si="451"/>
        <v>0</v>
      </c>
      <c r="G13604" s="1205"/>
      <c r="H13604" s="1055"/>
      <c r="I13604" s="1055"/>
      <c r="J13604" s="1055"/>
      <c r="K13604" s="1205"/>
      <c r="L13604" s="1055"/>
      <c r="M13604" s="1205"/>
      <c r="N13604" s="1054"/>
      <c r="O13604" s="1207"/>
      <c r="Q13604" s="1207"/>
    </row>
    <row r="13605" spans="3:17" s="700" customFormat="1" ht="70.5" hidden="1" customHeight="1">
      <c r="C13605" s="701"/>
      <c r="D13605" s="811"/>
      <c r="E13605" s="1276">
        <f>[11]building!Y13936</f>
        <v>0</v>
      </c>
      <c r="F13605" s="748">
        <f t="shared" si="451"/>
        <v>0</v>
      </c>
      <c r="G13605" s="1205"/>
      <c r="H13605" s="1055"/>
      <c r="I13605" s="1055"/>
      <c r="J13605" s="1055"/>
      <c r="K13605" s="1205"/>
      <c r="L13605" s="1055"/>
      <c r="M13605" s="1205"/>
      <c r="N13605" s="1054"/>
      <c r="O13605" s="1207"/>
      <c r="Q13605" s="1207"/>
    </row>
    <row r="13606" spans="3:17" s="700" customFormat="1" ht="70.5" hidden="1" customHeight="1">
      <c r="C13606" s="701"/>
      <c r="D13606" s="811"/>
      <c r="E13606" s="1276">
        <f>[11]building!Y13937</f>
        <v>0</v>
      </c>
      <c r="F13606" s="748">
        <f t="shared" si="451"/>
        <v>0</v>
      </c>
      <c r="G13606" s="1205"/>
      <c r="H13606" s="1055"/>
      <c r="I13606" s="1055"/>
      <c r="J13606" s="1055"/>
      <c r="K13606" s="1205"/>
      <c r="L13606" s="1055"/>
      <c r="M13606" s="1205"/>
      <c r="N13606" s="1054"/>
      <c r="O13606" s="1207"/>
      <c r="Q13606" s="1207"/>
    </row>
    <row r="13607" spans="3:17" s="700" customFormat="1" ht="70.5" hidden="1" customHeight="1">
      <c r="C13607" s="701"/>
      <c r="D13607" s="811"/>
      <c r="E13607" s="1276">
        <f>[11]building!Y13938</f>
        <v>0</v>
      </c>
      <c r="F13607" s="748">
        <f t="shared" si="451"/>
        <v>0</v>
      </c>
      <c r="G13607" s="1205"/>
      <c r="H13607" s="1055"/>
      <c r="I13607" s="1055"/>
      <c r="J13607" s="1055"/>
      <c r="K13607" s="1205"/>
      <c r="L13607" s="1055"/>
      <c r="M13607" s="1205"/>
      <c r="N13607" s="1054"/>
      <c r="O13607" s="1207"/>
      <c r="Q13607" s="1207"/>
    </row>
    <row r="13608" spans="3:17" s="700" customFormat="1" ht="70.5" hidden="1" customHeight="1">
      <c r="C13608" s="701"/>
      <c r="D13608" s="811"/>
      <c r="E13608" s="1276">
        <f>[11]building!Y13939</f>
        <v>0</v>
      </c>
      <c r="F13608" s="748">
        <f t="shared" si="451"/>
        <v>0</v>
      </c>
      <c r="G13608" s="1205"/>
      <c r="H13608" s="1055"/>
      <c r="I13608" s="1055"/>
      <c r="J13608" s="1055"/>
      <c r="K13608" s="1205"/>
      <c r="L13608" s="1055"/>
      <c r="M13608" s="1205"/>
      <c r="N13608" s="1054"/>
      <c r="O13608" s="1207"/>
      <c r="Q13608" s="1207"/>
    </row>
    <row r="13609" spans="3:17" s="700" customFormat="1" ht="70.5" hidden="1" customHeight="1">
      <c r="C13609" s="701"/>
      <c r="D13609" s="811"/>
      <c r="E13609" s="1276">
        <f>[11]building!Y13940</f>
        <v>0</v>
      </c>
      <c r="F13609" s="748">
        <f t="shared" si="451"/>
        <v>0</v>
      </c>
      <c r="G13609" s="1205"/>
      <c r="H13609" s="1055"/>
      <c r="I13609" s="1055"/>
      <c r="J13609" s="1055"/>
      <c r="K13609" s="1205"/>
      <c r="L13609" s="1055"/>
      <c r="M13609" s="1205"/>
      <c r="N13609" s="1054"/>
      <c r="O13609" s="1207"/>
      <c r="Q13609" s="1207"/>
    </row>
    <row r="13610" spans="3:17" s="700" customFormat="1" ht="70.5" hidden="1" customHeight="1">
      <c r="C13610" s="701"/>
      <c r="D13610" s="811"/>
      <c r="E13610" s="1276">
        <f>[11]building!Y13941</f>
        <v>0</v>
      </c>
      <c r="F13610" s="748">
        <f t="shared" si="451"/>
        <v>0</v>
      </c>
      <c r="G13610" s="1205"/>
      <c r="H13610" s="1055"/>
      <c r="I13610" s="1055"/>
      <c r="J13610" s="1055"/>
      <c r="K13610" s="1205"/>
      <c r="L13610" s="1055"/>
      <c r="M13610" s="1205"/>
      <c r="N13610" s="1054"/>
      <c r="O13610" s="1207"/>
      <c r="Q13610" s="1207"/>
    </row>
    <row r="13611" spans="3:17" s="700" customFormat="1" ht="70.5" hidden="1" customHeight="1">
      <c r="C13611" s="701"/>
      <c r="D13611" s="811"/>
      <c r="E13611" s="1276">
        <f>[11]building!Y13942</f>
        <v>0</v>
      </c>
      <c r="F13611" s="748">
        <f t="shared" si="451"/>
        <v>0</v>
      </c>
      <c r="G13611" s="1205"/>
      <c r="H13611" s="1055"/>
      <c r="I13611" s="1055"/>
      <c r="J13611" s="1055"/>
      <c r="K13611" s="1205"/>
      <c r="L13611" s="1055"/>
      <c r="M13611" s="1205"/>
      <c r="N13611" s="1054"/>
      <c r="O13611" s="1207"/>
      <c r="Q13611" s="1207"/>
    </row>
    <row r="13612" spans="3:17" s="700" customFormat="1" ht="70.5" hidden="1" customHeight="1">
      <c r="C13612" s="701"/>
      <c r="D13612" s="811"/>
      <c r="E13612" s="1276">
        <f>[11]building!Y13943</f>
        <v>0</v>
      </c>
      <c r="F13612" s="748">
        <f t="shared" si="451"/>
        <v>0</v>
      </c>
      <c r="G13612" s="1205"/>
      <c r="H13612" s="1055"/>
      <c r="I13612" s="1055"/>
      <c r="J13612" s="1055"/>
      <c r="K13612" s="1205"/>
      <c r="L13612" s="1055"/>
      <c r="M13612" s="1205"/>
      <c r="N13612" s="1054"/>
      <c r="O13612" s="1207"/>
      <c r="Q13612" s="1207"/>
    </row>
    <row r="13613" spans="3:17" s="700" customFormat="1" ht="70.5" hidden="1" customHeight="1">
      <c r="C13613" s="701"/>
      <c r="D13613" s="811"/>
      <c r="E13613" s="1276">
        <f>[11]building!Y13944</f>
        <v>0</v>
      </c>
      <c r="F13613" s="748">
        <f t="shared" si="451"/>
        <v>0</v>
      </c>
      <c r="G13613" s="1205"/>
      <c r="H13613" s="1055"/>
      <c r="I13613" s="1055"/>
      <c r="J13613" s="1055"/>
      <c r="K13613" s="1205"/>
      <c r="L13613" s="1055"/>
      <c r="M13613" s="1205"/>
      <c r="N13613" s="1054"/>
      <c r="O13613" s="1207"/>
      <c r="Q13613" s="1207"/>
    </row>
    <row r="13614" spans="3:17" s="700" customFormat="1" ht="70.5" hidden="1" customHeight="1">
      <c r="C13614" s="701"/>
      <c r="D13614" s="811"/>
      <c r="E13614" s="1276">
        <f>[11]building!Y13945</f>
        <v>0</v>
      </c>
      <c r="F13614" s="748">
        <f t="shared" si="451"/>
        <v>0</v>
      </c>
      <c r="G13614" s="1205"/>
      <c r="H13614" s="1055"/>
      <c r="I13614" s="1055"/>
      <c r="J13614" s="1055"/>
      <c r="K13614" s="1205"/>
      <c r="L13614" s="1055"/>
      <c r="M13614" s="1205"/>
      <c r="N13614" s="1054"/>
      <c r="O13614" s="1207"/>
      <c r="Q13614" s="1207"/>
    </row>
    <row r="13615" spans="3:17" s="700" customFormat="1" ht="70.5" hidden="1" customHeight="1">
      <c r="C13615" s="701"/>
      <c r="D13615" s="811"/>
      <c r="E13615" s="1276">
        <f>[11]building!Y13946</f>
        <v>0</v>
      </c>
      <c r="F13615" s="748">
        <f t="shared" si="451"/>
        <v>0</v>
      </c>
      <c r="G13615" s="1205"/>
      <c r="H13615" s="1055"/>
      <c r="I13615" s="1055"/>
      <c r="J13615" s="1055"/>
      <c r="K13615" s="1205"/>
      <c r="L13615" s="1055"/>
      <c r="M13615" s="1205"/>
      <c r="N13615" s="1054"/>
      <c r="O13615" s="1207"/>
      <c r="Q13615" s="1207"/>
    </row>
    <row r="13616" spans="3:17" s="700" customFormat="1" ht="70.5" hidden="1" customHeight="1">
      <c r="C13616" s="701"/>
      <c r="D13616" s="811"/>
      <c r="E13616" s="1276">
        <f>[11]building!Y13947</f>
        <v>0</v>
      </c>
      <c r="F13616" s="748">
        <f t="shared" si="451"/>
        <v>0</v>
      </c>
      <c r="G13616" s="1205"/>
      <c r="H13616" s="1055"/>
      <c r="I13616" s="1055"/>
      <c r="J13616" s="1055"/>
      <c r="K13616" s="1205"/>
      <c r="L13616" s="1055"/>
      <c r="M13616" s="1205"/>
      <c r="N13616" s="1054"/>
      <c r="O13616" s="1207"/>
      <c r="Q13616" s="1207"/>
    </row>
    <row r="13617" spans="3:17" s="700" customFormat="1" ht="70.5" hidden="1" customHeight="1">
      <c r="C13617" s="701"/>
      <c r="D13617" s="811"/>
      <c r="E13617" s="1276">
        <f>[11]building!Y13948</f>
        <v>0</v>
      </c>
      <c r="F13617" s="748">
        <f t="shared" si="451"/>
        <v>0</v>
      </c>
      <c r="G13617" s="1205"/>
      <c r="H13617" s="1055"/>
      <c r="I13617" s="1055"/>
      <c r="J13617" s="1055"/>
      <c r="K13617" s="1205"/>
      <c r="L13617" s="1055"/>
      <c r="M13617" s="1205"/>
      <c r="N13617" s="1054"/>
      <c r="O13617" s="1207"/>
      <c r="Q13617" s="1207"/>
    </row>
    <row r="13618" spans="3:17" s="700" customFormat="1" ht="70.5" hidden="1" customHeight="1">
      <c r="C13618" s="701"/>
      <c r="D13618" s="811"/>
      <c r="E13618" s="1276">
        <f>[11]building!Y13949</f>
        <v>0</v>
      </c>
      <c r="F13618" s="748">
        <f t="shared" si="451"/>
        <v>0</v>
      </c>
      <c r="G13618" s="1205"/>
      <c r="H13618" s="1055"/>
      <c r="I13618" s="1055"/>
      <c r="J13618" s="1055"/>
      <c r="K13618" s="1205"/>
      <c r="L13618" s="1055"/>
      <c r="M13618" s="1205"/>
      <c r="N13618" s="1054"/>
      <c r="O13618" s="1207"/>
      <c r="Q13618" s="1207"/>
    </row>
    <row r="13619" spans="3:17" s="700" customFormat="1" ht="70.5" hidden="1" customHeight="1">
      <c r="C13619" s="701"/>
      <c r="D13619" s="811"/>
      <c r="E13619" s="1276">
        <f>[11]building!Y13950</f>
        <v>0</v>
      </c>
      <c r="F13619" s="748">
        <f t="shared" si="451"/>
        <v>0</v>
      </c>
      <c r="G13619" s="1205"/>
      <c r="H13619" s="1055"/>
      <c r="I13619" s="1055"/>
      <c r="J13619" s="1055"/>
      <c r="K13619" s="1205"/>
      <c r="L13619" s="1055"/>
      <c r="M13619" s="1205"/>
      <c r="N13619" s="1054"/>
      <c r="O13619" s="1207"/>
      <c r="Q13619" s="1207"/>
    </row>
    <row r="13620" spans="3:17" s="700" customFormat="1" ht="70.5" hidden="1" customHeight="1">
      <c r="C13620" s="701"/>
      <c r="D13620" s="811"/>
      <c r="E13620" s="1276">
        <f>[11]building!Y13951</f>
        <v>0</v>
      </c>
      <c r="F13620" s="748">
        <f t="shared" si="451"/>
        <v>0</v>
      </c>
      <c r="G13620" s="1205"/>
      <c r="H13620" s="1055"/>
      <c r="I13620" s="1055"/>
      <c r="J13620" s="1055"/>
      <c r="K13620" s="1205"/>
      <c r="L13620" s="1055"/>
      <c r="M13620" s="1205"/>
      <c r="N13620" s="1054"/>
      <c r="O13620" s="1207"/>
      <c r="Q13620" s="1207"/>
    </row>
    <row r="13621" spans="3:17" s="700" customFormat="1" ht="70.5" hidden="1" customHeight="1">
      <c r="C13621" s="701"/>
      <c r="D13621" s="811"/>
      <c r="E13621" s="1276">
        <f>[11]building!Y13952</f>
        <v>0</v>
      </c>
      <c r="F13621" s="748">
        <f t="shared" si="451"/>
        <v>0</v>
      </c>
      <c r="G13621" s="1205"/>
      <c r="H13621" s="1055"/>
      <c r="I13621" s="1055"/>
      <c r="J13621" s="1055"/>
      <c r="K13621" s="1205"/>
      <c r="L13621" s="1055"/>
      <c r="M13621" s="1205"/>
      <c r="N13621" s="1054"/>
      <c r="O13621" s="1207"/>
      <c r="Q13621" s="1207"/>
    </row>
    <row r="13622" spans="3:17" s="700" customFormat="1" ht="70.5" hidden="1" customHeight="1">
      <c r="C13622" s="701"/>
      <c r="D13622" s="811"/>
      <c r="E13622" s="1276">
        <f>[11]building!Y13953</f>
        <v>0</v>
      </c>
      <c r="F13622" s="748">
        <f t="shared" si="451"/>
        <v>0</v>
      </c>
      <c r="G13622" s="1205"/>
      <c r="H13622" s="1055"/>
      <c r="I13622" s="1055"/>
      <c r="J13622" s="1055"/>
      <c r="K13622" s="1205"/>
      <c r="L13622" s="1055"/>
      <c r="M13622" s="1205"/>
      <c r="N13622" s="1054"/>
      <c r="O13622" s="1207"/>
      <c r="Q13622" s="1207"/>
    </row>
    <row r="13623" spans="3:17" s="700" customFormat="1" ht="70.5" hidden="1" customHeight="1">
      <c r="C13623" s="701"/>
      <c r="D13623" s="811"/>
      <c r="E13623" s="1276">
        <f>[11]building!Y13954</f>
        <v>0</v>
      </c>
      <c r="F13623" s="748">
        <f t="shared" si="451"/>
        <v>0</v>
      </c>
      <c r="G13623" s="1205"/>
      <c r="H13623" s="1055"/>
      <c r="I13623" s="1055"/>
      <c r="J13623" s="1055"/>
      <c r="K13623" s="1205"/>
      <c r="L13623" s="1055"/>
      <c r="M13623" s="1205"/>
      <c r="N13623" s="1054"/>
      <c r="O13623" s="1207"/>
      <c r="Q13623" s="1207"/>
    </row>
    <row r="13624" spans="3:17" s="700" customFormat="1" ht="70.5" hidden="1" customHeight="1">
      <c r="C13624" s="701"/>
      <c r="D13624" s="811"/>
      <c r="E13624" s="1276">
        <f>[11]building!Y13955</f>
        <v>0</v>
      </c>
      <c r="F13624" s="748">
        <f t="shared" si="451"/>
        <v>0</v>
      </c>
      <c r="G13624" s="1205"/>
      <c r="H13624" s="1055"/>
      <c r="I13624" s="1055"/>
      <c r="J13624" s="1055"/>
      <c r="K13624" s="1205"/>
      <c r="L13624" s="1055"/>
      <c r="M13624" s="1205"/>
      <c r="N13624" s="1054"/>
      <c r="O13624" s="1207"/>
      <c r="Q13624" s="1207"/>
    </row>
    <row r="13625" spans="3:17" s="700" customFormat="1" ht="70.5" hidden="1" customHeight="1">
      <c r="C13625" s="701"/>
      <c r="D13625" s="811"/>
      <c r="E13625" s="1276">
        <f>[11]building!Y13956</f>
        <v>0</v>
      </c>
      <c r="F13625" s="748">
        <f t="shared" si="451"/>
        <v>0</v>
      </c>
      <c r="G13625" s="1205"/>
      <c r="H13625" s="1055"/>
      <c r="I13625" s="1055"/>
      <c r="J13625" s="1055"/>
      <c r="K13625" s="1205"/>
      <c r="L13625" s="1055"/>
      <c r="M13625" s="1205"/>
      <c r="N13625" s="1054"/>
      <c r="O13625" s="1207"/>
      <c r="Q13625" s="1207"/>
    </row>
    <row r="13626" spans="3:17" s="700" customFormat="1" ht="70.5" hidden="1" customHeight="1">
      <c r="C13626" s="701"/>
      <c r="D13626" s="811"/>
      <c r="E13626" s="1276">
        <f>[11]building!Y13957</f>
        <v>0</v>
      </c>
      <c r="F13626" s="748">
        <f t="shared" si="451"/>
        <v>0</v>
      </c>
      <c r="G13626" s="1205"/>
      <c r="H13626" s="1055"/>
      <c r="I13626" s="1055"/>
      <c r="J13626" s="1055"/>
      <c r="K13626" s="1205"/>
      <c r="L13626" s="1055"/>
      <c r="M13626" s="1205"/>
      <c r="N13626" s="1054"/>
      <c r="O13626" s="1207"/>
      <c r="Q13626" s="1207"/>
    </row>
    <row r="13627" spans="3:17" s="700" customFormat="1" ht="70.5" hidden="1" customHeight="1">
      <c r="C13627" s="701"/>
      <c r="D13627" s="811"/>
      <c r="E13627" s="1276">
        <f>[11]building!Y13958</f>
        <v>0</v>
      </c>
      <c r="F13627" s="748">
        <f t="shared" si="451"/>
        <v>0</v>
      </c>
      <c r="G13627" s="1205"/>
      <c r="H13627" s="1055"/>
      <c r="I13627" s="1055"/>
      <c r="J13627" s="1055"/>
      <c r="K13627" s="1205"/>
      <c r="L13627" s="1055"/>
      <c r="M13627" s="1205"/>
      <c r="N13627" s="1054"/>
      <c r="O13627" s="1207"/>
      <c r="Q13627" s="1207"/>
    </row>
    <row r="13628" spans="3:17" s="700" customFormat="1" ht="70.5" hidden="1" customHeight="1">
      <c r="C13628" s="701"/>
      <c r="D13628" s="811"/>
      <c r="E13628" s="1276">
        <f>[11]building!Y13959</f>
        <v>0</v>
      </c>
      <c r="F13628" s="748">
        <f t="shared" si="451"/>
        <v>0</v>
      </c>
      <c r="G13628" s="1205"/>
      <c r="H13628" s="1055"/>
      <c r="I13628" s="1055"/>
      <c r="J13628" s="1055"/>
      <c r="K13628" s="1205"/>
      <c r="L13628" s="1055"/>
      <c r="M13628" s="1205"/>
      <c r="N13628" s="1054"/>
      <c r="O13628" s="1207"/>
      <c r="Q13628" s="1207"/>
    </row>
    <row r="13629" spans="3:17" s="700" customFormat="1" ht="70.5" hidden="1" customHeight="1">
      <c r="C13629" s="701"/>
      <c r="D13629" s="811"/>
      <c r="E13629" s="1276">
        <f>[11]building!Y13960</f>
        <v>0</v>
      </c>
      <c r="F13629" s="748">
        <f t="shared" si="451"/>
        <v>0</v>
      </c>
      <c r="G13629" s="1205"/>
      <c r="H13629" s="1055"/>
      <c r="I13629" s="1055"/>
      <c r="J13629" s="1055"/>
      <c r="K13629" s="1205"/>
      <c r="L13629" s="1055"/>
      <c r="M13629" s="1205"/>
      <c r="N13629" s="1054"/>
      <c r="O13629" s="1207"/>
      <c r="Q13629" s="1207"/>
    </row>
    <row r="13630" spans="3:17" s="700" customFormat="1" ht="70.5" hidden="1" customHeight="1">
      <c r="C13630" s="701"/>
      <c r="D13630" s="811"/>
      <c r="E13630" s="1276">
        <f>[11]building!Y13961</f>
        <v>0</v>
      </c>
      <c r="F13630" s="748">
        <f t="shared" si="451"/>
        <v>0</v>
      </c>
      <c r="G13630" s="1205"/>
      <c r="H13630" s="1055"/>
      <c r="I13630" s="1055"/>
      <c r="J13630" s="1055"/>
      <c r="K13630" s="1205"/>
      <c r="L13630" s="1055"/>
      <c r="M13630" s="1205"/>
      <c r="N13630" s="1054"/>
      <c r="O13630" s="1207"/>
      <c r="Q13630" s="1207"/>
    </row>
    <row r="13631" spans="3:17" s="700" customFormat="1" ht="70.5" hidden="1" customHeight="1">
      <c r="C13631" s="701"/>
      <c r="D13631" s="811"/>
      <c r="E13631" s="1276">
        <f>[11]building!Y13962</f>
        <v>0</v>
      </c>
      <c r="F13631" s="748">
        <f t="shared" si="451"/>
        <v>0</v>
      </c>
      <c r="G13631" s="1205"/>
      <c r="H13631" s="1055"/>
      <c r="I13631" s="1055"/>
      <c r="J13631" s="1055"/>
      <c r="K13631" s="1205"/>
      <c r="L13631" s="1055"/>
      <c r="M13631" s="1205"/>
      <c r="N13631" s="1054"/>
      <c r="O13631" s="1207"/>
      <c r="Q13631" s="1207"/>
    </row>
    <row r="13632" spans="3:17" s="700" customFormat="1" ht="70.5" hidden="1" customHeight="1">
      <c r="C13632" s="701"/>
      <c r="D13632" s="811"/>
      <c r="E13632" s="1276">
        <f>[11]building!Y13963</f>
        <v>0</v>
      </c>
      <c r="F13632" s="748">
        <f t="shared" ref="F13632:F13695" si="452">E13632*C13632</f>
        <v>0</v>
      </c>
      <c r="G13632" s="1205"/>
      <c r="H13632" s="1055"/>
      <c r="I13632" s="1055"/>
      <c r="J13632" s="1055"/>
      <c r="K13632" s="1205"/>
      <c r="L13632" s="1055"/>
      <c r="M13632" s="1205"/>
      <c r="N13632" s="1054"/>
      <c r="O13632" s="1207"/>
      <c r="Q13632" s="1207"/>
    </row>
    <row r="13633" spans="3:17" s="700" customFormat="1" ht="70.5" hidden="1" customHeight="1">
      <c r="C13633" s="701"/>
      <c r="D13633" s="811"/>
      <c r="E13633" s="1276">
        <f>[11]building!Y13964</f>
        <v>0</v>
      </c>
      <c r="F13633" s="748">
        <f t="shared" si="452"/>
        <v>0</v>
      </c>
      <c r="G13633" s="1205"/>
      <c r="H13633" s="1055"/>
      <c r="I13633" s="1055"/>
      <c r="J13633" s="1055"/>
      <c r="K13633" s="1205"/>
      <c r="L13633" s="1055"/>
      <c r="M13633" s="1205"/>
      <c r="N13633" s="1054"/>
      <c r="O13633" s="1207"/>
      <c r="Q13633" s="1207"/>
    </row>
    <row r="13634" spans="3:17" s="700" customFormat="1" ht="70.5" hidden="1" customHeight="1">
      <c r="C13634" s="701"/>
      <c r="D13634" s="811"/>
      <c r="E13634" s="1276">
        <f>[11]building!Y13965</f>
        <v>0</v>
      </c>
      <c r="F13634" s="748">
        <f t="shared" si="452"/>
        <v>0</v>
      </c>
      <c r="G13634" s="1205"/>
      <c r="H13634" s="1055"/>
      <c r="I13634" s="1055"/>
      <c r="J13634" s="1055"/>
      <c r="K13634" s="1205"/>
      <c r="L13634" s="1055"/>
      <c r="M13634" s="1205"/>
      <c r="N13634" s="1054"/>
      <c r="O13634" s="1207"/>
      <c r="Q13634" s="1207"/>
    </row>
    <row r="13635" spans="3:17" s="700" customFormat="1" ht="70.5" hidden="1" customHeight="1">
      <c r="C13635" s="701"/>
      <c r="D13635" s="811"/>
      <c r="E13635" s="1276">
        <f>[11]building!Y13966</f>
        <v>0</v>
      </c>
      <c r="F13635" s="748">
        <f t="shared" si="452"/>
        <v>0</v>
      </c>
      <c r="G13635" s="1205"/>
      <c r="H13635" s="1055"/>
      <c r="I13635" s="1055"/>
      <c r="J13635" s="1055"/>
      <c r="K13635" s="1205"/>
      <c r="L13635" s="1055"/>
      <c r="M13635" s="1205"/>
      <c r="N13635" s="1054"/>
      <c r="O13635" s="1207"/>
      <c r="Q13635" s="1207"/>
    </row>
    <row r="13636" spans="3:17" s="700" customFormat="1" ht="70.5" hidden="1" customHeight="1">
      <c r="C13636" s="701"/>
      <c r="D13636" s="811"/>
      <c r="E13636" s="1276">
        <f>[11]building!Y13967</f>
        <v>0</v>
      </c>
      <c r="F13636" s="748">
        <f t="shared" si="452"/>
        <v>0</v>
      </c>
      <c r="G13636" s="1205"/>
      <c r="H13636" s="1055"/>
      <c r="I13636" s="1055"/>
      <c r="J13636" s="1055"/>
      <c r="K13636" s="1205"/>
      <c r="L13636" s="1055"/>
      <c r="M13636" s="1205"/>
      <c r="N13636" s="1054"/>
      <c r="O13636" s="1207"/>
      <c r="Q13636" s="1207"/>
    </row>
    <row r="13637" spans="3:17" s="700" customFormat="1" ht="70.5" hidden="1" customHeight="1">
      <c r="C13637" s="701"/>
      <c r="D13637" s="811"/>
      <c r="E13637" s="1276">
        <f>[11]building!Y13968</f>
        <v>0</v>
      </c>
      <c r="F13637" s="748">
        <f t="shared" si="452"/>
        <v>0</v>
      </c>
      <c r="G13637" s="1205"/>
      <c r="H13637" s="1055"/>
      <c r="I13637" s="1055"/>
      <c r="J13637" s="1055"/>
      <c r="K13637" s="1205"/>
      <c r="L13637" s="1055"/>
      <c r="M13637" s="1205"/>
      <c r="N13637" s="1054"/>
      <c r="O13637" s="1207"/>
      <c r="Q13637" s="1207"/>
    </row>
    <row r="13638" spans="3:17" s="700" customFormat="1" ht="70.5" hidden="1" customHeight="1">
      <c r="C13638" s="701"/>
      <c r="D13638" s="811"/>
      <c r="E13638" s="1276">
        <f>[11]building!Y13969</f>
        <v>0</v>
      </c>
      <c r="F13638" s="748">
        <f t="shared" si="452"/>
        <v>0</v>
      </c>
      <c r="G13638" s="1205"/>
      <c r="H13638" s="1055"/>
      <c r="I13638" s="1055"/>
      <c r="J13638" s="1055"/>
      <c r="K13638" s="1205"/>
      <c r="L13638" s="1055"/>
      <c r="M13638" s="1205"/>
      <c r="N13638" s="1054"/>
      <c r="O13638" s="1207"/>
      <c r="Q13638" s="1207"/>
    </row>
    <row r="13639" spans="3:17" s="700" customFormat="1" ht="70.5" hidden="1" customHeight="1">
      <c r="C13639" s="701"/>
      <c r="D13639" s="811"/>
      <c r="E13639" s="1276">
        <f>[11]building!Y13970</f>
        <v>0</v>
      </c>
      <c r="F13639" s="748">
        <f t="shared" si="452"/>
        <v>0</v>
      </c>
      <c r="G13639" s="1205"/>
      <c r="H13639" s="1055"/>
      <c r="I13639" s="1055"/>
      <c r="J13639" s="1055"/>
      <c r="K13639" s="1205"/>
      <c r="L13639" s="1055"/>
      <c r="M13639" s="1205"/>
      <c r="N13639" s="1054"/>
      <c r="O13639" s="1207"/>
      <c r="Q13639" s="1207"/>
    </row>
    <row r="13640" spans="3:17" s="700" customFormat="1" ht="70.5" hidden="1" customHeight="1">
      <c r="C13640" s="701"/>
      <c r="D13640" s="811"/>
      <c r="E13640" s="1276">
        <f>[11]building!Y13971</f>
        <v>0</v>
      </c>
      <c r="F13640" s="748">
        <f t="shared" si="452"/>
        <v>0</v>
      </c>
      <c r="G13640" s="1205"/>
      <c r="H13640" s="1055"/>
      <c r="I13640" s="1055"/>
      <c r="J13640" s="1055"/>
      <c r="K13640" s="1205"/>
      <c r="L13640" s="1055"/>
      <c r="M13640" s="1205"/>
      <c r="N13640" s="1054"/>
      <c r="O13640" s="1207"/>
      <c r="Q13640" s="1207"/>
    </row>
    <row r="13641" spans="3:17" s="700" customFormat="1" ht="70.5" hidden="1" customHeight="1">
      <c r="C13641" s="701"/>
      <c r="D13641" s="811"/>
      <c r="E13641" s="1276">
        <f>[11]building!Y13972</f>
        <v>0</v>
      </c>
      <c r="F13641" s="748">
        <f t="shared" si="452"/>
        <v>0</v>
      </c>
      <c r="G13641" s="1205"/>
      <c r="H13641" s="1055"/>
      <c r="I13641" s="1055"/>
      <c r="J13641" s="1055"/>
      <c r="K13641" s="1205"/>
      <c r="L13641" s="1055"/>
      <c r="M13641" s="1205"/>
      <c r="N13641" s="1054"/>
      <c r="O13641" s="1207"/>
      <c r="Q13641" s="1207"/>
    </row>
    <row r="13642" spans="3:17" s="700" customFormat="1" ht="70.5" hidden="1" customHeight="1">
      <c r="C13642" s="701"/>
      <c r="D13642" s="811"/>
      <c r="E13642" s="1276">
        <f>[11]building!Y13973</f>
        <v>0</v>
      </c>
      <c r="F13642" s="748">
        <f t="shared" si="452"/>
        <v>0</v>
      </c>
      <c r="G13642" s="1205"/>
      <c r="H13642" s="1055"/>
      <c r="I13642" s="1055"/>
      <c r="J13642" s="1055"/>
      <c r="K13642" s="1205"/>
      <c r="L13642" s="1055"/>
      <c r="M13642" s="1205"/>
      <c r="N13642" s="1054"/>
      <c r="O13642" s="1207"/>
      <c r="Q13642" s="1207"/>
    </row>
    <row r="13643" spans="3:17" s="700" customFormat="1" ht="70.5" hidden="1" customHeight="1">
      <c r="C13643" s="701"/>
      <c r="D13643" s="811"/>
      <c r="E13643" s="1276">
        <f>[11]building!Y13974</f>
        <v>0</v>
      </c>
      <c r="F13643" s="748">
        <f t="shared" si="452"/>
        <v>0</v>
      </c>
      <c r="G13643" s="1205"/>
      <c r="H13643" s="1055"/>
      <c r="I13643" s="1055"/>
      <c r="J13643" s="1055"/>
      <c r="K13643" s="1205"/>
      <c r="L13643" s="1055"/>
      <c r="M13643" s="1205"/>
      <c r="N13643" s="1054"/>
      <c r="O13643" s="1207"/>
      <c r="Q13643" s="1207"/>
    </row>
    <row r="13644" spans="3:17" s="700" customFormat="1" ht="70.5" hidden="1" customHeight="1">
      <c r="C13644" s="701"/>
      <c r="D13644" s="811"/>
      <c r="E13644" s="1276">
        <f>[11]building!Y13975</f>
        <v>0</v>
      </c>
      <c r="F13644" s="748">
        <f t="shared" si="452"/>
        <v>0</v>
      </c>
      <c r="G13644" s="1205"/>
      <c r="H13644" s="1055"/>
      <c r="I13644" s="1055"/>
      <c r="J13644" s="1055"/>
      <c r="K13644" s="1205"/>
      <c r="L13644" s="1055"/>
      <c r="M13644" s="1205"/>
      <c r="N13644" s="1054"/>
      <c r="O13644" s="1207"/>
      <c r="Q13644" s="1207"/>
    </row>
    <row r="13645" spans="3:17" s="700" customFormat="1" ht="70.5" hidden="1" customHeight="1">
      <c r="C13645" s="701"/>
      <c r="D13645" s="811"/>
      <c r="E13645" s="1276">
        <f>[11]building!Y13976</f>
        <v>0</v>
      </c>
      <c r="F13645" s="748">
        <f t="shared" si="452"/>
        <v>0</v>
      </c>
      <c r="G13645" s="1205"/>
      <c r="H13645" s="1055"/>
      <c r="I13645" s="1055"/>
      <c r="J13645" s="1055"/>
      <c r="K13645" s="1205"/>
      <c r="L13645" s="1055"/>
      <c r="M13645" s="1205"/>
      <c r="N13645" s="1054"/>
      <c r="O13645" s="1207"/>
      <c r="Q13645" s="1207"/>
    </row>
    <row r="13646" spans="3:17" s="700" customFormat="1" ht="70.5" hidden="1" customHeight="1">
      <c r="C13646" s="701"/>
      <c r="D13646" s="811"/>
      <c r="E13646" s="1276">
        <f>[11]building!Y13977</f>
        <v>0</v>
      </c>
      <c r="F13646" s="748">
        <f t="shared" si="452"/>
        <v>0</v>
      </c>
      <c r="G13646" s="1205"/>
      <c r="H13646" s="1055"/>
      <c r="I13646" s="1055"/>
      <c r="J13646" s="1055"/>
      <c r="K13646" s="1205"/>
      <c r="L13646" s="1055"/>
      <c r="M13646" s="1205"/>
      <c r="N13646" s="1054"/>
      <c r="O13646" s="1207"/>
      <c r="Q13646" s="1207"/>
    </row>
    <row r="13647" spans="3:17" s="700" customFormat="1" ht="70.5" hidden="1" customHeight="1">
      <c r="C13647" s="701"/>
      <c r="D13647" s="811"/>
      <c r="E13647" s="1276">
        <f>[11]building!Y13978</f>
        <v>0</v>
      </c>
      <c r="F13647" s="748">
        <f t="shared" si="452"/>
        <v>0</v>
      </c>
      <c r="G13647" s="1205"/>
      <c r="H13647" s="1055"/>
      <c r="I13647" s="1055"/>
      <c r="J13647" s="1055"/>
      <c r="K13647" s="1205"/>
      <c r="L13647" s="1055"/>
      <c r="M13647" s="1205"/>
      <c r="N13647" s="1054"/>
      <c r="O13647" s="1207"/>
      <c r="Q13647" s="1207"/>
    </row>
    <row r="13648" spans="3:17" s="700" customFormat="1" ht="70.5" hidden="1" customHeight="1">
      <c r="C13648" s="701"/>
      <c r="D13648" s="811"/>
      <c r="E13648" s="1276">
        <f>[11]building!Y13979</f>
        <v>0</v>
      </c>
      <c r="F13648" s="748">
        <f t="shared" si="452"/>
        <v>0</v>
      </c>
      <c r="G13648" s="1205"/>
      <c r="H13648" s="1055"/>
      <c r="I13648" s="1055"/>
      <c r="J13648" s="1055"/>
      <c r="K13648" s="1205"/>
      <c r="L13648" s="1055"/>
      <c r="M13648" s="1205"/>
      <c r="N13648" s="1054"/>
      <c r="O13648" s="1207"/>
      <c r="Q13648" s="1207"/>
    </row>
    <row r="13649" spans="3:17" s="700" customFormat="1" ht="70.5" hidden="1" customHeight="1">
      <c r="C13649" s="701"/>
      <c r="D13649" s="811"/>
      <c r="E13649" s="1276">
        <f>[11]building!Y13980</f>
        <v>0</v>
      </c>
      <c r="F13649" s="748">
        <f t="shared" si="452"/>
        <v>0</v>
      </c>
      <c r="G13649" s="1205"/>
      <c r="H13649" s="1055"/>
      <c r="I13649" s="1055"/>
      <c r="J13649" s="1055"/>
      <c r="K13649" s="1205"/>
      <c r="L13649" s="1055"/>
      <c r="M13649" s="1205"/>
      <c r="N13649" s="1054"/>
      <c r="O13649" s="1207"/>
      <c r="Q13649" s="1207"/>
    </row>
    <row r="13650" spans="3:17" s="700" customFormat="1" ht="70.5" hidden="1" customHeight="1">
      <c r="C13650" s="701"/>
      <c r="D13650" s="811"/>
      <c r="E13650" s="1276">
        <f>[11]building!Y13981</f>
        <v>0</v>
      </c>
      <c r="F13650" s="748">
        <f t="shared" si="452"/>
        <v>0</v>
      </c>
      <c r="G13650" s="1205"/>
      <c r="H13650" s="1055"/>
      <c r="I13650" s="1055"/>
      <c r="J13650" s="1055"/>
      <c r="K13650" s="1205"/>
      <c r="L13650" s="1055"/>
      <c r="M13650" s="1205"/>
      <c r="N13650" s="1054"/>
      <c r="O13650" s="1207"/>
      <c r="Q13650" s="1207"/>
    </row>
    <row r="13651" spans="3:17" s="700" customFormat="1" ht="70.5" hidden="1" customHeight="1">
      <c r="C13651" s="701"/>
      <c r="D13651" s="811"/>
      <c r="E13651" s="1276">
        <f>[11]building!Y13982</f>
        <v>0</v>
      </c>
      <c r="F13651" s="748">
        <f t="shared" si="452"/>
        <v>0</v>
      </c>
      <c r="G13651" s="1205"/>
      <c r="H13651" s="1055"/>
      <c r="I13651" s="1055"/>
      <c r="J13651" s="1055"/>
      <c r="K13651" s="1205"/>
      <c r="L13651" s="1055"/>
      <c r="M13651" s="1205"/>
      <c r="N13651" s="1054"/>
      <c r="O13651" s="1207"/>
      <c r="Q13651" s="1207"/>
    </row>
    <row r="13652" spans="3:17" s="700" customFormat="1" ht="70.5" hidden="1" customHeight="1">
      <c r="C13652" s="701"/>
      <c r="D13652" s="811"/>
      <c r="E13652" s="1276">
        <f>[11]building!Y13983</f>
        <v>0</v>
      </c>
      <c r="F13652" s="748">
        <f t="shared" si="452"/>
        <v>0</v>
      </c>
      <c r="G13652" s="1205"/>
      <c r="H13652" s="1055"/>
      <c r="I13652" s="1055"/>
      <c r="J13652" s="1055"/>
      <c r="K13652" s="1205"/>
      <c r="L13652" s="1055"/>
      <c r="M13652" s="1205"/>
      <c r="N13652" s="1054"/>
      <c r="O13652" s="1207"/>
      <c r="Q13652" s="1207"/>
    </row>
    <row r="13653" spans="3:17" s="700" customFormat="1" ht="70.5" hidden="1" customHeight="1">
      <c r="C13653" s="701"/>
      <c r="D13653" s="811"/>
      <c r="E13653" s="1276">
        <f>[11]building!Y13984</f>
        <v>0</v>
      </c>
      <c r="F13653" s="748">
        <f t="shared" si="452"/>
        <v>0</v>
      </c>
      <c r="G13653" s="1205"/>
      <c r="H13653" s="1055"/>
      <c r="I13653" s="1055"/>
      <c r="J13653" s="1055"/>
      <c r="K13653" s="1205"/>
      <c r="L13653" s="1055"/>
      <c r="M13653" s="1205"/>
      <c r="N13653" s="1054"/>
      <c r="O13653" s="1207"/>
      <c r="Q13653" s="1207"/>
    </row>
    <row r="13654" spans="3:17" s="700" customFormat="1" ht="70.5" hidden="1" customHeight="1">
      <c r="C13654" s="701"/>
      <c r="D13654" s="811"/>
      <c r="E13654" s="1276">
        <f>[11]building!Y13985</f>
        <v>0</v>
      </c>
      <c r="F13654" s="748">
        <f t="shared" si="452"/>
        <v>0</v>
      </c>
      <c r="G13654" s="1205"/>
      <c r="H13654" s="1055"/>
      <c r="I13654" s="1055"/>
      <c r="J13654" s="1055"/>
      <c r="K13654" s="1205"/>
      <c r="L13654" s="1055"/>
      <c r="M13654" s="1205"/>
      <c r="N13654" s="1054"/>
      <c r="O13654" s="1207"/>
      <c r="Q13654" s="1207"/>
    </row>
    <row r="13655" spans="3:17" s="700" customFormat="1" ht="70.5" hidden="1" customHeight="1">
      <c r="C13655" s="701"/>
      <c r="D13655" s="811"/>
      <c r="E13655" s="1276">
        <f>[11]building!Y13986</f>
        <v>0</v>
      </c>
      <c r="F13655" s="748">
        <f t="shared" si="452"/>
        <v>0</v>
      </c>
      <c r="G13655" s="1205"/>
      <c r="H13655" s="1055"/>
      <c r="I13655" s="1055"/>
      <c r="J13655" s="1055"/>
      <c r="K13655" s="1205"/>
      <c r="L13655" s="1055"/>
      <c r="M13655" s="1205"/>
      <c r="N13655" s="1054"/>
      <c r="O13655" s="1207"/>
      <c r="Q13655" s="1207"/>
    </row>
    <row r="13656" spans="3:17" s="700" customFormat="1" ht="70.5" hidden="1" customHeight="1">
      <c r="C13656" s="701"/>
      <c r="D13656" s="811"/>
      <c r="E13656" s="1276">
        <f>[11]building!Y13987</f>
        <v>0</v>
      </c>
      <c r="F13656" s="748">
        <f t="shared" si="452"/>
        <v>0</v>
      </c>
      <c r="G13656" s="1205"/>
      <c r="H13656" s="1055"/>
      <c r="I13656" s="1055"/>
      <c r="J13656" s="1055"/>
      <c r="K13656" s="1205"/>
      <c r="L13656" s="1055"/>
      <c r="M13656" s="1205"/>
      <c r="N13656" s="1054"/>
      <c r="O13656" s="1207"/>
      <c r="Q13656" s="1207"/>
    </row>
    <row r="13657" spans="3:17" s="700" customFormat="1" ht="70.5" hidden="1" customHeight="1">
      <c r="C13657" s="701"/>
      <c r="D13657" s="811"/>
      <c r="E13657" s="1276">
        <f>[11]building!Y13988</f>
        <v>0</v>
      </c>
      <c r="F13657" s="748">
        <f t="shared" si="452"/>
        <v>0</v>
      </c>
      <c r="G13657" s="1205"/>
      <c r="H13657" s="1055"/>
      <c r="I13657" s="1055"/>
      <c r="J13657" s="1055"/>
      <c r="K13657" s="1205"/>
      <c r="L13657" s="1055"/>
      <c r="M13657" s="1205"/>
      <c r="N13657" s="1054"/>
      <c r="O13657" s="1207"/>
      <c r="Q13657" s="1207"/>
    </row>
    <row r="13658" spans="3:17" s="700" customFormat="1" ht="70.5" hidden="1" customHeight="1">
      <c r="C13658" s="701"/>
      <c r="D13658" s="811"/>
      <c r="E13658" s="1276">
        <f>[11]building!Y13989</f>
        <v>0</v>
      </c>
      <c r="F13658" s="748">
        <f t="shared" si="452"/>
        <v>0</v>
      </c>
      <c r="G13658" s="1205"/>
      <c r="H13658" s="1055"/>
      <c r="I13658" s="1055"/>
      <c r="J13658" s="1055"/>
      <c r="K13658" s="1205"/>
      <c r="L13658" s="1055"/>
      <c r="M13658" s="1205"/>
      <c r="N13658" s="1054"/>
      <c r="O13658" s="1207"/>
      <c r="Q13658" s="1207"/>
    </row>
    <row r="13659" spans="3:17" s="700" customFormat="1" ht="70.5" hidden="1" customHeight="1">
      <c r="C13659" s="701"/>
      <c r="D13659" s="811"/>
      <c r="E13659" s="1276">
        <f>[11]building!Y13990</f>
        <v>0</v>
      </c>
      <c r="F13659" s="748">
        <f t="shared" si="452"/>
        <v>0</v>
      </c>
      <c r="G13659" s="1205"/>
      <c r="H13659" s="1055"/>
      <c r="I13659" s="1055"/>
      <c r="J13659" s="1055"/>
      <c r="K13659" s="1205"/>
      <c r="L13659" s="1055"/>
      <c r="M13659" s="1205"/>
      <c r="N13659" s="1054"/>
      <c r="O13659" s="1207"/>
      <c r="Q13659" s="1207"/>
    </row>
    <row r="13660" spans="3:17" s="700" customFormat="1" ht="70.5" hidden="1" customHeight="1">
      <c r="C13660" s="701"/>
      <c r="D13660" s="811"/>
      <c r="E13660" s="1276">
        <f>[11]building!Y13991</f>
        <v>0</v>
      </c>
      <c r="F13660" s="748">
        <f t="shared" si="452"/>
        <v>0</v>
      </c>
      <c r="G13660" s="1205"/>
      <c r="H13660" s="1055"/>
      <c r="I13660" s="1055"/>
      <c r="J13660" s="1055"/>
      <c r="K13660" s="1205"/>
      <c r="L13660" s="1055"/>
      <c r="M13660" s="1205"/>
      <c r="N13660" s="1054"/>
      <c r="O13660" s="1207"/>
      <c r="Q13660" s="1207"/>
    </row>
    <row r="13661" spans="3:17" s="700" customFormat="1" ht="70.5" hidden="1" customHeight="1">
      <c r="C13661" s="701"/>
      <c r="D13661" s="811"/>
      <c r="E13661" s="1276">
        <f>[11]building!Y13992</f>
        <v>0</v>
      </c>
      <c r="F13661" s="748">
        <f t="shared" si="452"/>
        <v>0</v>
      </c>
      <c r="G13661" s="1205"/>
      <c r="H13661" s="1055"/>
      <c r="I13661" s="1055"/>
      <c r="J13661" s="1055"/>
      <c r="K13661" s="1205"/>
      <c r="L13661" s="1055"/>
      <c r="M13661" s="1205"/>
      <c r="N13661" s="1054"/>
      <c r="O13661" s="1207"/>
      <c r="Q13661" s="1207"/>
    </row>
    <row r="13662" spans="3:17" s="700" customFormat="1" ht="70.5" hidden="1" customHeight="1">
      <c r="C13662" s="701"/>
      <c r="D13662" s="811"/>
      <c r="E13662" s="1276">
        <f>[11]building!Y13993</f>
        <v>0</v>
      </c>
      <c r="F13662" s="748">
        <f t="shared" si="452"/>
        <v>0</v>
      </c>
      <c r="G13662" s="1205"/>
      <c r="H13662" s="1055"/>
      <c r="I13662" s="1055"/>
      <c r="J13662" s="1055"/>
      <c r="K13662" s="1205"/>
      <c r="L13662" s="1055"/>
      <c r="M13662" s="1205"/>
      <c r="N13662" s="1054"/>
      <c r="O13662" s="1207"/>
      <c r="Q13662" s="1207"/>
    </row>
    <row r="13663" spans="3:17" s="700" customFormat="1" ht="70.5" hidden="1" customHeight="1">
      <c r="C13663" s="701"/>
      <c r="D13663" s="811"/>
      <c r="E13663" s="1276">
        <f>[11]building!Y13994</f>
        <v>0</v>
      </c>
      <c r="F13663" s="748">
        <f t="shared" si="452"/>
        <v>0</v>
      </c>
      <c r="G13663" s="1205"/>
      <c r="H13663" s="1055"/>
      <c r="I13663" s="1055"/>
      <c r="J13663" s="1055"/>
      <c r="K13663" s="1205"/>
      <c r="L13663" s="1055"/>
      <c r="M13663" s="1205"/>
      <c r="N13663" s="1054"/>
      <c r="O13663" s="1207"/>
      <c r="Q13663" s="1207"/>
    </row>
    <row r="13664" spans="3:17" s="700" customFormat="1" ht="70.5" hidden="1" customHeight="1">
      <c r="C13664" s="701"/>
      <c r="D13664" s="811"/>
      <c r="E13664" s="1276">
        <f>[11]building!Y13995</f>
        <v>0</v>
      </c>
      <c r="F13664" s="748">
        <f t="shared" si="452"/>
        <v>0</v>
      </c>
      <c r="G13664" s="1205"/>
      <c r="H13664" s="1055"/>
      <c r="I13664" s="1055"/>
      <c r="J13664" s="1055"/>
      <c r="K13664" s="1205"/>
      <c r="L13664" s="1055"/>
      <c r="M13664" s="1205"/>
      <c r="N13664" s="1054"/>
      <c r="O13664" s="1207"/>
      <c r="Q13664" s="1207"/>
    </row>
    <row r="13665" spans="3:17" s="700" customFormat="1" ht="70.5" hidden="1" customHeight="1">
      <c r="C13665" s="701"/>
      <c r="D13665" s="811"/>
      <c r="E13665" s="1276">
        <f>[11]building!Y13996</f>
        <v>0</v>
      </c>
      <c r="F13665" s="748">
        <f t="shared" si="452"/>
        <v>0</v>
      </c>
      <c r="G13665" s="1205"/>
      <c r="H13665" s="1055"/>
      <c r="I13665" s="1055"/>
      <c r="J13665" s="1055"/>
      <c r="K13665" s="1205"/>
      <c r="L13665" s="1055"/>
      <c r="M13665" s="1205"/>
      <c r="N13665" s="1054"/>
      <c r="O13665" s="1207"/>
      <c r="Q13665" s="1207"/>
    </row>
    <row r="13666" spans="3:17" s="700" customFormat="1" ht="70.5" hidden="1" customHeight="1">
      <c r="C13666" s="701"/>
      <c r="D13666" s="811"/>
      <c r="E13666" s="1276">
        <f>[11]building!Y13997</f>
        <v>0</v>
      </c>
      <c r="F13666" s="748">
        <f t="shared" si="452"/>
        <v>0</v>
      </c>
      <c r="G13666" s="1205"/>
      <c r="H13666" s="1055"/>
      <c r="I13666" s="1055"/>
      <c r="J13666" s="1055"/>
      <c r="K13666" s="1205"/>
      <c r="L13666" s="1055"/>
      <c r="M13666" s="1205"/>
      <c r="N13666" s="1054"/>
      <c r="O13666" s="1207"/>
      <c r="Q13666" s="1207"/>
    </row>
    <row r="13667" spans="3:17" s="700" customFormat="1" ht="70.5" hidden="1" customHeight="1">
      <c r="C13667" s="701"/>
      <c r="D13667" s="811"/>
      <c r="E13667" s="1276">
        <f>[11]building!Y13998</f>
        <v>0</v>
      </c>
      <c r="F13667" s="748">
        <f t="shared" si="452"/>
        <v>0</v>
      </c>
      <c r="G13667" s="1205"/>
      <c r="H13667" s="1055"/>
      <c r="I13667" s="1055"/>
      <c r="J13667" s="1055"/>
      <c r="K13667" s="1205"/>
      <c r="L13667" s="1055"/>
      <c r="M13667" s="1205"/>
      <c r="N13667" s="1054"/>
      <c r="O13667" s="1207"/>
      <c r="Q13667" s="1207"/>
    </row>
    <row r="13668" spans="3:17" s="700" customFormat="1" ht="70.5" hidden="1" customHeight="1">
      <c r="C13668" s="701"/>
      <c r="D13668" s="811"/>
      <c r="E13668" s="1276">
        <f>[11]building!Y13999</f>
        <v>0</v>
      </c>
      <c r="F13668" s="748">
        <f t="shared" si="452"/>
        <v>0</v>
      </c>
      <c r="G13668" s="1205"/>
      <c r="H13668" s="1055"/>
      <c r="I13668" s="1055"/>
      <c r="J13668" s="1055"/>
      <c r="K13668" s="1205"/>
      <c r="L13668" s="1055"/>
      <c r="M13668" s="1205"/>
      <c r="N13668" s="1054"/>
      <c r="O13668" s="1207"/>
      <c r="Q13668" s="1207"/>
    </row>
    <row r="13669" spans="3:17" s="700" customFormat="1" ht="70.5" hidden="1" customHeight="1">
      <c r="C13669" s="701"/>
      <c r="D13669" s="811"/>
      <c r="E13669" s="1276">
        <f>[11]building!Y14000</f>
        <v>0</v>
      </c>
      <c r="F13669" s="748">
        <f t="shared" si="452"/>
        <v>0</v>
      </c>
      <c r="G13669" s="1205"/>
      <c r="H13669" s="1055"/>
      <c r="I13669" s="1055"/>
      <c r="J13669" s="1055"/>
      <c r="K13669" s="1205"/>
      <c r="L13669" s="1055"/>
      <c r="M13669" s="1205"/>
      <c r="N13669" s="1054"/>
      <c r="O13669" s="1207"/>
      <c r="Q13669" s="1207"/>
    </row>
    <row r="13670" spans="3:17" s="700" customFormat="1" ht="70.5" hidden="1" customHeight="1">
      <c r="C13670" s="701"/>
      <c r="D13670" s="811"/>
      <c r="E13670" s="1276">
        <f>[11]building!Y14001</f>
        <v>0</v>
      </c>
      <c r="F13670" s="748">
        <f t="shared" si="452"/>
        <v>0</v>
      </c>
      <c r="G13670" s="1205"/>
      <c r="H13670" s="1055"/>
      <c r="I13670" s="1055"/>
      <c r="J13670" s="1055"/>
      <c r="K13670" s="1205"/>
      <c r="L13670" s="1055"/>
      <c r="M13670" s="1205"/>
      <c r="N13670" s="1054"/>
      <c r="O13670" s="1207"/>
      <c r="Q13670" s="1207"/>
    </row>
    <row r="13671" spans="3:17" s="700" customFormat="1" ht="70.5" hidden="1" customHeight="1">
      <c r="C13671" s="701"/>
      <c r="D13671" s="811"/>
      <c r="E13671" s="1276">
        <f>[11]building!Y14002</f>
        <v>0</v>
      </c>
      <c r="F13671" s="748">
        <f t="shared" si="452"/>
        <v>0</v>
      </c>
      <c r="G13671" s="1205"/>
      <c r="H13671" s="1055"/>
      <c r="I13671" s="1055"/>
      <c r="J13671" s="1055"/>
      <c r="K13671" s="1205"/>
      <c r="L13671" s="1055"/>
      <c r="M13671" s="1205"/>
      <c r="N13671" s="1054"/>
      <c r="O13671" s="1207"/>
      <c r="Q13671" s="1207"/>
    </row>
    <row r="13672" spans="3:17" s="700" customFormat="1" ht="70.5" hidden="1" customHeight="1">
      <c r="C13672" s="701"/>
      <c r="D13672" s="811"/>
      <c r="E13672" s="1276">
        <f>[11]building!Y14003</f>
        <v>0</v>
      </c>
      <c r="F13672" s="748">
        <f t="shared" si="452"/>
        <v>0</v>
      </c>
      <c r="G13672" s="1205"/>
      <c r="H13672" s="1055"/>
      <c r="I13672" s="1055"/>
      <c r="J13672" s="1055"/>
      <c r="K13672" s="1205"/>
      <c r="L13672" s="1055"/>
      <c r="M13672" s="1205"/>
      <c r="N13672" s="1054"/>
      <c r="O13672" s="1207"/>
      <c r="Q13672" s="1207"/>
    </row>
    <row r="13673" spans="3:17" s="700" customFormat="1" ht="70.5" hidden="1" customHeight="1">
      <c r="C13673" s="701"/>
      <c r="D13673" s="811"/>
      <c r="E13673" s="1276">
        <f>[11]building!Y14004</f>
        <v>0</v>
      </c>
      <c r="F13673" s="748">
        <f t="shared" si="452"/>
        <v>0</v>
      </c>
      <c r="G13673" s="1205"/>
      <c r="H13673" s="1055"/>
      <c r="I13673" s="1055"/>
      <c r="J13673" s="1055"/>
      <c r="K13673" s="1205"/>
      <c r="L13673" s="1055"/>
      <c r="M13673" s="1205"/>
      <c r="N13673" s="1054"/>
      <c r="O13673" s="1207"/>
      <c r="Q13673" s="1207"/>
    </row>
    <row r="13674" spans="3:17" s="700" customFormat="1" ht="70.5" hidden="1" customHeight="1">
      <c r="C13674" s="701"/>
      <c r="D13674" s="811"/>
      <c r="E13674" s="1276">
        <f>[11]building!Y14005</f>
        <v>0</v>
      </c>
      <c r="F13674" s="748">
        <f t="shared" si="452"/>
        <v>0</v>
      </c>
      <c r="G13674" s="1205"/>
      <c r="H13674" s="1055"/>
      <c r="I13674" s="1055"/>
      <c r="J13674" s="1055"/>
      <c r="K13674" s="1205"/>
      <c r="L13674" s="1055"/>
      <c r="M13674" s="1205"/>
      <c r="N13674" s="1054"/>
      <c r="O13674" s="1207"/>
      <c r="Q13674" s="1207"/>
    </row>
    <row r="13675" spans="3:17" s="700" customFormat="1" ht="70.5" hidden="1" customHeight="1">
      <c r="C13675" s="701"/>
      <c r="D13675" s="811"/>
      <c r="E13675" s="1276">
        <f>[11]building!Y14006</f>
        <v>0</v>
      </c>
      <c r="F13675" s="748">
        <f t="shared" si="452"/>
        <v>0</v>
      </c>
      <c r="G13675" s="1205"/>
      <c r="H13675" s="1055"/>
      <c r="I13675" s="1055"/>
      <c r="J13675" s="1055"/>
      <c r="K13675" s="1205"/>
      <c r="L13675" s="1055"/>
      <c r="M13675" s="1205"/>
      <c r="N13675" s="1054"/>
      <c r="O13675" s="1207"/>
      <c r="Q13675" s="1207"/>
    </row>
    <row r="13676" spans="3:17" s="700" customFormat="1" ht="70.5" hidden="1" customHeight="1">
      <c r="C13676" s="701"/>
      <c r="D13676" s="811"/>
      <c r="E13676" s="1276">
        <f>[11]building!Y14007</f>
        <v>0</v>
      </c>
      <c r="F13676" s="748">
        <f t="shared" si="452"/>
        <v>0</v>
      </c>
      <c r="G13676" s="1205"/>
      <c r="H13676" s="1055"/>
      <c r="I13676" s="1055"/>
      <c r="J13676" s="1055"/>
      <c r="K13676" s="1205"/>
      <c r="L13676" s="1055"/>
      <c r="M13676" s="1205"/>
      <c r="N13676" s="1054"/>
      <c r="O13676" s="1207"/>
      <c r="Q13676" s="1207"/>
    </row>
    <row r="13677" spans="3:17" s="700" customFormat="1" ht="70.5" hidden="1" customHeight="1">
      <c r="C13677" s="701"/>
      <c r="D13677" s="811"/>
      <c r="E13677" s="1276">
        <f>[11]building!Y14008</f>
        <v>0</v>
      </c>
      <c r="F13677" s="748">
        <f t="shared" si="452"/>
        <v>0</v>
      </c>
      <c r="G13677" s="1205"/>
      <c r="H13677" s="1055"/>
      <c r="I13677" s="1055"/>
      <c r="J13677" s="1055"/>
      <c r="K13677" s="1205"/>
      <c r="L13677" s="1055"/>
      <c r="M13677" s="1205"/>
      <c r="N13677" s="1054"/>
      <c r="O13677" s="1207"/>
      <c r="Q13677" s="1207"/>
    </row>
    <row r="13678" spans="3:17" s="700" customFormat="1" ht="70.5" hidden="1" customHeight="1">
      <c r="C13678" s="701"/>
      <c r="D13678" s="811"/>
      <c r="E13678" s="1276">
        <f>[11]building!Y14009</f>
        <v>0</v>
      </c>
      <c r="F13678" s="748">
        <f t="shared" si="452"/>
        <v>0</v>
      </c>
      <c r="G13678" s="1205"/>
      <c r="H13678" s="1055"/>
      <c r="I13678" s="1055"/>
      <c r="J13678" s="1055"/>
      <c r="K13678" s="1205"/>
      <c r="L13678" s="1055"/>
      <c r="M13678" s="1205"/>
      <c r="N13678" s="1054"/>
      <c r="O13678" s="1207"/>
      <c r="Q13678" s="1207"/>
    </row>
    <row r="13679" spans="3:17" s="700" customFormat="1" ht="70.5" hidden="1" customHeight="1">
      <c r="C13679" s="701"/>
      <c r="D13679" s="811"/>
      <c r="E13679" s="1276">
        <f>[11]building!Y14010</f>
        <v>0</v>
      </c>
      <c r="F13679" s="748">
        <f t="shared" si="452"/>
        <v>0</v>
      </c>
      <c r="G13679" s="1205"/>
      <c r="H13679" s="1055"/>
      <c r="I13679" s="1055"/>
      <c r="J13679" s="1055"/>
      <c r="K13679" s="1205"/>
      <c r="L13679" s="1055"/>
      <c r="M13679" s="1205"/>
      <c r="N13679" s="1054"/>
      <c r="O13679" s="1207"/>
      <c r="Q13679" s="1207"/>
    </row>
    <row r="13680" spans="3:17" s="700" customFormat="1" ht="70.5" hidden="1" customHeight="1">
      <c r="C13680" s="701"/>
      <c r="D13680" s="811"/>
      <c r="E13680" s="1276">
        <f>[11]building!Y14011</f>
        <v>0</v>
      </c>
      <c r="F13680" s="748">
        <f t="shared" si="452"/>
        <v>0</v>
      </c>
      <c r="G13680" s="1205"/>
      <c r="H13680" s="1055"/>
      <c r="I13680" s="1055"/>
      <c r="J13680" s="1055"/>
      <c r="K13680" s="1205"/>
      <c r="L13680" s="1055"/>
      <c r="M13680" s="1205"/>
      <c r="N13680" s="1054"/>
      <c r="O13680" s="1207"/>
      <c r="Q13680" s="1207"/>
    </row>
    <row r="13681" spans="3:17" s="700" customFormat="1" ht="70.5" hidden="1" customHeight="1">
      <c r="C13681" s="701"/>
      <c r="D13681" s="811"/>
      <c r="E13681" s="1276">
        <f>[11]building!Y14012</f>
        <v>0</v>
      </c>
      <c r="F13681" s="748">
        <f t="shared" si="452"/>
        <v>0</v>
      </c>
      <c r="G13681" s="1205"/>
      <c r="H13681" s="1055"/>
      <c r="I13681" s="1055"/>
      <c r="J13681" s="1055"/>
      <c r="K13681" s="1205"/>
      <c r="L13681" s="1055"/>
      <c r="M13681" s="1205"/>
      <c r="N13681" s="1054"/>
      <c r="O13681" s="1207"/>
      <c r="Q13681" s="1207"/>
    </row>
    <row r="13682" spans="3:17" s="700" customFormat="1" ht="70.5" hidden="1" customHeight="1">
      <c r="C13682" s="701"/>
      <c r="D13682" s="811"/>
      <c r="E13682" s="1276">
        <f>[11]building!Y14013</f>
        <v>0</v>
      </c>
      <c r="F13682" s="748">
        <f t="shared" si="452"/>
        <v>0</v>
      </c>
      <c r="G13682" s="1205"/>
      <c r="H13682" s="1055"/>
      <c r="I13682" s="1055"/>
      <c r="J13682" s="1055"/>
      <c r="K13682" s="1205"/>
      <c r="L13682" s="1055"/>
      <c r="M13682" s="1205"/>
      <c r="N13682" s="1054"/>
      <c r="O13682" s="1207"/>
      <c r="Q13682" s="1207"/>
    </row>
    <row r="13683" spans="3:17" s="700" customFormat="1" ht="70.5" hidden="1" customHeight="1">
      <c r="C13683" s="701"/>
      <c r="D13683" s="811"/>
      <c r="E13683" s="1276">
        <f>[11]building!Y14014</f>
        <v>0</v>
      </c>
      <c r="F13683" s="748">
        <f t="shared" si="452"/>
        <v>0</v>
      </c>
      <c r="G13683" s="1205"/>
      <c r="H13683" s="1055"/>
      <c r="I13683" s="1055"/>
      <c r="J13683" s="1055"/>
      <c r="K13683" s="1205"/>
      <c r="L13683" s="1055"/>
      <c r="M13683" s="1205"/>
      <c r="N13683" s="1054"/>
      <c r="O13683" s="1207"/>
      <c r="Q13683" s="1207"/>
    </row>
    <row r="13684" spans="3:17" s="700" customFormat="1" ht="70.5" hidden="1" customHeight="1">
      <c r="C13684" s="701"/>
      <c r="D13684" s="811"/>
      <c r="E13684" s="1276">
        <f>[11]building!Y14015</f>
        <v>0</v>
      </c>
      <c r="F13684" s="748">
        <f t="shared" si="452"/>
        <v>0</v>
      </c>
      <c r="G13684" s="1205"/>
      <c r="H13684" s="1055"/>
      <c r="I13684" s="1055"/>
      <c r="J13684" s="1055"/>
      <c r="K13684" s="1205"/>
      <c r="L13684" s="1055"/>
      <c r="M13684" s="1205"/>
      <c r="N13684" s="1054"/>
      <c r="O13684" s="1207"/>
      <c r="Q13684" s="1207"/>
    </row>
    <row r="13685" spans="3:17" s="700" customFormat="1" ht="70.5" hidden="1" customHeight="1">
      <c r="C13685" s="701"/>
      <c r="D13685" s="811"/>
      <c r="E13685" s="1276">
        <f>[11]building!Y14016</f>
        <v>0</v>
      </c>
      <c r="F13685" s="748">
        <f t="shared" si="452"/>
        <v>0</v>
      </c>
      <c r="G13685" s="1205"/>
      <c r="H13685" s="1055"/>
      <c r="I13685" s="1055"/>
      <c r="J13685" s="1055"/>
      <c r="K13685" s="1205"/>
      <c r="L13685" s="1055"/>
      <c r="M13685" s="1205"/>
      <c r="N13685" s="1054"/>
      <c r="O13685" s="1207"/>
      <c r="Q13685" s="1207"/>
    </row>
    <row r="13686" spans="3:17" s="700" customFormat="1" ht="70.5" hidden="1" customHeight="1">
      <c r="C13686" s="701"/>
      <c r="D13686" s="811"/>
      <c r="E13686" s="1276">
        <f>[11]building!Y14017</f>
        <v>0</v>
      </c>
      <c r="F13686" s="748">
        <f t="shared" si="452"/>
        <v>0</v>
      </c>
      <c r="G13686" s="1205"/>
      <c r="H13686" s="1055"/>
      <c r="I13686" s="1055"/>
      <c r="J13686" s="1055"/>
      <c r="K13686" s="1205"/>
      <c r="L13686" s="1055"/>
      <c r="M13686" s="1205"/>
      <c r="N13686" s="1054"/>
      <c r="O13686" s="1207"/>
      <c r="Q13686" s="1207"/>
    </row>
    <row r="13687" spans="3:17" s="700" customFormat="1" ht="70.5" hidden="1" customHeight="1">
      <c r="C13687" s="701"/>
      <c r="D13687" s="811"/>
      <c r="E13687" s="1276">
        <f>[11]building!Y14018</f>
        <v>0</v>
      </c>
      <c r="F13687" s="748">
        <f t="shared" si="452"/>
        <v>0</v>
      </c>
      <c r="G13687" s="1205"/>
      <c r="H13687" s="1055"/>
      <c r="I13687" s="1055"/>
      <c r="J13687" s="1055"/>
      <c r="K13687" s="1205"/>
      <c r="L13687" s="1055"/>
      <c r="M13687" s="1205"/>
      <c r="N13687" s="1054"/>
      <c r="O13687" s="1207"/>
      <c r="Q13687" s="1207"/>
    </row>
    <row r="13688" spans="3:17" s="700" customFormat="1" ht="70.5" hidden="1" customHeight="1">
      <c r="C13688" s="701"/>
      <c r="D13688" s="811"/>
      <c r="E13688" s="1276">
        <f>[11]building!Y14019</f>
        <v>0</v>
      </c>
      <c r="F13688" s="748">
        <f t="shared" si="452"/>
        <v>0</v>
      </c>
      <c r="G13688" s="1205"/>
      <c r="H13688" s="1055"/>
      <c r="I13688" s="1055"/>
      <c r="J13688" s="1055"/>
      <c r="K13688" s="1205"/>
      <c r="L13688" s="1055"/>
      <c r="M13688" s="1205"/>
      <c r="N13688" s="1054"/>
      <c r="O13688" s="1207"/>
      <c r="Q13688" s="1207"/>
    </row>
    <row r="13689" spans="3:17" s="700" customFormat="1" ht="70.5" hidden="1" customHeight="1">
      <c r="C13689" s="701"/>
      <c r="D13689" s="811"/>
      <c r="E13689" s="1276">
        <f>[11]building!Y14020</f>
        <v>0</v>
      </c>
      <c r="F13689" s="748">
        <f t="shared" si="452"/>
        <v>0</v>
      </c>
      <c r="G13689" s="1205"/>
      <c r="H13689" s="1055"/>
      <c r="I13689" s="1055"/>
      <c r="J13689" s="1055"/>
      <c r="K13689" s="1205"/>
      <c r="L13689" s="1055"/>
      <c r="M13689" s="1205"/>
      <c r="N13689" s="1054"/>
      <c r="O13689" s="1207"/>
      <c r="Q13689" s="1207"/>
    </row>
    <row r="13690" spans="3:17" s="700" customFormat="1" ht="70.5" hidden="1" customHeight="1">
      <c r="C13690" s="701"/>
      <c r="D13690" s="811"/>
      <c r="E13690" s="1276">
        <f>[11]building!Y14021</f>
        <v>0</v>
      </c>
      <c r="F13690" s="748">
        <f t="shared" si="452"/>
        <v>0</v>
      </c>
      <c r="G13690" s="1205"/>
      <c r="H13690" s="1055"/>
      <c r="I13690" s="1055"/>
      <c r="J13690" s="1055"/>
      <c r="K13690" s="1205"/>
      <c r="L13690" s="1055"/>
      <c r="M13690" s="1205"/>
      <c r="N13690" s="1054"/>
      <c r="O13690" s="1207"/>
      <c r="Q13690" s="1207"/>
    </row>
    <row r="13691" spans="3:17" s="700" customFormat="1" ht="70.5" hidden="1" customHeight="1">
      <c r="C13691" s="701"/>
      <c r="D13691" s="811"/>
      <c r="E13691" s="1276">
        <f>[11]building!Y14022</f>
        <v>0</v>
      </c>
      <c r="F13691" s="748">
        <f t="shared" si="452"/>
        <v>0</v>
      </c>
      <c r="G13691" s="1205"/>
      <c r="H13691" s="1055"/>
      <c r="I13691" s="1055"/>
      <c r="J13691" s="1055"/>
      <c r="K13691" s="1205"/>
      <c r="L13691" s="1055"/>
      <c r="M13691" s="1205"/>
      <c r="N13691" s="1054"/>
      <c r="O13691" s="1207"/>
      <c r="Q13691" s="1207"/>
    </row>
    <row r="13692" spans="3:17" s="700" customFormat="1" ht="70.5" hidden="1" customHeight="1">
      <c r="C13692" s="701"/>
      <c r="D13692" s="811"/>
      <c r="E13692" s="1276">
        <f>[11]building!Y14023</f>
        <v>0</v>
      </c>
      <c r="F13692" s="748">
        <f t="shared" si="452"/>
        <v>0</v>
      </c>
      <c r="G13692" s="1205"/>
      <c r="H13692" s="1055"/>
      <c r="I13692" s="1055"/>
      <c r="J13692" s="1055"/>
      <c r="K13692" s="1205"/>
      <c r="L13692" s="1055"/>
      <c r="M13692" s="1205"/>
      <c r="N13692" s="1054"/>
      <c r="O13692" s="1207"/>
      <c r="Q13692" s="1207"/>
    </row>
    <row r="13693" spans="3:17" s="700" customFormat="1" ht="70.5" hidden="1" customHeight="1">
      <c r="C13693" s="701"/>
      <c r="D13693" s="811"/>
      <c r="E13693" s="1276">
        <f>[11]building!Y14024</f>
        <v>0</v>
      </c>
      <c r="F13693" s="748">
        <f t="shared" si="452"/>
        <v>0</v>
      </c>
      <c r="G13693" s="1205"/>
      <c r="H13693" s="1055"/>
      <c r="I13693" s="1055"/>
      <c r="J13693" s="1055"/>
      <c r="K13693" s="1205"/>
      <c r="L13693" s="1055"/>
      <c r="M13693" s="1205"/>
      <c r="N13693" s="1054"/>
      <c r="O13693" s="1207"/>
      <c r="Q13693" s="1207"/>
    </row>
    <row r="13694" spans="3:17" s="700" customFormat="1" ht="70.5" hidden="1" customHeight="1">
      <c r="C13694" s="701"/>
      <c r="D13694" s="811"/>
      <c r="E13694" s="1276">
        <f>[11]building!Y14025</f>
        <v>0</v>
      </c>
      <c r="F13694" s="748">
        <f t="shared" si="452"/>
        <v>0</v>
      </c>
      <c r="G13694" s="1205"/>
      <c r="H13694" s="1055"/>
      <c r="I13694" s="1055"/>
      <c r="J13694" s="1055"/>
      <c r="K13694" s="1205"/>
      <c r="L13694" s="1055"/>
      <c r="M13694" s="1205"/>
      <c r="N13694" s="1054"/>
      <c r="O13694" s="1207"/>
      <c r="Q13694" s="1207"/>
    </row>
    <row r="13695" spans="3:17" s="700" customFormat="1" ht="70.5" hidden="1" customHeight="1">
      <c r="C13695" s="701"/>
      <c r="D13695" s="811"/>
      <c r="E13695" s="1276">
        <f>[11]building!Y14026</f>
        <v>0</v>
      </c>
      <c r="F13695" s="748">
        <f t="shared" si="452"/>
        <v>0</v>
      </c>
      <c r="G13695" s="1205"/>
      <c r="H13695" s="1055"/>
      <c r="I13695" s="1055"/>
      <c r="J13695" s="1055"/>
      <c r="K13695" s="1205"/>
      <c r="L13695" s="1055"/>
      <c r="M13695" s="1205"/>
      <c r="N13695" s="1054"/>
      <c r="O13695" s="1207"/>
      <c r="Q13695" s="1207"/>
    </row>
    <row r="13696" spans="3:17" s="700" customFormat="1" ht="70.5" hidden="1" customHeight="1">
      <c r="C13696" s="701"/>
      <c r="D13696" s="811"/>
      <c r="E13696" s="1276">
        <f>[11]building!Y14027</f>
        <v>0</v>
      </c>
      <c r="F13696" s="748">
        <f t="shared" ref="F13696:F13759" si="453">E13696*C13696</f>
        <v>0</v>
      </c>
      <c r="G13696" s="1205"/>
      <c r="H13696" s="1055"/>
      <c r="I13696" s="1055"/>
      <c r="J13696" s="1055"/>
      <c r="K13696" s="1205"/>
      <c r="L13696" s="1055"/>
      <c r="M13696" s="1205"/>
      <c r="N13696" s="1054"/>
      <c r="O13696" s="1207"/>
      <c r="Q13696" s="1207"/>
    </row>
    <row r="13697" spans="3:17" s="700" customFormat="1" ht="70.5" hidden="1" customHeight="1">
      <c r="C13697" s="701"/>
      <c r="D13697" s="811"/>
      <c r="E13697" s="1276">
        <f>[11]building!Y14028</f>
        <v>0</v>
      </c>
      <c r="F13697" s="748">
        <f t="shared" si="453"/>
        <v>0</v>
      </c>
      <c r="G13697" s="1205"/>
      <c r="H13697" s="1055"/>
      <c r="I13697" s="1055"/>
      <c r="J13697" s="1055"/>
      <c r="K13697" s="1205"/>
      <c r="L13697" s="1055"/>
      <c r="M13697" s="1205"/>
      <c r="N13697" s="1054"/>
      <c r="O13697" s="1207"/>
      <c r="Q13697" s="1207"/>
    </row>
    <row r="13698" spans="3:17" s="700" customFormat="1" ht="70.5" hidden="1" customHeight="1">
      <c r="C13698" s="701"/>
      <c r="D13698" s="811"/>
      <c r="E13698" s="1276">
        <f>[11]building!Y14029</f>
        <v>0</v>
      </c>
      <c r="F13698" s="748">
        <f t="shared" si="453"/>
        <v>0</v>
      </c>
      <c r="G13698" s="1205"/>
      <c r="H13698" s="1055"/>
      <c r="I13698" s="1055"/>
      <c r="J13698" s="1055"/>
      <c r="K13698" s="1205"/>
      <c r="L13698" s="1055"/>
      <c r="M13698" s="1205"/>
      <c r="N13698" s="1054"/>
      <c r="O13698" s="1207"/>
      <c r="Q13698" s="1207"/>
    </row>
    <row r="13699" spans="3:17" s="700" customFormat="1" ht="70.5" hidden="1" customHeight="1">
      <c r="C13699" s="701"/>
      <c r="D13699" s="811"/>
      <c r="E13699" s="1276">
        <f>[11]building!Y14030</f>
        <v>0</v>
      </c>
      <c r="F13699" s="748">
        <f t="shared" si="453"/>
        <v>0</v>
      </c>
      <c r="G13699" s="1205"/>
      <c r="H13699" s="1055"/>
      <c r="I13699" s="1055"/>
      <c r="J13699" s="1055"/>
      <c r="K13699" s="1205"/>
      <c r="L13699" s="1055"/>
      <c r="M13699" s="1205"/>
      <c r="N13699" s="1054"/>
      <c r="O13699" s="1207"/>
      <c r="Q13699" s="1207"/>
    </row>
    <row r="13700" spans="3:17" s="700" customFormat="1" ht="70.5" hidden="1" customHeight="1">
      <c r="C13700" s="701"/>
      <c r="D13700" s="811"/>
      <c r="E13700" s="1276">
        <f>[11]building!Y14031</f>
        <v>0</v>
      </c>
      <c r="F13700" s="748">
        <f t="shared" si="453"/>
        <v>0</v>
      </c>
      <c r="G13700" s="1205"/>
      <c r="H13700" s="1055"/>
      <c r="I13700" s="1055"/>
      <c r="J13700" s="1055"/>
      <c r="K13700" s="1205"/>
      <c r="L13700" s="1055"/>
      <c r="M13700" s="1205"/>
      <c r="N13700" s="1054"/>
      <c r="O13700" s="1207"/>
      <c r="Q13700" s="1207"/>
    </row>
    <row r="13701" spans="3:17" s="700" customFormat="1" ht="70.5" hidden="1" customHeight="1">
      <c r="C13701" s="701"/>
      <c r="D13701" s="811"/>
      <c r="E13701" s="1276">
        <f>[11]building!Y14032</f>
        <v>0</v>
      </c>
      <c r="F13701" s="748">
        <f t="shared" si="453"/>
        <v>0</v>
      </c>
      <c r="G13701" s="1205"/>
      <c r="H13701" s="1055"/>
      <c r="I13701" s="1055"/>
      <c r="J13701" s="1055"/>
      <c r="K13701" s="1205"/>
      <c r="L13701" s="1055"/>
      <c r="M13701" s="1205"/>
      <c r="N13701" s="1054"/>
      <c r="O13701" s="1207"/>
      <c r="Q13701" s="1207"/>
    </row>
    <row r="13702" spans="3:17" s="700" customFormat="1" ht="70.5" hidden="1" customHeight="1">
      <c r="C13702" s="701"/>
      <c r="D13702" s="811"/>
      <c r="E13702" s="1276">
        <f>[11]building!Y14033</f>
        <v>0</v>
      </c>
      <c r="F13702" s="748">
        <f t="shared" si="453"/>
        <v>0</v>
      </c>
      <c r="G13702" s="1205"/>
      <c r="H13702" s="1055"/>
      <c r="I13702" s="1055"/>
      <c r="J13702" s="1055"/>
      <c r="K13702" s="1205"/>
      <c r="L13702" s="1055"/>
      <c r="M13702" s="1205"/>
      <c r="N13702" s="1054"/>
      <c r="O13702" s="1207"/>
      <c r="Q13702" s="1207"/>
    </row>
    <row r="13703" spans="3:17" s="700" customFormat="1" ht="70.5" hidden="1" customHeight="1">
      <c r="C13703" s="701"/>
      <c r="D13703" s="811"/>
      <c r="E13703" s="1276">
        <f>[11]building!Y14034</f>
        <v>0</v>
      </c>
      <c r="F13703" s="748">
        <f t="shared" si="453"/>
        <v>0</v>
      </c>
      <c r="G13703" s="1205"/>
      <c r="H13703" s="1055"/>
      <c r="I13703" s="1055"/>
      <c r="J13703" s="1055"/>
      <c r="K13703" s="1205"/>
      <c r="L13703" s="1055"/>
      <c r="M13703" s="1205"/>
      <c r="N13703" s="1054"/>
      <c r="O13703" s="1207"/>
      <c r="Q13703" s="1207"/>
    </row>
    <row r="13704" spans="3:17" s="700" customFormat="1" ht="70.5" hidden="1" customHeight="1">
      <c r="C13704" s="701"/>
      <c r="D13704" s="811"/>
      <c r="E13704" s="1276">
        <f>[11]building!Y14035</f>
        <v>0</v>
      </c>
      <c r="F13704" s="748">
        <f t="shared" si="453"/>
        <v>0</v>
      </c>
      <c r="G13704" s="1205"/>
      <c r="H13704" s="1055"/>
      <c r="I13704" s="1055"/>
      <c r="J13704" s="1055"/>
      <c r="K13704" s="1205"/>
      <c r="L13704" s="1055"/>
      <c r="M13704" s="1205"/>
      <c r="N13704" s="1054"/>
      <c r="O13704" s="1207"/>
      <c r="Q13704" s="1207"/>
    </row>
    <row r="13705" spans="3:17" s="700" customFormat="1" ht="70.5" hidden="1" customHeight="1">
      <c r="C13705" s="701"/>
      <c r="D13705" s="811"/>
      <c r="E13705" s="1276">
        <f>[11]building!Y14036</f>
        <v>0</v>
      </c>
      <c r="F13705" s="748">
        <f t="shared" si="453"/>
        <v>0</v>
      </c>
      <c r="G13705" s="1205"/>
      <c r="H13705" s="1055"/>
      <c r="I13705" s="1055"/>
      <c r="J13705" s="1055"/>
      <c r="K13705" s="1205"/>
      <c r="L13705" s="1055"/>
      <c r="M13705" s="1205"/>
      <c r="N13705" s="1054"/>
      <c r="O13705" s="1207"/>
      <c r="Q13705" s="1207"/>
    </row>
    <row r="13706" spans="3:17" s="700" customFormat="1" ht="70.5" hidden="1" customHeight="1">
      <c r="C13706" s="701"/>
      <c r="D13706" s="811"/>
      <c r="E13706" s="1276">
        <f>[11]building!Y14037</f>
        <v>0</v>
      </c>
      <c r="F13706" s="748">
        <f t="shared" si="453"/>
        <v>0</v>
      </c>
      <c r="G13706" s="1205"/>
      <c r="H13706" s="1055"/>
      <c r="I13706" s="1055"/>
      <c r="J13706" s="1055"/>
      <c r="K13706" s="1205"/>
      <c r="L13706" s="1055"/>
      <c r="M13706" s="1205"/>
      <c r="N13706" s="1054"/>
      <c r="O13706" s="1207"/>
      <c r="Q13706" s="1207"/>
    </row>
    <row r="13707" spans="3:17" s="700" customFormat="1" ht="70.5" hidden="1" customHeight="1">
      <c r="C13707" s="701"/>
      <c r="D13707" s="811"/>
      <c r="E13707" s="1276">
        <f>[11]building!Y14038</f>
        <v>0</v>
      </c>
      <c r="F13707" s="748">
        <f t="shared" si="453"/>
        <v>0</v>
      </c>
      <c r="G13707" s="1205"/>
      <c r="H13707" s="1055"/>
      <c r="I13707" s="1055"/>
      <c r="J13707" s="1055"/>
      <c r="K13707" s="1205"/>
      <c r="L13707" s="1055"/>
      <c r="M13707" s="1205"/>
      <c r="N13707" s="1054"/>
      <c r="O13707" s="1207"/>
      <c r="Q13707" s="1207"/>
    </row>
    <row r="13708" spans="3:17" s="700" customFormat="1" ht="70.5" hidden="1" customHeight="1">
      <c r="C13708" s="701"/>
      <c r="D13708" s="811"/>
      <c r="E13708" s="1276">
        <f>[11]building!Y14039</f>
        <v>0</v>
      </c>
      <c r="F13708" s="748">
        <f t="shared" si="453"/>
        <v>0</v>
      </c>
      <c r="G13708" s="1205"/>
      <c r="H13708" s="1055"/>
      <c r="I13708" s="1055"/>
      <c r="J13708" s="1055"/>
      <c r="K13708" s="1205"/>
      <c r="L13708" s="1055"/>
      <c r="M13708" s="1205"/>
      <c r="N13708" s="1054"/>
      <c r="O13708" s="1207"/>
      <c r="Q13708" s="1207"/>
    </row>
    <row r="13709" spans="3:17" s="700" customFormat="1" ht="70.5" hidden="1" customHeight="1">
      <c r="C13709" s="701"/>
      <c r="D13709" s="811"/>
      <c r="E13709" s="1276">
        <f>[11]building!Y14040</f>
        <v>0</v>
      </c>
      <c r="F13709" s="748">
        <f t="shared" si="453"/>
        <v>0</v>
      </c>
      <c r="G13709" s="1205"/>
      <c r="H13709" s="1055"/>
      <c r="I13709" s="1055"/>
      <c r="J13709" s="1055"/>
      <c r="K13709" s="1205"/>
      <c r="L13709" s="1055"/>
      <c r="M13709" s="1205"/>
      <c r="N13709" s="1054"/>
      <c r="O13709" s="1207"/>
      <c r="Q13709" s="1207"/>
    </row>
    <row r="13710" spans="3:17" s="700" customFormat="1" ht="70.5" hidden="1" customHeight="1">
      <c r="C13710" s="701"/>
      <c r="D13710" s="811"/>
      <c r="E13710" s="1276">
        <f>[11]building!Y14041</f>
        <v>0</v>
      </c>
      <c r="F13710" s="748">
        <f t="shared" si="453"/>
        <v>0</v>
      </c>
      <c r="G13710" s="1205"/>
      <c r="H13710" s="1055"/>
      <c r="I13710" s="1055"/>
      <c r="J13710" s="1055"/>
      <c r="K13710" s="1205"/>
      <c r="L13710" s="1055"/>
      <c r="M13710" s="1205"/>
      <c r="N13710" s="1054"/>
      <c r="O13710" s="1207"/>
      <c r="Q13710" s="1207"/>
    </row>
    <row r="13711" spans="3:17" s="700" customFormat="1" ht="70.5" hidden="1" customHeight="1">
      <c r="C13711" s="701"/>
      <c r="D13711" s="811"/>
      <c r="E13711" s="1276">
        <f>[11]building!Y14042</f>
        <v>0</v>
      </c>
      <c r="F13711" s="748">
        <f t="shared" si="453"/>
        <v>0</v>
      </c>
      <c r="G13711" s="1205"/>
      <c r="H13711" s="1055"/>
      <c r="I13711" s="1055"/>
      <c r="J13711" s="1055"/>
      <c r="K13711" s="1205"/>
      <c r="L13711" s="1055"/>
      <c r="M13711" s="1205"/>
      <c r="N13711" s="1054"/>
      <c r="O13711" s="1207"/>
      <c r="Q13711" s="1207"/>
    </row>
    <row r="13712" spans="3:17" s="700" customFormat="1" ht="70.5" hidden="1" customHeight="1">
      <c r="C13712" s="701"/>
      <c r="D13712" s="811"/>
      <c r="E13712" s="1276">
        <f>[11]building!Y14043</f>
        <v>0</v>
      </c>
      <c r="F13712" s="748">
        <f t="shared" si="453"/>
        <v>0</v>
      </c>
      <c r="G13712" s="1205"/>
      <c r="H13712" s="1055"/>
      <c r="I13712" s="1055"/>
      <c r="J13712" s="1055"/>
      <c r="K13712" s="1205"/>
      <c r="L13712" s="1055"/>
      <c r="M13712" s="1205"/>
      <c r="N13712" s="1054"/>
      <c r="O13712" s="1207"/>
      <c r="Q13712" s="1207"/>
    </row>
    <row r="13713" spans="3:17" s="700" customFormat="1" ht="70.5" hidden="1" customHeight="1">
      <c r="C13713" s="701"/>
      <c r="D13713" s="811"/>
      <c r="E13713" s="1276">
        <f>[11]building!Y14044</f>
        <v>0</v>
      </c>
      <c r="F13713" s="748">
        <f t="shared" si="453"/>
        <v>0</v>
      </c>
      <c r="G13713" s="1205"/>
      <c r="H13713" s="1055"/>
      <c r="I13713" s="1055"/>
      <c r="J13713" s="1055"/>
      <c r="K13713" s="1205"/>
      <c r="L13713" s="1055"/>
      <c r="M13713" s="1205"/>
      <c r="N13713" s="1054"/>
      <c r="O13713" s="1207"/>
      <c r="Q13713" s="1207"/>
    </row>
    <row r="13714" spans="3:17" s="700" customFormat="1" ht="70.5" hidden="1" customHeight="1">
      <c r="C13714" s="701"/>
      <c r="D13714" s="811"/>
      <c r="E13714" s="1276">
        <f>[11]building!Y14045</f>
        <v>0</v>
      </c>
      <c r="F13714" s="748">
        <f t="shared" si="453"/>
        <v>0</v>
      </c>
      <c r="G13714" s="1205"/>
      <c r="H13714" s="1055"/>
      <c r="I13714" s="1055"/>
      <c r="J13714" s="1055"/>
      <c r="K13714" s="1205"/>
      <c r="L13714" s="1055"/>
      <c r="M13714" s="1205"/>
      <c r="N13714" s="1054"/>
      <c r="O13714" s="1207"/>
      <c r="Q13714" s="1207"/>
    </row>
    <row r="13715" spans="3:17" s="700" customFormat="1" ht="70.5" hidden="1" customHeight="1">
      <c r="C13715" s="701"/>
      <c r="D13715" s="811"/>
      <c r="E13715" s="1276">
        <f>[11]building!Y14046</f>
        <v>0</v>
      </c>
      <c r="F13715" s="748">
        <f t="shared" si="453"/>
        <v>0</v>
      </c>
      <c r="G13715" s="1205"/>
      <c r="H13715" s="1055"/>
      <c r="I13715" s="1055"/>
      <c r="J13715" s="1055"/>
      <c r="K13715" s="1205"/>
      <c r="L13715" s="1055"/>
      <c r="M13715" s="1205"/>
      <c r="N13715" s="1054"/>
      <c r="O13715" s="1207"/>
      <c r="Q13715" s="1207"/>
    </row>
    <row r="13716" spans="3:17" s="700" customFormat="1" ht="70.5" hidden="1" customHeight="1">
      <c r="C13716" s="701"/>
      <c r="D13716" s="811"/>
      <c r="E13716" s="1276">
        <f>[11]building!Y14047</f>
        <v>0</v>
      </c>
      <c r="F13716" s="748">
        <f t="shared" si="453"/>
        <v>0</v>
      </c>
      <c r="G13716" s="1205"/>
      <c r="H13716" s="1055"/>
      <c r="I13716" s="1055"/>
      <c r="J13716" s="1055"/>
      <c r="K13716" s="1205"/>
      <c r="L13716" s="1055"/>
      <c r="M13716" s="1205"/>
      <c r="N13716" s="1054"/>
      <c r="O13716" s="1207"/>
      <c r="Q13716" s="1207"/>
    </row>
    <row r="13717" spans="3:17" s="700" customFormat="1" ht="70.5" hidden="1" customHeight="1">
      <c r="C13717" s="701"/>
      <c r="D13717" s="811"/>
      <c r="E13717" s="1276">
        <f>[11]building!Y14048</f>
        <v>0</v>
      </c>
      <c r="F13717" s="748">
        <f t="shared" si="453"/>
        <v>0</v>
      </c>
      <c r="G13717" s="1205"/>
      <c r="H13717" s="1055"/>
      <c r="I13717" s="1055"/>
      <c r="J13717" s="1055"/>
      <c r="K13717" s="1205"/>
      <c r="L13717" s="1055"/>
      <c r="M13717" s="1205"/>
      <c r="N13717" s="1054"/>
      <c r="O13717" s="1207"/>
      <c r="Q13717" s="1207"/>
    </row>
    <row r="13718" spans="3:17" s="700" customFormat="1" ht="70.5" hidden="1" customHeight="1">
      <c r="C13718" s="701"/>
      <c r="D13718" s="811"/>
      <c r="E13718" s="1276">
        <f>[11]building!Y14049</f>
        <v>0</v>
      </c>
      <c r="F13718" s="748">
        <f t="shared" si="453"/>
        <v>0</v>
      </c>
      <c r="G13718" s="1205"/>
      <c r="H13718" s="1055"/>
      <c r="I13718" s="1055"/>
      <c r="J13718" s="1055"/>
      <c r="K13718" s="1205"/>
      <c r="L13718" s="1055"/>
      <c r="M13718" s="1205"/>
      <c r="N13718" s="1054"/>
      <c r="O13718" s="1207"/>
      <c r="Q13718" s="1207"/>
    </row>
    <row r="13719" spans="3:17" s="700" customFormat="1" ht="70.5" hidden="1" customHeight="1">
      <c r="C13719" s="701"/>
      <c r="D13719" s="811"/>
      <c r="E13719" s="1276">
        <f>[11]building!Y14050</f>
        <v>0</v>
      </c>
      <c r="F13719" s="748">
        <f t="shared" si="453"/>
        <v>0</v>
      </c>
      <c r="G13719" s="1205"/>
      <c r="H13719" s="1055"/>
      <c r="I13719" s="1055"/>
      <c r="J13719" s="1055"/>
      <c r="K13719" s="1205"/>
      <c r="L13719" s="1055"/>
      <c r="M13719" s="1205"/>
      <c r="N13719" s="1054"/>
      <c r="O13719" s="1207"/>
      <c r="Q13719" s="1207"/>
    </row>
    <row r="13720" spans="3:17" s="700" customFormat="1" ht="70.5" hidden="1" customHeight="1">
      <c r="C13720" s="701"/>
      <c r="D13720" s="811"/>
      <c r="E13720" s="1276">
        <f>[11]building!Y14051</f>
        <v>0</v>
      </c>
      <c r="F13720" s="748">
        <f t="shared" si="453"/>
        <v>0</v>
      </c>
      <c r="G13720" s="1205"/>
      <c r="H13720" s="1055"/>
      <c r="I13720" s="1055"/>
      <c r="J13720" s="1055"/>
      <c r="K13720" s="1205"/>
      <c r="L13720" s="1055"/>
      <c r="M13720" s="1205"/>
      <c r="N13720" s="1054"/>
      <c r="O13720" s="1207"/>
      <c r="Q13720" s="1207"/>
    </row>
    <row r="13721" spans="3:17" s="700" customFormat="1" ht="70.5" hidden="1" customHeight="1">
      <c r="C13721" s="701"/>
      <c r="D13721" s="811"/>
      <c r="E13721" s="1276">
        <f>[11]building!Y14052</f>
        <v>0</v>
      </c>
      <c r="F13721" s="748">
        <f t="shared" si="453"/>
        <v>0</v>
      </c>
      <c r="G13721" s="1205"/>
      <c r="H13721" s="1055"/>
      <c r="I13721" s="1055"/>
      <c r="J13721" s="1055"/>
      <c r="K13721" s="1205"/>
      <c r="L13721" s="1055"/>
      <c r="M13721" s="1205"/>
      <c r="N13721" s="1054"/>
      <c r="O13721" s="1207"/>
      <c r="Q13721" s="1207"/>
    </row>
    <row r="13722" spans="3:17" s="700" customFormat="1" ht="70.5" hidden="1" customHeight="1">
      <c r="C13722" s="701"/>
      <c r="D13722" s="811"/>
      <c r="E13722" s="1276">
        <f>[11]building!Y14053</f>
        <v>0</v>
      </c>
      <c r="F13722" s="748">
        <f t="shared" si="453"/>
        <v>0</v>
      </c>
      <c r="G13722" s="1205"/>
      <c r="H13722" s="1055"/>
      <c r="I13722" s="1055"/>
      <c r="J13722" s="1055"/>
      <c r="K13722" s="1205"/>
      <c r="L13722" s="1055"/>
      <c r="M13722" s="1205"/>
      <c r="N13722" s="1054"/>
      <c r="O13722" s="1207"/>
      <c r="Q13722" s="1207"/>
    </row>
    <row r="13723" spans="3:17" s="700" customFormat="1" ht="70.5" hidden="1" customHeight="1">
      <c r="C13723" s="701"/>
      <c r="D13723" s="811"/>
      <c r="E13723" s="1276">
        <f>[11]building!Y14054</f>
        <v>0</v>
      </c>
      <c r="F13723" s="748">
        <f t="shared" si="453"/>
        <v>0</v>
      </c>
      <c r="G13723" s="1205"/>
      <c r="H13723" s="1055"/>
      <c r="I13723" s="1055"/>
      <c r="J13723" s="1055"/>
      <c r="K13723" s="1205"/>
      <c r="L13723" s="1055"/>
      <c r="M13723" s="1205"/>
      <c r="N13723" s="1054"/>
      <c r="O13723" s="1207"/>
      <c r="Q13723" s="1207"/>
    </row>
    <row r="13724" spans="3:17" s="700" customFormat="1" ht="70.5" hidden="1" customHeight="1">
      <c r="C13724" s="701"/>
      <c r="D13724" s="811"/>
      <c r="E13724" s="1276">
        <f>[11]building!Y14055</f>
        <v>0</v>
      </c>
      <c r="F13724" s="748">
        <f t="shared" si="453"/>
        <v>0</v>
      </c>
      <c r="G13724" s="1205"/>
      <c r="H13724" s="1055"/>
      <c r="I13724" s="1055"/>
      <c r="J13724" s="1055"/>
      <c r="K13724" s="1205"/>
      <c r="L13724" s="1055"/>
      <c r="M13724" s="1205"/>
      <c r="N13724" s="1054"/>
      <c r="O13724" s="1207"/>
      <c r="Q13724" s="1207"/>
    </row>
    <row r="13725" spans="3:17" s="700" customFormat="1" ht="70.5" hidden="1" customHeight="1">
      <c r="C13725" s="701"/>
      <c r="D13725" s="811"/>
      <c r="E13725" s="1276">
        <f>[11]building!Y14056</f>
        <v>0</v>
      </c>
      <c r="F13725" s="748">
        <f t="shared" si="453"/>
        <v>0</v>
      </c>
      <c r="G13725" s="1205"/>
      <c r="H13725" s="1055"/>
      <c r="I13725" s="1055"/>
      <c r="J13725" s="1055"/>
      <c r="K13725" s="1205"/>
      <c r="L13725" s="1055"/>
      <c r="M13725" s="1205"/>
      <c r="N13725" s="1054"/>
      <c r="O13725" s="1207"/>
      <c r="Q13725" s="1207"/>
    </row>
    <row r="13726" spans="3:17" s="700" customFormat="1" ht="70.5" hidden="1" customHeight="1">
      <c r="C13726" s="701"/>
      <c r="D13726" s="811"/>
      <c r="E13726" s="1276">
        <f>[11]building!Y14057</f>
        <v>0</v>
      </c>
      <c r="F13726" s="748">
        <f t="shared" si="453"/>
        <v>0</v>
      </c>
      <c r="G13726" s="1205"/>
      <c r="H13726" s="1055"/>
      <c r="I13726" s="1055"/>
      <c r="J13726" s="1055"/>
      <c r="K13726" s="1205"/>
      <c r="L13726" s="1055"/>
      <c r="M13726" s="1205"/>
      <c r="N13726" s="1054"/>
      <c r="O13726" s="1207"/>
      <c r="Q13726" s="1207"/>
    </row>
    <row r="13727" spans="3:17" s="700" customFormat="1" ht="70.5" hidden="1" customHeight="1">
      <c r="C13727" s="701"/>
      <c r="D13727" s="811"/>
      <c r="E13727" s="1276">
        <f>[11]building!Y14058</f>
        <v>0</v>
      </c>
      <c r="F13727" s="748">
        <f t="shared" si="453"/>
        <v>0</v>
      </c>
      <c r="G13727" s="1205"/>
      <c r="H13727" s="1055"/>
      <c r="I13727" s="1055"/>
      <c r="J13727" s="1055"/>
      <c r="K13727" s="1205"/>
      <c r="L13727" s="1055"/>
      <c r="M13727" s="1205"/>
      <c r="N13727" s="1054"/>
      <c r="O13727" s="1207"/>
      <c r="Q13727" s="1207"/>
    </row>
    <row r="13728" spans="3:17" s="700" customFormat="1" ht="70.5" hidden="1" customHeight="1">
      <c r="C13728" s="701"/>
      <c r="D13728" s="811"/>
      <c r="E13728" s="1276">
        <f>[11]building!Y14059</f>
        <v>0</v>
      </c>
      <c r="F13728" s="748">
        <f t="shared" si="453"/>
        <v>0</v>
      </c>
      <c r="G13728" s="1205"/>
      <c r="H13728" s="1055"/>
      <c r="I13728" s="1055"/>
      <c r="J13728" s="1055"/>
      <c r="K13728" s="1205"/>
      <c r="L13728" s="1055"/>
      <c r="M13728" s="1205"/>
      <c r="N13728" s="1054"/>
      <c r="O13728" s="1207"/>
      <c r="Q13728" s="1207"/>
    </row>
    <row r="13729" spans="3:17" s="700" customFormat="1" ht="70.5" hidden="1" customHeight="1">
      <c r="C13729" s="701"/>
      <c r="D13729" s="811"/>
      <c r="E13729" s="1276">
        <f>[11]building!Y14060</f>
        <v>0</v>
      </c>
      <c r="F13729" s="748">
        <f t="shared" si="453"/>
        <v>0</v>
      </c>
      <c r="G13729" s="1205"/>
      <c r="H13729" s="1055"/>
      <c r="I13729" s="1055"/>
      <c r="J13729" s="1055"/>
      <c r="K13729" s="1205"/>
      <c r="L13729" s="1055"/>
      <c r="M13729" s="1205"/>
      <c r="N13729" s="1054"/>
      <c r="O13729" s="1207"/>
      <c r="Q13729" s="1207"/>
    </row>
    <row r="13730" spans="3:17" s="700" customFormat="1" ht="70.5" hidden="1" customHeight="1">
      <c r="C13730" s="701"/>
      <c r="D13730" s="811"/>
      <c r="E13730" s="1276">
        <f>[11]building!Y14061</f>
        <v>0</v>
      </c>
      <c r="F13730" s="748">
        <f t="shared" si="453"/>
        <v>0</v>
      </c>
      <c r="G13730" s="1205"/>
      <c r="H13730" s="1055"/>
      <c r="I13730" s="1055"/>
      <c r="J13730" s="1055"/>
      <c r="K13730" s="1205"/>
      <c r="L13730" s="1055"/>
      <c r="M13730" s="1205"/>
      <c r="N13730" s="1054"/>
      <c r="O13730" s="1207"/>
      <c r="Q13730" s="1207"/>
    </row>
    <row r="13731" spans="3:17" s="700" customFormat="1" ht="70.5" hidden="1" customHeight="1">
      <c r="C13731" s="701"/>
      <c r="D13731" s="811"/>
      <c r="E13731" s="1276">
        <f>[11]building!Y14062</f>
        <v>0</v>
      </c>
      <c r="F13731" s="748">
        <f t="shared" si="453"/>
        <v>0</v>
      </c>
      <c r="G13731" s="1205"/>
      <c r="H13731" s="1055"/>
      <c r="I13731" s="1055"/>
      <c r="J13731" s="1055"/>
      <c r="K13731" s="1205"/>
      <c r="L13731" s="1055"/>
      <c r="M13731" s="1205"/>
      <c r="N13731" s="1054"/>
      <c r="O13731" s="1207"/>
      <c r="Q13731" s="1207"/>
    </row>
    <row r="13732" spans="3:17" s="700" customFormat="1" ht="70.5" hidden="1" customHeight="1">
      <c r="C13732" s="701"/>
      <c r="D13732" s="811"/>
      <c r="E13732" s="1276">
        <f>[11]building!Y14063</f>
        <v>0</v>
      </c>
      <c r="F13732" s="748">
        <f t="shared" si="453"/>
        <v>0</v>
      </c>
      <c r="G13732" s="1205"/>
      <c r="H13732" s="1055"/>
      <c r="I13732" s="1055"/>
      <c r="J13732" s="1055"/>
      <c r="K13732" s="1205"/>
      <c r="L13732" s="1055"/>
      <c r="M13732" s="1205"/>
      <c r="N13732" s="1054"/>
      <c r="O13732" s="1207"/>
      <c r="Q13732" s="1207"/>
    </row>
    <row r="13733" spans="3:17" s="700" customFormat="1" ht="70.5" hidden="1" customHeight="1">
      <c r="C13733" s="701"/>
      <c r="D13733" s="811"/>
      <c r="E13733" s="1276">
        <f>[11]building!Y14064</f>
        <v>0</v>
      </c>
      <c r="F13733" s="748">
        <f t="shared" si="453"/>
        <v>0</v>
      </c>
      <c r="G13733" s="1205"/>
      <c r="H13733" s="1055"/>
      <c r="I13733" s="1055"/>
      <c r="J13733" s="1055"/>
      <c r="K13733" s="1205"/>
      <c r="L13733" s="1055"/>
      <c r="M13733" s="1205"/>
      <c r="N13733" s="1054"/>
      <c r="O13733" s="1207"/>
      <c r="Q13733" s="1207"/>
    </row>
    <row r="13734" spans="3:17" s="700" customFormat="1" ht="70.5" hidden="1" customHeight="1">
      <c r="C13734" s="701"/>
      <c r="D13734" s="811"/>
      <c r="E13734" s="1276">
        <f>[11]building!Y14065</f>
        <v>0</v>
      </c>
      <c r="F13734" s="748">
        <f t="shared" si="453"/>
        <v>0</v>
      </c>
      <c r="G13734" s="1205"/>
      <c r="H13734" s="1055"/>
      <c r="I13734" s="1055"/>
      <c r="J13734" s="1055"/>
      <c r="K13734" s="1205"/>
      <c r="L13734" s="1055"/>
      <c r="M13734" s="1205"/>
      <c r="N13734" s="1054"/>
      <c r="O13734" s="1207"/>
      <c r="Q13734" s="1207"/>
    </row>
    <row r="13735" spans="3:17" s="700" customFormat="1" ht="70.5" hidden="1" customHeight="1">
      <c r="C13735" s="701"/>
      <c r="D13735" s="811"/>
      <c r="E13735" s="1276">
        <f>[11]building!Y14066</f>
        <v>0</v>
      </c>
      <c r="F13735" s="748">
        <f t="shared" si="453"/>
        <v>0</v>
      </c>
      <c r="G13735" s="1205"/>
      <c r="H13735" s="1055"/>
      <c r="I13735" s="1055"/>
      <c r="J13735" s="1055"/>
      <c r="K13735" s="1205"/>
      <c r="L13735" s="1055"/>
      <c r="M13735" s="1205"/>
      <c r="N13735" s="1054"/>
      <c r="O13735" s="1207"/>
      <c r="Q13735" s="1207"/>
    </row>
    <row r="13736" spans="3:17" s="700" customFormat="1" ht="70.5" hidden="1" customHeight="1">
      <c r="C13736" s="701"/>
      <c r="D13736" s="811"/>
      <c r="E13736" s="1276">
        <f>[11]building!Y14067</f>
        <v>0</v>
      </c>
      <c r="F13736" s="748">
        <f t="shared" si="453"/>
        <v>0</v>
      </c>
      <c r="G13736" s="1205"/>
      <c r="H13736" s="1055"/>
      <c r="I13736" s="1055"/>
      <c r="J13736" s="1055"/>
      <c r="K13736" s="1205"/>
      <c r="L13736" s="1055"/>
      <c r="M13736" s="1205"/>
      <c r="N13736" s="1054"/>
      <c r="O13736" s="1207"/>
      <c r="Q13736" s="1207"/>
    </row>
    <row r="13737" spans="3:17" s="700" customFormat="1" ht="70.5" hidden="1" customHeight="1">
      <c r="C13737" s="701"/>
      <c r="D13737" s="811"/>
      <c r="E13737" s="1276">
        <f>[11]building!Y14068</f>
        <v>0</v>
      </c>
      <c r="F13737" s="748">
        <f t="shared" si="453"/>
        <v>0</v>
      </c>
      <c r="G13737" s="1205"/>
      <c r="H13737" s="1055"/>
      <c r="I13737" s="1055"/>
      <c r="J13737" s="1055"/>
      <c r="K13737" s="1205"/>
      <c r="L13737" s="1055"/>
      <c r="M13737" s="1205"/>
      <c r="N13737" s="1054"/>
      <c r="O13737" s="1207"/>
      <c r="Q13737" s="1207"/>
    </row>
    <row r="13738" spans="3:17" s="700" customFormat="1" ht="70.5" hidden="1" customHeight="1">
      <c r="C13738" s="701"/>
      <c r="D13738" s="811"/>
      <c r="E13738" s="1276">
        <f>[11]building!Y14069</f>
        <v>0</v>
      </c>
      <c r="F13738" s="748">
        <f t="shared" si="453"/>
        <v>0</v>
      </c>
      <c r="G13738" s="1205"/>
      <c r="H13738" s="1055"/>
      <c r="I13738" s="1055"/>
      <c r="J13738" s="1055"/>
      <c r="K13738" s="1205"/>
      <c r="L13738" s="1055"/>
      <c r="M13738" s="1205"/>
      <c r="N13738" s="1054"/>
      <c r="O13738" s="1207"/>
      <c r="Q13738" s="1207"/>
    </row>
    <row r="13739" spans="3:17" s="700" customFormat="1" ht="70.5" hidden="1" customHeight="1">
      <c r="C13739" s="701"/>
      <c r="D13739" s="811"/>
      <c r="E13739" s="1276">
        <f>[11]building!Y14070</f>
        <v>0</v>
      </c>
      <c r="F13739" s="748">
        <f t="shared" si="453"/>
        <v>0</v>
      </c>
      <c r="G13739" s="1205"/>
      <c r="H13739" s="1055"/>
      <c r="I13739" s="1055"/>
      <c r="J13739" s="1055"/>
      <c r="K13739" s="1205"/>
      <c r="L13739" s="1055"/>
      <c r="M13739" s="1205"/>
      <c r="N13739" s="1054"/>
      <c r="O13739" s="1207"/>
      <c r="Q13739" s="1207"/>
    </row>
    <row r="13740" spans="3:17" s="700" customFormat="1" ht="70.5" hidden="1" customHeight="1">
      <c r="C13740" s="701"/>
      <c r="D13740" s="811"/>
      <c r="E13740" s="1276">
        <f>[11]building!Y14071</f>
        <v>0</v>
      </c>
      <c r="F13740" s="748">
        <f t="shared" si="453"/>
        <v>0</v>
      </c>
      <c r="G13740" s="1205"/>
      <c r="H13740" s="1055"/>
      <c r="I13740" s="1055"/>
      <c r="J13740" s="1055"/>
      <c r="K13740" s="1205"/>
      <c r="L13740" s="1055"/>
      <c r="M13740" s="1205"/>
      <c r="N13740" s="1054"/>
      <c r="O13740" s="1207"/>
      <c r="Q13740" s="1207"/>
    </row>
    <row r="13741" spans="3:17" s="700" customFormat="1" ht="70.5" hidden="1" customHeight="1">
      <c r="C13741" s="701"/>
      <c r="D13741" s="811"/>
      <c r="E13741" s="1276">
        <f>[11]building!Y14072</f>
        <v>0</v>
      </c>
      <c r="F13741" s="748">
        <f t="shared" si="453"/>
        <v>0</v>
      </c>
      <c r="G13741" s="1205"/>
      <c r="H13741" s="1055"/>
      <c r="I13741" s="1055"/>
      <c r="J13741" s="1055"/>
      <c r="K13741" s="1205"/>
      <c r="L13741" s="1055"/>
      <c r="M13741" s="1205"/>
      <c r="N13741" s="1054"/>
      <c r="O13741" s="1207"/>
      <c r="Q13741" s="1207"/>
    </row>
    <row r="13742" spans="3:17" s="700" customFormat="1" ht="70.5" hidden="1" customHeight="1">
      <c r="C13742" s="701"/>
      <c r="D13742" s="811"/>
      <c r="E13742" s="1276">
        <f>[11]building!Y14073</f>
        <v>0</v>
      </c>
      <c r="F13742" s="748">
        <f t="shared" si="453"/>
        <v>0</v>
      </c>
      <c r="G13742" s="1205"/>
      <c r="H13742" s="1055"/>
      <c r="I13742" s="1055"/>
      <c r="J13742" s="1055"/>
      <c r="K13742" s="1205"/>
      <c r="L13742" s="1055"/>
      <c r="M13742" s="1205"/>
      <c r="N13742" s="1054"/>
      <c r="O13742" s="1207"/>
      <c r="Q13742" s="1207"/>
    </row>
    <row r="13743" spans="3:17" s="700" customFormat="1" ht="70.5" hidden="1" customHeight="1">
      <c r="C13743" s="701"/>
      <c r="D13743" s="811"/>
      <c r="E13743" s="1276">
        <f>[11]building!Y14074</f>
        <v>0</v>
      </c>
      <c r="F13743" s="748">
        <f t="shared" si="453"/>
        <v>0</v>
      </c>
      <c r="G13743" s="1205"/>
      <c r="H13743" s="1055"/>
      <c r="I13743" s="1055"/>
      <c r="J13743" s="1055"/>
      <c r="K13743" s="1205"/>
      <c r="L13743" s="1055"/>
      <c r="M13743" s="1205"/>
      <c r="N13743" s="1054"/>
      <c r="O13743" s="1207"/>
      <c r="Q13743" s="1207"/>
    </row>
    <row r="13744" spans="3:17" s="700" customFormat="1" ht="70.5" hidden="1" customHeight="1">
      <c r="C13744" s="701"/>
      <c r="D13744" s="811"/>
      <c r="E13744" s="1276">
        <f>[11]building!Y14075</f>
        <v>0</v>
      </c>
      <c r="F13744" s="748">
        <f t="shared" si="453"/>
        <v>0</v>
      </c>
      <c r="G13744" s="1205"/>
      <c r="H13744" s="1055"/>
      <c r="I13744" s="1055"/>
      <c r="J13744" s="1055"/>
      <c r="K13744" s="1205"/>
      <c r="L13744" s="1055"/>
      <c r="M13744" s="1205"/>
      <c r="N13744" s="1054"/>
      <c r="O13744" s="1207"/>
      <c r="Q13744" s="1207"/>
    </row>
    <row r="13745" spans="3:17" s="700" customFormat="1" ht="70.5" hidden="1" customHeight="1">
      <c r="C13745" s="701"/>
      <c r="D13745" s="811"/>
      <c r="E13745" s="1276">
        <f>[11]building!Y14076</f>
        <v>0</v>
      </c>
      <c r="F13745" s="748">
        <f t="shared" si="453"/>
        <v>0</v>
      </c>
      <c r="G13745" s="1205"/>
      <c r="H13745" s="1055"/>
      <c r="I13745" s="1055"/>
      <c r="J13745" s="1055"/>
      <c r="K13745" s="1205"/>
      <c r="L13745" s="1055"/>
      <c r="M13745" s="1205"/>
      <c r="N13745" s="1054"/>
      <c r="O13745" s="1207"/>
      <c r="Q13745" s="1207"/>
    </row>
    <row r="13746" spans="3:17" s="700" customFormat="1" ht="70.5" hidden="1" customHeight="1">
      <c r="C13746" s="701"/>
      <c r="D13746" s="811"/>
      <c r="E13746" s="1276">
        <f>[11]building!Y14077</f>
        <v>0</v>
      </c>
      <c r="F13746" s="748">
        <f t="shared" si="453"/>
        <v>0</v>
      </c>
      <c r="G13746" s="1205"/>
      <c r="H13746" s="1055"/>
      <c r="I13746" s="1055"/>
      <c r="J13746" s="1055"/>
      <c r="K13746" s="1205"/>
      <c r="L13746" s="1055"/>
      <c r="M13746" s="1205"/>
      <c r="N13746" s="1054"/>
      <c r="O13746" s="1207"/>
      <c r="Q13746" s="1207"/>
    </row>
    <row r="13747" spans="3:17" s="700" customFormat="1" ht="70.5" hidden="1" customHeight="1">
      <c r="C13747" s="701"/>
      <c r="D13747" s="811"/>
      <c r="E13747" s="1276">
        <f>[11]building!Y14078</f>
        <v>0</v>
      </c>
      <c r="F13747" s="748">
        <f t="shared" si="453"/>
        <v>0</v>
      </c>
      <c r="G13747" s="1205"/>
      <c r="H13747" s="1055"/>
      <c r="I13747" s="1055"/>
      <c r="J13747" s="1055"/>
      <c r="K13747" s="1205"/>
      <c r="L13747" s="1055"/>
      <c r="M13747" s="1205"/>
      <c r="N13747" s="1054"/>
      <c r="O13747" s="1207"/>
      <c r="Q13747" s="1207"/>
    </row>
    <row r="13748" spans="3:17" s="700" customFormat="1" ht="70.5" hidden="1" customHeight="1">
      <c r="C13748" s="701"/>
      <c r="D13748" s="811"/>
      <c r="E13748" s="1276">
        <f>[11]building!Y14079</f>
        <v>0</v>
      </c>
      <c r="F13748" s="748">
        <f t="shared" si="453"/>
        <v>0</v>
      </c>
      <c r="G13748" s="1205"/>
      <c r="H13748" s="1055"/>
      <c r="I13748" s="1055"/>
      <c r="J13748" s="1055"/>
      <c r="K13748" s="1205"/>
      <c r="L13748" s="1055"/>
      <c r="M13748" s="1205"/>
      <c r="N13748" s="1054"/>
      <c r="O13748" s="1207"/>
      <c r="Q13748" s="1207"/>
    </row>
    <row r="13749" spans="3:17" s="700" customFormat="1" ht="70.5" hidden="1" customHeight="1">
      <c r="C13749" s="701"/>
      <c r="D13749" s="811"/>
      <c r="E13749" s="1276">
        <f>[11]building!Y14080</f>
        <v>0</v>
      </c>
      <c r="F13749" s="748">
        <f t="shared" si="453"/>
        <v>0</v>
      </c>
      <c r="G13749" s="1205"/>
      <c r="H13749" s="1055"/>
      <c r="I13749" s="1055"/>
      <c r="J13749" s="1055"/>
      <c r="K13749" s="1205"/>
      <c r="L13749" s="1055"/>
      <c r="M13749" s="1205"/>
      <c r="N13749" s="1054"/>
      <c r="O13749" s="1207"/>
      <c r="Q13749" s="1207"/>
    </row>
    <row r="13750" spans="3:17" s="700" customFormat="1" ht="70.5" hidden="1" customHeight="1">
      <c r="C13750" s="701"/>
      <c r="D13750" s="811"/>
      <c r="E13750" s="1276">
        <f>[11]building!Y14081</f>
        <v>0</v>
      </c>
      <c r="F13750" s="748">
        <f t="shared" si="453"/>
        <v>0</v>
      </c>
      <c r="G13750" s="1205"/>
      <c r="H13750" s="1055"/>
      <c r="I13750" s="1055"/>
      <c r="J13750" s="1055"/>
      <c r="K13750" s="1205"/>
      <c r="L13750" s="1055"/>
      <c r="M13750" s="1205"/>
      <c r="N13750" s="1054"/>
      <c r="O13750" s="1207"/>
      <c r="Q13750" s="1207"/>
    </row>
    <row r="13751" spans="3:17" s="700" customFormat="1" ht="70.5" hidden="1" customHeight="1">
      <c r="C13751" s="701"/>
      <c r="D13751" s="811"/>
      <c r="E13751" s="1276">
        <f>[11]building!Y14082</f>
        <v>0</v>
      </c>
      <c r="F13751" s="748">
        <f t="shared" si="453"/>
        <v>0</v>
      </c>
      <c r="G13751" s="1205"/>
      <c r="H13751" s="1055"/>
      <c r="I13751" s="1055"/>
      <c r="J13751" s="1055"/>
      <c r="K13751" s="1205"/>
      <c r="L13751" s="1055"/>
      <c r="M13751" s="1205"/>
      <c r="N13751" s="1054"/>
      <c r="O13751" s="1207"/>
      <c r="Q13751" s="1207"/>
    </row>
    <row r="13752" spans="3:17" s="700" customFormat="1" ht="70.5" hidden="1" customHeight="1">
      <c r="C13752" s="701"/>
      <c r="D13752" s="811"/>
      <c r="E13752" s="1276">
        <f>[11]building!Y14083</f>
        <v>0</v>
      </c>
      <c r="F13752" s="748">
        <f t="shared" si="453"/>
        <v>0</v>
      </c>
      <c r="G13752" s="1205"/>
      <c r="H13752" s="1055"/>
      <c r="I13752" s="1055"/>
      <c r="J13752" s="1055"/>
      <c r="K13752" s="1205"/>
      <c r="L13752" s="1055"/>
      <c r="M13752" s="1205"/>
      <c r="N13752" s="1054"/>
      <c r="O13752" s="1207"/>
      <c r="Q13752" s="1207"/>
    </row>
    <row r="13753" spans="3:17" s="700" customFormat="1" ht="70.5" hidden="1" customHeight="1">
      <c r="C13753" s="701"/>
      <c r="D13753" s="811"/>
      <c r="E13753" s="1276">
        <f>[11]building!Y14084</f>
        <v>0</v>
      </c>
      <c r="F13753" s="748">
        <f t="shared" si="453"/>
        <v>0</v>
      </c>
      <c r="G13753" s="1205"/>
      <c r="H13753" s="1055"/>
      <c r="I13753" s="1055"/>
      <c r="J13753" s="1055"/>
      <c r="K13753" s="1205"/>
      <c r="L13753" s="1055"/>
      <c r="M13753" s="1205"/>
      <c r="N13753" s="1054"/>
      <c r="O13753" s="1207"/>
      <c r="Q13753" s="1207"/>
    </row>
    <row r="13754" spans="3:17" s="700" customFormat="1" ht="70.5" hidden="1" customHeight="1">
      <c r="C13754" s="701"/>
      <c r="D13754" s="811"/>
      <c r="E13754" s="1276">
        <f>[11]building!Y14085</f>
        <v>0</v>
      </c>
      <c r="F13754" s="748">
        <f t="shared" si="453"/>
        <v>0</v>
      </c>
      <c r="G13754" s="1205"/>
      <c r="H13754" s="1055"/>
      <c r="I13754" s="1055"/>
      <c r="J13754" s="1055"/>
      <c r="K13754" s="1205"/>
      <c r="L13754" s="1055"/>
      <c r="M13754" s="1205"/>
      <c r="N13754" s="1054"/>
      <c r="O13754" s="1207"/>
      <c r="Q13754" s="1207"/>
    </row>
    <row r="13755" spans="3:17" s="700" customFormat="1" ht="70.5" hidden="1" customHeight="1">
      <c r="C13755" s="701"/>
      <c r="D13755" s="811"/>
      <c r="E13755" s="1276">
        <f>[11]building!Y14086</f>
        <v>0</v>
      </c>
      <c r="F13755" s="748">
        <f t="shared" si="453"/>
        <v>0</v>
      </c>
      <c r="G13755" s="1205"/>
      <c r="H13755" s="1055"/>
      <c r="I13755" s="1055"/>
      <c r="J13755" s="1055"/>
      <c r="K13755" s="1205"/>
      <c r="L13755" s="1055"/>
      <c r="M13755" s="1205"/>
      <c r="N13755" s="1054"/>
      <c r="O13755" s="1207"/>
      <c r="Q13755" s="1207"/>
    </row>
    <row r="13756" spans="3:17" s="700" customFormat="1" ht="70.5" hidden="1" customHeight="1">
      <c r="C13756" s="701"/>
      <c r="D13756" s="811"/>
      <c r="E13756" s="1276">
        <f>[11]building!Y14087</f>
        <v>0</v>
      </c>
      <c r="F13756" s="748">
        <f t="shared" si="453"/>
        <v>0</v>
      </c>
      <c r="G13756" s="1205"/>
      <c r="H13756" s="1055"/>
      <c r="I13756" s="1055"/>
      <c r="J13756" s="1055"/>
      <c r="K13756" s="1205"/>
      <c r="L13756" s="1055"/>
      <c r="M13756" s="1205"/>
      <c r="N13756" s="1054"/>
      <c r="O13756" s="1207"/>
      <c r="Q13756" s="1207"/>
    </row>
    <row r="13757" spans="3:17" s="700" customFormat="1" ht="70.5" hidden="1" customHeight="1">
      <c r="C13757" s="701"/>
      <c r="D13757" s="811"/>
      <c r="E13757" s="1276">
        <f>[11]building!Y14088</f>
        <v>0</v>
      </c>
      <c r="F13757" s="748">
        <f t="shared" si="453"/>
        <v>0</v>
      </c>
      <c r="G13757" s="1205"/>
      <c r="H13757" s="1055"/>
      <c r="I13757" s="1055"/>
      <c r="J13757" s="1055"/>
      <c r="K13757" s="1205"/>
      <c r="L13757" s="1055"/>
      <c r="M13757" s="1205"/>
      <c r="N13757" s="1054"/>
      <c r="O13757" s="1207"/>
      <c r="Q13757" s="1207"/>
    </row>
    <row r="13758" spans="3:17" s="700" customFormat="1" ht="70.5" hidden="1" customHeight="1">
      <c r="C13758" s="701"/>
      <c r="D13758" s="811"/>
      <c r="E13758" s="1276">
        <f>[11]building!Y14089</f>
        <v>0</v>
      </c>
      <c r="F13758" s="748">
        <f t="shared" si="453"/>
        <v>0</v>
      </c>
      <c r="G13758" s="1205"/>
      <c r="H13758" s="1055"/>
      <c r="I13758" s="1055"/>
      <c r="J13758" s="1055"/>
      <c r="K13758" s="1205"/>
      <c r="L13758" s="1055"/>
      <c r="M13758" s="1205"/>
      <c r="N13758" s="1054"/>
      <c r="O13758" s="1207"/>
      <c r="Q13758" s="1207"/>
    </row>
    <row r="13759" spans="3:17" s="700" customFormat="1" ht="70.5" hidden="1" customHeight="1">
      <c r="C13759" s="701"/>
      <c r="D13759" s="811"/>
      <c r="E13759" s="1276">
        <f>[11]building!Y14090</f>
        <v>0</v>
      </c>
      <c r="F13759" s="748">
        <f t="shared" si="453"/>
        <v>0</v>
      </c>
      <c r="G13759" s="1205"/>
      <c r="H13759" s="1055"/>
      <c r="I13759" s="1055"/>
      <c r="J13759" s="1055"/>
      <c r="K13759" s="1205"/>
      <c r="L13759" s="1055"/>
      <c r="M13759" s="1205"/>
      <c r="N13759" s="1054"/>
      <c r="O13759" s="1207"/>
      <c r="Q13759" s="1207"/>
    </row>
    <row r="13760" spans="3:17" s="700" customFormat="1" ht="70.5" hidden="1" customHeight="1">
      <c r="C13760" s="701"/>
      <c r="D13760" s="811"/>
      <c r="E13760" s="1276">
        <f>[11]building!Y14091</f>
        <v>0</v>
      </c>
      <c r="F13760" s="748">
        <f t="shared" ref="F13760:F13785" si="454">E13760*C13760</f>
        <v>0</v>
      </c>
      <c r="G13760" s="1205"/>
      <c r="H13760" s="1055"/>
      <c r="I13760" s="1055"/>
      <c r="J13760" s="1055"/>
      <c r="K13760" s="1205"/>
      <c r="L13760" s="1055"/>
      <c r="M13760" s="1205"/>
      <c r="N13760" s="1054"/>
      <c r="O13760" s="1207"/>
      <c r="Q13760" s="1207"/>
    </row>
    <row r="13761" spans="3:17" s="700" customFormat="1" ht="70.5" hidden="1" customHeight="1">
      <c r="C13761" s="701"/>
      <c r="D13761" s="811"/>
      <c r="E13761" s="1276">
        <f>[11]building!Y14092</f>
        <v>0</v>
      </c>
      <c r="F13761" s="748">
        <f t="shared" si="454"/>
        <v>0</v>
      </c>
      <c r="G13761" s="1205"/>
      <c r="H13761" s="1055"/>
      <c r="I13761" s="1055"/>
      <c r="J13761" s="1055"/>
      <c r="K13761" s="1205"/>
      <c r="L13761" s="1055"/>
      <c r="M13761" s="1205"/>
      <c r="N13761" s="1054"/>
      <c r="O13761" s="1207"/>
      <c r="Q13761" s="1207"/>
    </row>
    <row r="13762" spans="3:17" s="700" customFormat="1" ht="70.5" hidden="1" customHeight="1">
      <c r="C13762" s="701"/>
      <c r="D13762" s="811"/>
      <c r="E13762" s="1276">
        <f>[11]building!Y14093</f>
        <v>0</v>
      </c>
      <c r="F13762" s="748">
        <f t="shared" si="454"/>
        <v>0</v>
      </c>
      <c r="G13762" s="1205"/>
      <c r="H13762" s="1055"/>
      <c r="I13762" s="1055"/>
      <c r="J13762" s="1055"/>
      <c r="K13762" s="1205"/>
      <c r="L13762" s="1055"/>
      <c r="M13762" s="1205"/>
      <c r="N13762" s="1054"/>
      <c r="O13762" s="1207"/>
      <c r="Q13762" s="1207"/>
    </row>
    <row r="13763" spans="3:17" s="700" customFormat="1" ht="70.5" hidden="1" customHeight="1">
      <c r="C13763" s="701"/>
      <c r="D13763" s="811"/>
      <c r="E13763" s="1276">
        <f>[11]building!Y14094</f>
        <v>0</v>
      </c>
      <c r="F13763" s="748">
        <f t="shared" si="454"/>
        <v>0</v>
      </c>
      <c r="G13763" s="1205"/>
      <c r="H13763" s="1055"/>
      <c r="I13763" s="1055"/>
      <c r="J13763" s="1055"/>
      <c r="K13763" s="1205"/>
      <c r="L13763" s="1055"/>
      <c r="M13763" s="1205"/>
      <c r="N13763" s="1054"/>
      <c r="O13763" s="1207"/>
      <c r="Q13763" s="1207"/>
    </row>
    <row r="13764" spans="3:17" s="700" customFormat="1" ht="70.5" hidden="1" customHeight="1">
      <c r="C13764" s="701"/>
      <c r="D13764" s="811"/>
      <c r="E13764" s="1276">
        <f>[11]building!Y14095</f>
        <v>0</v>
      </c>
      <c r="F13764" s="748">
        <f t="shared" si="454"/>
        <v>0</v>
      </c>
      <c r="G13764" s="1205"/>
      <c r="H13764" s="1055"/>
      <c r="I13764" s="1055"/>
      <c r="J13764" s="1055"/>
      <c r="K13764" s="1205"/>
      <c r="L13764" s="1055"/>
      <c r="M13764" s="1205"/>
      <c r="N13764" s="1054"/>
      <c r="O13764" s="1207"/>
      <c r="Q13764" s="1207"/>
    </row>
    <row r="13765" spans="3:17" s="700" customFormat="1" ht="70.5" hidden="1" customHeight="1">
      <c r="C13765" s="701"/>
      <c r="D13765" s="811"/>
      <c r="E13765" s="1276">
        <f>[11]building!Y14096</f>
        <v>0</v>
      </c>
      <c r="F13765" s="748">
        <f t="shared" si="454"/>
        <v>0</v>
      </c>
      <c r="G13765" s="1205"/>
      <c r="H13765" s="1055"/>
      <c r="I13765" s="1055"/>
      <c r="J13765" s="1055"/>
      <c r="K13765" s="1205"/>
      <c r="L13765" s="1055"/>
      <c r="M13765" s="1205"/>
      <c r="N13765" s="1054"/>
      <c r="O13765" s="1207"/>
      <c r="Q13765" s="1207"/>
    </row>
    <row r="13766" spans="3:17" s="700" customFormat="1" ht="70.5" hidden="1" customHeight="1">
      <c r="C13766" s="701"/>
      <c r="D13766" s="811"/>
      <c r="E13766" s="1276">
        <f>[11]building!Y14097</f>
        <v>0</v>
      </c>
      <c r="F13766" s="748">
        <f t="shared" si="454"/>
        <v>0</v>
      </c>
      <c r="G13766" s="1205"/>
      <c r="H13766" s="1055"/>
      <c r="I13766" s="1055"/>
      <c r="J13766" s="1055"/>
      <c r="K13766" s="1205"/>
      <c r="L13766" s="1055"/>
      <c r="M13766" s="1205"/>
      <c r="N13766" s="1054"/>
      <c r="O13766" s="1207"/>
      <c r="Q13766" s="1207"/>
    </row>
    <row r="13767" spans="3:17" s="700" customFormat="1" ht="70.5" hidden="1" customHeight="1">
      <c r="C13767" s="701"/>
      <c r="D13767" s="811"/>
      <c r="E13767" s="1276">
        <f>[11]building!Y14098</f>
        <v>0</v>
      </c>
      <c r="F13767" s="748">
        <f t="shared" si="454"/>
        <v>0</v>
      </c>
      <c r="G13767" s="1205"/>
      <c r="H13767" s="1055"/>
      <c r="I13767" s="1055"/>
      <c r="J13767" s="1055"/>
      <c r="K13767" s="1205"/>
      <c r="L13767" s="1055"/>
      <c r="M13767" s="1205"/>
      <c r="N13767" s="1054"/>
      <c r="O13767" s="1207"/>
      <c r="Q13767" s="1207"/>
    </row>
    <row r="13768" spans="3:17" s="700" customFormat="1" ht="70.5" hidden="1" customHeight="1">
      <c r="C13768" s="701"/>
      <c r="D13768" s="811"/>
      <c r="E13768" s="1276">
        <f>[11]building!Y14099</f>
        <v>0</v>
      </c>
      <c r="F13768" s="748">
        <f t="shared" si="454"/>
        <v>0</v>
      </c>
      <c r="G13768" s="1205"/>
      <c r="H13768" s="1055"/>
      <c r="I13768" s="1055"/>
      <c r="J13768" s="1055"/>
      <c r="K13768" s="1205"/>
      <c r="L13768" s="1055"/>
      <c r="M13768" s="1205"/>
      <c r="N13768" s="1054"/>
      <c r="O13768" s="1207"/>
      <c r="Q13768" s="1207"/>
    </row>
    <row r="13769" spans="3:17" s="700" customFormat="1" ht="70.5" hidden="1" customHeight="1">
      <c r="C13769" s="701"/>
      <c r="D13769" s="811"/>
      <c r="E13769" s="1276">
        <f>[11]building!Y14100</f>
        <v>0</v>
      </c>
      <c r="F13769" s="748">
        <f t="shared" si="454"/>
        <v>0</v>
      </c>
      <c r="G13769" s="1205"/>
      <c r="H13769" s="1055"/>
      <c r="I13769" s="1055"/>
      <c r="J13769" s="1055"/>
      <c r="K13769" s="1205"/>
      <c r="L13769" s="1055"/>
      <c r="M13769" s="1205"/>
      <c r="N13769" s="1054"/>
      <c r="O13769" s="1207"/>
      <c r="Q13769" s="1207"/>
    </row>
    <row r="13770" spans="3:17" s="700" customFormat="1" ht="70.5" hidden="1" customHeight="1">
      <c r="C13770" s="701"/>
      <c r="D13770" s="811"/>
      <c r="E13770" s="1276">
        <f>[11]building!Y14101</f>
        <v>0</v>
      </c>
      <c r="F13770" s="748">
        <f t="shared" si="454"/>
        <v>0</v>
      </c>
      <c r="G13770" s="1205"/>
      <c r="H13770" s="1055"/>
      <c r="I13770" s="1055"/>
      <c r="J13770" s="1055"/>
      <c r="K13770" s="1205"/>
      <c r="L13770" s="1055"/>
      <c r="M13770" s="1205"/>
      <c r="N13770" s="1054"/>
      <c r="O13770" s="1207"/>
      <c r="Q13770" s="1207"/>
    </row>
    <row r="13771" spans="3:17" s="700" customFormat="1" ht="70.5" hidden="1" customHeight="1">
      <c r="C13771" s="701"/>
      <c r="D13771" s="811"/>
      <c r="E13771" s="1276">
        <f>[11]building!Y14102</f>
        <v>0</v>
      </c>
      <c r="F13771" s="748">
        <f t="shared" si="454"/>
        <v>0</v>
      </c>
      <c r="G13771" s="1205"/>
      <c r="H13771" s="1055"/>
      <c r="I13771" s="1055"/>
      <c r="J13771" s="1055"/>
      <c r="K13771" s="1205"/>
      <c r="L13771" s="1055"/>
      <c r="M13771" s="1205"/>
      <c r="N13771" s="1054"/>
      <c r="O13771" s="1207"/>
      <c r="Q13771" s="1207"/>
    </row>
    <row r="13772" spans="3:17" s="700" customFormat="1" ht="70.5" hidden="1" customHeight="1">
      <c r="C13772" s="701"/>
      <c r="D13772" s="811"/>
      <c r="E13772" s="1276">
        <f>[11]building!Y14103</f>
        <v>0</v>
      </c>
      <c r="F13772" s="748">
        <f t="shared" si="454"/>
        <v>0</v>
      </c>
      <c r="G13772" s="1205"/>
      <c r="H13772" s="1055"/>
      <c r="I13772" s="1055"/>
      <c r="J13772" s="1055"/>
      <c r="K13772" s="1205"/>
      <c r="L13772" s="1055"/>
      <c r="M13772" s="1205"/>
      <c r="N13772" s="1054"/>
      <c r="O13772" s="1207"/>
      <c r="Q13772" s="1207"/>
    </row>
    <row r="13773" spans="3:17" s="700" customFormat="1" ht="70.5" hidden="1" customHeight="1">
      <c r="C13773" s="701"/>
      <c r="D13773" s="811"/>
      <c r="E13773" s="1276">
        <f>[11]building!Y14104</f>
        <v>0</v>
      </c>
      <c r="F13773" s="748">
        <f t="shared" si="454"/>
        <v>0</v>
      </c>
      <c r="G13773" s="1205"/>
      <c r="H13773" s="1055"/>
      <c r="I13773" s="1055"/>
      <c r="J13773" s="1055"/>
      <c r="K13773" s="1205"/>
      <c r="L13773" s="1055"/>
      <c r="M13773" s="1205"/>
      <c r="N13773" s="1054"/>
      <c r="O13773" s="1207"/>
      <c r="Q13773" s="1207"/>
    </row>
    <row r="13774" spans="3:17" s="700" customFormat="1" ht="70.5" hidden="1" customHeight="1">
      <c r="C13774" s="701"/>
      <c r="D13774" s="811"/>
      <c r="E13774" s="1276">
        <f>[11]building!Y14105</f>
        <v>0</v>
      </c>
      <c r="F13774" s="748">
        <f t="shared" si="454"/>
        <v>0</v>
      </c>
      <c r="G13774" s="1205"/>
      <c r="H13774" s="1055"/>
      <c r="I13774" s="1055"/>
      <c r="J13774" s="1055"/>
      <c r="K13774" s="1205"/>
      <c r="L13774" s="1055"/>
      <c r="M13774" s="1205"/>
      <c r="N13774" s="1054"/>
      <c r="O13774" s="1207"/>
      <c r="Q13774" s="1207"/>
    </row>
    <row r="13775" spans="3:17" s="700" customFormat="1" ht="70.5" hidden="1" customHeight="1">
      <c r="C13775" s="701"/>
      <c r="D13775" s="811"/>
      <c r="E13775" s="1276">
        <f>[11]building!Y14106</f>
        <v>0</v>
      </c>
      <c r="F13775" s="748">
        <f t="shared" si="454"/>
        <v>0</v>
      </c>
      <c r="G13775" s="1205"/>
      <c r="H13775" s="1055"/>
      <c r="I13775" s="1055"/>
      <c r="J13775" s="1055"/>
      <c r="K13775" s="1205"/>
      <c r="L13775" s="1055"/>
      <c r="M13775" s="1205"/>
      <c r="N13775" s="1054"/>
      <c r="O13775" s="1207"/>
      <c r="Q13775" s="1207"/>
    </row>
    <row r="13776" spans="3:17" s="700" customFormat="1" ht="70.5" hidden="1" customHeight="1">
      <c r="C13776" s="701"/>
      <c r="D13776" s="811"/>
      <c r="E13776" s="1276">
        <f>[11]building!Y14107</f>
        <v>0</v>
      </c>
      <c r="F13776" s="748">
        <f t="shared" si="454"/>
        <v>0</v>
      </c>
      <c r="G13776" s="1205"/>
      <c r="H13776" s="1055"/>
      <c r="I13776" s="1055"/>
      <c r="J13776" s="1055"/>
      <c r="K13776" s="1205"/>
      <c r="L13776" s="1055"/>
      <c r="M13776" s="1205"/>
      <c r="N13776" s="1054"/>
      <c r="O13776" s="1207"/>
      <c r="Q13776" s="1207"/>
    </row>
    <row r="13777" spans="3:17" s="700" customFormat="1" ht="70.5" hidden="1" customHeight="1">
      <c r="C13777" s="701"/>
      <c r="D13777" s="811"/>
      <c r="E13777" s="1276">
        <f>[11]building!Y14108</f>
        <v>0</v>
      </c>
      <c r="F13777" s="748">
        <f t="shared" si="454"/>
        <v>0</v>
      </c>
      <c r="G13777" s="1205"/>
      <c r="H13777" s="1055"/>
      <c r="I13777" s="1055"/>
      <c r="J13777" s="1055"/>
      <c r="K13777" s="1205"/>
      <c r="L13777" s="1055"/>
      <c r="M13777" s="1205"/>
      <c r="N13777" s="1054"/>
      <c r="O13777" s="1207"/>
      <c r="Q13777" s="1207"/>
    </row>
    <row r="13778" spans="3:17" s="700" customFormat="1" ht="70.5" hidden="1" customHeight="1">
      <c r="C13778" s="701"/>
      <c r="D13778" s="811"/>
      <c r="E13778" s="1276">
        <f>[11]building!Y14109</f>
        <v>0</v>
      </c>
      <c r="F13778" s="748">
        <f t="shared" si="454"/>
        <v>0</v>
      </c>
      <c r="G13778" s="1205"/>
      <c r="H13778" s="1055"/>
      <c r="I13778" s="1055"/>
      <c r="J13778" s="1055"/>
      <c r="K13778" s="1205"/>
      <c r="L13778" s="1055"/>
      <c r="M13778" s="1205"/>
      <c r="N13778" s="1054"/>
      <c r="O13778" s="1207"/>
      <c r="Q13778" s="1207"/>
    </row>
    <row r="13779" spans="3:17" s="700" customFormat="1" ht="70.5" hidden="1" customHeight="1">
      <c r="C13779" s="701"/>
      <c r="D13779" s="811"/>
      <c r="E13779" s="1276">
        <f>[11]building!Y14110</f>
        <v>0</v>
      </c>
      <c r="F13779" s="748">
        <f t="shared" si="454"/>
        <v>0</v>
      </c>
      <c r="G13779" s="1205"/>
      <c r="H13779" s="1055"/>
      <c r="I13779" s="1055"/>
      <c r="J13779" s="1055"/>
      <c r="K13779" s="1205"/>
      <c r="L13779" s="1055"/>
      <c r="M13779" s="1205"/>
      <c r="N13779" s="1054"/>
      <c r="O13779" s="1207"/>
      <c r="Q13779" s="1207"/>
    </row>
    <row r="13780" spans="3:17" s="700" customFormat="1" ht="70.5" hidden="1" customHeight="1">
      <c r="C13780" s="701"/>
      <c r="D13780" s="811"/>
      <c r="E13780" s="1276">
        <f>[11]building!Y14111</f>
        <v>0</v>
      </c>
      <c r="F13780" s="748">
        <f t="shared" si="454"/>
        <v>0</v>
      </c>
      <c r="G13780" s="1205"/>
      <c r="H13780" s="1055"/>
      <c r="I13780" s="1055"/>
      <c r="J13780" s="1055"/>
      <c r="K13780" s="1205"/>
      <c r="L13780" s="1055"/>
      <c r="M13780" s="1205"/>
      <c r="N13780" s="1054"/>
      <c r="O13780" s="1207"/>
      <c r="Q13780" s="1207"/>
    </row>
    <row r="13781" spans="3:17" s="700" customFormat="1" ht="70.5" hidden="1" customHeight="1">
      <c r="C13781" s="701"/>
      <c r="D13781" s="811"/>
      <c r="E13781" s="1276">
        <f>[11]building!Y14112</f>
        <v>0</v>
      </c>
      <c r="F13781" s="748">
        <f t="shared" si="454"/>
        <v>0</v>
      </c>
      <c r="G13781" s="1205"/>
      <c r="H13781" s="1055"/>
      <c r="I13781" s="1055"/>
      <c r="J13781" s="1055"/>
      <c r="K13781" s="1205"/>
      <c r="L13781" s="1055"/>
      <c r="M13781" s="1205"/>
      <c r="N13781" s="1054"/>
      <c r="O13781" s="1207"/>
      <c r="Q13781" s="1207"/>
    </row>
    <row r="13782" spans="3:17" s="700" customFormat="1" ht="70.5" hidden="1" customHeight="1">
      <c r="C13782" s="701"/>
      <c r="D13782" s="811"/>
      <c r="E13782" s="1276">
        <f>[11]building!Y14113</f>
        <v>0</v>
      </c>
      <c r="F13782" s="748">
        <f t="shared" si="454"/>
        <v>0</v>
      </c>
      <c r="G13782" s="1205"/>
      <c r="H13782" s="1055"/>
      <c r="I13782" s="1055"/>
      <c r="J13782" s="1055"/>
      <c r="K13782" s="1205"/>
      <c r="L13782" s="1055"/>
      <c r="M13782" s="1205"/>
      <c r="N13782" s="1054"/>
      <c r="O13782" s="1207"/>
      <c r="Q13782" s="1207"/>
    </row>
    <row r="13783" spans="3:17" s="700" customFormat="1" ht="70.5" hidden="1" customHeight="1">
      <c r="C13783" s="701"/>
      <c r="D13783" s="811"/>
      <c r="E13783" s="1276">
        <f>[11]building!Y14114</f>
        <v>0</v>
      </c>
      <c r="F13783" s="748">
        <f t="shared" si="454"/>
        <v>0</v>
      </c>
      <c r="G13783" s="1205"/>
      <c r="H13783" s="1055"/>
      <c r="I13783" s="1055"/>
      <c r="J13783" s="1055"/>
      <c r="K13783" s="1205"/>
      <c r="L13783" s="1055"/>
      <c r="M13783" s="1205"/>
      <c r="N13783" s="1054"/>
      <c r="O13783" s="1207"/>
      <c r="Q13783" s="1207"/>
    </row>
    <row r="13784" spans="3:17" s="700" customFormat="1" ht="70.5" hidden="1" customHeight="1">
      <c r="C13784" s="701"/>
      <c r="D13784" s="811"/>
      <c r="E13784" s="1276">
        <f>[11]building!Y14115</f>
        <v>0</v>
      </c>
      <c r="F13784" s="748">
        <f t="shared" si="454"/>
        <v>0</v>
      </c>
      <c r="G13784" s="1205"/>
      <c r="H13784" s="1055"/>
      <c r="I13784" s="1055"/>
      <c r="J13784" s="1055"/>
      <c r="K13784" s="1205"/>
      <c r="L13784" s="1055"/>
      <c r="M13784" s="1205"/>
      <c r="N13784" s="1054"/>
      <c r="O13784" s="1207"/>
      <c r="Q13784" s="1207"/>
    </row>
    <row r="13785" spans="3:17" s="700" customFormat="1" ht="70.5" hidden="1" customHeight="1">
      <c r="C13785" s="701"/>
      <c r="D13785" s="811"/>
      <c r="E13785" s="1276">
        <f>[11]building!Y14116</f>
        <v>0</v>
      </c>
      <c r="F13785" s="748">
        <f t="shared" si="454"/>
        <v>0</v>
      </c>
      <c r="G13785" s="1205"/>
      <c r="H13785" s="1055"/>
      <c r="I13785" s="1055"/>
      <c r="J13785" s="1055"/>
      <c r="K13785" s="1205"/>
      <c r="L13785" s="1055"/>
      <c r="M13785" s="1205"/>
      <c r="N13785" s="1054"/>
      <c r="O13785" s="1207"/>
      <c r="Q13785" s="1207"/>
    </row>
    <row r="13786" spans="3:17" ht="70.5" customHeight="1">
      <c r="M13786" s="1373"/>
    </row>
    <row r="13787" spans="3:17" ht="70.5" customHeight="1">
      <c r="M13787" s="1373"/>
    </row>
  </sheetData>
  <autoFilter ref="A4:W13785">
    <filterColumn colId="16">
      <customFilters>
        <customFilter operator="notEqual" val=" "/>
      </customFilters>
    </filterColumn>
  </autoFilter>
  <mergeCells count="14">
    <mergeCell ref="A1:R1"/>
    <mergeCell ref="A2:A3"/>
    <mergeCell ref="B2:B3"/>
    <mergeCell ref="C2:C3"/>
    <mergeCell ref="D2:D3"/>
    <mergeCell ref="G2:H2"/>
    <mergeCell ref="E2:F2"/>
    <mergeCell ref="O2:P2"/>
    <mergeCell ref="I2:J2"/>
    <mergeCell ref="U2:V2"/>
    <mergeCell ref="Q2:R2"/>
    <mergeCell ref="S2:T2"/>
    <mergeCell ref="K2:L2"/>
    <mergeCell ref="M2:N2"/>
  </mergeCells>
  <printOptions horizontalCentered="1"/>
  <pageMargins left="0.5" right="0.5" top="0.5" bottom="0.5" header="0.3" footer="0.3"/>
  <pageSetup paperSize="8" scale="48" orientation="landscape" r:id="rId1"/>
  <headerFooter alignWithMargins="0">
    <oddHeader>&amp;R&amp;P</oddHeader>
  </headerFooter>
</worksheet>
</file>

<file path=xl/worksheets/sheet13.xml><?xml version="1.0" encoding="utf-8"?>
<worksheet xmlns="http://schemas.openxmlformats.org/spreadsheetml/2006/main" xmlns:r="http://schemas.openxmlformats.org/officeDocument/2006/relationships">
  <dimension ref="A4:G124"/>
  <sheetViews>
    <sheetView topLeftCell="A112" workbookViewId="0">
      <selection activeCell="G122" sqref="G122:G123"/>
    </sheetView>
  </sheetViews>
  <sheetFormatPr defaultRowHeight="15.75"/>
  <cols>
    <col min="1" max="3" width="8.88671875" style="1295"/>
    <col min="4" max="4" width="45" style="1295" bestFit="1" customWidth="1"/>
    <col min="5" max="16384" width="8.88671875" style="1295"/>
  </cols>
  <sheetData>
    <row r="4" spans="1:7" ht="18.75">
      <c r="A4" s="1293"/>
      <c r="B4" s="963" t="s">
        <v>468</v>
      </c>
      <c r="C4" s="966" t="s">
        <v>2290</v>
      </c>
      <c r="D4" s="1294" t="s">
        <v>2216</v>
      </c>
      <c r="E4" s="941"/>
      <c r="F4" s="964"/>
      <c r="G4" s="941"/>
    </row>
    <row r="5" spans="1:7" ht="18.75">
      <c r="A5" s="1293"/>
      <c r="B5" s="941"/>
      <c r="C5" s="941"/>
      <c r="D5" s="1294" t="s">
        <v>2218</v>
      </c>
      <c r="E5" s="941"/>
      <c r="F5" s="964"/>
      <c r="G5" s="941"/>
    </row>
    <row r="6" spans="1:7" ht="18.75">
      <c r="A6" s="1293"/>
      <c r="B6" s="941"/>
      <c r="C6" s="941"/>
      <c r="D6" s="1294" t="s">
        <v>2219</v>
      </c>
      <c r="E6" s="941"/>
      <c r="F6" s="964"/>
      <c r="G6" s="941"/>
    </row>
    <row r="7" spans="1:7" ht="18.75">
      <c r="A7" s="1293"/>
      <c r="B7" s="941"/>
      <c r="C7" s="941"/>
      <c r="D7" s="1294" t="s">
        <v>2220</v>
      </c>
      <c r="E7" s="941"/>
      <c r="F7" s="964"/>
      <c r="G7" s="941"/>
    </row>
    <row r="8" spans="1:7" ht="18.75">
      <c r="A8" s="1293"/>
      <c r="B8" s="941"/>
      <c r="C8" s="941"/>
      <c r="D8" s="1294" t="s">
        <v>2221</v>
      </c>
      <c r="E8" s="941"/>
      <c r="F8" s="964"/>
      <c r="G8" s="941"/>
    </row>
    <row r="9" spans="1:7" ht="18.75">
      <c r="A9" s="1293"/>
      <c r="B9" s="941"/>
      <c r="C9" s="941"/>
      <c r="D9" s="1294" t="s">
        <v>2222</v>
      </c>
      <c r="E9" s="941"/>
      <c r="F9" s="964"/>
      <c r="G9" s="941"/>
    </row>
    <row r="10" spans="1:7" ht="18.75">
      <c r="A10" s="1293"/>
      <c r="B10" s="941"/>
      <c r="C10" s="941"/>
      <c r="D10" s="967" t="s">
        <v>1615</v>
      </c>
      <c r="E10" s="941"/>
      <c r="F10" s="964"/>
      <c r="G10" s="941"/>
    </row>
    <row r="11" spans="1:7" ht="18.75">
      <c r="A11" s="1293"/>
      <c r="B11" s="941"/>
      <c r="C11" s="941"/>
      <c r="D11" s="1294" t="s">
        <v>6028</v>
      </c>
      <c r="E11" s="941">
        <f>0.9*2.05</f>
        <v>1.85</v>
      </c>
      <c r="F11" s="964"/>
      <c r="G11" s="941"/>
    </row>
    <row r="12" spans="1:7" ht="18.75">
      <c r="A12" s="1293"/>
      <c r="B12" s="941"/>
      <c r="C12" s="941"/>
      <c r="D12" s="1294" t="s">
        <v>2223</v>
      </c>
      <c r="E12" s="1296">
        <f>2*2.05*0.075*0.0375</f>
        <v>1.153E-2</v>
      </c>
      <c r="F12" s="964"/>
      <c r="G12" s="941"/>
    </row>
    <row r="13" spans="1:7" ht="18.75">
      <c r="A13" s="1293"/>
      <c r="B13" s="941"/>
      <c r="C13" s="941"/>
      <c r="D13" s="941"/>
      <c r="E13" s="941"/>
      <c r="F13" s="1294" t="s">
        <v>1615</v>
      </c>
      <c r="G13" s="941"/>
    </row>
    <row r="14" spans="1:7" ht="18.75">
      <c r="A14" s="1293"/>
      <c r="B14" s="941"/>
      <c r="C14" s="941"/>
      <c r="D14" s="1294" t="s">
        <v>6029</v>
      </c>
      <c r="E14" s="1296">
        <f>3*0.9*0.15*0.0375</f>
        <v>1.519E-2</v>
      </c>
      <c r="F14" s="964"/>
      <c r="G14" s="941"/>
    </row>
    <row r="15" spans="1:7" ht="18.75">
      <c r="A15" s="1293"/>
      <c r="B15" s="941"/>
      <c r="C15" s="941"/>
      <c r="D15" s="1294" t="s">
        <v>992</v>
      </c>
      <c r="E15" s="1294" t="s">
        <v>992</v>
      </c>
      <c r="F15" s="964"/>
      <c r="G15" s="1297" t="s">
        <v>992</v>
      </c>
    </row>
    <row r="16" spans="1:7" ht="18.75">
      <c r="A16" s="1293"/>
      <c r="B16" s="941"/>
      <c r="C16" s="941"/>
      <c r="D16" s="941"/>
      <c r="E16" s="941"/>
      <c r="F16" s="1294" t="s">
        <v>992</v>
      </c>
      <c r="G16" s="1294" t="s">
        <v>992</v>
      </c>
    </row>
    <row r="17" spans="1:7" ht="18.75">
      <c r="A17" s="1293"/>
      <c r="B17" s="941"/>
      <c r="C17" s="941"/>
      <c r="D17" s="1294" t="s">
        <v>6030</v>
      </c>
      <c r="E17" s="1298">
        <f>1*0.75*0.64</f>
        <v>0.48</v>
      </c>
      <c r="F17" s="1297" t="s">
        <v>992</v>
      </c>
      <c r="G17" s="1297" t="s">
        <v>992</v>
      </c>
    </row>
    <row r="18" spans="1:7" ht="18.75">
      <c r="A18" s="1293"/>
      <c r="B18" s="941"/>
      <c r="C18" s="941"/>
      <c r="D18" s="1294" t="s">
        <v>6031</v>
      </c>
      <c r="E18" s="1298">
        <f>0.75*0.96</f>
        <v>0.72</v>
      </c>
      <c r="F18" s="964"/>
      <c r="G18" s="1297"/>
    </row>
    <row r="19" spans="1:7" ht="18.75">
      <c r="A19" s="1293"/>
      <c r="B19" s="941"/>
      <c r="C19" s="941"/>
      <c r="D19" s="941"/>
      <c r="E19" s="1299">
        <f>SUM(E17:E18)</f>
        <v>1.2</v>
      </c>
      <c r="F19" s="964"/>
      <c r="G19" s="1294" t="s">
        <v>992</v>
      </c>
    </row>
    <row r="20" spans="1:7" ht="18.75">
      <c r="A20" s="1293"/>
      <c r="B20" s="941"/>
      <c r="C20" s="941"/>
      <c r="D20" s="941"/>
      <c r="E20" s="941"/>
      <c r="F20" s="964"/>
      <c r="G20" s="1297" t="s">
        <v>992</v>
      </c>
    </row>
    <row r="21" spans="1:7" ht="18.75">
      <c r="A21" s="1293"/>
      <c r="B21" s="941"/>
      <c r="C21" s="941"/>
      <c r="D21" s="941"/>
      <c r="E21" s="941"/>
      <c r="F21" s="964"/>
      <c r="G21" s="1294" t="s">
        <v>992</v>
      </c>
    </row>
    <row r="22" spans="1:7" ht="18.75">
      <c r="A22" s="1293"/>
      <c r="B22" s="963" t="s">
        <v>1499</v>
      </c>
      <c r="C22" s="966"/>
      <c r="D22" s="1294" t="s">
        <v>1848</v>
      </c>
      <c r="E22" s="941"/>
      <c r="F22" s="964"/>
      <c r="G22" s="1294" t="s">
        <v>992</v>
      </c>
    </row>
    <row r="23" spans="1:7" ht="18.75">
      <c r="A23" s="1293"/>
      <c r="B23" s="941"/>
      <c r="C23" s="941"/>
      <c r="D23" s="967" t="s">
        <v>1615</v>
      </c>
      <c r="E23" s="941"/>
      <c r="F23" s="964"/>
      <c r="G23" s="941"/>
    </row>
    <row r="24" spans="1:7" ht="18.75">
      <c r="A24" s="1293"/>
      <c r="B24" s="1300">
        <f>E12</f>
        <v>1.153E-2</v>
      </c>
      <c r="C24" s="966" t="s">
        <v>885</v>
      </c>
      <c r="D24" s="1294" t="s">
        <v>705</v>
      </c>
      <c r="E24" s="966">
        <f>[12]Data!I1053</f>
        <v>111600</v>
      </c>
      <c r="F24" s="1294" t="s">
        <v>885</v>
      </c>
      <c r="G24" s="966">
        <f t="shared" ref="G24:G34" si="0">(B24*E24)</f>
        <v>1286.75</v>
      </c>
    </row>
    <row r="25" spans="1:7" ht="18.75">
      <c r="A25" s="1293"/>
      <c r="B25" s="1300">
        <f>E14</f>
        <v>1.519E-2</v>
      </c>
      <c r="C25" s="966" t="s">
        <v>885</v>
      </c>
      <c r="D25" s="1294" t="s">
        <v>706</v>
      </c>
      <c r="E25" s="966">
        <f>[12]Data!I1054</f>
        <v>99400</v>
      </c>
      <c r="F25" s="1294" t="s">
        <v>885</v>
      </c>
      <c r="G25" s="966">
        <f t="shared" si="0"/>
        <v>1509.89</v>
      </c>
    </row>
    <row r="26" spans="1:7" ht="18.75">
      <c r="A26" s="1293"/>
      <c r="B26" s="1300">
        <f>E19</f>
        <v>1.2</v>
      </c>
      <c r="C26" s="966" t="s">
        <v>621</v>
      </c>
      <c r="D26" s="1294" t="s">
        <v>2128</v>
      </c>
      <c r="E26" s="966">
        <f>[12]Data!I1055</f>
        <v>387.4</v>
      </c>
      <c r="F26" s="1294" t="s">
        <v>621</v>
      </c>
      <c r="G26" s="966">
        <f t="shared" si="0"/>
        <v>464.88</v>
      </c>
    </row>
    <row r="27" spans="1:7" ht="18.75">
      <c r="A27" s="1293"/>
      <c r="B27" s="1300">
        <f>E11</f>
        <v>1.85</v>
      </c>
      <c r="C27" s="966" t="s">
        <v>621</v>
      </c>
      <c r="D27" s="1294" t="s">
        <v>2129</v>
      </c>
      <c r="E27" s="966">
        <f>[12]Data!I1056</f>
        <v>1275.75</v>
      </c>
      <c r="F27" s="1294" t="s">
        <v>621</v>
      </c>
      <c r="G27" s="966">
        <f t="shared" si="0"/>
        <v>2360.14</v>
      </c>
    </row>
    <row r="28" spans="1:7" ht="18.75">
      <c r="A28" s="1293"/>
      <c r="B28" s="966">
        <v>2</v>
      </c>
      <c r="C28" s="966" t="s">
        <v>884</v>
      </c>
      <c r="D28" s="966" t="str">
        <f>[12]Data!H1057</f>
        <v xml:space="preserve"> 6"X1/2"TOWER BOLT (p-40)</v>
      </c>
      <c r="E28" s="966">
        <f>[12]Data!I1057</f>
        <v>64.8</v>
      </c>
      <c r="F28" s="1294" t="s">
        <v>884</v>
      </c>
      <c r="G28" s="966">
        <f t="shared" si="0"/>
        <v>129.6</v>
      </c>
    </row>
    <row r="29" spans="1:7" ht="18.75">
      <c r="A29" s="1293"/>
      <c r="B29" s="966">
        <v>3</v>
      </c>
      <c r="C29" s="966" t="s">
        <v>884</v>
      </c>
      <c r="D29" s="1294" t="s">
        <v>1543</v>
      </c>
      <c r="E29" s="966">
        <f>[12]Data!I1058</f>
        <v>89.6</v>
      </c>
      <c r="F29" s="1294" t="s">
        <v>884</v>
      </c>
      <c r="G29" s="966">
        <f t="shared" si="0"/>
        <v>268.8</v>
      </c>
    </row>
    <row r="30" spans="1:7" ht="18.75">
      <c r="A30" s="1293"/>
      <c r="B30" s="966">
        <v>1</v>
      </c>
      <c r="C30" s="966" t="s">
        <v>884</v>
      </c>
      <c r="D30" s="1294" t="s">
        <v>2015</v>
      </c>
      <c r="E30" s="966">
        <f>[12]Data!I1059</f>
        <v>181</v>
      </c>
      <c r="F30" s="1294" t="s">
        <v>884</v>
      </c>
      <c r="G30" s="966">
        <f t="shared" si="0"/>
        <v>181</v>
      </c>
    </row>
    <row r="31" spans="1:7" ht="18.75">
      <c r="A31" s="1293"/>
      <c r="B31" s="966">
        <v>1</v>
      </c>
      <c r="C31" s="966" t="s">
        <v>884</v>
      </c>
      <c r="D31" s="1294" t="s">
        <v>2016</v>
      </c>
      <c r="E31" s="966">
        <f>[12]Data!I1060</f>
        <v>7.3</v>
      </c>
      <c r="F31" s="1294" t="s">
        <v>884</v>
      </c>
      <c r="G31" s="966">
        <f t="shared" si="0"/>
        <v>7.3</v>
      </c>
    </row>
    <row r="32" spans="1:7" ht="18.75">
      <c r="A32" s="1293"/>
      <c r="B32" s="966">
        <v>1</v>
      </c>
      <c r="C32" s="966" t="s">
        <v>884</v>
      </c>
      <c r="D32" s="1294" t="s">
        <v>1158</v>
      </c>
      <c r="E32" s="966">
        <f>[12]Data!I1061</f>
        <v>57.65</v>
      </c>
      <c r="F32" s="1294" t="s">
        <v>884</v>
      </c>
      <c r="G32" s="966">
        <f t="shared" si="0"/>
        <v>57.65</v>
      </c>
    </row>
    <row r="33" spans="1:7" ht="18.75">
      <c r="A33" s="1293"/>
      <c r="B33" s="966">
        <v>1</v>
      </c>
      <c r="C33" s="966" t="s">
        <v>884</v>
      </c>
      <c r="D33" s="1294" t="s">
        <v>2018</v>
      </c>
      <c r="E33" s="966">
        <f>[12]Data!I1062</f>
        <v>49.55</v>
      </c>
      <c r="F33" s="1294" t="s">
        <v>884</v>
      </c>
      <c r="G33" s="966">
        <f t="shared" si="0"/>
        <v>49.55</v>
      </c>
    </row>
    <row r="34" spans="1:7" ht="18.75">
      <c r="A34" s="1293"/>
      <c r="B34" s="966">
        <v>58</v>
      </c>
      <c r="C34" s="966" t="s">
        <v>1051</v>
      </c>
      <c r="D34" s="1294" t="s">
        <v>1163</v>
      </c>
      <c r="E34" s="966">
        <f>[12]Data!I1063</f>
        <v>2.41</v>
      </c>
      <c r="F34" s="1294" t="s">
        <v>884</v>
      </c>
      <c r="G34" s="966">
        <f t="shared" si="0"/>
        <v>139.78</v>
      </c>
    </row>
    <row r="35" spans="1:7" ht="18.75">
      <c r="A35" s="1293"/>
      <c r="B35" s="966"/>
      <c r="C35" s="966"/>
      <c r="D35" s="1294"/>
      <c r="E35" s="966"/>
      <c r="F35" s="1294"/>
      <c r="G35" s="967" t="s">
        <v>1615</v>
      </c>
    </row>
    <row r="36" spans="1:7" ht="18.75">
      <c r="A36" s="1293"/>
      <c r="B36" s="941"/>
      <c r="C36" s="941"/>
      <c r="D36" s="963" t="s">
        <v>6032</v>
      </c>
      <c r="E36" s="941"/>
      <c r="F36" s="964"/>
      <c r="G36" s="966">
        <f>SUM(G24:G34)</f>
        <v>6455.34</v>
      </c>
    </row>
    <row r="37" spans="1:7" ht="18.75">
      <c r="A37" s="1293"/>
      <c r="B37" s="941"/>
      <c r="C37" s="966" t="s">
        <v>992</v>
      </c>
      <c r="D37" s="941"/>
      <c r="E37" s="941"/>
      <c r="F37" s="964"/>
      <c r="G37" s="967" t="s">
        <v>1615</v>
      </c>
    </row>
    <row r="38" spans="1:7" ht="18.75">
      <c r="A38" s="1293"/>
      <c r="B38" s="941"/>
      <c r="C38" s="941"/>
      <c r="D38" s="968" t="s">
        <v>562</v>
      </c>
      <c r="E38" s="941"/>
      <c r="F38" s="964"/>
      <c r="G38" s="962">
        <f>G36/B27</f>
        <v>3489.37</v>
      </c>
    </row>
    <row r="39" spans="1:7" ht="18.75">
      <c r="A39" s="1293"/>
      <c r="B39" s="941"/>
      <c r="C39" s="941"/>
      <c r="D39" s="941"/>
      <c r="E39" s="941"/>
      <c r="F39" s="964"/>
      <c r="G39" s="967" t="s">
        <v>2091</v>
      </c>
    </row>
    <row r="40" spans="1:7" ht="18.75">
      <c r="A40" s="1293"/>
      <c r="B40" s="1293"/>
      <c r="C40" s="1293"/>
      <c r="D40" s="1293"/>
      <c r="E40" s="1293"/>
      <c r="F40" s="1293"/>
      <c r="G40" s="1293"/>
    </row>
    <row r="42" spans="1:7" ht="36" customHeight="1">
      <c r="B42" s="962" t="s">
        <v>6036</v>
      </c>
      <c r="C42" s="962"/>
      <c r="D42" s="962"/>
      <c r="E42" s="962"/>
      <c r="F42" s="962"/>
      <c r="G42" s="962"/>
    </row>
    <row r="43" spans="1:7" ht="31.5">
      <c r="B43" s="1301">
        <v>1</v>
      </c>
      <c r="C43" s="1301" t="s">
        <v>1419</v>
      </c>
      <c r="D43" s="1302" t="s">
        <v>6037</v>
      </c>
      <c r="E43" s="941">
        <v>1807</v>
      </c>
      <c r="F43" s="966" t="s">
        <v>1423</v>
      </c>
      <c r="G43" s="966">
        <f>E43*B43</f>
        <v>1807</v>
      </c>
    </row>
    <row r="44" spans="1:7" ht="31.5">
      <c r="B44" s="1301">
        <v>1</v>
      </c>
      <c r="C44" s="1301" t="s">
        <v>1419</v>
      </c>
      <c r="D44" s="1302" t="s">
        <v>6038</v>
      </c>
      <c r="E44" s="941">
        <v>912</v>
      </c>
      <c r="F44" s="966" t="s">
        <v>1423</v>
      </c>
      <c r="G44" s="966">
        <f>E44*B44</f>
        <v>912</v>
      </c>
    </row>
    <row r="45" spans="1:7">
      <c r="B45" s="1301">
        <v>12</v>
      </c>
      <c r="C45" s="1301" t="s">
        <v>1419</v>
      </c>
      <c r="D45" s="1302" t="s">
        <v>6039</v>
      </c>
      <c r="E45" s="941">
        <v>174</v>
      </c>
      <c r="F45" s="966" t="s">
        <v>1423</v>
      </c>
      <c r="G45" s="966">
        <f>E45*B45</f>
        <v>2088</v>
      </c>
    </row>
    <row r="46" spans="1:7">
      <c r="B46" s="1301">
        <v>1</v>
      </c>
      <c r="C46" s="1301" t="s">
        <v>6040</v>
      </c>
      <c r="D46" s="1302" t="s">
        <v>6041</v>
      </c>
      <c r="E46" s="941">
        <v>123.6</v>
      </c>
      <c r="F46" s="966" t="s">
        <v>669</v>
      </c>
      <c r="G46" s="966">
        <f>E46*B46</f>
        <v>123.6</v>
      </c>
    </row>
    <row r="47" spans="1:7">
      <c r="B47" s="1301">
        <v>1</v>
      </c>
      <c r="C47" s="1301" t="s">
        <v>1419</v>
      </c>
      <c r="D47" s="1302" t="s">
        <v>6042</v>
      </c>
      <c r="E47" s="941">
        <v>26</v>
      </c>
      <c r="F47" s="966" t="s">
        <v>1423</v>
      </c>
      <c r="G47" s="966">
        <f>E47*B47</f>
        <v>26</v>
      </c>
    </row>
    <row r="48" spans="1:7">
      <c r="B48" s="1301"/>
      <c r="C48" s="1301"/>
      <c r="D48" s="1294"/>
      <c r="E48" s="941"/>
      <c r="F48" s="966"/>
      <c r="G48" s="966">
        <f>SUM(G43:G47)</f>
        <v>4956.6000000000004</v>
      </c>
    </row>
    <row r="49" spans="2:7">
      <c r="B49" s="1301"/>
      <c r="C49" s="1301"/>
      <c r="D49" s="1294" t="s">
        <v>6043</v>
      </c>
      <c r="E49" s="941"/>
      <c r="F49" s="966"/>
      <c r="G49" s="966">
        <f>G48*1%</f>
        <v>49.57</v>
      </c>
    </row>
    <row r="50" spans="2:7">
      <c r="B50" s="1301"/>
      <c r="C50" s="1301"/>
      <c r="D50" s="1294" t="s">
        <v>6044</v>
      </c>
      <c r="E50" s="941"/>
      <c r="F50" s="966"/>
      <c r="G50" s="966">
        <v>1898</v>
      </c>
    </row>
    <row r="51" spans="2:7">
      <c r="B51" s="1301"/>
      <c r="C51" s="1301"/>
      <c r="D51" s="1294"/>
      <c r="E51" s="941"/>
      <c r="F51" s="966"/>
      <c r="G51" s="966">
        <f>SUM(G48:G50)</f>
        <v>6904.17</v>
      </c>
    </row>
    <row r="52" spans="2:7">
      <c r="B52" s="1301"/>
      <c r="C52" s="1301"/>
      <c r="D52" s="1294"/>
      <c r="E52" s="941"/>
      <c r="F52" s="966"/>
      <c r="G52" s="966"/>
    </row>
    <row r="53" spans="2:7">
      <c r="B53" s="962" t="s">
        <v>6045</v>
      </c>
      <c r="C53" s="962"/>
      <c r="D53" s="962"/>
      <c r="E53" s="962"/>
      <c r="F53" s="962"/>
      <c r="G53" s="962"/>
    </row>
    <row r="54" spans="2:7" ht="31.5">
      <c r="B54" s="1303">
        <v>1</v>
      </c>
      <c r="C54" s="1303" t="s">
        <v>1419</v>
      </c>
      <c r="D54" s="1302" t="s">
        <v>6046</v>
      </c>
      <c r="E54" s="1304">
        <v>2812</v>
      </c>
      <c r="F54" s="963" t="s">
        <v>1423</v>
      </c>
      <c r="G54" s="963">
        <f>E54*B54</f>
        <v>2812</v>
      </c>
    </row>
    <row r="55" spans="2:7" ht="31.5">
      <c r="B55" s="1303">
        <v>1</v>
      </c>
      <c r="C55" s="1303" t="s">
        <v>1419</v>
      </c>
      <c r="D55" s="1302" t="s">
        <v>6038</v>
      </c>
      <c r="E55" s="1304">
        <v>912</v>
      </c>
      <c r="F55" s="963" t="s">
        <v>1423</v>
      </c>
      <c r="G55" s="963">
        <f>E55*B55</f>
        <v>912</v>
      </c>
    </row>
    <row r="56" spans="2:7">
      <c r="B56" s="1303">
        <v>18</v>
      </c>
      <c r="C56" s="1303" t="s">
        <v>1419</v>
      </c>
      <c r="D56" s="1302" t="s">
        <v>6039</v>
      </c>
      <c r="E56" s="1304">
        <v>174</v>
      </c>
      <c r="F56" s="963" t="s">
        <v>1423</v>
      </c>
      <c r="G56" s="963">
        <f>E56*B56</f>
        <v>3132</v>
      </c>
    </row>
    <row r="57" spans="2:7">
      <c r="B57" s="1303">
        <v>1</v>
      </c>
      <c r="C57" s="1303" t="s">
        <v>6040</v>
      </c>
      <c r="D57" s="1302" t="s">
        <v>6047</v>
      </c>
      <c r="E57" s="1304">
        <v>123.6</v>
      </c>
      <c r="F57" s="963" t="s">
        <v>669</v>
      </c>
      <c r="G57" s="963">
        <f>E57*B57</f>
        <v>123.6</v>
      </c>
    </row>
    <row r="58" spans="2:7">
      <c r="B58" s="1303">
        <v>1</v>
      </c>
      <c r="C58" s="1303" t="s">
        <v>1419</v>
      </c>
      <c r="D58" s="1302" t="s">
        <v>6042</v>
      </c>
      <c r="E58" s="1304">
        <v>24</v>
      </c>
      <c r="F58" s="963" t="s">
        <v>1423</v>
      </c>
      <c r="G58" s="963">
        <f>E58*B58</f>
        <v>24</v>
      </c>
    </row>
    <row r="59" spans="2:7">
      <c r="B59" s="1303"/>
      <c r="C59" s="1303"/>
      <c r="D59" s="1294"/>
      <c r="E59" s="1304"/>
      <c r="F59" s="963"/>
      <c r="G59" s="963">
        <f>SUM(G54:G58)</f>
        <v>7003.6</v>
      </c>
    </row>
    <row r="60" spans="2:7">
      <c r="B60" s="1303"/>
      <c r="C60" s="1303"/>
      <c r="D60" s="1294" t="s">
        <v>6043</v>
      </c>
      <c r="E60" s="1304"/>
      <c r="F60" s="963"/>
      <c r="G60" s="963">
        <f>G59*1%</f>
        <v>70.040000000000006</v>
      </c>
    </row>
    <row r="61" spans="2:7">
      <c r="B61" s="1303"/>
      <c r="C61" s="1303"/>
      <c r="D61" s="1294" t="s">
        <v>6044</v>
      </c>
      <c r="E61" s="1304"/>
      <c r="F61" s="963"/>
      <c r="G61" s="963">
        <v>1898</v>
      </c>
    </row>
    <row r="62" spans="2:7">
      <c r="B62" s="1303"/>
      <c r="C62" s="1303"/>
      <c r="D62" s="1292" t="s">
        <v>6048</v>
      </c>
      <c r="E62" s="1304"/>
      <c r="F62" s="963"/>
      <c r="G62" s="963">
        <f>SUM(G59:G61)</f>
        <v>8971.64</v>
      </c>
    </row>
    <row r="66" spans="2:7" ht="18.75">
      <c r="B66" s="830"/>
      <c r="C66" s="830" t="s">
        <v>1942</v>
      </c>
      <c r="D66" s="830" t="s">
        <v>6049</v>
      </c>
      <c r="E66" s="830"/>
      <c r="F66" s="830"/>
      <c r="G66" s="830"/>
    </row>
    <row r="67" spans="2:7" ht="18.75">
      <c r="B67" s="830"/>
      <c r="C67" s="830"/>
      <c r="D67" s="830" t="s">
        <v>163</v>
      </c>
      <c r="E67" s="830"/>
      <c r="F67" s="830"/>
      <c r="G67" s="830"/>
    </row>
    <row r="68" spans="2:7" ht="18.75">
      <c r="B68" s="830"/>
      <c r="C68" s="830"/>
      <c r="D68" s="830" t="s">
        <v>6050</v>
      </c>
      <c r="E68" s="830"/>
      <c r="F68" s="830"/>
      <c r="G68" s="830"/>
    </row>
    <row r="69" spans="2:7" ht="18.75">
      <c r="B69" s="830">
        <v>8.1</v>
      </c>
      <c r="C69" s="830" t="s">
        <v>885</v>
      </c>
      <c r="D69" s="830" t="s">
        <v>629</v>
      </c>
      <c r="E69" s="830">
        <f>Data!P431</f>
        <v>233.76</v>
      </c>
      <c r="F69" s="830" t="s">
        <v>885</v>
      </c>
      <c r="G69" s="830">
        <f>B69*E69</f>
        <v>1893.46</v>
      </c>
    </row>
    <row r="70" spans="2:7" ht="18.75">
      <c r="B70" s="830">
        <v>8.1</v>
      </c>
      <c r="C70" s="830" t="s">
        <v>885</v>
      </c>
      <c r="D70" s="830" t="s">
        <v>2196</v>
      </c>
      <c r="E70" s="830">
        <f>Data!P432</f>
        <v>40.65</v>
      </c>
      <c r="F70" s="830" t="s">
        <v>885</v>
      </c>
      <c r="G70" s="830">
        <f t="shared" ref="G70:G78" si="1">B70*E70</f>
        <v>329.27</v>
      </c>
    </row>
    <row r="71" spans="2:7" ht="18.75">
      <c r="B71" s="830">
        <v>30</v>
      </c>
      <c r="C71" s="830" t="s">
        <v>1805</v>
      </c>
      <c r="D71" s="830" t="s">
        <v>6051</v>
      </c>
      <c r="E71" s="830">
        <f>11.2*1.1</f>
        <v>12.32</v>
      </c>
      <c r="F71" s="830" t="s">
        <v>1805</v>
      </c>
      <c r="G71" s="830">
        <f t="shared" si="1"/>
        <v>369.6</v>
      </c>
    </row>
    <row r="72" spans="2:7" ht="18.75">
      <c r="B72" s="830"/>
      <c r="C72" s="830"/>
      <c r="D72" s="830" t="s">
        <v>2198</v>
      </c>
      <c r="E72" s="830"/>
      <c r="F72" s="830"/>
      <c r="G72" s="830">
        <f t="shared" si="1"/>
        <v>0</v>
      </c>
    </row>
    <row r="73" spans="2:7" ht="18.75">
      <c r="B73" s="830"/>
      <c r="C73" s="830"/>
      <c r="D73" s="830" t="s">
        <v>2199</v>
      </c>
      <c r="E73" s="830"/>
      <c r="F73" s="830"/>
      <c r="G73" s="830">
        <f t="shared" si="1"/>
        <v>0</v>
      </c>
    </row>
    <row r="74" spans="2:7" ht="18.75">
      <c r="B74" s="830"/>
      <c r="C74" s="830"/>
      <c r="D74" s="830" t="s">
        <v>2200</v>
      </c>
      <c r="E74" s="830"/>
      <c r="F74" s="830"/>
      <c r="G74" s="830">
        <f t="shared" si="1"/>
        <v>0</v>
      </c>
    </row>
    <row r="75" spans="2:7" ht="18.75">
      <c r="B75" s="830"/>
      <c r="C75" s="830"/>
      <c r="D75" s="830" t="s">
        <v>2203</v>
      </c>
      <c r="E75" s="830"/>
      <c r="F75" s="830"/>
      <c r="G75" s="830">
        <f t="shared" si="1"/>
        <v>0</v>
      </c>
    </row>
    <row r="76" spans="2:7" ht="18.75">
      <c r="B76" s="830">
        <v>8</v>
      </c>
      <c r="C76" s="830" t="s">
        <v>785</v>
      </c>
      <c r="D76" s="830" t="s">
        <v>6052</v>
      </c>
      <c r="E76" s="830">
        <f>10.65*1.1</f>
        <v>11.72</v>
      </c>
      <c r="F76" s="830" t="s">
        <v>785</v>
      </c>
      <c r="G76" s="830">
        <f t="shared" si="1"/>
        <v>93.76</v>
      </c>
    </row>
    <row r="77" spans="2:7" ht="18.75">
      <c r="B77" s="830">
        <v>8</v>
      </c>
      <c r="C77" s="830"/>
      <c r="D77" s="830"/>
      <c r="E77" s="830">
        <f>26.6*1.1</f>
        <v>29.26</v>
      </c>
      <c r="F77" s="830"/>
      <c r="G77" s="830">
        <f t="shared" si="1"/>
        <v>234.08</v>
      </c>
    </row>
    <row r="78" spans="2:7" ht="18.75">
      <c r="B78" s="830">
        <v>1</v>
      </c>
      <c r="C78" s="830" t="s">
        <v>455</v>
      </c>
      <c r="D78" s="830" t="s">
        <v>1716</v>
      </c>
      <c r="E78" s="830">
        <f>Data!P441</f>
        <v>12.1</v>
      </c>
      <c r="F78" s="830" t="s">
        <v>455</v>
      </c>
      <c r="G78" s="830">
        <f t="shared" si="1"/>
        <v>12.1</v>
      </c>
    </row>
    <row r="79" spans="2:7" ht="18.75">
      <c r="B79" s="830"/>
      <c r="C79" s="830"/>
      <c r="D79" s="830"/>
      <c r="E79" s="830"/>
      <c r="F79" s="830"/>
      <c r="G79" s="1306" t="s">
        <v>1615</v>
      </c>
    </row>
    <row r="80" spans="2:7" ht="18.75">
      <c r="B80" s="830"/>
      <c r="C80" s="830"/>
      <c r="D80" s="830" t="s">
        <v>1572</v>
      </c>
      <c r="E80" s="830"/>
      <c r="F80" s="830"/>
      <c r="G80" s="830">
        <f>SUM(G69:G79)</f>
        <v>2932.27</v>
      </c>
    </row>
    <row r="81" spans="2:7" ht="18.75">
      <c r="B81" s="830"/>
      <c r="C81" s="830"/>
      <c r="D81" s="830" t="s">
        <v>1573</v>
      </c>
      <c r="E81" s="830"/>
      <c r="F81" s="830"/>
      <c r="G81" s="830">
        <f>G80/30</f>
        <v>97.74</v>
      </c>
    </row>
    <row r="82" spans="2:7" ht="18.75">
      <c r="B82" s="830"/>
      <c r="C82" s="830"/>
      <c r="D82" s="830"/>
      <c r="E82" s="830"/>
      <c r="F82" s="830"/>
      <c r="G82" s="1306" t="s">
        <v>1615</v>
      </c>
    </row>
    <row r="83" spans="2:7" ht="18.75">
      <c r="B83" s="830"/>
      <c r="C83" s="830"/>
      <c r="D83" s="830" t="s">
        <v>469</v>
      </c>
      <c r="E83" s="830"/>
      <c r="F83" s="830"/>
      <c r="G83" s="830"/>
    </row>
    <row r="84" spans="2:7" ht="18.75">
      <c r="B84" s="830">
        <v>1</v>
      </c>
      <c r="C84" s="830" t="s">
        <v>842</v>
      </c>
      <c r="D84" s="830" t="s">
        <v>6053</v>
      </c>
      <c r="E84" s="830">
        <v>120.5</v>
      </c>
      <c r="F84" s="830" t="s">
        <v>842</v>
      </c>
      <c r="G84" s="830">
        <f>B84*E84</f>
        <v>120.5</v>
      </c>
    </row>
    <row r="85" spans="2:7" ht="18.75">
      <c r="B85" s="830">
        <v>1</v>
      </c>
      <c r="C85" s="830" t="s">
        <v>455</v>
      </c>
      <c r="D85" s="830" t="s">
        <v>1703</v>
      </c>
      <c r="E85" s="830">
        <f>E84*20%</f>
        <v>24.1</v>
      </c>
      <c r="F85" s="830" t="s">
        <v>455</v>
      </c>
      <c r="G85" s="830">
        <f>B85*E85</f>
        <v>24.1</v>
      </c>
    </row>
    <row r="86" spans="2:7" ht="18.75">
      <c r="B86" s="830">
        <v>1</v>
      </c>
      <c r="C86" s="830" t="s">
        <v>842</v>
      </c>
      <c r="D86" s="830" t="s">
        <v>163</v>
      </c>
      <c r="E86" s="830">
        <f>G81</f>
        <v>97.74</v>
      </c>
      <c r="F86" s="830" t="s">
        <v>842</v>
      </c>
      <c r="G86" s="830">
        <f>B86*E86</f>
        <v>97.74</v>
      </c>
    </row>
    <row r="87" spans="2:7" ht="18.75">
      <c r="B87" s="830"/>
      <c r="C87" s="830"/>
      <c r="D87" s="830"/>
      <c r="E87" s="830" t="s">
        <v>992</v>
      </c>
      <c r="F87" s="830"/>
      <c r="G87" s="1306" t="s">
        <v>1615</v>
      </c>
    </row>
    <row r="88" spans="2:7" ht="18.75">
      <c r="B88" s="830"/>
      <c r="C88" s="830"/>
      <c r="D88" s="830" t="s">
        <v>382</v>
      </c>
      <c r="E88" s="830"/>
      <c r="F88" s="830"/>
      <c r="G88" s="826">
        <f>SUM(G84:G87)</f>
        <v>242.34</v>
      </c>
    </row>
    <row r="89" spans="2:7" ht="18.75">
      <c r="B89" s="830"/>
      <c r="C89" s="830"/>
      <c r="D89" s="830"/>
      <c r="E89" s="830" t="s">
        <v>992</v>
      </c>
      <c r="F89" s="830"/>
      <c r="G89" s="1306" t="s">
        <v>2091</v>
      </c>
    </row>
    <row r="92" spans="2:7" ht="18.75">
      <c r="B92" s="830"/>
      <c r="C92" s="830" t="s">
        <v>1942</v>
      </c>
      <c r="D92" s="830" t="s">
        <v>6054</v>
      </c>
      <c r="E92" s="830"/>
      <c r="F92" s="830"/>
      <c r="G92" s="830"/>
    </row>
    <row r="93" spans="2:7" ht="18.75">
      <c r="B93" s="830"/>
      <c r="C93" s="830"/>
      <c r="D93" s="830" t="s">
        <v>163</v>
      </c>
      <c r="E93" s="830"/>
      <c r="F93" s="830"/>
      <c r="G93" s="830"/>
    </row>
    <row r="94" spans="2:7" ht="18.75">
      <c r="B94" s="830"/>
      <c r="C94" s="830"/>
      <c r="D94" s="830" t="s">
        <v>6055</v>
      </c>
      <c r="E94" s="830"/>
      <c r="F94" s="830"/>
      <c r="G94" s="830"/>
    </row>
    <row r="95" spans="2:7" ht="18.75">
      <c r="B95" s="830">
        <v>8.1</v>
      </c>
      <c r="C95" s="830" t="s">
        <v>885</v>
      </c>
      <c r="D95" s="830" t="s">
        <v>629</v>
      </c>
      <c r="E95" s="830">
        <f>E69</f>
        <v>233.76</v>
      </c>
      <c r="F95" s="830" t="s">
        <v>885</v>
      </c>
      <c r="G95" s="830">
        <f>B95*E95</f>
        <v>1893.46</v>
      </c>
    </row>
    <row r="96" spans="2:7" ht="18.75">
      <c r="B96" s="830">
        <v>8.1</v>
      </c>
      <c r="C96" s="830" t="s">
        <v>885</v>
      </c>
      <c r="D96" s="830" t="s">
        <v>2196</v>
      </c>
      <c r="E96" s="830">
        <f>E70</f>
        <v>40.65</v>
      </c>
      <c r="F96" s="830" t="s">
        <v>885</v>
      </c>
      <c r="G96" s="830">
        <f t="shared" ref="G96:G104" si="2">B96*E96</f>
        <v>329.27</v>
      </c>
    </row>
    <row r="97" spans="2:7" ht="18.75">
      <c r="B97" s="830">
        <v>30</v>
      </c>
      <c r="C97" s="830" t="s">
        <v>1805</v>
      </c>
      <c r="D97" s="830" t="s">
        <v>6051</v>
      </c>
      <c r="E97" s="830">
        <f>18.9*1.1</f>
        <v>20.79</v>
      </c>
      <c r="F97" s="830" t="s">
        <v>1805</v>
      </c>
      <c r="G97" s="830">
        <f t="shared" si="2"/>
        <v>623.70000000000005</v>
      </c>
    </row>
    <row r="98" spans="2:7" ht="18.75">
      <c r="B98" s="830"/>
      <c r="C98" s="830"/>
      <c r="D98" s="830" t="s">
        <v>2198</v>
      </c>
      <c r="E98" s="830"/>
      <c r="F98" s="830"/>
      <c r="G98" s="830">
        <f t="shared" si="2"/>
        <v>0</v>
      </c>
    </row>
    <row r="99" spans="2:7" ht="18.75">
      <c r="B99" s="830"/>
      <c r="C99" s="830"/>
      <c r="D99" s="830" t="s">
        <v>2199</v>
      </c>
      <c r="E99" s="830"/>
      <c r="F99" s="830"/>
      <c r="G99" s="830">
        <f t="shared" si="2"/>
        <v>0</v>
      </c>
    </row>
    <row r="100" spans="2:7" ht="18.75">
      <c r="B100" s="830"/>
      <c r="C100" s="830"/>
      <c r="D100" s="830" t="s">
        <v>2200</v>
      </c>
      <c r="E100" s="830"/>
      <c r="F100" s="830"/>
      <c r="G100" s="830">
        <f t="shared" si="2"/>
        <v>0</v>
      </c>
    </row>
    <row r="101" spans="2:7" ht="18.75">
      <c r="B101" s="830"/>
      <c r="C101" s="830"/>
      <c r="D101" s="830" t="s">
        <v>2203</v>
      </c>
      <c r="E101" s="830"/>
      <c r="F101" s="830"/>
      <c r="G101" s="830">
        <f t="shared" si="2"/>
        <v>0</v>
      </c>
    </row>
    <row r="102" spans="2:7" ht="18.75">
      <c r="B102" s="830">
        <v>8</v>
      </c>
      <c r="C102" s="830" t="s">
        <v>785</v>
      </c>
      <c r="D102" s="830" t="s">
        <v>6052</v>
      </c>
      <c r="E102" s="830">
        <f>17.35*1.1</f>
        <v>19.09</v>
      </c>
      <c r="F102" s="830" t="s">
        <v>785</v>
      </c>
      <c r="G102" s="830">
        <f t="shared" si="2"/>
        <v>152.72</v>
      </c>
    </row>
    <row r="103" spans="2:7" ht="18.75">
      <c r="B103" s="830">
        <v>8</v>
      </c>
      <c r="C103" s="830"/>
      <c r="D103" s="830"/>
      <c r="E103" s="830">
        <f>40.45*1.1</f>
        <v>44.5</v>
      </c>
      <c r="F103" s="830"/>
      <c r="G103" s="830">
        <f t="shared" si="2"/>
        <v>356</v>
      </c>
    </row>
    <row r="104" spans="2:7" ht="18.75">
      <c r="B104" s="830">
        <v>1</v>
      </c>
      <c r="C104" s="830" t="s">
        <v>455</v>
      </c>
      <c r="D104" s="830" t="s">
        <v>1716</v>
      </c>
      <c r="E104" s="830">
        <f>E78</f>
        <v>12.1</v>
      </c>
      <c r="F104" s="830" t="s">
        <v>455</v>
      </c>
      <c r="G104" s="830">
        <f t="shared" si="2"/>
        <v>12.1</v>
      </c>
    </row>
    <row r="105" spans="2:7" ht="18.75">
      <c r="B105" s="830"/>
      <c r="C105" s="830"/>
      <c r="D105" s="830"/>
      <c r="E105" s="830"/>
      <c r="F105" s="830"/>
      <c r="G105" s="1306" t="s">
        <v>1615</v>
      </c>
    </row>
    <row r="106" spans="2:7" ht="18.75">
      <c r="B106" s="830"/>
      <c r="C106" s="830"/>
      <c r="D106" s="830" t="s">
        <v>1572</v>
      </c>
      <c r="E106" s="830"/>
      <c r="F106" s="830"/>
      <c r="G106" s="830">
        <f>SUM(G95:G105)</f>
        <v>3367.25</v>
      </c>
    </row>
    <row r="107" spans="2:7" ht="18.75">
      <c r="B107" s="830"/>
      <c r="C107" s="830"/>
      <c r="D107" s="830" t="s">
        <v>1573</v>
      </c>
      <c r="E107" s="830"/>
      <c r="F107" s="830"/>
      <c r="G107" s="830">
        <f>G106/30</f>
        <v>112.24</v>
      </c>
    </row>
    <row r="108" spans="2:7" ht="18.75">
      <c r="B108" s="830"/>
      <c r="C108" s="830"/>
      <c r="D108" s="830"/>
      <c r="E108" s="830"/>
      <c r="F108" s="830"/>
      <c r="G108" s="1306" t="s">
        <v>1615</v>
      </c>
    </row>
    <row r="109" spans="2:7" ht="18.75">
      <c r="B109" s="830"/>
      <c r="C109" s="830"/>
      <c r="D109" s="830" t="s">
        <v>469</v>
      </c>
      <c r="E109" s="830"/>
      <c r="F109" s="830"/>
      <c r="G109" s="830"/>
    </row>
    <row r="110" spans="2:7" ht="18.75">
      <c r="B110" s="830">
        <v>1</v>
      </c>
      <c r="C110" s="830" t="s">
        <v>842</v>
      </c>
      <c r="D110" s="830" t="s">
        <v>6056</v>
      </c>
      <c r="E110" s="830">
        <v>184.2</v>
      </c>
      <c r="F110" s="830" t="s">
        <v>842</v>
      </c>
      <c r="G110" s="830">
        <f>B110*E110</f>
        <v>184.2</v>
      </c>
    </row>
    <row r="111" spans="2:7" ht="18.75">
      <c r="B111" s="830">
        <v>1</v>
      </c>
      <c r="C111" s="830" t="s">
        <v>455</v>
      </c>
      <c r="D111" s="830" t="s">
        <v>1703</v>
      </c>
      <c r="E111" s="830">
        <f>E110*20%</f>
        <v>36.840000000000003</v>
      </c>
      <c r="F111" s="830" t="s">
        <v>455</v>
      </c>
      <c r="G111" s="830">
        <f>B111*E111</f>
        <v>36.840000000000003</v>
      </c>
    </row>
    <row r="112" spans="2:7" ht="18.75">
      <c r="B112" s="830">
        <v>1</v>
      </c>
      <c r="C112" s="830" t="s">
        <v>842</v>
      </c>
      <c r="D112" s="830" t="s">
        <v>163</v>
      </c>
      <c r="E112" s="830">
        <f>G107</f>
        <v>112.24</v>
      </c>
      <c r="F112" s="830" t="s">
        <v>842</v>
      </c>
      <c r="G112" s="830">
        <f>B112*E112</f>
        <v>112.24</v>
      </c>
    </row>
    <row r="113" spans="2:7" ht="18.75">
      <c r="B113" s="830"/>
      <c r="C113" s="830"/>
      <c r="D113" s="830"/>
      <c r="E113" s="830" t="s">
        <v>992</v>
      </c>
      <c r="F113" s="830"/>
      <c r="G113" s="1306" t="s">
        <v>1615</v>
      </c>
    </row>
    <row r="114" spans="2:7" ht="18.75">
      <c r="B114" s="830"/>
      <c r="C114" s="830"/>
      <c r="D114" s="830" t="s">
        <v>382</v>
      </c>
      <c r="E114" s="830"/>
      <c r="F114" s="830"/>
      <c r="G114" s="826">
        <f>SUM(G110:G113)</f>
        <v>333.28</v>
      </c>
    </row>
    <row r="115" spans="2:7" ht="18.75">
      <c r="B115" s="830"/>
      <c r="C115" s="830"/>
      <c r="D115" s="830"/>
      <c r="E115" s="830" t="s">
        <v>992</v>
      </c>
      <c r="F115" s="830"/>
      <c r="G115" s="1306" t="s">
        <v>2091</v>
      </c>
    </row>
    <row r="117" spans="2:7">
      <c r="D117" s="1295" t="s">
        <v>6064</v>
      </c>
    </row>
    <row r="119" spans="2:7" ht="56.25">
      <c r="D119" s="1308" t="s">
        <v>6065</v>
      </c>
    </row>
    <row r="121" spans="2:7" ht="37.5">
      <c r="B121" s="1309">
        <v>1</v>
      </c>
      <c r="C121" s="1309" t="s">
        <v>2322</v>
      </c>
      <c r="D121" s="1308" t="s">
        <v>6066</v>
      </c>
      <c r="E121" s="1309">
        <v>552</v>
      </c>
      <c r="F121" s="1309" t="str">
        <f>C121</f>
        <v>Sqm</v>
      </c>
      <c r="G121" s="1309">
        <f>E121*B121</f>
        <v>552</v>
      </c>
    </row>
    <row r="122" spans="2:7" ht="18.75">
      <c r="B122" s="1309">
        <v>0.1</v>
      </c>
      <c r="C122" s="1309" t="s">
        <v>1423</v>
      </c>
      <c r="D122" s="1308" t="s">
        <v>6067</v>
      </c>
      <c r="E122" s="1309">
        <f>Data!AB1216</f>
        <v>1041.7</v>
      </c>
      <c r="F122" s="1309" t="str">
        <f t="shared" ref="F122:F123" si="3">C122</f>
        <v>Each</v>
      </c>
      <c r="G122" s="1309">
        <f t="shared" ref="G122:G123" si="4">E122*B122</f>
        <v>104.17</v>
      </c>
    </row>
    <row r="123" spans="2:7" ht="18.75">
      <c r="B123" s="1309">
        <v>0.1</v>
      </c>
      <c r="C123" s="1309" t="s">
        <v>1423</v>
      </c>
      <c r="D123" s="1308" t="s">
        <v>1720</v>
      </c>
      <c r="E123" s="1309">
        <f>Data!AB1218</f>
        <v>679.8</v>
      </c>
      <c r="F123" s="1309" t="str">
        <f t="shared" si="3"/>
        <v>Each</v>
      </c>
      <c r="G123" s="1309">
        <f t="shared" si="4"/>
        <v>67.98</v>
      </c>
    </row>
    <row r="124" spans="2:7" ht="18.75">
      <c r="E124" s="1309"/>
      <c r="F124" s="1309"/>
      <c r="G124" s="1309">
        <f>SUM(G121:G123)</f>
        <v>724.15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vt:i4>
      </vt:variant>
    </vt:vector>
  </HeadingPairs>
  <TitlesOfParts>
    <vt:vector size="33" baseType="lpstr">
      <vt:lpstr>pile data ( M30 grade) (2)</vt:lpstr>
      <vt:lpstr>  Coastal  Elec.Data  (2)</vt:lpstr>
      <vt:lpstr>Abstract </vt:lpstr>
      <vt:lpstr>G. Abstract</vt:lpstr>
      <vt:lpstr>2 in 1 incl. F.E.</vt:lpstr>
      <vt:lpstr>pile data </vt:lpstr>
      <vt:lpstr>  Coastal  Elec.Data </vt:lpstr>
      <vt:lpstr>lead  charge</vt:lpstr>
      <vt:lpstr>Elec.Data</vt:lpstr>
      <vt:lpstr>Sliding and french window</vt:lpstr>
      <vt:lpstr>Data</vt:lpstr>
      <vt:lpstr>buildingfinal</vt:lpstr>
      <vt:lpstr>Sheet1</vt:lpstr>
      <vt:lpstr>'  Coastal  Elec.Data '!Print_Area</vt:lpstr>
      <vt:lpstr>'  Coastal  Elec.Data  (2)'!Print_Area</vt:lpstr>
      <vt:lpstr>'2 in 1 incl. F.E.'!Print_Area</vt:lpstr>
      <vt:lpstr>'Abstract '!Print_Area</vt:lpstr>
      <vt:lpstr>buildingfinal!Print_Area</vt:lpstr>
      <vt:lpstr>Data!Print_Area</vt:lpstr>
      <vt:lpstr>Elec.Data!Print_Area</vt:lpstr>
      <vt:lpstr>'G. Abstract'!Print_Area</vt:lpstr>
      <vt:lpstr>'lead  charge'!Print_Area</vt:lpstr>
      <vt:lpstr>'pile data '!Print_Area</vt:lpstr>
      <vt:lpstr>'pile data ( M30 grade) (2)'!Print_Area</vt:lpstr>
      <vt:lpstr>'Sliding and french window'!Print_Area</vt:lpstr>
      <vt:lpstr>'  Coastal  Elec.Data '!Print_Area_MI</vt:lpstr>
      <vt:lpstr>Data!Print_Area_MI</vt:lpstr>
      <vt:lpstr>'Abstract '!Print_Titles</vt:lpstr>
      <vt:lpstr>buildingfinal!Print_Titles</vt:lpstr>
      <vt:lpstr>'  Coastal  Elec.Data '!PRINT_TITLES_MI</vt:lpstr>
      <vt:lpstr>'  Coastal  Elec.Data  (2)'!PRINT_TITLES_MI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CEDB1</cp:lastModifiedBy>
  <cp:lastPrinted>2023-01-24T10:39:53Z</cp:lastPrinted>
  <dcterms:created xsi:type="dcterms:W3CDTF">2003-09-02T05:17:23Z</dcterms:created>
  <dcterms:modified xsi:type="dcterms:W3CDTF">2023-01-24T10:40:18Z</dcterms:modified>
</cp:coreProperties>
</file>